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5.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pivotTables/pivotTable4.xml" ContentType="application/vnd.openxmlformats-officedocument.spreadsheetml.pivotTable+xml"/>
  <Override PartName="/xl/drawings/drawing4.xml" ContentType="application/vnd.openxmlformats-officedocument.drawing+xml"/>
  <Override PartName="/xl/tables/table3.xml" ContentType="application/vnd.openxmlformats-officedocument.spreadsheetml.table+xml"/>
  <Override PartName="/xl/comments2.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2.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3.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4.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5.xml" ContentType="application/vnd.openxmlformats-officedocument.themeOverrid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drawings/drawing7.xml" ContentType="application/vnd.openxmlformats-officedocument.drawing+xml"/>
  <Override PartName="/xl/slicers/slicer1.xml" ContentType="application/vnd.ms-excel.slicer+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pivotTables/pivotTable43.xml" ContentType="application/vnd.openxmlformats-officedocument.spreadsheetml.pivotTable+xml"/>
  <Override PartName="/xl/drawings/drawing8.xml" ContentType="application/vnd.openxmlformats-officedocument.drawing+xml"/>
  <Override PartName="/xl/tables/table4.xml" ContentType="application/vnd.openxmlformats-officedocument.spreadsheetml.table+xml"/>
  <Override PartName="/xl/slicers/slicer2.xml" ContentType="application/vnd.ms-excel.slicer+xml"/>
  <Override PartName="/xl/pivotTables/pivotTable44.xml" ContentType="application/vnd.openxmlformats-officedocument.spreadsheetml.pivotTable+xml"/>
  <Override PartName="/xl/tables/table5.xml" ContentType="application/vnd.openxmlformats-officedocument.spreadsheetml.table+xml"/>
  <Override PartName="/xl/tables/table6.xml" ContentType="application/vnd.openxmlformats-officedocument.spreadsheetml.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tables/table7.xml" ContentType="application/vnd.openxmlformats-officedocument.spreadsheetml.table+xml"/>
  <Override PartName="/xl/tables/table8.xml" ContentType="application/vnd.openxmlformats-officedocument.spreadsheetml.table+xml"/>
  <Override PartName="/xl/pivotTables/pivotTable48.xml" ContentType="application/vnd.openxmlformats-officedocument.spreadsheetml.pivotTable+xml"/>
  <Override PartName="/xl/tables/table9.xml" ContentType="application/vnd.openxmlformats-officedocument.spreadsheetml.table+xml"/>
  <Override PartName="/xl/tables/table10.xml" ContentType="application/vnd.openxmlformats-officedocument.spreadsheetml.table+xml"/>
  <Override PartName="/xl/drawings/drawing9.xml" ContentType="application/vnd.openxmlformats-officedocument.drawing+xml"/>
  <Override PartName="/xl/tables/table11.xml" ContentType="application/vnd.openxmlformats-officedocument.spreadsheetml.tab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0.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1.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6.xml" ContentType="application/vnd.openxmlformats-officedocument.themeOverride+xml"/>
  <Override PartName="/xl/drawings/drawing12.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charts/chart83.xml" ContentType="application/vnd.openxmlformats-officedocument.drawingml.chart+xml"/>
  <Override PartName="/xl/charts/style82.xml" ContentType="application/vnd.ms-office.chartstyle+xml"/>
  <Override PartName="/xl/charts/colors82.xml" ContentType="application/vnd.ms-office.chartcolorstyle+xml"/>
  <Override PartName="/xl/charts/chart84.xml" ContentType="application/vnd.openxmlformats-officedocument.drawingml.chart+xml"/>
  <Override PartName="/xl/charts/style83.xml" ContentType="application/vnd.ms-office.chartstyle+xml"/>
  <Override PartName="/xl/charts/colors83.xml" ContentType="application/vnd.ms-office.chartcolorstyle+xml"/>
  <Override PartName="/xl/charts/chart85.xml" ContentType="application/vnd.openxmlformats-officedocument.drawingml.chart+xml"/>
  <Override PartName="/xl/charts/style84.xml" ContentType="application/vnd.ms-office.chartstyle+xml"/>
  <Override PartName="/xl/charts/colors84.xml" ContentType="application/vnd.ms-office.chartcolorstyle+xml"/>
  <Override PartName="/xl/charts/chart86.xml" ContentType="application/vnd.openxmlformats-officedocument.drawingml.chart+xml"/>
  <Override PartName="/xl/charts/style85.xml" ContentType="application/vnd.ms-office.chartstyle+xml"/>
  <Override PartName="/xl/charts/colors85.xml" ContentType="application/vnd.ms-office.chartcolorstyle+xml"/>
  <Override PartName="/xl/charts/chart87.xml" ContentType="application/vnd.openxmlformats-officedocument.drawingml.chart+xml"/>
  <Override PartName="/xl/charts/style86.xml" ContentType="application/vnd.ms-office.chartstyle+xml"/>
  <Override PartName="/xl/charts/colors86.xml" ContentType="application/vnd.ms-office.chartcolorstyle+xml"/>
  <Override PartName="/xl/charts/chart88.xml" ContentType="application/vnd.openxmlformats-officedocument.drawingml.chart+xml"/>
  <Override PartName="/xl/charts/style87.xml" ContentType="application/vnd.ms-office.chartstyle+xml"/>
  <Override PartName="/xl/charts/colors87.xml" ContentType="application/vnd.ms-office.chartcolorstyle+xml"/>
  <Override PartName="/xl/charts/chart89.xml" ContentType="application/vnd.openxmlformats-officedocument.drawingml.chart+xml"/>
  <Override PartName="/xl/charts/style88.xml" ContentType="application/vnd.ms-office.chartstyle+xml"/>
  <Override PartName="/xl/charts/colors88.xml" ContentType="application/vnd.ms-office.chartcolorstyle+xml"/>
  <Override PartName="/xl/charts/chart90.xml" ContentType="application/vnd.openxmlformats-officedocument.drawingml.chart+xml"/>
  <Override PartName="/xl/charts/style89.xml" ContentType="application/vnd.ms-office.chartstyle+xml"/>
  <Override PartName="/xl/charts/colors89.xml" ContentType="application/vnd.ms-office.chartcolorstyle+xml"/>
  <Override PartName="/xl/charts/chart91.xml" ContentType="application/vnd.openxmlformats-officedocument.drawingml.chart+xml"/>
  <Override PartName="/xl/charts/style90.xml" ContentType="application/vnd.ms-office.chartstyle+xml"/>
  <Override PartName="/xl/charts/colors90.xml" ContentType="application/vnd.ms-office.chartcolorstyle+xml"/>
  <Override PartName="/xl/charts/chart92.xml" ContentType="application/vnd.openxmlformats-officedocument.drawingml.chart+xml"/>
  <Override PartName="/xl/charts/style91.xml" ContentType="application/vnd.ms-office.chartstyle+xml"/>
  <Override PartName="/xl/charts/colors91.xml" ContentType="application/vnd.ms-office.chartcolorstyle+xml"/>
  <Override PartName="/xl/charts/chart93.xml" ContentType="application/vnd.openxmlformats-officedocument.drawingml.chart+xml"/>
  <Override PartName="/xl/charts/style92.xml" ContentType="application/vnd.ms-office.chartstyle+xml"/>
  <Override PartName="/xl/charts/colors92.xml" ContentType="application/vnd.ms-office.chartcolorstyle+xml"/>
  <Override PartName="/xl/charts/chart94.xml" ContentType="application/vnd.openxmlformats-officedocument.drawingml.chart+xml"/>
  <Override PartName="/xl/charts/style93.xml" ContentType="application/vnd.ms-office.chartstyle+xml"/>
  <Override PartName="/xl/charts/colors93.xml" ContentType="application/vnd.ms-office.chartcolorstyle+xml"/>
  <Override PartName="/xl/charts/chart95.xml" ContentType="application/vnd.openxmlformats-officedocument.drawingml.chart+xml"/>
  <Override PartName="/xl/charts/style94.xml" ContentType="application/vnd.ms-office.chartstyle+xml"/>
  <Override PartName="/xl/charts/colors94.xml" ContentType="application/vnd.ms-office.chartcolorstyle+xml"/>
  <Override PartName="/xl/charts/chart96.xml" ContentType="application/vnd.openxmlformats-officedocument.drawingml.chart+xml"/>
  <Override PartName="/xl/charts/style95.xml" ContentType="application/vnd.ms-office.chartstyle+xml"/>
  <Override PartName="/xl/charts/colors95.xml" ContentType="application/vnd.ms-office.chartcolorstyle+xml"/>
  <Override PartName="/xl/charts/chart97.xml" ContentType="application/vnd.openxmlformats-officedocument.drawingml.chart+xml"/>
  <Override PartName="/xl/charts/style96.xml" ContentType="application/vnd.ms-office.chartstyle+xml"/>
  <Override PartName="/xl/charts/colors96.xml" ContentType="application/vnd.ms-office.chartcolorstyle+xml"/>
  <Override PartName="/xl/theme/themeOverride7.xml" ContentType="application/vnd.openxmlformats-officedocument.themeOverride+xml"/>
  <Override PartName="/xl/charts/chart98.xml" ContentType="application/vnd.openxmlformats-officedocument.drawingml.chart+xml"/>
  <Override PartName="/xl/charts/style97.xml" ContentType="application/vnd.ms-office.chartstyle+xml"/>
  <Override PartName="/xl/charts/colors97.xml" ContentType="application/vnd.ms-office.chartcolorstyle+xml"/>
  <Override PartName="/xl/theme/themeOverride8.xml" ContentType="application/vnd.openxmlformats-officedocument.themeOverride+xml"/>
  <Override PartName="/xl/charts/chart99.xml" ContentType="application/vnd.openxmlformats-officedocument.drawingml.chart+xml"/>
  <Override PartName="/xl/charts/style98.xml" ContentType="application/vnd.ms-office.chartstyle+xml"/>
  <Override PartName="/xl/charts/colors98.xml" ContentType="application/vnd.ms-office.chartcolorstyle+xml"/>
  <Override PartName="/xl/theme/themeOverride9.xml" ContentType="application/vnd.openxmlformats-officedocument.themeOverride+xml"/>
  <Override PartName="/xl/pivotTables/pivotTable49.xml" ContentType="application/vnd.openxmlformats-officedocument.spreadsheetml.pivotTable+xml"/>
  <Override PartName="/xl/drawings/drawing13.xml" ContentType="application/vnd.openxmlformats-officedocument.drawing+xml"/>
  <Override PartName="/xl/slicers/slicer3.xml" ContentType="application/vnd.ms-excel.slicer+xml"/>
  <Override PartName="/xl/charts/chart100.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4.xml" ContentType="application/vnd.openxmlformats-officedocument.drawingml.chartshapes+xml"/>
  <Override PartName="/xl/pivotTables/pivotTable50.xml" ContentType="application/vnd.openxmlformats-officedocument.spreadsheetml.pivotTable+xml"/>
  <Override PartName="/xl/drawings/drawing15.xml" ContentType="application/vnd.openxmlformats-officedocument.drawing+xml"/>
  <Override PartName="/xl/slicers/slicer4.xml" ContentType="application/vnd.ms-excel.slicer+xml"/>
  <Override PartName="/xl/charts/chart101.xml" ContentType="application/vnd.openxmlformats-officedocument.drawingml.chart+xml"/>
  <Override PartName="/xl/charts/style100.xml" ContentType="application/vnd.ms-office.chartstyle+xml"/>
  <Override PartName="/xl/charts/colors100.xml" ContentType="application/vnd.ms-office.chartcolorstyle+xml"/>
  <Override PartName="/xl/pivotTables/pivotTable51.xml" ContentType="application/vnd.openxmlformats-officedocument.spreadsheetml.pivotTable+xml"/>
  <Override PartName="/xl/drawings/drawing16.xml" ContentType="application/vnd.openxmlformats-officedocument.drawing+xml"/>
  <Override PartName="/xl/slicers/slicer5.xml" ContentType="application/vnd.ms-excel.slicer+xml"/>
  <Override PartName="/xl/charts/chart102.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7.xml" ContentType="application/vnd.openxmlformats-officedocument.drawing+xml"/>
  <Override PartName="/xl/tables/table14.xml" ContentType="application/vnd.openxmlformats-officedocument.spreadsheetml.tab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never" codeName="ThisWorkbook" hidePivotFieldList="1"/>
  <mc:AlternateContent xmlns:mc="http://schemas.openxmlformats.org/markup-compatibility/2006">
    <mc:Choice Requires="x15">
      <x15ac:absPath xmlns:x15ac="http://schemas.microsoft.com/office/spreadsheetml/2010/11/ac" url="https://unicef-my.sharepoint.com/personal/mthaw_unicef_org/Documents/Mee Mee_backup/2. Information Management/B_ 4 W/002. 4Ws matrix/004.Yangon/Final/2023/2023_Q2/"/>
    </mc:Choice>
  </mc:AlternateContent>
  <xr:revisionPtr revIDLastSave="331" documentId="13_ncr:1_{49FBB6A0-005D-40A2-B852-1417C9E9209C}" xr6:coauthVersionLast="47" xr6:coauthVersionMax="47" xr10:uidLastSave="{B9DCC527-9FFB-4293-9739-3A4945F7A3CA}"/>
  <bookViews>
    <workbookView xWindow="-110" yWindow="-110" windowWidth="19420" windowHeight="10420" tabRatio="768" firstSheet="3" activeTab="15" xr2:uid="{00000000-000D-0000-FFFF-FFFF00000000}"/>
  </bookViews>
  <sheets>
    <sheet name="Guide" sheetId="81" r:id="rId1"/>
    <sheet name="HWS" sheetId="128" state="hidden" r:id="rId2"/>
    <sheet name="Sheet1" sheetId="135" state="hidden" r:id="rId3"/>
    <sheet name="DATABASE" sheetId="25" r:id="rId4"/>
    <sheet name="Site_DB" sheetId="91" state="hidden" r:id="rId5"/>
    <sheet name="Indicator Summary  Eng" sheetId="124" r:id="rId6"/>
    <sheet name="Indicator Summary  MM" sheetId="125" r:id="rId7"/>
    <sheet name="HRP Calculations" sheetId="132" r:id="rId8"/>
    <sheet name="HRP" sheetId="89" r:id="rId9"/>
    <sheet name="HRP ref" sheetId="129" state="hidden" r:id="rId10"/>
    <sheet name="Analysis" sheetId="92" r:id="rId11"/>
    <sheet name="partners" sheetId="122" state="hidden" r:id="rId12"/>
    <sheet name="partners_Q1" sheetId="130" state="hidden" r:id="rId13"/>
    <sheet name="partners_Q3" sheetId="133" state="hidden" r:id="rId14"/>
    <sheet name="partners_Q2" sheetId="136" state="hidden" r:id="rId15"/>
    <sheet name="Kachin" sheetId="111" r:id="rId16"/>
    <sheet name="Shan(n)" sheetId="110" r:id="rId17"/>
    <sheet name="AAP-community Feedback" sheetId="121" state="hidden" r:id="rId18"/>
    <sheet name="Quarterly Dashboard" sheetId="100" r:id="rId19"/>
    <sheet name="By Camps" sheetId="102" r:id="rId20"/>
    <sheet name="Tracking Dashboard" sheetId="114" r:id="rId21"/>
    <sheet name="Lookup" sheetId="32" state="hidden" r:id="rId22"/>
  </sheets>
  <externalReferences>
    <externalReference r:id="rId23"/>
    <externalReference r:id="rId24"/>
    <externalReference r:id="rId25"/>
    <externalReference r:id="rId26"/>
    <externalReference r:id="rId27"/>
    <externalReference r:id="rId28"/>
    <externalReference r:id="rId29"/>
  </externalReferences>
  <definedNames>
    <definedName name="_Fill" localSheetId="19" hidden="1">#REF!</definedName>
    <definedName name="_Fill" localSheetId="7" hidden="1">#REF!</definedName>
    <definedName name="_Fill" localSheetId="5" hidden="1">#REF!</definedName>
    <definedName name="_Fill" localSheetId="15" hidden="1">#REF!</definedName>
    <definedName name="_Fill" localSheetId="16" hidden="1">#REF!</definedName>
    <definedName name="_Fill" hidden="1">#REF!</definedName>
    <definedName name="_xlnm._FilterDatabase" localSheetId="3" hidden="1">DATABASE!$A$1:$EU$5</definedName>
    <definedName name="_xlnm._FilterDatabase" localSheetId="8" hidden="1">HRP!$B$21:$Z$176</definedName>
    <definedName name="_xlnm._FilterDatabase" localSheetId="5" hidden="1">'Indicator Summary  Eng'!$B$2:$H$73</definedName>
    <definedName name="_xlnm._FilterDatabase" localSheetId="21" hidden="1">Lookup!$A$3:$AA$457</definedName>
    <definedName name="_xlnm._FilterDatabase" localSheetId="12" hidden="1">partners_Q1!$I$1:$J$78</definedName>
    <definedName name="_xlnm._FilterDatabase" localSheetId="14" hidden="1">partners_Q2!$I$1:$J$105</definedName>
    <definedName name="_Key1" localSheetId="17" hidden="1">[1]Data!#REF!</definedName>
    <definedName name="_Key1" localSheetId="19" hidden="1">[1]Data!#REF!</definedName>
    <definedName name="_Key1" localSheetId="7" hidden="1">[1]Data!#REF!</definedName>
    <definedName name="_Key1" localSheetId="5" hidden="1">[1]Data!#REF!</definedName>
    <definedName name="_Key1" localSheetId="15" hidden="1">[1]Data!#REF!</definedName>
    <definedName name="_Key1" localSheetId="16" hidden="1">[1]Data!#REF!</definedName>
    <definedName name="_Key1" hidden="1">[1]Data!#REF!</definedName>
    <definedName name="_Order1" hidden="1">255</definedName>
    <definedName name="_xlcn.WorksheetConnection_20200716_Myanmar_WASH_4W_2020_Q2_KachinShan_camp_Consolidate.xlsxWWWW1" hidden="1">WWWW[]</definedName>
    <definedName name="a" localSheetId="17" hidden="1">#REF!</definedName>
    <definedName name="a" hidden="1">#REF!</definedName>
    <definedName name="b">[2]!SiteDB6[[#Headers],[Township]]</definedName>
    <definedName name="_xlnm.Print_Area" localSheetId="7">'HRP Calculations'!$A$1:$F$11</definedName>
    <definedName name="_xlnm.Print_Area" localSheetId="5">'Indicator Summary  Eng'!$B$1:$G$73</definedName>
    <definedName name="_xlnm.Print_Area" localSheetId="6">'Indicator Summary  MM'!$B$2:$G$72</definedName>
    <definedName name="_xlnm.Print_Area" localSheetId="15">Kachin!$B$1:$T$107</definedName>
    <definedName name="_xlnm.Print_Area" localSheetId="16">'Shan(n)'!$A$1:$T$103</definedName>
    <definedName name="_xlnm.Print_Titles" localSheetId="5">'Indicator Summary  Eng'!$1:$2</definedName>
    <definedName name="_xlnm.Print_Titles" localSheetId="6">'Indicator Summary  MM'!$1:$2</definedName>
    <definedName name="Sasha" localSheetId="17" hidden="1">{#N/A,#N/A,FALSE,"Truck Rent"}</definedName>
    <definedName name="Sasha" localSheetId="7" hidden="1">{#N/A,#N/A,FALSE,"Truck Rent"}</definedName>
    <definedName name="Sasha" localSheetId="5" hidden="1">{#N/A,#N/A,FALSE,"Truck Rent"}</definedName>
    <definedName name="Sasha" hidden="1">{#N/A,#N/A,FALSE,"Truck Rent"}</definedName>
    <definedName name="Slicer_Location_Type">#N/A</definedName>
    <definedName name="Slicer_Location_Type_1">#N/A</definedName>
    <definedName name="Slicer_Location_Type1">#N/A</definedName>
    <definedName name="Slicer_Location_Type2">#N/A</definedName>
    <definedName name="Slicer_Reporting_Period">#N/A</definedName>
    <definedName name="Slicer_State">#N/A</definedName>
    <definedName name="Slicer_State1">#N/A</definedName>
    <definedName name="Slicer_State11">#N/A</definedName>
    <definedName name="Slicer_State2">#N/A</definedName>
    <definedName name="Slicer_State3">#N/A</definedName>
    <definedName name="Slicer_Township">#N/A</definedName>
    <definedName name="Slicer_Township1">#N/A</definedName>
    <definedName name="Slicer_Township2">#N/A</definedName>
    <definedName name="Slicer_Township3">#N/A</definedName>
    <definedName name="Slicer_Township4">#N/A</definedName>
    <definedName name="Slicer_Type_of_accommodation">#N/A</definedName>
    <definedName name="Slicer_WASH_implementing_agency">#N/A</definedName>
    <definedName name="Slicer_WASH_implementing_agency1">#N/A</definedName>
    <definedName name="Slicer_WASH_project_agency">#N/A</definedName>
    <definedName name="Slicer_WASH_project_agency1">#N/A</definedName>
    <definedName name="State_list" localSheetId="17">[3]Lookup!$AB$4:$AB$83</definedName>
    <definedName name="State_list" localSheetId="7">[4]Lookup!$AB$4:$AB$83</definedName>
    <definedName name="State_list">Lookup!$AB$4:$AB$83</definedName>
    <definedName name="Statestart_1" localSheetId="17">[3]Lookup!$AB$3</definedName>
    <definedName name="Statestart_1" localSheetId="7">[4]Lookup!$AB$3</definedName>
    <definedName name="Statestart_1">Lookup!$AB$3</definedName>
    <definedName name="Township_list" localSheetId="17">[3]!SiteDB6[Township]</definedName>
    <definedName name="Township_list" localSheetId="7">[4]!SiteDB6[Township]</definedName>
    <definedName name="Township_list" localSheetId="15">SiteDB6[Township]</definedName>
    <definedName name="Township_list" localSheetId="14">SiteDB6[Township]</definedName>
    <definedName name="Township_list" localSheetId="13">SiteDB6[Township]</definedName>
    <definedName name="Township_list" localSheetId="16">SiteDB6[Township]</definedName>
    <definedName name="Township_list">SiteDB6[Township]</definedName>
    <definedName name="Township_start" localSheetId="17">[3]!SiteDB6[[#Headers],[Township]]</definedName>
    <definedName name="Township_start" localSheetId="7">[4]!SiteDB6[[#Headers],[Township]]</definedName>
    <definedName name="Township_start" localSheetId="15">SiteDB6[[#Headers],[Township]]</definedName>
    <definedName name="Township_start" localSheetId="14">SiteDB6[[#Headers],[Township]]</definedName>
    <definedName name="Township_start" localSheetId="13">SiteDB6[[#Headers],[Township]]</definedName>
    <definedName name="Township_start" localSheetId="16">SiteDB6[[#Headers],[Township]]</definedName>
    <definedName name="Township_start">SiteDB6[[#Headers],[Township]]</definedName>
    <definedName name="TSps">Lookup!$AC$3:$AC$83</definedName>
    <definedName name="wrn.MUSA._.TRUCKS." localSheetId="17" hidden="1">{#N/A,#N/A,FALSE,"Truck Rent"}</definedName>
    <definedName name="wrn.MUSA._.TRUCKS." localSheetId="7" hidden="1">{#N/A,#N/A,FALSE,"Truck Rent"}</definedName>
    <definedName name="wrn.MUSA._.TRUCKS." localSheetId="5" hidden="1">{#N/A,#N/A,FALSE,"Truck Rent"}</definedName>
    <definedName name="wrn.MUSA._.TRUCKS." hidden="1">{#N/A,#N/A,FALSE,"Truck Rent"}</definedName>
  </definedNames>
  <calcPr calcId="191029"/>
  <pivotCaches>
    <pivotCache cacheId="6" r:id="rId30"/>
    <pivotCache cacheId="7" r:id="rId31"/>
    <pivotCache cacheId="8" r:id="rId32"/>
    <pivotCache cacheId="9" r:id="rId33"/>
    <pivotCache cacheId="10" r:id="rId34"/>
    <pivotCache cacheId="11" r:id="rId35"/>
    <pivotCache cacheId="12" r:id="rId36"/>
  </pivotCaches>
  <extLst>
    <ext xmlns:x14="http://schemas.microsoft.com/office/spreadsheetml/2009/9/main" uri="{BBE1A952-AA13-448e-AADC-164F8A28A991}">
      <x14:slicerCaches>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WWWW" name="WWWW" connection="WorksheetConnection_20200716_Myanmar_WASH_4W_2020_Q2_KachinShan_camp_Consolidate.xlsx!WWWW"/>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79" i="89" l="1"/>
  <c r="D282" i="89"/>
  <c r="D281" i="89"/>
  <c r="D280" i="89"/>
  <c r="D278" i="89"/>
  <c r="D277" i="89"/>
  <c r="N73" i="136" l="1"/>
  <c r="M66" i="92"/>
  <c r="G134" i="92"/>
  <c r="L66" i="92"/>
  <c r="AA64" i="92"/>
  <c r="M67" i="92"/>
  <c r="Z64" i="92"/>
  <c r="L68" i="92"/>
  <c r="M68" i="92"/>
  <c r="L67" i="92"/>
  <c r="N47" i="136" l="1"/>
  <c r="L45" i="136" l="1"/>
  <c r="L41" i="136"/>
  <c r="L29" i="136"/>
  <c r="L28" i="136"/>
  <c r="L27" i="136"/>
  <c r="L26" i="136"/>
  <c r="L25" i="136"/>
  <c r="L19" i="136"/>
  <c r="K25" i="136"/>
  <c r="K26" i="136"/>
  <c r="K27" i="136"/>
  <c r="K28" i="136"/>
  <c r="K29" i="136"/>
  <c r="K41" i="136"/>
  <c r="K45" i="136"/>
  <c r="K19" i="136"/>
  <c r="N102" i="136"/>
  <c r="N98" i="136"/>
  <c r="N99" i="136"/>
  <c r="N95" i="136"/>
  <c r="N96" i="136"/>
  <c r="N89" i="136"/>
  <c r="N90" i="136"/>
  <c r="N91" i="136"/>
  <c r="N92" i="136"/>
  <c r="N77" i="136"/>
  <c r="N58" i="136"/>
  <c r="N59" i="136"/>
  <c r="N60" i="136"/>
  <c r="N53" i="136"/>
  <c r="N51" i="136"/>
  <c r="N41" i="136"/>
  <c r="N45" i="136"/>
  <c r="N25" i="136"/>
  <c r="N26" i="136"/>
  <c r="N27" i="136"/>
  <c r="N28" i="136"/>
  <c r="N29" i="136"/>
  <c r="N19" i="136"/>
  <c r="N3" i="136" l="1"/>
  <c r="N87" i="136"/>
  <c r="N2" i="136"/>
  <c r="N4" i="136"/>
  <c r="N5" i="136"/>
  <c r="N6" i="136"/>
  <c r="N7" i="136"/>
  <c r="N8" i="136"/>
  <c r="N9" i="136"/>
  <c r="N10" i="136"/>
  <c r="N11" i="136"/>
  <c r="N12" i="136"/>
  <c r="N13" i="136"/>
  <c r="N14" i="136"/>
  <c r="N15" i="136"/>
  <c r="N16" i="136"/>
  <c r="N17" i="136"/>
  <c r="N18" i="136"/>
  <c r="N20" i="136"/>
  <c r="N21" i="136"/>
  <c r="N22" i="136"/>
  <c r="N23" i="136"/>
  <c r="N24" i="136"/>
  <c r="N30" i="136"/>
  <c r="N31" i="136"/>
  <c r="N32" i="136"/>
  <c r="N33" i="136"/>
  <c r="N34" i="136"/>
  <c r="N35" i="136"/>
  <c r="N36" i="136"/>
  <c r="N37" i="136"/>
  <c r="N38" i="136"/>
  <c r="N39" i="136"/>
  <c r="N40" i="136"/>
  <c r="N42" i="136"/>
  <c r="N43" i="136"/>
  <c r="N44" i="136"/>
  <c r="N46" i="136"/>
  <c r="N48" i="136"/>
  <c r="N49" i="136"/>
  <c r="N50" i="136"/>
  <c r="N52" i="136"/>
  <c r="N54" i="136"/>
  <c r="N55" i="136"/>
  <c r="N56" i="136"/>
  <c r="N57" i="136"/>
  <c r="N61" i="136"/>
  <c r="N62" i="136"/>
  <c r="N63" i="136"/>
  <c r="N64" i="136"/>
  <c r="N65" i="136"/>
  <c r="N66" i="136"/>
  <c r="N67" i="136"/>
  <c r="N68" i="136"/>
  <c r="N69" i="136"/>
  <c r="N70" i="136"/>
  <c r="N71" i="136"/>
  <c r="N72" i="136"/>
  <c r="N74" i="136"/>
  <c r="N75" i="136"/>
  <c r="N76" i="136"/>
  <c r="N78" i="136"/>
  <c r="N79" i="136"/>
  <c r="N80" i="136"/>
  <c r="N81" i="136"/>
  <c r="N82" i="136"/>
  <c r="N83" i="136"/>
  <c r="N84" i="136"/>
  <c r="N85" i="136"/>
  <c r="N86" i="136"/>
  <c r="N88" i="136"/>
  <c r="N93" i="136"/>
  <c r="N94" i="136"/>
  <c r="N97" i="136"/>
  <c r="N100" i="136"/>
  <c r="N101" i="136"/>
  <c r="N103" i="136"/>
  <c r="N104" i="136"/>
  <c r="N105" i="136"/>
  <c r="CM279" i="25" l="1"/>
  <c r="C4" i="129"/>
  <c r="G228" i="25" l="1"/>
  <c r="G226" i="25"/>
  <c r="G221" i="25"/>
  <c r="CE228" i="25"/>
  <c r="CE296" i="25"/>
  <c r="CF228" i="25"/>
  <c r="CF296" i="25"/>
  <c r="CH228" i="25"/>
  <c r="CH296" i="25"/>
  <c r="CI228" i="25"/>
  <c r="CI296" i="25"/>
  <c r="CJ228" i="25"/>
  <c r="CJ296" i="25"/>
  <c r="CK228" i="25"/>
  <c r="CK296" i="25"/>
  <c r="CL228" i="25"/>
  <c r="CL296" i="25"/>
  <c r="CM228" i="25"/>
  <c r="CM296" i="25"/>
  <c r="CN228" i="25"/>
  <c r="CN296" i="25"/>
  <c r="CT228" i="25"/>
  <c r="CU228" i="25" s="1"/>
  <c r="CT296" i="25"/>
  <c r="CU296" i="25" s="1"/>
  <c r="DB228" i="25"/>
  <c r="DB296" i="25"/>
  <c r="DC228" i="25"/>
  <c r="DC296" i="25"/>
  <c r="DG228" i="25"/>
  <c r="DG296" i="25"/>
  <c r="DH228" i="25"/>
  <c r="DH296" i="25"/>
  <c r="DL228" i="25"/>
  <c r="DL296" i="25"/>
  <c r="DM228" i="25"/>
  <c r="DT228" i="25" s="1"/>
  <c r="DM296" i="25"/>
  <c r="DT296" i="25" s="1"/>
  <c r="DN228" i="25"/>
  <c r="DN296" i="25"/>
  <c r="DO228" i="25"/>
  <c r="DO296" i="25"/>
  <c r="DV228" i="25"/>
  <c r="DV296" i="25"/>
  <c r="DW228" i="25"/>
  <c r="DX228" i="25" s="1"/>
  <c r="DW296" i="25"/>
  <c r="DX296" i="25" s="1"/>
  <c r="DY228" i="25"/>
  <c r="DY296" i="25"/>
  <c r="EA228" i="25"/>
  <c r="EA296" i="25"/>
  <c r="EB228" i="25"/>
  <c r="EB296" i="25"/>
  <c r="EC228" i="25"/>
  <c r="EC296" i="25"/>
  <c r="ED228" i="25"/>
  <c r="ED296" i="25"/>
  <c r="EE228" i="25"/>
  <c r="EE296" i="25"/>
  <c r="EI228" i="25"/>
  <c r="EI296" i="25"/>
  <c r="EJ228" i="25"/>
  <c r="EJ296" i="25"/>
  <c r="EK228" i="25"/>
  <c r="EK296" i="25"/>
  <c r="EL228" i="25"/>
  <c r="EL296" i="25"/>
  <c r="EM228" i="25"/>
  <c r="DU228" i="25" s="1"/>
  <c r="EM296" i="25"/>
  <c r="DU296" i="25" s="1"/>
  <c r="EN228" i="25"/>
  <c r="EN296" i="25"/>
  <c r="EO228" i="25"/>
  <c r="EO296" i="25"/>
  <c r="EP228" i="25"/>
  <c r="EP296" i="25"/>
  <c r="EQ228" i="25"/>
  <c r="EQ296" i="25"/>
  <c r="ET228" i="25"/>
  <c r="ET296" i="25"/>
  <c r="EU228" i="25"/>
  <c r="EU296" i="25"/>
  <c r="CE226" i="25"/>
  <c r="CE293" i="25"/>
  <c r="CF226" i="25"/>
  <c r="CF293" i="25"/>
  <c r="CH226" i="25"/>
  <c r="CH293" i="25"/>
  <c r="CI226" i="25"/>
  <c r="CI293" i="25"/>
  <c r="CJ226" i="25"/>
  <c r="CJ293" i="25"/>
  <c r="CK226" i="25"/>
  <c r="CK293" i="25"/>
  <c r="CL226" i="25"/>
  <c r="CL293" i="25"/>
  <c r="CM226" i="25"/>
  <c r="CM293" i="25"/>
  <c r="CN226" i="25"/>
  <c r="CN293" i="25"/>
  <c r="CT226" i="25"/>
  <c r="CT293" i="25"/>
  <c r="CU293" i="25" s="1"/>
  <c r="DB226" i="25"/>
  <c r="DB293" i="25"/>
  <c r="DC226" i="25"/>
  <c r="DC293" i="25"/>
  <c r="DG226" i="25"/>
  <c r="DG293" i="25"/>
  <c r="DH226" i="25"/>
  <c r="DH293" i="25"/>
  <c r="DL226" i="25"/>
  <c r="DL293" i="25"/>
  <c r="DM226" i="25"/>
  <c r="DT226" i="25" s="1"/>
  <c r="DM293" i="25"/>
  <c r="DT293" i="25" s="1"/>
  <c r="DN226" i="25"/>
  <c r="DN293" i="25"/>
  <c r="DO226" i="25"/>
  <c r="DO293" i="25"/>
  <c r="DV226" i="25"/>
  <c r="DV293" i="25"/>
  <c r="DW226" i="25"/>
  <c r="DX226" i="25" s="1"/>
  <c r="DW293" i="25"/>
  <c r="DX293" i="25" s="1"/>
  <c r="DY226" i="25"/>
  <c r="DY293" i="25"/>
  <c r="EA226" i="25"/>
  <c r="EA293" i="25"/>
  <c r="EB226" i="25"/>
  <c r="EB293" i="25"/>
  <c r="EC226" i="25"/>
  <c r="EC293" i="25"/>
  <c r="ED226" i="25"/>
  <c r="ED293" i="25"/>
  <c r="EE226" i="25"/>
  <c r="EE293" i="25"/>
  <c r="EI226" i="25"/>
  <c r="EI293" i="25"/>
  <c r="EJ226" i="25"/>
  <c r="EJ293" i="25"/>
  <c r="EK226" i="25"/>
  <c r="EK293" i="25"/>
  <c r="EL226" i="25"/>
  <c r="EL293" i="25"/>
  <c r="EM226" i="25"/>
  <c r="DU226" i="25" s="1"/>
  <c r="EM293" i="25"/>
  <c r="DU293" i="25" s="1"/>
  <c r="EN226" i="25"/>
  <c r="EN293" i="25"/>
  <c r="EO226" i="25"/>
  <c r="EO293" i="25"/>
  <c r="EP226" i="25"/>
  <c r="EP293" i="25"/>
  <c r="EQ226" i="25"/>
  <c r="EQ293" i="25"/>
  <c r="ET226" i="25"/>
  <c r="ET293" i="25"/>
  <c r="EU226" i="25"/>
  <c r="EU293" i="25"/>
  <c r="CE287" i="25"/>
  <c r="CF287" i="25"/>
  <c r="CH287" i="25"/>
  <c r="CI287" i="25"/>
  <c r="CJ287" i="25"/>
  <c r="CK287" i="25"/>
  <c r="CL287" i="25"/>
  <c r="CM287" i="25"/>
  <c r="CN287" i="25"/>
  <c r="CT287" i="25"/>
  <c r="CU287" i="25" s="1"/>
  <c r="DB287" i="25"/>
  <c r="DC287" i="25"/>
  <c r="DG287" i="25"/>
  <c r="DH287" i="25"/>
  <c r="DL287" i="25"/>
  <c r="DM287" i="25"/>
  <c r="DN287" i="25"/>
  <c r="DO287" i="25"/>
  <c r="DV287" i="25"/>
  <c r="DW287" i="25"/>
  <c r="DX287" i="25" s="1"/>
  <c r="DY287" i="25"/>
  <c r="EA287" i="25"/>
  <c r="EB287" i="25"/>
  <c r="EC287" i="25"/>
  <c r="ED287" i="25"/>
  <c r="EE287" i="25"/>
  <c r="EI287" i="25"/>
  <c r="EJ287" i="25"/>
  <c r="EK287" i="25"/>
  <c r="EL287" i="25"/>
  <c r="EM287" i="25"/>
  <c r="DU287" i="25" s="1"/>
  <c r="EN287" i="25"/>
  <c r="EO287" i="25"/>
  <c r="EP287" i="25"/>
  <c r="EQ287" i="25"/>
  <c r="ET287" i="25"/>
  <c r="EU287" i="25"/>
  <c r="CE285" i="25"/>
  <c r="CF285" i="25"/>
  <c r="CH285" i="25"/>
  <c r="CI285" i="25"/>
  <c r="CJ285" i="25"/>
  <c r="CK285" i="25"/>
  <c r="CL285" i="25"/>
  <c r="CM285" i="25"/>
  <c r="CN285" i="25"/>
  <c r="CT285" i="25"/>
  <c r="CU285" i="25" s="1"/>
  <c r="DB285" i="25"/>
  <c r="DC285" i="25"/>
  <c r="DG285" i="25"/>
  <c r="DH285" i="25"/>
  <c r="DL285" i="25"/>
  <c r="DM285" i="25"/>
  <c r="DT285" i="25" s="1"/>
  <c r="DN285" i="25"/>
  <c r="DO285" i="25"/>
  <c r="DV285" i="25"/>
  <c r="DW285" i="25"/>
  <c r="DX285" i="25" s="1"/>
  <c r="DY285" i="25"/>
  <c r="EA285" i="25"/>
  <c r="EB285" i="25"/>
  <c r="EC285" i="25"/>
  <c r="ED285" i="25"/>
  <c r="EE285" i="25"/>
  <c r="EI285" i="25"/>
  <c r="EJ285" i="25"/>
  <c r="EK285" i="25"/>
  <c r="EL285" i="25"/>
  <c r="EM285" i="25"/>
  <c r="DU285" i="25" s="1"/>
  <c r="EN285" i="25"/>
  <c r="EO285" i="25"/>
  <c r="EP285" i="25"/>
  <c r="EQ285" i="25"/>
  <c r="ET285" i="25"/>
  <c r="EU285" i="25"/>
  <c r="CE283" i="25"/>
  <c r="CF283" i="25"/>
  <c r="CH283" i="25"/>
  <c r="CI283" i="25"/>
  <c r="CJ283" i="25"/>
  <c r="CK283" i="25"/>
  <c r="CL283" i="25"/>
  <c r="CM283" i="25"/>
  <c r="CN283" i="25"/>
  <c r="CT283" i="25"/>
  <c r="CU283" i="25" s="1"/>
  <c r="DB283" i="25"/>
  <c r="DC283" i="25"/>
  <c r="DG283" i="25"/>
  <c r="DH283" i="25"/>
  <c r="DL283" i="25"/>
  <c r="DM283" i="25"/>
  <c r="DT283" i="25" s="1"/>
  <c r="DN283" i="25"/>
  <c r="DO283" i="25"/>
  <c r="DV283" i="25"/>
  <c r="DW283" i="25"/>
  <c r="DX283" i="25" s="1"/>
  <c r="DY283" i="25"/>
  <c r="EA283" i="25"/>
  <c r="EB283" i="25"/>
  <c r="EC283" i="25"/>
  <c r="ED283" i="25"/>
  <c r="EE283" i="25"/>
  <c r="EI283" i="25"/>
  <c r="EJ283" i="25"/>
  <c r="EK283" i="25"/>
  <c r="EL283" i="25"/>
  <c r="EM283" i="25"/>
  <c r="DU283" i="25" s="1"/>
  <c r="EN283" i="25"/>
  <c r="EO283" i="25"/>
  <c r="EP283" i="25"/>
  <c r="EQ283" i="25"/>
  <c r="ET283" i="25"/>
  <c r="EU283" i="25"/>
  <c r="CE221" i="25"/>
  <c r="CF221" i="25"/>
  <c r="CH221" i="25"/>
  <c r="CI221" i="25"/>
  <c r="CJ221" i="25"/>
  <c r="CK221" i="25"/>
  <c r="CL221" i="25"/>
  <c r="CM221" i="25"/>
  <c r="CN221" i="25"/>
  <c r="CT221" i="25"/>
  <c r="CU221" i="25" s="1"/>
  <c r="DB221" i="25"/>
  <c r="DC221" i="25"/>
  <c r="DG221" i="25"/>
  <c r="DH221" i="25"/>
  <c r="DL221" i="25"/>
  <c r="DM221" i="25"/>
  <c r="DT221" i="25" s="1"/>
  <c r="DN221" i="25"/>
  <c r="DO221" i="25"/>
  <c r="DV221" i="25"/>
  <c r="DW221" i="25"/>
  <c r="DX221" i="25" s="1"/>
  <c r="DY221" i="25"/>
  <c r="EA221" i="25"/>
  <c r="EB221" i="25"/>
  <c r="EC221" i="25"/>
  <c r="ED221" i="25"/>
  <c r="EE221" i="25"/>
  <c r="EI221" i="25"/>
  <c r="EJ221" i="25"/>
  <c r="EK221" i="25"/>
  <c r="EL221" i="25"/>
  <c r="EM221" i="25"/>
  <c r="DU221" i="25" s="1"/>
  <c r="EN221" i="25"/>
  <c r="EO221" i="25"/>
  <c r="EP221" i="25"/>
  <c r="EQ221" i="25"/>
  <c r="ET221" i="25"/>
  <c r="EU221" i="25"/>
  <c r="G279" i="25"/>
  <c r="CE282" i="25"/>
  <c r="CF282" i="25"/>
  <c r="CH282" i="25"/>
  <c r="CI282" i="25"/>
  <c r="CJ282" i="25"/>
  <c r="CK282" i="25"/>
  <c r="CL282" i="25"/>
  <c r="CM282" i="25"/>
  <c r="CN282" i="25"/>
  <c r="CT282" i="25"/>
  <c r="CU282" i="25" s="1"/>
  <c r="DB282" i="25"/>
  <c r="DC282" i="25"/>
  <c r="DG282" i="25"/>
  <c r="DH282" i="25"/>
  <c r="DL282" i="25"/>
  <c r="DM282" i="25"/>
  <c r="DT282" i="25" s="1"/>
  <c r="DN282" i="25"/>
  <c r="DO282" i="25"/>
  <c r="DV282" i="25"/>
  <c r="DW282" i="25"/>
  <c r="DX282" i="25" s="1"/>
  <c r="DY282" i="25"/>
  <c r="EA282" i="25"/>
  <c r="EB282" i="25"/>
  <c r="EC282" i="25"/>
  <c r="ED282" i="25"/>
  <c r="EE282" i="25"/>
  <c r="EI282" i="25"/>
  <c r="EJ282" i="25"/>
  <c r="EK282" i="25"/>
  <c r="EL282" i="25"/>
  <c r="EM282" i="25"/>
  <c r="DU282" i="25" s="1"/>
  <c r="EN282" i="25"/>
  <c r="EO282" i="25"/>
  <c r="EP282" i="25"/>
  <c r="EQ282" i="25"/>
  <c r="ET282" i="25"/>
  <c r="EU282" i="25"/>
  <c r="CE279" i="25"/>
  <c r="CF279" i="25"/>
  <c r="CH279" i="25"/>
  <c r="CI279" i="25"/>
  <c r="CJ279" i="25"/>
  <c r="CK279" i="25"/>
  <c r="CL279" i="25"/>
  <c r="CN279" i="25"/>
  <c r="CT279" i="25"/>
  <c r="CU279" i="25" s="1"/>
  <c r="DB279" i="25"/>
  <c r="DC279" i="25"/>
  <c r="DG279" i="25"/>
  <c r="EG279" i="25" s="1"/>
  <c r="DH279" i="25"/>
  <c r="DL279" i="25"/>
  <c r="DM279" i="25"/>
  <c r="DT279" i="25" s="1"/>
  <c r="DN279" i="25"/>
  <c r="DO279" i="25"/>
  <c r="DV279" i="25"/>
  <c r="DW279" i="25"/>
  <c r="DX279" i="25" s="1"/>
  <c r="DY279" i="25"/>
  <c r="EA279" i="25"/>
  <c r="EB279" i="25"/>
  <c r="EC279" i="25"/>
  <c r="ED279" i="25"/>
  <c r="EE279" i="25"/>
  <c r="EI279" i="25"/>
  <c r="EJ279" i="25"/>
  <c r="EK279" i="25"/>
  <c r="DF279" i="25" s="1"/>
  <c r="EL279" i="25"/>
  <c r="EM279" i="25"/>
  <c r="DU279" i="25" s="1"/>
  <c r="EN279" i="25"/>
  <c r="EO279" i="25"/>
  <c r="EP279" i="25"/>
  <c r="EQ279" i="25"/>
  <c r="ET279" i="25"/>
  <c r="EU279" i="25"/>
  <c r="EG287" i="25" l="1"/>
  <c r="EF296" i="25"/>
  <c r="DP228" i="25"/>
  <c r="DQ228" i="25" s="1"/>
  <c r="DR228" i="25" s="1"/>
  <c r="DS228" i="25" s="1"/>
  <c r="EH228" i="25"/>
  <c r="CG228" i="25"/>
  <c r="DP296" i="25"/>
  <c r="DQ296" i="25" s="1"/>
  <c r="DR296" i="25" s="1"/>
  <c r="DS296" i="25" s="1"/>
  <c r="EH296" i="25"/>
  <c r="CP226" i="25"/>
  <c r="CR226" i="25" s="1"/>
  <c r="CS226" i="25" s="1"/>
  <c r="EH226" i="25"/>
  <c r="EF228" i="25"/>
  <c r="CQ226" i="25"/>
  <c r="EG226" i="25"/>
  <c r="EH293" i="25"/>
  <c r="DP226" i="25"/>
  <c r="DQ226" i="25" s="1"/>
  <c r="DR226" i="25" s="1"/>
  <c r="DS226" i="25" s="1"/>
  <c r="EF287" i="25"/>
  <c r="CP228" i="25"/>
  <c r="CR228" i="25" s="1"/>
  <c r="CS228" i="25" s="1"/>
  <c r="CW228" i="25" s="1"/>
  <c r="CX228" i="25" s="1"/>
  <c r="DA228" i="25" s="1"/>
  <c r="CG296" i="25"/>
  <c r="EG296" i="25"/>
  <c r="CQ296" i="25"/>
  <c r="DE283" i="25"/>
  <c r="DD283" i="25" s="1"/>
  <c r="DK283" i="25" s="1"/>
  <c r="EG228" i="25"/>
  <c r="CP296" i="25"/>
  <c r="CR296" i="25" s="1"/>
  <c r="CS296" i="25" s="1"/>
  <c r="CW296" i="25" s="1"/>
  <c r="CX296" i="25" s="1"/>
  <c r="DA296" i="25" s="1"/>
  <c r="EF226" i="25"/>
  <c r="DP287" i="25"/>
  <c r="DQ287" i="25" s="1"/>
  <c r="DR287" i="25" s="1"/>
  <c r="DS287" i="25" s="1"/>
  <c r="CQ228" i="25"/>
  <c r="DE287" i="25"/>
  <c r="DD287" i="25" s="1"/>
  <c r="DK287" i="25" s="1"/>
  <c r="DZ287" i="25"/>
  <c r="DZ228" i="25"/>
  <c r="CG293" i="25"/>
  <c r="DZ296" i="25"/>
  <c r="DF296" i="25"/>
  <c r="CG226" i="25"/>
  <c r="DF228" i="25"/>
  <c r="DI296" i="25"/>
  <c r="DJ296" i="25" s="1"/>
  <c r="DE296" i="25"/>
  <c r="DD296" i="25" s="1"/>
  <c r="DK296" i="25" s="1"/>
  <c r="DZ226" i="25"/>
  <c r="DI228" i="25"/>
  <c r="DJ228" i="25" s="1"/>
  <c r="DE228" i="25"/>
  <c r="DD228" i="25" s="1"/>
  <c r="DK228" i="25" s="1"/>
  <c r="CP287" i="25"/>
  <c r="CR287" i="25" s="1"/>
  <c r="DP293" i="25"/>
  <c r="DQ293" i="25" s="1"/>
  <c r="DR293" i="25" s="1"/>
  <c r="DS293" i="25" s="1"/>
  <c r="EG293" i="25"/>
  <c r="CP293" i="25"/>
  <c r="CR293" i="25" s="1"/>
  <c r="EF221" i="25"/>
  <c r="EF293" i="25"/>
  <c r="CQ293" i="25"/>
  <c r="CU226" i="25"/>
  <c r="EH285" i="25"/>
  <c r="DZ293" i="25"/>
  <c r="DF293" i="25"/>
  <c r="EG283" i="25"/>
  <c r="DE285" i="25"/>
  <c r="DD285" i="25" s="1"/>
  <c r="DK285" i="25" s="1"/>
  <c r="CG287" i="25"/>
  <c r="DF226" i="25"/>
  <c r="DI293" i="25"/>
  <c r="DJ293" i="25" s="1"/>
  <c r="DE293" i="25"/>
  <c r="DD293" i="25" s="1"/>
  <c r="DK293" i="25" s="1"/>
  <c r="EH283" i="25"/>
  <c r="EH287" i="25"/>
  <c r="DI226" i="25"/>
  <c r="DJ226" i="25" s="1"/>
  <c r="DE226" i="25"/>
  <c r="DD226" i="25" s="1"/>
  <c r="DK226" i="25" s="1"/>
  <c r="EF285" i="25"/>
  <c r="DT287" i="25"/>
  <c r="DI287" i="25"/>
  <c r="DJ287" i="25" s="1"/>
  <c r="CP285" i="25"/>
  <c r="CR285" i="25" s="1"/>
  <c r="DP285" i="25"/>
  <c r="DQ285" i="25" s="1"/>
  <c r="DR285" i="25" s="1"/>
  <c r="DS285" i="25" s="1"/>
  <c r="CQ287" i="25"/>
  <c r="DP283" i="25"/>
  <c r="DQ283" i="25" s="1"/>
  <c r="DR283" i="25" s="1"/>
  <c r="DS283" i="25" s="1"/>
  <c r="CG285" i="25"/>
  <c r="DF287" i="25"/>
  <c r="EG285" i="25"/>
  <c r="CQ285" i="25"/>
  <c r="DZ285" i="25"/>
  <c r="EF283" i="25"/>
  <c r="CP283" i="25"/>
  <c r="CR283" i="25" s="1"/>
  <c r="CS283" i="25" s="1"/>
  <c r="CW283" i="25" s="1"/>
  <c r="CX283" i="25" s="1"/>
  <c r="DA283" i="25" s="1"/>
  <c r="DI285" i="25"/>
  <c r="DJ285" i="25" s="1"/>
  <c r="DP221" i="25"/>
  <c r="DQ221" i="25" s="1"/>
  <c r="DR221" i="25" s="1"/>
  <c r="DS221" i="25" s="1"/>
  <c r="CG283" i="25"/>
  <c r="DF285" i="25"/>
  <c r="DZ283" i="25"/>
  <c r="DE221" i="25"/>
  <c r="DD221" i="25" s="1"/>
  <c r="DK221" i="25" s="1"/>
  <c r="EG221" i="25"/>
  <c r="DI283" i="25"/>
  <c r="DJ283" i="25" s="1"/>
  <c r="CP221" i="25"/>
  <c r="CR221" i="25" s="1"/>
  <c r="CG221" i="25"/>
  <c r="CQ283" i="25"/>
  <c r="EH221" i="25"/>
  <c r="DF283" i="25"/>
  <c r="CQ221" i="25"/>
  <c r="DZ221" i="25"/>
  <c r="DI221" i="25"/>
  <c r="DJ221" i="25" s="1"/>
  <c r="DF221" i="25"/>
  <c r="DP282" i="25"/>
  <c r="DQ282" i="25" s="1"/>
  <c r="DR282" i="25" s="1"/>
  <c r="DS282" i="25" s="1"/>
  <c r="EH282" i="25"/>
  <c r="CG282" i="25"/>
  <c r="DZ279" i="25"/>
  <c r="EH279" i="25"/>
  <c r="EF282" i="25"/>
  <c r="EG282" i="25"/>
  <c r="DZ282" i="25"/>
  <c r="CP282" i="25"/>
  <c r="CR282" i="25" s="1"/>
  <c r="CV282" i="25" s="1"/>
  <c r="CY282" i="25" s="1"/>
  <c r="CZ282" i="25" s="1"/>
  <c r="CQ282" i="25"/>
  <c r="DF282" i="25"/>
  <c r="DI282" i="25"/>
  <c r="DJ282" i="25" s="1"/>
  <c r="DE282" i="25"/>
  <c r="DD282" i="25" s="1"/>
  <c r="DK282" i="25" s="1"/>
  <c r="DP279" i="25"/>
  <c r="DQ279" i="25" s="1"/>
  <c r="DR279" i="25" s="1"/>
  <c r="DS279" i="25" s="1"/>
  <c r="CG279" i="25"/>
  <c r="DE279" i="25"/>
  <c r="DD279" i="25" s="1"/>
  <c r="DK279" i="25" s="1"/>
  <c r="CP279" i="25"/>
  <c r="CR279" i="25" s="1"/>
  <c r="CS279" i="25" s="1"/>
  <c r="CW279" i="25" s="1"/>
  <c r="CX279" i="25" s="1"/>
  <c r="DA279" i="25" s="1"/>
  <c r="EF279" i="25"/>
  <c r="CQ279" i="25"/>
  <c r="DI279" i="25"/>
  <c r="DJ279" i="25" s="1"/>
  <c r="CS221" i="25" l="1"/>
  <c r="CW221" i="25" s="1"/>
  <c r="CX221" i="25" s="1"/>
  <c r="DA221" i="25" s="1"/>
  <c r="CW226" i="25"/>
  <c r="CX226" i="25" s="1"/>
  <c r="DA226" i="25" s="1"/>
  <c r="CV226" i="25"/>
  <c r="CY226" i="25" s="1"/>
  <c r="CZ226" i="25" s="1"/>
  <c r="CV228" i="25"/>
  <c r="CY228" i="25" s="1"/>
  <c r="CZ228" i="25" s="1"/>
  <c r="CV296" i="25"/>
  <c r="CY296" i="25" s="1"/>
  <c r="CZ296" i="25" s="1"/>
  <c r="CS293" i="25"/>
  <c r="CW293" i="25" s="1"/>
  <c r="CX293" i="25" s="1"/>
  <c r="DA293" i="25" s="1"/>
  <c r="CV293" i="25"/>
  <c r="CY293" i="25" s="1"/>
  <c r="CZ293" i="25" s="1"/>
  <c r="CV287" i="25"/>
  <c r="CY287" i="25" s="1"/>
  <c r="CZ287" i="25" s="1"/>
  <c r="CS287" i="25"/>
  <c r="CW287" i="25" s="1"/>
  <c r="CX287" i="25" s="1"/>
  <c r="DA287" i="25" s="1"/>
  <c r="CV285" i="25"/>
  <c r="CY285" i="25" s="1"/>
  <c r="CZ285" i="25" s="1"/>
  <c r="CS285" i="25"/>
  <c r="CW285" i="25" s="1"/>
  <c r="CX285" i="25" s="1"/>
  <c r="DA285" i="25" s="1"/>
  <c r="CV283" i="25"/>
  <c r="CY283" i="25" s="1"/>
  <c r="CZ283" i="25" s="1"/>
  <c r="CV221" i="25"/>
  <c r="CY221" i="25" s="1"/>
  <c r="CZ221" i="25" s="1"/>
  <c r="CS282" i="25"/>
  <c r="CW282" i="25" s="1"/>
  <c r="CX282" i="25" s="1"/>
  <c r="DA282" i="25" s="1"/>
  <c r="CV279" i="25"/>
  <c r="CY279" i="25" s="1"/>
  <c r="CZ279" i="25" s="1"/>
  <c r="G357" i="25" l="1"/>
  <c r="G320" i="25"/>
  <c r="G319" i="25"/>
  <c r="G318" i="25"/>
  <c r="G264" i="25"/>
  <c r="G354" i="25"/>
  <c r="G316" i="25"/>
  <c r="G242" i="25"/>
  <c r="G325" i="25"/>
  <c r="G324" i="25"/>
  <c r="G266" i="25"/>
  <c r="G349" i="25"/>
  <c r="G272" i="25"/>
  <c r="G236" i="25"/>
  <c r="G265" i="25"/>
  <c r="G262" i="25"/>
  <c r="G263" i="25"/>
  <c r="G230" i="25"/>
  <c r="G342" i="25"/>
  <c r="G339" i="25"/>
  <c r="G338" i="25"/>
  <c r="G334" i="25"/>
  <c r="G313" i="25"/>
  <c r="G308" i="25"/>
  <c r="G303" i="25"/>
  <c r="G302" i="25"/>
  <c r="G301" i="25"/>
  <c r="G299" i="25"/>
  <c r="G297" i="25"/>
  <c r="CE320" i="25"/>
  <c r="CE357" i="25"/>
  <c r="CF320" i="25"/>
  <c r="CF357" i="25"/>
  <c r="CH320" i="25"/>
  <c r="CH357" i="25"/>
  <c r="CI320" i="25"/>
  <c r="CI357" i="25"/>
  <c r="CJ320" i="25"/>
  <c r="CJ357" i="25"/>
  <c r="CK320" i="25"/>
  <c r="CK357" i="25"/>
  <c r="CL320" i="25"/>
  <c r="CL357" i="25"/>
  <c r="CM320" i="25"/>
  <c r="CM357" i="25"/>
  <c r="CN320" i="25"/>
  <c r="CN357" i="25"/>
  <c r="CT320" i="25"/>
  <c r="CU320" i="25" s="1"/>
  <c r="CT357" i="25"/>
  <c r="CU357" i="25" s="1"/>
  <c r="DB320" i="25"/>
  <c r="DB357" i="25"/>
  <c r="DC320" i="25"/>
  <c r="DC357" i="25"/>
  <c r="DG320" i="25"/>
  <c r="DG357" i="25"/>
  <c r="DH320" i="25"/>
  <c r="DH357" i="25"/>
  <c r="DL320" i="25"/>
  <c r="DL357" i="25"/>
  <c r="DM320" i="25"/>
  <c r="DT320" i="25" s="1"/>
  <c r="DM357" i="25"/>
  <c r="DT357" i="25" s="1"/>
  <c r="DN320" i="25"/>
  <c r="DN357" i="25"/>
  <c r="DO320" i="25"/>
  <c r="DO357" i="25"/>
  <c r="DV320" i="25"/>
  <c r="DV357" i="25"/>
  <c r="DW320" i="25"/>
  <c r="DX320" i="25" s="1"/>
  <c r="DW357" i="25"/>
  <c r="DX357" i="25" s="1"/>
  <c r="DY320" i="25"/>
  <c r="DY357" i="25"/>
  <c r="EA320" i="25"/>
  <c r="EA357" i="25"/>
  <c r="EB320" i="25"/>
  <c r="EB357" i="25"/>
  <c r="EC320" i="25"/>
  <c r="EC357" i="25"/>
  <c r="ED320" i="25"/>
  <c r="ED357" i="25"/>
  <c r="EE320" i="25"/>
  <c r="EE357" i="25"/>
  <c r="EI320" i="25"/>
  <c r="EI357" i="25"/>
  <c r="EJ320" i="25"/>
  <c r="EJ357" i="25"/>
  <c r="EK320" i="25"/>
  <c r="EK357" i="25"/>
  <c r="EL320" i="25"/>
  <c r="EL357" i="25"/>
  <c r="EM320" i="25"/>
  <c r="DU320" i="25" s="1"/>
  <c r="EM357" i="25"/>
  <c r="DU357" i="25" s="1"/>
  <c r="EN320" i="25"/>
  <c r="EN357" i="25"/>
  <c r="EO320" i="25"/>
  <c r="EO357" i="25"/>
  <c r="EP320" i="25"/>
  <c r="EP357" i="25"/>
  <c r="EQ320" i="25"/>
  <c r="EQ357" i="25"/>
  <c r="ET320" i="25"/>
  <c r="ET357" i="25"/>
  <c r="EU320" i="25"/>
  <c r="EU357" i="25"/>
  <c r="CE319" i="25"/>
  <c r="CF319" i="25"/>
  <c r="CH319" i="25"/>
  <c r="CI319" i="25"/>
  <c r="CJ319" i="25"/>
  <c r="CK319" i="25"/>
  <c r="CL319" i="25"/>
  <c r="CM319" i="25"/>
  <c r="CN319" i="25"/>
  <c r="CT319" i="25"/>
  <c r="CU319" i="25" s="1"/>
  <c r="DB319" i="25"/>
  <c r="DC319" i="25"/>
  <c r="DG319" i="25"/>
  <c r="DH319" i="25"/>
  <c r="DL319" i="25"/>
  <c r="DM319" i="25"/>
  <c r="DT319" i="25" s="1"/>
  <c r="DN319" i="25"/>
  <c r="DO319" i="25"/>
  <c r="DV319" i="25"/>
  <c r="DW319" i="25"/>
  <c r="DX319" i="25" s="1"/>
  <c r="DY319" i="25"/>
  <c r="EA319" i="25"/>
  <c r="EB319" i="25"/>
  <c r="EC319" i="25"/>
  <c r="ED319" i="25"/>
  <c r="EE319" i="25"/>
  <c r="EI319" i="25"/>
  <c r="EJ319" i="25"/>
  <c r="EK319" i="25"/>
  <c r="EL319" i="25"/>
  <c r="EM319" i="25"/>
  <c r="DU319" i="25" s="1"/>
  <c r="EN319" i="25"/>
  <c r="EO319" i="25"/>
  <c r="EP319" i="25"/>
  <c r="EQ319" i="25"/>
  <c r="ET319" i="25"/>
  <c r="EU319" i="25"/>
  <c r="CE318" i="25"/>
  <c r="CF318" i="25"/>
  <c r="CH318" i="25"/>
  <c r="CI318" i="25"/>
  <c r="CJ318" i="25"/>
  <c r="CK318" i="25"/>
  <c r="CL318" i="25"/>
  <c r="CM318" i="25"/>
  <c r="CN318" i="25"/>
  <c r="CT318" i="25"/>
  <c r="CU318" i="25" s="1"/>
  <c r="DB318" i="25"/>
  <c r="DC318" i="25"/>
  <c r="DG318" i="25"/>
  <c r="DH318" i="25"/>
  <c r="DL318" i="25"/>
  <c r="DM318" i="25"/>
  <c r="DT318" i="25" s="1"/>
  <c r="DN318" i="25"/>
  <c r="DO318" i="25"/>
  <c r="DV318" i="25"/>
  <c r="DW318" i="25"/>
  <c r="DX318" i="25" s="1"/>
  <c r="DY318" i="25"/>
  <c r="EA318" i="25"/>
  <c r="EB318" i="25"/>
  <c r="EC318" i="25"/>
  <c r="ED318" i="25"/>
  <c r="EE318" i="25"/>
  <c r="EI318" i="25"/>
  <c r="EJ318" i="25"/>
  <c r="EK318" i="25"/>
  <c r="EL318" i="25"/>
  <c r="EM318" i="25"/>
  <c r="DU318" i="25" s="1"/>
  <c r="EN318" i="25"/>
  <c r="EO318" i="25"/>
  <c r="EP318" i="25"/>
  <c r="EQ318" i="25"/>
  <c r="ET318" i="25"/>
  <c r="EU318" i="25"/>
  <c r="CE264" i="25"/>
  <c r="CF264" i="25"/>
  <c r="CH264" i="25"/>
  <c r="CI264" i="25"/>
  <c r="CJ264" i="25"/>
  <c r="CK264" i="25"/>
  <c r="CL264" i="25"/>
  <c r="CM264" i="25"/>
  <c r="CN264" i="25"/>
  <c r="CT264" i="25"/>
  <c r="CU264" i="25" s="1"/>
  <c r="DB264" i="25"/>
  <c r="DC264" i="25"/>
  <c r="DG264" i="25"/>
  <c r="DH264" i="25"/>
  <c r="DL264" i="25"/>
  <c r="DM264" i="25"/>
  <c r="DT264" i="25" s="1"/>
  <c r="DN264" i="25"/>
  <c r="DO264" i="25"/>
  <c r="DV264" i="25"/>
  <c r="DW264" i="25"/>
  <c r="DZ264" i="25" s="1"/>
  <c r="DY264" i="25"/>
  <c r="EA264" i="25"/>
  <c r="EB264" i="25"/>
  <c r="EC264" i="25"/>
  <c r="ED264" i="25"/>
  <c r="EE264" i="25"/>
  <c r="EI264" i="25"/>
  <c r="EJ264" i="25"/>
  <c r="EK264" i="25"/>
  <c r="EL264" i="25"/>
  <c r="EM264" i="25"/>
  <c r="DU264" i="25" s="1"/>
  <c r="EN264" i="25"/>
  <c r="EO264" i="25"/>
  <c r="EP264" i="25"/>
  <c r="EQ264" i="25"/>
  <c r="ET264" i="25"/>
  <c r="EU264" i="25"/>
  <c r="CE316" i="25"/>
  <c r="CE354" i="25"/>
  <c r="CF316" i="25"/>
  <c r="CF354" i="25"/>
  <c r="CH316" i="25"/>
  <c r="CH354" i="25"/>
  <c r="CI316" i="25"/>
  <c r="CI354" i="25"/>
  <c r="CJ316" i="25"/>
  <c r="CJ354" i="25"/>
  <c r="CK316" i="25"/>
  <c r="CK354" i="25"/>
  <c r="CL316" i="25"/>
  <c r="CL354" i="25"/>
  <c r="CM316" i="25"/>
  <c r="CM354" i="25"/>
  <c r="CN316" i="25"/>
  <c r="CN354" i="25"/>
  <c r="CT316" i="25"/>
  <c r="CU316" i="25" s="1"/>
  <c r="CT354" i="25"/>
  <c r="CU354" i="25" s="1"/>
  <c r="DB316" i="25"/>
  <c r="DB354" i="25"/>
  <c r="DC316" i="25"/>
  <c r="DC354" i="25"/>
  <c r="DG316" i="25"/>
  <c r="DG354" i="25"/>
  <c r="DH316" i="25"/>
  <c r="DH354" i="25"/>
  <c r="DL316" i="25"/>
  <c r="DL354" i="25"/>
  <c r="DM316" i="25"/>
  <c r="DT316" i="25" s="1"/>
  <c r="DM354" i="25"/>
  <c r="DT354" i="25" s="1"/>
  <c r="DN316" i="25"/>
  <c r="DN354" i="25"/>
  <c r="DO316" i="25"/>
  <c r="DO354" i="25"/>
  <c r="DV316" i="25"/>
  <c r="DV354" i="25"/>
  <c r="DW316" i="25"/>
  <c r="DZ316" i="25" s="1"/>
  <c r="DW354" i="25"/>
  <c r="DX354" i="25" s="1"/>
  <c r="DY316" i="25"/>
  <c r="DY354" i="25"/>
  <c r="EA316" i="25"/>
  <c r="EA354" i="25"/>
  <c r="EB316" i="25"/>
  <c r="EB354" i="25"/>
  <c r="EC316" i="25"/>
  <c r="EC354" i="25"/>
  <c r="ED316" i="25"/>
  <c r="ED354" i="25"/>
  <c r="EE316" i="25"/>
  <c r="EE354" i="25"/>
  <c r="EI316" i="25"/>
  <c r="EI354" i="25"/>
  <c r="EJ316" i="25"/>
  <c r="EJ354" i="25"/>
  <c r="EK316" i="25"/>
  <c r="EK354" i="25"/>
  <c r="EL316" i="25"/>
  <c r="EL354" i="25"/>
  <c r="EM316" i="25"/>
  <c r="DU316" i="25" s="1"/>
  <c r="EM354" i="25"/>
  <c r="DU354" i="25" s="1"/>
  <c r="EN316" i="25"/>
  <c r="EN354" i="25"/>
  <c r="EO316" i="25"/>
  <c r="EO354" i="25"/>
  <c r="EP316" i="25"/>
  <c r="EP354" i="25"/>
  <c r="EQ316" i="25"/>
  <c r="EQ354" i="25"/>
  <c r="ET316" i="25"/>
  <c r="ET354" i="25"/>
  <c r="EU316" i="25"/>
  <c r="EU354" i="25"/>
  <c r="CE242" i="25"/>
  <c r="CF242" i="25"/>
  <c r="CH242" i="25"/>
  <c r="CI242" i="25"/>
  <c r="CJ242" i="25"/>
  <c r="CK242" i="25"/>
  <c r="CL242" i="25"/>
  <c r="CM242" i="25"/>
  <c r="CN242" i="25"/>
  <c r="CT242" i="25"/>
  <c r="CU242" i="25" s="1"/>
  <c r="DB242" i="25"/>
  <c r="DC242" i="25"/>
  <c r="DG242" i="25"/>
  <c r="DH242" i="25"/>
  <c r="DL242" i="25"/>
  <c r="DM242" i="25"/>
  <c r="DT242" i="25" s="1"/>
  <c r="DN242" i="25"/>
  <c r="DO242" i="25"/>
  <c r="DV242" i="25"/>
  <c r="DW242" i="25"/>
  <c r="DX242" i="25" s="1"/>
  <c r="DY242" i="25"/>
  <c r="EA242" i="25"/>
  <c r="EB242" i="25"/>
  <c r="EC242" i="25"/>
  <c r="ED242" i="25"/>
  <c r="EE242" i="25"/>
  <c r="EI242" i="25"/>
  <c r="EJ242" i="25"/>
  <c r="EK242" i="25"/>
  <c r="EL242" i="25"/>
  <c r="EM242" i="25"/>
  <c r="DU242" i="25" s="1"/>
  <c r="EN242" i="25"/>
  <c r="EO242" i="25"/>
  <c r="EP242" i="25"/>
  <c r="EQ242" i="25"/>
  <c r="ET242" i="25"/>
  <c r="EU242" i="25"/>
  <c r="CE266" i="25"/>
  <c r="CE324" i="25"/>
  <c r="CE325" i="25"/>
  <c r="CF266" i="25"/>
  <c r="CF324" i="25"/>
  <c r="CF325" i="25"/>
  <c r="CH266" i="25"/>
  <c r="CH324" i="25"/>
  <c r="CH325" i="25"/>
  <c r="CI266" i="25"/>
  <c r="CI324" i="25"/>
  <c r="CI325" i="25"/>
  <c r="CJ266" i="25"/>
  <c r="CJ324" i="25"/>
  <c r="CJ325" i="25"/>
  <c r="CK266" i="25"/>
  <c r="CK324" i="25"/>
  <c r="CK325" i="25"/>
  <c r="CL266" i="25"/>
  <c r="CL324" i="25"/>
  <c r="CL325" i="25"/>
  <c r="CM266" i="25"/>
  <c r="CM324" i="25"/>
  <c r="CM325" i="25"/>
  <c r="CN266" i="25"/>
  <c r="CN324" i="25"/>
  <c r="CN325" i="25"/>
  <c r="CT266" i="25"/>
  <c r="CU266" i="25" s="1"/>
  <c r="CT324" i="25"/>
  <c r="CT325" i="25"/>
  <c r="CU325" i="25" s="1"/>
  <c r="DB266" i="25"/>
  <c r="DB324" i="25"/>
  <c r="DB325" i="25"/>
  <c r="DC266" i="25"/>
  <c r="DC324" i="25"/>
  <c r="DC325" i="25"/>
  <c r="DG266" i="25"/>
  <c r="DG324" i="25"/>
  <c r="DG325" i="25"/>
  <c r="DH266" i="25"/>
  <c r="DH324" i="25"/>
  <c r="DH325" i="25"/>
  <c r="DL266" i="25"/>
  <c r="DL324" i="25"/>
  <c r="DL325" i="25"/>
  <c r="DM266" i="25"/>
  <c r="DT266" i="25" s="1"/>
  <c r="DM324" i="25"/>
  <c r="DT324" i="25" s="1"/>
  <c r="DM325" i="25"/>
  <c r="DN266" i="25"/>
  <c r="DN324" i="25"/>
  <c r="DN325" i="25"/>
  <c r="DO266" i="25"/>
  <c r="DO324" i="25"/>
  <c r="DO325" i="25"/>
  <c r="DV266" i="25"/>
  <c r="DV324" i="25"/>
  <c r="DV325" i="25"/>
  <c r="DW266" i="25"/>
  <c r="DX266" i="25" s="1"/>
  <c r="DW324" i="25"/>
  <c r="DX324" i="25" s="1"/>
  <c r="DW325" i="25"/>
  <c r="DZ325" i="25" s="1"/>
  <c r="DY266" i="25"/>
  <c r="DY324" i="25"/>
  <c r="DY325" i="25"/>
  <c r="EA266" i="25"/>
  <c r="EA324" i="25"/>
  <c r="EA325" i="25"/>
  <c r="EB266" i="25"/>
  <c r="EB324" i="25"/>
  <c r="EB325" i="25"/>
  <c r="EC266" i="25"/>
  <c r="EC324" i="25"/>
  <c r="EC325" i="25"/>
  <c r="ED266" i="25"/>
  <c r="ED324" i="25"/>
  <c r="ED325" i="25"/>
  <c r="EE266" i="25"/>
  <c r="EE324" i="25"/>
  <c r="EE325" i="25"/>
  <c r="EI266" i="25"/>
  <c r="EI324" i="25"/>
  <c r="EI325" i="25"/>
  <c r="EJ266" i="25"/>
  <c r="EJ324" i="25"/>
  <c r="EJ325" i="25"/>
  <c r="EK266" i="25"/>
  <c r="EK324" i="25"/>
  <c r="DI324" i="25" s="1"/>
  <c r="DJ324" i="25" s="1"/>
  <c r="EK325" i="25"/>
  <c r="DF325" i="25" s="1"/>
  <c r="EL266" i="25"/>
  <c r="EL324" i="25"/>
  <c r="EL325" i="25"/>
  <c r="EM266" i="25"/>
  <c r="DU266" i="25" s="1"/>
  <c r="EM324" i="25"/>
  <c r="DU324" i="25" s="1"/>
  <c r="EM325" i="25"/>
  <c r="DU325" i="25" s="1"/>
  <c r="EN266" i="25"/>
  <c r="EN324" i="25"/>
  <c r="EN325" i="25"/>
  <c r="EO266" i="25"/>
  <c r="EO324" i="25"/>
  <c r="EO325" i="25"/>
  <c r="EP266" i="25"/>
  <c r="EP324" i="25"/>
  <c r="EP325" i="25"/>
  <c r="EQ266" i="25"/>
  <c r="EQ324" i="25"/>
  <c r="EQ325" i="25"/>
  <c r="ET266" i="25"/>
  <c r="ET324" i="25"/>
  <c r="ET325" i="25"/>
  <c r="EU266" i="25"/>
  <c r="EU324" i="25"/>
  <c r="EU325" i="25"/>
  <c r="CE349" i="25"/>
  <c r="CF349" i="25"/>
  <c r="CH349" i="25"/>
  <c r="CI349" i="25"/>
  <c r="CJ349" i="25"/>
  <c r="CK349" i="25"/>
  <c r="CL349" i="25"/>
  <c r="CM349" i="25"/>
  <c r="CN349" i="25"/>
  <c r="CT349" i="25"/>
  <c r="CU349" i="25" s="1"/>
  <c r="DB349" i="25"/>
  <c r="DC349" i="25"/>
  <c r="DG349" i="25"/>
  <c r="DH349" i="25"/>
  <c r="DL349" i="25"/>
  <c r="DM349" i="25"/>
  <c r="DT349" i="25" s="1"/>
  <c r="DN349" i="25"/>
  <c r="DO349" i="25"/>
  <c r="DV349" i="25"/>
  <c r="DW349" i="25"/>
  <c r="DX349" i="25" s="1"/>
  <c r="DY349" i="25"/>
  <c r="EA349" i="25"/>
  <c r="EB349" i="25"/>
  <c r="EC349" i="25"/>
  <c r="ED349" i="25"/>
  <c r="EE349" i="25"/>
  <c r="EI349" i="25"/>
  <c r="EJ349" i="25"/>
  <c r="EK349" i="25"/>
  <c r="EL349" i="25"/>
  <c r="EM349" i="25"/>
  <c r="DU349" i="25" s="1"/>
  <c r="EN349" i="25"/>
  <c r="EO349" i="25"/>
  <c r="EP349" i="25"/>
  <c r="EQ349" i="25"/>
  <c r="ET349" i="25"/>
  <c r="EU349" i="25"/>
  <c r="CE236" i="25"/>
  <c r="CE272" i="25"/>
  <c r="CF236" i="25"/>
  <c r="CF272" i="25"/>
  <c r="CH236" i="25"/>
  <c r="CH272" i="25"/>
  <c r="CI236" i="25"/>
  <c r="CI272" i="25"/>
  <c r="CJ236" i="25"/>
  <c r="CJ272" i="25"/>
  <c r="CK236" i="25"/>
  <c r="CK272" i="25"/>
  <c r="CL236" i="25"/>
  <c r="CL272" i="25"/>
  <c r="CM236" i="25"/>
  <c r="CM272" i="25"/>
  <c r="CN236" i="25"/>
  <c r="CN272" i="25"/>
  <c r="CT236" i="25"/>
  <c r="CU236" i="25" s="1"/>
  <c r="CT272" i="25"/>
  <c r="CU272" i="25" s="1"/>
  <c r="DB236" i="25"/>
  <c r="DB272" i="25"/>
  <c r="DC236" i="25"/>
  <c r="DC272" i="25"/>
  <c r="DG236" i="25"/>
  <c r="DG272" i="25"/>
  <c r="DH236" i="25"/>
  <c r="DH272" i="25"/>
  <c r="DL236" i="25"/>
  <c r="DL272" i="25"/>
  <c r="DM236" i="25"/>
  <c r="DT236" i="25" s="1"/>
  <c r="DM272" i="25"/>
  <c r="DT272" i="25" s="1"/>
  <c r="DN236" i="25"/>
  <c r="DN272" i="25"/>
  <c r="DO236" i="25"/>
  <c r="DO272" i="25"/>
  <c r="DV236" i="25"/>
  <c r="DV272" i="25"/>
  <c r="DW236" i="25"/>
  <c r="DZ236" i="25" s="1"/>
  <c r="DW272" i="25"/>
  <c r="DX272" i="25" s="1"/>
  <c r="DY236" i="25"/>
  <c r="DY272" i="25"/>
  <c r="EA236" i="25"/>
  <c r="EA272" i="25"/>
  <c r="EB236" i="25"/>
  <c r="EB272" i="25"/>
  <c r="EC236" i="25"/>
  <c r="EC272" i="25"/>
  <c r="ED236" i="25"/>
  <c r="ED272" i="25"/>
  <c r="EE236" i="25"/>
  <c r="EE272" i="25"/>
  <c r="EI236" i="25"/>
  <c r="EI272" i="25"/>
  <c r="EJ236" i="25"/>
  <c r="EJ272" i="25"/>
  <c r="EK236" i="25"/>
  <c r="DF236" i="25" s="1"/>
  <c r="EK272" i="25"/>
  <c r="DI272" i="25" s="1"/>
  <c r="DJ272" i="25" s="1"/>
  <c r="EL236" i="25"/>
  <c r="EL272" i="25"/>
  <c r="EM236" i="25"/>
  <c r="DU236" i="25" s="1"/>
  <c r="EM272" i="25"/>
  <c r="DU272" i="25" s="1"/>
  <c r="EN236" i="25"/>
  <c r="EN272" i="25"/>
  <c r="EO236" i="25"/>
  <c r="EO272" i="25"/>
  <c r="EP236" i="25"/>
  <c r="EP272" i="25"/>
  <c r="EQ236" i="25"/>
  <c r="EQ272" i="25"/>
  <c r="ET236" i="25"/>
  <c r="ET272" i="25"/>
  <c r="EU236" i="25"/>
  <c r="EU272" i="25"/>
  <c r="CE263" i="25"/>
  <c r="CE262" i="25"/>
  <c r="CE265" i="25"/>
  <c r="CF263" i="25"/>
  <c r="CF262" i="25"/>
  <c r="CF265" i="25"/>
  <c r="CH263" i="25"/>
  <c r="CH262" i="25"/>
  <c r="CH265" i="25"/>
  <c r="CI263" i="25"/>
  <c r="CI262" i="25"/>
  <c r="CI265" i="25"/>
  <c r="CJ263" i="25"/>
  <c r="CJ262" i="25"/>
  <c r="CJ265" i="25"/>
  <c r="CK263" i="25"/>
  <c r="CK262" i="25"/>
  <c r="CK265" i="25"/>
  <c r="CL263" i="25"/>
  <c r="CL262" i="25"/>
  <c r="CL265" i="25"/>
  <c r="CM263" i="25"/>
  <c r="CM262" i="25"/>
  <c r="CM265" i="25"/>
  <c r="CN263" i="25"/>
  <c r="CN262" i="25"/>
  <c r="CN265" i="25"/>
  <c r="CT263" i="25"/>
  <c r="CU263" i="25" s="1"/>
  <c r="CT262" i="25"/>
  <c r="CT265" i="25"/>
  <c r="CU265" i="25" s="1"/>
  <c r="DB263" i="25"/>
  <c r="DB262" i="25"/>
  <c r="DB265" i="25"/>
  <c r="DC263" i="25"/>
  <c r="DC262" i="25"/>
  <c r="DC265" i="25"/>
  <c r="DG263" i="25"/>
  <c r="DG262" i="25"/>
  <c r="DG265" i="25"/>
  <c r="DH263" i="25"/>
  <c r="DH262" i="25"/>
  <c r="DH265" i="25"/>
  <c r="DL263" i="25"/>
  <c r="DL262" i="25"/>
  <c r="DL265" i="25"/>
  <c r="DM263" i="25"/>
  <c r="DM262" i="25"/>
  <c r="DT262" i="25" s="1"/>
  <c r="DM265" i="25"/>
  <c r="DT265" i="25" s="1"/>
  <c r="DN263" i="25"/>
  <c r="DN262" i="25"/>
  <c r="DN265" i="25"/>
  <c r="DO263" i="25"/>
  <c r="DO262" i="25"/>
  <c r="DO265" i="25"/>
  <c r="DV263" i="25"/>
  <c r="DV262" i="25"/>
  <c r="DV265" i="25"/>
  <c r="DW263" i="25"/>
  <c r="DX263" i="25" s="1"/>
  <c r="DW262" i="25"/>
  <c r="DX262" i="25" s="1"/>
  <c r="DW265" i="25"/>
  <c r="DZ265" i="25" s="1"/>
  <c r="DY263" i="25"/>
  <c r="DY262" i="25"/>
  <c r="DY265" i="25"/>
  <c r="EA263" i="25"/>
  <c r="EA262" i="25"/>
  <c r="EA265" i="25"/>
  <c r="EB263" i="25"/>
  <c r="EB262" i="25"/>
  <c r="EB265" i="25"/>
  <c r="EC263" i="25"/>
  <c r="EC262" i="25"/>
  <c r="EC265" i="25"/>
  <c r="ED263" i="25"/>
  <c r="ED262" i="25"/>
  <c r="ED265" i="25"/>
  <c r="EE263" i="25"/>
  <c r="EE262" i="25"/>
  <c r="EE265" i="25"/>
  <c r="EI263" i="25"/>
  <c r="EI262" i="25"/>
  <c r="EI265" i="25"/>
  <c r="EJ263" i="25"/>
  <c r="EJ262" i="25"/>
  <c r="EJ265" i="25"/>
  <c r="EK263" i="25"/>
  <c r="DI263" i="25" s="1"/>
  <c r="DJ263" i="25" s="1"/>
  <c r="EK262" i="25"/>
  <c r="DI262" i="25" s="1"/>
  <c r="DJ262" i="25" s="1"/>
  <c r="EK265" i="25"/>
  <c r="DF265" i="25" s="1"/>
  <c r="EL263" i="25"/>
  <c r="EL262" i="25"/>
  <c r="EL265" i="25"/>
  <c r="EM263" i="25"/>
  <c r="DU263" i="25" s="1"/>
  <c r="EM262" i="25"/>
  <c r="DU262" i="25" s="1"/>
  <c r="EM265" i="25"/>
  <c r="DU265" i="25" s="1"/>
  <c r="EN263" i="25"/>
  <c r="EN262" i="25"/>
  <c r="EN265" i="25"/>
  <c r="EO263" i="25"/>
  <c r="EO262" i="25"/>
  <c r="EO265" i="25"/>
  <c r="EP263" i="25"/>
  <c r="EP262" i="25"/>
  <c r="EP265" i="25"/>
  <c r="EQ263" i="25"/>
  <c r="EQ262" i="25"/>
  <c r="EQ265" i="25"/>
  <c r="ET263" i="25"/>
  <c r="ET262" i="25"/>
  <c r="ET265" i="25"/>
  <c r="EU263" i="25"/>
  <c r="EU262" i="25"/>
  <c r="EU265" i="25"/>
  <c r="CE230" i="25"/>
  <c r="CF230" i="25"/>
  <c r="CH230" i="25"/>
  <c r="CI230" i="25"/>
  <c r="CJ230" i="25"/>
  <c r="CK230" i="25"/>
  <c r="CL230" i="25"/>
  <c r="CM230" i="25"/>
  <c r="CN230" i="25"/>
  <c r="CT230" i="25"/>
  <c r="CU230" i="25" s="1"/>
  <c r="DB230" i="25"/>
  <c r="DC230" i="25"/>
  <c r="DG230" i="25"/>
  <c r="DH230" i="25"/>
  <c r="DL230" i="25"/>
  <c r="DM230" i="25"/>
  <c r="DT230" i="25" s="1"/>
  <c r="DN230" i="25"/>
  <c r="DO230" i="25"/>
  <c r="DV230" i="25"/>
  <c r="DW230" i="25"/>
  <c r="DX230" i="25" s="1"/>
  <c r="DY230" i="25"/>
  <c r="EA230" i="25"/>
  <c r="EB230" i="25"/>
  <c r="EC230" i="25"/>
  <c r="ED230" i="25"/>
  <c r="EE230" i="25"/>
  <c r="EI230" i="25"/>
  <c r="EJ230" i="25"/>
  <c r="EK230" i="25"/>
  <c r="EL230" i="25"/>
  <c r="EM230" i="25"/>
  <c r="DU230" i="25" s="1"/>
  <c r="EN230" i="25"/>
  <c r="EO230" i="25"/>
  <c r="EP230" i="25"/>
  <c r="EQ230" i="25"/>
  <c r="ET230" i="25"/>
  <c r="EU230" i="25"/>
  <c r="CE342" i="25"/>
  <c r="CF342" i="25"/>
  <c r="CH342" i="25"/>
  <c r="CI342" i="25"/>
  <c r="CJ342" i="25"/>
  <c r="CK342" i="25"/>
  <c r="CL342" i="25"/>
  <c r="CM342" i="25"/>
  <c r="CN342" i="25"/>
  <c r="CT342" i="25"/>
  <c r="CU342" i="25" s="1"/>
  <c r="DB342" i="25"/>
  <c r="DC342" i="25"/>
  <c r="DG342" i="25"/>
  <c r="DH342" i="25"/>
  <c r="DL342" i="25"/>
  <c r="DM342" i="25"/>
  <c r="DT342" i="25" s="1"/>
  <c r="DN342" i="25"/>
  <c r="DO342" i="25"/>
  <c r="DV342" i="25"/>
  <c r="DW342" i="25"/>
  <c r="DZ342" i="25" s="1"/>
  <c r="DY342" i="25"/>
  <c r="EA342" i="25"/>
  <c r="EB342" i="25"/>
  <c r="EC342" i="25"/>
  <c r="ED342" i="25"/>
  <c r="EE342" i="25"/>
  <c r="EI342" i="25"/>
  <c r="EJ342" i="25"/>
  <c r="EK342" i="25"/>
  <c r="EL342" i="25"/>
  <c r="EM342" i="25"/>
  <c r="DU342" i="25" s="1"/>
  <c r="EN342" i="25"/>
  <c r="EO342" i="25"/>
  <c r="EP342" i="25"/>
  <c r="EQ342" i="25"/>
  <c r="ET342" i="25"/>
  <c r="EU342" i="25"/>
  <c r="CE339" i="25"/>
  <c r="CF339" i="25"/>
  <c r="CH339" i="25"/>
  <c r="CI339" i="25"/>
  <c r="CJ339" i="25"/>
  <c r="CK339" i="25"/>
  <c r="CL339" i="25"/>
  <c r="CM339" i="25"/>
  <c r="CN339" i="25"/>
  <c r="CT339" i="25"/>
  <c r="CU339" i="25" s="1"/>
  <c r="DB339" i="25"/>
  <c r="DC339" i="25"/>
  <c r="DG339" i="25"/>
  <c r="DH339" i="25"/>
  <c r="DL339" i="25"/>
  <c r="DM339" i="25"/>
  <c r="DN339" i="25"/>
  <c r="DO339" i="25"/>
  <c r="DV339" i="25"/>
  <c r="DW339" i="25"/>
  <c r="DX339" i="25" s="1"/>
  <c r="DY339" i="25"/>
  <c r="EA339" i="25"/>
  <c r="EB339" i="25"/>
  <c r="EC339" i="25"/>
  <c r="ED339" i="25"/>
  <c r="EE339" i="25"/>
  <c r="EI339" i="25"/>
  <c r="EJ339" i="25"/>
  <c r="EK339" i="25"/>
  <c r="EL339" i="25"/>
  <c r="EM339" i="25"/>
  <c r="DU339" i="25" s="1"/>
  <c r="EN339" i="25"/>
  <c r="EO339" i="25"/>
  <c r="EP339" i="25"/>
  <c r="EQ339" i="25"/>
  <c r="ET339" i="25"/>
  <c r="EU339" i="25"/>
  <c r="CE338" i="25"/>
  <c r="CF338" i="25"/>
  <c r="CH338" i="25"/>
  <c r="CI338" i="25"/>
  <c r="CJ338" i="25"/>
  <c r="CK338" i="25"/>
  <c r="CL338" i="25"/>
  <c r="CM338" i="25"/>
  <c r="CN338" i="25"/>
  <c r="CT338" i="25"/>
  <c r="CU338" i="25" s="1"/>
  <c r="DB338" i="25"/>
  <c r="DC338" i="25"/>
  <c r="DG338" i="25"/>
  <c r="DH338" i="25"/>
  <c r="DL338" i="25"/>
  <c r="DM338" i="25"/>
  <c r="DT338" i="25" s="1"/>
  <c r="DN338" i="25"/>
  <c r="DO338" i="25"/>
  <c r="DV338" i="25"/>
  <c r="DW338" i="25"/>
  <c r="DX338" i="25" s="1"/>
  <c r="DY338" i="25"/>
  <c r="EA338" i="25"/>
  <c r="EB338" i="25"/>
  <c r="EC338" i="25"/>
  <c r="ED338" i="25"/>
  <c r="EE338" i="25"/>
  <c r="EI338" i="25"/>
  <c r="EJ338" i="25"/>
  <c r="EK338" i="25"/>
  <c r="EL338" i="25"/>
  <c r="EM338" i="25"/>
  <c r="DU338" i="25" s="1"/>
  <c r="EN338" i="25"/>
  <c r="EO338" i="25"/>
  <c r="EP338" i="25"/>
  <c r="EQ338" i="25"/>
  <c r="ET338" i="25"/>
  <c r="EU338" i="25"/>
  <c r="CE334" i="25"/>
  <c r="CF334" i="25"/>
  <c r="CH334" i="25"/>
  <c r="CI334" i="25"/>
  <c r="CJ334" i="25"/>
  <c r="CK334" i="25"/>
  <c r="CL334" i="25"/>
  <c r="CM334" i="25"/>
  <c r="CN334" i="25"/>
  <c r="CT334" i="25"/>
  <c r="CU334" i="25" s="1"/>
  <c r="DB334" i="25"/>
  <c r="DC334" i="25"/>
  <c r="DG334" i="25"/>
  <c r="DH334" i="25"/>
  <c r="DL334" i="25"/>
  <c r="DM334" i="25"/>
  <c r="DT334" i="25" s="1"/>
  <c r="DN334" i="25"/>
  <c r="DO334" i="25"/>
  <c r="DV334" i="25"/>
  <c r="DW334" i="25"/>
  <c r="DX334" i="25" s="1"/>
  <c r="DY334" i="25"/>
  <c r="EA334" i="25"/>
  <c r="EB334" i="25"/>
  <c r="EC334" i="25"/>
  <c r="ED334" i="25"/>
  <c r="EE334" i="25"/>
  <c r="EI334" i="25"/>
  <c r="EJ334" i="25"/>
  <c r="EK334" i="25"/>
  <c r="EL334" i="25"/>
  <c r="EM334" i="25"/>
  <c r="DU334" i="25" s="1"/>
  <c r="EN334" i="25"/>
  <c r="EO334" i="25"/>
  <c r="EP334" i="25"/>
  <c r="EQ334" i="25"/>
  <c r="ET334" i="25"/>
  <c r="EU334" i="25"/>
  <c r="CE313" i="25"/>
  <c r="CF313" i="25"/>
  <c r="CH313" i="25"/>
  <c r="CI313" i="25"/>
  <c r="CJ313" i="25"/>
  <c r="CK313" i="25"/>
  <c r="CL313" i="25"/>
  <c r="CM313" i="25"/>
  <c r="CN313" i="25"/>
  <c r="CT313" i="25"/>
  <c r="CU313" i="25" s="1"/>
  <c r="DB313" i="25"/>
  <c r="DC313" i="25"/>
  <c r="DG313" i="25"/>
  <c r="DH313" i="25"/>
  <c r="DL313" i="25"/>
  <c r="DM313" i="25"/>
  <c r="DT313" i="25" s="1"/>
  <c r="DN313" i="25"/>
  <c r="DO313" i="25"/>
  <c r="DV313" i="25"/>
  <c r="DW313" i="25"/>
  <c r="DX313" i="25" s="1"/>
  <c r="DY313" i="25"/>
  <c r="EA313" i="25"/>
  <c r="EB313" i="25"/>
  <c r="EC313" i="25"/>
  <c r="ED313" i="25"/>
  <c r="EE313" i="25"/>
  <c r="EI313" i="25"/>
  <c r="EJ313" i="25"/>
  <c r="EK313" i="25"/>
  <c r="EL313" i="25"/>
  <c r="EM313" i="25"/>
  <c r="DU313" i="25" s="1"/>
  <c r="EN313" i="25"/>
  <c r="EO313" i="25"/>
  <c r="EP313" i="25"/>
  <c r="EQ313" i="25"/>
  <c r="ET313" i="25"/>
  <c r="EU313" i="25"/>
  <c r="CE308" i="25"/>
  <c r="CF308" i="25"/>
  <c r="CH308" i="25"/>
  <c r="CI308" i="25"/>
  <c r="CJ308" i="25"/>
  <c r="CK308" i="25"/>
  <c r="CL308" i="25"/>
  <c r="CM308" i="25"/>
  <c r="CN308" i="25"/>
  <c r="CT308" i="25"/>
  <c r="CU308" i="25" s="1"/>
  <c r="DB308" i="25"/>
  <c r="DC308" i="25"/>
  <c r="DG308" i="25"/>
  <c r="DH308" i="25"/>
  <c r="DL308" i="25"/>
  <c r="DM308" i="25"/>
  <c r="DT308" i="25" s="1"/>
  <c r="DN308" i="25"/>
  <c r="DO308" i="25"/>
  <c r="DV308" i="25"/>
  <c r="DW308" i="25"/>
  <c r="DX308" i="25" s="1"/>
  <c r="DY308" i="25"/>
  <c r="EA308" i="25"/>
  <c r="EB308" i="25"/>
  <c r="EC308" i="25"/>
  <c r="ED308" i="25"/>
  <c r="EE308" i="25"/>
  <c r="EI308" i="25"/>
  <c r="EJ308" i="25"/>
  <c r="EK308" i="25"/>
  <c r="EL308" i="25"/>
  <c r="EM308" i="25"/>
  <c r="DU308" i="25" s="1"/>
  <c r="EN308" i="25"/>
  <c r="EO308" i="25"/>
  <c r="EP308" i="25"/>
  <c r="EQ308" i="25"/>
  <c r="ET308" i="25"/>
  <c r="EU308" i="25"/>
  <c r="CE301" i="25"/>
  <c r="CE302" i="25"/>
  <c r="CE303" i="25"/>
  <c r="CF301" i="25"/>
  <c r="CF302" i="25"/>
  <c r="CF303" i="25"/>
  <c r="CH301" i="25"/>
  <c r="CH302" i="25"/>
  <c r="CH303" i="25"/>
  <c r="CI301" i="25"/>
  <c r="CI302" i="25"/>
  <c r="CI303" i="25"/>
  <c r="CJ301" i="25"/>
  <c r="CJ302" i="25"/>
  <c r="CJ303" i="25"/>
  <c r="CK301" i="25"/>
  <c r="CK302" i="25"/>
  <c r="CK303" i="25"/>
  <c r="CL301" i="25"/>
  <c r="CL302" i="25"/>
  <c r="CL303" i="25"/>
  <c r="CM301" i="25"/>
  <c r="CM302" i="25"/>
  <c r="CM303" i="25"/>
  <c r="CN301" i="25"/>
  <c r="CN302" i="25"/>
  <c r="CN303" i="25"/>
  <c r="CT301" i="25"/>
  <c r="CU301" i="25" s="1"/>
  <c r="CT302" i="25"/>
  <c r="CU302" i="25" s="1"/>
  <c r="CT303" i="25"/>
  <c r="CU303" i="25" s="1"/>
  <c r="DB301" i="25"/>
  <c r="DB302" i="25"/>
  <c r="DB303" i="25"/>
  <c r="DC301" i="25"/>
  <c r="DC302" i="25"/>
  <c r="DC303" i="25"/>
  <c r="DG301" i="25"/>
  <c r="DG302" i="25"/>
  <c r="DG303" i="25"/>
  <c r="DH301" i="25"/>
  <c r="DH302" i="25"/>
  <c r="DH303" i="25"/>
  <c r="DL301" i="25"/>
  <c r="DL302" i="25"/>
  <c r="DL303" i="25"/>
  <c r="DM301" i="25"/>
  <c r="DT301" i="25" s="1"/>
  <c r="DM302" i="25"/>
  <c r="DT302" i="25" s="1"/>
  <c r="DM303" i="25"/>
  <c r="DT303" i="25" s="1"/>
  <c r="DN301" i="25"/>
  <c r="DN302" i="25"/>
  <c r="DN303" i="25"/>
  <c r="DO301" i="25"/>
  <c r="DO302" i="25"/>
  <c r="DO303" i="25"/>
  <c r="DV301" i="25"/>
  <c r="DV302" i="25"/>
  <c r="DV303" i="25"/>
  <c r="DW301" i="25"/>
  <c r="DX301" i="25" s="1"/>
  <c r="DW302" i="25"/>
  <c r="DX302" i="25" s="1"/>
  <c r="DW303" i="25"/>
  <c r="DX303" i="25" s="1"/>
  <c r="DY301" i="25"/>
  <c r="DY302" i="25"/>
  <c r="DY303" i="25"/>
  <c r="EA301" i="25"/>
  <c r="EA302" i="25"/>
  <c r="EA303" i="25"/>
  <c r="EB301" i="25"/>
  <c r="EB302" i="25"/>
  <c r="EB303" i="25"/>
  <c r="EC301" i="25"/>
  <c r="EC302" i="25"/>
  <c r="EC303" i="25"/>
  <c r="ED301" i="25"/>
  <c r="ED302" i="25"/>
  <c r="ED303" i="25"/>
  <c r="EE301" i="25"/>
  <c r="EE302" i="25"/>
  <c r="EE303" i="25"/>
  <c r="EI301" i="25"/>
  <c r="EI302" i="25"/>
  <c r="EI303" i="25"/>
  <c r="EJ301" i="25"/>
  <c r="EJ302" i="25"/>
  <c r="EJ303" i="25"/>
  <c r="EK301" i="25"/>
  <c r="EK302" i="25"/>
  <c r="EK303" i="25"/>
  <c r="EL301" i="25"/>
  <c r="EL302" i="25"/>
  <c r="EL303" i="25"/>
  <c r="EM301" i="25"/>
  <c r="DU301" i="25" s="1"/>
  <c r="EM302" i="25"/>
  <c r="DU302" i="25" s="1"/>
  <c r="EM303" i="25"/>
  <c r="DU303" i="25" s="1"/>
  <c r="EN301" i="25"/>
  <c r="EN302" i="25"/>
  <c r="EN303" i="25"/>
  <c r="EO301" i="25"/>
  <c r="EO302" i="25"/>
  <c r="EO303" i="25"/>
  <c r="EP301" i="25"/>
  <c r="EP302" i="25"/>
  <c r="EP303" i="25"/>
  <c r="EQ301" i="25"/>
  <c r="EQ302" i="25"/>
  <c r="EQ303" i="25"/>
  <c r="ET301" i="25"/>
  <c r="ET302" i="25"/>
  <c r="ET303" i="25"/>
  <c r="EU301" i="25"/>
  <c r="EU302" i="25"/>
  <c r="EU303" i="25"/>
  <c r="CE299" i="25"/>
  <c r="CF299" i="25"/>
  <c r="CH299" i="25"/>
  <c r="CI299" i="25"/>
  <c r="CJ299" i="25"/>
  <c r="CK299" i="25"/>
  <c r="CL299" i="25"/>
  <c r="CM299" i="25"/>
  <c r="CN299" i="25"/>
  <c r="CT299" i="25"/>
  <c r="CU299" i="25" s="1"/>
  <c r="DB299" i="25"/>
  <c r="DC299" i="25"/>
  <c r="DG299" i="25"/>
  <c r="DH299" i="25"/>
  <c r="DL299" i="25"/>
  <c r="DM299" i="25"/>
  <c r="DT299" i="25" s="1"/>
  <c r="DN299" i="25"/>
  <c r="DO299" i="25"/>
  <c r="DV299" i="25"/>
  <c r="DW299" i="25"/>
  <c r="DX299" i="25" s="1"/>
  <c r="DY299" i="25"/>
  <c r="EA299" i="25"/>
  <c r="EB299" i="25"/>
  <c r="EC299" i="25"/>
  <c r="ED299" i="25"/>
  <c r="EE299" i="25"/>
  <c r="EI299" i="25"/>
  <c r="EJ299" i="25"/>
  <c r="EK299" i="25"/>
  <c r="EL299" i="25"/>
  <c r="EM299" i="25"/>
  <c r="DU299" i="25" s="1"/>
  <c r="EN299" i="25"/>
  <c r="EO299" i="25"/>
  <c r="EP299" i="25"/>
  <c r="EQ299" i="25"/>
  <c r="ET299" i="25"/>
  <c r="EU299" i="25"/>
  <c r="CE297" i="25"/>
  <c r="CF297" i="25"/>
  <c r="CH297" i="25"/>
  <c r="CI297" i="25"/>
  <c r="CJ297" i="25"/>
  <c r="CK297" i="25"/>
  <c r="CL297" i="25"/>
  <c r="CM297" i="25"/>
  <c r="CN297" i="25"/>
  <c r="CT297" i="25"/>
  <c r="CU297" i="25" s="1"/>
  <c r="DB297" i="25"/>
  <c r="DC297" i="25"/>
  <c r="DG297" i="25"/>
  <c r="DH297" i="25"/>
  <c r="DL297" i="25"/>
  <c r="DM297" i="25"/>
  <c r="DN297" i="25"/>
  <c r="DO297" i="25"/>
  <c r="DV297" i="25"/>
  <c r="DW297" i="25"/>
  <c r="DX297" i="25" s="1"/>
  <c r="DY297" i="25"/>
  <c r="EA297" i="25"/>
  <c r="EB297" i="25"/>
  <c r="EC297" i="25"/>
  <c r="ED297" i="25"/>
  <c r="EE297" i="25"/>
  <c r="EI297" i="25"/>
  <c r="EJ297" i="25"/>
  <c r="EK297" i="25"/>
  <c r="DF297" i="25" s="1"/>
  <c r="EL297" i="25"/>
  <c r="EM297" i="25"/>
  <c r="DU297" i="25" s="1"/>
  <c r="EN297" i="25"/>
  <c r="EO297" i="25"/>
  <c r="EP297" i="25"/>
  <c r="EQ297" i="25"/>
  <c r="ET297" i="25"/>
  <c r="EU297" i="25"/>
  <c r="EG320" i="25" l="1"/>
  <c r="EH354" i="25"/>
  <c r="EH357" i="25"/>
  <c r="EF320" i="25"/>
  <c r="EH319" i="25"/>
  <c r="EH316" i="25"/>
  <c r="DP320" i="25"/>
  <c r="DQ320" i="25" s="1"/>
  <c r="DR320" i="25" s="1"/>
  <c r="DS320" i="25" s="1"/>
  <c r="EG319" i="25"/>
  <c r="CG319" i="25"/>
  <c r="CQ357" i="25"/>
  <c r="CG354" i="25"/>
  <c r="EF357" i="25"/>
  <c r="EH264" i="25"/>
  <c r="CG357" i="25"/>
  <c r="EG318" i="25"/>
  <c r="DZ320" i="25"/>
  <c r="EH320" i="25"/>
  <c r="CG320" i="25"/>
  <c r="EG357" i="25"/>
  <c r="CP320" i="25"/>
  <c r="CR320" i="25" s="1"/>
  <c r="CV320" i="25" s="1"/>
  <c r="CY320" i="25" s="1"/>
  <c r="CZ320" i="25" s="1"/>
  <c r="DP357" i="25"/>
  <c r="DQ357" i="25" s="1"/>
  <c r="DR357" i="25" s="1"/>
  <c r="DS357" i="25" s="1"/>
  <c r="CP357" i="25"/>
  <c r="CR357" i="25" s="1"/>
  <c r="DP318" i="25"/>
  <c r="DQ318" i="25" s="1"/>
  <c r="DR318" i="25" s="1"/>
  <c r="DS318" i="25" s="1"/>
  <c r="DP319" i="25"/>
  <c r="DQ319" i="25" s="1"/>
  <c r="DR319" i="25" s="1"/>
  <c r="DS319" i="25" s="1"/>
  <c r="CQ320" i="25"/>
  <c r="DE319" i="25"/>
  <c r="DD319" i="25" s="1"/>
  <c r="DK319" i="25" s="1"/>
  <c r="DZ357" i="25"/>
  <c r="DF357" i="25"/>
  <c r="DP264" i="25"/>
  <c r="DQ264" i="25" s="1"/>
  <c r="DR264" i="25" s="1"/>
  <c r="DS264" i="25" s="1"/>
  <c r="CG264" i="25"/>
  <c r="DZ319" i="25"/>
  <c r="DF320" i="25"/>
  <c r="EH342" i="25"/>
  <c r="DE318" i="25"/>
  <c r="DD318" i="25" s="1"/>
  <c r="DK318" i="25" s="1"/>
  <c r="CP319" i="25"/>
  <c r="CR319" i="25" s="1"/>
  <c r="CS319" i="25" s="1"/>
  <c r="CW319" i="25" s="1"/>
  <c r="CX319" i="25" s="1"/>
  <c r="DA319" i="25" s="1"/>
  <c r="DI357" i="25"/>
  <c r="DJ357" i="25" s="1"/>
  <c r="DE357" i="25"/>
  <c r="DD357" i="25" s="1"/>
  <c r="DK357" i="25" s="1"/>
  <c r="CQ319" i="25"/>
  <c r="DI320" i="25"/>
  <c r="DJ320" i="25" s="1"/>
  <c r="DE320" i="25"/>
  <c r="DD320" i="25" s="1"/>
  <c r="DK320" i="25" s="1"/>
  <c r="DX316" i="25"/>
  <c r="EG316" i="25"/>
  <c r="EF316" i="25"/>
  <c r="DE264" i="25"/>
  <c r="DD264" i="25" s="1"/>
  <c r="DK264" i="25" s="1"/>
  <c r="EF319" i="25"/>
  <c r="CP318" i="25"/>
  <c r="CR318" i="25" s="1"/>
  <c r="CS318" i="25" s="1"/>
  <c r="CW318" i="25" s="1"/>
  <c r="CX318" i="25" s="1"/>
  <c r="DA318" i="25" s="1"/>
  <c r="EF264" i="25"/>
  <c r="DI319" i="25"/>
  <c r="DJ319" i="25" s="1"/>
  <c r="EH272" i="25"/>
  <c r="EF318" i="25"/>
  <c r="DP242" i="25"/>
  <c r="DQ242" i="25" s="1"/>
  <c r="DR242" i="25" s="1"/>
  <c r="DS242" i="25" s="1"/>
  <c r="CG242" i="25"/>
  <c r="EH318" i="25"/>
  <c r="CG318" i="25"/>
  <c r="DF319" i="25"/>
  <c r="DZ318" i="25"/>
  <c r="DX264" i="25"/>
  <c r="CP264" i="25"/>
  <c r="CR264" i="25" s="1"/>
  <c r="DI318" i="25"/>
  <c r="DJ318" i="25" s="1"/>
  <c r="CP316" i="25"/>
  <c r="CR316" i="25" s="1"/>
  <c r="CS316" i="25" s="1"/>
  <c r="CW316" i="25" s="1"/>
  <c r="CX316" i="25" s="1"/>
  <c r="DA316" i="25" s="1"/>
  <c r="CQ318" i="25"/>
  <c r="CP354" i="25"/>
  <c r="CR354" i="25" s="1"/>
  <c r="DF318" i="25"/>
  <c r="EG264" i="25"/>
  <c r="DP316" i="25"/>
  <c r="DQ316" i="25" s="1"/>
  <c r="DR316" i="25" s="1"/>
  <c r="DS316" i="25" s="1"/>
  <c r="CQ354" i="25"/>
  <c r="EF354" i="25"/>
  <c r="CQ316" i="25"/>
  <c r="DI264" i="25"/>
  <c r="DJ264" i="25" s="1"/>
  <c r="EH266" i="25"/>
  <c r="EG242" i="25"/>
  <c r="CQ264" i="25"/>
  <c r="CG272" i="25"/>
  <c r="CG316" i="25"/>
  <c r="DF264" i="25"/>
  <c r="EG266" i="25"/>
  <c r="CG325" i="25"/>
  <c r="DP354" i="25"/>
  <c r="DQ354" i="25" s="1"/>
  <c r="DR354" i="25" s="1"/>
  <c r="DS354" i="25" s="1"/>
  <c r="EG354" i="25"/>
  <c r="DE349" i="25"/>
  <c r="DD349" i="25" s="1"/>
  <c r="DK349" i="25" s="1"/>
  <c r="DZ349" i="25"/>
  <c r="DZ354" i="25"/>
  <c r="DF354" i="25"/>
  <c r="DF316" i="25"/>
  <c r="DI354" i="25"/>
  <c r="DJ354" i="25" s="1"/>
  <c r="DE354" i="25"/>
  <c r="DD354" i="25" s="1"/>
  <c r="DK354" i="25" s="1"/>
  <c r="EG262" i="25"/>
  <c r="EH242" i="25"/>
  <c r="DI316" i="25"/>
  <c r="DJ316" i="25" s="1"/>
  <c r="DE316" i="25"/>
  <c r="DD316" i="25" s="1"/>
  <c r="DK316" i="25" s="1"/>
  <c r="DZ266" i="25"/>
  <c r="EH349" i="25"/>
  <c r="DE266" i="25"/>
  <c r="DD266" i="25" s="1"/>
  <c r="DK266" i="25" s="1"/>
  <c r="EG272" i="25"/>
  <c r="CG236" i="25"/>
  <c r="DP266" i="25"/>
  <c r="DQ266" i="25" s="1"/>
  <c r="DR266" i="25" s="1"/>
  <c r="DS266" i="25" s="1"/>
  <c r="EG265" i="25"/>
  <c r="EG349" i="25"/>
  <c r="DZ324" i="25"/>
  <c r="EH324" i="25"/>
  <c r="CG349" i="25"/>
  <c r="DP325" i="25"/>
  <c r="DQ325" i="25" s="1"/>
  <c r="DR325" i="25" s="1"/>
  <c r="DS325" i="25" s="1"/>
  <c r="EF242" i="25"/>
  <c r="DP324" i="25"/>
  <c r="DQ324" i="25" s="1"/>
  <c r="DR324" i="25" s="1"/>
  <c r="DS324" i="25" s="1"/>
  <c r="CP325" i="25"/>
  <c r="CR325" i="25" s="1"/>
  <c r="CG266" i="25"/>
  <c r="EG325" i="25"/>
  <c r="DE242" i="25"/>
  <c r="DD242" i="25" s="1"/>
  <c r="DK242" i="25" s="1"/>
  <c r="EG230" i="25"/>
  <c r="EF324" i="25"/>
  <c r="EG324" i="25"/>
  <c r="CQ325" i="25"/>
  <c r="DZ242" i="25"/>
  <c r="CP242" i="25"/>
  <c r="CR242" i="25" s="1"/>
  <c r="CS242" i="25" s="1"/>
  <c r="CW242" i="25" s="1"/>
  <c r="CX242" i="25" s="1"/>
  <c r="DA242" i="25" s="1"/>
  <c r="CQ242" i="25"/>
  <c r="EG236" i="25"/>
  <c r="DI242" i="25"/>
  <c r="DJ242" i="25" s="1"/>
  <c r="EH325" i="25"/>
  <c r="CQ266" i="25"/>
  <c r="CQ324" i="25"/>
  <c r="EF325" i="25"/>
  <c r="CG324" i="25"/>
  <c r="DF242" i="25"/>
  <c r="DP263" i="25"/>
  <c r="DQ263" i="25" s="1"/>
  <c r="DR263" i="25" s="1"/>
  <c r="DS263" i="25" s="1"/>
  <c r="EF266" i="25"/>
  <c r="EH313" i="25"/>
  <c r="EH265" i="25"/>
  <c r="DP349" i="25"/>
  <c r="DQ349" i="25" s="1"/>
  <c r="DR349" i="25" s="1"/>
  <c r="DS349" i="25" s="1"/>
  <c r="DI266" i="25"/>
  <c r="DJ266" i="25" s="1"/>
  <c r="DF324" i="25"/>
  <c r="CP324" i="25"/>
  <c r="CR324" i="25" s="1"/>
  <c r="CS324" i="25" s="1"/>
  <c r="DX325" i="25"/>
  <c r="DF266" i="25"/>
  <c r="CU324" i="25"/>
  <c r="CP266" i="25"/>
  <c r="CR266" i="25" s="1"/>
  <c r="CP349" i="25"/>
  <c r="CR349" i="25" s="1"/>
  <c r="DE324" i="25"/>
  <c r="DD324" i="25" s="1"/>
  <c r="DK324" i="25" s="1"/>
  <c r="EG263" i="25"/>
  <c r="CQ272" i="25"/>
  <c r="CQ349" i="25"/>
  <c r="DT325" i="25"/>
  <c r="DI325" i="25"/>
  <c r="DJ325" i="25" s="1"/>
  <c r="DE325" i="25"/>
  <c r="DD325" i="25" s="1"/>
  <c r="DK325" i="25" s="1"/>
  <c r="DZ272" i="25"/>
  <c r="EH236" i="25"/>
  <c r="EF349" i="25"/>
  <c r="DF272" i="25"/>
  <c r="EH262" i="25"/>
  <c r="CG263" i="25"/>
  <c r="DP272" i="25"/>
  <c r="DQ272" i="25" s="1"/>
  <c r="DR272" i="25" s="1"/>
  <c r="DS272" i="25" s="1"/>
  <c r="DI236" i="25"/>
  <c r="DJ236" i="25" s="1"/>
  <c r="DI349" i="25"/>
  <c r="DJ349" i="25" s="1"/>
  <c r="CP262" i="25"/>
  <c r="CR262" i="25" s="1"/>
  <c r="CS262" i="25" s="1"/>
  <c r="DE236" i="25"/>
  <c r="DD236" i="25" s="1"/>
  <c r="DK236" i="25" s="1"/>
  <c r="DP236" i="25"/>
  <c r="DQ236" i="25" s="1"/>
  <c r="DR236" i="25" s="1"/>
  <c r="DS236" i="25" s="1"/>
  <c r="EF272" i="25"/>
  <c r="DP338" i="25"/>
  <c r="DQ338" i="25" s="1"/>
  <c r="DR338" i="25" s="1"/>
  <c r="DS338" i="25" s="1"/>
  <c r="EH338" i="25"/>
  <c r="CG338" i="25"/>
  <c r="EF236" i="25"/>
  <c r="DF349" i="25"/>
  <c r="DZ339" i="25"/>
  <c r="DP342" i="25"/>
  <c r="DQ342" i="25" s="1"/>
  <c r="DR342" i="25" s="1"/>
  <c r="DS342" i="25" s="1"/>
  <c r="CQ236" i="25"/>
  <c r="CP272" i="25"/>
  <c r="CR272" i="25" s="1"/>
  <c r="CP236" i="25"/>
  <c r="CR236" i="25" s="1"/>
  <c r="EF265" i="25"/>
  <c r="DP265" i="25"/>
  <c r="DQ265" i="25" s="1"/>
  <c r="DR265" i="25" s="1"/>
  <c r="DS265" i="25" s="1"/>
  <c r="CG265" i="25"/>
  <c r="DX236" i="25"/>
  <c r="DE272" i="25"/>
  <c r="DD272" i="25" s="1"/>
  <c r="DK272" i="25" s="1"/>
  <c r="EG342" i="25"/>
  <c r="DP262" i="25"/>
  <c r="DQ262" i="25" s="1"/>
  <c r="DR262" i="25" s="1"/>
  <c r="DS262" i="25" s="1"/>
  <c r="CG262" i="25"/>
  <c r="DT263" i="25"/>
  <c r="EH263" i="25"/>
  <c r="DZ262" i="25"/>
  <c r="EF230" i="25"/>
  <c r="DP230" i="25"/>
  <c r="DQ230" i="25" s="1"/>
  <c r="DR230" i="25" s="1"/>
  <c r="DS230" i="25" s="1"/>
  <c r="EF263" i="25"/>
  <c r="DZ263" i="25"/>
  <c r="CG342" i="25"/>
  <c r="DE230" i="25"/>
  <c r="DD230" i="25" s="1"/>
  <c r="DK230" i="25" s="1"/>
  <c r="EH230" i="25"/>
  <c r="DE263" i="25"/>
  <c r="DD263" i="25" s="1"/>
  <c r="DK263" i="25" s="1"/>
  <c r="DF262" i="25"/>
  <c r="CP342" i="25"/>
  <c r="CR342" i="25" s="1"/>
  <c r="EF262" i="25"/>
  <c r="CQ262" i="25"/>
  <c r="EG339" i="25"/>
  <c r="CP265" i="25"/>
  <c r="CR265" i="25" s="1"/>
  <c r="CQ263" i="25"/>
  <c r="DX342" i="25"/>
  <c r="DZ230" i="25"/>
  <c r="CG230" i="25"/>
  <c r="DX265" i="25"/>
  <c r="DF263" i="25"/>
  <c r="CU262" i="25"/>
  <c r="CP263" i="25"/>
  <c r="CR263" i="25" s="1"/>
  <c r="EF342" i="25"/>
  <c r="DI230" i="25"/>
  <c r="DJ230" i="25" s="1"/>
  <c r="DE265" i="25"/>
  <c r="DD265" i="25" s="1"/>
  <c r="DK265" i="25" s="1"/>
  <c r="DE262" i="25"/>
  <c r="DD262" i="25" s="1"/>
  <c r="DK262" i="25" s="1"/>
  <c r="CQ265" i="25"/>
  <c r="DP339" i="25"/>
  <c r="DQ339" i="25" s="1"/>
  <c r="DR339" i="25" s="1"/>
  <c r="DS339" i="25" s="1"/>
  <c r="CG339" i="25"/>
  <c r="CP230" i="25"/>
  <c r="CR230" i="25" s="1"/>
  <c r="DI265" i="25"/>
  <c r="DJ265" i="25" s="1"/>
  <c r="EH339" i="25"/>
  <c r="CQ230" i="25"/>
  <c r="DF230" i="25"/>
  <c r="EH334" i="25"/>
  <c r="EF339" i="25"/>
  <c r="DT339" i="25"/>
  <c r="EG313" i="25"/>
  <c r="EG334" i="25"/>
  <c r="DE339" i="25"/>
  <c r="DD339" i="25" s="1"/>
  <c r="DK339" i="25" s="1"/>
  <c r="CQ342" i="25"/>
  <c r="DP334" i="25"/>
  <c r="DQ334" i="25" s="1"/>
  <c r="DR334" i="25" s="1"/>
  <c r="DS334" i="25" s="1"/>
  <c r="CG334" i="25"/>
  <c r="EF334" i="25"/>
  <c r="DF342" i="25"/>
  <c r="DI342" i="25"/>
  <c r="DJ342" i="25" s="1"/>
  <c r="DE342" i="25"/>
  <c r="DD342" i="25" s="1"/>
  <c r="DK342" i="25" s="1"/>
  <c r="CP339" i="25"/>
  <c r="CR339" i="25" s="1"/>
  <c r="CS339" i="25" s="1"/>
  <c r="CW339" i="25" s="1"/>
  <c r="CX339" i="25" s="1"/>
  <c r="DA339" i="25" s="1"/>
  <c r="EF338" i="25"/>
  <c r="DI339" i="25"/>
  <c r="DJ339" i="25" s="1"/>
  <c r="EF302" i="25"/>
  <c r="DP308" i="25"/>
  <c r="DQ308" i="25" s="1"/>
  <c r="DR308" i="25" s="1"/>
  <c r="DS308" i="25" s="1"/>
  <c r="CQ339" i="25"/>
  <c r="DE338" i="25"/>
  <c r="DD338" i="25" s="1"/>
  <c r="DK338" i="25" s="1"/>
  <c r="DF339" i="25"/>
  <c r="DZ338" i="25"/>
  <c r="EG338" i="25"/>
  <c r="DE334" i="25"/>
  <c r="DD334" i="25" s="1"/>
  <c r="DK334" i="25" s="1"/>
  <c r="CP338" i="25"/>
  <c r="CR338" i="25" s="1"/>
  <c r="CG303" i="25"/>
  <c r="DI338" i="25"/>
  <c r="DJ338" i="25" s="1"/>
  <c r="EG299" i="25"/>
  <c r="DZ302" i="25"/>
  <c r="DP313" i="25"/>
  <c r="DQ313" i="25" s="1"/>
  <c r="DR313" i="25" s="1"/>
  <c r="DS313" i="25" s="1"/>
  <c r="CG313" i="25"/>
  <c r="CQ338" i="25"/>
  <c r="DZ299" i="25"/>
  <c r="DF338" i="25"/>
  <c r="DZ334" i="25"/>
  <c r="CP334" i="25"/>
  <c r="CR334" i="25" s="1"/>
  <c r="EG302" i="25"/>
  <c r="EF313" i="25"/>
  <c r="EG301" i="25"/>
  <c r="EF308" i="25"/>
  <c r="CG308" i="25"/>
  <c r="DI334" i="25"/>
  <c r="DJ334" i="25" s="1"/>
  <c r="CP302" i="25"/>
  <c r="CR302" i="25" s="1"/>
  <c r="CV302" i="25" s="1"/>
  <c r="CY302" i="25" s="1"/>
  <c r="CZ302" i="25" s="1"/>
  <c r="DE313" i="25"/>
  <c r="DD313" i="25" s="1"/>
  <c r="DK313" i="25" s="1"/>
  <c r="EH301" i="25"/>
  <c r="CQ334" i="25"/>
  <c r="DE308" i="25"/>
  <c r="DD308" i="25" s="1"/>
  <c r="DK308" i="25" s="1"/>
  <c r="DZ308" i="25"/>
  <c r="DZ313" i="25"/>
  <c r="DF334" i="25"/>
  <c r="EG303" i="25"/>
  <c r="CQ303" i="25"/>
  <c r="CP313" i="25"/>
  <c r="CR313" i="25" s="1"/>
  <c r="CS313" i="25" s="1"/>
  <c r="CW313" i="25" s="1"/>
  <c r="CX313" i="25" s="1"/>
  <c r="DA313" i="25" s="1"/>
  <c r="CG297" i="25"/>
  <c r="CQ313" i="25"/>
  <c r="CG302" i="25"/>
  <c r="DP303" i="25"/>
  <c r="DQ303" i="25" s="1"/>
  <c r="DR303" i="25" s="1"/>
  <c r="DS303" i="25" s="1"/>
  <c r="CQ301" i="25"/>
  <c r="CG301" i="25"/>
  <c r="DI313" i="25"/>
  <c r="DJ313" i="25" s="1"/>
  <c r="DP302" i="25"/>
  <c r="DQ302" i="25" s="1"/>
  <c r="DR302" i="25" s="1"/>
  <c r="DS302" i="25" s="1"/>
  <c r="EH302" i="25"/>
  <c r="DP301" i="25"/>
  <c r="DQ301" i="25" s="1"/>
  <c r="DR301" i="25" s="1"/>
  <c r="DS301" i="25" s="1"/>
  <c r="EH308" i="25"/>
  <c r="DF313" i="25"/>
  <c r="DP299" i="25"/>
  <c r="DQ299" i="25" s="1"/>
  <c r="DR299" i="25" s="1"/>
  <c r="DS299" i="25" s="1"/>
  <c r="EG308" i="25"/>
  <c r="CP308" i="25"/>
  <c r="CR308" i="25" s="1"/>
  <c r="EF297" i="25"/>
  <c r="EH299" i="25"/>
  <c r="EH303" i="25"/>
  <c r="CP303" i="25"/>
  <c r="CR303" i="25" s="1"/>
  <c r="DI308" i="25"/>
  <c r="DJ308" i="25" s="1"/>
  <c r="EF303" i="25"/>
  <c r="CP301" i="25"/>
  <c r="CR301" i="25" s="1"/>
  <c r="CQ308" i="25"/>
  <c r="EF301" i="25"/>
  <c r="DF308" i="25"/>
  <c r="CQ302" i="25"/>
  <c r="DI303" i="25"/>
  <c r="DJ303" i="25" s="1"/>
  <c r="DE303" i="25"/>
  <c r="DD303" i="25" s="1"/>
  <c r="DK303" i="25" s="1"/>
  <c r="CP297" i="25"/>
  <c r="CR297" i="25" s="1"/>
  <c r="CQ299" i="25"/>
  <c r="DI302" i="25"/>
  <c r="DJ302" i="25" s="1"/>
  <c r="DE302" i="25"/>
  <c r="DD302" i="25" s="1"/>
  <c r="DK302" i="25" s="1"/>
  <c r="DI301" i="25"/>
  <c r="DJ301" i="25" s="1"/>
  <c r="DE301" i="25"/>
  <c r="DD301" i="25" s="1"/>
  <c r="DK301" i="25" s="1"/>
  <c r="DZ303" i="25"/>
  <c r="DF303" i="25"/>
  <c r="CP299" i="25"/>
  <c r="CR299" i="25" s="1"/>
  <c r="EH297" i="25"/>
  <c r="EF299" i="25"/>
  <c r="DF302" i="25"/>
  <c r="DE299" i="25"/>
  <c r="DD299" i="25" s="1"/>
  <c r="DK299" i="25" s="1"/>
  <c r="CG299" i="25"/>
  <c r="DZ301" i="25"/>
  <c r="DF301" i="25"/>
  <c r="DP297" i="25"/>
  <c r="DQ297" i="25" s="1"/>
  <c r="DR297" i="25" s="1"/>
  <c r="DS297" i="25" s="1"/>
  <c r="CQ297" i="25"/>
  <c r="DI299" i="25"/>
  <c r="DJ299" i="25" s="1"/>
  <c r="EG297" i="25"/>
  <c r="DF299" i="25"/>
  <c r="DT297" i="25"/>
  <c r="DZ297" i="25"/>
  <c r="DI297" i="25"/>
  <c r="DJ297" i="25" s="1"/>
  <c r="DE297" i="25"/>
  <c r="DD297" i="25" s="1"/>
  <c r="DK297" i="25" s="1"/>
  <c r="CS320" i="25" l="1"/>
  <c r="CW320" i="25" s="1"/>
  <c r="CX320" i="25" s="1"/>
  <c r="DA320" i="25" s="1"/>
  <c r="CV357" i="25"/>
  <c r="CY357" i="25" s="1"/>
  <c r="CZ357" i="25" s="1"/>
  <c r="CS357" i="25"/>
  <c r="CW357" i="25" s="1"/>
  <c r="CX357" i="25" s="1"/>
  <c r="DA357" i="25" s="1"/>
  <c r="CV319" i="25"/>
  <c r="CY319" i="25" s="1"/>
  <c r="CZ319" i="25" s="1"/>
  <c r="CV354" i="25"/>
  <c r="CY354" i="25" s="1"/>
  <c r="CZ354" i="25" s="1"/>
  <c r="CS354" i="25"/>
  <c r="CW354" i="25" s="1"/>
  <c r="CX354" i="25" s="1"/>
  <c r="DA354" i="25" s="1"/>
  <c r="CV318" i="25"/>
  <c r="CY318" i="25" s="1"/>
  <c r="CZ318" i="25" s="1"/>
  <c r="CV264" i="25"/>
  <c r="CY264" i="25" s="1"/>
  <c r="CZ264" i="25" s="1"/>
  <c r="CS264" i="25"/>
  <c r="CW264" i="25" s="1"/>
  <c r="CX264" i="25" s="1"/>
  <c r="DA264" i="25" s="1"/>
  <c r="CV316" i="25"/>
  <c r="CY316" i="25" s="1"/>
  <c r="CZ316" i="25" s="1"/>
  <c r="CW324" i="25"/>
  <c r="CX324" i="25" s="1"/>
  <c r="DA324" i="25" s="1"/>
  <c r="CV242" i="25"/>
  <c r="CY242" i="25" s="1"/>
  <c r="CZ242" i="25" s="1"/>
  <c r="CS325" i="25"/>
  <c r="CW325" i="25" s="1"/>
  <c r="CX325" i="25" s="1"/>
  <c r="DA325" i="25" s="1"/>
  <c r="CV325" i="25"/>
  <c r="CY325" i="25" s="1"/>
  <c r="CZ325" i="25" s="1"/>
  <c r="CV266" i="25"/>
  <c r="CY266" i="25" s="1"/>
  <c r="CZ266" i="25" s="1"/>
  <c r="CS266" i="25"/>
  <c r="CW266" i="25" s="1"/>
  <c r="CX266" i="25" s="1"/>
  <c r="DA266" i="25" s="1"/>
  <c r="CV324" i="25"/>
  <c r="CY324" i="25" s="1"/>
  <c r="CZ324" i="25" s="1"/>
  <c r="CV349" i="25"/>
  <c r="CY349" i="25" s="1"/>
  <c r="CZ349" i="25" s="1"/>
  <c r="CS349" i="25"/>
  <c r="CW349" i="25" s="1"/>
  <c r="CX349" i="25" s="1"/>
  <c r="DA349" i="25" s="1"/>
  <c r="CS272" i="25"/>
  <c r="CW272" i="25" s="1"/>
  <c r="CX272" i="25" s="1"/>
  <c r="DA272" i="25" s="1"/>
  <c r="CV272" i="25"/>
  <c r="CY272" i="25" s="1"/>
  <c r="CZ272" i="25" s="1"/>
  <c r="CV236" i="25"/>
  <c r="CY236" i="25" s="1"/>
  <c r="CZ236" i="25" s="1"/>
  <c r="CS236" i="25"/>
  <c r="CW236" i="25" s="1"/>
  <c r="CX236" i="25" s="1"/>
  <c r="DA236" i="25" s="1"/>
  <c r="CW262" i="25"/>
  <c r="CX262" i="25" s="1"/>
  <c r="DA262" i="25" s="1"/>
  <c r="CV263" i="25"/>
  <c r="CY263" i="25" s="1"/>
  <c r="CZ263" i="25" s="1"/>
  <c r="CS263" i="25"/>
  <c r="CW263" i="25" s="1"/>
  <c r="CX263" i="25" s="1"/>
  <c r="DA263" i="25" s="1"/>
  <c r="CS265" i="25"/>
  <c r="CW265" i="25" s="1"/>
  <c r="CX265" i="25" s="1"/>
  <c r="DA265" i="25" s="1"/>
  <c r="CV265" i="25"/>
  <c r="CY265" i="25" s="1"/>
  <c r="CZ265" i="25" s="1"/>
  <c r="CV262" i="25"/>
  <c r="CY262" i="25" s="1"/>
  <c r="CZ262" i="25" s="1"/>
  <c r="CV230" i="25"/>
  <c r="CY230" i="25" s="1"/>
  <c r="CZ230" i="25" s="1"/>
  <c r="CS230" i="25"/>
  <c r="CW230" i="25" s="1"/>
  <c r="CX230" i="25" s="1"/>
  <c r="DA230" i="25" s="1"/>
  <c r="CV342" i="25"/>
  <c r="CY342" i="25" s="1"/>
  <c r="CZ342" i="25" s="1"/>
  <c r="CS342" i="25"/>
  <c r="CW342" i="25" s="1"/>
  <c r="CX342" i="25" s="1"/>
  <c r="DA342" i="25" s="1"/>
  <c r="CS302" i="25"/>
  <c r="CW302" i="25" s="1"/>
  <c r="CX302" i="25" s="1"/>
  <c r="DA302" i="25" s="1"/>
  <c r="CV339" i="25"/>
  <c r="CY339" i="25" s="1"/>
  <c r="CZ339" i="25" s="1"/>
  <c r="CV338" i="25"/>
  <c r="CY338" i="25" s="1"/>
  <c r="CZ338" i="25" s="1"/>
  <c r="CS338" i="25"/>
  <c r="CW338" i="25" s="1"/>
  <c r="CX338" i="25" s="1"/>
  <c r="DA338" i="25" s="1"/>
  <c r="CV313" i="25"/>
  <c r="CY313" i="25" s="1"/>
  <c r="CZ313" i="25" s="1"/>
  <c r="CV334" i="25"/>
  <c r="CY334" i="25" s="1"/>
  <c r="CZ334" i="25" s="1"/>
  <c r="CS334" i="25"/>
  <c r="CW334" i="25" s="1"/>
  <c r="CX334" i="25" s="1"/>
  <c r="DA334" i="25" s="1"/>
  <c r="CV301" i="25"/>
  <c r="CY301" i="25" s="1"/>
  <c r="CZ301" i="25" s="1"/>
  <c r="CS301" i="25"/>
  <c r="CW301" i="25" s="1"/>
  <c r="CX301" i="25" s="1"/>
  <c r="DA301" i="25" s="1"/>
  <c r="CV308" i="25"/>
  <c r="CY308" i="25" s="1"/>
  <c r="CZ308" i="25" s="1"/>
  <c r="CS308" i="25"/>
  <c r="CW308" i="25" s="1"/>
  <c r="CX308" i="25" s="1"/>
  <c r="DA308" i="25" s="1"/>
  <c r="CS299" i="25"/>
  <c r="CW299" i="25" s="1"/>
  <c r="CX299" i="25" s="1"/>
  <c r="DA299" i="25" s="1"/>
  <c r="CV299" i="25"/>
  <c r="CY299" i="25" s="1"/>
  <c r="CZ299" i="25" s="1"/>
  <c r="CV303" i="25"/>
  <c r="CY303" i="25" s="1"/>
  <c r="CZ303" i="25" s="1"/>
  <c r="CS303" i="25"/>
  <c r="CW303" i="25" s="1"/>
  <c r="CX303" i="25" s="1"/>
  <c r="DA303" i="25" s="1"/>
  <c r="CS297" i="25"/>
  <c r="CW297" i="25" s="1"/>
  <c r="CX297" i="25" s="1"/>
  <c r="DA297" i="25" s="1"/>
  <c r="CV297" i="25"/>
  <c r="CY297" i="25" s="1"/>
  <c r="CZ297" i="25" s="1"/>
  <c r="G360" i="25" l="1"/>
  <c r="G335" i="25"/>
  <c r="G323" i="25"/>
  <c r="G322" i="25"/>
  <c r="G286" i="25"/>
  <c r="G277" i="25"/>
  <c r="G259" i="25"/>
  <c r="G225" i="25"/>
  <c r="G227" i="25"/>
  <c r="G224" i="25"/>
  <c r="G222" i="25"/>
  <c r="CE362" i="25"/>
  <c r="CF362" i="25"/>
  <c r="CH362" i="25"/>
  <c r="CI362" i="25"/>
  <c r="CJ362" i="25"/>
  <c r="CK362" i="25"/>
  <c r="CL362" i="25"/>
  <c r="CM362" i="25"/>
  <c r="CN362" i="25"/>
  <c r="CT362" i="25"/>
  <c r="CU362" i="25" s="1"/>
  <c r="DB362" i="25"/>
  <c r="DC362" i="25"/>
  <c r="DG362" i="25"/>
  <c r="DH362" i="25"/>
  <c r="DL362" i="25"/>
  <c r="DM362" i="25"/>
  <c r="DT362" i="25" s="1"/>
  <c r="DN362" i="25"/>
  <c r="DO362" i="25"/>
  <c r="DV362" i="25"/>
  <c r="DW362" i="25"/>
  <c r="DX362" i="25" s="1"/>
  <c r="DY362" i="25"/>
  <c r="EA362" i="25"/>
  <c r="EB362" i="25"/>
  <c r="EC362" i="25"/>
  <c r="ED362" i="25"/>
  <c r="EE362" i="25"/>
  <c r="EI362" i="25"/>
  <c r="EJ362" i="25"/>
  <c r="EK362" i="25"/>
  <c r="EL362" i="25"/>
  <c r="EM362" i="25"/>
  <c r="DU362" i="25" s="1"/>
  <c r="EN362" i="25"/>
  <c r="EO362" i="25"/>
  <c r="EP362" i="25"/>
  <c r="EQ362" i="25"/>
  <c r="ET362" i="25"/>
  <c r="EU362" i="25"/>
  <c r="CE286" i="25"/>
  <c r="CE288" i="25"/>
  <c r="CE322" i="25"/>
  <c r="CE323" i="25"/>
  <c r="CE335" i="25"/>
  <c r="CE360" i="25"/>
  <c r="CE361" i="25"/>
  <c r="CF286" i="25"/>
  <c r="CF288" i="25"/>
  <c r="CF322" i="25"/>
  <c r="CF323" i="25"/>
  <c r="CF335" i="25"/>
  <c r="CF360" i="25"/>
  <c r="CF361" i="25"/>
  <c r="CH286" i="25"/>
  <c r="CH288" i="25"/>
  <c r="CH322" i="25"/>
  <c r="CH323" i="25"/>
  <c r="CH335" i="25"/>
  <c r="CH360" i="25"/>
  <c r="CH361" i="25"/>
  <c r="CI286" i="25"/>
  <c r="CI288" i="25"/>
  <c r="CI322" i="25"/>
  <c r="CI323" i="25"/>
  <c r="CI335" i="25"/>
  <c r="CI360" i="25"/>
  <c r="CI361" i="25"/>
  <c r="CJ286" i="25"/>
  <c r="CJ288" i="25"/>
  <c r="CJ322" i="25"/>
  <c r="CJ323" i="25"/>
  <c r="CJ335" i="25"/>
  <c r="CJ360" i="25"/>
  <c r="CJ361" i="25"/>
  <c r="CK286" i="25"/>
  <c r="CK288" i="25"/>
  <c r="CK322" i="25"/>
  <c r="CK323" i="25"/>
  <c r="CK335" i="25"/>
  <c r="CK360" i="25"/>
  <c r="CK361" i="25"/>
  <c r="CL286" i="25"/>
  <c r="CL288" i="25"/>
  <c r="CL322" i="25"/>
  <c r="CL323" i="25"/>
  <c r="CL335" i="25"/>
  <c r="CL360" i="25"/>
  <c r="CL361" i="25"/>
  <c r="CM286" i="25"/>
  <c r="CM288" i="25"/>
  <c r="CM322" i="25"/>
  <c r="CM323" i="25"/>
  <c r="CM335" i="25"/>
  <c r="CM360" i="25"/>
  <c r="CM361" i="25"/>
  <c r="CN286" i="25"/>
  <c r="CN288" i="25"/>
  <c r="CN322" i="25"/>
  <c r="CN323" i="25"/>
  <c r="CN335" i="25"/>
  <c r="CN360" i="25"/>
  <c r="CN361" i="25"/>
  <c r="CT286" i="25"/>
  <c r="CU286" i="25" s="1"/>
  <c r="CT288" i="25"/>
  <c r="CU288" i="25" s="1"/>
  <c r="CT322" i="25"/>
  <c r="CT323" i="25"/>
  <c r="CU323" i="25" s="1"/>
  <c r="CT335" i="25"/>
  <c r="CU335" i="25" s="1"/>
  <c r="CT360" i="25"/>
  <c r="CT361" i="25"/>
  <c r="CU361" i="25" s="1"/>
  <c r="DB286" i="25"/>
  <c r="DB288" i="25"/>
  <c r="DB322" i="25"/>
  <c r="DB323" i="25"/>
  <c r="DB335" i="25"/>
  <c r="DB360" i="25"/>
  <c r="DB361" i="25"/>
  <c r="DC286" i="25"/>
  <c r="DC288" i="25"/>
  <c r="DE288" i="25" s="1"/>
  <c r="DC322" i="25"/>
  <c r="DC323" i="25"/>
  <c r="DC335" i="25"/>
  <c r="DC360" i="25"/>
  <c r="DC361" i="25"/>
  <c r="DG286" i="25"/>
  <c r="DG288" i="25"/>
  <c r="DG322" i="25"/>
  <c r="DG323" i="25"/>
  <c r="DG335" i="25"/>
  <c r="DG360" i="25"/>
  <c r="DG361" i="25"/>
  <c r="DH286" i="25"/>
  <c r="DH288" i="25"/>
  <c r="DH322" i="25"/>
  <c r="DH323" i="25"/>
  <c r="DH335" i="25"/>
  <c r="DH360" i="25"/>
  <c r="DH361" i="25"/>
  <c r="DL286" i="25"/>
  <c r="DL288" i="25"/>
  <c r="DL322" i="25"/>
  <c r="DL323" i="25"/>
  <c r="DL335" i="25"/>
  <c r="DL360" i="25"/>
  <c r="DL361" i="25"/>
  <c r="DM286" i="25"/>
  <c r="DT286" i="25" s="1"/>
  <c r="DM288" i="25"/>
  <c r="DT288" i="25" s="1"/>
  <c r="DM322" i="25"/>
  <c r="DT322" i="25" s="1"/>
  <c r="DM323" i="25"/>
  <c r="DT323" i="25" s="1"/>
  <c r="DM335" i="25"/>
  <c r="DT335" i="25" s="1"/>
  <c r="DM360" i="25"/>
  <c r="DT360" i="25" s="1"/>
  <c r="DM361" i="25"/>
  <c r="DN286" i="25"/>
  <c r="DN288" i="25"/>
  <c r="DN322" i="25"/>
  <c r="DN323" i="25"/>
  <c r="DN335" i="25"/>
  <c r="DN360" i="25"/>
  <c r="DN361" i="25"/>
  <c r="DO286" i="25"/>
  <c r="DO288" i="25"/>
  <c r="DO322" i="25"/>
  <c r="DO323" i="25"/>
  <c r="DO335" i="25"/>
  <c r="DO360" i="25"/>
  <c r="DO361" i="25"/>
  <c r="DV286" i="25"/>
  <c r="DV288" i="25"/>
  <c r="DV322" i="25"/>
  <c r="DV323" i="25"/>
  <c r="DV335" i="25"/>
  <c r="DV360" i="25"/>
  <c r="DV361" i="25"/>
  <c r="DW286" i="25"/>
  <c r="DZ286" i="25" s="1"/>
  <c r="DW288" i="25"/>
  <c r="DZ288" i="25" s="1"/>
  <c r="DW322" i="25"/>
  <c r="DZ322" i="25" s="1"/>
  <c r="DW323" i="25"/>
  <c r="DX323" i="25" s="1"/>
  <c r="DW335" i="25"/>
  <c r="DZ335" i="25" s="1"/>
  <c r="DW360" i="25"/>
  <c r="DX360" i="25" s="1"/>
  <c r="DW361" i="25"/>
  <c r="DX361" i="25" s="1"/>
  <c r="DY286" i="25"/>
  <c r="DY288" i="25"/>
  <c r="DY322" i="25"/>
  <c r="DY323" i="25"/>
  <c r="DY335" i="25"/>
  <c r="DY360" i="25"/>
  <c r="DY361" i="25"/>
  <c r="EA286" i="25"/>
  <c r="EA288" i="25"/>
  <c r="EA322" i="25"/>
  <c r="EA323" i="25"/>
  <c r="EA335" i="25"/>
  <c r="EA360" i="25"/>
  <c r="EA361" i="25"/>
  <c r="EB286" i="25"/>
  <c r="EB288" i="25"/>
  <c r="EB322" i="25"/>
  <c r="EB323" i="25"/>
  <c r="EB335" i="25"/>
  <c r="EB360" i="25"/>
  <c r="EB361" i="25"/>
  <c r="EC286" i="25"/>
  <c r="EC288" i="25"/>
  <c r="EC322" i="25"/>
  <c r="EC323" i="25"/>
  <c r="EC335" i="25"/>
  <c r="EC360" i="25"/>
  <c r="EC361" i="25"/>
  <c r="ED286" i="25"/>
  <c r="ED288" i="25"/>
  <c r="ED322" i="25"/>
  <c r="ED323" i="25"/>
  <c r="ED335" i="25"/>
  <c r="ED360" i="25"/>
  <c r="ED361" i="25"/>
  <c r="EE286" i="25"/>
  <c r="EE288" i="25"/>
  <c r="EE322" i="25"/>
  <c r="EE323" i="25"/>
  <c r="EE335" i="25"/>
  <c r="EE360" i="25"/>
  <c r="EE361" i="25"/>
  <c r="EI286" i="25"/>
  <c r="EI288" i="25"/>
  <c r="EI322" i="25"/>
  <c r="EI323" i="25"/>
  <c r="EI335" i="25"/>
  <c r="EI360" i="25"/>
  <c r="EI361" i="25"/>
  <c r="EJ286" i="25"/>
  <c r="EJ288" i="25"/>
  <c r="EJ322" i="25"/>
  <c r="EJ323" i="25"/>
  <c r="EJ335" i="25"/>
  <c r="EJ360" i="25"/>
  <c r="EJ361" i="25"/>
  <c r="EK286" i="25"/>
  <c r="DI286" i="25" s="1"/>
  <c r="DJ286" i="25" s="1"/>
  <c r="DK288" i="25"/>
  <c r="EK322" i="25"/>
  <c r="DF322" i="25" s="1"/>
  <c r="EK323" i="25"/>
  <c r="DF323" i="25" s="1"/>
  <c r="EK335" i="25"/>
  <c r="DI335" i="25" s="1"/>
  <c r="DJ335" i="25" s="1"/>
  <c r="EK360" i="25"/>
  <c r="DI360" i="25" s="1"/>
  <c r="DJ360" i="25" s="1"/>
  <c r="EK361" i="25"/>
  <c r="DI361" i="25" s="1"/>
  <c r="DJ361" i="25" s="1"/>
  <c r="EL286" i="25"/>
  <c r="EL322" i="25"/>
  <c r="EL323" i="25"/>
  <c r="EL335" i="25"/>
  <c r="EL360" i="25"/>
  <c r="EL361" i="25"/>
  <c r="EM286" i="25"/>
  <c r="DU286" i="25" s="1"/>
  <c r="DU288" i="25"/>
  <c r="EM322" i="25"/>
  <c r="DU322" i="25" s="1"/>
  <c r="EM323" i="25"/>
  <c r="DU323" i="25" s="1"/>
  <c r="EM335" i="25"/>
  <c r="DU335" i="25" s="1"/>
  <c r="EM360" i="25"/>
  <c r="DU360" i="25" s="1"/>
  <c r="EM361" i="25"/>
  <c r="DU361" i="25" s="1"/>
  <c r="EN286" i="25"/>
  <c r="EN322" i="25"/>
  <c r="EN323" i="25"/>
  <c r="EN335" i="25"/>
  <c r="EN360" i="25"/>
  <c r="EN361" i="25"/>
  <c r="EO286" i="25"/>
  <c r="EO322" i="25"/>
  <c r="EO323" i="25"/>
  <c r="EO335" i="25"/>
  <c r="EO360" i="25"/>
  <c r="EO361" i="25"/>
  <c r="EP286" i="25"/>
  <c r="EP322" i="25"/>
  <c r="EP323" i="25"/>
  <c r="EP335" i="25"/>
  <c r="EP360" i="25"/>
  <c r="EP361" i="25"/>
  <c r="EQ286" i="25"/>
  <c r="EQ288" i="25"/>
  <c r="EQ322" i="25"/>
  <c r="EQ323" i="25"/>
  <c r="EQ335" i="25"/>
  <c r="EQ360" i="25"/>
  <c r="EQ361" i="25"/>
  <c r="ET286" i="25"/>
  <c r="ET288" i="25"/>
  <c r="ET322" i="25"/>
  <c r="ET323" i="25"/>
  <c r="ET335" i="25"/>
  <c r="ET360" i="25"/>
  <c r="ET361" i="25"/>
  <c r="EU286" i="25"/>
  <c r="EU288" i="25"/>
  <c r="EU322" i="25"/>
  <c r="EU323" i="25"/>
  <c r="EU335" i="25"/>
  <c r="EU360" i="25"/>
  <c r="EU361" i="25"/>
  <c r="CE280" i="25"/>
  <c r="CE281" i="25"/>
  <c r="CF280" i="25"/>
  <c r="CF281" i="25"/>
  <c r="CH280" i="25"/>
  <c r="CH281" i="25"/>
  <c r="CI280" i="25"/>
  <c r="CI281" i="25"/>
  <c r="CJ280" i="25"/>
  <c r="CJ281" i="25"/>
  <c r="CK280" i="25"/>
  <c r="CK281" i="25"/>
  <c r="CL280" i="25"/>
  <c r="CL281" i="25"/>
  <c r="CM280" i="25"/>
  <c r="CM281" i="25"/>
  <c r="CN280" i="25"/>
  <c r="CN281" i="25"/>
  <c r="CT280" i="25"/>
  <c r="CU280" i="25" s="1"/>
  <c r="CT281" i="25"/>
  <c r="DB280" i="25"/>
  <c r="DB281" i="25"/>
  <c r="DC280" i="25"/>
  <c r="DC281" i="25"/>
  <c r="DG280" i="25"/>
  <c r="DG281" i="25"/>
  <c r="DH280" i="25"/>
  <c r="DH281" i="25"/>
  <c r="DL280" i="25"/>
  <c r="DL281" i="25"/>
  <c r="DM280" i="25"/>
  <c r="DT280" i="25" s="1"/>
  <c r="DM281" i="25"/>
  <c r="DT281" i="25" s="1"/>
  <c r="DN280" i="25"/>
  <c r="DN281" i="25"/>
  <c r="DO280" i="25"/>
  <c r="DO281" i="25"/>
  <c r="DV280" i="25"/>
  <c r="DV281" i="25"/>
  <c r="DW280" i="25"/>
  <c r="DX280" i="25" s="1"/>
  <c r="DW281" i="25"/>
  <c r="DX281" i="25" s="1"/>
  <c r="DY280" i="25"/>
  <c r="DY281" i="25"/>
  <c r="EA280" i="25"/>
  <c r="EA281" i="25"/>
  <c r="EB280" i="25"/>
  <c r="EB281" i="25"/>
  <c r="EC280" i="25"/>
  <c r="EC281" i="25"/>
  <c r="ED280" i="25"/>
  <c r="ED281" i="25"/>
  <c r="EE280" i="25"/>
  <c r="EE281" i="25"/>
  <c r="EI280" i="25"/>
  <c r="EI281" i="25"/>
  <c r="EJ280" i="25"/>
  <c r="EJ281" i="25"/>
  <c r="EK280" i="25"/>
  <c r="EK281" i="25"/>
  <c r="EL280" i="25"/>
  <c r="EL281" i="25"/>
  <c r="EM280" i="25"/>
  <c r="DU280" i="25" s="1"/>
  <c r="EM281" i="25"/>
  <c r="DU281" i="25" s="1"/>
  <c r="EN280" i="25"/>
  <c r="EN281" i="25"/>
  <c r="EO280" i="25"/>
  <c r="EO281" i="25"/>
  <c r="EP280" i="25"/>
  <c r="EP281" i="25"/>
  <c r="EQ280" i="25"/>
  <c r="EQ281" i="25"/>
  <c r="ET280" i="25"/>
  <c r="ET281" i="25"/>
  <c r="EU280" i="25"/>
  <c r="EU281" i="25"/>
  <c r="CE259" i="25"/>
  <c r="CE274" i="25"/>
  <c r="CE277" i="25"/>
  <c r="CF259" i="25"/>
  <c r="CF274" i="25"/>
  <c r="CF277" i="25"/>
  <c r="CH259" i="25"/>
  <c r="CH274" i="25"/>
  <c r="CH277" i="25"/>
  <c r="CI259" i="25"/>
  <c r="CI274" i="25"/>
  <c r="CI277" i="25"/>
  <c r="CJ259" i="25"/>
  <c r="CJ274" i="25"/>
  <c r="CJ277" i="25"/>
  <c r="CK259" i="25"/>
  <c r="CK274" i="25"/>
  <c r="CK277" i="25"/>
  <c r="CL259" i="25"/>
  <c r="CL274" i="25"/>
  <c r="CL277" i="25"/>
  <c r="CM259" i="25"/>
  <c r="CM274" i="25"/>
  <c r="CM277" i="25"/>
  <c r="CN259" i="25"/>
  <c r="CN274" i="25"/>
  <c r="CN277" i="25"/>
  <c r="CT259" i="25"/>
  <c r="CU259" i="25" s="1"/>
  <c r="CT274" i="25"/>
  <c r="CU274" i="25" s="1"/>
  <c r="CT277" i="25"/>
  <c r="CU277" i="25" s="1"/>
  <c r="DB259" i="25"/>
  <c r="DB274" i="25"/>
  <c r="DB277" i="25"/>
  <c r="DC259" i="25"/>
  <c r="DC274" i="25"/>
  <c r="DC277" i="25"/>
  <c r="DG259" i="25"/>
  <c r="DG274" i="25"/>
  <c r="DG277" i="25"/>
  <c r="DH259" i="25"/>
  <c r="DH274" i="25"/>
  <c r="DH277" i="25"/>
  <c r="DL259" i="25"/>
  <c r="DL274" i="25"/>
  <c r="DL277" i="25"/>
  <c r="DM259" i="25"/>
  <c r="DT259" i="25" s="1"/>
  <c r="DM274" i="25"/>
  <c r="DT274" i="25" s="1"/>
  <c r="DM277" i="25"/>
  <c r="DT277" i="25" s="1"/>
  <c r="DN259" i="25"/>
  <c r="DN274" i="25"/>
  <c r="DN277" i="25"/>
  <c r="DO259" i="25"/>
  <c r="DO274" i="25"/>
  <c r="DO277" i="25"/>
  <c r="DV259" i="25"/>
  <c r="DV274" i="25"/>
  <c r="DV277" i="25"/>
  <c r="DW259" i="25"/>
  <c r="DZ259" i="25" s="1"/>
  <c r="DW274" i="25"/>
  <c r="DZ274" i="25" s="1"/>
  <c r="DW277" i="25"/>
  <c r="DZ277" i="25" s="1"/>
  <c r="DY259" i="25"/>
  <c r="DY274" i="25"/>
  <c r="DY277" i="25"/>
  <c r="EA259" i="25"/>
  <c r="EA274" i="25"/>
  <c r="EA277" i="25"/>
  <c r="EB259" i="25"/>
  <c r="EB274" i="25"/>
  <c r="EB277" i="25"/>
  <c r="EC259" i="25"/>
  <c r="EC274" i="25"/>
  <c r="EC277" i="25"/>
  <c r="ED259" i="25"/>
  <c r="ED274" i="25"/>
  <c r="ED277" i="25"/>
  <c r="EE259" i="25"/>
  <c r="EE274" i="25"/>
  <c r="EE277" i="25"/>
  <c r="EI259" i="25"/>
  <c r="EI274" i="25"/>
  <c r="EI277" i="25"/>
  <c r="EJ259" i="25"/>
  <c r="EJ274" i="25"/>
  <c r="EJ277" i="25"/>
  <c r="EK259" i="25"/>
  <c r="DI259" i="25" s="1"/>
  <c r="DJ259" i="25" s="1"/>
  <c r="EK274" i="25"/>
  <c r="DI274" i="25" s="1"/>
  <c r="DJ274" i="25" s="1"/>
  <c r="EK277" i="25"/>
  <c r="DF277" i="25" s="1"/>
  <c r="EL259" i="25"/>
  <c r="EL274" i="25"/>
  <c r="EL277" i="25"/>
  <c r="EM259" i="25"/>
  <c r="DU259" i="25" s="1"/>
  <c r="EM274" i="25"/>
  <c r="DU274" i="25" s="1"/>
  <c r="EM277" i="25"/>
  <c r="DU277" i="25" s="1"/>
  <c r="EN259" i="25"/>
  <c r="EN274" i="25"/>
  <c r="EN277" i="25"/>
  <c r="EO259" i="25"/>
  <c r="EO274" i="25"/>
  <c r="EO277" i="25"/>
  <c r="EP259" i="25"/>
  <c r="EP274" i="25"/>
  <c r="EP277" i="25"/>
  <c r="EQ259" i="25"/>
  <c r="EQ274" i="25"/>
  <c r="EQ277" i="25"/>
  <c r="ET259" i="25"/>
  <c r="ET274" i="25"/>
  <c r="ET277" i="25"/>
  <c r="EU259" i="25"/>
  <c r="EU274" i="25"/>
  <c r="EU277" i="25"/>
  <c r="CE225" i="25"/>
  <c r="CF225" i="25"/>
  <c r="CH225" i="25"/>
  <c r="CI225" i="25"/>
  <c r="CJ225" i="25"/>
  <c r="CK225" i="25"/>
  <c r="CL225" i="25"/>
  <c r="CM225" i="25"/>
  <c r="CN225" i="25"/>
  <c r="CT225" i="25"/>
  <c r="CU225" i="25" s="1"/>
  <c r="DB225" i="25"/>
  <c r="DC225" i="25"/>
  <c r="DG225" i="25"/>
  <c r="DH225" i="25"/>
  <c r="DL225" i="25"/>
  <c r="DM225" i="25"/>
  <c r="DT225" i="25" s="1"/>
  <c r="DN225" i="25"/>
  <c r="DO225" i="25"/>
  <c r="DV225" i="25"/>
  <c r="DW225" i="25"/>
  <c r="DX225" i="25" s="1"/>
  <c r="DY225" i="25"/>
  <c r="EA225" i="25"/>
  <c r="EB225" i="25"/>
  <c r="EC225" i="25"/>
  <c r="ED225" i="25"/>
  <c r="EE225" i="25"/>
  <c r="EI225" i="25"/>
  <c r="EJ225" i="25"/>
  <c r="EK225" i="25"/>
  <c r="EL225" i="25"/>
  <c r="EM225" i="25"/>
  <c r="DU225" i="25" s="1"/>
  <c r="EN225" i="25"/>
  <c r="EO225" i="25"/>
  <c r="EP225" i="25"/>
  <c r="EQ225" i="25"/>
  <c r="ET225" i="25"/>
  <c r="EU225" i="25"/>
  <c r="CE227" i="25"/>
  <c r="CF227" i="25"/>
  <c r="CH227" i="25"/>
  <c r="CI227" i="25"/>
  <c r="CJ227" i="25"/>
  <c r="CK227" i="25"/>
  <c r="CL227" i="25"/>
  <c r="CM227" i="25"/>
  <c r="CN227" i="25"/>
  <c r="CT227" i="25"/>
  <c r="CU227" i="25" s="1"/>
  <c r="DB227" i="25"/>
  <c r="DC227" i="25"/>
  <c r="DG227" i="25"/>
  <c r="DH227" i="25"/>
  <c r="DL227" i="25"/>
  <c r="DM227" i="25"/>
  <c r="DT227" i="25" s="1"/>
  <c r="DN227" i="25"/>
  <c r="DO227" i="25"/>
  <c r="DV227" i="25"/>
  <c r="DW227" i="25"/>
  <c r="DZ227" i="25" s="1"/>
  <c r="DY227" i="25"/>
  <c r="EA227" i="25"/>
  <c r="EB227" i="25"/>
  <c r="EC227" i="25"/>
  <c r="ED227" i="25"/>
  <c r="EE227" i="25"/>
  <c r="EI227" i="25"/>
  <c r="EJ227" i="25"/>
  <c r="EK227" i="25"/>
  <c r="EL227" i="25"/>
  <c r="EM227" i="25"/>
  <c r="DU227" i="25" s="1"/>
  <c r="EN227" i="25"/>
  <c r="EO227" i="25"/>
  <c r="EP227" i="25"/>
  <c r="EQ227" i="25"/>
  <c r="ET227" i="25"/>
  <c r="EU227" i="25"/>
  <c r="CE224" i="25"/>
  <c r="CF224" i="25"/>
  <c r="CH224" i="25"/>
  <c r="CI224" i="25"/>
  <c r="CJ224" i="25"/>
  <c r="CK224" i="25"/>
  <c r="CL224" i="25"/>
  <c r="CM224" i="25"/>
  <c r="CN224" i="25"/>
  <c r="CT224" i="25"/>
  <c r="CU224" i="25" s="1"/>
  <c r="DB224" i="25"/>
  <c r="DC224" i="25"/>
  <c r="DG224" i="25"/>
  <c r="DH224" i="25"/>
  <c r="DL224" i="25"/>
  <c r="DM224" i="25"/>
  <c r="DT224" i="25" s="1"/>
  <c r="DN224" i="25"/>
  <c r="DO224" i="25"/>
  <c r="DV224" i="25"/>
  <c r="DW224" i="25"/>
  <c r="DX224" i="25" s="1"/>
  <c r="DY224" i="25"/>
  <c r="EA224" i="25"/>
  <c r="EB224" i="25"/>
  <c r="EC224" i="25"/>
  <c r="ED224" i="25"/>
  <c r="EE224" i="25"/>
  <c r="EI224" i="25"/>
  <c r="EJ224" i="25"/>
  <c r="EK224" i="25"/>
  <c r="EL224" i="25"/>
  <c r="EM224" i="25"/>
  <c r="DU224" i="25" s="1"/>
  <c r="EN224" i="25"/>
  <c r="EO224" i="25"/>
  <c r="EP224" i="25"/>
  <c r="EQ224" i="25"/>
  <c r="ET224" i="25"/>
  <c r="EU224" i="25"/>
  <c r="CE222" i="25"/>
  <c r="CF222" i="25"/>
  <c r="CH222" i="25"/>
  <c r="CI222" i="25"/>
  <c r="CJ222" i="25"/>
  <c r="CK222" i="25"/>
  <c r="CL222" i="25"/>
  <c r="CM222" i="25"/>
  <c r="CN222" i="25"/>
  <c r="CT222" i="25"/>
  <c r="CU222" i="25" s="1"/>
  <c r="DB222" i="25"/>
  <c r="DC222" i="25"/>
  <c r="DG222" i="25"/>
  <c r="DH222" i="25"/>
  <c r="DL222" i="25"/>
  <c r="DM222" i="25"/>
  <c r="DT222" i="25" s="1"/>
  <c r="DN222" i="25"/>
  <c r="DO222" i="25"/>
  <c r="DV222" i="25"/>
  <c r="DW222" i="25"/>
  <c r="DX222" i="25" s="1"/>
  <c r="DY222" i="25"/>
  <c r="EA222" i="25"/>
  <c r="EB222" i="25"/>
  <c r="EC222" i="25"/>
  <c r="ED222" i="25"/>
  <c r="EE222" i="25"/>
  <c r="EI222" i="25"/>
  <c r="EJ222" i="25"/>
  <c r="EK222" i="25"/>
  <c r="EL222" i="25"/>
  <c r="EM222" i="25"/>
  <c r="DU222" i="25" s="1"/>
  <c r="EN222" i="25"/>
  <c r="EO222" i="25"/>
  <c r="EP222" i="25"/>
  <c r="EQ222" i="25"/>
  <c r="ET222" i="25"/>
  <c r="EU222" i="25"/>
  <c r="EH322" i="25" l="1"/>
  <c r="DP360" i="25"/>
  <c r="DQ360" i="25" s="1"/>
  <c r="DR360" i="25" s="1"/>
  <c r="DS360" i="25" s="1"/>
  <c r="CG288" i="25"/>
  <c r="CG286" i="25"/>
  <c r="DE362" i="25"/>
  <c r="DD362" i="25" s="1"/>
  <c r="DK362" i="25" s="1"/>
  <c r="DP274" i="25"/>
  <c r="DQ274" i="25" s="1"/>
  <c r="DR274" i="25" s="1"/>
  <c r="DS274" i="25" s="1"/>
  <c r="EG225" i="25"/>
  <c r="EG362" i="25"/>
  <c r="DP323" i="25"/>
  <c r="DQ323" i="25" s="1"/>
  <c r="DR323" i="25" s="1"/>
  <c r="DS323" i="25" s="1"/>
  <c r="CG361" i="25"/>
  <c r="EG259" i="25"/>
  <c r="EH362" i="25"/>
  <c r="EG280" i="25"/>
  <c r="DP288" i="25"/>
  <c r="DQ288" i="25" s="1"/>
  <c r="DR288" i="25" s="1"/>
  <c r="DS288" i="25" s="1"/>
  <c r="CG335" i="25"/>
  <c r="EH277" i="25"/>
  <c r="DP286" i="25"/>
  <c r="DQ286" i="25" s="1"/>
  <c r="DR286" i="25" s="1"/>
  <c r="DS286" i="25" s="1"/>
  <c r="CG323" i="25"/>
  <c r="DP362" i="25"/>
  <c r="DQ362" i="25" s="1"/>
  <c r="DR362" i="25" s="1"/>
  <c r="DS362" i="25" s="1"/>
  <c r="EF362" i="25"/>
  <c r="EG277" i="25"/>
  <c r="DX335" i="25"/>
  <c r="EG281" i="25"/>
  <c r="DX288" i="25"/>
  <c r="EH335" i="25"/>
  <c r="EG323" i="25"/>
  <c r="EG361" i="25"/>
  <c r="CQ322" i="25"/>
  <c r="EH361" i="25"/>
  <c r="EG360" i="25"/>
  <c r="CP288" i="25"/>
  <c r="CR288" i="25" s="1"/>
  <c r="CS288" i="25" s="1"/>
  <c r="CQ286" i="25"/>
  <c r="DZ362" i="25"/>
  <c r="EF335" i="25"/>
  <c r="EF323" i="25"/>
  <c r="CP362" i="25"/>
  <c r="CR362" i="25" s="1"/>
  <c r="CS362" i="25" s="1"/>
  <c r="CW362" i="25" s="1"/>
  <c r="CX362" i="25" s="1"/>
  <c r="DA362" i="25" s="1"/>
  <c r="EH360" i="25"/>
  <c r="EG335" i="25"/>
  <c r="CG360" i="25"/>
  <c r="DZ361" i="25"/>
  <c r="EF288" i="25"/>
  <c r="EF286" i="25"/>
  <c r="DZ360" i="25"/>
  <c r="DP361" i="25"/>
  <c r="DQ361" i="25" s="1"/>
  <c r="DR361" i="25" s="1"/>
  <c r="DS361" i="25" s="1"/>
  <c r="EG288" i="25"/>
  <c r="CG362" i="25"/>
  <c r="DZ281" i="25"/>
  <c r="DZ323" i="25"/>
  <c r="CG322" i="25"/>
  <c r="DP335" i="25"/>
  <c r="DQ335" i="25" s="1"/>
  <c r="DR335" i="25" s="1"/>
  <c r="DS335" i="25" s="1"/>
  <c r="EH286" i="25"/>
  <c r="CQ361" i="25"/>
  <c r="CQ360" i="25"/>
  <c r="CP322" i="25"/>
  <c r="CR322" i="25" s="1"/>
  <c r="CS322" i="25" s="1"/>
  <c r="DX286" i="25"/>
  <c r="CQ335" i="25"/>
  <c r="CQ323" i="25"/>
  <c r="EH274" i="25"/>
  <c r="EH323" i="25"/>
  <c r="EG322" i="25"/>
  <c r="DI362" i="25"/>
  <c r="DJ362" i="25" s="1"/>
  <c r="EF322" i="25"/>
  <c r="EH288" i="25"/>
  <c r="EG286" i="25"/>
  <c r="CQ288" i="25"/>
  <c r="CP286" i="25"/>
  <c r="CR286" i="25" s="1"/>
  <c r="CQ362" i="25"/>
  <c r="CG277" i="25"/>
  <c r="EH281" i="25"/>
  <c r="CP281" i="25"/>
  <c r="CR281" i="25" s="1"/>
  <c r="CG281" i="25"/>
  <c r="EF361" i="25"/>
  <c r="DP322" i="25"/>
  <c r="DQ322" i="25" s="1"/>
  <c r="DR322" i="25" s="1"/>
  <c r="DS322" i="25" s="1"/>
  <c r="DF288" i="25"/>
  <c r="DF362" i="25"/>
  <c r="DP259" i="25"/>
  <c r="DQ259" i="25" s="1"/>
  <c r="DR259" i="25" s="1"/>
  <c r="DS259" i="25" s="1"/>
  <c r="DP280" i="25"/>
  <c r="DQ280" i="25" s="1"/>
  <c r="DR280" i="25" s="1"/>
  <c r="DS280" i="25" s="1"/>
  <c r="EH280" i="25"/>
  <c r="CP280" i="25"/>
  <c r="CR280" i="25" s="1"/>
  <c r="EF360" i="25"/>
  <c r="DE286" i="25"/>
  <c r="DD286" i="25" s="1"/>
  <c r="DK286" i="25" s="1"/>
  <c r="EH222" i="25"/>
  <c r="EH224" i="25"/>
  <c r="DP225" i="25"/>
  <c r="DQ225" i="25" s="1"/>
  <c r="DR225" i="25" s="1"/>
  <c r="DS225" i="25" s="1"/>
  <c r="EH225" i="25"/>
  <c r="CQ259" i="25"/>
  <c r="CG280" i="25"/>
  <c r="DX322" i="25"/>
  <c r="DT361" i="25"/>
  <c r="DI323" i="25"/>
  <c r="DJ323" i="25" s="1"/>
  <c r="DF286" i="25"/>
  <c r="CU360" i="25"/>
  <c r="DI322" i="25"/>
  <c r="DJ322" i="25" s="1"/>
  <c r="DE361" i="25"/>
  <c r="DD361" i="25" s="1"/>
  <c r="DK361" i="25" s="1"/>
  <c r="DI288" i="25"/>
  <c r="DJ288" i="25" s="1"/>
  <c r="DF361" i="25"/>
  <c r="DE360" i="25"/>
  <c r="DD360" i="25" s="1"/>
  <c r="DK360" i="25" s="1"/>
  <c r="CP361" i="25"/>
  <c r="CR361" i="25" s="1"/>
  <c r="CQ280" i="25"/>
  <c r="DZ225" i="25"/>
  <c r="CG274" i="25"/>
  <c r="EF281" i="25"/>
  <c r="DF360" i="25"/>
  <c r="DE335" i="25"/>
  <c r="DD335" i="25" s="1"/>
  <c r="DK335" i="25" s="1"/>
  <c r="CU322" i="25"/>
  <c r="CP360" i="25"/>
  <c r="CR360" i="25" s="1"/>
  <c r="CS360" i="25" s="1"/>
  <c r="DZ280" i="25"/>
  <c r="EH259" i="25"/>
  <c r="CP274" i="25"/>
  <c r="CR274" i="25" s="1"/>
  <c r="CG259" i="25"/>
  <c r="EF280" i="25"/>
  <c r="DP281" i="25"/>
  <c r="DQ281" i="25" s="1"/>
  <c r="DR281" i="25" s="1"/>
  <c r="DS281" i="25" s="1"/>
  <c r="CQ281" i="25"/>
  <c r="DF335" i="25"/>
  <c r="DE323" i="25"/>
  <c r="DD323" i="25" s="1"/>
  <c r="DK323" i="25" s="1"/>
  <c r="CP335" i="25"/>
  <c r="CR335" i="25" s="1"/>
  <c r="DE322" i="25"/>
  <c r="DD322" i="25" s="1"/>
  <c r="DK322" i="25" s="1"/>
  <c r="CP323" i="25"/>
  <c r="CR323" i="25" s="1"/>
  <c r="CS323" i="25" s="1"/>
  <c r="CW323" i="25" s="1"/>
  <c r="CX323" i="25" s="1"/>
  <c r="DA323" i="25" s="1"/>
  <c r="EG274" i="25"/>
  <c r="DF281" i="25"/>
  <c r="EF224" i="25"/>
  <c r="DE227" i="25"/>
  <c r="DD227" i="25" s="1"/>
  <c r="DK227" i="25" s="1"/>
  <c r="EH227" i="25"/>
  <c r="DE259" i="25"/>
  <c r="DD259" i="25" s="1"/>
  <c r="DK259" i="25" s="1"/>
  <c r="DX274" i="25"/>
  <c r="CQ274" i="25"/>
  <c r="CU281" i="25"/>
  <c r="DX227" i="25"/>
  <c r="EF274" i="25"/>
  <c r="DE224" i="25"/>
  <c r="DD224" i="25" s="1"/>
  <c r="DK224" i="25" s="1"/>
  <c r="EF277" i="25"/>
  <c r="DP277" i="25"/>
  <c r="DQ277" i="25" s="1"/>
  <c r="DR277" i="25" s="1"/>
  <c r="DS277" i="25" s="1"/>
  <c r="DF274" i="25"/>
  <c r="DF280" i="25"/>
  <c r="EF227" i="25"/>
  <c r="CP277" i="25"/>
  <c r="CR277" i="25" s="1"/>
  <c r="CP259" i="25"/>
  <c r="CR259" i="25" s="1"/>
  <c r="DI281" i="25"/>
  <c r="DJ281" i="25" s="1"/>
  <c r="DE281" i="25"/>
  <c r="DD281" i="25" s="1"/>
  <c r="DK281" i="25" s="1"/>
  <c r="EF259" i="25"/>
  <c r="DI280" i="25"/>
  <c r="DJ280" i="25" s="1"/>
  <c r="DE280" i="25"/>
  <c r="DD280" i="25" s="1"/>
  <c r="DK280" i="25" s="1"/>
  <c r="DE225" i="25"/>
  <c r="DD225" i="25" s="1"/>
  <c r="DK225" i="25" s="1"/>
  <c r="CG225" i="25"/>
  <c r="DX277" i="25"/>
  <c r="DF259" i="25"/>
  <c r="DE277" i="25"/>
  <c r="DD277" i="25" s="1"/>
  <c r="DK277" i="25" s="1"/>
  <c r="EG227" i="25"/>
  <c r="CP225" i="25"/>
  <c r="CR225" i="25" s="1"/>
  <c r="DX259" i="25"/>
  <c r="DE274" i="25"/>
  <c r="DD274" i="25" s="1"/>
  <c r="DK274" i="25" s="1"/>
  <c r="DE222" i="25"/>
  <c r="DD222" i="25" s="1"/>
  <c r="DK222" i="25" s="1"/>
  <c r="CQ277" i="25"/>
  <c r="EF225" i="25"/>
  <c r="DI277" i="25"/>
  <c r="DJ277" i="25" s="1"/>
  <c r="DP227" i="25"/>
  <c r="DQ227" i="25" s="1"/>
  <c r="DR227" i="25" s="1"/>
  <c r="DS227" i="25" s="1"/>
  <c r="CG227" i="25"/>
  <c r="DP224" i="25"/>
  <c r="DQ224" i="25" s="1"/>
  <c r="DR224" i="25" s="1"/>
  <c r="DS224" i="25" s="1"/>
  <c r="CG224" i="25"/>
  <c r="CP227" i="25"/>
  <c r="CR227" i="25" s="1"/>
  <c r="CS227" i="25" s="1"/>
  <c r="CW227" i="25" s="1"/>
  <c r="CX227" i="25" s="1"/>
  <c r="DA227" i="25" s="1"/>
  <c r="DI225" i="25"/>
  <c r="DJ225" i="25" s="1"/>
  <c r="EF222" i="25"/>
  <c r="CQ225" i="25"/>
  <c r="EG224" i="25"/>
  <c r="DF225" i="25"/>
  <c r="CQ224" i="25"/>
  <c r="DP222" i="25"/>
  <c r="DQ222" i="25" s="1"/>
  <c r="DR222" i="25" s="1"/>
  <c r="DS222" i="25" s="1"/>
  <c r="CG222" i="25"/>
  <c r="DI227" i="25"/>
  <c r="DJ227" i="25" s="1"/>
  <c r="CQ227" i="25"/>
  <c r="CP222" i="25"/>
  <c r="CR222" i="25" s="1"/>
  <c r="CS222" i="25" s="1"/>
  <c r="CW222" i="25" s="1"/>
  <c r="CX222" i="25" s="1"/>
  <c r="DA222" i="25" s="1"/>
  <c r="DF227" i="25"/>
  <c r="EG222" i="25"/>
  <c r="DZ224" i="25"/>
  <c r="CP224" i="25"/>
  <c r="CR224" i="25" s="1"/>
  <c r="DI224" i="25"/>
  <c r="DJ224" i="25" s="1"/>
  <c r="DF224" i="25"/>
  <c r="DZ222" i="25"/>
  <c r="DI222" i="25"/>
  <c r="DJ222" i="25" s="1"/>
  <c r="CQ222" i="25"/>
  <c r="DF222" i="25"/>
  <c r="CW360" i="25" l="1"/>
  <c r="CX360" i="25" s="1"/>
  <c r="DA360" i="25" s="1"/>
  <c r="CV280" i="25"/>
  <c r="CY280" i="25" s="1"/>
  <c r="CZ280" i="25" s="1"/>
  <c r="CS280" i="25"/>
  <c r="CW280" i="25" s="1"/>
  <c r="CX280" i="25" s="1"/>
  <c r="DA280" i="25" s="1"/>
  <c r="CS281" i="25"/>
  <c r="CW281" i="25" s="1"/>
  <c r="CX281" i="25" s="1"/>
  <c r="DA281" i="25" s="1"/>
  <c r="CV281" i="25"/>
  <c r="CY281" i="25" s="1"/>
  <c r="CZ281" i="25" s="1"/>
  <c r="CW322" i="25"/>
  <c r="CX322" i="25" s="1"/>
  <c r="DA322" i="25" s="1"/>
  <c r="CV323" i="25"/>
  <c r="CY323" i="25" s="1"/>
  <c r="CZ323" i="25" s="1"/>
  <c r="CV362" i="25"/>
  <c r="CY362" i="25" s="1"/>
  <c r="CZ362" i="25" s="1"/>
  <c r="CS361" i="25"/>
  <c r="CW361" i="25" s="1"/>
  <c r="CX361" i="25" s="1"/>
  <c r="DA361" i="25" s="1"/>
  <c r="CV361" i="25"/>
  <c r="CY361" i="25" s="1"/>
  <c r="CZ361" i="25" s="1"/>
  <c r="CV286" i="25"/>
  <c r="CY286" i="25" s="1"/>
  <c r="CZ286" i="25" s="1"/>
  <c r="CS286" i="25"/>
  <c r="CW286" i="25" s="1"/>
  <c r="CX286" i="25" s="1"/>
  <c r="DA286" i="25" s="1"/>
  <c r="CV335" i="25"/>
  <c r="CY335" i="25" s="1"/>
  <c r="CZ335" i="25" s="1"/>
  <c r="CS335" i="25"/>
  <c r="CW335" i="25" s="1"/>
  <c r="CX335" i="25" s="1"/>
  <c r="DA335" i="25" s="1"/>
  <c r="CY288" i="25"/>
  <c r="CZ288" i="25" s="1"/>
  <c r="CW288" i="25"/>
  <c r="CX288" i="25" s="1"/>
  <c r="DA288" i="25" s="1"/>
  <c r="CV322" i="25"/>
  <c r="CY322" i="25" s="1"/>
  <c r="CZ322" i="25" s="1"/>
  <c r="CV360" i="25"/>
  <c r="CY360" i="25" s="1"/>
  <c r="CZ360" i="25" s="1"/>
  <c r="CS274" i="25"/>
  <c r="CW274" i="25" s="1"/>
  <c r="CX274" i="25" s="1"/>
  <c r="DA274" i="25" s="1"/>
  <c r="CV274" i="25"/>
  <c r="CY274" i="25" s="1"/>
  <c r="CZ274" i="25" s="1"/>
  <c r="CS277" i="25"/>
  <c r="CW277" i="25" s="1"/>
  <c r="CX277" i="25" s="1"/>
  <c r="DA277" i="25" s="1"/>
  <c r="CV277" i="25"/>
  <c r="CY277" i="25" s="1"/>
  <c r="CZ277" i="25" s="1"/>
  <c r="CV259" i="25"/>
  <c r="CY259" i="25" s="1"/>
  <c r="CZ259" i="25" s="1"/>
  <c r="CS259" i="25"/>
  <c r="CW259" i="25" s="1"/>
  <c r="CX259" i="25" s="1"/>
  <c r="DA259" i="25" s="1"/>
  <c r="CV225" i="25"/>
  <c r="CY225" i="25" s="1"/>
  <c r="CZ225" i="25" s="1"/>
  <c r="CS225" i="25"/>
  <c r="CW225" i="25" s="1"/>
  <c r="CX225" i="25" s="1"/>
  <c r="DA225" i="25" s="1"/>
  <c r="CV227" i="25"/>
  <c r="CY227" i="25" s="1"/>
  <c r="CZ227" i="25" s="1"/>
  <c r="CV224" i="25"/>
  <c r="CY224" i="25" s="1"/>
  <c r="CZ224" i="25" s="1"/>
  <c r="CS224" i="25"/>
  <c r="CW224" i="25" s="1"/>
  <c r="CX224" i="25" s="1"/>
  <c r="DA224" i="25" s="1"/>
  <c r="CV222" i="25"/>
  <c r="CY222" i="25" s="1"/>
  <c r="CZ222" i="25" s="1"/>
  <c r="G253" i="25" l="1"/>
  <c r="CE253" i="25"/>
  <c r="CF253" i="25"/>
  <c r="CH253" i="25"/>
  <c r="CI253" i="25"/>
  <c r="CJ253" i="25"/>
  <c r="CK253" i="25"/>
  <c r="CL253" i="25"/>
  <c r="CM253" i="25"/>
  <c r="CN253" i="25"/>
  <c r="CT253" i="25"/>
  <c r="CU253" i="25" s="1"/>
  <c r="DB253" i="25"/>
  <c r="DC253" i="25"/>
  <c r="DG253" i="25"/>
  <c r="DH253" i="25"/>
  <c r="DL253" i="25"/>
  <c r="DM253" i="25"/>
  <c r="DT253" i="25" s="1"/>
  <c r="DN253" i="25"/>
  <c r="DO253" i="25"/>
  <c r="DV253" i="25"/>
  <c r="DW253" i="25"/>
  <c r="DX253" i="25" s="1"/>
  <c r="DY253" i="25"/>
  <c r="EA253" i="25"/>
  <c r="EB253" i="25"/>
  <c r="EC253" i="25"/>
  <c r="ED253" i="25"/>
  <c r="EE253" i="25"/>
  <c r="EI253" i="25"/>
  <c r="EJ253" i="25"/>
  <c r="EK253" i="25"/>
  <c r="DF253" i="25" s="1"/>
  <c r="EL253" i="25"/>
  <c r="EM253" i="25"/>
  <c r="DU253" i="25" s="1"/>
  <c r="EN253" i="25"/>
  <c r="EO253" i="25"/>
  <c r="EP253" i="25"/>
  <c r="EQ253" i="25"/>
  <c r="ET253" i="25"/>
  <c r="EU253" i="25"/>
  <c r="G256" i="25"/>
  <c r="G257" i="25"/>
  <c r="G254" i="25"/>
  <c r="G255" i="25"/>
  <c r="CE256" i="25"/>
  <c r="CE257" i="25"/>
  <c r="CE254" i="25"/>
  <c r="CE255" i="25"/>
  <c r="CF256" i="25"/>
  <c r="CF257" i="25"/>
  <c r="CF254" i="25"/>
  <c r="CF255" i="25"/>
  <c r="CH256" i="25"/>
  <c r="CH257" i="25"/>
  <c r="CH254" i="25"/>
  <c r="CH255" i="25"/>
  <c r="CI256" i="25"/>
  <c r="CI257" i="25"/>
  <c r="CI254" i="25"/>
  <c r="CI255" i="25"/>
  <c r="CJ256" i="25"/>
  <c r="CJ257" i="25"/>
  <c r="CJ254" i="25"/>
  <c r="CJ255" i="25"/>
  <c r="CK256" i="25"/>
  <c r="CK257" i="25"/>
  <c r="CK254" i="25"/>
  <c r="CK255" i="25"/>
  <c r="CL256" i="25"/>
  <c r="CL257" i="25"/>
  <c r="CL254" i="25"/>
  <c r="CL255" i="25"/>
  <c r="CM256" i="25"/>
  <c r="CM257" i="25"/>
  <c r="CM254" i="25"/>
  <c r="CM255" i="25"/>
  <c r="CN256" i="25"/>
  <c r="CN257" i="25"/>
  <c r="CN254" i="25"/>
  <c r="CN255" i="25"/>
  <c r="CT256" i="25"/>
  <c r="CU256" i="25" s="1"/>
  <c r="CT257" i="25"/>
  <c r="CU257" i="25" s="1"/>
  <c r="CT254" i="25"/>
  <c r="CU254" i="25" s="1"/>
  <c r="CT255" i="25"/>
  <c r="CU255" i="25" s="1"/>
  <c r="DB256" i="25"/>
  <c r="DB257" i="25"/>
  <c r="DB254" i="25"/>
  <c r="DB255" i="25"/>
  <c r="DC256" i="25"/>
  <c r="DC257" i="25"/>
  <c r="DC254" i="25"/>
  <c r="DC255" i="25"/>
  <c r="DG256" i="25"/>
  <c r="DG257" i="25"/>
  <c r="DG254" i="25"/>
  <c r="DG255" i="25"/>
  <c r="DH256" i="25"/>
  <c r="DH257" i="25"/>
  <c r="DH254" i="25"/>
  <c r="DH255" i="25"/>
  <c r="DL256" i="25"/>
  <c r="DL257" i="25"/>
  <c r="DL254" i="25"/>
  <c r="DL255" i="25"/>
  <c r="DM256" i="25"/>
  <c r="DT256" i="25" s="1"/>
  <c r="DM257" i="25"/>
  <c r="DT257" i="25" s="1"/>
  <c r="DM254" i="25"/>
  <c r="DT254" i="25" s="1"/>
  <c r="DM255" i="25"/>
  <c r="DT255" i="25" s="1"/>
  <c r="DN256" i="25"/>
  <c r="DN257" i="25"/>
  <c r="DN254" i="25"/>
  <c r="DN255" i="25"/>
  <c r="DO256" i="25"/>
  <c r="DO257" i="25"/>
  <c r="DO254" i="25"/>
  <c r="DO255" i="25"/>
  <c r="DV256" i="25"/>
  <c r="DV257" i="25"/>
  <c r="DV254" i="25"/>
  <c r="DV255" i="25"/>
  <c r="DW256" i="25"/>
  <c r="DX256" i="25" s="1"/>
  <c r="DW257" i="25"/>
  <c r="DX257" i="25" s="1"/>
  <c r="DW254" i="25"/>
  <c r="DX254" i="25" s="1"/>
  <c r="DW255" i="25"/>
  <c r="DX255" i="25" s="1"/>
  <c r="DY256" i="25"/>
  <c r="DY257" i="25"/>
  <c r="DY254" i="25"/>
  <c r="DY255" i="25"/>
  <c r="EA256" i="25"/>
  <c r="EA257" i="25"/>
  <c r="EA254" i="25"/>
  <c r="EA255" i="25"/>
  <c r="EB256" i="25"/>
  <c r="EB257" i="25"/>
  <c r="EB254" i="25"/>
  <c r="EB255" i="25"/>
  <c r="EC256" i="25"/>
  <c r="EC257" i="25"/>
  <c r="EC254" i="25"/>
  <c r="EC255" i="25"/>
  <c r="ED256" i="25"/>
  <c r="ED257" i="25"/>
  <c r="ED254" i="25"/>
  <c r="ED255" i="25"/>
  <c r="EE256" i="25"/>
  <c r="EE257" i="25"/>
  <c r="EE254" i="25"/>
  <c r="EE255" i="25"/>
  <c r="EI256" i="25"/>
  <c r="EI257" i="25"/>
  <c r="EI254" i="25"/>
  <c r="EI255" i="25"/>
  <c r="EJ256" i="25"/>
  <c r="EJ257" i="25"/>
  <c r="EJ254" i="25"/>
  <c r="EJ255" i="25"/>
  <c r="EK256" i="25"/>
  <c r="DI256" i="25" s="1"/>
  <c r="DJ256" i="25" s="1"/>
  <c r="EK257" i="25"/>
  <c r="DI257" i="25" s="1"/>
  <c r="DJ257" i="25" s="1"/>
  <c r="EK254" i="25"/>
  <c r="DI254" i="25" s="1"/>
  <c r="DJ254" i="25" s="1"/>
  <c r="EK255" i="25"/>
  <c r="DI255" i="25" s="1"/>
  <c r="DJ255" i="25" s="1"/>
  <c r="EL256" i="25"/>
  <c r="EL257" i="25"/>
  <c r="EL254" i="25"/>
  <c r="EL255" i="25"/>
  <c r="EM256" i="25"/>
  <c r="DU256" i="25" s="1"/>
  <c r="EM257" i="25"/>
  <c r="DU257" i="25" s="1"/>
  <c r="EM254" i="25"/>
  <c r="DU254" i="25" s="1"/>
  <c r="EM255" i="25"/>
  <c r="DU255" i="25" s="1"/>
  <c r="EN256" i="25"/>
  <c r="EN257" i="25"/>
  <c r="EN254" i="25"/>
  <c r="EN255" i="25"/>
  <c r="EO256" i="25"/>
  <c r="EO257" i="25"/>
  <c r="EO254" i="25"/>
  <c r="EO255" i="25"/>
  <c r="EP256" i="25"/>
  <c r="EP257" i="25"/>
  <c r="EP254" i="25"/>
  <c r="EP255" i="25"/>
  <c r="EQ256" i="25"/>
  <c r="EQ257" i="25"/>
  <c r="EQ254" i="25"/>
  <c r="EQ255" i="25"/>
  <c r="ET256" i="25"/>
  <c r="ET257" i="25"/>
  <c r="ET254" i="25"/>
  <c r="ET255" i="25"/>
  <c r="EU256" i="25"/>
  <c r="EU257" i="25"/>
  <c r="EU254" i="25"/>
  <c r="EU255" i="25"/>
  <c r="G247" i="25"/>
  <c r="CE247" i="25"/>
  <c r="CF247" i="25"/>
  <c r="CH247" i="25"/>
  <c r="CI247" i="25"/>
  <c r="CJ247" i="25"/>
  <c r="CK247" i="25"/>
  <c r="CL247" i="25"/>
  <c r="CM247" i="25"/>
  <c r="CN247" i="25"/>
  <c r="CT247" i="25"/>
  <c r="CU247" i="25" s="1"/>
  <c r="DB247" i="25"/>
  <c r="DC247" i="25"/>
  <c r="DG247" i="25"/>
  <c r="DH247" i="25"/>
  <c r="DL247" i="25"/>
  <c r="DM247" i="25"/>
  <c r="DT247" i="25" s="1"/>
  <c r="DN247" i="25"/>
  <c r="DO247" i="25"/>
  <c r="DV247" i="25"/>
  <c r="DW247" i="25"/>
  <c r="DZ247" i="25" s="1"/>
  <c r="DY247" i="25"/>
  <c r="EA247" i="25"/>
  <c r="EB247" i="25"/>
  <c r="EC247" i="25"/>
  <c r="ED247" i="25"/>
  <c r="EE247" i="25"/>
  <c r="EI247" i="25"/>
  <c r="EJ247" i="25"/>
  <c r="EK247" i="25"/>
  <c r="EL247" i="25"/>
  <c r="EM247" i="25"/>
  <c r="DU247" i="25" s="1"/>
  <c r="EN247" i="25"/>
  <c r="EO247" i="25"/>
  <c r="EP247" i="25"/>
  <c r="EQ247" i="25"/>
  <c r="ET247" i="25"/>
  <c r="EU247" i="25"/>
  <c r="EH256" i="25" l="1"/>
  <c r="CG256" i="25"/>
  <c r="DZ256" i="25"/>
  <c r="DZ257" i="25"/>
  <c r="EH253" i="25"/>
  <c r="DZ253" i="25"/>
  <c r="CG253" i="25"/>
  <c r="CG257" i="25"/>
  <c r="EF256" i="25"/>
  <c r="EG254" i="25"/>
  <c r="EH254" i="25"/>
  <c r="EH257" i="25"/>
  <c r="CP257" i="25"/>
  <c r="CR257" i="25" s="1"/>
  <c r="EF257" i="25"/>
  <c r="DP255" i="25"/>
  <c r="DQ255" i="25" s="1"/>
  <c r="DR255" i="25" s="1"/>
  <c r="DS255" i="25" s="1"/>
  <c r="CP256" i="25"/>
  <c r="CR256" i="25" s="1"/>
  <c r="CS256" i="25" s="1"/>
  <c r="CW256" i="25" s="1"/>
  <c r="CX256" i="25" s="1"/>
  <c r="DA256" i="25" s="1"/>
  <c r="DP254" i="25"/>
  <c r="DQ254" i="25" s="1"/>
  <c r="DR254" i="25" s="1"/>
  <c r="DS254" i="25" s="1"/>
  <c r="CQ255" i="25"/>
  <c r="CQ254" i="25"/>
  <c r="CG255" i="25"/>
  <c r="CQ253" i="25"/>
  <c r="CQ257" i="25"/>
  <c r="CG254" i="25"/>
  <c r="EF253" i="25"/>
  <c r="DP253" i="25"/>
  <c r="DQ253" i="25" s="1"/>
  <c r="DR253" i="25" s="1"/>
  <c r="DS253" i="25" s="1"/>
  <c r="DP257" i="25"/>
  <c r="DQ257" i="25" s="1"/>
  <c r="DR257" i="25" s="1"/>
  <c r="DS257" i="25" s="1"/>
  <c r="DE253" i="25"/>
  <c r="DD253" i="25" s="1"/>
  <c r="DK253" i="25" s="1"/>
  <c r="EG253" i="25"/>
  <c r="CP253" i="25"/>
  <c r="CR253" i="25" s="1"/>
  <c r="CS253" i="25" s="1"/>
  <c r="CW253" i="25" s="1"/>
  <c r="CX253" i="25" s="1"/>
  <c r="DA253" i="25" s="1"/>
  <c r="CP254" i="25"/>
  <c r="CR254" i="25" s="1"/>
  <c r="CP255" i="25"/>
  <c r="CR255" i="25" s="1"/>
  <c r="CQ256" i="25"/>
  <c r="DI253" i="25"/>
  <c r="DJ253" i="25" s="1"/>
  <c r="DF256" i="25"/>
  <c r="DE255" i="25"/>
  <c r="DD255" i="25" s="1"/>
  <c r="DK255" i="25" s="1"/>
  <c r="EH255" i="25"/>
  <c r="EF255" i="25"/>
  <c r="DE254" i="25"/>
  <c r="DD254" i="25" s="1"/>
  <c r="DK254" i="25" s="1"/>
  <c r="EF254" i="25"/>
  <c r="DP256" i="25"/>
  <c r="DQ256" i="25" s="1"/>
  <c r="DR256" i="25" s="1"/>
  <c r="DS256" i="25" s="1"/>
  <c r="DE257" i="25"/>
  <c r="DD257" i="25" s="1"/>
  <c r="DK257" i="25" s="1"/>
  <c r="DE256" i="25"/>
  <c r="DD256" i="25" s="1"/>
  <c r="DK256" i="25" s="1"/>
  <c r="EG255" i="25"/>
  <c r="EG257" i="25"/>
  <c r="EG256" i="25"/>
  <c r="DZ255" i="25"/>
  <c r="DF255" i="25"/>
  <c r="DZ254" i="25"/>
  <c r="DF254" i="25"/>
  <c r="DF257" i="25"/>
  <c r="DE247" i="25"/>
  <c r="DD247" i="25" s="1"/>
  <c r="DK247" i="25" s="1"/>
  <c r="CG247" i="25"/>
  <c r="DX247" i="25"/>
  <c r="DP247" i="25"/>
  <c r="DQ247" i="25" s="1"/>
  <c r="DR247" i="25" s="1"/>
  <c r="DS247" i="25" s="1"/>
  <c r="EF247" i="25"/>
  <c r="EH247" i="25"/>
  <c r="EG247" i="25"/>
  <c r="CP247" i="25"/>
  <c r="CR247" i="25" s="1"/>
  <c r="CS247" i="25" s="1"/>
  <c r="CW247" i="25" s="1"/>
  <c r="CX247" i="25" s="1"/>
  <c r="DA247" i="25" s="1"/>
  <c r="DI247" i="25"/>
  <c r="DJ247" i="25" s="1"/>
  <c r="CQ247" i="25"/>
  <c r="DF247" i="25"/>
  <c r="G244" i="25"/>
  <c r="G267" i="25"/>
  <c r="G268" i="25"/>
  <c r="G276" i="25"/>
  <c r="G298" i="25"/>
  <c r="G300" i="25"/>
  <c r="G307" i="25"/>
  <c r="G309" i="25"/>
  <c r="G310" i="25"/>
  <c r="G312" i="25"/>
  <c r="G329" i="25"/>
  <c r="G341" i="25"/>
  <c r="CE244" i="25"/>
  <c r="CE267" i="25"/>
  <c r="CE268" i="25"/>
  <c r="CE276" i="25"/>
  <c r="CE298" i="25"/>
  <c r="CE300" i="25"/>
  <c r="CE307" i="25"/>
  <c r="CE309" i="25"/>
  <c r="CE310" i="25"/>
  <c r="CE312" i="25"/>
  <c r="CE329" i="25"/>
  <c r="CE341" i="25"/>
  <c r="CF244" i="25"/>
  <c r="CF267" i="25"/>
  <c r="CF268" i="25"/>
  <c r="CF276" i="25"/>
  <c r="CF298" i="25"/>
  <c r="CF300" i="25"/>
  <c r="CF307" i="25"/>
  <c r="CF309" i="25"/>
  <c r="CF310" i="25"/>
  <c r="CF312" i="25"/>
  <c r="CF329" i="25"/>
  <c r="CF341" i="25"/>
  <c r="CH244" i="25"/>
  <c r="CH267" i="25"/>
  <c r="CH268" i="25"/>
  <c r="CH276" i="25"/>
  <c r="CH298" i="25"/>
  <c r="CH300" i="25"/>
  <c r="CH307" i="25"/>
  <c r="CH309" i="25"/>
  <c r="CH310" i="25"/>
  <c r="CH312" i="25"/>
  <c r="CH329" i="25"/>
  <c r="CH341" i="25"/>
  <c r="CI244" i="25"/>
  <c r="CI267" i="25"/>
  <c r="CI268" i="25"/>
  <c r="CI276" i="25"/>
  <c r="CI298" i="25"/>
  <c r="CI300" i="25"/>
  <c r="CI307" i="25"/>
  <c r="CI309" i="25"/>
  <c r="CI310" i="25"/>
  <c r="CI312" i="25"/>
  <c r="CI329" i="25"/>
  <c r="CI341" i="25"/>
  <c r="CJ244" i="25"/>
  <c r="CJ267" i="25"/>
  <c r="CJ268" i="25"/>
  <c r="CJ276" i="25"/>
  <c r="CJ298" i="25"/>
  <c r="CJ300" i="25"/>
  <c r="CJ307" i="25"/>
  <c r="CJ309" i="25"/>
  <c r="CJ310" i="25"/>
  <c r="CJ312" i="25"/>
  <c r="CJ329" i="25"/>
  <c r="CJ341" i="25"/>
  <c r="CK244" i="25"/>
  <c r="CK267" i="25"/>
  <c r="CK268" i="25"/>
  <c r="CK276" i="25"/>
  <c r="CK298" i="25"/>
  <c r="CK300" i="25"/>
  <c r="CK307" i="25"/>
  <c r="CK309" i="25"/>
  <c r="CK310" i="25"/>
  <c r="CK312" i="25"/>
  <c r="CK329" i="25"/>
  <c r="CK341" i="25"/>
  <c r="CL244" i="25"/>
  <c r="CL267" i="25"/>
  <c r="CL268" i="25"/>
  <c r="CL276" i="25"/>
  <c r="CL298" i="25"/>
  <c r="CL300" i="25"/>
  <c r="CL307" i="25"/>
  <c r="CL309" i="25"/>
  <c r="CL310" i="25"/>
  <c r="CL312" i="25"/>
  <c r="CL329" i="25"/>
  <c r="CL341" i="25"/>
  <c r="CM244" i="25"/>
  <c r="CM267" i="25"/>
  <c r="CM268" i="25"/>
  <c r="CM276" i="25"/>
  <c r="CM298" i="25"/>
  <c r="CM300" i="25"/>
  <c r="CM307" i="25"/>
  <c r="CM309" i="25"/>
  <c r="CM310" i="25"/>
  <c r="CM312" i="25"/>
  <c r="CM329" i="25"/>
  <c r="CM341" i="25"/>
  <c r="CN244" i="25"/>
  <c r="CN267" i="25"/>
  <c r="CN268" i="25"/>
  <c r="CN276" i="25"/>
  <c r="CN298" i="25"/>
  <c r="CN300" i="25"/>
  <c r="CN307" i="25"/>
  <c r="CN309" i="25"/>
  <c r="CN310" i="25"/>
  <c r="CN312" i="25"/>
  <c r="CN329" i="25"/>
  <c r="CN341" i="25"/>
  <c r="CT244" i="25"/>
  <c r="CU244" i="25" s="1"/>
  <c r="CT267" i="25"/>
  <c r="CU267" i="25" s="1"/>
  <c r="CT268" i="25"/>
  <c r="CT276" i="25"/>
  <c r="CU276" i="25" s="1"/>
  <c r="CT298" i="25"/>
  <c r="CU298" i="25" s="1"/>
  <c r="CT300" i="25"/>
  <c r="CU300" i="25" s="1"/>
  <c r="CT307" i="25"/>
  <c r="CU307" i="25" s="1"/>
  <c r="CT309" i="25"/>
  <c r="CT310" i="25"/>
  <c r="CU310" i="25" s="1"/>
  <c r="CT312" i="25"/>
  <c r="CU312" i="25" s="1"/>
  <c r="CT329" i="25"/>
  <c r="CU329" i="25" s="1"/>
  <c r="CT341" i="25"/>
  <c r="CU341" i="25" s="1"/>
  <c r="DB244" i="25"/>
  <c r="DB267" i="25"/>
  <c r="DB268" i="25"/>
  <c r="DB276" i="25"/>
  <c r="DB298" i="25"/>
  <c r="DB300" i="25"/>
  <c r="DB307" i="25"/>
  <c r="DB309" i="25"/>
  <c r="DB310" i="25"/>
  <c r="DB312" i="25"/>
  <c r="DB329" i="25"/>
  <c r="DB341" i="25"/>
  <c r="DC244" i="25"/>
  <c r="DC267" i="25"/>
  <c r="DC268" i="25"/>
  <c r="DC276" i="25"/>
  <c r="DC298" i="25"/>
  <c r="DC300" i="25"/>
  <c r="DC307" i="25"/>
  <c r="DC309" i="25"/>
  <c r="DC310" i="25"/>
  <c r="DC312" i="25"/>
  <c r="DC329" i="25"/>
  <c r="DC341" i="25"/>
  <c r="DG244" i="25"/>
  <c r="DG267" i="25"/>
  <c r="DG268" i="25"/>
  <c r="DG276" i="25"/>
  <c r="DG298" i="25"/>
  <c r="DG300" i="25"/>
  <c r="DG307" i="25"/>
  <c r="DG309" i="25"/>
  <c r="DG310" i="25"/>
  <c r="DG312" i="25"/>
  <c r="DG329" i="25"/>
  <c r="DG341" i="25"/>
  <c r="DH244" i="25"/>
  <c r="DH267" i="25"/>
  <c r="DH268" i="25"/>
  <c r="DH276" i="25"/>
  <c r="DH298" i="25"/>
  <c r="DH300" i="25"/>
  <c r="DH307" i="25"/>
  <c r="DH309" i="25"/>
  <c r="DH310" i="25"/>
  <c r="DH312" i="25"/>
  <c r="DH329" i="25"/>
  <c r="DH341" i="25"/>
  <c r="DL244" i="25"/>
  <c r="DL267" i="25"/>
  <c r="DL268" i="25"/>
  <c r="DL276" i="25"/>
  <c r="DL298" i="25"/>
  <c r="DL300" i="25"/>
  <c r="DL307" i="25"/>
  <c r="DL309" i="25"/>
  <c r="DL310" i="25"/>
  <c r="DL312" i="25"/>
  <c r="DL329" i="25"/>
  <c r="DL341" i="25"/>
  <c r="DM244" i="25"/>
  <c r="DT244" i="25" s="1"/>
  <c r="DM267" i="25"/>
  <c r="DT267" i="25" s="1"/>
  <c r="DM268" i="25"/>
  <c r="DT268" i="25" s="1"/>
  <c r="DM276" i="25"/>
  <c r="DT276" i="25" s="1"/>
  <c r="DM298" i="25"/>
  <c r="DM300" i="25"/>
  <c r="DM307" i="25"/>
  <c r="DT307" i="25" s="1"/>
  <c r="DM309" i="25"/>
  <c r="DT309" i="25" s="1"/>
  <c r="DM310" i="25"/>
  <c r="DT310" i="25" s="1"/>
  <c r="DM312" i="25"/>
  <c r="DT312" i="25" s="1"/>
  <c r="DM329" i="25"/>
  <c r="DT329" i="25" s="1"/>
  <c r="DM341" i="25"/>
  <c r="DN244" i="25"/>
  <c r="DN267" i="25"/>
  <c r="DN268" i="25"/>
  <c r="DN276" i="25"/>
  <c r="DN298" i="25"/>
  <c r="DN300" i="25"/>
  <c r="DN307" i="25"/>
  <c r="DN309" i="25"/>
  <c r="DN310" i="25"/>
  <c r="DN312" i="25"/>
  <c r="DN329" i="25"/>
  <c r="DN341" i="25"/>
  <c r="DO244" i="25"/>
  <c r="DO267" i="25"/>
  <c r="DO268" i="25"/>
  <c r="DO276" i="25"/>
  <c r="DO298" i="25"/>
  <c r="DO300" i="25"/>
  <c r="DO307" i="25"/>
  <c r="DO309" i="25"/>
  <c r="DO310" i="25"/>
  <c r="DO312" i="25"/>
  <c r="DO329" i="25"/>
  <c r="DO341" i="25"/>
  <c r="DV244" i="25"/>
  <c r="DV267" i="25"/>
  <c r="DV268" i="25"/>
  <c r="DV276" i="25"/>
  <c r="DV298" i="25"/>
  <c r="DV300" i="25"/>
  <c r="DV307" i="25"/>
  <c r="DV309" i="25"/>
  <c r="DV310" i="25"/>
  <c r="DV312" i="25"/>
  <c r="DV329" i="25"/>
  <c r="DV341" i="25"/>
  <c r="DW244" i="25"/>
  <c r="DZ244" i="25" s="1"/>
  <c r="DW267" i="25"/>
  <c r="DX267" i="25" s="1"/>
  <c r="DW268" i="25"/>
  <c r="DZ268" i="25" s="1"/>
  <c r="DW276" i="25"/>
  <c r="DZ276" i="25" s="1"/>
  <c r="DW298" i="25"/>
  <c r="DX298" i="25" s="1"/>
  <c r="DW300" i="25"/>
  <c r="DX300" i="25" s="1"/>
  <c r="DW307" i="25"/>
  <c r="DX307" i="25" s="1"/>
  <c r="DW309" i="25"/>
  <c r="DZ309" i="25" s="1"/>
  <c r="DW310" i="25"/>
  <c r="DZ310" i="25" s="1"/>
  <c r="DW312" i="25"/>
  <c r="DX312" i="25" s="1"/>
  <c r="DW329" i="25"/>
  <c r="DX329" i="25" s="1"/>
  <c r="DW341" i="25"/>
  <c r="DX341" i="25" s="1"/>
  <c r="DY244" i="25"/>
  <c r="DY267" i="25"/>
  <c r="DY268" i="25"/>
  <c r="DY276" i="25"/>
  <c r="DY298" i="25"/>
  <c r="DY300" i="25"/>
  <c r="DY307" i="25"/>
  <c r="DY309" i="25"/>
  <c r="DY310" i="25"/>
  <c r="DY312" i="25"/>
  <c r="DY329" i="25"/>
  <c r="DY341" i="25"/>
  <c r="EA244" i="25"/>
  <c r="EA267" i="25"/>
  <c r="EA268" i="25"/>
  <c r="EA276" i="25"/>
  <c r="EA298" i="25"/>
  <c r="EA300" i="25"/>
  <c r="EA307" i="25"/>
  <c r="EA309" i="25"/>
  <c r="EA310" i="25"/>
  <c r="EA312" i="25"/>
  <c r="EA329" i="25"/>
  <c r="EA341" i="25"/>
  <c r="EB244" i="25"/>
  <c r="EB267" i="25"/>
  <c r="EB268" i="25"/>
  <c r="EB276" i="25"/>
  <c r="EB298" i="25"/>
  <c r="EB300" i="25"/>
  <c r="EB307" i="25"/>
  <c r="EB309" i="25"/>
  <c r="EB310" i="25"/>
  <c r="EB312" i="25"/>
  <c r="EB329" i="25"/>
  <c r="EB341" i="25"/>
  <c r="EC244" i="25"/>
  <c r="EC267" i="25"/>
  <c r="EC268" i="25"/>
  <c r="EC276" i="25"/>
  <c r="EC298" i="25"/>
  <c r="EC300" i="25"/>
  <c r="EC307" i="25"/>
  <c r="EC309" i="25"/>
  <c r="EC310" i="25"/>
  <c r="EC312" i="25"/>
  <c r="EC329" i="25"/>
  <c r="EC341" i="25"/>
  <c r="ED244" i="25"/>
  <c r="ED267" i="25"/>
  <c r="ED268" i="25"/>
  <c r="ED276" i="25"/>
  <c r="ED298" i="25"/>
  <c r="ED300" i="25"/>
  <c r="ED307" i="25"/>
  <c r="ED309" i="25"/>
  <c r="ED310" i="25"/>
  <c r="ED312" i="25"/>
  <c r="ED329" i="25"/>
  <c r="ED341" i="25"/>
  <c r="EE244" i="25"/>
  <c r="EE267" i="25"/>
  <c r="EE268" i="25"/>
  <c r="EE276" i="25"/>
  <c r="EE298" i="25"/>
  <c r="EE300" i="25"/>
  <c r="EE307" i="25"/>
  <c r="EE309" i="25"/>
  <c r="EE310" i="25"/>
  <c r="EE312" i="25"/>
  <c r="EE329" i="25"/>
  <c r="EE341" i="25"/>
  <c r="EI244" i="25"/>
  <c r="EI267" i="25"/>
  <c r="EI268" i="25"/>
  <c r="EI276" i="25"/>
  <c r="EI298" i="25"/>
  <c r="EI300" i="25"/>
  <c r="EI307" i="25"/>
  <c r="EI309" i="25"/>
  <c r="EI310" i="25"/>
  <c r="EI312" i="25"/>
  <c r="EI329" i="25"/>
  <c r="EI341" i="25"/>
  <c r="EJ244" i="25"/>
  <c r="EJ267" i="25"/>
  <c r="EJ268" i="25"/>
  <c r="EJ276" i="25"/>
  <c r="EJ298" i="25"/>
  <c r="EJ300" i="25"/>
  <c r="EJ307" i="25"/>
  <c r="EJ309" i="25"/>
  <c r="EJ310" i="25"/>
  <c r="EJ312" i="25"/>
  <c r="EJ329" i="25"/>
  <c r="EJ341" i="25"/>
  <c r="EK244" i="25"/>
  <c r="EK267" i="25"/>
  <c r="DF267" i="25" s="1"/>
  <c r="EK268" i="25"/>
  <c r="DF268" i="25" s="1"/>
  <c r="EK276" i="25"/>
  <c r="EK298" i="25"/>
  <c r="DI298" i="25" s="1"/>
  <c r="DJ298" i="25" s="1"/>
  <c r="EK300" i="25"/>
  <c r="DI300" i="25" s="1"/>
  <c r="DJ300" i="25" s="1"/>
  <c r="EK307" i="25"/>
  <c r="DI307" i="25" s="1"/>
  <c r="DJ307" i="25" s="1"/>
  <c r="EK309" i="25"/>
  <c r="DI309" i="25" s="1"/>
  <c r="DJ309" i="25" s="1"/>
  <c r="EK310" i="25"/>
  <c r="EK312" i="25"/>
  <c r="DF312" i="25" s="1"/>
  <c r="EK329" i="25"/>
  <c r="DI329" i="25" s="1"/>
  <c r="DJ329" i="25" s="1"/>
  <c r="EK341" i="25"/>
  <c r="DI341" i="25" s="1"/>
  <c r="DJ341" i="25" s="1"/>
  <c r="EL244" i="25"/>
  <c r="EL267" i="25"/>
  <c r="EL268" i="25"/>
  <c r="EL276" i="25"/>
  <c r="EL298" i="25"/>
  <c r="EL300" i="25"/>
  <c r="EL307" i="25"/>
  <c r="EL309" i="25"/>
  <c r="EL310" i="25"/>
  <c r="EL312" i="25"/>
  <c r="EL329" i="25"/>
  <c r="EL341" i="25"/>
  <c r="EM244" i="25"/>
  <c r="DU244" i="25" s="1"/>
  <c r="EM267" i="25"/>
  <c r="DU267" i="25" s="1"/>
  <c r="EM268" i="25"/>
  <c r="DU268" i="25" s="1"/>
  <c r="EM276" i="25"/>
  <c r="DU276" i="25" s="1"/>
  <c r="EM298" i="25"/>
  <c r="DU298" i="25" s="1"/>
  <c r="EM300" i="25"/>
  <c r="DU300" i="25" s="1"/>
  <c r="EM307" i="25"/>
  <c r="DU307" i="25" s="1"/>
  <c r="EM309" i="25"/>
  <c r="DU309" i="25" s="1"/>
  <c r="EM310" i="25"/>
  <c r="DU310" i="25" s="1"/>
  <c r="EM312" i="25"/>
  <c r="DU312" i="25" s="1"/>
  <c r="EM329" i="25"/>
  <c r="DU329" i="25" s="1"/>
  <c r="EM341" i="25"/>
  <c r="DU341" i="25" s="1"/>
  <c r="EN244" i="25"/>
  <c r="EN267" i="25"/>
  <c r="EN268" i="25"/>
  <c r="EN276" i="25"/>
  <c r="EN298" i="25"/>
  <c r="EN300" i="25"/>
  <c r="EN307" i="25"/>
  <c r="EN309" i="25"/>
  <c r="EN310" i="25"/>
  <c r="EN312" i="25"/>
  <c r="EN329" i="25"/>
  <c r="EN341" i="25"/>
  <c r="EO244" i="25"/>
  <c r="EO267" i="25"/>
  <c r="EO268" i="25"/>
  <c r="EO276" i="25"/>
  <c r="EO298" i="25"/>
  <c r="EO300" i="25"/>
  <c r="EO307" i="25"/>
  <c r="EO309" i="25"/>
  <c r="EO310" i="25"/>
  <c r="EO312" i="25"/>
  <c r="EO329" i="25"/>
  <c r="EO341" i="25"/>
  <c r="EP244" i="25"/>
  <c r="EP267" i="25"/>
  <c r="EP268" i="25"/>
  <c r="EP276" i="25"/>
  <c r="EP298" i="25"/>
  <c r="EP300" i="25"/>
  <c r="EP307" i="25"/>
  <c r="EP309" i="25"/>
  <c r="EP310" i="25"/>
  <c r="EP312" i="25"/>
  <c r="EP329" i="25"/>
  <c r="EP341" i="25"/>
  <c r="EQ244" i="25"/>
  <c r="EQ267" i="25"/>
  <c r="EQ268" i="25"/>
  <c r="EQ276" i="25"/>
  <c r="EQ298" i="25"/>
  <c r="EQ300" i="25"/>
  <c r="EQ307" i="25"/>
  <c r="EQ309" i="25"/>
  <c r="EQ310" i="25"/>
  <c r="EQ312" i="25"/>
  <c r="EQ329" i="25"/>
  <c r="EQ341" i="25"/>
  <c r="ET244" i="25"/>
  <c r="ET267" i="25"/>
  <c r="ET268" i="25"/>
  <c r="ET276" i="25"/>
  <c r="ET298" i="25"/>
  <c r="ET300" i="25"/>
  <c r="ET307" i="25"/>
  <c r="ET309" i="25"/>
  <c r="ET310" i="25"/>
  <c r="ET312" i="25"/>
  <c r="ET329" i="25"/>
  <c r="ET341" i="25"/>
  <c r="EU244" i="25"/>
  <c r="EU267" i="25"/>
  <c r="EU268" i="25"/>
  <c r="EU276" i="25"/>
  <c r="EU298" i="25"/>
  <c r="EU300" i="25"/>
  <c r="EU307" i="25"/>
  <c r="EU309" i="25"/>
  <c r="EU310" i="25"/>
  <c r="EU312" i="25"/>
  <c r="EU329" i="25"/>
  <c r="EU341" i="25"/>
  <c r="CV253" i="25" l="1"/>
  <c r="CY253" i="25" s="1"/>
  <c r="CZ253" i="25" s="1"/>
  <c r="CV256" i="25"/>
  <c r="CY256" i="25" s="1"/>
  <c r="CZ256" i="25" s="1"/>
  <c r="CS254" i="25"/>
  <c r="CW254" i="25" s="1"/>
  <c r="CX254" i="25" s="1"/>
  <c r="DA254" i="25" s="1"/>
  <c r="CV254" i="25"/>
  <c r="CY254" i="25" s="1"/>
  <c r="CZ254" i="25" s="1"/>
  <c r="CS255" i="25"/>
  <c r="CW255" i="25" s="1"/>
  <c r="CX255" i="25" s="1"/>
  <c r="DA255" i="25" s="1"/>
  <c r="CV255" i="25"/>
  <c r="CY255" i="25" s="1"/>
  <c r="CZ255" i="25" s="1"/>
  <c r="CS257" i="25"/>
  <c r="CW257" i="25" s="1"/>
  <c r="CX257" i="25" s="1"/>
  <c r="DA257" i="25" s="1"/>
  <c r="CV257" i="25"/>
  <c r="CY257" i="25" s="1"/>
  <c r="CZ257" i="25" s="1"/>
  <c r="DZ307" i="25"/>
  <c r="EH307" i="25"/>
  <c r="CG309" i="25"/>
  <c r="EH298" i="25"/>
  <c r="EG341" i="25"/>
  <c r="EG300" i="25"/>
  <c r="CV247" i="25"/>
  <c r="CY247" i="25" s="1"/>
  <c r="CZ247" i="25" s="1"/>
  <c r="DX310" i="25"/>
  <c r="EH310" i="25"/>
  <c r="EH244" i="25"/>
  <c r="EG309" i="25"/>
  <c r="EH267" i="25"/>
  <c r="DP298" i="25"/>
  <c r="DQ298" i="25" s="1"/>
  <c r="DR298" i="25" s="1"/>
  <c r="DS298" i="25" s="1"/>
  <c r="EH312" i="25"/>
  <c r="EG310" i="25"/>
  <c r="EG244" i="25"/>
  <c r="DP268" i="25"/>
  <c r="DQ268" i="25" s="1"/>
  <c r="DR268" i="25" s="1"/>
  <c r="DS268" i="25" s="1"/>
  <c r="DP312" i="25"/>
  <c r="DQ312" i="25" s="1"/>
  <c r="DR312" i="25" s="1"/>
  <c r="DS312" i="25" s="1"/>
  <c r="DZ267" i="25"/>
  <c r="CG312" i="25"/>
  <c r="DX276" i="25"/>
  <c r="DP300" i="25"/>
  <c r="DQ300" i="25" s="1"/>
  <c r="DR300" i="25" s="1"/>
  <c r="DS300" i="25" s="1"/>
  <c r="CG329" i="25"/>
  <c r="CG298" i="25"/>
  <c r="CP341" i="25"/>
  <c r="CR341" i="25" s="1"/>
  <c r="CG276" i="25"/>
  <c r="CG267" i="25"/>
  <c r="DP267" i="25"/>
  <c r="DQ267" i="25" s="1"/>
  <c r="DR267" i="25" s="1"/>
  <c r="DS267" i="25" s="1"/>
  <c r="DZ298" i="25"/>
  <c r="EH329" i="25"/>
  <c r="EG276" i="25"/>
  <c r="CP307" i="25"/>
  <c r="CR307" i="25" s="1"/>
  <c r="EH268" i="25"/>
  <c r="EG312" i="25"/>
  <c r="EG267" i="25"/>
  <c r="EF298" i="25"/>
  <c r="DP310" i="25"/>
  <c r="DQ310" i="25" s="1"/>
  <c r="DR310" i="25" s="1"/>
  <c r="DS310" i="25" s="1"/>
  <c r="DP244" i="25"/>
  <c r="DQ244" i="25" s="1"/>
  <c r="DR244" i="25" s="1"/>
  <c r="DS244" i="25" s="1"/>
  <c r="CG268" i="25"/>
  <c r="EF267" i="25"/>
  <c r="DE310" i="25"/>
  <c r="DD310" i="25" s="1"/>
  <c r="DK310" i="25" s="1"/>
  <c r="DE244" i="25"/>
  <c r="DD244" i="25" s="1"/>
  <c r="DK244" i="25" s="1"/>
  <c r="DZ312" i="25"/>
  <c r="EH276" i="25"/>
  <c r="EG268" i="25"/>
  <c r="DZ341" i="25"/>
  <c r="DX268" i="25"/>
  <c r="CG310" i="25"/>
  <c r="CG244" i="25"/>
  <c r="EF276" i="25"/>
  <c r="EF268" i="25"/>
  <c r="DX244" i="25"/>
  <c r="DP341" i="25"/>
  <c r="DQ341" i="25" s="1"/>
  <c r="DR341" i="25" s="1"/>
  <c r="DS341" i="25" s="1"/>
  <c r="DP329" i="25"/>
  <c r="DQ329" i="25" s="1"/>
  <c r="DR329" i="25" s="1"/>
  <c r="DS329" i="25" s="1"/>
  <c r="CG307" i="25"/>
  <c r="EF312" i="25"/>
  <c r="EF310" i="25"/>
  <c r="EF244" i="25"/>
  <c r="DT298" i="25"/>
  <c r="DP276" i="25"/>
  <c r="DQ276" i="25" s="1"/>
  <c r="DR276" i="25" s="1"/>
  <c r="DS276" i="25" s="1"/>
  <c r="CQ309" i="25"/>
  <c r="EH309" i="25"/>
  <c r="EG307" i="25"/>
  <c r="DF307" i="25"/>
  <c r="CQ307" i="25"/>
  <c r="CQ341" i="25"/>
  <c r="CQ300" i="25"/>
  <c r="DI312" i="25"/>
  <c r="DJ312" i="25" s="1"/>
  <c r="CQ329" i="25"/>
  <c r="CP298" i="25"/>
  <c r="CR298" i="25" s="1"/>
  <c r="EF309" i="25"/>
  <c r="EF329" i="25"/>
  <c r="DZ300" i="25"/>
  <c r="CQ298" i="25"/>
  <c r="DZ329" i="25"/>
  <c r="DI267" i="25"/>
  <c r="DJ267" i="25" s="1"/>
  <c r="CP329" i="25"/>
  <c r="CR329" i="25" s="1"/>
  <c r="CG341" i="25"/>
  <c r="CG300" i="25"/>
  <c r="DP309" i="25"/>
  <c r="DQ309" i="25" s="1"/>
  <c r="DR309" i="25" s="1"/>
  <c r="DS309" i="25" s="1"/>
  <c r="DP307" i="25"/>
  <c r="DQ307" i="25" s="1"/>
  <c r="DR307" i="25" s="1"/>
  <c r="DS307" i="25" s="1"/>
  <c r="EF307" i="25"/>
  <c r="EF341" i="25"/>
  <c r="EF300" i="25"/>
  <c r="CP300" i="25"/>
  <c r="CR300" i="25" s="1"/>
  <c r="EH341" i="25"/>
  <c r="EH300" i="25"/>
  <c r="EG329" i="25"/>
  <c r="EG298" i="25"/>
  <c r="CQ276" i="25"/>
  <c r="CQ268" i="25"/>
  <c r="CP312" i="25"/>
  <c r="CR312" i="25" s="1"/>
  <c r="CP267" i="25"/>
  <c r="CR267" i="25" s="1"/>
  <c r="CQ310" i="25"/>
  <c r="CQ244" i="25"/>
  <c r="CP309" i="25"/>
  <c r="CR309" i="25" s="1"/>
  <c r="CS309" i="25" s="1"/>
  <c r="DI276" i="25"/>
  <c r="DJ276" i="25" s="1"/>
  <c r="DF310" i="25"/>
  <c r="DF244" i="25"/>
  <c r="DE309" i="25"/>
  <c r="DD309" i="25" s="1"/>
  <c r="DK309" i="25" s="1"/>
  <c r="CQ312" i="25"/>
  <c r="CQ267" i="25"/>
  <c r="CP310" i="25"/>
  <c r="CR310" i="25" s="1"/>
  <c r="CP244" i="25"/>
  <c r="CR244" i="25" s="1"/>
  <c r="DT341" i="25"/>
  <c r="DT300" i="25"/>
  <c r="DI268" i="25"/>
  <c r="DJ268" i="25" s="1"/>
  <c r="DF309" i="25"/>
  <c r="DE307" i="25"/>
  <c r="DD307" i="25" s="1"/>
  <c r="DK307" i="25" s="1"/>
  <c r="DE341" i="25"/>
  <c r="DD341" i="25" s="1"/>
  <c r="DK341" i="25" s="1"/>
  <c r="DE300" i="25"/>
  <c r="DD300" i="25" s="1"/>
  <c r="DK300" i="25" s="1"/>
  <c r="DX309" i="25"/>
  <c r="DI310" i="25"/>
  <c r="DJ310" i="25" s="1"/>
  <c r="DI244" i="25"/>
  <c r="DJ244" i="25" s="1"/>
  <c r="DF341" i="25"/>
  <c r="DF300" i="25"/>
  <c r="DE329" i="25"/>
  <c r="DD329" i="25" s="1"/>
  <c r="DK329" i="25" s="1"/>
  <c r="DE298" i="25"/>
  <c r="DD298" i="25" s="1"/>
  <c r="DK298" i="25" s="1"/>
  <c r="CU268" i="25"/>
  <c r="DF329" i="25"/>
  <c r="DF298" i="25"/>
  <c r="DE276" i="25"/>
  <c r="DD276" i="25" s="1"/>
  <c r="DK276" i="25" s="1"/>
  <c r="DF276" i="25"/>
  <c r="DE268" i="25"/>
  <c r="DD268" i="25" s="1"/>
  <c r="DK268" i="25" s="1"/>
  <c r="CP276" i="25"/>
  <c r="CR276" i="25" s="1"/>
  <c r="DE312" i="25"/>
  <c r="DD312" i="25" s="1"/>
  <c r="DK312" i="25" s="1"/>
  <c r="DE267" i="25"/>
  <c r="DD267" i="25" s="1"/>
  <c r="DK267" i="25" s="1"/>
  <c r="CU309" i="25"/>
  <c r="CP268" i="25"/>
  <c r="CR268" i="25" s="1"/>
  <c r="CS268" i="25" l="1"/>
  <c r="CW268" i="25" s="1"/>
  <c r="CX268" i="25" s="1"/>
  <c r="DA268" i="25" s="1"/>
  <c r="CV268" i="25"/>
  <c r="CY268" i="25" s="1"/>
  <c r="CZ268" i="25" s="1"/>
  <c r="CV276" i="25"/>
  <c r="CY276" i="25" s="1"/>
  <c r="CZ276" i="25" s="1"/>
  <c r="CS276" i="25"/>
  <c r="CW276" i="25" s="1"/>
  <c r="CX276" i="25" s="1"/>
  <c r="DA276" i="25" s="1"/>
  <c r="CV312" i="25"/>
  <c r="CY312" i="25" s="1"/>
  <c r="CZ312" i="25" s="1"/>
  <c r="CS312" i="25"/>
  <c r="CW312" i="25" s="1"/>
  <c r="CX312" i="25" s="1"/>
  <c r="DA312" i="25" s="1"/>
  <c r="CV244" i="25"/>
  <c r="CY244" i="25" s="1"/>
  <c r="CZ244" i="25" s="1"/>
  <c r="CS244" i="25"/>
  <c r="CW244" i="25" s="1"/>
  <c r="CX244" i="25" s="1"/>
  <c r="DA244" i="25" s="1"/>
  <c r="CV310" i="25"/>
  <c r="CY310" i="25" s="1"/>
  <c r="CZ310" i="25" s="1"/>
  <c r="CS310" i="25"/>
  <c r="CW310" i="25" s="1"/>
  <c r="CX310" i="25" s="1"/>
  <c r="DA310" i="25" s="1"/>
  <c r="CW309" i="25"/>
  <c r="CX309" i="25" s="1"/>
  <c r="DA309" i="25" s="1"/>
  <c r="CV309" i="25"/>
  <c r="CY309" i="25" s="1"/>
  <c r="CZ309" i="25" s="1"/>
  <c r="CS329" i="25"/>
  <c r="CW329" i="25" s="1"/>
  <c r="CX329" i="25" s="1"/>
  <c r="DA329" i="25" s="1"/>
  <c r="CV329" i="25"/>
  <c r="CY329" i="25" s="1"/>
  <c r="CZ329" i="25" s="1"/>
  <c r="CV267" i="25"/>
  <c r="CY267" i="25" s="1"/>
  <c r="CZ267" i="25" s="1"/>
  <c r="CS267" i="25"/>
  <c r="CW267" i="25" s="1"/>
  <c r="CX267" i="25" s="1"/>
  <c r="DA267" i="25" s="1"/>
  <c r="CS307" i="25"/>
  <c r="CW307" i="25" s="1"/>
  <c r="CX307" i="25" s="1"/>
  <c r="DA307" i="25" s="1"/>
  <c r="CV307" i="25"/>
  <c r="CY307" i="25" s="1"/>
  <c r="CZ307" i="25" s="1"/>
  <c r="CS341" i="25"/>
  <c r="CW341" i="25" s="1"/>
  <c r="CX341" i="25" s="1"/>
  <c r="DA341" i="25" s="1"/>
  <c r="CV341" i="25"/>
  <c r="CY341" i="25" s="1"/>
  <c r="CZ341" i="25" s="1"/>
  <c r="CS298" i="25"/>
  <c r="CW298" i="25" s="1"/>
  <c r="CX298" i="25" s="1"/>
  <c r="DA298" i="25" s="1"/>
  <c r="CV298" i="25"/>
  <c r="CY298" i="25" s="1"/>
  <c r="CZ298" i="25" s="1"/>
  <c r="CS300" i="25"/>
  <c r="CW300" i="25" s="1"/>
  <c r="CX300" i="25" s="1"/>
  <c r="DA300" i="25" s="1"/>
  <c r="CV300" i="25"/>
  <c r="CY300" i="25" s="1"/>
  <c r="CZ300" i="25" s="1"/>
  <c r="G220" i="25" l="1"/>
  <c r="CE275" i="25" l="1"/>
  <c r="CE295" i="25"/>
  <c r="CF275" i="25"/>
  <c r="CF295" i="25"/>
  <c r="CH275" i="25"/>
  <c r="CH295" i="25"/>
  <c r="CI275" i="25"/>
  <c r="CI295" i="25"/>
  <c r="CJ275" i="25"/>
  <c r="CJ295" i="25"/>
  <c r="CK275" i="25"/>
  <c r="CK295" i="25"/>
  <c r="CL275" i="25"/>
  <c r="CL295" i="25"/>
  <c r="CM275" i="25"/>
  <c r="CM295" i="25"/>
  <c r="CN275" i="25"/>
  <c r="CN295" i="25"/>
  <c r="CP275" i="25"/>
  <c r="CR275" i="25" s="1"/>
  <c r="CP295" i="25"/>
  <c r="CR295" i="25" s="1"/>
  <c r="CQ275" i="25"/>
  <c r="CQ295" i="25"/>
  <c r="CU275" i="25"/>
  <c r="CW275" i="25" s="1"/>
  <c r="CU295" i="25"/>
  <c r="DB275" i="25"/>
  <c r="DB295" i="25"/>
  <c r="DC275" i="25"/>
  <c r="DC295" i="25"/>
  <c r="DE275" i="25"/>
  <c r="DK275" i="25" s="1"/>
  <c r="DE295" i="25"/>
  <c r="DK295" i="25" s="1"/>
  <c r="DG275" i="25"/>
  <c r="DG295" i="25"/>
  <c r="DH275" i="25"/>
  <c r="EH275" i="25" s="1"/>
  <c r="DH295" i="25"/>
  <c r="DL275" i="25"/>
  <c r="DL295" i="25"/>
  <c r="DM275" i="25"/>
  <c r="DT275" i="25" s="1"/>
  <c r="DM295" i="25"/>
  <c r="DT295" i="25" s="1"/>
  <c r="DN275" i="25"/>
  <c r="DN295" i="25"/>
  <c r="DO275" i="25"/>
  <c r="DO295" i="25"/>
  <c r="DV275" i="25"/>
  <c r="DV295" i="25"/>
  <c r="DW275" i="25"/>
  <c r="DX275" i="25" s="1"/>
  <c r="DW295" i="25"/>
  <c r="DX295" i="25" s="1"/>
  <c r="DY275" i="25"/>
  <c r="DY295" i="25"/>
  <c r="EA275" i="25"/>
  <c r="EA295" i="25"/>
  <c r="EB275" i="25"/>
  <c r="EB295" i="25"/>
  <c r="EC275" i="25"/>
  <c r="EC295" i="25"/>
  <c r="ED275" i="25"/>
  <c r="ED295" i="25"/>
  <c r="EE275" i="25"/>
  <c r="EE295" i="25"/>
  <c r="EI275" i="25"/>
  <c r="EI295" i="25"/>
  <c r="EJ275" i="25"/>
  <c r="EJ295" i="25"/>
  <c r="DU275" i="25"/>
  <c r="DU295" i="25"/>
  <c r="EN275" i="25"/>
  <c r="EN295" i="25"/>
  <c r="EO275" i="25"/>
  <c r="EO295" i="25"/>
  <c r="EP275" i="25"/>
  <c r="EP295" i="25"/>
  <c r="EQ275" i="25"/>
  <c r="EQ295" i="25"/>
  <c r="ET275" i="25"/>
  <c r="ET295" i="25"/>
  <c r="EU275" i="25"/>
  <c r="EU295" i="25"/>
  <c r="G391" i="25"/>
  <c r="G392" i="25"/>
  <c r="G403" i="25"/>
  <c r="G402" i="25"/>
  <c r="G401" i="25"/>
  <c r="CE391" i="25"/>
  <c r="CE392" i="25"/>
  <c r="CE403" i="25"/>
  <c r="CE402" i="25"/>
  <c r="CE401" i="25"/>
  <c r="CF391" i="25"/>
  <c r="CF392" i="25"/>
  <c r="CF403" i="25"/>
  <c r="CF402" i="25"/>
  <c r="CF401" i="25"/>
  <c r="CH391" i="25"/>
  <c r="CH392" i="25"/>
  <c r="CH403" i="25"/>
  <c r="CH402" i="25"/>
  <c r="CH401" i="25"/>
  <c r="CI391" i="25"/>
  <c r="CI392" i="25"/>
  <c r="CI403" i="25"/>
  <c r="CI402" i="25"/>
  <c r="CI401" i="25"/>
  <c r="CJ391" i="25"/>
  <c r="CJ392" i="25"/>
  <c r="CJ403" i="25"/>
  <c r="CJ402" i="25"/>
  <c r="CJ401" i="25"/>
  <c r="CK391" i="25"/>
  <c r="CK392" i="25"/>
  <c r="CK403" i="25"/>
  <c r="CK402" i="25"/>
  <c r="CK401" i="25"/>
  <c r="CL391" i="25"/>
  <c r="CL392" i="25"/>
  <c r="CL403" i="25"/>
  <c r="CL402" i="25"/>
  <c r="CL401" i="25"/>
  <c r="CM391" i="25"/>
  <c r="CM392" i="25"/>
  <c r="CM403" i="25"/>
  <c r="CM402" i="25"/>
  <c r="CM401" i="25"/>
  <c r="CN391" i="25"/>
  <c r="CN392" i="25"/>
  <c r="CN403" i="25"/>
  <c r="CN402" i="25"/>
  <c r="CN401" i="25"/>
  <c r="CT391" i="25"/>
  <c r="CT392" i="25"/>
  <c r="CT403" i="25"/>
  <c r="CU403" i="25" s="1"/>
  <c r="CT402" i="25"/>
  <c r="CT401" i="25"/>
  <c r="CU401" i="25" s="1"/>
  <c r="DB391" i="25"/>
  <c r="DB392" i="25"/>
  <c r="DB403" i="25"/>
  <c r="DB402" i="25"/>
  <c r="DB401" i="25"/>
  <c r="DC391" i="25"/>
  <c r="DC392" i="25"/>
  <c r="DC403" i="25"/>
  <c r="DC402" i="25"/>
  <c r="DC401" i="25"/>
  <c r="DG391" i="25"/>
  <c r="DG392" i="25"/>
  <c r="DG403" i="25"/>
  <c r="DG402" i="25"/>
  <c r="DG401" i="25"/>
  <c r="DH391" i="25"/>
  <c r="DH392" i="25"/>
  <c r="DH403" i="25"/>
  <c r="DH402" i="25"/>
  <c r="DH401" i="25"/>
  <c r="DL391" i="25"/>
  <c r="DL392" i="25"/>
  <c r="DL403" i="25"/>
  <c r="DL402" i="25"/>
  <c r="DL401" i="25"/>
  <c r="DM391" i="25"/>
  <c r="DT391" i="25" s="1"/>
  <c r="DM392" i="25"/>
  <c r="DT392" i="25" s="1"/>
  <c r="DM403" i="25"/>
  <c r="DT403" i="25" s="1"/>
  <c r="DM402" i="25"/>
  <c r="DT402" i="25" s="1"/>
  <c r="DM401" i="25"/>
  <c r="DT401" i="25" s="1"/>
  <c r="DN391" i="25"/>
  <c r="DN392" i="25"/>
  <c r="DN403" i="25"/>
  <c r="DN402" i="25"/>
  <c r="DN401" i="25"/>
  <c r="DO391" i="25"/>
  <c r="DO392" i="25"/>
  <c r="DO403" i="25"/>
  <c r="DO402" i="25"/>
  <c r="DO401" i="25"/>
  <c r="DV391" i="25"/>
  <c r="DV392" i="25"/>
  <c r="DV403" i="25"/>
  <c r="DV402" i="25"/>
  <c r="DV401" i="25"/>
  <c r="DW391" i="25"/>
  <c r="DX391" i="25" s="1"/>
  <c r="DW392" i="25"/>
  <c r="DX392" i="25" s="1"/>
  <c r="DW403" i="25"/>
  <c r="DZ403" i="25" s="1"/>
  <c r="DW402" i="25"/>
  <c r="DX402" i="25" s="1"/>
  <c r="DW401" i="25"/>
  <c r="DX401" i="25" s="1"/>
  <c r="DY391" i="25"/>
  <c r="DY392" i="25"/>
  <c r="DY403" i="25"/>
  <c r="DY402" i="25"/>
  <c r="DY401" i="25"/>
  <c r="EA391" i="25"/>
  <c r="EA392" i="25"/>
  <c r="EA403" i="25"/>
  <c r="EA402" i="25"/>
  <c r="EA401" i="25"/>
  <c r="EB391" i="25"/>
  <c r="EB392" i="25"/>
  <c r="EB403" i="25"/>
  <c r="EB402" i="25"/>
  <c r="EB401" i="25"/>
  <c r="EC391" i="25"/>
  <c r="EC392" i="25"/>
  <c r="EC403" i="25"/>
  <c r="EC402" i="25"/>
  <c r="EC401" i="25"/>
  <c r="ED391" i="25"/>
  <c r="ED392" i="25"/>
  <c r="ED403" i="25"/>
  <c r="ED402" i="25"/>
  <c r="ED401" i="25"/>
  <c r="EE391" i="25"/>
  <c r="EE392" i="25"/>
  <c r="EE403" i="25"/>
  <c r="EE402" i="25"/>
  <c r="EE401" i="25"/>
  <c r="EI391" i="25"/>
  <c r="EI392" i="25"/>
  <c r="EI403" i="25"/>
  <c r="EI402" i="25"/>
  <c r="EI401" i="25"/>
  <c r="EJ391" i="25"/>
  <c r="EJ392" i="25"/>
  <c r="EJ403" i="25"/>
  <c r="EJ402" i="25"/>
  <c r="EJ401" i="25"/>
  <c r="EK391" i="25"/>
  <c r="DI391" i="25" s="1"/>
  <c r="DJ391" i="25" s="1"/>
  <c r="EK392" i="25"/>
  <c r="DI392" i="25" s="1"/>
  <c r="DJ392" i="25" s="1"/>
  <c r="EK403" i="25"/>
  <c r="DI403" i="25" s="1"/>
  <c r="DJ403" i="25" s="1"/>
  <c r="EK402" i="25"/>
  <c r="DI402" i="25" s="1"/>
  <c r="DJ402" i="25" s="1"/>
  <c r="EK401" i="25"/>
  <c r="EL391" i="25"/>
  <c r="EL392" i="25"/>
  <c r="EL403" i="25"/>
  <c r="EL402" i="25"/>
  <c r="EL401" i="25"/>
  <c r="EM391" i="25"/>
  <c r="DU391" i="25" s="1"/>
  <c r="EM392" i="25"/>
  <c r="DU392" i="25" s="1"/>
  <c r="DU403" i="25"/>
  <c r="DU402" i="25"/>
  <c r="EM401" i="25"/>
  <c r="DU401" i="25" s="1"/>
  <c r="EN391" i="25"/>
  <c r="EN392" i="25"/>
  <c r="EN403" i="25"/>
  <c r="EN402" i="25"/>
  <c r="EN401" i="25"/>
  <c r="EO391" i="25"/>
  <c r="EO392" i="25"/>
  <c r="EO403" i="25"/>
  <c r="EO402" i="25"/>
  <c r="EO401" i="25"/>
  <c r="EP391" i="25"/>
  <c r="EP392" i="25"/>
  <c r="EP403" i="25"/>
  <c r="EP402" i="25"/>
  <c r="EP401" i="25"/>
  <c r="EQ391" i="25"/>
  <c r="EQ392" i="25"/>
  <c r="EQ403" i="25"/>
  <c r="EQ402" i="25"/>
  <c r="EQ401" i="25"/>
  <c r="ET391" i="25"/>
  <c r="ET392" i="25"/>
  <c r="ET403" i="25"/>
  <c r="ET402" i="25"/>
  <c r="ET401" i="25"/>
  <c r="EU391" i="25"/>
  <c r="EU392" i="25"/>
  <c r="EU403" i="25"/>
  <c r="EU402" i="25"/>
  <c r="EU401" i="25"/>
  <c r="EG275" i="25" l="1"/>
  <c r="EF275" i="25"/>
  <c r="DZ275" i="25"/>
  <c r="DP275" i="25"/>
  <c r="DQ275" i="25" s="1"/>
  <c r="DR275" i="25" s="1"/>
  <c r="DS275" i="25" s="1"/>
  <c r="EH295" i="25"/>
  <c r="CG295" i="25"/>
  <c r="DP295" i="25"/>
  <c r="DQ295" i="25" s="1"/>
  <c r="DR295" i="25" s="1"/>
  <c r="DS295" i="25" s="1"/>
  <c r="EF295" i="25"/>
  <c r="EG295" i="25"/>
  <c r="CG275" i="25"/>
  <c r="CY295" i="25"/>
  <c r="CZ295" i="25" s="1"/>
  <c r="CW295" i="25"/>
  <c r="CX295" i="25" s="1"/>
  <c r="DA295" i="25" s="1"/>
  <c r="CY275" i="25"/>
  <c r="CZ275" i="25" s="1"/>
  <c r="CX275" i="25"/>
  <c r="DA275" i="25" s="1"/>
  <c r="DZ295" i="25"/>
  <c r="DF295" i="25"/>
  <c r="DF275" i="25"/>
  <c r="DI295" i="25"/>
  <c r="DJ295" i="25" s="1"/>
  <c r="DI275" i="25"/>
  <c r="DJ275" i="25" s="1"/>
  <c r="CG402" i="25"/>
  <c r="DE401" i="25"/>
  <c r="DD401" i="25" s="1"/>
  <c r="DK401" i="25" s="1"/>
  <c r="DZ402" i="25"/>
  <c r="CQ402" i="25"/>
  <c r="CP391" i="25"/>
  <c r="CR391" i="25" s="1"/>
  <c r="CS391" i="25" s="1"/>
  <c r="EH391" i="25"/>
  <c r="EG392" i="25"/>
  <c r="CP403" i="25"/>
  <c r="CR403" i="25" s="1"/>
  <c r="EG403" i="25"/>
  <c r="EF402" i="25"/>
  <c r="EF391" i="25"/>
  <c r="DP403" i="25"/>
  <c r="DQ403" i="25" s="1"/>
  <c r="DR403" i="25" s="1"/>
  <c r="DS403" i="25" s="1"/>
  <c r="EG402" i="25"/>
  <c r="EG401" i="25"/>
  <c r="CQ392" i="25"/>
  <c r="CQ391" i="25"/>
  <c r="CG403" i="25"/>
  <c r="CQ403" i="25"/>
  <c r="CP401" i="25"/>
  <c r="CR401" i="25" s="1"/>
  <c r="CS401" i="25" s="1"/>
  <c r="CW401" i="25" s="1"/>
  <c r="CX401" i="25" s="1"/>
  <c r="DA401" i="25" s="1"/>
  <c r="DE391" i="25"/>
  <c r="DD391" i="25" s="1"/>
  <c r="DK391" i="25" s="1"/>
  <c r="CP402" i="25"/>
  <c r="CR402" i="25" s="1"/>
  <c r="CS402" i="25" s="1"/>
  <c r="EH401" i="25"/>
  <c r="CQ401" i="25"/>
  <c r="CP392" i="25"/>
  <c r="CR392" i="25" s="1"/>
  <c r="CS392" i="25" s="1"/>
  <c r="DP401" i="25"/>
  <c r="DQ401" i="25" s="1"/>
  <c r="DR401" i="25" s="1"/>
  <c r="DS401" i="25" s="1"/>
  <c r="DP392" i="25"/>
  <c r="DQ392" i="25" s="1"/>
  <c r="DR392" i="25" s="1"/>
  <c r="DS392" i="25" s="1"/>
  <c r="DE403" i="25"/>
  <c r="DD403" i="25" s="1"/>
  <c r="DK403" i="25" s="1"/>
  <c r="EH392" i="25"/>
  <c r="DZ401" i="25"/>
  <c r="DP402" i="25"/>
  <c r="DQ402" i="25" s="1"/>
  <c r="DR402" i="25" s="1"/>
  <c r="DS402" i="25" s="1"/>
  <c r="DP391" i="25"/>
  <c r="DQ391" i="25" s="1"/>
  <c r="DR391" i="25" s="1"/>
  <c r="DS391" i="25" s="1"/>
  <c r="DE392" i="25"/>
  <c r="DD392" i="25" s="1"/>
  <c r="DK392" i="25" s="1"/>
  <c r="CG401" i="25"/>
  <c r="CG392" i="25"/>
  <c r="DZ392" i="25"/>
  <c r="EF392" i="25"/>
  <c r="EH402" i="25"/>
  <c r="EG391" i="25"/>
  <c r="CG391" i="25"/>
  <c r="DE402" i="25"/>
  <c r="DD402" i="25" s="1"/>
  <c r="DK402" i="25" s="1"/>
  <c r="EH403" i="25"/>
  <c r="EF401" i="25"/>
  <c r="EF403" i="25"/>
  <c r="DZ391" i="25"/>
  <c r="DX403" i="25"/>
  <c r="DF401" i="25"/>
  <c r="CU402" i="25"/>
  <c r="DI401" i="25"/>
  <c r="DJ401" i="25" s="1"/>
  <c r="DF402" i="25"/>
  <c r="DF403" i="25"/>
  <c r="CU392" i="25"/>
  <c r="DF392" i="25"/>
  <c r="CU391" i="25"/>
  <c r="DF391" i="25"/>
  <c r="CV401" i="25" l="1"/>
  <c r="CY401" i="25" s="1"/>
  <c r="CZ401" i="25" s="1"/>
  <c r="CV402" i="25"/>
  <c r="CY402" i="25" s="1"/>
  <c r="CZ402" i="25" s="1"/>
  <c r="CW402" i="25"/>
  <c r="CX402" i="25" s="1"/>
  <c r="DA402" i="25" s="1"/>
  <c r="CV391" i="25"/>
  <c r="CY391" i="25" s="1"/>
  <c r="CZ391" i="25" s="1"/>
  <c r="CW392" i="25"/>
  <c r="CX392" i="25" s="1"/>
  <c r="DA392" i="25" s="1"/>
  <c r="CV403" i="25"/>
  <c r="CY403" i="25" s="1"/>
  <c r="CZ403" i="25" s="1"/>
  <c r="CS403" i="25"/>
  <c r="CW403" i="25" s="1"/>
  <c r="CX403" i="25" s="1"/>
  <c r="DA403" i="25" s="1"/>
  <c r="CV392" i="25"/>
  <c r="CY392" i="25" s="1"/>
  <c r="CZ392" i="25" s="1"/>
  <c r="CW391" i="25"/>
  <c r="CX391" i="25" s="1"/>
  <c r="DA391" i="25" s="1"/>
  <c r="G261" i="25" l="1"/>
  <c r="G397" i="25"/>
  <c r="G396" i="25"/>
  <c r="G170" i="25"/>
  <c r="G171" i="25"/>
  <c r="G60" i="25"/>
  <c r="G96" i="25"/>
  <c r="G95" i="25"/>
  <c r="G119" i="25"/>
  <c r="G358" i="25"/>
  <c r="G356" i="25"/>
  <c r="G317" i="25"/>
  <c r="G314" i="25"/>
  <c r="G311" i="25"/>
  <c r="G245" i="25"/>
  <c r="G348" i="25"/>
  <c r="G243" i="25"/>
  <c r="G306" i="25"/>
  <c r="G305" i="25"/>
  <c r="G344" i="25"/>
  <c r="G365" i="25"/>
  <c r="G390" i="25"/>
  <c r="G252" i="25"/>
  <c r="G353" i="25"/>
  <c r="G346" i="25"/>
  <c r="G343" i="25"/>
  <c r="G328" i="25"/>
  <c r="G315" i="25"/>
  <c r="G304" i="25"/>
  <c r="G284" i="25"/>
  <c r="G347" i="25"/>
  <c r="G385" i="25"/>
  <c r="G389" i="25"/>
  <c r="G407" i="25"/>
  <c r="G400" i="25"/>
  <c r="G387" i="25"/>
  <c r="G394" i="25"/>
  <c r="G393" i="25"/>
  <c r="G388" i="25"/>
  <c r="G386" i="25"/>
  <c r="G271" i="25"/>
  <c r="G359" i="25"/>
  <c r="G355" i="25"/>
  <c r="G352" i="25"/>
  <c r="G351" i="25"/>
  <c r="G273" i="25"/>
  <c r="G246" i="25"/>
  <c r="G249" i="25"/>
  <c r="G350" i="25"/>
  <c r="G368" i="25"/>
  <c r="G406" i="25"/>
  <c r="G379" i="25"/>
  <c r="G378" i="25"/>
  <c r="G374" i="25"/>
  <c r="G373" i="25"/>
  <c r="G371" i="25"/>
  <c r="G260" i="25"/>
  <c r="G258" i="25"/>
  <c r="G377" i="25"/>
  <c r="G364" i="25"/>
  <c r="G384" i="25"/>
  <c r="G398" i="25"/>
  <c r="G376" i="25"/>
  <c r="G383" i="25"/>
  <c r="G363" i="25"/>
  <c r="G375" i="25"/>
  <c r="G405" i="25"/>
  <c r="G404" i="25"/>
  <c r="G382" i="25"/>
  <c r="G381" i="25"/>
  <c r="G399" i="25"/>
  <c r="G372" i="25"/>
  <c r="G380" i="25"/>
  <c r="G370" i="25"/>
  <c r="G369" i="25"/>
  <c r="G395" i="25"/>
  <c r="G367" i="25"/>
  <c r="G366" i="25"/>
  <c r="G321" i="25"/>
  <c r="G345" i="25"/>
  <c r="G248" i="25"/>
  <c r="G340" i="25"/>
  <c r="G327" i="25"/>
  <c r="G326" i="25"/>
  <c r="G337" i="25"/>
  <c r="G270" i="25"/>
  <c r="G269" i="25"/>
  <c r="G240" i="25"/>
  <c r="G290" i="25"/>
  <c r="G239" i="25"/>
  <c r="G231" i="25"/>
  <c r="G238" i="25"/>
  <c r="G333" i="25"/>
  <c r="G237" i="25"/>
  <c r="G223" i="25"/>
  <c r="G292" i="25"/>
  <c r="G251" i="25"/>
  <c r="G294" i="25"/>
  <c r="G235" i="25"/>
  <c r="G336" i="25"/>
  <c r="G229" i="25"/>
  <c r="G241" i="25"/>
  <c r="G250" i="25"/>
  <c r="G291" i="25"/>
  <c r="G234" i="25"/>
  <c r="G332" i="25"/>
  <c r="G233" i="25"/>
  <c r="G331" i="25"/>
  <c r="G330" i="25"/>
  <c r="G232" i="25"/>
  <c r="G193" i="25"/>
  <c r="G192" i="25"/>
  <c r="G205" i="25"/>
  <c r="G204" i="25"/>
  <c r="G198" i="25"/>
  <c r="G197" i="25"/>
  <c r="G196" i="25"/>
  <c r="G191" i="25"/>
  <c r="G203" i="25"/>
  <c r="G202" i="25"/>
  <c r="G190" i="25"/>
  <c r="G195" i="25"/>
  <c r="G194" i="25"/>
  <c r="G201" i="25"/>
  <c r="G7" i="25"/>
  <c r="G8" i="25"/>
  <c r="G17" i="25"/>
  <c r="G24" i="25"/>
  <c r="G53" i="25"/>
  <c r="G43" i="25"/>
  <c r="G52" i="25"/>
  <c r="G42" i="25"/>
  <c r="G51" i="25"/>
  <c r="G41" i="25"/>
  <c r="G40" i="25"/>
  <c r="G50" i="25"/>
  <c r="G39" i="25"/>
  <c r="G49" i="25"/>
  <c r="G38" i="25"/>
  <c r="G37" i="25"/>
  <c r="G36" i="25"/>
  <c r="G92" i="25"/>
  <c r="G34" i="25"/>
  <c r="G33" i="25"/>
  <c r="G32" i="25"/>
  <c r="G31" i="25"/>
  <c r="G48" i="25"/>
  <c r="G47" i="25"/>
  <c r="G30" i="25"/>
  <c r="G46" i="25"/>
  <c r="G29" i="25"/>
  <c r="G213" i="25"/>
  <c r="G212" i="25"/>
  <c r="G91" i="25"/>
  <c r="G90" i="25"/>
  <c r="G210" i="25"/>
  <c r="G89" i="25"/>
  <c r="G209" i="25"/>
  <c r="G155" i="25"/>
  <c r="G173" i="25"/>
  <c r="G163" i="25"/>
  <c r="G167" i="25"/>
  <c r="G176" i="25"/>
  <c r="G10" i="25"/>
  <c r="G165" i="25"/>
  <c r="G169" i="25"/>
  <c r="G175" i="25"/>
  <c r="G168" i="25"/>
  <c r="G166" i="25"/>
  <c r="G164" i="25"/>
  <c r="G174" i="25"/>
  <c r="G161" i="25"/>
  <c r="G144" i="25"/>
  <c r="G160" i="25"/>
  <c r="G159" i="25"/>
  <c r="G158" i="25"/>
  <c r="G157" i="25"/>
  <c r="G145" i="25"/>
  <c r="G136" i="25"/>
  <c r="G138" i="25"/>
  <c r="G156" i="25"/>
  <c r="G45" i="25"/>
  <c r="G79" i="25"/>
  <c r="G208" i="25"/>
  <c r="G85" i="25"/>
  <c r="G101" i="25"/>
  <c r="G131" i="25"/>
  <c r="G128" i="25"/>
  <c r="G127" i="25"/>
  <c r="G124" i="25"/>
  <c r="G122" i="25"/>
  <c r="G121" i="25"/>
  <c r="G113" i="25"/>
  <c r="G112" i="25"/>
  <c r="G108" i="25"/>
  <c r="G107" i="25"/>
  <c r="G104" i="25"/>
  <c r="G139" i="25"/>
  <c r="G84" i="25"/>
  <c r="G111" i="25"/>
  <c r="G98" i="25"/>
  <c r="G129" i="25"/>
  <c r="G118" i="25"/>
  <c r="G117" i="25"/>
  <c r="G172" i="25"/>
  <c r="G110" i="25"/>
  <c r="G116" i="25"/>
  <c r="G97" i="25"/>
  <c r="G109" i="25"/>
  <c r="G123" i="25"/>
  <c r="G130" i="25"/>
  <c r="G115" i="25"/>
  <c r="G106" i="25"/>
  <c r="G120" i="25"/>
  <c r="G114" i="25"/>
  <c r="G9" i="25"/>
  <c r="G105" i="25"/>
  <c r="G126" i="25"/>
  <c r="G162" i="25"/>
  <c r="G103" i="25"/>
  <c r="G102" i="25"/>
  <c r="G125" i="25"/>
  <c r="G11" i="25"/>
  <c r="G100" i="25"/>
  <c r="G99" i="25"/>
  <c r="G94" i="25"/>
  <c r="G57" i="25"/>
  <c r="G35" i="25"/>
  <c r="G154" i="25"/>
  <c r="G133" i="25"/>
  <c r="G214" i="25"/>
  <c r="G28" i="25"/>
  <c r="G44" i="25"/>
  <c r="G148" i="25"/>
  <c r="G59" i="25"/>
  <c r="G200" i="25"/>
  <c r="G27" i="25"/>
  <c r="G141" i="25"/>
  <c r="G64" i="25"/>
  <c r="G63" i="25"/>
  <c r="G26" i="25"/>
  <c r="G73" i="25"/>
  <c r="G72" i="25"/>
  <c r="G152" i="25"/>
  <c r="G143" i="25"/>
  <c r="G142" i="25"/>
  <c r="G83" i="25"/>
  <c r="G189" i="25"/>
  <c r="G82" i="25"/>
  <c r="G71" i="25"/>
  <c r="G146" i="25"/>
  <c r="G81" i="25"/>
  <c r="G207" i="25"/>
  <c r="G188" i="25"/>
  <c r="G180" i="25"/>
  <c r="G187" i="25"/>
  <c r="G199" i="25"/>
  <c r="G186" i="25"/>
  <c r="G137" i="25"/>
  <c r="G134" i="25"/>
  <c r="G23" i="25"/>
  <c r="G58" i="25"/>
  <c r="G80" i="25"/>
  <c r="G62" i="25"/>
  <c r="G218" i="25"/>
  <c r="G22" i="25"/>
  <c r="G217" i="25"/>
  <c r="G219" i="25"/>
  <c r="G65" i="25"/>
  <c r="G86" i="25"/>
  <c r="G21" i="25"/>
  <c r="G185" i="25"/>
  <c r="G151" i="25"/>
  <c r="G76" i="25"/>
  <c r="G179" i="25"/>
  <c r="G61" i="25"/>
  <c r="G135" i="25"/>
  <c r="G132" i="25"/>
  <c r="G78" i="25"/>
  <c r="G216" i="25"/>
  <c r="G147" i="25"/>
  <c r="G77" i="25"/>
  <c r="G19" i="25"/>
  <c r="G206" i="25"/>
  <c r="G184" i="25"/>
  <c r="G18" i="25"/>
  <c r="G75" i="25"/>
  <c r="G183" i="25"/>
  <c r="G93" i="25"/>
  <c r="G16" i="25"/>
  <c r="G215" i="25"/>
  <c r="G74" i="25"/>
  <c r="G182" i="25"/>
  <c r="G70" i="25"/>
  <c r="G150" i="25"/>
  <c r="G149" i="25"/>
  <c r="G69" i="25"/>
  <c r="G15" i="25"/>
  <c r="G68" i="25"/>
  <c r="G181" i="25"/>
  <c r="G14" i="25"/>
  <c r="G13" i="25"/>
  <c r="G67" i="25"/>
  <c r="CE289" i="25"/>
  <c r="CE232" i="25"/>
  <c r="CE330" i="25"/>
  <c r="CE331" i="25"/>
  <c r="CE233" i="25"/>
  <c r="CE332" i="25"/>
  <c r="CE234" i="25"/>
  <c r="CE291" i="25"/>
  <c r="CE250" i="25"/>
  <c r="CE241" i="25"/>
  <c r="CE229" i="25"/>
  <c r="CE336" i="25"/>
  <c r="CE235" i="25"/>
  <c r="CE294" i="25"/>
  <c r="CE251" i="25"/>
  <c r="CE292" i="25"/>
  <c r="CE223" i="25"/>
  <c r="CE237" i="25"/>
  <c r="CE333" i="25"/>
  <c r="CE238" i="25"/>
  <c r="CE231" i="25"/>
  <c r="CE239" i="25"/>
  <c r="CE290" i="25"/>
  <c r="CE240" i="25"/>
  <c r="CE269" i="25"/>
  <c r="CE270" i="25"/>
  <c r="CE337" i="25"/>
  <c r="CE326" i="25"/>
  <c r="CE327" i="25"/>
  <c r="CE340" i="25"/>
  <c r="CE248" i="25"/>
  <c r="CE345" i="25"/>
  <c r="CE321" i="25"/>
  <c r="CE366" i="25"/>
  <c r="CE367" i="25"/>
  <c r="CE395" i="25"/>
  <c r="CE369" i="25"/>
  <c r="CE370" i="25"/>
  <c r="CE380" i="25"/>
  <c r="CE396" i="25"/>
  <c r="CE372" i="25"/>
  <c r="CE399" i="25"/>
  <c r="CE381" i="25"/>
  <c r="CE382" i="25"/>
  <c r="CE404" i="25"/>
  <c r="CE405" i="25"/>
  <c r="CE375" i="25"/>
  <c r="CE363" i="25"/>
  <c r="CE383" i="25"/>
  <c r="CE376" i="25"/>
  <c r="CE397" i="25"/>
  <c r="CE398" i="25"/>
  <c r="CE384" i="25"/>
  <c r="CE364" i="25"/>
  <c r="CE377" i="25"/>
  <c r="CE258" i="25"/>
  <c r="CE260" i="25"/>
  <c r="CE371" i="25"/>
  <c r="CE373" i="25"/>
  <c r="CE374" i="25"/>
  <c r="CE378" i="25"/>
  <c r="CE379" i="25"/>
  <c r="CE406" i="25"/>
  <c r="CE368" i="25"/>
  <c r="CE278" i="25"/>
  <c r="CE261" i="25"/>
  <c r="CE350" i="25"/>
  <c r="CE249" i="25"/>
  <c r="CE246" i="25"/>
  <c r="CE273" i="25"/>
  <c r="CE351" i="25"/>
  <c r="CE352" i="25"/>
  <c r="CE355" i="25"/>
  <c r="CE359" i="25"/>
  <c r="CE271" i="25"/>
  <c r="CE386" i="25"/>
  <c r="CE388" i="25"/>
  <c r="CE393" i="25"/>
  <c r="CE394" i="25"/>
  <c r="CE387" i="25"/>
  <c r="CE400" i="25"/>
  <c r="CE407" i="25"/>
  <c r="CE389" i="25"/>
  <c r="CE385" i="25"/>
  <c r="CE347" i="25"/>
  <c r="CE284" i="25"/>
  <c r="CE304" i="25"/>
  <c r="CE315" i="25"/>
  <c r="CE328" i="25"/>
  <c r="CE343" i="25"/>
  <c r="CE346" i="25"/>
  <c r="CE353" i="25"/>
  <c r="CE252" i="25"/>
  <c r="CE390" i="25"/>
  <c r="CE365" i="25"/>
  <c r="CE344" i="25"/>
  <c r="CE305" i="25"/>
  <c r="CE306" i="25"/>
  <c r="CE243" i="25"/>
  <c r="CE348" i="25"/>
  <c r="CE245" i="25"/>
  <c r="CE220" i="25"/>
  <c r="CE311" i="25"/>
  <c r="CE314" i="25"/>
  <c r="CE317" i="25"/>
  <c r="CE356" i="25"/>
  <c r="CE358" i="25"/>
  <c r="CF289" i="25"/>
  <c r="CF232" i="25"/>
  <c r="CF330" i="25"/>
  <c r="CF331" i="25"/>
  <c r="CF233" i="25"/>
  <c r="CF332" i="25"/>
  <c r="CF234" i="25"/>
  <c r="CF291" i="25"/>
  <c r="CF250" i="25"/>
  <c r="CF241" i="25"/>
  <c r="CF229" i="25"/>
  <c r="CF336" i="25"/>
  <c r="CF235" i="25"/>
  <c r="CF294" i="25"/>
  <c r="CF251" i="25"/>
  <c r="CF292" i="25"/>
  <c r="CF223" i="25"/>
  <c r="CF237" i="25"/>
  <c r="CF333" i="25"/>
  <c r="CF238" i="25"/>
  <c r="CF231" i="25"/>
  <c r="CF239" i="25"/>
  <c r="CF290" i="25"/>
  <c r="CF240" i="25"/>
  <c r="CF269" i="25"/>
  <c r="CF270" i="25"/>
  <c r="CF337" i="25"/>
  <c r="CF326" i="25"/>
  <c r="CF327" i="25"/>
  <c r="CF340" i="25"/>
  <c r="CF248" i="25"/>
  <c r="CF345" i="25"/>
  <c r="CF321" i="25"/>
  <c r="CF366" i="25"/>
  <c r="CF367" i="25"/>
  <c r="CF395" i="25"/>
  <c r="CF369" i="25"/>
  <c r="CF370" i="25"/>
  <c r="CF380" i="25"/>
  <c r="CF396" i="25"/>
  <c r="CF372" i="25"/>
  <c r="CF399" i="25"/>
  <c r="CF381" i="25"/>
  <c r="CF382" i="25"/>
  <c r="CF404" i="25"/>
  <c r="CF405" i="25"/>
  <c r="CF375" i="25"/>
  <c r="CF363" i="25"/>
  <c r="CF383" i="25"/>
  <c r="CF376" i="25"/>
  <c r="CF397" i="25"/>
  <c r="CF398" i="25"/>
  <c r="CF384" i="25"/>
  <c r="CF364" i="25"/>
  <c r="CF377" i="25"/>
  <c r="CF258" i="25"/>
  <c r="CF260" i="25"/>
  <c r="CF371" i="25"/>
  <c r="CF373" i="25"/>
  <c r="CF374" i="25"/>
  <c r="CF378" i="25"/>
  <c r="CF379" i="25"/>
  <c r="CF406" i="25"/>
  <c r="CF368" i="25"/>
  <c r="CF278" i="25"/>
  <c r="CF261" i="25"/>
  <c r="CF350" i="25"/>
  <c r="CF249" i="25"/>
  <c r="CF246" i="25"/>
  <c r="CF273" i="25"/>
  <c r="CF351" i="25"/>
  <c r="CF352" i="25"/>
  <c r="CF355" i="25"/>
  <c r="CF359" i="25"/>
  <c r="CF271" i="25"/>
  <c r="CF386" i="25"/>
  <c r="CF388" i="25"/>
  <c r="CF393" i="25"/>
  <c r="CF394" i="25"/>
  <c r="CF387" i="25"/>
  <c r="CF400" i="25"/>
  <c r="CF407" i="25"/>
  <c r="CF389" i="25"/>
  <c r="CF385" i="25"/>
  <c r="CF347" i="25"/>
  <c r="CF284" i="25"/>
  <c r="CF304" i="25"/>
  <c r="CF315" i="25"/>
  <c r="CF328" i="25"/>
  <c r="CF343" i="25"/>
  <c r="CF346" i="25"/>
  <c r="CF353" i="25"/>
  <c r="CF252" i="25"/>
  <c r="CF390" i="25"/>
  <c r="CF365" i="25"/>
  <c r="CF344" i="25"/>
  <c r="CF305" i="25"/>
  <c r="CF306" i="25"/>
  <c r="CF243" i="25"/>
  <c r="CF348" i="25"/>
  <c r="CF245" i="25"/>
  <c r="CF220" i="25"/>
  <c r="CF311" i="25"/>
  <c r="CF314" i="25"/>
  <c r="CF317" i="25"/>
  <c r="CF356" i="25"/>
  <c r="CF358" i="25"/>
  <c r="CH289" i="25"/>
  <c r="CH232" i="25"/>
  <c r="CH330" i="25"/>
  <c r="CH331" i="25"/>
  <c r="CH233" i="25"/>
  <c r="CH332" i="25"/>
  <c r="CH234" i="25"/>
  <c r="CH291" i="25"/>
  <c r="CH250" i="25"/>
  <c r="CH241" i="25"/>
  <c r="CH229" i="25"/>
  <c r="CH336" i="25"/>
  <c r="CH235" i="25"/>
  <c r="CH294" i="25"/>
  <c r="CH251" i="25"/>
  <c r="CH292" i="25"/>
  <c r="CH223" i="25"/>
  <c r="CH237" i="25"/>
  <c r="CH333" i="25"/>
  <c r="CH238" i="25"/>
  <c r="CH231" i="25"/>
  <c r="CH239" i="25"/>
  <c r="CH290" i="25"/>
  <c r="CH240" i="25"/>
  <c r="CH269" i="25"/>
  <c r="CH270" i="25"/>
  <c r="CH337" i="25"/>
  <c r="CH326" i="25"/>
  <c r="CH327" i="25"/>
  <c r="CH340" i="25"/>
  <c r="CH248" i="25"/>
  <c r="CH345" i="25"/>
  <c r="CH321" i="25"/>
  <c r="CH366" i="25"/>
  <c r="CH367" i="25"/>
  <c r="CH395" i="25"/>
  <c r="CH369" i="25"/>
  <c r="CH370" i="25"/>
  <c r="CH380" i="25"/>
  <c r="CH396" i="25"/>
  <c r="CH372" i="25"/>
  <c r="CH399" i="25"/>
  <c r="CH381" i="25"/>
  <c r="CH382" i="25"/>
  <c r="CH404" i="25"/>
  <c r="CH405" i="25"/>
  <c r="CH375" i="25"/>
  <c r="CH363" i="25"/>
  <c r="CH383" i="25"/>
  <c r="CH376" i="25"/>
  <c r="CH397" i="25"/>
  <c r="CH398" i="25"/>
  <c r="CH384" i="25"/>
  <c r="CH364" i="25"/>
  <c r="CH377" i="25"/>
  <c r="CH258" i="25"/>
  <c r="CH260" i="25"/>
  <c r="CH371" i="25"/>
  <c r="CH373" i="25"/>
  <c r="CH374" i="25"/>
  <c r="CH378" i="25"/>
  <c r="CH379" i="25"/>
  <c r="CH406" i="25"/>
  <c r="CH368" i="25"/>
  <c r="CH278" i="25"/>
  <c r="CH261" i="25"/>
  <c r="CH350" i="25"/>
  <c r="CH249" i="25"/>
  <c r="CH246" i="25"/>
  <c r="CH273" i="25"/>
  <c r="CH351" i="25"/>
  <c r="CH352" i="25"/>
  <c r="CH355" i="25"/>
  <c r="CH359" i="25"/>
  <c r="CH271" i="25"/>
  <c r="CH386" i="25"/>
  <c r="CH388" i="25"/>
  <c r="CH393" i="25"/>
  <c r="CH394" i="25"/>
  <c r="CH387" i="25"/>
  <c r="CH400" i="25"/>
  <c r="CH407" i="25"/>
  <c r="CH389" i="25"/>
  <c r="CH385" i="25"/>
  <c r="CH347" i="25"/>
  <c r="CH284" i="25"/>
  <c r="CH304" i="25"/>
  <c r="CH315" i="25"/>
  <c r="CH328" i="25"/>
  <c r="CH343" i="25"/>
  <c r="CH346" i="25"/>
  <c r="CH353" i="25"/>
  <c r="CH252" i="25"/>
  <c r="CH390" i="25"/>
  <c r="CH365" i="25"/>
  <c r="CH344" i="25"/>
  <c r="CH305" i="25"/>
  <c r="CH306" i="25"/>
  <c r="CH243" i="25"/>
  <c r="CH348" i="25"/>
  <c r="CH245" i="25"/>
  <c r="CH220" i="25"/>
  <c r="CH311" i="25"/>
  <c r="CH314" i="25"/>
  <c r="CH317" i="25"/>
  <c r="CH356" i="25"/>
  <c r="CH358" i="25"/>
  <c r="CI289" i="25"/>
  <c r="CI232" i="25"/>
  <c r="CI330" i="25"/>
  <c r="CI331" i="25"/>
  <c r="CI233" i="25"/>
  <c r="CI332" i="25"/>
  <c r="CI234" i="25"/>
  <c r="CI291" i="25"/>
  <c r="CI250" i="25"/>
  <c r="CI241" i="25"/>
  <c r="CI229" i="25"/>
  <c r="CI336" i="25"/>
  <c r="CI235" i="25"/>
  <c r="CI294" i="25"/>
  <c r="CI251" i="25"/>
  <c r="CI292" i="25"/>
  <c r="CI223" i="25"/>
  <c r="CI237" i="25"/>
  <c r="CI333" i="25"/>
  <c r="CI238" i="25"/>
  <c r="CI231" i="25"/>
  <c r="CI239" i="25"/>
  <c r="CI290" i="25"/>
  <c r="CI240" i="25"/>
  <c r="CI269" i="25"/>
  <c r="CI270" i="25"/>
  <c r="CI337" i="25"/>
  <c r="CI326" i="25"/>
  <c r="CI327" i="25"/>
  <c r="CI340" i="25"/>
  <c r="CI248" i="25"/>
  <c r="CI345" i="25"/>
  <c r="CI321" i="25"/>
  <c r="CI366" i="25"/>
  <c r="CI367" i="25"/>
  <c r="CI395" i="25"/>
  <c r="CI369" i="25"/>
  <c r="CI370" i="25"/>
  <c r="CI380" i="25"/>
  <c r="CI396" i="25"/>
  <c r="CI372" i="25"/>
  <c r="CI399" i="25"/>
  <c r="CI381" i="25"/>
  <c r="CI382" i="25"/>
  <c r="CI404" i="25"/>
  <c r="CI405" i="25"/>
  <c r="CI375" i="25"/>
  <c r="CI363" i="25"/>
  <c r="CI383" i="25"/>
  <c r="CI376" i="25"/>
  <c r="CI397" i="25"/>
  <c r="CI398" i="25"/>
  <c r="CI384" i="25"/>
  <c r="CI364" i="25"/>
  <c r="CI377" i="25"/>
  <c r="CI258" i="25"/>
  <c r="CI260" i="25"/>
  <c r="CI371" i="25"/>
  <c r="CI373" i="25"/>
  <c r="CI374" i="25"/>
  <c r="CI378" i="25"/>
  <c r="CI379" i="25"/>
  <c r="CI406" i="25"/>
  <c r="CI368" i="25"/>
  <c r="CI278" i="25"/>
  <c r="CI261" i="25"/>
  <c r="CI350" i="25"/>
  <c r="CI249" i="25"/>
  <c r="CI246" i="25"/>
  <c r="CI273" i="25"/>
  <c r="CI351" i="25"/>
  <c r="CI352" i="25"/>
  <c r="CI355" i="25"/>
  <c r="CI359" i="25"/>
  <c r="CI271" i="25"/>
  <c r="CI386" i="25"/>
  <c r="CI388" i="25"/>
  <c r="CI393" i="25"/>
  <c r="CI394" i="25"/>
  <c r="CI387" i="25"/>
  <c r="CI400" i="25"/>
  <c r="CI407" i="25"/>
  <c r="CI389" i="25"/>
  <c r="CI385" i="25"/>
  <c r="CI347" i="25"/>
  <c r="CI284" i="25"/>
  <c r="CI304" i="25"/>
  <c r="CI315" i="25"/>
  <c r="CI328" i="25"/>
  <c r="CI343" i="25"/>
  <c r="CI346" i="25"/>
  <c r="CI353" i="25"/>
  <c r="CI252" i="25"/>
  <c r="CI390" i="25"/>
  <c r="CI365" i="25"/>
  <c r="CI344" i="25"/>
  <c r="CI305" i="25"/>
  <c r="CI306" i="25"/>
  <c r="CI243" i="25"/>
  <c r="CI348" i="25"/>
  <c r="CI245" i="25"/>
  <c r="CI220" i="25"/>
  <c r="CI311" i="25"/>
  <c r="CI314" i="25"/>
  <c r="CI317" i="25"/>
  <c r="CI356" i="25"/>
  <c r="CI358" i="25"/>
  <c r="CJ289" i="25"/>
  <c r="CJ232" i="25"/>
  <c r="CJ330" i="25"/>
  <c r="CJ331" i="25"/>
  <c r="CJ233" i="25"/>
  <c r="CJ332" i="25"/>
  <c r="CJ234" i="25"/>
  <c r="CJ291" i="25"/>
  <c r="CJ250" i="25"/>
  <c r="CJ241" i="25"/>
  <c r="CJ229" i="25"/>
  <c r="CJ336" i="25"/>
  <c r="CJ235" i="25"/>
  <c r="CJ294" i="25"/>
  <c r="CJ251" i="25"/>
  <c r="CJ292" i="25"/>
  <c r="CJ223" i="25"/>
  <c r="CJ237" i="25"/>
  <c r="CJ333" i="25"/>
  <c r="CJ238" i="25"/>
  <c r="CJ231" i="25"/>
  <c r="CJ239" i="25"/>
  <c r="CJ290" i="25"/>
  <c r="CJ240" i="25"/>
  <c r="CJ269" i="25"/>
  <c r="CJ270" i="25"/>
  <c r="CJ337" i="25"/>
  <c r="CJ326" i="25"/>
  <c r="CJ327" i="25"/>
  <c r="CJ340" i="25"/>
  <c r="CJ248" i="25"/>
  <c r="CJ345" i="25"/>
  <c r="CJ321" i="25"/>
  <c r="CJ366" i="25"/>
  <c r="CJ367" i="25"/>
  <c r="CJ395" i="25"/>
  <c r="CJ369" i="25"/>
  <c r="CJ370" i="25"/>
  <c r="CJ380" i="25"/>
  <c r="CJ396" i="25"/>
  <c r="CJ372" i="25"/>
  <c r="CJ399" i="25"/>
  <c r="CJ381" i="25"/>
  <c r="CJ382" i="25"/>
  <c r="CJ404" i="25"/>
  <c r="CJ405" i="25"/>
  <c r="CJ375" i="25"/>
  <c r="CJ363" i="25"/>
  <c r="CJ383" i="25"/>
  <c r="CJ376" i="25"/>
  <c r="CJ397" i="25"/>
  <c r="CJ398" i="25"/>
  <c r="CJ384" i="25"/>
  <c r="CJ364" i="25"/>
  <c r="CJ377" i="25"/>
  <c r="CJ258" i="25"/>
  <c r="CJ260" i="25"/>
  <c r="CJ371" i="25"/>
  <c r="CJ373" i="25"/>
  <c r="CJ374" i="25"/>
  <c r="CJ378" i="25"/>
  <c r="CJ379" i="25"/>
  <c r="CJ406" i="25"/>
  <c r="CJ368" i="25"/>
  <c r="CJ278" i="25"/>
  <c r="CJ261" i="25"/>
  <c r="CJ350" i="25"/>
  <c r="CJ249" i="25"/>
  <c r="CJ246" i="25"/>
  <c r="CJ273" i="25"/>
  <c r="CJ351" i="25"/>
  <c r="CJ352" i="25"/>
  <c r="CJ355" i="25"/>
  <c r="CJ359" i="25"/>
  <c r="CJ271" i="25"/>
  <c r="CJ386" i="25"/>
  <c r="CJ388" i="25"/>
  <c r="CJ393" i="25"/>
  <c r="CJ394" i="25"/>
  <c r="CJ387" i="25"/>
  <c r="CJ400" i="25"/>
  <c r="CJ407" i="25"/>
  <c r="CJ389" i="25"/>
  <c r="CJ385" i="25"/>
  <c r="CJ347" i="25"/>
  <c r="CJ284" i="25"/>
  <c r="CJ304" i="25"/>
  <c r="CJ315" i="25"/>
  <c r="CJ328" i="25"/>
  <c r="CJ343" i="25"/>
  <c r="CJ346" i="25"/>
  <c r="CJ353" i="25"/>
  <c r="CJ252" i="25"/>
  <c r="CJ390" i="25"/>
  <c r="CJ365" i="25"/>
  <c r="CJ344" i="25"/>
  <c r="CJ305" i="25"/>
  <c r="CJ306" i="25"/>
  <c r="CJ243" i="25"/>
  <c r="CJ348" i="25"/>
  <c r="CJ245" i="25"/>
  <c r="CJ220" i="25"/>
  <c r="CJ311" i="25"/>
  <c r="CJ314" i="25"/>
  <c r="CJ317" i="25"/>
  <c r="CJ356" i="25"/>
  <c r="CJ358" i="25"/>
  <c r="CK289" i="25"/>
  <c r="CK232" i="25"/>
  <c r="CK330" i="25"/>
  <c r="CK331" i="25"/>
  <c r="CK233" i="25"/>
  <c r="CK332" i="25"/>
  <c r="CK234" i="25"/>
  <c r="CK291" i="25"/>
  <c r="CK250" i="25"/>
  <c r="CK241" i="25"/>
  <c r="CK229" i="25"/>
  <c r="CK336" i="25"/>
  <c r="CK235" i="25"/>
  <c r="CK294" i="25"/>
  <c r="CK251" i="25"/>
  <c r="CK292" i="25"/>
  <c r="CK223" i="25"/>
  <c r="CK237" i="25"/>
  <c r="CK333" i="25"/>
  <c r="CK238" i="25"/>
  <c r="CK231" i="25"/>
  <c r="CK239" i="25"/>
  <c r="CK290" i="25"/>
  <c r="CK240" i="25"/>
  <c r="CK269" i="25"/>
  <c r="CK270" i="25"/>
  <c r="CK337" i="25"/>
  <c r="CK326" i="25"/>
  <c r="CK327" i="25"/>
  <c r="CK340" i="25"/>
  <c r="CK248" i="25"/>
  <c r="CK345" i="25"/>
  <c r="CK321" i="25"/>
  <c r="CK366" i="25"/>
  <c r="CK367" i="25"/>
  <c r="CK395" i="25"/>
  <c r="CK369" i="25"/>
  <c r="CK370" i="25"/>
  <c r="CK380" i="25"/>
  <c r="CK396" i="25"/>
  <c r="CK372" i="25"/>
  <c r="CK399" i="25"/>
  <c r="CK381" i="25"/>
  <c r="CK382" i="25"/>
  <c r="CK404" i="25"/>
  <c r="CK405" i="25"/>
  <c r="CK375" i="25"/>
  <c r="CK363" i="25"/>
  <c r="CK383" i="25"/>
  <c r="CK376" i="25"/>
  <c r="CK397" i="25"/>
  <c r="CK398" i="25"/>
  <c r="CK384" i="25"/>
  <c r="CK364" i="25"/>
  <c r="CK377" i="25"/>
  <c r="CK258" i="25"/>
  <c r="CK260" i="25"/>
  <c r="CK371" i="25"/>
  <c r="CK373" i="25"/>
  <c r="CK374" i="25"/>
  <c r="CK378" i="25"/>
  <c r="CK379" i="25"/>
  <c r="CK406" i="25"/>
  <c r="CK368" i="25"/>
  <c r="CK278" i="25"/>
  <c r="CK261" i="25"/>
  <c r="CK350" i="25"/>
  <c r="CK249" i="25"/>
  <c r="CK246" i="25"/>
  <c r="CK273" i="25"/>
  <c r="CK351" i="25"/>
  <c r="CK352" i="25"/>
  <c r="CK355" i="25"/>
  <c r="CK359" i="25"/>
  <c r="CK271" i="25"/>
  <c r="CK386" i="25"/>
  <c r="CK388" i="25"/>
  <c r="CK393" i="25"/>
  <c r="CK394" i="25"/>
  <c r="CK387" i="25"/>
  <c r="CK400" i="25"/>
  <c r="CK407" i="25"/>
  <c r="CK389" i="25"/>
  <c r="CK385" i="25"/>
  <c r="CK347" i="25"/>
  <c r="CK284" i="25"/>
  <c r="CK304" i="25"/>
  <c r="CK315" i="25"/>
  <c r="CK328" i="25"/>
  <c r="CK343" i="25"/>
  <c r="CK346" i="25"/>
  <c r="CK353" i="25"/>
  <c r="CK252" i="25"/>
  <c r="CK390" i="25"/>
  <c r="CK365" i="25"/>
  <c r="CK344" i="25"/>
  <c r="CK305" i="25"/>
  <c r="CK306" i="25"/>
  <c r="CK243" i="25"/>
  <c r="CK348" i="25"/>
  <c r="CK245" i="25"/>
  <c r="CK220" i="25"/>
  <c r="CK311" i="25"/>
  <c r="CK314" i="25"/>
  <c r="CK317" i="25"/>
  <c r="CK356" i="25"/>
  <c r="CK358" i="25"/>
  <c r="CL289" i="25"/>
  <c r="CL232" i="25"/>
  <c r="CL330" i="25"/>
  <c r="CL331" i="25"/>
  <c r="CL233" i="25"/>
  <c r="CL332" i="25"/>
  <c r="CL234" i="25"/>
  <c r="CL291" i="25"/>
  <c r="CL250" i="25"/>
  <c r="CL241" i="25"/>
  <c r="CL229" i="25"/>
  <c r="CL336" i="25"/>
  <c r="CL235" i="25"/>
  <c r="CL294" i="25"/>
  <c r="CL251" i="25"/>
  <c r="CL292" i="25"/>
  <c r="CL223" i="25"/>
  <c r="CL237" i="25"/>
  <c r="CL333" i="25"/>
  <c r="CL238" i="25"/>
  <c r="CL231" i="25"/>
  <c r="CL239" i="25"/>
  <c r="CL290" i="25"/>
  <c r="CL240" i="25"/>
  <c r="CL269" i="25"/>
  <c r="CL270" i="25"/>
  <c r="CL337" i="25"/>
  <c r="CL326" i="25"/>
  <c r="CL327" i="25"/>
  <c r="CL340" i="25"/>
  <c r="CL248" i="25"/>
  <c r="CL345" i="25"/>
  <c r="CL321" i="25"/>
  <c r="CL366" i="25"/>
  <c r="CL367" i="25"/>
  <c r="CL395" i="25"/>
  <c r="CL369" i="25"/>
  <c r="CL370" i="25"/>
  <c r="CL380" i="25"/>
  <c r="CL396" i="25"/>
  <c r="CL372" i="25"/>
  <c r="CL399" i="25"/>
  <c r="CL381" i="25"/>
  <c r="CL382" i="25"/>
  <c r="CL404" i="25"/>
  <c r="CL405" i="25"/>
  <c r="CL375" i="25"/>
  <c r="CL363" i="25"/>
  <c r="CL383" i="25"/>
  <c r="CL376" i="25"/>
  <c r="CL397" i="25"/>
  <c r="CL398" i="25"/>
  <c r="CL384" i="25"/>
  <c r="CL364" i="25"/>
  <c r="CL377" i="25"/>
  <c r="CL258" i="25"/>
  <c r="CL260" i="25"/>
  <c r="CL371" i="25"/>
  <c r="CL373" i="25"/>
  <c r="CL374" i="25"/>
  <c r="CL378" i="25"/>
  <c r="CL379" i="25"/>
  <c r="CL406" i="25"/>
  <c r="CL368" i="25"/>
  <c r="CL278" i="25"/>
  <c r="CL261" i="25"/>
  <c r="CL350" i="25"/>
  <c r="CL249" i="25"/>
  <c r="CL246" i="25"/>
  <c r="CL273" i="25"/>
  <c r="CL351" i="25"/>
  <c r="CL352" i="25"/>
  <c r="CL355" i="25"/>
  <c r="CL359" i="25"/>
  <c r="CL271" i="25"/>
  <c r="CL386" i="25"/>
  <c r="CL388" i="25"/>
  <c r="CL393" i="25"/>
  <c r="CL394" i="25"/>
  <c r="CL387" i="25"/>
  <c r="CL400" i="25"/>
  <c r="CL407" i="25"/>
  <c r="CL389" i="25"/>
  <c r="CL385" i="25"/>
  <c r="CL347" i="25"/>
  <c r="CL284" i="25"/>
  <c r="CL304" i="25"/>
  <c r="CL315" i="25"/>
  <c r="CL328" i="25"/>
  <c r="CL343" i="25"/>
  <c r="CL346" i="25"/>
  <c r="CL353" i="25"/>
  <c r="CL252" i="25"/>
  <c r="CL390" i="25"/>
  <c r="CL365" i="25"/>
  <c r="CL344" i="25"/>
  <c r="CL305" i="25"/>
  <c r="CL306" i="25"/>
  <c r="CL243" i="25"/>
  <c r="CL348" i="25"/>
  <c r="CL245" i="25"/>
  <c r="CL220" i="25"/>
  <c r="CL311" i="25"/>
  <c r="CL314" i="25"/>
  <c r="CL317" i="25"/>
  <c r="CL356" i="25"/>
  <c r="CL358" i="25"/>
  <c r="CM289" i="25"/>
  <c r="CM232" i="25"/>
  <c r="CM330" i="25"/>
  <c r="CM331" i="25"/>
  <c r="CM233" i="25"/>
  <c r="CM332" i="25"/>
  <c r="CM234" i="25"/>
  <c r="CM291" i="25"/>
  <c r="CM250" i="25"/>
  <c r="CM241" i="25"/>
  <c r="CM229" i="25"/>
  <c r="CM336" i="25"/>
  <c r="CM235" i="25"/>
  <c r="CM294" i="25"/>
  <c r="CM251" i="25"/>
  <c r="CM292" i="25"/>
  <c r="CM223" i="25"/>
  <c r="CM237" i="25"/>
  <c r="CM333" i="25"/>
  <c r="CM238" i="25"/>
  <c r="CM231" i="25"/>
  <c r="CM239" i="25"/>
  <c r="CM290" i="25"/>
  <c r="CM240" i="25"/>
  <c r="CM269" i="25"/>
  <c r="CM270" i="25"/>
  <c r="CM337" i="25"/>
  <c r="CM326" i="25"/>
  <c r="CM327" i="25"/>
  <c r="CM340" i="25"/>
  <c r="CM248" i="25"/>
  <c r="CM345" i="25"/>
  <c r="CM321" i="25"/>
  <c r="CM366" i="25"/>
  <c r="CM367" i="25"/>
  <c r="CM395" i="25"/>
  <c r="CM369" i="25"/>
  <c r="CM370" i="25"/>
  <c r="CM380" i="25"/>
  <c r="CM396" i="25"/>
  <c r="CM372" i="25"/>
  <c r="CM399" i="25"/>
  <c r="CM381" i="25"/>
  <c r="CM382" i="25"/>
  <c r="CM404" i="25"/>
  <c r="CM405" i="25"/>
  <c r="CM375" i="25"/>
  <c r="CM363" i="25"/>
  <c r="CM383" i="25"/>
  <c r="CM376" i="25"/>
  <c r="CM397" i="25"/>
  <c r="CM398" i="25"/>
  <c r="CM384" i="25"/>
  <c r="CM364" i="25"/>
  <c r="CM377" i="25"/>
  <c r="CM258" i="25"/>
  <c r="CM260" i="25"/>
  <c r="CM371" i="25"/>
  <c r="CM373" i="25"/>
  <c r="CM374" i="25"/>
  <c r="CM378" i="25"/>
  <c r="CM379" i="25"/>
  <c r="CM406" i="25"/>
  <c r="CM368" i="25"/>
  <c r="CM278" i="25"/>
  <c r="CM261" i="25"/>
  <c r="CM350" i="25"/>
  <c r="CM249" i="25"/>
  <c r="CM246" i="25"/>
  <c r="CM273" i="25"/>
  <c r="CM351" i="25"/>
  <c r="CM352" i="25"/>
  <c r="CM355" i="25"/>
  <c r="CM359" i="25"/>
  <c r="CM271" i="25"/>
  <c r="CM386" i="25"/>
  <c r="CM388" i="25"/>
  <c r="CM393" i="25"/>
  <c r="CM394" i="25"/>
  <c r="CM387" i="25"/>
  <c r="CM400" i="25"/>
  <c r="CM407" i="25"/>
  <c r="CM389" i="25"/>
  <c r="CM385" i="25"/>
  <c r="CM347" i="25"/>
  <c r="CM284" i="25"/>
  <c r="CM304" i="25"/>
  <c r="CM315" i="25"/>
  <c r="CM328" i="25"/>
  <c r="CM343" i="25"/>
  <c r="CM346" i="25"/>
  <c r="CM353" i="25"/>
  <c r="CM252" i="25"/>
  <c r="CM390" i="25"/>
  <c r="CM365" i="25"/>
  <c r="CM344" i="25"/>
  <c r="CM305" i="25"/>
  <c r="CM306" i="25"/>
  <c r="CM243" i="25"/>
  <c r="CM348" i="25"/>
  <c r="CM245" i="25"/>
  <c r="CM220" i="25"/>
  <c r="CM311" i="25"/>
  <c r="CM314" i="25"/>
  <c r="CM317" i="25"/>
  <c r="CM356" i="25"/>
  <c r="CM358" i="25"/>
  <c r="CN289" i="25"/>
  <c r="CN232" i="25"/>
  <c r="CN330" i="25"/>
  <c r="CN331" i="25"/>
  <c r="CN233" i="25"/>
  <c r="CN332" i="25"/>
  <c r="CN234" i="25"/>
  <c r="CN291" i="25"/>
  <c r="CN250" i="25"/>
  <c r="CN241" i="25"/>
  <c r="CN229" i="25"/>
  <c r="CN336" i="25"/>
  <c r="CN235" i="25"/>
  <c r="CN294" i="25"/>
  <c r="CN251" i="25"/>
  <c r="CN292" i="25"/>
  <c r="CN223" i="25"/>
  <c r="CN237" i="25"/>
  <c r="CN333" i="25"/>
  <c r="CN238" i="25"/>
  <c r="CN231" i="25"/>
  <c r="CN239" i="25"/>
  <c r="CN290" i="25"/>
  <c r="CN240" i="25"/>
  <c r="CN269" i="25"/>
  <c r="CN270" i="25"/>
  <c r="CN337" i="25"/>
  <c r="CN326" i="25"/>
  <c r="CN327" i="25"/>
  <c r="CN340" i="25"/>
  <c r="CN248" i="25"/>
  <c r="CN345" i="25"/>
  <c r="CN321" i="25"/>
  <c r="CN366" i="25"/>
  <c r="CN367" i="25"/>
  <c r="CN395" i="25"/>
  <c r="CN369" i="25"/>
  <c r="CN370" i="25"/>
  <c r="CN380" i="25"/>
  <c r="CN396" i="25"/>
  <c r="CN372" i="25"/>
  <c r="CN399" i="25"/>
  <c r="CN381" i="25"/>
  <c r="CN382" i="25"/>
  <c r="CN404" i="25"/>
  <c r="CN405" i="25"/>
  <c r="CN375" i="25"/>
  <c r="CN363" i="25"/>
  <c r="CN383" i="25"/>
  <c r="CN376" i="25"/>
  <c r="CN397" i="25"/>
  <c r="CN398" i="25"/>
  <c r="CN384" i="25"/>
  <c r="CN364" i="25"/>
  <c r="CN377" i="25"/>
  <c r="CN258" i="25"/>
  <c r="CN260" i="25"/>
  <c r="CN371" i="25"/>
  <c r="CN373" i="25"/>
  <c r="CN374" i="25"/>
  <c r="CN378" i="25"/>
  <c r="CN379" i="25"/>
  <c r="CN406" i="25"/>
  <c r="CN368" i="25"/>
  <c r="CN278" i="25"/>
  <c r="CN261" i="25"/>
  <c r="CN350" i="25"/>
  <c r="CN249" i="25"/>
  <c r="CN246" i="25"/>
  <c r="CN273" i="25"/>
  <c r="CN351" i="25"/>
  <c r="CN352" i="25"/>
  <c r="CN355" i="25"/>
  <c r="CN359" i="25"/>
  <c r="CN271" i="25"/>
  <c r="CN386" i="25"/>
  <c r="CN388" i="25"/>
  <c r="CN393" i="25"/>
  <c r="CN394" i="25"/>
  <c r="CN387" i="25"/>
  <c r="CN400" i="25"/>
  <c r="CN407" i="25"/>
  <c r="CN389" i="25"/>
  <c r="CN385" i="25"/>
  <c r="CN347" i="25"/>
  <c r="CN284" i="25"/>
  <c r="CN304" i="25"/>
  <c r="CN315" i="25"/>
  <c r="CN328" i="25"/>
  <c r="CN343" i="25"/>
  <c r="CN346" i="25"/>
  <c r="CN353" i="25"/>
  <c r="CN252" i="25"/>
  <c r="CN390" i="25"/>
  <c r="CN365" i="25"/>
  <c r="CN344" i="25"/>
  <c r="CN305" i="25"/>
  <c r="CN306" i="25"/>
  <c r="CN243" i="25"/>
  <c r="CN348" i="25"/>
  <c r="CN245" i="25"/>
  <c r="CN220" i="25"/>
  <c r="CN311" i="25"/>
  <c r="CN314" i="25"/>
  <c r="CN317" i="25"/>
  <c r="CN356" i="25"/>
  <c r="CN358" i="25"/>
  <c r="CT289" i="25"/>
  <c r="CU289" i="25" s="1"/>
  <c r="CT232" i="25"/>
  <c r="CT330" i="25"/>
  <c r="CU330" i="25" s="1"/>
  <c r="CT331" i="25"/>
  <c r="CU331" i="25" s="1"/>
  <c r="CT233" i="25"/>
  <c r="CT332" i="25"/>
  <c r="CU332" i="25" s="1"/>
  <c r="CT234" i="25"/>
  <c r="CU234" i="25" s="1"/>
  <c r="CT291" i="25"/>
  <c r="CU291" i="25" s="1"/>
  <c r="CT250" i="25"/>
  <c r="CU250" i="25" s="1"/>
  <c r="CT241" i="25"/>
  <c r="CU241" i="25" s="1"/>
  <c r="CT229" i="25"/>
  <c r="CU229" i="25" s="1"/>
  <c r="CT336" i="25"/>
  <c r="CU336" i="25" s="1"/>
  <c r="CT235" i="25"/>
  <c r="CT294" i="25"/>
  <c r="CU294" i="25" s="1"/>
  <c r="CT251" i="25"/>
  <c r="CU251" i="25" s="1"/>
  <c r="CT292" i="25"/>
  <c r="CU292" i="25" s="1"/>
  <c r="CT223" i="25"/>
  <c r="CU223" i="25" s="1"/>
  <c r="CT237" i="25"/>
  <c r="CU237" i="25" s="1"/>
  <c r="CT333" i="25"/>
  <c r="CU333" i="25" s="1"/>
  <c r="CT238" i="25"/>
  <c r="CT231" i="25"/>
  <c r="CU231" i="25" s="1"/>
  <c r="CT239" i="25"/>
  <c r="CU239" i="25" s="1"/>
  <c r="CT290" i="25"/>
  <c r="CU290" i="25" s="1"/>
  <c r="CT240" i="25"/>
  <c r="CT269" i="25"/>
  <c r="CU269" i="25" s="1"/>
  <c r="CT270" i="25"/>
  <c r="CU270" i="25" s="1"/>
  <c r="CT337" i="25"/>
  <c r="CU337" i="25" s="1"/>
  <c r="CT326" i="25"/>
  <c r="CT327" i="25"/>
  <c r="CT340" i="25"/>
  <c r="CU340" i="25" s="1"/>
  <c r="CT248" i="25"/>
  <c r="CU248" i="25" s="1"/>
  <c r="CT345" i="25"/>
  <c r="CU345" i="25" s="1"/>
  <c r="CT321" i="25"/>
  <c r="CU321" i="25" s="1"/>
  <c r="CT366" i="25"/>
  <c r="CU366" i="25" s="1"/>
  <c r="CT367" i="25"/>
  <c r="CU367" i="25" s="1"/>
  <c r="CT395" i="25"/>
  <c r="CU395" i="25" s="1"/>
  <c r="CT369" i="25"/>
  <c r="CU369" i="25" s="1"/>
  <c r="CT370" i="25"/>
  <c r="CU370" i="25" s="1"/>
  <c r="CT380" i="25"/>
  <c r="CT396" i="25"/>
  <c r="CU396" i="25" s="1"/>
  <c r="CT372" i="25"/>
  <c r="CU372" i="25" s="1"/>
  <c r="CT399" i="25"/>
  <c r="CU399" i="25" s="1"/>
  <c r="CT381" i="25"/>
  <c r="CU381" i="25" s="1"/>
  <c r="CT382" i="25"/>
  <c r="CT404" i="25"/>
  <c r="CU404" i="25" s="1"/>
  <c r="CT405" i="25"/>
  <c r="CU405" i="25" s="1"/>
  <c r="CT375" i="25"/>
  <c r="CU375" i="25" s="1"/>
  <c r="CT363" i="25"/>
  <c r="CU363" i="25" s="1"/>
  <c r="CT383" i="25"/>
  <c r="CU383" i="25" s="1"/>
  <c r="CT376" i="25"/>
  <c r="CU376" i="25" s="1"/>
  <c r="CT397" i="25"/>
  <c r="CU397" i="25" s="1"/>
  <c r="CT398" i="25"/>
  <c r="CT384" i="25"/>
  <c r="CU384" i="25" s="1"/>
  <c r="CT364" i="25"/>
  <c r="CU364" i="25" s="1"/>
  <c r="CT377" i="25"/>
  <c r="CU377" i="25" s="1"/>
  <c r="CT258" i="25"/>
  <c r="CU258" i="25" s="1"/>
  <c r="CT260" i="25"/>
  <c r="CU260" i="25" s="1"/>
  <c r="CT371" i="25"/>
  <c r="CT373" i="25"/>
  <c r="CU373" i="25" s="1"/>
  <c r="CT374" i="25"/>
  <c r="CU374" i="25" s="1"/>
  <c r="CT378" i="25"/>
  <c r="CU378" i="25" s="1"/>
  <c r="CT379" i="25"/>
  <c r="CU379" i="25" s="1"/>
  <c r="CT406" i="25"/>
  <c r="CU406" i="25" s="1"/>
  <c r="CT368" i="25"/>
  <c r="CU368" i="25" s="1"/>
  <c r="CT278" i="25"/>
  <c r="CU278" i="25" s="1"/>
  <c r="CT261" i="25"/>
  <c r="CU261" i="25" s="1"/>
  <c r="CT350" i="25"/>
  <c r="CU350" i="25" s="1"/>
  <c r="CT249" i="25"/>
  <c r="CU249" i="25" s="1"/>
  <c r="CT246" i="25"/>
  <c r="CU246" i="25" s="1"/>
  <c r="CT273" i="25"/>
  <c r="CU273" i="25" s="1"/>
  <c r="CT351" i="25"/>
  <c r="CU351" i="25" s="1"/>
  <c r="CT352" i="25"/>
  <c r="CT355" i="25"/>
  <c r="CT359" i="25"/>
  <c r="CU359" i="25" s="1"/>
  <c r="CT271" i="25"/>
  <c r="CU271" i="25" s="1"/>
  <c r="CT386" i="25"/>
  <c r="CU386" i="25" s="1"/>
  <c r="CT388" i="25"/>
  <c r="CU388" i="25" s="1"/>
  <c r="CT393" i="25"/>
  <c r="CT394" i="25"/>
  <c r="CU394" i="25" s="1"/>
  <c r="CT387" i="25"/>
  <c r="CU387" i="25" s="1"/>
  <c r="CT400" i="25"/>
  <c r="CU400" i="25" s="1"/>
  <c r="CT407" i="25"/>
  <c r="CU407" i="25" s="1"/>
  <c r="CT389" i="25"/>
  <c r="CU389" i="25" s="1"/>
  <c r="CT385" i="25"/>
  <c r="CU385" i="25" s="1"/>
  <c r="CT347" i="25"/>
  <c r="CU347" i="25" s="1"/>
  <c r="CT284" i="25"/>
  <c r="CU284" i="25" s="1"/>
  <c r="CT304" i="25"/>
  <c r="CU304" i="25" s="1"/>
  <c r="CT315" i="25"/>
  <c r="CT328" i="25"/>
  <c r="CT343" i="25"/>
  <c r="CU343" i="25" s="1"/>
  <c r="CT346" i="25"/>
  <c r="CU346" i="25" s="1"/>
  <c r="CT353" i="25"/>
  <c r="CT252" i="25"/>
  <c r="CU252" i="25" s="1"/>
  <c r="CT390" i="25"/>
  <c r="CU390" i="25" s="1"/>
  <c r="CT365" i="25"/>
  <c r="CT344" i="25"/>
  <c r="CU344" i="25" s="1"/>
  <c r="CT305" i="25"/>
  <c r="CU305" i="25" s="1"/>
  <c r="CT306" i="25"/>
  <c r="CU306" i="25" s="1"/>
  <c r="CT243" i="25"/>
  <c r="CU243" i="25" s="1"/>
  <c r="CT348" i="25"/>
  <c r="CU348" i="25" s="1"/>
  <c r="CT245" i="25"/>
  <c r="CT220" i="25"/>
  <c r="CU220" i="25" s="1"/>
  <c r="CT311" i="25"/>
  <c r="CU311" i="25" s="1"/>
  <c r="CT314" i="25"/>
  <c r="CU314" i="25" s="1"/>
  <c r="CT317" i="25"/>
  <c r="CU317" i="25" s="1"/>
  <c r="CT356" i="25"/>
  <c r="CU356" i="25" s="1"/>
  <c r="CT358" i="25"/>
  <c r="CU358" i="25" s="1"/>
  <c r="DB289" i="25"/>
  <c r="DB232" i="25"/>
  <c r="DB330" i="25"/>
  <c r="DB331" i="25"/>
  <c r="DB233" i="25"/>
  <c r="DB332" i="25"/>
  <c r="DB234" i="25"/>
  <c r="DB291" i="25"/>
  <c r="DB250" i="25"/>
  <c r="DB241" i="25"/>
  <c r="DB229" i="25"/>
  <c r="DB336" i="25"/>
  <c r="DB235" i="25"/>
  <c r="DB294" i="25"/>
  <c r="DB251" i="25"/>
  <c r="DB292" i="25"/>
  <c r="DB223" i="25"/>
  <c r="DB237" i="25"/>
  <c r="DB333" i="25"/>
  <c r="DB238" i="25"/>
  <c r="DB231" i="25"/>
  <c r="DB239" i="25"/>
  <c r="DB290" i="25"/>
  <c r="DB240" i="25"/>
  <c r="DB269" i="25"/>
  <c r="DB270" i="25"/>
  <c r="DB337" i="25"/>
  <c r="DB326" i="25"/>
  <c r="DB327" i="25"/>
  <c r="DB340" i="25"/>
  <c r="DB248" i="25"/>
  <c r="DB345" i="25"/>
  <c r="DB321" i="25"/>
  <c r="DB366" i="25"/>
  <c r="DB367" i="25"/>
  <c r="DB395" i="25"/>
  <c r="DB369" i="25"/>
  <c r="DB370" i="25"/>
  <c r="DB380" i="25"/>
  <c r="DB396" i="25"/>
  <c r="DB372" i="25"/>
  <c r="DB399" i="25"/>
  <c r="DB381" i="25"/>
  <c r="DB382" i="25"/>
  <c r="DB404" i="25"/>
  <c r="DB405" i="25"/>
  <c r="DB375" i="25"/>
  <c r="DB363" i="25"/>
  <c r="DB383" i="25"/>
  <c r="DB376" i="25"/>
  <c r="DB397" i="25"/>
  <c r="DB398" i="25"/>
  <c r="DB384" i="25"/>
  <c r="DB364" i="25"/>
  <c r="DB377" i="25"/>
  <c r="DB258" i="25"/>
  <c r="DB260" i="25"/>
  <c r="DB371" i="25"/>
  <c r="DB373" i="25"/>
  <c r="DB374" i="25"/>
  <c r="DB378" i="25"/>
  <c r="DB379" i="25"/>
  <c r="DB406" i="25"/>
  <c r="DB368" i="25"/>
  <c r="DB278" i="25"/>
  <c r="DB261" i="25"/>
  <c r="DB350" i="25"/>
  <c r="DB249" i="25"/>
  <c r="DB246" i="25"/>
  <c r="DB273" i="25"/>
  <c r="DB351" i="25"/>
  <c r="DB352" i="25"/>
  <c r="DB355" i="25"/>
  <c r="DB359" i="25"/>
  <c r="DB271" i="25"/>
  <c r="DB386" i="25"/>
  <c r="DB388" i="25"/>
  <c r="DB393" i="25"/>
  <c r="DB394" i="25"/>
  <c r="DB387" i="25"/>
  <c r="DB400" i="25"/>
  <c r="DB407" i="25"/>
  <c r="DB389" i="25"/>
  <c r="DB385" i="25"/>
  <c r="DB347" i="25"/>
  <c r="DB284" i="25"/>
  <c r="DB304" i="25"/>
  <c r="DB315" i="25"/>
  <c r="DB328" i="25"/>
  <c r="DB343" i="25"/>
  <c r="DB346" i="25"/>
  <c r="DB353" i="25"/>
  <c r="DB252" i="25"/>
  <c r="DB390" i="25"/>
  <c r="DB365" i="25"/>
  <c r="DB344" i="25"/>
  <c r="DB305" i="25"/>
  <c r="DB306" i="25"/>
  <c r="DB243" i="25"/>
  <c r="DB348" i="25"/>
  <c r="DB245" i="25"/>
  <c r="DB220" i="25"/>
  <c r="DB311" i="25"/>
  <c r="DB314" i="25"/>
  <c r="DB317" i="25"/>
  <c r="DB356" i="25"/>
  <c r="DB358" i="25"/>
  <c r="DC289" i="25"/>
  <c r="DC232" i="25"/>
  <c r="DC330" i="25"/>
  <c r="DC331" i="25"/>
  <c r="DC233" i="25"/>
  <c r="DC332" i="25"/>
  <c r="DC234" i="25"/>
  <c r="DC291" i="25"/>
  <c r="DC250" i="25"/>
  <c r="DC241" i="25"/>
  <c r="DC229" i="25"/>
  <c r="DC336" i="25"/>
  <c r="DC235" i="25"/>
  <c r="DC294" i="25"/>
  <c r="DC251" i="25"/>
  <c r="DC292" i="25"/>
  <c r="DC223" i="25"/>
  <c r="DC237" i="25"/>
  <c r="DC333" i="25"/>
  <c r="DC238" i="25"/>
  <c r="DC231" i="25"/>
  <c r="DC239" i="25"/>
  <c r="DC290" i="25"/>
  <c r="DC240" i="25"/>
  <c r="DC269" i="25"/>
  <c r="DC270" i="25"/>
  <c r="DC337" i="25"/>
  <c r="DC326" i="25"/>
  <c r="DC327" i="25"/>
  <c r="DC340" i="25"/>
  <c r="DC248" i="25"/>
  <c r="DC345" i="25"/>
  <c r="DC321" i="25"/>
  <c r="DC366" i="25"/>
  <c r="DC367" i="25"/>
  <c r="DC395" i="25"/>
  <c r="DC369" i="25"/>
  <c r="DC370" i="25"/>
  <c r="DC380" i="25"/>
  <c r="DC396" i="25"/>
  <c r="DC372" i="25"/>
  <c r="DC399" i="25"/>
  <c r="DC381" i="25"/>
  <c r="DC382" i="25"/>
  <c r="DC404" i="25"/>
  <c r="DC405" i="25"/>
  <c r="DC375" i="25"/>
  <c r="DC363" i="25"/>
  <c r="DC383" i="25"/>
  <c r="DC376" i="25"/>
  <c r="DC397" i="25"/>
  <c r="DC398" i="25"/>
  <c r="DC384" i="25"/>
  <c r="DC364" i="25"/>
  <c r="DC377" i="25"/>
  <c r="DC258" i="25"/>
  <c r="DC260" i="25"/>
  <c r="DC371" i="25"/>
  <c r="DC373" i="25"/>
  <c r="DC374" i="25"/>
  <c r="DC378" i="25"/>
  <c r="DC379" i="25"/>
  <c r="DC406" i="25"/>
  <c r="DC368" i="25"/>
  <c r="DC278" i="25"/>
  <c r="DC261" i="25"/>
  <c r="DC350" i="25"/>
  <c r="DC249" i="25"/>
  <c r="DC246" i="25"/>
  <c r="DC273" i="25"/>
  <c r="DC351" i="25"/>
  <c r="DC352" i="25"/>
  <c r="DC355" i="25"/>
  <c r="DC359" i="25"/>
  <c r="DC271" i="25"/>
  <c r="DC386" i="25"/>
  <c r="DC388" i="25"/>
  <c r="DC393" i="25"/>
  <c r="DC394" i="25"/>
  <c r="DC387" i="25"/>
  <c r="DC400" i="25"/>
  <c r="DC407" i="25"/>
  <c r="DC389" i="25"/>
  <c r="DC385" i="25"/>
  <c r="DC347" i="25"/>
  <c r="DC284" i="25"/>
  <c r="DC304" i="25"/>
  <c r="DC315" i="25"/>
  <c r="DC328" i="25"/>
  <c r="DC343" i="25"/>
  <c r="DC346" i="25"/>
  <c r="DC353" i="25"/>
  <c r="DC252" i="25"/>
  <c r="DC390" i="25"/>
  <c r="DC365" i="25"/>
  <c r="DC344" i="25"/>
  <c r="DC305" i="25"/>
  <c r="DC306" i="25"/>
  <c r="DC243" i="25"/>
  <c r="DC348" i="25"/>
  <c r="DC245" i="25"/>
  <c r="DC220" i="25"/>
  <c r="DC311" i="25"/>
  <c r="DC314" i="25"/>
  <c r="DC317" i="25"/>
  <c r="DC356" i="25"/>
  <c r="DC358" i="25"/>
  <c r="DG289" i="25"/>
  <c r="DG232" i="25"/>
  <c r="DG330" i="25"/>
  <c r="DG331" i="25"/>
  <c r="DG233" i="25"/>
  <c r="DG332" i="25"/>
  <c r="DG234" i="25"/>
  <c r="DG291" i="25"/>
  <c r="DG250" i="25"/>
  <c r="DG241" i="25"/>
  <c r="DG229" i="25"/>
  <c r="DG336" i="25"/>
  <c r="DG235" i="25"/>
  <c r="DG294" i="25"/>
  <c r="DG251" i="25"/>
  <c r="DG292" i="25"/>
  <c r="DG223" i="25"/>
  <c r="DG237" i="25"/>
  <c r="DG333" i="25"/>
  <c r="DG238" i="25"/>
  <c r="DG231" i="25"/>
  <c r="DG239" i="25"/>
  <c r="DG290" i="25"/>
  <c r="DG240" i="25"/>
  <c r="DG269" i="25"/>
  <c r="DG270" i="25"/>
  <c r="DG337" i="25"/>
  <c r="DG326" i="25"/>
  <c r="DG327" i="25"/>
  <c r="DG340" i="25"/>
  <c r="DG248" i="25"/>
  <c r="DG345" i="25"/>
  <c r="DG321" i="25"/>
  <c r="DG366" i="25"/>
  <c r="DG367" i="25"/>
  <c r="DG395" i="25"/>
  <c r="DG369" i="25"/>
  <c r="DG370" i="25"/>
  <c r="DG380" i="25"/>
  <c r="DG396" i="25"/>
  <c r="DG372" i="25"/>
  <c r="DG399" i="25"/>
  <c r="DG381" i="25"/>
  <c r="DG382" i="25"/>
  <c r="DG404" i="25"/>
  <c r="DG405" i="25"/>
  <c r="DG375" i="25"/>
  <c r="DG363" i="25"/>
  <c r="DG383" i="25"/>
  <c r="DG376" i="25"/>
  <c r="DG397" i="25"/>
  <c r="DG398" i="25"/>
  <c r="DG384" i="25"/>
  <c r="DG364" i="25"/>
  <c r="DG377" i="25"/>
  <c r="DG258" i="25"/>
  <c r="DG260" i="25"/>
  <c r="DG371" i="25"/>
  <c r="DG373" i="25"/>
  <c r="DG374" i="25"/>
  <c r="DG378" i="25"/>
  <c r="DG379" i="25"/>
  <c r="DG406" i="25"/>
  <c r="DG368" i="25"/>
  <c r="DG278" i="25"/>
  <c r="DG261" i="25"/>
  <c r="DG350" i="25"/>
  <c r="DG249" i="25"/>
  <c r="DG246" i="25"/>
  <c r="DG273" i="25"/>
  <c r="DG351" i="25"/>
  <c r="DG352" i="25"/>
  <c r="DG355" i="25"/>
  <c r="DG359" i="25"/>
  <c r="DG271" i="25"/>
  <c r="DG386" i="25"/>
  <c r="DG388" i="25"/>
  <c r="DG393" i="25"/>
  <c r="DG394" i="25"/>
  <c r="DG387" i="25"/>
  <c r="DG400" i="25"/>
  <c r="DG407" i="25"/>
  <c r="DG389" i="25"/>
  <c r="DG385" i="25"/>
  <c r="DG347" i="25"/>
  <c r="DG284" i="25"/>
  <c r="DG304" i="25"/>
  <c r="DG315" i="25"/>
  <c r="DG328" i="25"/>
  <c r="DG343" i="25"/>
  <c r="DG346" i="25"/>
  <c r="DG353" i="25"/>
  <c r="DG252" i="25"/>
  <c r="DG390" i="25"/>
  <c r="DG365" i="25"/>
  <c r="DG344" i="25"/>
  <c r="DG305" i="25"/>
  <c r="DG306" i="25"/>
  <c r="DG243" i="25"/>
  <c r="DG348" i="25"/>
  <c r="DG245" i="25"/>
  <c r="DG220" i="25"/>
  <c r="DG311" i="25"/>
  <c r="DG314" i="25"/>
  <c r="DG317" i="25"/>
  <c r="DG356" i="25"/>
  <c r="DG358" i="25"/>
  <c r="DH289" i="25"/>
  <c r="DH232" i="25"/>
  <c r="DH330" i="25"/>
  <c r="DH331" i="25"/>
  <c r="DH233" i="25"/>
  <c r="DH332" i="25"/>
  <c r="DH234" i="25"/>
  <c r="DH291" i="25"/>
  <c r="DH250" i="25"/>
  <c r="DH241" i="25"/>
  <c r="DH229" i="25"/>
  <c r="DH336" i="25"/>
  <c r="DH235" i="25"/>
  <c r="DH294" i="25"/>
  <c r="DH251" i="25"/>
  <c r="DH292" i="25"/>
  <c r="DH223" i="25"/>
  <c r="DH237" i="25"/>
  <c r="DH333" i="25"/>
  <c r="DH238" i="25"/>
  <c r="DH231" i="25"/>
  <c r="DH239" i="25"/>
  <c r="DH290" i="25"/>
  <c r="DH240" i="25"/>
  <c r="DH269" i="25"/>
  <c r="DH270" i="25"/>
  <c r="DH337" i="25"/>
  <c r="DH326" i="25"/>
  <c r="DH327" i="25"/>
  <c r="DH340" i="25"/>
  <c r="DH248" i="25"/>
  <c r="DH345" i="25"/>
  <c r="DH321" i="25"/>
  <c r="DH366" i="25"/>
  <c r="DH367" i="25"/>
  <c r="DH395" i="25"/>
  <c r="DH369" i="25"/>
  <c r="DH370" i="25"/>
  <c r="DH380" i="25"/>
  <c r="DH396" i="25"/>
  <c r="DH372" i="25"/>
  <c r="DH399" i="25"/>
  <c r="DH381" i="25"/>
  <c r="DH382" i="25"/>
  <c r="DH404" i="25"/>
  <c r="DH405" i="25"/>
  <c r="DH375" i="25"/>
  <c r="DH363" i="25"/>
  <c r="DH383" i="25"/>
  <c r="DH376" i="25"/>
  <c r="DH397" i="25"/>
  <c r="DH398" i="25"/>
  <c r="DH384" i="25"/>
  <c r="DH364" i="25"/>
  <c r="DH377" i="25"/>
  <c r="DH258" i="25"/>
  <c r="DH260" i="25"/>
  <c r="DH371" i="25"/>
  <c r="DH373" i="25"/>
  <c r="DH374" i="25"/>
  <c r="DH378" i="25"/>
  <c r="DH379" i="25"/>
  <c r="DH406" i="25"/>
  <c r="DH368" i="25"/>
  <c r="DH278" i="25"/>
  <c r="DH261" i="25"/>
  <c r="DH350" i="25"/>
  <c r="DH249" i="25"/>
  <c r="DH246" i="25"/>
  <c r="DH273" i="25"/>
  <c r="DH351" i="25"/>
  <c r="DH352" i="25"/>
  <c r="DH355" i="25"/>
  <c r="DH359" i="25"/>
  <c r="DH271" i="25"/>
  <c r="DH386" i="25"/>
  <c r="DH388" i="25"/>
  <c r="DH393" i="25"/>
  <c r="DH394" i="25"/>
  <c r="DH387" i="25"/>
  <c r="DH400" i="25"/>
  <c r="DH407" i="25"/>
  <c r="DH389" i="25"/>
  <c r="DH385" i="25"/>
  <c r="DH347" i="25"/>
  <c r="DH284" i="25"/>
  <c r="DH304" i="25"/>
  <c r="DH315" i="25"/>
  <c r="DH328" i="25"/>
  <c r="DH343" i="25"/>
  <c r="DH346" i="25"/>
  <c r="DH353" i="25"/>
  <c r="DH252" i="25"/>
  <c r="DH390" i="25"/>
  <c r="DH365" i="25"/>
  <c r="DH344" i="25"/>
  <c r="DH305" i="25"/>
  <c r="DH306" i="25"/>
  <c r="DH243" i="25"/>
  <c r="DH348" i="25"/>
  <c r="DH245" i="25"/>
  <c r="DH220" i="25"/>
  <c r="DH311" i="25"/>
  <c r="DH314" i="25"/>
  <c r="DH317" i="25"/>
  <c r="DH356" i="25"/>
  <c r="DH358" i="25"/>
  <c r="DL289" i="25"/>
  <c r="DL232" i="25"/>
  <c r="DL330" i="25"/>
  <c r="DL331" i="25"/>
  <c r="DL233" i="25"/>
  <c r="DL332" i="25"/>
  <c r="DL234" i="25"/>
  <c r="DL291" i="25"/>
  <c r="DL250" i="25"/>
  <c r="DL241" i="25"/>
  <c r="DL229" i="25"/>
  <c r="DL336" i="25"/>
  <c r="DL235" i="25"/>
  <c r="DL294" i="25"/>
  <c r="DL251" i="25"/>
  <c r="DL292" i="25"/>
  <c r="DL223" i="25"/>
  <c r="DL237" i="25"/>
  <c r="DL333" i="25"/>
  <c r="DL238" i="25"/>
  <c r="DL231" i="25"/>
  <c r="DL239" i="25"/>
  <c r="DL290" i="25"/>
  <c r="DL240" i="25"/>
  <c r="DL269" i="25"/>
  <c r="DL270" i="25"/>
  <c r="DL337" i="25"/>
  <c r="DL326" i="25"/>
  <c r="DL327" i="25"/>
  <c r="DL340" i="25"/>
  <c r="DL248" i="25"/>
  <c r="DL345" i="25"/>
  <c r="DL321" i="25"/>
  <c r="DL366" i="25"/>
  <c r="DL367" i="25"/>
  <c r="DL395" i="25"/>
  <c r="DL369" i="25"/>
  <c r="DL370" i="25"/>
  <c r="DL380" i="25"/>
  <c r="DL396" i="25"/>
  <c r="DL372" i="25"/>
  <c r="DL399" i="25"/>
  <c r="DL381" i="25"/>
  <c r="DL382" i="25"/>
  <c r="DL404" i="25"/>
  <c r="DL405" i="25"/>
  <c r="DL375" i="25"/>
  <c r="DL363" i="25"/>
  <c r="DL383" i="25"/>
  <c r="DL376" i="25"/>
  <c r="DL397" i="25"/>
  <c r="DL398" i="25"/>
  <c r="DL384" i="25"/>
  <c r="DL364" i="25"/>
  <c r="DL377" i="25"/>
  <c r="DL258" i="25"/>
  <c r="DL260" i="25"/>
  <c r="DL371" i="25"/>
  <c r="DL373" i="25"/>
  <c r="DL374" i="25"/>
  <c r="DL378" i="25"/>
  <c r="DL379" i="25"/>
  <c r="DL406" i="25"/>
  <c r="DL368" i="25"/>
  <c r="DL278" i="25"/>
  <c r="DL261" i="25"/>
  <c r="DL350" i="25"/>
  <c r="DL249" i="25"/>
  <c r="DL246" i="25"/>
  <c r="DL273" i="25"/>
  <c r="DL351" i="25"/>
  <c r="DL352" i="25"/>
  <c r="DL355" i="25"/>
  <c r="DL359" i="25"/>
  <c r="DL271" i="25"/>
  <c r="DL386" i="25"/>
  <c r="DL388" i="25"/>
  <c r="DL393" i="25"/>
  <c r="DL394" i="25"/>
  <c r="DL387" i="25"/>
  <c r="DL400" i="25"/>
  <c r="DL407" i="25"/>
  <c r="DL389" i="25"/>
  <c r="DL385" i="25"/>
  <c r="DL347" i="25"/>
  <c r="DL284" i="25"/>
  <c r="DL304" i="25"/>
  <c r="DL315" i="25"/>
  <c r="DL328" i="25"/>
  <c r="DL343" i="25"/>
  <c r="DL346" i="25"/>
  <c r="DL353" i="25"/>
  <c r="DL252" i="25"/>
  <c r="DL390" i="25"/>
  <c r="DL365" i="25"/>
  <c r="DL344" i="25"/>
  <c r="DL305" i="25"/>
  <c r="DL306" i="25"/>
  <c r="DL243" i="25"/>
  <c r="DL348" i="25"/>
  <c r="DL245" i="25"/>
  <c r="DL220" i="25"/>
  <c r="DL311" i="25"/>
  <c r="DL314" i="25"/>
  <c r="DL317" i="25"/>
  <c r="DL356" i="25"/>
  <c r="DL358" i="25"/>
  <c r="DM289" i="25"/>
  <c r="DT289" i="25" s="1"/>
  <c r="DM232" i="25"/>
  <c r="DT232" i="25" s="1"/>
  <c r="DM330" i="25"/>
  <c r="DT330" i="25" s="1"/>
  <c r="DM331" i="25"/>
  <c r="DT331" i="25" s="1"/>
  <c r="DM233" i="25"/>
  <c r="DT233" i="25" s="1"/>
  <c r="DM332" i="25"/>
  <c r="DT332" i="25" s="1"/>
  <c r="DM234" i="25"/>
  <c r="DT234" i="25" s="1"/>
  <c r="DM291" i="25"/>
  <c r="DT291" i="25" s="1"/>
  <c r="DM250" i="25"/>
  <c r="DT250" i="25" s="1"/>
  <c r="DM241" i="25"/>
  <c r="DT241" i="25" s="1"/>
  <c r="DM229" i="25"/>
  <c r="DT229" i="25" s="1"/>
  <c r="DM336" i="25"/>
  <c r="DT336" i="25" s="1"/>
  <c r="DM235" i="25"/>
  <c r="DT235" i="25" s="1"/>
  <c r="DM294" i="25"/>
  <c r="DT294" i="25" s="1"/>
  <c r="DM251" i="25"/>
  <c r="DT251" i="25" s="1"/>
  <c r="DM292" i="25"/>
  <c r="DT292" i="25" s="1"/>
  <c r="DM223" i="25"/>
  <c r="DT223" i="25" s="1"/>
  <c r="DM237" i="25"/>
  <c r="DT237" i="25" s="1"/>
  <c r="DM333" i="25"/>
  <c r="DT333" i="25" s="1"/>
  <c r="DM238" i="25"/>
  <c r="DT238" i="25" s="1"/>
  <c r="DM231" i="25"/>
  <c r="DT231" i="25" s="1"/>
  <c r="DM239" i="25"/>
  <c r="DT239" i="25" s="1"/>
  <c r="DM290" i="25"/>
  <c r="DT290" i="25" s="1"/>
  <c r="DM240" i="25"/>
  <c r="DT240" i="25" s="1"/>
  <c r="DM269" i="25"/>
  <c r="DT269" i="25" s="1"/>
  <c r="DM270" i="25"/>
  <c r="DT270" i="25" s="1"/>
  <c r="DM337" i="25"/>
  <c r="DT337" i="25" s="1"/>
  <c r="DM326" i="25"/>
  <c r="DT326" i="25" s="1"/>
  <c r="DM327" i="25"/>
  <c r="DT327" i="25" s="1"/>
  <c r="DM340" i="25"/>
  <c r="DM248" i="25"/>
  <c r="DT248" i="25" s="1"/>
  <c r="DM345" i="25"/>
  <c r="DT345" i="25" s="1"/>
  <c r="DM321" i="25"/>
  <c r="DT321" i="25" s="1"/>
  <c r="DM366" i="25"/>
  <c r="DT366" i="25" s="1"/>
  <c r="DM367" i="25"/>
  <c r="DT367" i="25" s="1"/>
  <c r="DM395" i="25"/>
  <c r="DM369" i="25"/>
  <c r="DT369" i="25" s="1"/>
  <c r="DM370" i="25"/>
  <c r="DT370" i="25" s="1"/>
  <c r="DM380" i="25"/>
  <c r="DT380" i="25" s="1"/>
  <c r="DM396" i="25"/>
  <c r="DT396" i="25" s="1"/>
  <c r="DM372" i="25"/>
  <c r="DT372" i="25" s="1"/>
  <c r="DM399" i="25"/>
  <c r="DT399" i="25" s="1"/>
  <c r="DM381" i="25"/>
  <c r="DT381" i="25" s="1"/>
  <c r="DM382" i="25"/>
  <c r="DT382" i="25" s="1"/>
  <c r="DM404" i="25"/>
  <c r="DT404" i="25" s="1"/>
  <c r="DM405" i="25"/>
  <c r="DT405" i="25" s="1"/>
  <c r="DM375" i="25"/>
  <c r="DT375" i="25" s="1"/>
  <c r="DM363" i="25"/>
  <c r="DT363" i="25" s="1"/>
  <c r="DM383" i="25"/>
  <c r="DT383" i="25" s="1"/>
  <c r="DM376" i="25"/>
  <c r="DM397" i="25"/>
  <c r="DM398" i="25"/>
  <c r="DT398" i="25" s="1"/>
  <c r="DM384" i="25"/>
  <c r="DT384" i="25" s="1"/>
  <c r="DM364" i="25"/>
  <c r="DT364" i="25" s="1"/>
  <c r="DM377" i="25"/>
  <c r="DT377" i="25" s="1"/>
  <c r="DM258" i="25"/>
  <c r="DT258" i="25" s="1"/>
  <c r="DM260" i="25"/>
  <c r="DT260" i="25" s="1"/>
  <c r="DM371" i="25"/>
  <c r="DT371" i="25" s="1"/>
  <c r="DM373" i="25"/>
  <c r="DT373" i="25" s="1"/>
  <c r="DM374" i="25"/>
  <c r="DT374" i="25" s="1"/>
  <c r="DM378" i="25"/>
  <c r="DT378" i="25" s="1"/>
  <c r="DM379" i="25"/>
  <c r="DM406" i="25"/>
  <c r="DT406" i="25" s="1"/>
  <c r="DM368" i="25"/>
  <c r="DT368" i="25" s="1"/>
  <c r="DM278" i="25"/>
  <c r="DT278" i="25" s="1"/>
  <c r="DM261" i="25"/>
  <c r="DT261" i="25" s="1"/>
  <c r="DM350" i="25"/>
  <c r="DT350" i="25" s="1"/>
  <c r="DM249" i="25"/>
  <c r="DT249" i="25" s="1"/>
  <c r="DM246" i="25"/>
  <c r="DT246" i="25" s="1"/>
  <c r="DM273" i="25"/>
  <c r="DT273" i="25" s="1"/>
  <c r="DM351" i="25"/>
  <c r="DT351" i="25" s="1"/>
  <c r="DM352" i="25"/>
  <c r="DT352" i="25" s="1"/>
  <c r="DM355" i="25"/>
  <c r="DT355" i="25" s="1"/>
  <c r="DM359" i="25"/>
  <c r="DT359" i="25" s="1"/>
  <c r="DM271" i="25"/>
  <c r="DT271" i="25" s="1"/>
  <c r="DM386" i="25"/>
  <c r="DT386" i="25" s="1"/>
  <c r="DM388" i="25"/>
  <c r="DT388" i="25" s="1"/>
  <c r="DM393" i="25"/>
  <c r="DT393" i="25" s="1"/>
  <c r="DM394" i="25"/>
  <c r="DT394" i="25" s="1"/>
  <c r="DM387" i="25"/>
  <c r="DT387" i="25" s="1"/>
  <c r="DM400" i="25"/>
  <c r="DT400" i="25" s="1"/>
  <c r="DM407" i="25"/>
  <c r="DT407" i="25" s="1"/>
  <c r="DM389" i="25"/>
  <c r="DT389" i="25" s="1"/>
  <c r="DM385" i="25"/>
  <c r="DT385" i="25" s="1"/>
  <c r="DM347" i="25"/>
  <c r="DT347" i="25" s="1"/>
  <c r="DM284" i="25"/>
  <c r="DT284" i="25" s="1"/>
  <c r="DM304" i="25"/>
  <c r="DT304" i="25" s="1"/>
  <c r="DM315" i="25"/>
  <c r="DT315" i="25" s="1"/>
  <c r="DM328" i="25"/>
  <c r="DT328" i="25" s="1"/>
  <c r="DM343" i="25"/>
  <c r="DT343" i="25" s="1"/>
  <c r="DM346" i="25"/>
  <c r="DT346" i="25" s="1"/>
  <c r="DM353" i="25"/>
  <c r="DT353" i="25" s="1"/>
  <c r="DM252" i="25"/>
  <c r="DT252" i="25" s="1"/>
  <c r="DM390" i="25"/>
  <c r="DT390" i="25" s="1"/>
  <c r="DM365" i="25"/>
  <c r="DT365" i="25" s="1"/>
  <c r="DM344" i="25"/>
  <c r="DT344" i="25" s="1"/>
  <c r="DM305" i="25"/>
  <c r="DT305" i="25" s="1"/>
  <c r="DM306" i="25"/>
  <c r="DT306" i="25" s="1"/>
  <c r="DM243" i="25"/>
  <c r="DT243" i="25" s="1"/>
  <c r="DM348" i="25"/>
  <c r="DT348" i="25" s="1"/>
  <c r="DM245" i="25"/>
  <c r="DT245" i="25" s="1"/>
  <c r="DM220" i="25"/>
  <c r="DT220" i="25" s="1"/>
  <c r="DM311" i="25"/>
  <c r="DT311" i="25" s="1"/>
  <c r="DM314" i="25"/>
  <c r="DT314" i="25" s="1"/>
  <c r="DM317" i="25"/>
  <c r="DT317" i="25" s="1"/>
  <c r="DM356" i="25"/>
  <c r="DT356" i="25" s="1"/>
  <c r="DM358" i="25"/>
  <c r="DT358" i="25" s="1"/>
  <c r="DN289" i="25"/>
  <c r="DN232" i="25"/>
  <c r="DN330" i="25"/>
  <c r="DN331" i="25"/>
  <c r="DN233" i="25"/>
  <c r="DN332" i="25"/>
  <c r="DN234" i="25"/>
  <c r="DN291" i="25"/>
  <c r="DN250" i="25"/>
  <c r="DN241" i="25"/>
  <c r="DN229" i="25"/>
  <c r="DN336" i="25"/>
  <c r="DN235" i="25"/>
  <c r="DN294" i="25"/>
  <c r="DN251" i="25"/>
  <c r="DN292" i="25"/>
  <c r="DN223" i="25"/>
  <c r="DN237" i="25"/>
  <c r="DN333" i="25"/>
  <c r="DN238" i="25"/>
  <c r="DN231" i="25"/>
  <c r="DN239" i="25"/>
  <c r="DN290" i="25"/>
  <c r="DN240" i="25"/>
  <c r="DN269" i="25"/>
  <c r="DN270" i="25"/>
  <c r="DN337" i="25"/>
  <c r="DN326" i="25"/>
  <c r="DN327" i="25"/>
  <c r="DN340" i="25"/>
  <c r="DN248" i="25"/>
  <c r="DN345" i="25"/>
  <c r="DN321" i="25"/>
  <c r="DN366" i="25"/>
  <c r="DN367" i="25"/>
  <c r="DN395" i="25"/>
  <c r="DN369" i="25"/>
  <c r="DN370" i="25"/>
  <c r="DN380" i="25"/>
  <c r="DN396" i="25"/>
  <c r="DN372" i="25"/>
  <c r="DN399" i="25"/>
  <c r="DN381" i="25"/>
  <c r="DN382" i="25"/>
  <c r="DN404" i="25"/>
  <c r="DN405" i="25"/>
  <c r="DN375" i="25"/>
  <c r="DN363" i="25"/>
  <c r="DN383" i="25"/>
  <c r="DN376" i="25"/>
  <c r="DN397" i="25"/>
  <c r="DN398" i="25"/>
  <c r="DN384" i="25"/>
  <c r="DN364" i="25"/>
  <c r="DN377" i="25"/>
  <c r="DN258" i="25"/>
  <c r="DN260" i="25"/>
  <c r="DN371" i="25"/>
  <c r="DN373" i="25"/>
  <c r="DN374" i="25"/>
  <c r="DN378" i="25"/>
  <c r="DN379" i="25"/>
  <c r="DN406" i="25"/>
  <c r="DN368" i="25"/>
  <c r="DN278" i="25"/>
  <c r="DN261" i="25"/>
  <c r="DN350" i="25"/>
  <c r="DN249" i="25"/>
  <c r="DN246" i="25"/>
  <c r="DN273" i="25"/>
  <c r="DN351" i="25"/>
  <c r="DN352" i="25"/>
  <c r="DN355" i="25"/>
  <c r="DN359" i="25"/>
  <c r="DN271" i="25"/>
  <c r="DN386" i="25"/>
  <c r="DN388" i="25"/>
  <c r="DN393" i="25"/>
  <c r="DN394" i="25"/>
  <c r="DN387" i="25"/>
  <c r="DN400" i="25"/>
  <c r="DN407" i="25"/>
  <c r="DN389" i="25"/>
  <c r="DN385" i="25"/>
  <c r="DN347" i="25"/>
  <c r="DN284" i="25"/>
  <c r="DN304" i="25"/>
  <c r="DN315" i="25"/>
  <c r="DN328" i="25"/>
  <c r="DN343" i="25"/>
  <c r="DN346" i="25"/>
  <c r="DN353" i="25"/>
  <c r="DN252" i="25"/>
  <c r="DN390" i="25"/>
  <c r="DN365" i="25"/>
  <c r="DN344" i="25"/>
  <c r="DN305" i="25"/>
  <c r="DN306" i="25"/>
  <c r="DN243" i="25"/>
  <c r="DN348" i="25"/>
  <c r="DN245" i="25"/>
  <c r="DN220" i="25"/>
  <c r="DN311" i="25"/>
  <c r="DN314" i="25"/>
  <c r="DN317" i="25"/>
  <c r="DN356" i="25"/>
  <c r="DN358" i="25"/>
  <c r="DO289" i="25"/>
  <c r="DO232" i="25"/>
  <c r="DO330" i="25"/>
  <c r="DO331" i="25"/>
  <c r="DO233" i="25"/>
  <c r="DO332" i="25"/>
  <c r="DO234" i="25"/>
  <c r="DO291" i="25"/>
  <c r="DO250" i="25"/>
  <c r="DO241" i="25"/>
  <c r="DO229" i="25"/>
  <c r="DO336" i="25"/>
  <c r="DO235" i="25"/>
  <c r="DO294" i="25"/>
  <c r="DO251" i="25"/>
  <c r="DO292" i="25"/>
  <c r="DO223" i="25"/>
  <c r="DO237" i="25"/>
  <c r="DO333" i="25"/>
  <c r="DO238" i="25"/>
  <c r="DO231" i="25"/>
  <c r="DO239" i="25"/>
  <c r="DO290" i="25"/>
  <c r="DO240" i="25"/>
  <c r="DO269" i="25"/>
  <c r="DO270" i="25"/>
  <c r="DO337" i="25"/>
  <c r="DO326" i="25"/>
  <c r="DO327" i="25"/>
  <c r="DO340" i="25"/>
  <c r="DO248" i="25"/>
  <c r="DO345" i="25"/>
  <c r="DO321" i="25"/>
  <c r="DO366" i="25"/>
  <c r="DO367" i="25"/>
  <c r="DO395" i="25"/>
  <c r="DO369" i="25"/>
  <c r="DO370" i="25"/>
  <c r="DO380" i="25"/>
  <c r="DO396" i="25"/>
  <c r="DO372" i="25"/>
  <c r="DO399" i="25"/>
  <c r="DO381" i="25"/>
  <c r="DO382" i="25"/>
  <c r="DO404" i="25"/>
  <c r="DO405" i="25"/>
  <c r="DO375" i="25"/>
  <c r="DO363" i="25"/>
  <c r="DO383" i="25"/>
  <c r="DO376" i="25"/>
  <c r="DO397" i="25"/>
  <c r="DO398" i="25"/>
  <c r="DO384" i="25"/>
  <c r="DO364" i="25"/>
  <c r="DO377" i="25"/>
  <c r="DO258" i="25"/>
  <c r="DO260" i="25"/>
  <c r="DO371" i="25"/>
  <c r="DO373" i="25"/>
  <c r="DO374" i="25"/>
  <c r="DO378" i="25"/>
  <c r="DO379" i="25"/>
  <c r="DO406" i="25"/>
  <c r="DO368" i="25"/>
  <c r="DO278" i="25"/>
  <c r="DO261" i="25"/>
  <c r="DO350" i="25"/>
  <c r="DO249" i="25"/>
  <c r="DO246" i="25"/>
  <c r="DO273" i="25"/>
  <c r="DO351" i="25"/>
  <c r="DO352" i="25"/>
  <c r="DO355" i="25"/>
  <c r="DO359" i="25"/>
  <c r="DO271" i="25"/>
  <c r="DO386" i="25"/>
  <c r="DO388" i="25"/>
  <c r="DO393" i="25"/>
  <c r="DO394" i="25"/>
  <c r="DO387" i="25"/>
  <c r="DO400" i="25"/>
  <c r="DO407" i="25"/>
  <c r="DO389" i="25"/>
  <c r="DO385" i="25"/>
  <c r="DO347" i="25"/>
  <c r="DO284" i="25"/>
  <c r="DO304" i="25"/>
  <c r="DO315" i="25"/>
  <c r="DO328" i="25"/>
  <c r="DO343" i="25"/>
  <c r="DO346" i="25"/>
  <c r="DO353" i="25"/>
  <c r="DO252" i="25"/>
  <c r="DO390" i="25"/>
  <c r="DO365" i="25"/>
  <c r="DO344" i="25"/>
  <c r="DO305" i="25"/>
  <c r="DO306" i="25"/>
  <c r="DO243" i="25"/>
  <c r="DO348" i="25"/>
  <c r="DO245" i="25"/>
  <c r="DO220" i="25"/>
  <c r="DO311" i="25"/>
  <c r="DO314" i="25"/>
  <c r="DO317" i="25"/>
  <c r="DO356" i="25"/>
  <c r="DO358" i="25"/>
  <c r="DV289" i="25"/>
  <c r="DV232" i="25"/>
  <c r="DV330" i="25"/>
  <c r="DV331" i="25"/>
  <c r="DV233" i="25"/>
  <c r="DV332" i="25"/>
  <c r="DV234" i="25"/>
  <c r="DV291" i="25"/>
  <c r="DV250" i="25"/>
  <c r="DV241" i="25"/>
  <c r="DV229" i="25"/>
  <c r="DV336" i="25"/>
  <c r="DV235" i="25"/>
  <c r="DV294" i="25"/>
  <c r="DV251" i="25"/>
  <c r="DV292" i="25"/>
  <c r="DV223" i="25"/>
  <c r="DV237" i="25"/>
  <c r="DV333" i="25"/>
  <c r="DV238" i="25"/>
  <c r="DV231" i="25"/>
  <c r="DV239" i="25"/>
  <c r="DV290" i="25"/>
  <c r="DV240" i="25"/>
  <c r="DV269" i="25"/>
  <c r="DV270" i="25"/>
  <c r="DV337" i="25"/>
  <c r="DV326" i="25"/>
  <c r="DV327" i="25"/>
  <c r="DV340" i="25"/>
  <c r="DV248" i="25"/>
  <c r="DV345" i="25"/>
  <c r="DV321" i="25"/>
  <c r="DV366" i="25"/>
  <c r="DV367" i="25"/>
  <c r="DV395" i="25"/>
  <c r="DV369" i="25"/>
  <c r="DV370" i="25"/>
  <c r="DV380" i="25"/>
  <c r="DV396" i="25"/>
  <c r="DV372" i="25"/>
  <c r="DV399" i="25"/>
  <c r="DV381" i="25"/>
  <c r="DV382" i="25"/>
  <c r="DV404" i="25"/>
  <c r="DV405" i="25"/>
  <c r="DV375" i="25"/>
  <c r="DV363" i="25"/>
  <c r="DV383" i="25"/>
  <c r="DV376" i="25"/>
  <c r="DV397" i="25"/>
  <c r="DV398" i="25"/>
  <c r="DV384" i="25"/>
  <c r="DV364" i="25"/>
  <c r="DV377" i="25"/>
  <c r="DV258" i="25"/>
  <c r="DV260" i="25"/>
  <c r="DV371" i="25"/>
  <c r="DV373" i="25"/>
  <c r="DV374" i="25"/>
  <c r="DV378" i="25"/>
  <c r="DV379" i="25"/>
  <c r="DV406" i="25"/>
  <c r="DV368" i="25"/>
  <c r="DV278" i="25"/>
  <c r="DV261" i="25"/>
  <c r="DV350" i="25"/>
  <c r="DV249" i="25"/>
  <c r="DV246" i="25"/>
  <c r="DV273" i="25"/>
  <c r="DV351" i="25"/>
  <c r="DV352" i="25"/>
  <c r="DV355" i="25"/>
  <c r="DV359" i="25"/>
  <c r="DV271" i="25"/>
  <c r="DV386" i="25"/>
  <c r="DV388" i="25"/>
  <c r="DV393" i="25"/>
  <c r="DV394" i="25"/>
  <c r="DV387" i="25"/>
  <c r="DV400" i="25"/>
  <c r="DV407" i="25"/>
  <c r="DV389" i="25"/>
  <c r="DV385" i="25"/>
  <c r="DV347" i="25"/>
  <c r="DV284" i="25"/>
  <c r="DV304" i="25"/>
  <c r="DV315" i="25"/>
  <c r="DV328" i="25"/>
  <c r="DV343" i="25"/>
  <c r="DV346" i="25"/>
  <c r="DV353" i="25"/>
  <c r="DV252" i="25"/>
  <c r="DV390" i="25"/>
  <c r="DV365" i="25"/>
  <c r="DV344" i="25"/>
  <c r="DV305" i="25"/>
  <c r="DV306" i="25"/>
  <c r="DV243" i="25"/>
  <c r="DV348" i="25"/>
  <c r="DV245" i="25"/>
  <c r="DV220" i="25"/>
  <c r="DV311" i="25"/>
  <c r="DV314" i="25"/>
  <c r="DV317" i="25"/>
  <c r="DV356" i="25"/>
  <c r="DV358" i="25"/>
  <c r="DW289" i="25"/>
  <c r="DZ289" i="25" s="1"/>
  <c r="DW232" i="25"/>
  <c r="DW330" i="25"/>
  <c r="DX330" i="25" s="1"/>
  <c r="DW331" i="25"/>
  <c r="DX331" i="25" s="1"/>
  <c r="DW233" i="25"/>
  <c r="DW332" i="25"/>
  <c r="DW234" i="25"/>
  <c r="DW291" i="25"/>
  <c r="DZ291" i="25" s="1"/>
  <c r="DW250" i="25"/>
  <c r="DX250" i="25" s="1"/>
  <c r="DW241" i="25"/>
  <c r="DW229" i="25"/>
  <c r="DZ229" i="25" s="1"/>
  <c r="DW336" i="25"/>
  <c r="DX336" i="25" s="1"/>
  <c r="DW235" i="25"/>
  <c r="DZ235" i="25" s="1"/>
  <c r="DW294" i="25"/>
  <c r="DZ294" i="25" s="1"/>
  <c r="DW251" i="25"/>
  <c r="DZ251" i="25" s="1"/>
  <c r="DW292" i="25"/>
  <c r="DX292" i="25" s="1"/>
  <c r="DW223" i="25"/>
  <c r="DX223" i="25" s="1"/>
  <c r="DW237" i="25"/>
  <c r="DW333" i="25"/>
  <c r="DW238" i="25"/>
  <c r="DZ238" i="25" s="1"/>
  <c r="DW231" i="25"/>
  <c r="DW239" i="25"/>
  <c r="DX239" i="25" s="1"/>
  <c r="DW290" i="25"/>
  <c r="DX290" i="25" s="1"/>
  <c r="DW240" i="25"/>
  <c r="DX240" i="25" s="1"/>
  <c r="DW269" i="25"/>
  <c r="DW270" i="25"/>
  <c r="DZ270" i="25" s="1"/>
  <c r="DW337" i="25"/>
  <c r="DX337" i="25" s="1"/>
  <c r="DW326" i="25"/>
  <c r="DX326" i="25" s="1"/>
  <c r="DW327" i="25"/>
  <c r="DW340" i="25"/>
  <c r="DW248" i="25"/>
  <c r="DX248" i="25" s="1"/>
  <c r="DW345" i="25"/>
  <c r="DX345" i="25" s="1"/>
  <c r="DW321" i="25"/>
  <c r="DX321" i="25" s="1"/>
  <c r="DW366" i="25"/>
  <c r="DX366" i="25" s="1"/>
  <c r="DW367" i="25"/>
  <c r="DX367" i="25" s="1"/>
  <c r="DW395" i="25"/>
  <c r="DZ395" i="25" s="1"/>
  <c r="DW369" i="25"/>
  <c r="DX369" i="25" s="1"/>
  <c r="DW370" i="25"/>
  <c r="DW380" i="25"/>
  <c r="DZ380" i="25" s="1"/>
  <c r="DW396" i="25"/>
  <c r="DX396" i="25" s="1"/>
  <c r="DW372" i="25"/>
  <c r="DZ372" i="25" s="1"/>
  <c r="DW399" i="25"/>
  <c r="DZ399" i="25" s="1"/>
  <c r="DW381" i="25"/>
  <c r="DX381" i="25" s="1"/>
  <c r="DW382" i="25"/>
  <c r="DX382" i="25" s="1"/>
  <c r="DW404" i="25"/>
  <c r="DX404" i="25" s="1"/>
  <c r="DW405" i="25"/>
  <c r="DZ405" i="25" s="1"/>
  <c r="DW375" i="25"/>
  <c r="DZ375" i="25" s="1"/>
  <c r="DW363" i="25"/>
  <c r="DZ363" i="25" s="1"/>
  <c r="DW383" i="25"/>
  <c r="DZ383" i="25" s="1"/>
  <c r="DW376" i="25"/>
  <c r="DW397" i="25"/>
  <c r="DZ397" i="25" s="1"/>
  <c r="DW398" i="25"/>
  <c r="DZ398" i="25" s="1"/>
  <c r="DW384" i="25"/>
  <c r="DW364" i="25"/>
  <c r="DZ364" i="25" s="1"/>
  <c r="DW377" i="25"/>
  <c r="DX377" i="25" s="1"/>
  <c r="DW258" i="25"/>
  <c r="DX258" i="25" s="1"/>
  <c r="DW260" i="25"/>
  <c r="DX260" i="25" s="1"/>
  <c r="DW371" i="25"/>
  <c r="DZ371" i="25" s="1"/>
  <c r="DW373" i="25"/>
  <c r="DZ373" i="25" s="1"/>
  <c r="DW374" i="25"/>
  <c r="DW378" i="25"/>
  <c r="DZ378" i="25" s="1"/>
  <c r="DW379" i="25"/>
  <c r="DZ379" i="25" s="1"/>
  <c r="DW406" i="25"/>
  <c r="DW368" i="25"/>
  <c r="DZ368" i="25" s="1"/>
  <c r="DW278" i="25"/>
  <c r="DW261" i="25"/>
  <c r="DW350" i="25"/>
  <c r="DX350" i="25" s="1"/>
  <c r="DW249" i="25"/>
  <c r="DZ249" i="25" s="1"/>
  <c r="DW246" i="25"/>
  <c r="DX246" i="25" s="1"/>
  <c r="DW273" i="25"/>
  <c r="DX273" i="25" s="1"/>
  <c r="DW351" i="25"/>
  <c r="DW352" i="25"/>
  <c r="DX352" i="25" s="1"/>
  <c r="DW355" i="25"/>
  <c r="DZ355" i="25" s="1"/>
  <c r="DW359" i="25"/>
  <c r="DW271" i="25"/>
  <c r="DZ271" i="25" s="1"/>
  <c r="DW386" i="25"/>
  <c r="DX386" i="25" s="1"/>
  <c r="DW388" i="25"/>
  <c r="DX388" i="25" s="1"/>
  <c r="DW393" i="25"/>
  <c r="DX393" i="25" s="1"/>
  <c r="DW394" i="25"/>
  <c r="DW387" i="25"/>
  <c r="DX387" i="25" s="1"/>
  <c r="DW400" i="25"/>
  <c r="DZ400" i="25" s="1"/>
  <c r="DW407" i="25"/>
  <c r="DX407" i="25" s="1"/>
  <c r="DW389" i="25"/>
  <c r="DW385" i="25"/>
  <c r="DW347" i="25"/>
  <c r="DW284" i="25"/>
  <c r="DZ284" i="25" s="1"/>
  <c r="DW304" i="25"/>
  <c r="DZ304" i="25" s="1"/>
  <c r="DW315" i="25"/>
  <c r="DZ315" i="25" s="1"/>
  <c r="DW328" i="25"/>
  <c r="DZ328" i="25" s="1"/>
  <c r="DW343" i="25"/>
  <c r="DX343" i="25" s="1"/>
  <c r="DW346" i="25"/>
  <c r="DX346" i="25" s="1"/>
  <c r="DW353" i="25"/>
  <c r="DX353" i="25" s="1"/>
  <c r="DW252" i="25"/>
  <c r="DW390" i="25"/>
  <c r="DX390" i="25" s="1"/>
  <c r="DW365" i="25"/>
  <c r="DW344" i="25"/>
  <c r="DX344" i="25" s="1"/>
  <c r="DW305" i="25"/>
  <c r="DW306" i="25"/>
  <c r="DZ306" i="25" s="1"/>
  <c r="DW243" i="25"/>
  <c r="DZ243" i="25" s="1"/>
  <c r="DW348" i="25"/>
  <c r="DW245" i="25"/>
  <c r="DW220" i="25"/>
  <c r="DZ220" i="25" s="1"/>
  <c r="DW311" i="25"/>
  <c r="DW314" i="25"/>
  <c r="DX314" i="25" s="1"/>
  <c r="DW317" i="25"/>
  <c r="DZ317" i="25" s="1"/>
  <c r="DW356" i="25"/>
  <c r="DX356" i="25" s="1"/>
  <c r="DW358" i="25"/>
  <c r="DX358" i="25" s="1"/>
  <c r="DY289" i="25"/>
  <c r="DY232" i="25"/>
  <c r="DY330" i="25"/>
  <c r="DY331" i="25"/>
  <c r="DY233" i="25"/>
  <c r="DY332" i="25"/>
  <c r="DY234" i="25"/>
  <c r="DY291" i="25"/>
  <c r="DY250" i="25"/>
  <c r="DY241" i="25"/>
  <c r="DY229" i="25"/>
  <c r="DY336" i="25"/>
  <c r="DY235" i="25"/>
  <c r="DY294" i="25"/>
  <c r="DY251" i="25"/>
  <c r="DY292" i="25"/>
  <c r="DY223" i="25"/>
  <c r="DY237" i="25"/>
  <c r="DY333" i="25"/>
  <c r="DY238" i="25"/>
  <c r="DY231" i="25"/>
  <c r="DY239" i="25"/>
  <c r="DY290" i="25"/>
  <c r="DY240" i="25"/>
  <c r="DY269" i="25"/>
  <c r="DY270" i="25"/>
  <c r="DY337" i="25"/>
  <c r="DY326" i="25"/>
  <c r="DY327" i="25"/>
  <c r="DY340" i="25"/>
  <c r="DY248" i="25"/>
  <c r="DY345" i="25"/>
  <c r="DY321" i="25"/>
  <c r="DY366" i="25"/>
  <c r="DY367" i="25"/>
  <c r="DY395" i="25"/>
  <c r="DY369" i="25"/>
  <c r="DY370" i="25"/>
  <c r="DY380" i="25"/>
  <c r="DY396" i="25"/>
  <c r="DY372" i="25"/>
  <c r="DY399" i="25"/>
  <c r="DY381" i="25"/>
  <c r="DY382" i="25"/>
  <c r="DY404" i="25"/>
  <c r="DY405" i="25"/>
  <c r="DY375" i="25"/>
  <c r="DY363" i="25"/>
  <c r="DY383" i="25"/>
  <c r="DY376" i="25"/>
  <c r="DY397" i="25"/>
  <c r="DY398" i="25"/>
  <c r="DY384" i="25"/>
  <c r="DY364" i="25"/>
  <c r="DY377" i="25"/>
  <c r="DY258" i="25"/>
  <c r="DY260" i="25"/>
  <c r="DY371" i="25"/>
  <c r="DY373" i="25"/>
  <c r="DY374" i="25"/>
  <c r="DY378" i="25"/>
  <c r="DY379" i="25"/>
  <c r="DY406" i="25"/>
  <c r="DY368" i="25"/>
  <c r="DY278" i="25"/>
  <c r="DY261" i="25"/>
  <c r="DY350" i="25"/>
  <c r="DY249" i="25"/>
  <c r="DY246" i="25"/>
  <c r="DY273" i="25"/>
  <c r="DY351" i="25"/>
  <c r="DY352" i="25"/>
  <c r="DY355" i="25"/>
  <c r="DY359" i="25"/>
  <c r="DY271" i="25"/>
  <c r="DY386" i="25"/>
  <c r="DY388" i="25"/>
  <c r="DY393" i="25"/>
  <c r="DY394" i="25"/>
  <c r="DY387" i="25"/>
  <c r="DY400" i="25"/>
  <c r="DY407" i="25"/>
  <c r="DY389" i="25"/>
  <c r="DY385" i="25"/>
  <c r="DY347" i="25"/>
  <c r="DY284" i="25"/>
  <c r="DY304" i="25"/>
  <c r="DY315" i="25"/>
  <c r="DY328" i="25"/>
  <c r="DY343" i="25"/>
  <c r="DY346" i="25"/>
  <c r="DY353" i="25"/>
  <c r="DY252" i="25"/>
  <c r="DY390" i="25"/>
  <c r="DY365" i="25"/>
  <c r="DY344" i="25"/>
  <c r="DY305" i="25"/>
  <c r="DY306" i="25"/>
  <c r="DY243" i="25"/>
  <c r="DY348" i="25"/>
  <c r="DY245" i="25"/>
  <c r="DY220" i="25"/>
  <c r="DY311" i="25"/>
  <c r="DY314" i="25"/>
  <c r="DY317" i="25"/>
  <c r="DY356" i="25"/>
  <c r="DY358" i="25"/>
  <c r="EA289" i="25"/>
  <c r="EA232" i="25"/>
  <c r="EA330" i="25"/>
  <c r="EA331" i="25"/>
  <c r="EA233" i="25"/>
  <c r="EA332" i="25"/>
  <c r="EA234" i="25"/>
  <c r="EA291" i="25"/>
  <c r="EA250" i="25"/>
  <c r="EA241" i="25"/>
  <c r="EA229" i="25"/>
  <c r="EA336" i="25"/>
  <c r="EA235" i="25"/>
  <c r="EA294" i="25"/>
  <c r="EA251" i="25"/>
  <c r="EA292" i="25"/>
  <c r="EA223" i="25"/>
  <c r="EA237" i="25"/>
  <c r="EA333" i="25"/>
  <c r="EA238" i="25"/>
  <c r="EA231" i="25"/>
  <c r="EA239" i="25"/>
  <c r="EA290" i="25"/>
  <c r="EA240" i="25"/>
  <c r="EA269" i="25"/>
  <c r="EA270" i="25"/>
  <c r="EA337" i="25"/>
  <c r="EA326" i="25"/>
  <c r="EA327" i="25"/>
  <c r="EA340" i="25"/>
  <c r="EA248" i="25"/>
  <c r="EA345" i="25"/>
  <c r="EA321" i="25"/>
  <c r="EA366" i="25"/>
  <c r="EA367" i="25"/>
  <c r="EA395" i="25"/>
  <c r="EA369" i="25"/>
  <c r="EA370" i="25"/>
  <c r="EA380" i="25"/>
  <c r="EA396" i="25"/>
  <c r="EA372" i="25"/>
  <c r="EA399" i="25"/>
  <c r="EA381" i="25"/>
  <c r="EA382" i="25"/>
  <c r="EA404" i="25"/>
  <c r="EA405" i="25"/>
  <c r="EA375" i="25"/>
  <c r="EA363" i="25"/>
  <c r="EA383" i="25"/>
  <c r="EA376" i="25"/>
  <c r="EA397" i="25"/>
  <c r="EA398" i="25"/>
  <c r="EA384" i="25"/>
  <c r="EA364" i="25"/>
  <c r="EA377" i="25"/>
  <c r="EA258" i="25"/>
  <c r="EA260" i="25"/>
  <c r="EA371" i="25"/>
  <c r="EA373" i="25"/>
  <c r="EA374" i="25"/>
  <c r="EA378" i="25"/>
  <c r="EA379" i="25"/>
  <c r="EA406" i="25"/>
  <c r="EA368" i="25"/>
  <c r="EA278" i="25"/>
  <c r="EA261" i="25"/>
  <c r="EA350" i="25"/>
  <c r="EA249" i="25"/>
  <c r="EA246" i="25"/>
  <c r="EA273" i="25"/>
  <c r="EA351" i="25"/>
  <c r="EA352" i="25"/>
  <c r="EA355" i="25"/>
  <c r="EA359" i="25"/>
  <c r="EA271" i="25"/>
  <c r="EA386" i="25"/>
  <c r="EA388" i="25"/>
  <c r="EA393" i="25"/>
  <c r="EA394" i="25"/>
  <c r="EA387" i="25"/>
  <c r="EA400" i="25"/>
  <c r="EA407" i="25"/>
  <c r="EA389" i="25"/>
  <c r="EA385" i="25"/>
  <c r="EA347" i="25"/>
  <c r="EA284" i="25"/>
  <c r="EA304" i="25"/>
  <c r="EA315" i="25"/>
  <c r="EA328" i="25"/>
  <c r="EA343" i="25"/>
  <c r="EA346" i="25"/>
  <c r="EA353" i="25"/>
  <c r="EA252" i="25"/>
  <c r="EA390" i="25"/>
  <c r="EA365" i="25"/>
  <c r="EA344" i="25"/>
  <c r="EA305" i="25"/>
  <c r="EA306" i="25"/>
  <c r="EA243" i="25"/>
  <c r="EA348" i="25"/>
  <c r="EA245" i="25"/>
  <c r="EA220" i="25"/>
  <c r="EA311" i="25"/>
  <c r="EA314" i="25"/>
  <c r="EA317" i="25"/>
  <c r="EA356" i="25"/>
  <c r="EA358" i="25"/>
  <c r="EB289" i="25"/>
  <c r="EB232" i="25"/>
  <c r="EB330" i="25"/>
  <c r="EB331" i="25"/>
  <c r="EB233" i="25"/>
  <c r="EB332" i="25"/>
  <c r="EB234" i="25"/>
  <c r="EB291" i="25"/>
  <c r="EB250" i="25"/>
  <c r="EB241" i="25"/>
  <c r="EB229" i="25"/>
  <c r="EB336" i="25"/>
  <c r="EB235" i="25"/>
  <c r="EB294" i="25"/>
  <c r="EB251" i="25"/>
  <c r="EB292" i="25"/>
  <c r="EB223" i="25"/>
  <c r="EB237" i="25"/>
  <c r="EB333" i="25"/>
  <c r="EB238" i="25"/>
  <c r="EB231" i="25"/>
  <c r="EB239" i="25"/>
  <c r="EB290" i="25"/>
  <c r="EB240" i="25"/>
  <c r="EB269" i="25"/>
  <c r="EB270" i="25"/>
  <c r="EB337" i="25"/>
  <c r="EB326" i="25"/>
  <c r="EB327" i="25"/>
  <c r="EB340" i="25"/>
  <c r="EB248" i="25"/>
  <c r="EB345" i="25"/>
  <c r="EB321" i="25"/>
  <c r="EB366" i="25"/>
  <c r="EB367" i="25"/>
  <c r="EB395" i="25"/>
  <c r="EB369" i="25"/>
  <c r="EB370" i="25"/>
  <c r="EB380" i="25"/>
  <c r="EB396" i="25"/>
  <c r="EB372" i="25"/>
  <c r="EB399" i="25"/>
  <c r="EB381" i="25"/>
  <c r="EB382" i="25"/>
  <c r="EB404" i="25"/>
  <c r="EB405" i="25"/>
  <c r="EB375" i="25"/>
  <c r="EB363" i="25"/>
  <c r="EB383" i="25"/>
  <c r="EB376" i="25"/>
  <c r="EB397" i="25"/>
  <c r="EB398" i="25"/>
  <c r="EB384" i="25"/>
  <c r="EB364" i="25"/>
  <c r="EB377" i="25"/>
  <c r="EB258" i="25"/>
  <c r="EB260" i="25"/>
  <c r="EB371" i="25"/>
  <c r="EB373" i="25"/>
  <c r="EB374" i="25"/>
  <c r="EB378" i="25"/>
  <c r="EB379" i="25"/>
  <c r="EB406" i="25"/>
  <c r="EB368" i="25"/>
  <c r="EB278" i="25"/>
  <c r="EB261" i="25"/>
  <c r="EB350" i="25"/>
  <c r="EB249" i="25"/>
  <c r="EB246" i="25"/>
  <c r="EB273" i="25"/>
  <c r="EB351" i="25"/>
  <c r="EB352" i="25"/>
  <c r="EB355" i="25"/>
  <c r="EB359" i="25"/>
  <c r="EB271" i="25"/>
  <c r="EB386" i="25"/>
  <c r="EB388" i="25"/>
  <c r="EB393" i="25"/>
  <c r="EB394" i="25"/>
  <c r="EB387" i="25"/>
  <c r="EB400" i="25"/>
  <c r="EB407" i="25"/>
  <c r="EB389" i="25"/>
  <c r="EB385" i="25"/>
  <c r="EB347" i="25"/>
  <c r="EB284" i="25"/>
  <c r="EB304" i="25"/>
  <c r="EB315" i="25"/>
  <c r="EB328" i="25"/>
  <c r="EB343" i="25"/>
  <c r="EB346" i="25"/>
  <c r="EB353" i="25"/>
  <c r="EB252" i="25"/>
  <c r="EB390" i="25"/>
  <c r="EB365" i="25"/>
  <c r="EB344" i="25"/>
  <c r="EB305" i="25"/>
  <c r="EB306" i="25"/>
  <c r="EB243" i="25"/>
  <c r="EB348" i="25"/>
  <c r="EB245" i="25"/>
  <c r="EB220" i="25"/>
  <c r="EB311" i="25"/>
  <c r="EB314" i="25"/>
  <c r="EB317" i="25"/>
  <c r="EB356" i="25"/>
  <c r="EB358" i="25"/>
  <c r="EC289" i="25"/>
  <c r="EC232" i="25"/>
  <c r="EC330" i="25"/>
  <c r="EC331" i="25"/>
  <c r="EC233" i="25"/>
  <c r="EC332" i="25"/>
  <c r="EC234" i="25"/>
  <c r="EC291" i="25"/>
  <c r="EC250" i="25"/>
  <c r="EC241" i="25"/>
  <c r="EC229" i="25"/>
  <c r="EC336" i="25"/>
  <c r="EC235" i="25"/>
  <c r="EC294" i="25"/>
  <c r="EC251" i="25"/>
  <c r="EC292" i="25"/>
  <c r="EC223" i="25"/>
  <c r="EC237" i="25"/>
  <c r="EC333" i="25"/>
  <c r="EC238" i="25"/>
  <c r="EC231" i="25"/>
  <c r="EC239" i="25"/>
  <c r="EC290" i="25"/>
  <c r="EC240" i="25"/>
  <c r="EC269" i="25"/>
  <c r="EC270" i="25"/>
  <c r="EC337" i="25"/>
  <c r="EC326" i="25"/>
  <c r="EC327" i="25"/>
  <c r="EC340" i="25"/>
  <c r="EC248" i="25"/>
  <c r="EC345" i="25"/>
  <c r="EC321" i="25"/>
  <c r="EC366" i="25"/>
  <c r="EC367" i="25"/>
  <c r="EC395" i="25"/>
  <c r="EC369" i="25"/>
  <c r="EC370" i="25"/>
  <c r="EC380" i="25"/>
  <c r="EC396" i="25"/>
  <c r="EC372" i="25"/>
  <c r="EC399" i="25"/>
  <c r="EC381" i="25"/>
  <c r="EC382" i="25"/>
  <c r="EC404" i="25"/>
  <c r="EC405" i="25"/>
  <c r="EC375" i="25"/>
  <c r="EC363" i="25"/>
  <c r="EC383" i="25"/>
  <c r="EC376" i="25"/>
  <c r="EC397" i="25"/>
  <c r="EC398" i="25"/>
  <c r="EC384" i="25"/>
  <c r="EC364" i="25"/>
  <c r="EC377" i="25"/>
  <c r="EC258" i="25"/>
  <c r="EC260" i="25"/>
  <c r="EC371" i="25"/>
  <c r="EC373" i="25"/>
  <c r="EC374" i="25"/>
  <c r="EC378" i="25"/>
  <c r="EC379" i="25"/>
  <c r="EC406" i="25"/>
  <c r="EC368" i="25"/>
  <c r="EC278" i="25"/>
  <c r="EC261" i="25"/>
  <c r="EC350" i="25"/>
  <c r="EC249" i="25"/>
  <c r="EC246" i="25"/>
  <c r="EC273" i="25"/>
  <c r="EC351" i="25"/>
  <c r="EC352" i="25"/>
  <c r="EC355" i="25"/>
  <c r="EC359" i="25"/>
  <c r="EC271" i="25"/>
  <c r="EC386" i="25"/>
  <c r="EC388" i="25"/>
  <c r="EC393" i="25"/>
  <c r="EC394" i="25"/>
  <c r="EC387" i="25"/>
  <c r="EC400" i="25"/>
  <c r="EC407" i="25"/>
  <c r="EC389" i="25"/>
  <c r="EC385" i="25"/>
  <c r="EC347" i="25"/>
  <c r="EC284" i="25"/>
  <c r="EC304" i="25"/>
  <c r="EC315" i="25"/>
  <c r="EC328" i="25"/>
  <c r="EC343" i="25"/>
  <c r="EC346" i="25"/>
  <c r="EC353" i="25"/>
  <c r="EC252" i="25"/>
  <c r="EC390" i="25"/>
  <c r="EC365" i="25"/>
  <c r="EC344" i="25"/>
  <c r="EC305" i="25"/>
  <c r="EC306" i="25"/>
  <c r="EC243" i="25"/>
  <c r="EC348" i="25"/>
  <c r="EC245" i="25"/>
  <c r="EC220" i="25"/>
  <c r="EC311" i="25"/>
  <c r="EC314" i="25"/>
  <c r="EC317" i="25"/>
  <c r="EC356" i="25"/>
  <c r="EC358" i="25"/>
  <c r="ED289" i="25"/>
  <c r="ED232" i="25"/>
  <c r="ED330" i="25"/>
  <c r="ED331" i="25"/>
  <c r="ED233" i="25"/>
  <c r="ED332" i="25"/>
  <c r="ED234" i="25"/>
  <c r="ED291" i="25"/>
  <c r="ED250" i="25"/>
  <c r="ED241" i="25"/>
  <c r="ED229" i="25"/>
  <c r="ED336" i="25"/>
  <c r="ED235" i="25"/>
  <c r="ED294" i="25"/>
  <c r="ED251" i="25"/>
  <c r="ED292" i="25"/>
  <c r="ED223" i="25"/>
  <c r="ED237" i="25"/>
  <c r="ED333" i="25"/>
  <c r="ED238" i="25"/>
  <c r="ED231" i="25"/>
  <c r="ED239" i="25"/>
  <c r="ED290" i="25"/>
  <c r="ED240" i="25"/>
  <c r="ED269" i="25"/>
  <c r="ED270" i="25"/>
  <c r="ED337" i="25"/>
  <c r="ED326" i="25"/>
  <c r="ED327" i="25"/>
  <c r="ED340" i="25"/>
  <c r="ED248" i="25"/>
  <c r="ED345" i="25"/>
  <c r="ED321" i="25"/>
  <c r="ED366" i="25"/>
  <c r="ED367" i="25"/>
  <c r="ED395" i="25"/>
  <c r="ED369" i="25"/>
  <c r="ED370" i="25"/>
  <c r="ED380" i="25"/>
  <c r="ED396" i="25"/>
  <c r="ED372" i="25"/>
  <c r="ED399" i="25"/>
  <c r="ED381" i="25"/>
  <c r="ED382" i="25"/>
  <c r="ED404" i="25"/>
  <c r="ED405" i="25"/>
  <c r="ED375" i="25"/>
  <c r="ED363" i="25"/>
  <c r="ED383" i="25"/>
  <c r="ED376" i="25"/>
  <c r="ED397" i="25"/>
  <c r="ED398" i="25"/>
  <c r="ED384" i="25"/>
  <c r="ED364" i="25"/>
  <c r="ED377" i="25"/>
  <c r="ED258" i="25"/>
  <c r="ED260" i="25"/>
  <c r="ED371" i="25"/>
  <c r="ED373" i="25"/>
  <c r="ED374" i="25"/>
  <c r="ED378" i="25"/>
  <c r="ED379" i="25"/>
  <c r="ED406" i="25"/>
  <c r="ED368" i="25"/>
  <c r="ED278" i="25"/>
  <c r="ED261" i="25"/>
  <c r="ED350" i="25"/>
  <c r="ED249" i="25"/>
  <c r="ED246" i="25"/>
  <c r="ED273" i="25"/>
  <c r="ED351" i="25"/>
  <c r="ED352" i="25"/>
  <c r="ED355" i="25"/>
  <c r="ED359" i="25"/>
  <c r="ED271" i="25"/>
  <c r="ED386" i="25"/>
  <c r="ED388" i="25"/>
  <c r="ED393" i="25"/>
  <c r="ED394" i="25"/>
  <c r="ED387" i="25"/>
  <c r="ED400" i="25"/>
  <c r="ED407" i="25"/>
  <c r="ED389" i="25"/>
  <c r="ED385" i="25"/>
  <c r="ED347" i="25"/>
  <c r="ED284" i="25"/>
  <c r="ED304" i="25"/>
  <c r="ED315" i="25"/>
  <c r="ED328" i="25"/>
  <c r="ED343" i="25"/>
  <c r="ED346" i="25"/>
  <c r="ED353" i="25"/>
  <c r="ED252" i="25"/>
  <c r="ED390" i="25"/>
  <c r="ED365" i="25"/>
  <c r="ED344" i="25"/>
  <c r="ED305" i="25"/>
  <c r="ED306" i="25"/>
  <c r="ED243" i="25"/>
  <c r="ED348" i="25"/>
  <c r="ED245" i="25"/>
  <c r="ED220" i="25"/>
  <c r="ED311" i="25"/>
  <c r="ED314" i="25"/>
  <c r="ED317" i="25"/>
  <c r="ED356" i="25"/>
  <c r="ED358" i="25"/>
  <c r="EE289" i="25"/>
  <c r="EE232" i="25"/>
  <c r="EE330" i="25"/>
  <c r="EE331" i="25"/>
  <c r="EE233" i="25"/>
  <c r="EE332" i="25"/>
  <c r="EE234" i="25"/>
  <c r="EE291" i="25"/>
  <c r="EE250" i="25"/>
  <c r="EE241" i="25"/>
  <c r="EE229" i="25"/>
  <c r="EE336" i="25"/>
  <c r="EE235" i="25"/>
  <c r="EE294" i="25"/>
  <c r="EE251" i="25"/>
  <c r="EE292" i="25"/>
  <c r="EE223" i="25"/>
  <c r="EE237" i="25"/>
  <c r="EE333" i="25"/>
  <c r="EE238" i="25"/>
  <c r="EE231" i="25"/>
  <c r="EE239" i="25"/>
  <c r="EE290" i="25"/>
  <c r="EE240" i="25"/>
  <c r="EE269" i="25"/>
  <c r="EE270" i="25"/>
  <c r="EE337" i="25"/>
  <c r="EE326" i="25"/>
  <c r="EE327" i="25"/>
  <c r="EE340" i="25"/>
  <c r="EE248" i="25"/>
  <c r="EE345" i="25"/>
  <c r="EE321" i="25"/>
  <c r="EE366" i="25"/>
  <c r="EE367" i="25"/>
  <c r="EE395" i="25"/>
  <c r="EE369" i="25"/>
  <c r="EE370" i="25"/>
  <c r="EE380" i="25"/>
  <c r="EE396" i="25"/>
  <c r="EE372" i="25"/>
  <c r="EE399" i="25"/>
  <c r="EE381" i="25"/>
  <c r="EE382" i="25"/>
  <c r="EE404" i="25"/>
  <c r="EE405" i="25"/>
  <c r="EE375" i="25"/>
  <c r="EE363" i="25"/>
  <c r="EE383" i="25"/>
  <c r="EE376" i="25"/>
  <c r="EE397" i="25"/>
  <c r="EE398" i="25"/>
  <c r="EE384" i="25"/>
  <c r="EE364" i="25"/>
  <c r="EE377" i="25"/>
  <c r="EE258" i="25"/>
  <c r="EE260" i="25"/>
  <c r="EE371" i="25"/>
  <c r="EE373" i="25"/>
  <c r="EE374" i="25"/>
  <c r="EE378" i="25"/>
  <c r="EE379" i="25"/>
  <c r="EE406" i="25"/>
  <c r="EE368" i="25"/>
  <c r="EE278" i="25"/>
  <c r="EE261" i="25"/>
  <c r="EE350" i="25"/>
  <c r="EE249" i="25"/>
  <c r="EE246" i="25"/>
  <c r="EE273" i="25"/>
  <c r="EE351" i="25"/>
  <c r="EE352" i="25"/>
  <c r="EE355" i="25"/>
  <c r="EE359" i="25"/>
  <c r="EE271" i="25"/>
  <c r="EE386" i="25"/>
  <c r="EE388" i="25"/>
  <c r="EE393" i="25"/>
  <c r="EE394" i="25"/>
  <c r="EE387" i="25"/>
  <c r="EE400" i="25"/>
  <c r="EE407" i="25"/>
  <c r="EE389" i="25"/>
  <c r="EE385" i="25"/>
  <c r="EE347" i="25"/>
  <c r="EE284" i="25"/>
  <c r="EE304" i="25"/>
  <c r="EE315" i="25"/>
  <c r="EE328" i="25"/>
  <c r="EE343" i="25"/>
  <c r="EE346" i="25"/>
  <c r="EE353" i="25"/>
  <c r="EE252" i="25"/>
  <c r="EE390" i="25"/>
  <c r="EE365" i="25"/>
  <c r="EE344" i="25"/>
  <c r="EE305" i="25"/>
  <c r="EE306" i="25"/>
  <c r="EE243" i="25"/>
  <c r="EE348" i="25"/>
  <c r="EE245" i="25"/>
  <c r="EE220" i="25"/>
  <c r="EE311" i="25"/>
  <c r="EE314" i="25"/>
  <c r="EE317" i="25"/>
  <c r="EE356" i="25"/>
  <c r="EE358" i="25"/>
  <c r="EI289" i="25"/>
  <c r="EI232" i="25"/>
  <c r="EI330" i="25"/>
  <c r="EI331" i="25"/>
  <c r="EI233" i="25"/>
  <c r="EI332" i="25"/>
  <c r="EI234" i="25"/>
  <c r="EI291" i="25"/>
  <c r="EI250" i="25"/>
  <c r="EI241" i="25"/>
  <c r="EI229" i="25"/>
  <c r="EI336" i="25"/>
  <c r="EI235" i="25"/>
  <c r="EI294" i="25"/>
  <c r="EI251" i="25"/>
  <c r="EI292" i="25"/>
  <c r="EI223" i="25"/>
  <c r="EI237" i="25"/>
  <c r="EI333" i="25"/>
  <c r="EI238" i="25"/>
  <c r="EI231" i="25"/>
  <c r="EI239" i="25"/>
  <c r="EI290" i="25"/>
  <c r="EI240" i="25"/>
  <c r="EI269" i="25"/>
  <c r="EI270" i="25"/>
  <c r="EI337" i="25"/>
  <c r="EI326" i="25"/>
  <c r="EI327" i="25"/>
  <c r="EI340" i="25"/>
  <c r="EI248" i="25"/>
  <c r="EI345" i="25"/>
  <c r="EI321" i="25"/>
  <c r="EI366" i="25"/>
  <c r="EI367" i="25"/>
  <c r="EI395" i="25"/>
  <c r="EI369" i="25"/>
  <c r="EI370" i="25"/>
  <c r="EI380" i="25"/>
  <c r="EI396" i="25"/>
  <c r="EI372" i="25"/>
  <c r="EI399" i="25"/>
  <c r="EI381" i="25"/>
  <c r="EI382" i="25"/>
  <c r="EI404" i="25"/>
  <c r="EI405" i="25"/>
  <c r="EI375" i="25"/>
  <c r="EI363" i="25"/>
  <c r="EI383" i="25"/>
  <c r="EI376" i="25"/>
  <c r="EI397" i="25"/>
  <c r="EI398" i="25"/>
  <c r="EI384" i="25"/>
  <c r="EI364" i="25"/>
  <c r="EI377" i="25"/>
  <c r="EI258" i="25"/>
  <c r="EI260" i="25"/>
  <c r="EI371" i="25"/>
  <c r="EI373" i="25"/>
  <c r="EI374" i="25"/>
  <c r="EI378" i="25"/>
  <c r="EI379" i="25"/>
  <c r="EI406" i="25"/>
  <c r="EI368" i="25"/>
  <c r="EI278" i="25"/>
  <c r="EI261" i="25"/>
  <c r="EI350" i="25"/>
  <c r="EI249" i="25"/>
  <c r="EI246" i="25"/>
  <c r="EI273" i="25"/>
  <c r="EI351" i="25"/>
  <c r="EI352" i="25"/>
  <c r="EI355" i="25"/>
  <c r="EI359" i="25"/>
  <c r="EI271" i="25"/>
  <c r="EI386" i="25"/>
  <c r="EI388" i="25"/>
  <c r="EI393" i="25"/>
  <c r="EI394" i="25"/>
  <c r="EI387" i="25"/>
  <c r="EI400" i="25"/>
  <c r="EI407" i="25"/>
  <c r="EI389" i="25"/>
  <c r="EI385" i="25"/>
  <c r="EI347" i="25"/>
  <c r="EI284" i="25"/>
  <c r="EI304" i="25"/>
  <c r="EI315" i="25"/>
  <c r="EI328" i="25"/>
  <c r="EI343" i="25"/>
  <c r="EI346" i="25"/>
  <c r="EI353" i="25"/>
  <c r="EI252" i="25"/>
  <c r="EI390" i="25"/>
  <c r="EI365" i="25"/>
  <c r="EI344" i="25"/>
  <c r="EI305" i="25"/>
  <c r="EI306" i="25"/>
  <c r="EI243" i="25"/>
  <c r="EI348" i="25"/>
  <c r="EI245" i="25"/>
  <c r="EI220" i="25"/>
  <c r="EI311" i="25"/>
  <c r="EI314" i="25"/>
  <c r="EI317" i="25"/>
  <c r="EI356" i="25"/>
  <c r="EI358" i="25"/>
  <c r="EJ289" i="25"/>
  <c r="EJ232" i="25"/>
  <c r="EJ330" i="25"/>
  <c r="EJ331" i="25"/>
  <c r="EJ233" i="25"/>
  <c r="EJ332" i="25"/>
  <c r="EJ234" i="25"/>
  <c r="EJ291" i="25"/>
  <c r="EJ250" i="25"/>
  <c r="EJ241" i="25"/>
  <c r="EJ229" i="25"/>
  <c r="EJ336" i="25"/>
  <c r="EJ235" i="25"/>
  <c r="EJ294" i="25"/>
  <c r="EJ251" i="25"/>
  <c r="EJ292" i="25"/>
  <c r="EJ223" i="25"/>
  <c r="EJ237" i="25"/>
  <c r="EJ333" i="25"/>
  <c r="EJ238" i="25"/>
  <c r="EJ231" i="25"/>
  <c r="EJ239" i="25"/>
  <c r="EJ290" i="25"/>
  <c r="EJ240" i="25"/>
  <c r="EJ269" i="25"/>
  <c r="EJ270" i="25"/>
  <c r="EJ337" i="25"/>
  <c r="EJ326" i="25"/>
  <c r="EJ327" i="25"/>
  <c r="EJ340" i="25"/>
  <c r="EJ248" i="25"/>
  <c r="EJ345" i="25"/>
  <c r="EJ321" i="25"/>
  <c r="EJ366" i="25"/>
  <c r="EJ367" i="25"/>
  <c r="EJ395" i="25"/>
  <c r="EJ369" i="25"/>
  <c r="EJ370" i="25"/>
  <c r="EJ380" i="25"/>
  <c r="EJ396" i="25"/>
  <c r="EJ372" i="25"/>
  <c r="EJ399" i="25"/>
  <c r="EJ381" i="25"/>
  <c r="EJ382" i="25"/>
  <c r="EJ404" i="25"/>
  <c r="EJ405" i="25"/>
  <c r="EJ375" i="25"/>
  <c r="EJ363" i="25"/>
  <c r="EJ383" i="25"/>
  <c r="EJ376" i="25"/>
  <c r="EJ397" i="25"/>
  <c r="EJ398" i="25"/>
  <c r="EJ384" i="25"/>
  <c r="EJ364" i="25"/>
  <c r="EJ377" i="25"/>
  <c r="EJ258" i="25"/>
  <c r="EJ260" i="25"/>
  <c r="EJ371" i="25"/>
  <c r="EJ373" i="25"/>
  <c r="EJ374" i="25"/>
  <c r="EJ378" i="25"/>
  <c r="EJ379" i="25"/>
  <c r="EJ406" i="25"/>
  <c r="EJ368" i="25"/>
  <c r="EJ278" i="25"/>
  <c r="EJ261" i="25"/>
  <c r="EJ350" i="25"/>
  <c r="EJ249" i="25"/>
  <c r="EJ246" i="25"/>
  <c r="EJ273" i="25"/>
  <c r="EJ351" i="25"/>
  <c r="EJ352" i="25"/>
  <c r="EJ355" i="25"/>
  <c r="EJ359" i="25"/>
  <c r="EJ271" i="25"/>
  <c r="EJ386" i="25"/>
  <c r="EJ388" i="25"/>
  <c r="EJ393" i="25"/>
  <c r="EJ394" i="25"/>
  <c r="EJ387" i="25"/>
  <c r="EJ400" i="25"/>
  <c r="EJ407" i="25"/>
  <c r="EJ389" i="25"/>
  <c r="EJ385" i="25"/>
  <c r="EJ347" i="25"/>
  <c r="EJ284" i="25"/>
  <c r="EJ304" i="25"/>
  <c r="EJ315" i="25"/>
  <c r="EJ328" i="25"/>
  <c r="EJ343" i="25"/>
  <c r="EJ346" i="25"/>
  <c r="EJ353" i="25"/>
  <c r="EJ252" i="25"/>
  <c r="EJ390" i="25"/>
  <c r="EJ365" i="25"/>
  <c r="EJ344" i="25"/>
  <c r="EJ305" i="25"/>
  <c r="EJ306" i="25"/>
  <c r="EJ243" i="25"/>
  <c r="EJ348" i="25"/>
  <c r="EJ245" i="25"/>
  <c r="EJ220" i="25"/>
  <c r="EJ311" i="25"/>
  <c r="EJ314" i="25"/>
  <c r="EJ317" i="25"/>
  <c r="EJ356" i="25"/>
  <c r="EJ358" i="25"/>
  <c r="EK289" i="25"/>
  <c r="EK232" i="25"/>
  <c r="EK330" i="25"/>
  <c r="EK331" i="25"/>
  <c r="EK233" i="25"/>
  <c r="EK332" i="25"/>
  <c r="EK234" i="25"/>
  <c r="EK291" i="25"/>
  <c r="EK250" i="25"/>
  <c r="EK241" i="25"/>
  <c r="EK229" i="25"/>
  <c r="EK336" i="25"/>
  <c r="EK235" i="25"/>
  <c r="EK294" i="25"/>
  <c r="EK251" i="25"/>
  <c r="EK292" i="25"/>
  <c r="EK223" i="25"/>
  <c r="EK237" i="25"/>
  <c r="EK333" i="25"/>
  <c r="EK238" i="25"/>
  <c r="EK231" i="25"/>
  <c r="EK239" i="25"/>
  <c r="EK290" i="25"/>
  <c r="EK240" i="25"/>
  <c r="EK269" i="25"/>
  <c r="EK270" i="25"/>
  <c r="EK337" i="25"/>
  <c r="EK326" i="25"/>
  <c r="EK327" i="25"/>
  <c r="EK340" i="25"/>
  <c r="EK248" i="25"/>
  <c r="EK345" i="25"/>
  <c r="EK321" i="25"/>
  <c r="EK366" i="25"/>
  <c r="EK367" i="25"/>
  <c r="EK395" i="25"/>
  <c r="EK369" i="25"/>
  <c r="EK370" i="25"/>
  <c r="EK380" i="25"/>
  <c r="EK396" i="25"/>
  <c r="EK372" i="25"/>
  <c r="EK399" i="25"/>
  <c r="EK381" i="25"/>
  <c r="EK382" i="25"/>
  <c r="EK404" i="25"/>
  <c r="EK405" i="25"/>
  <c r="EK375" i="25"/>
  <c r="EK363" i="25"/>
  <c r="EK383" i="25"/>
  <c r="EK376" i="25"/>
  <c r="EK397" i="25"/>
  <c r="EK398" i="25"/>
  <c r="EK384" i="25"/>
  <c r="EK364" i="25"/>
  <c r="EK377" i="25"/>
  <c r="EK258" i="25"/>
  <c r="EK260" i="25"/>
  <c r="EK371" i="25"/>
  <c r="EK373" i="25"/>
  <c r="EK374" i="25"/>
  <c r="EK378" i="25"/>
  <c r="EK379" i="25"/>
  <c r="EK406" i="25"/>
  <c r="EK368" i="25"/>
  <c r="EK278" i="25"/>
  <c r="EK261" i="25"/>
  <c r="EK350" i="25"/>
  <c r="EK249" i="25"/>
  <c r="EK246" i="25"/>
  <c r="EK273" i="25"/>
  <c r="EK351" i="25"/>
  <c r="EK352" i="25"/>
  <c r="EK355" i="25"/>
  <c r="EK359" i="25"/>
  <c r="EK271" i="25"/>
  <c r="EK386" i="25"/>
  <c r="EK388" i="25"/>
  <c r="EK393" i="25"/>
  <c r="EK394" i="25"/>
  <c r="EK387" i="25"/>
  <c r="EK400" i="25"/>
  <c r="EK407" i="25"/>
  <c r="EK389" i="25"/>
  <c r="EK385" i="25"/>
  <c r="EK347" i="25"/>
  <c r="EK284" i="25"/>
  <c r="DI284" i="25" s="1"/>
  <c r="DJ284" i="25" s="1"/>
  <c r="EK304" i="25"/>
  <c r="EK315" i="25"/>
  <c r="EK328" i="25"/>
  <c r="EK343" i="25"/>
  <c r="EK346" i="25"/>
  <c r="EK353" i="25"/>
  <c r="EK252" i="25"/>
  <c r="EK390" i="25"/>
  <c r="EK365" i="25"/>
  <c r="EK344" i="25"/>
  <c r="EK305" i="25"/>
  <c r="EK306" i="25"/>
  <c r="EK243" i="25"/>
  <c r="EK348" i="25"/>
  <c r="EK245" i="25"/>
  <c r="EK220" i="25"/>
  <c r="EK311" i="25"/>
  <c r="EK314" i="25"/>
  <c r="EK317" i="25"/>
  <c r="EK356" i="25"/>
  <c r="EK358" i="25"/>
  <c r="EL289" i="25"/>
  <c r="EL232" i="25"/>
  <c r="EL330" i="25"/>
  <c r="EL331" i="25"/>
  <c r="EL233" i="25"/>
  <c r="EL332" i="25"/>
  <c r="EL234" i="25"/>
  <c r="EL291" i="25"/>
  <c r="EL250" i="25"/>
  <c r="EL241" i="25"/>
  <c r="EL229" i="25"/>
  <c r="EL336" i="25"/>
  <c r="EL235" i="25"/>
  <c r="EL294" i="25"/>
  <c r="EL251" i="25"/>
  <c r="EL292" i="25"/>
  <c r="EL223" i="25"/>
  <c r="EL237" i="25"/>
  <c r="EL333" i="25"/>
  <c r="EL238" i="25"/>
  <c r="EL231" i="25"/>
  <c r="EL239" i="25"/>
  <c r="EL290" i="25"/>
  <c r="EL240" i="25"/>
  <c r="EL269" i="25"/>
  <c r="EL270" i="25"/>
  <c r="EL337" i="25"/>
  <c r="EL326" i="25"/>
  <c r="EL327" i="25"/>
  <c r="EL340" i="25"/>
  <c r="EL248" i="25"/>
  <c r="EL345" i="25"/>
  <c r="EL321" i="25"/>
  <c r="EL366" i="25"/>
  <c r="EL367" i="25"/>
  <c r="EL395" i="25"/>
  <c r="EL369" i="25"/>
  <c r="EL370" i="25"/>
  <c r="EL380" i="25"/>
  <c r="EL396" i="25"/>
  <c r="EL372" i="25"/>
  <c r="EL399" i="25"/>
  <c r="EL381" i="25"/>
  <c r="EL382" i="25"/>
  <c r="EL404" i="25"/>
  <c r="EL405" i="25"/>
  <c r="EL375" i="25"/>
  <c r="EL363" i="25"/>
  <c r="EL383" i="25"/>
  <c r="EL376" i="25"/>
  <c r="EL397" i="25"/>
  <c r="EL398" i="25"/>
  <c r="EL384" i="25"/>
  <c r="EL364" i="25"/>
  <c r="EL377" i="25"/>
  <c r="EL258" i="25"/>
  <c r="EL260" i="25"/>
  <c r="EL371" i="25"/>
  <c r="EL373" i="25"/>
  <c r="EL374" i="25"/>
  <c r="EL378" i="25"/>
  <c r="EL379" i="25"/>
  <c r="EL406" i="25"/>
  <c r="EL368" i="25"/>
  <c r="EL278" i="25"/>
  <c r="EL261" i="25"/>
  <c r="EL350" i="25"/>
  <c r="EL249" i="25"/>
  <c r="EL246" i="25"/>
  <c r="EL273" i="25"/>
  <c r="EL351" i="25"/>
  <c r="EL352" i="25"/>
  <c r="EL355" i="25"/>
  <c r="EL359" i="25"/>
  <c r="EL271" i="25"/>
  <c r="EL386" i="25"/>
  <c r="EL388" i="25"/>
  <c r="EL393" i="25"/>
  <c r="EL394" i="25"/>
  <c r="EL387" i="25"/>
  <c r="EL400" i="25"/>
  <c r="EL407" i="25"/>
  <c r="EL389" i="25"/>
  <c r="EL385" i="25"/>
  <c r="EL347" i="25"/>
  <c r="EL284" i="25"/>
  <c r="EL304" i="25"/>
  <c r="EL315" i="25"/>
  <c r="EL328" i="25"/>
  <c r="EL343" i="25"/>
  <c r="EL346" i="25"/>
  <c r="EL353" i="25"/>
  <c r="EL252" i="25"/>
  <c r="EL390" i="25"/>
  <c r="EL365" i="25"/>
  <c r="EL344" i="25"/>
  <c r="EL305" i="25"/>
  <c r="EL306" i="25"/>
  <c r="EL243" i="25"/>
  <c r="EL348" i="25"/>
  <c r="EL245" i="25"/>
  <c r="EL220" i="25"/>
  <c r="EL311" i="25"/>
  <c r="EL314" i="25"/>
  <c r="EL317" i="25"/>
  <c r="EL356" i="25"/>
  <c r="EL358" i="25"/>
  <c r="EM289" i="25"/>
  <c r="DU289" i="25" s="1"/>
  <c r="EM232" i="25"/>
  <c r="DU232" i="25" s="1"/>
  <c r="EM330" i="25"/>
  <c r="DU330" i="25" s="1"/>
  <c r="EM331" i="25"/>
  <c r="DU331" i="25" s="1"/>
  <c r="EM233" i="25"/>
  <c r="DU233" i="25" s="1"/>
  <c r="EM332" i="25"/>
  <c r="DU332" i="25" s="1"/>
  <c r="EM234" i="25"/>
  <c r="DU234" i="25" s="1"/>
  <c r="EM291" i="25"/>
  <c r="DU291" i="25" s="1"/>
  <c r="EM250" i="25"/>
  <c r="DU250" i="25" s="1"/>
  <c r="EM241" i="25"/>
  <c r="DU241" i="25" s="1"/>
  <c r="EM229" i="25"/>
  <c r="DU229" i="25" s="1"/>
  <c r="EM336" i="25"/>
  <c r="DU336" i="25" s="1"/>
  <c r="EM235" i="25"/>
  <c r="DU235" i="25" s="1"/>
  <c r="EM294" i="25"/>
  <c r="DU294" i="25" s="1"/>
  <c r="EM251" i="25"/>
  <c r="DU251" i="25" s="1"/>
  <c r="EM292" i="25"/>
  <c r="DU292" i="25" s="1"/>
  <c r="EM223" i="25"/>
  <c r="DU223" i="25" s="1"/>
  <c r="EM237" i="25"/>
  <c r="DU237" i="25" s="1"/>
  <c r="EM333" i="25"/>
  <c r="DU333" i="25" s="1"/>
  <c r="EM238" i="25"/>
  <c r="DU238" i="25" s="1"/>
  <c r="EM231" i="25"/>
  <c r="DU231" i="25" s="1"/>
  <c r="EM239" i="25"/>
  <c r="DU239" i="25" s="1"/>
  <c r="EM290" i="25"/>
  <c r="DU290" i="25" s="1"/>
  <c r="EM240" i="25"/>
  <c r="DU240" i="25" s="1"/>
  <c r="EM269" i="25"/>
  <c r="DU269" i="25" s="1"/>
  <c r="EM270" i="25"/>
  <c r="DU270" i="25" s="1"/>
  <c r="EM337" i="25"/>
  <c r="DU337" i="25" s="1"/>
  <c r="EM326" i="25"/>
  <c r="DU326" i="25" s="1"/>
  <c r="EM327" i="25"/>
  <c r="DU327" i="25" s="1"/>
  <c r="EM340" i="25"/>
  <c r="DU340" i="25" s="1"/>
  <c r="EM248" i="25"/>
  <c r="DU248" i="25" s="1"/>
  <c r="EM345" i="25"/>
  <c r="DU345" i="25" s="1"/>
  <c r="EM321" i="25"/>
  <c r="DU321" i="25" s="1"/>
  <c r="EM366" i="25"/>
  <c r="DU366" i="25" s="1"/>
  <c r="EM367" i="25"/>
  <c r="DU367" i="25" s="1"/>
  <c r="EM395" i="25"/>
  <c r="DU395" i="25" s="1"/>
  <c r="EM369" i="25"/>
  <c r="DU369" i="25" s="1"/>
  <c r="EM370" i="25"/>
  <c r="DU370" i="25" s="1"/>
  <c r="EM380" i="25"/>
  <c r="DU380" i="25" s="1"/>
  <c r="EM396" i="25"/>
  <c r="DU396" i="25" s="1"/>
  <c r="EM372" i="25"/>
  <c r="DU372" i="25" s="1"/>
  <c r="EM399" i="25"/>
  <c r="DU399" i="25" s="1"/>
  <c r="EM381" i="25"/>
  <c r="DU381" i="25" s="1"/>
  <c r="EM382" i="25"/>
  <c r="DU382" i="25" s="1"/>
  <c r="EM404" i="25"/>
  <c r="DU404" i="25" s="1"/>
  <c r="EM405" i="25"/>
  <c r="DU405" i="25" s="1"/>
  <c r="EM375" i="25"/>
  <c r="DU375" i="25" s="1"/>
  <c r="EM363" i="25"/>
  <c r="DU363" i="25" s="1"/>
  <c r="EM383" i="25"/>
  <c r="DU383" i="25" s="1"/>
  <c r="EM376" i="25"/>
  <c r="DU376" i="25" s="1"/>
  <c r="EM397" i="25"/>
  <c r="DU397" i="25" s="1"/>
  <c r="EM398" i="25"/>
  <c r="DU398" i="25" s="1"/>
  <c r="EM384" i="25"/>
  <c r="DU384" i="25" s="1"/>
  <c r="EM364" i="25"/>
  <c r="DU364" i="25" s="1"/>
  <c r="EM377" i="25"/>
  <c r="DU377" i="25" s="1"/>
  <c r="EM258" i="25"/>
  <c r="DU258" i="25" s="1"/>
  <c r="EM260" i="25"/>
  <c r="DU260" i="25" s="1"/>
  <c r="EM371" i="25"/>
  <c r="DU371" i="25" s="1"/>
  <c r="EM373" i="25"/>
  <c r="DU373" i="25" s="1"/>
  <c r="EM374" i="25"/>
  <c r="DU374" i="25" s="1"/>
  <c r="EM378" i="25"/>
  <c r="DU378" i="25" s="1"/>
  <c r="EM379" i="25"/>
  <c r="DU379" i="25" s="1"/>
  <c r="EM406" i="25"/>
  <c r="DU406" i="25" s="1"/>
  <c r="EM368" i="25"/>
  <c r="DU368" i="25" s="1"/>
  <c r="EM278" i="25"/>
  <c r="DU278" i="25" s="1"/>
  <c r="EM261" i="25"/>
  <c r="DU261" i="25" s="1"/>
  <c r="EM350" i="25"/>
  <c r="DU350" i="25" s="1"/>
  <c r="EM249" i="25"/>
  <c r="DU249" i="25" s="1"/>
  <c r="EM246" i="25"/>
  <c r="DU246" i="25" s="1"/>
  <c r="EM273" i="25"/>
  <c r="DU273" i="25" s="1"/>
  <c r="EM351" i="25"/>
  <c r="DU351" i="25" s="1"/>
  <c r="EM352" i="25"/>
  <c r="DU352" i="25" s="1"/>
  <c r="EM355" i="25"/>
  <c r="DU355" i="25" s="1"/>
  <c r="EM359" i="25"/>
  <c r="DU359" i="25" s="1"/>
  <c r="EM271" i="25"/>
  <c r="DU271" i="25" s="1"/>
  <c r="EM386" i="25"/>
  <c r="DU386" i="25" s="1"/>
  <c r="EM388" i="25"/>
  <c r="DU388" i="25" s="1"/>
  <c r="EM393" i="25"/>
  <c r="DU393" i="25" s="1"/>
  <c r="EM394" i="25"/>
  <c r="DU394" i="25" s="1"/>
  <c r="EM387" i="25"/>
  <c r="DU387" i="25" s="1"/>
  <c r="EM400" i="25"/>
  <c r="DU400" i="25" s="1"/>
  <c r="EM407" i="25"/>
  <c r="DU407" i="25" s="1"/>
  <c r="EM389" i="25"/>
  <c r="DU389" i="25" s="1"/>
  <c r="EM385" i="25"/>
  <c r="DU385" i="25" s="1"/>
  <c r="EM347" i="25"/>
  <c r="DU347" i="25" s="1"/>
  <c r="EM284" i="25"/>
  <c r="DU284" i="25" s="1"/>
  <c r="EM304" i="25"/>
  <c r="DU304" i="25" s="1"/>
  <c r="EM315" i="25"/>
  <c r="DU315" i="25" s="1"/>
  <c r="EM328" i="25"/>
  <c r="DU328" i="25" s="1"/>
  <c r="EM343" i="25"/>
  <c r="DU343" i="25" s="1"/>
  <c r="EM346" i="25"/>
  <c r="DU346" i="25" s="1"/>
  <c r="EM353" i="25"/>
  <c r="DU353" i="25" s="1"/>
  <c r="EM252" i="25"/>
  <c r="DU252" i="25" s="1"/>
  <c r="EM390" i="25"/>
  <c r="DU390" i="25" s="1"/>
  <c r="EM365" i="25"/>
  <c r="DU365" i="25" s="1"/>
  <c r="EM344" i="25"/>
  <c r="DU344" i="25" s="1"/>
  <c r="EM305" i="25"/>
  <c r="DU305" i="25" s="1"/>
  <c r="EM306" i="25"/>
  <c r="DU306" i="25" s="1"/>
  <c r="EM243" i="25"/>
  <c r="DU243" i="25" s="1"/>
  <c r="EM348" i="25"/>
  <c r="DU348" i="25" s="1"/>
  <c r="EM245" i="25"/>
  <c r="DU245" i="25" s="1"/>
  <c r="EM220" i="25"/>
  <c r="DU220" i="25" s="1"/>
  <c r="EM311" i="25"/>
  <c r="DU311" i="25" s="1"/>
  <c r="EM314" i="25"/>
  <c r="DU314" i="25" s="1"/>
  <c r="EM317" i="25"/>
  <c r="DU317" i="25" s="1"/>
  <c r="EM356" i="25"/>
  <c r="DU356" i="25" s="1"/>
  <c r="EM358" i="25"/>
  <c r="DU358" i="25" s="1"/>
  <c r="EN289" i="25"/>
  <c r="EN232" i="25"/>
  <c r="EN330" i="25"/>
  <c r="EN331" i="25"/>
  <c r="EN233" i="25"/>
  <c r="EN332" i="25"/>
  <c r="EN234" i="25"/>
  <c r="EN291" i="25"/>
  <c r="EN250" i="25"/>
  <c r="EN241" i="25"/>
  <c r="EN229" i="25"/>
  <c r="EN336" i="25"/>
  <c r="EN235" i="25"/>
  <c r="EN294" i="25"/>
  <c r="EN251" i="25"/>
  <c r="EN292" i="25"/>
  <c r="EN223" i="25"/>
  <c r="EN237" i="25"/>
  <c r="EN333" i="25"/>
  <c r="EN238" i="25"/>
  <c r="EN231" i="25"/>
  <c r="EN239" i="25"/>
  <c r="EN290" i="25"/>
  <c r="EN240" i="25"/>
  <c r="EN269" i="25"/>
  <c r="EN270" i="25"/>
  <c r="EN337" i="25"/>
  <c r="EN326" i="25"/>
  <c r="EN327" i="25"/>
  <c r="EN340" i="25"/>
  <c r="EN248" i="25"/>
  <c r="EN345" i="25"/>
  <c r="EN321" i="25"/>
  <c r="EN366" i="25"/>
  <c r="EN367" i="25"/>
  <c r="EN395" i="25"/>
  <c r="EN369" i="25"/>
  <c r="EN370" i="25"/>
  <c r="EN380" i="25"/>
  <c r="EN396" i="25"/>
  <c r="EN372" i="25"/>
  <c r="EN399" i="25"/>
  <c r="EN381" i="25"/>
  <c r="EN382" i="25"/>
  <c r="EN404" i="25"/>
  <c r="EN405" i="25"/>
  <c r="EN375" i="25"/>
  <c r="EN363" i="25"/>
  <c r="EN383" i="25"/>
  <c r="EN376" i="25"/>
  <c r="EN397" i="25"/>
  <c r="EN398" i="25"/>
  <c r="EN384" i="25"/>
  <c r="EN364" i="25"/>
  <c r="EN377" i="25"/>
  <c r="EN258" i="25"/>
  <c r="EN260" i="25"/>
  <c r="EN371" i="25"/>
  <c r="EN373" i="25"/>
  <c r="EN374" i="25"/>
  <c r="EN378" i="25"/>
  <c r="EN379" i="25"/>
  <c r="EN406" i="25"/>
  <c r="EN368" i="25"/>
  <c r="EN278" i="25"/>
  <c r="EN261" i="25"/>
  <c r="EN350" i="25"/>
  <c r="EN249" i="25"/>
  <c r="EN246" i="25"/>
  <c r="EN273" i="25"/>
  <c r="EN351" i="25"/>
  <c r="EN352" i="25"/>
  <c r="EN355" i="25"/>
  <c r="EN359" i="25"/>
  <c r="EN271" i="25"/>
  <c r="EN386" i="25"/>
  <c r="EN388" i="25"/>
  <c r="EN393" i="25"/>
  <c r="EN394" i="25"/>
  <c r="EN387" i="25"/>
  <c r="EN400" i="25"/>
  <c r="EN389" i="25"/>
  <c r="EN385" i="25"/>
  <c r="EN347" i="25"/>
  <c r="EN284" i="25"/>
  <c r="EN304" i="25"/>
  <c r="EN315" i="25"/>
  <c r="EN328" i="25"/>
  <c r="EN343" i="25"/>
  <c r="EN346" i="25"/>
  <c r="EN353" i="25"/>
  <c r="EN252" i="25"/>
  <c r="EN390" i="25"/>
  <c r="EN365" i="25"/>
  <c r="EN344" i="25"/>
  <c r="EN305" i="25"/>
  <c r="EN306" i="25"/>
  <c r="EN243" i="25"/>
  <c r="EN348" i="25"/>
  <c r="EN245" i="25"/>
  <c r="EN220" i="25"/>
  <c r="EN311" i="25"/>
  <c r="EN314" i="25"/>
  <c r="EN317" i="25"/>
  <c r="EN356" i="25"/>
  <c r="EN358" i="25"/>
  <c r="EO289" i="25"/>
  <c r="EO232" i="25"/>
  <c r="EO330" i="25"/>
  <c r="EO331" i="25"/>
  <c r="EO233" i="25"/>
  <c r="EO332" i="25"/>
  <c r="EO234" i="25"/>
  <c r="EO291" i="25"/>
  <c r="EO250" i="25"/>
  <c r="EO241" i="25"/>
  <c r="EO229" i="25"/>
  <c r="EO336" i="25"/>
  <c r="EO235" i="25"/>
  <c r="EO294" i="25"/>
  <c r="EO251" i="25"/>
  <c r="EO292" i="25"/>
  <c r="EO223" i="25"/>
  <c r="EO237" i="25"/>
  <c r="EO333" i="25"/>
  <c r="EO238" i="25"/>
  <c r="EO231" i="25"/>
  <c r="EO239" i="25"/>
  <c r="EO290" i="25"/>
  <c r="EO240" i="25"/>
  <c r="EO269" i="25"/>
  <c r="EO270" i="25"/>
  <c r="EO337" i="25"/>
  <c r="EO326" i="25"/>
  <c r="EO327" i="25"/>
  <c r="EO340" i="25"/>
  <c r="EO248" i="25"/>
  <c r="EO345" i="25"/>
  <c r="EO321" i="25"/>
  <c r="EO366" i="25"/>
  <c r="EO367" i="25"/>
  <c r="EO395" i="25"/>
  <c r="EO369" i="25"/>
  <c r="EO370" i="25"/>
  <c r="EO380" i="25"/>
  <c r="EO396" i="25"/>
  <c r="EO372" i="25"/>
  <c r="EO399" i="25"/>
  <c r="EO381" i="25"/>
  <c r="EO382" i="25"/>
  <c r="EO404" i="25"/>
  <c r="EO405" i="25"/>
  <c r="EO375" i="25"/>
  <c r="EO363" i="25"/>
  <c r="EO383" i="25"/>
  <c r="EO376" i="25"/>
  <c r="EO397" i="25"/>
  <c r="EO398" i="25"/>
  <c r="EO384" i="25"/>
  <c r="EO364" i="25"/>
  <c r="EO377" i="25"/>
  <c r="EO258" i="25"/>
  <c r="EO260" i="25"/>
  <c r="EO371" i="25"/>
  <c r="EO373" i="25"/>
  <c r="EO374" i="25"/>
  <c r="EO378" i="25"/>
  <c r="EO379" i="25"/>
  <c r="EO406" i="25"/>
  <c r="EO368" i="25"/>
  <c r="EO278" i="25"/>
  <c r="EO261" i="25"/>
  <c r="EO350" i="25"/>
  <c r="EO249" i="25"/>
  <c r="EO246" i="25"/>
  <c r="EO273" i="25"/>
  <c r="EO351" i="25"/>
  <c r="EO352" i="25"/>
  <c r="EO355" i="25"/>
  <c r="EO359" i="25"/>
  <c r="EO271" i="25"/>
  <c r="EO386" i="25"/>
  <c r="EO388" i="25"/>
  <c r="EO393" i="25"/>
  <c r="EO394" i="25"/>
  <c r="EO387" i="25"/>
  <c r="EO400" i="25"/>
  <c r="EO389" i="25"/>
  <c r="EO385" i="25"/>
  <c r="EO347" i="25"/>
  <c r="EO284" i="25"/>
  <c r="EO304" i="25"/>
  <c r="EO315" i="25"/>
  <c r="EO328" i="25"/>
  <c r="EO343" i="25"/>
  <c r="EO346" i="25"/>
  <c r="EO353" i="25"/>
  <c r="EO252" i="25"/>
  <c r="EO390" i="25"/>
  <c r="EO365" i="25"/>
  <c r="EO344" i="25"/>
  <c r="EO305" i="25"/>
  <c r="EO306" i="25"/>
  <c r="EO243" i="25"/>
  <c r="EO348" i="25"/>
  <c r="EO245" i="25"/>
  <c r="EO220" i="25"/>
  <c r="EO311" i="25"/>
  <c r="EO314" i="25"/>
  <c r="EO317" i="25"/>
  <c r="EO356" i="25"/>
  <c r="EO358" i="25"/>
  <c r="EP289" i="25"/>
  <c r="EP232" i="25"/>
  <c r="EP330" i="25"/>
  <c r="EP331" i="25"/>
  <c r="EP233" i="25"/>
  <c r="EP332" i="25"/>
  <c r="EP234" i="25"/>
  <c r="EP291" i="25"/>
  <c r="EP250" i="25"/>
  <c r="EP241" i="25"/>
  <c r="EP229" i="25"/>
  <c r="EP336" i="25"/>
  <c r="EP235" i="25"/>
  <c r="EP294" i="25"/>
  <c r="EP251" i="25"/>
  <c r="EP292" i="25"/>
  <c r="EP223" i="25"/>
  <c r="EP237" i="25"/>
  <c r="EP333" i="25"/>
  <c r="EP238" i="25"/>
  <c r="EP231" i="25"/>
  <c r="EP239" i="25"/>
  <c r="EP290" i="25"/>
  <c r="EP240" i="25"/>
  <c r="EP269" i="25"/>
  <c r="EP270" i="25"/>
  <c r="EP337" i="25"/>
  <c r="EP326" i="25"/>
  <c r="EP327" i="25"/>
  <c r="EP340" i="25"/>
  <c r="EP248" i="25"/>
  <c r="EP345" i="25"/>
  <c r="EP321" i="25"/>
  <c r="EP366" i="25"/>
  <c r="EP367" i="25"/>
  <c r="EP395" i="25"/>
  <c r="EP369" i="25"/>
  <c r="EP370" i="25"/>
  <c r="EP380" i="25"/>
  <c r="EP396" i="25"/>
  <c r="EP372" i="25"/>
  <c r="EP399" i="25"/>
  <c r="EP381" i="25"/>
  <c r="EP382" i="25"/>
  <c r="EP404" i="25"/>
  <c r="EP405" i="25"/>
  <c r="EP375" i="25"/>
  <c r="EP363" i="25"/>
  <c r="EP383" i="25"/>
  <c r="EP376" i="25"/>
  <c r="EP397" i="25"/>
  <c r="EP398" i="25"/>
  <c r="EP384" i="25"/>
  <c r="EP364" i="25"/>
  <c r="EP377" i="25"/>
  <c r="EP258" i="25"/>
  <c r="EP260" i="25"/>
  <c r="EP371" i="25"/>
  <c r="EP373" i="25"/>
  <c r="EP374" i="25"/>
  <c r="EP378" i="25"/>
  <c r="EP379" i="25"/>
  <c r="EP406" i="25"/>
  <c r="EP368" i="25"/>
  <c r="EP278" i="25"/>
  <c r="EP261" i="25"/>
  <c r="EP350" i="25"/>
  <c r="EP249" i="25"/>
  <c r="EP246" i="25"/>
  <c r="EP273" i="25"/>
  <c r="EP351" i="25"/>
  <c r="EP352" i="25"/>
  <c r="EP355" i="25"/>
  <c r="EP359" i="25"/>
  <c r="EP271" i="25"/>
  <c r="EP386" i="25"/>
  <c r="EP388" i="25"/>
  <c r="EP393" i="25"/>
  <c r="EP394" i="25"/>
  <c r="EP387" i="25"/>
  <c r="EP400" i="25"/>
  <c r="EP407" i="25"/>
  <c r="EP389" i="25"/>
  <c r="EP385" i="25"/>
  <c r="EP347" i="25"/>
  <c r="EP284" i="25"/>
  <c r="EP304" i="25"/>
  <c r="EP315" i="25"/>
  <c r="EP328" i="25"/>
  <c r="EP343" i="25"/>
  <c r="EP346" i="25"/>
  <c r="EP353" i="25"/>
  <c r="EP252" i="25"/>
  <c r="EP390" i="25"/>
  <c r="EP365" i="25"/>
  <c r="EP344" i="25"/>
  <c r="EP305" i="25"/>
  <c r="EP306" i="25"/>
  <c r="EP243" i="25"/>
  <c r="EP348" i="25"/>
  <c r="EP245" i="25"/>
  <c r="EP220" i="25"/>
  <c r="EP311" i="25"/>
  <c r="EP314" i="25"/>
  <c r="EP317" i="25"/>
  <c r="EP356" i="25"/>
  <c r="EP358" i="25"/>
  <c r="EQ289" i="25"/>
  <c r="EQ232" i="25"/>
  <c r="EQ330" i="25"/>
  <c r="EQ331" i="25"/>
  <c r="EQ233" i="25"/>
  <c r="EQ332" i="25"/>
  <c r="EQ234" i="25"/>
  <c r="EQ291" i="25"/>
  <c r="EQ250" i="25"/>
  <c r="EQ241" i="25"/>
  <c r="EQ229" i="25"/>
  <c r="EQ336" i="25"/>
  <c r="EQ235" i="25"/>
  <c r="EQ294" i="25"/>
  <c r="EQ251" i="25"/>
  <c r="EQ292" i="25"/>
  <c r="EQ223" i="25"/>
  <c r="EQ237" i="25"/>
  <c r="EQ333" i="25"/>
  <c r="EQ238" i="25"/>
  <c r="EQ231" i="25"/>
  <c r="EQ239" i="25"/>
  <c r="EQ290" i="25"/>
  <c r="EQ240" i="25"/>
  <c r="EQ269" i="25"/>
  <c r="EQ270" i="25"/>
  <c r="EQ337" i="25"/>
  <c r="EQ326" i="25"/>
  <c r="EQ327" i="25"/>
  <c r="EQ340" i="25"/>
  <c r="EQ248" i="25"/>
  <c r="EQ345" i="25"/>
  <c r="EQ321" i="25"/>
  <c r="EQ366" i="25"/>
  <c r="EQ367" i="25"/>
  <c r="EQ395" i="25"/>
  <c r="EQ369" i="25"/>
  <c r="EQ370" i="25"/>
  <c r="EQ380" i="25"/>
  <c r="EQ396" i="25"/>
  <c r="EQ372" i="25"/>
  <c r="EQ399" i="25"/>
  <c r="EQ381" i="25"/>
  <c r="EQ382" i="25"/>
  <c r="EQ404" i="25"/>
  <c r="EQ405" i="25"/>
  <c r="EQ375" i="25"/>
  <c r="EQ363" i="25"/>
  <c r="EQ383" i="25"/>
  <c r="EQ376" i="25"/>
  <c r="EQ397" i="25"/>
  <c r="EQ398" i="25"/>
  <c r="EQ384" i="25"/>
  <c r="EQ364" i="25"/>
  <c r="EQ377" i="25"/>
  <c r="EQ258" i="25"/>
  <c r="EQ260" i="25"/>
  <c r="EQ371" i="25"/>
  <c r="EQ373" i="25"/>
  <c r="EQ374" i="25"/>
  <c r="EQ378" i="25"/>
  <c r="EQ379" i="25"/>
  <c r="EQ406" i="25"/>
  <c r="EQ368" i="25"/>
  <c r="EQ278" i="25"/>
  <c r="EQ261" i="25"/>
  <c r="EQ350" i="25"/>
  <c r="EQ249" i="25"/>
  <c r="EQ246" i="25"/>
  <c r="EQ273" i="25"/>
  <c r="EQ351" i="25"/>
  <c r="EQ352" i="25"/>
  <c r="EQ355" i="25"/>
  <c r="EQ359" i="25"/>
  <c r="EQ271" i="25"/>
  <c r="EQ386" i="25"/>
  <c r="EQ388" i="25"/>
  <c r="EQ393" i="25"/>
  <c r="EQ394" i="25"/>
  <c r="EQ387" i="25"/>
  <c r="EQ400" i="25"/>
  <c r="EQ407" i="25"/>
  <c r="EQ389" i="25"/>
  <c r="EQ385" i="25"/>
  <c r="EQ347" i="25"/>
  <c r="EQ284" i="25"/>
  <c r="EQ304" i="25"/>
  <c r="EQ315" i="25"/>
  <c r="EQ328" i="25"/>
  <c r="EQ343" i="25"/>
  <c r="EQ346" i="25"/>
  <c r="EQ353" i="25"/>
  <c r="EQ252" i="25"/>
  <c r="EQ390" i="25"/>
  <c r="EQ365" i="25"/>
  <c r="EQ344" i="25"/>
  <c r="EQ305" i="25"/>
  <c r="EQ306" i="25"/>
  <c r="EQ243" i="25"/>
  <c r="EQ348" i="25"/>
  <c r="EQ245" i="25"/>
  <c r="EQ220" i="25"/>
  <c r="EQ311" i="25"/>
  <c r="EQ314" i="25"/>
  <c r="EQ317" i="25"/>
  <c r="EQ356" i="25"/>
  <c r="EQ358" i="25"/>
  <c r="ET289" i="25"/>
  <c r="ET232" i="25"/>
  <c r="ET330" i="25"/>
  <c r="ET331" i="25"/>
  <c r="ET233" i="25"/>
  <c r="ET332" i="25"/>
  <c r="ET234" i="25"/>
  <c r="ET291" i="25"/>
  <c r="ET250" i="25"/>
  <c r="ET241" i="25"/>
  <c r="ET229" i="25"/>
  <c r="ET336" i="25"/>
  <c r="ET235" i="25"/>
  <c r="ET294" i="25"/>
  <c r="ET251" i="25"/>
  <c r="ET292" i="25"/>
  <c r="ET223" i="25"/>
  <c r="ET237" i="25"/>
  <c r="ET333" i="25"/>
  <c r="ET238" i="25"/>
  <c r="ET231" i="25"/>
  <c r="ET239" i="25"/>
  <c r="ET290" i="25"/>
  <c r="ET240" i="25"/>
  <c r="ET269" i="25"/>
  <c r="ET270" i="25"/>
  <c r="ET337" i="25"/>
  <c r="ET326" i="25"/>
  <c r="ET327" i="25"/>
  <c r="ET340" i="25"/>
  <c r="ET248" i="25"/>
  <c r="ET345" i="25"/>
  <c r="ET321" i="25"/>
  <c r="ET366" i="25"/>
  <c r="ET367" i="25"/>
  <c r="ET395" i="25"/>
  <c r="ET369" i="25"/>
  <c r="ET370" i="25"/>
  <c r="ET380" i="25"/>
  <c r="ET396" i="25"/>
  <c r="ET372" i="25"/>
  <c r="ET399" i="25"/>
  <c r="ET381" i="25"/>
  <c r="ET382" i="25"/>
  <c r="ET404" i="25"/>
  <c r="ET405" i="25"/>
  <c r="ET375" i="25"/>
  <c r="ET363" i="25"/>
  <c r="ET383" i="25"/>
  <c r="ET376" i="25"/>
  <c r="ET397" i="25"/>
  <c r="ET398" i="25"/>
  <c r="ET384" i="25"/>
  <c r="ET364" i="25"/>
  <c r="ET377" i="25"/>
  <c r="ET258" i="25"/>
  <c r="ET260" i="25"/>
  <c r="ET371" i="25"/>
  <c r="ET373" i="25"/>
  <c r="ET374" i="25"/>
  <c r="ET378" i="25"/>
  <c r="ET379" i="25"/>
  <c r="ET406" i="25"/>
  <c r="ET368" i="25"/>
  <c r="ET278" i="25"/>
  <c r="ET261" i="25"/>
  <c r="ET350" i="25"/>
  <c r="ET249" i="25"/>
  <c r="ET246" i="25"/>
  <c r="ET273" i="25"/>
  <c r="ET351" i="25"/>
  <c r="ET352" i="25"/>
  <c r="ET355" i="25"/>
  <c r="ET359" i="25"/>
  <c r="ET271" i="25"/>
  <c r="ET386" i="25"/>
  <c r="ET388" i="25"/>
  <c r="ET393" i="25"/>
  <c r="ET394" i="25"/>
  <c r="ET387" i="25"/>
  <c r="ET400" i="25"/>
  <c r="ET407" i="25"/>
  <c r="ET389" i="25"/>
  <c r="ET385" i="25"/>
  <c r="ET347" i="25"/>
  <c r="ET284" i="25"/>
  <c r="ET304" i="25"/>
  <c r="ET315" i="25"/>
  <c r="ET328" i="25"/>
  <c r="ET343" i="25"/>
  <c r="ET346" i="25"/>
  <c r="ET353" i="25"/>
  <c r="ET252" i="25"/>
  <c r="ET390" i="25"/>
  <c r="ET365" i="25"/>
  <c r="ET344" i="25"/>
  <c r="ET305" i="25"/>
  <c r="ET306" i="25"/>
  <c r="ET243" i="25"/>
  <c r="ET348" i="25"/>
  <c r="ET245" i="25"/>
  <c r="ET220" i="25"/>
  <c r="ET311" i="25"/>
  <c r="ET314" i="25"/>
  <c r="ET317" i="25"/>
  <c r="ET356" i="25"/>
  <c r="ET358" i="25"/>
  <c r="EU289" i="25"/>
  <c r="EU232" i="25"/>
  <c r="EU330" i="25"/>
  <c r="EU331" i="25"/>
  <c r="EU233" i="25"/>
  <c r="EU332" i="25"/>
  <c r="EU234" i="25"/>
  <c r="EU291" i="25"/>
  <c r="EU250" i="25"/>
  <c r="EU241" i="25"/>
  <c r="EU229" i="25"/>
  <c r="EU336" i="25"/>
  <c r="EU235" i="25"/>
  <c r="EU294" i="25"/>
  <c r="EU251" i="25"/>
  <c r="EU292" i="25"/>
  <c r="EU223" i="25"/>
  <c r="EU237" i="25"/>
  <c r="EU333" i="25"/>
  <c r="EU238" i="25"/>
  <c r="EU231" i="25"/>
  <c r="EU239" i="25"/>
  <c r="EU290" i="25"/>
  <c r="EU240" i="25"/>
  <c r="EU269" i="25"/>
  <c r="EU270" i="25"/>
  <c r="EU337" i="25"/>
  <c r="EU326" i="25"/>
  <c r="EU327" i="25"/>
  <c r="EU340" i="25"/>
  <c r="EU248" i="25"/>
  <c r="EU345" i="25"/>
  <c r="EU321" i="25"/>
  <c r="EU366" i="25"/>
  <c r="EU367" i="25"/>
  <c r="EU395" i="25"/>
  <c r="EU369" i="25"/>
  <c r="EU370" i="25"/>
  <c r="EU380" i="25"/>
  <c r="EU396" i="25"/>
  <c r="EU372" i="25"/>
  <c r="EU399" i="25"/>
  <c r="EU381" i="25"/>
  <c r="EU382" i="25"/>
  <c r="EU404" i="25"/>
  <c r="EU405" i="25"/>
  <c r="EU375" i="25"/>
  <c r="EU363" i="25"/>
  <c r="EU383" i="25"/>
  <c r="EU376" i="25"/>
  <c r="EU397" i="25"/>
  <c r="EU398" i="25"/>
  <c r="EU384" i="25"/>
  <c r="EU364" i="25"/>
  <c r="EU377" i="25"/>
  <c r="EU258" i="25"/>
  <c r="EU260" i="25"/>
  <c r="EU371" i="25"/>
  <c r="EU373" i="25"/>
  <c r="EU374" i="25"/>
  <c r="EU378" i="25"/>
  <c r="EU379" i="25"/>
  <c r="EU406" i="25"/>
  <c r="EU368" i="25"/>
  <c r="EU278" i="25"/>
  <c r="EU261" i="25"/>
  <c r="EU350" i="25"/>
  <c r="EU249" i="25"/>
  <c r="EU246" i="25"/>
  <c r="EU273" i="25"/>
  <c r="EU351" i="25"/>
  <c r="EU352" i="25"/>
  <c r="EU355" i="25"/>
  <c r="EU359" i="25"/>
  <c r="EU271" i="25"/>
  <c r="EU386" i="25"/>
  <c r="EU388" i="25"/>
  <c r="EU393" i="25"/>
  <c r="EU394" i="25"/>
  <c r="EU387" i="25"/>
  <c r="EU400" i="25"/>
  <c r="EU407" i="25"/>
  <c r="EU389" i="25"/>
  <c r="EU385" i="25"/>
  <c r="EU347" i="25"/>
  <c r="EU284" i="25"/>
  <c r="EU304" i="25"/>
  <c r="EU315" i="25"/>
  <c r="EU328" i="25"/>
  <c r="EU343" i="25"/>
  <c r="EU346" i="25"/>
  <c r="EU353" i="25"/>
  <c r="EU252" i="25"/>
  <c r="EU390" i="25"/>
  <c r="EU365" i="25"/>
  <c r="EU344" i="25"/>
  <c r="EU305" i="25"/>
  <c r="EU306" i="25"/>
  <c r="EU243" i="25"/>
  <c r="EU348" i="25"/>
  <c r="EU245" i="25"/>
  <c r="EU220" i="25"/>
  <c r="EU311" i="25"/>
  <c r="EU314" i="25"/>
  <c r="EU317" i="25"/>
  <c r="EU356" i="25"/>
  <c r="EU358" i="25"/>
  <c r="S53" i="25"/>
  <c r="R53" i="25"/>
  <c r="S132" i="25"/>
  <c r="R132" i="25"/>
  <c r="CE178" i="25"/>
  <c r="CE177" i="25"/>
  <c r="CE179" i="25"/>
  <c r="CE180" i="25"/>
  <c r="CE194" i="25"/>
  <c r="CE195" i="25"/>
  <c r="CE198" i="25"/>
  <c r="CE196" i="25"/>
  <c r="CE197" i="25"/>
  <c r="CE200" i="25"/>
  <c r="CE203" i="25"/>
  <c r="CE205" i="25"/>
  <c r="CE201" i="25"/>
  <c r="CE199" i="25"/>
  <c r="CE204" i="25"/>
  <c r="CE202" i="25"/>
  <c r="CE181" i="25"/>
  <c r="CE182" i="25"/>
  <c r="CE183" i="25"/>
  <c r="CE185" i="25"/>
  <c r="CE186" i="25"/>
  <c r="CE187" i="25"/>
  <c r="CE188" i="25"/>
  <c r="CE189" i="25"/>
  <c r="CE190" i="25"/>
  <c r="CE191" i="25"/>
  <c r="CF178" i="25"/>
  <c r="CF177" i="25"/>
  <c r="CF179" i="25"/>
  <c r="CF180" i="25"/>
  <c r="CF194" i="25"/>
  <c r="CF195" i="25"/>
  <c r="CF198" i="25"/>
  <c r="CF196" i="25"/>
  <c r="CF197" i="25"/>
  <c r="CF200" i="25"/>
  <c r="CF203" i="25"/>
  <c r="CF205" i="25"/>
  <c r="CF201" i="25"/>
  <c r="CF199" i="25"/>
  <c r="CF204" i="25"/>
  <c r="CF202" i="25"/>
  <c r="CF181" i="25"/>
  <c r="CF182" i="25"/>
  <c r="CF183" i="25"/>
  <c r="CF185" i="25"/>
  <c r="CF186" i="25"/>
  <c r="CF187" i="25"/>
  <c r="CF188" i="25"/>
  <c r="CF189" i="25"/>
  <c r="CF190" i="25"/>
  <c r="CF191" i="25"/>
  <c r="CH178" i="25"/>
  <c r="CH177" i="25"/>
  <c r="CH179" i="25"/>
  <c r="CH180" i="25"/>
  <c r="CH194" i="25"/>
  <c r="CH195" i="25"/>
  <c r="CH198" i="25"/>
  <c r="CH196" i="25"/>
  <c r="CH197" i="25"/>
  <c r="CH200" i="25"/>
  <c r="CH203" i="25"/>
  <c r="CH205" i="25"/>
  <c r="CH201" i="25"/>
  <c r="CH199" i="25"/>
  <c r="CH204" i="25"/>
  <c r="CH202" i="25"/>
  <c r="CH181" i="25"/>
  <c r="CH182" i="25"/>
  <c r="CH183" i="25"/>
  <c r="CH185" i="25"/>
  <c r="CH186" i="25"/>
  <c r="CH187" i="25"/>
  <c r="CH188" i="25"/>
  <c r="CH189" i="25"/>
  <c r="CH190" i="25"/>
  <c r="CH191" i="25"/>
  <c r="CI178" i="25"/>
  <c r="CI177" i="25"/>
  <c r="CI179" i="25"/>
  <c r="CI180" i="25"/>
  <c r="CI194" i="25"/>
  <c r="CI195" i="25"/>
  <c r="CI198" i="25"/>
  <c r="CI196" i="25"/>
  <c r="CI197" i="25"/>
  <c r="CI200" i="25"/>
  <c r="CI203" i="25"/>
  <c r="CI205" i="25"/>
  <c r="CI201" i="25"/>
  <c r="CI199" i="25"/>
  <c r="CI204" i="25"/>
  <c r="CI202" i="25"/>
  <c r="CI181" i="25"/>
  <c r="CI182" i="25"/>
  <c r="CI183" i="25"/>
  <c r="CI185" i="25"/>
  <c r="CI186" i="25"/>
  <c r="CI187" i="25"/>
  <c r="CI188" i="25"/>
  <c r="CI189" i="25"/>
  <c r="CI190" i="25"/>
  <c r="CI191" i="25"/>
  <c r="CJ178" i="25"/>
  <c r="CJ177" i="25"/>
  <c r="CJ179" i="25"/>
  <c r="CJ180" i="25"/>
  <c r="CJ194" i="25"/>
  <c r="CJ195" i="25"/>
  <c r="CJ198" i="25"/>
  <c r="CJ196" i="25"/>
  <c r="CJ197" i="25"/>
  <c r="CJ200" i="25"/>
  <c r="CJ203" i="25"/>
  <c r="CJ205" i="25"/>
  <c r="CJ201" i="25"/>
  <c r="CJ199" i="25"/>
  <c r="CJ204" i="25"/>
  <c r="CJ202" i="25"/>
  <c r="CJ181" i="25"/>
  <c r="CJ182" i="25"/>
  <c r="CJ183" i="25"/>
  <c r="CJ185" i="25"/>
  <c r="CJ186" i="25"/>
  <c r="CJ187" i="25"/>
  <c r="CJ188" i="25"/>
  <c r="CJ189" i="25"/>
  <c r="CJ190" i="25"/>
  <c r="CJ191" i="25"/>
  <c r="CK178" i="25"/>
  <c r="CK177" i="25"/>
  <c r="CK179" i="25"/>
  <c r="CK180" i="25"/>
  <c r="CK194" i="25"/>
  <c r="CK195" i="25"/>
  <c r="CK198" i="25"/>
  <c r="CK196" i="25"/>
  <c r="CK197" i="25"/>
  <c r="CK200" i="25"/>
  <c r="CK203" i="25"/>
  <c r="CK205" i="25"/>
  <c r="CK201" i="25"/>
  <c r="CK199" i="25"/>
  <c r="CK204" i="25"/>
  <c r="CK202" i="25"/>
  <c r="CK181" i="25"/>
  <c r="CK182" i="25"/>
  <c r="CK183" i="25"/>
  <c r="CK185" i="25"/>
  <c r="CK186" i="25"/>
  <c r="CK187" i="25"/>
  <c r="CK188" i="25"/>
  <c r="CK189" i="25"/>
  <c r="CK190" i="25"/>
  <c r="CK191" i="25"/>
  <c r="CL178" i="25"/>
  <c r="CL177" i="25"/>
  <c r="CL179" i="25"/>
  <c r="CL180" i="25"/>
  <c r="CL194" i="25"/>
  <c r="CL195" i="25"/>
  <c r="CL198" i="25"/>
  <c r="CL196" i="25"/>
  <c r="CL197" i="25"/>
  <c r="CL200" i="25"/>
  <c r="CL203" i="25"/>
  <c r="CL205" i="25"/>
  <c r="CL201" i="25"/>
  <c r="CL199" i="25"/>
  <c r="CL204" i="25"/>
  <c r="CL202" i="25"/>
  <c r="CL181" i="25"/>
  <c r="CL182" i="25"/>
  <c r="CL183" i="25"/>
  <c r="CL185" i="25"/>
  <c r="CL186" i="25"/>
  <c r="CL187" i="25"/>
  <c r="CL188" i="25"/>
  <c r="CL189" i="25"/>
  <c r="CL190" i="25"/>
  <c r="CL191" i="25"/>
  <c r="CM178" i="25"/>
  <c r="CM177" i="25"/>
  <c r="CM179" i="25"/>
  <c r="CM180" i="25"/>
  <c r="CM194" i="25"/>
  <c r="CM195" i="25"/>
  <c r="CM198" i="25"/>
  <c r="CM196" i="25"/>
  <c r="CM197" i="25"/>
  <c r="CM200" i="25"/>
  <c r="CM203" i="25"/>
  <c r="CM205" i="25"/>
  <c r="CM201" i="25"/>
  <c r="CM199" i="25"/>
  <c r="CM204" i="25"/>
  <c r="CM202" i="25"/>
  <c r="CM181" i="25"/>
  <c r="CM182" i="25"/>
  <c r="CM183" i="25"/>
  <c r="CM185" i="25"/>
  <c r="CM186" i="25"/>
  <c r="CM187" i="25"/>
  <c r="CM188" i="25"/>
  <c r="CM189" i="25"/>
  <c r="CM190" i="25"/>
  <c r="CM191" i="25"/>
  <c r="CN178" i="25"/>
  <c r="CN177" i="25"/>
  <c r="CN179" i="25"/>
  <c r="CN180" i="25"/>
  <c r="CN194" i="25"/>
  <c r="CN195" i="25"/>
  <c r="CN198" i="25"/>
  <c r="CN196" i="25"/>
  <c r="CN197" i="25"/>
  <c r="CN200" i="25"/>
  <c r="CN203" i="25"/>
  <c r="CN205" i="25"/>
  <c r="CN201" i="25"/>
  <c r="CN199" i="25"/>
  <c r="CN204" i="25"/>
  <c r="CN202" i="25"/>
  <c r="CN181" i="25"/>
  <c r="CN182" i="25"/>
  <c r="CN183" i="25"/>
  <c r="CN185" i="25"/>
  <c r="CN186" i="25"/>
  <c r="CN187" i="25"/>
  <c r="CN188" i="25"/>
  <c r="CN189" i="25"/>
  <c r="CN190" i="25"/>
  <c r="CN191" i="25"/>
  <c r="CT178" i="25"/>
  <c r="CU178" i="25" s="1"/>
  <c r="CT177" i="25"/>
  <c r="CU177" i="25" s="1"/>
  <c r="CT179" i="25"/>
  <c r="CU179" i="25" s="1"/>
  <c r="CT180" i="25"/>
  <c r="CU180" i="25" s="1"/>
  <c r="CT194" i="25"/>
  <c r="CU194" i="25" s="1"/>
  <c r="CT195" i="25"/>
  <c r="CU195" i="25" s="1"/>
  <c r="CT198" i="25"/>
  <c r="CU198" i="25" s="1"/>
  <c r="CT196" i="25"/>
  <c r="CU196" i="25" s="1"/>
  <c r="CT197" i="25"/>
  <c r="CU197" i="25" s="1"/>
  <c r="CT200" i="25"/>
  <c r="CU200" i="25" s="1"/>
  <c r="CT203" i="25"/>
  <c r="CU203" i="25" s="1"/>
  <c r="CT205" i="25"/>
  <c r="CU205" i="25" s="1"/>
  <c r="CT201" i="25"/>
  <c r="CU201" i="25" s="1"/>
  <c r="CT199" i="25"/>
  <c r="CU199" i="25" s="1"/>
  <c r="CT204" i="25"/>
  <c r="CU204" i="25" s="1"/>
  <c r="CT202" i="25"/>
  <c r="CU202" i="25" s="1"/>
  <c r="CT181" i="25"/>
  <c r="CU181" i="25" s="1"/>
  <c r="CT182" i="25"/>
  <c r="CU182" i="25" s="1"/>
  <c r="CT183" i="25"/>
  <c r="CU183" i="25" s="1"/>
  <c r="CT185" i="25"/>
  <c r="CU185" i="25" s="1"/>
  <c r="CT186" i="25"/>
  <c r="CU186" i="25" s="1"/>
  <c r="CT187" i="25"/>
  <c r="CU187" i="25" s="1"/>
  <c r="CT188" i="25"/>
  <c r="CU188" i="25" s="1"/>
  <c r="CT189" i="25"/>
  <c r="CU189" i="25" s="1"/>
  <c r="CT190" i="25"/>
  <c r="CU190" i="25" s="1"/>
  <c r="CT191" i="25"/>
  <c r="CU191" i="25" s="1"/>
  <c r="DB178" i="25"/>
  <c r="DB177" i="25"/>
  <c r="DB179" i="25"/>
  <c r="DB180" i="25"/>
  <c r="DB194" i="25"/>
  <c r="DB195" i="25"/>
  <c r="DB198" i="25"/>
  <c r="DB196" i="25"/>
  <c r="DB197" i="25"/>
  <c r="DB200" i="25"/>
  <c r="DB203" i="25"/>
  <c r="DB205" i="25"/>
  <c r="DB201" i="25"/>
  <c r="DB199" i="25"/>
  <c r="DB204" i="25"/>
  <c r="DB202" i="25"/>
  <c r="DB181" i="25"/>
  <c r="DB182" i="25"/>
  <c r="DB183" i="25"/>
  <c r="DB185" i="25"/>
  <c r="DB186" i="25"/>
  <c r="DB187" i="25"/>
  <c r="DB188" i="25"/>
  <c r="DB189" i="25"/>
  <c r="DB190" i="25"/>
  <c r="DB191" i="25"/>
  <c r="DC178" i="25"/>
  <c r="DE178" i="25" s="1"/>
  <c r="DD178" i="25" s="1"/>
  <c r="DK178" i="25" s="1"/>
  <c r="DC177" i="25"/>
  <c r="DE177" i="25" s="1"/>
  <c r="DD177" i="25" s="1"/>
  <c r="DK177" i="25" s="1"/>
  <c r="DC179" i="25"/>
  <c r="DC180" i="25"/>
  <c r="DC194" i="25"/>
  <c r="DC195" i="25"/>
  <c r="DC198" i="25"/>
  <c r="DC196" i="25"/>
  <c r="DC197" i="25"/>
  <c r="DC200" i="25"/>
  <c r="DC203" i="25"/>
  <c r="DC205" i="25"/>
  <c r="DC201" i="25"/>
  <c r="DC199" i="25"/>
  <c r="DC204" i="25"/>
  <c r="DC202" i="25"/>
  <c r="DC181" i="25"/>
  <c r="DC182" i="25"/>
  <c r="DC183" i="25"/>
  <c r="DC185" i="25"/>
  <c r="DC186" i="25"/>
  <c r="DC187" i="25"/>
  <c r="DC188" i="25"/>
  <c r="DC189" i="25"/>
  <c r="DC190" i="25"/>
  <c r="DC191" i="25"/>
  <c r="DG178" i="25"/>
  <c r="DG177" i="25"/>
  <c r="DG179" i="25"/>
  <c r="DG180" i="25"/>
  <c r="DG194" i="25"/>
  <c r="DG195" i="25"/>
  <c r="DG198" i="25"/>
  <c r="DG196" i="25"/>
  <c r="DG197" i="25"/>
  <c r="DG200" i="25"/>
  <c r="DG203" i="25"/>
  <c r="DG205" i="25"/>
  <c r="DG201" i="25"/>
  <c r="DG199" i="25"/>
  <c r="DG204" i="25"/>
  <c r="DG202" i="25"/>
  <c r="DG181" i="25"/>
  <c r="DG182" i="25"/>
  <c r="DG183" i="25"/>
  <c r="DG185" i="25"/>
  <c r="DG186" i="25"/>
  <c r="DG187" i="25"/>
  <c r="DG188" i="25"/>
  <c r="DG189" i="25"/>
  <c r="DG190" i="25"/>
  <c r="DG191" i="25"/>
  <c r="DH178" i="25"/>
  <c r="DH177" i="25"/>
  <c r="DH179" i="25"/>
  <c r="DH180" i="25"/>
  <c r="DH194" i="25"/>
  <c r="DH195" i="25"/>
  <c r="DH198" i="25"/>
  <c r="DH196" i="25"/>
  <c r="DH197" i="25"/>
  <c r="DH200" i="25"/>
  <c r="DH203" i="25"/>
  <c r="DH205" i="25"/>
  <c r="DH201" i="25"/>
  <c r="DH199" i="25"/>
  <c r="DH204" i="25"/>
  <c r="DH202" i="25"/>
  <c r="DH181" i="25"/>
  <c r="DH182" i="25"/>
  <c r="DH183" i="25"/>
  <c r="DH185" i="25"/>
  <c r="DH186" i="25"/>
  <c r="DH187" i="25"/>
  <c r="DH188" i="25"/>
  <c r="DH189" i="25"/>
  <c r="DH190" i="25"/>
  <c r="DH191" i="25"/>
  <c r="DL178" i="25"/>
  <c r="DL177" i="25"/>
  <c r="DL179" i="25"/>
  <c r="DL180" i="25"/>
  <c r="DL194" i="25"/>
  <c r="DL195" i="25"/>
  <c r="DL198" i="25"/>
  <c r="DL196" i="25"/>
  <c r="DL197" i="25"/>
  <c r="DL200" i="25"/>
  <c r="DL203" i="25"/>
  <c r="DL205" i="25"/>
  <c r="DL201" i="25"/>
  <c r="DL199" i="25"/>
  <c r="DL204" i="25"/>
  <c r="DL202" i="25"/>
  <c r="DL181" i="25"/>
  <c r="DL182" i="25"/>
  <c r="DL183" i="25"/>
  <c r="DL185" i="25"/>
  <c r="DL186" i="25"/>
  <c r="DL187" i="25"/>
  <c r="DL188" i="25"/>
  <c r="DL189" i="25"/>
  <c r="DL190" i="25"/>
  <c r="DL191" i="25"/>
  <c r="DM178" i="25"/>
  <c r="DM177" i="25"/>
  <c r="DT177" i="25" s="1"/>
  <c r="DM179" i="25"/>
  <c r="DT179" i="25" s="1"/>
  <c r="DM180" i="25"/>
  <c r="DM194" i="25"/>
  <c r="DM195" i="25"/>
  <c r="DM198" i="25"/>
  <c r="DT198" i="25" s="1"/>
  <c r="DM196" i="25"/>
  <c r="DT196" i="25" s="1"/>
  <c r="DM197" i="25"/>
  <c r="DT197" i="25" s="1"/>
  <c r="DM200" i="25"/>
  <c r="DT200" i="25" s="1"/>
  <c r="DM203" i="25"/>
  <c r="DT203" i="25" s="1"/>
  <c r="DM205" i="25"/>
  <c r="DT205" i="25" s="1"/>
  <c r="DM201" i="25"/>
  <c r="DT201" i="25" s="1"/>
  <c r="DM199" i="25"/>
  <c r="DT199" i="25" s="1"/>
  <c r="DM204" i="25"/>
  <c r="DT204" i="25" s="1"/>
  <c r="DM202" i="25"/>
  <c r="DT202" i="25" s="1"/>
  <c r="DM181" i="25"/>
  <c r="DT181" i="25" s="1"/>
  <c r="DM182" i="25"/>
  <c r="DT182" i="25" s="1"/>
  <c r="DM183" i="25"/>
  <c r="DT183" i="25" s="1"/>
  <c r="DM185" i="25"/>
  <c r="DT185" i="25" s="1"/>
  <c r="DM186" i="25"/>
  <c r="DM187" i="25"/>
  <c r="DT187" i="25" s="1"/>
  <c r="DM188" i="25"/>
  <c r="DT188" i="25" s="1"/>
  <c r="DM189" i="25"/>
  <c r="DT189" i="25" s="1"/>
  <c r="DM190" i="25"/>
  <c r="DT190" i="25" s="1"/>
  <c r="DM191" i="25"/>
  <c r="DT191" i="25" s="1"/>
  <c r="DN178" i="25"/>
  <c r="DN177" i="25"/>
  <c r="DN179" i="25"/>
  <c r="DN180" i="25"/>
  <c r="DN194" i="25"/>
  <c r="DN195" i="25"/>
  <c r="DN198" i="25"/>
  <c r="DN196" i="25"/>
  <c r="DN197" i="25"/>
  <c r="DN200" i="25"/>
  <c r="DN203" i="25"/>
  <c r="DN205" i="25"/>
  <c r="DN201" i="25"/>
  <c r="DN199" i="25"/>
  <c r="DN204" i="25"/>
  <c r="DN202" i="25"/>
  <c r="DN181" i="25"/>
  <c r="DN182" i="25"/>
  <c r="DN183" i="25"/>
  <c r="DN185" i="25"/>
  <c r="DN186" i="25"/>
  <c r="DN187" i="25"/>
  <c r="DN188" i="25"/>
  <c r="DN189" i="25"/>
  <c r="DN190" i="25"/>
  <c r="DN191" i="25"/>
  <c r="DO178" i="25"/>
  <c r="DO177" i="25"/>
  <c r="DO179" i="25"/>
  <c r="DO180" i="25"/>
  <c r="DO194" i="25"/>
  <c r="DO195" i="25"/>
  <c r="DO198" i="25"/>
  <c r="DO196" i="25"/>
  <c r="DO197" i="25"/>
  <c r="DO200" i="25"/>
  <c r="DO203" i="25"/>
  <c r="DO205" i="25"/>
  <c r="DO201" i="25"/>
  <c r="DO199" i="25"/>
  <c r="DO204" i="25"/>
  <c r="DO202" i="25"/>
  <c r="DO181" i="25"/>
  <c r="DO182" i="25"/>
  <c r="DO183" i="25"/>
  <c r="DO185" i="25"/>
  <c r="DO186" i="25"/>
  <c r="DO187" i="25"/>
  <c r="DO188" i="25"/>
  <c r="DO189" i="25"/>
  <c r="DO190" i="25"/>
  <c r="DO191" i="25"/>
  <c r="DV178" i="25"/>
  <c r="DV177" i="25"/>
  <c r="DV179" i="25"/>
  <c r="DV180" i="25"/>
  <c r="DV194" i="25"/>
  <c r="DV195" i="25"/>
  <c r="DV198" i="25"/>
  <c r="DV196" i="25"/>
  <c r="DV197" i="25"/>
  <c r="DV200" i="25"/>
  <c r="DV203" i="25"/>
  <c r="DV205" i="25"/>
  <c r="DV201" i="25"/>
  <c r="DV199" i="25"/>
  <c r="DV204" i="25"/>
  <c r="DV202" i="25"/>
  <c r="DV181" i="25"/>
  <c r="DV182" i="25"/>
  <c r="DV183" i="25"/>
  <c r="DV185" i="25"/>
  <c r="DV186" i="25"/>
  <c r="DV187" i="25"/>
  <c r="DV188" i="25"/>
  <c r="DV189" i="25"/>
  <c r="DV190" i="25"/>
  <c r="DV191" i="25"/>
  <c r="DW178" i="25"/>
  <c r="DZ178" i="25" s="1"/>
  <c r="DW177" i="25"/>
  <c r="DW179" i="25"/>
  <c r="DX179" i="25" s="1"/>
  <c r="DW180" i="25"/>
  <c r="DX180" i="25" s="1"/>
  <c r="DW194" i="25"/>
  <c r="DX194" i="25" s="1"/>
  <c r="DW195" i="25"/>
  <c r="DX195" i="25" s="1"/>
  <c r="DW198" i="25"/>
  <c r="DW196" i="25"/>
  <c r="DZ196" i="25" s="1"/>
  <c r="DW197" i="25"/>
  <c r="DZ197" i="25" s="1"/>
  <c r="DW200" i="25"/>
  <c r="DW203" i="25"/>
  <c r="DZ203" i="25" s="1"/>
  <c r="DW205" i="25"/>
  <c r="DX205" i="25" s="1"/>
  <c r="DW201" i="25"/>
  <c r="DX201" i="25" s="1"/>
  <c r="DW199" i="25"/>
  <c r="DW204" i="25"/>
  <c r="DZ204" i="25" s="1"/>
  <c r="DW202" i="25"/>
  <c r="DX202" i="25" s="1"/>
  <c r="DW181" i="25"/>
  <c r="DW182" i="25"/>
  <c r="DX182" i="25" s="1"/>
  <c r="DW183" i="25"/>
  <c r="DX183" i="25" s="1"/>
  <c r="DW185" i="25"/>
  <c r="DZ185" i="25" s="1"/>
  <c r="DW186" i="25"/>
  <c r="DX186" i="25" s="1"/>
  <c r="DW187" i="25"/>
  <c r="DW188" i="25"/>
  <c r="DZ188" i="25" s="1"/>
  <c r="DW189" i="25"/>
  <c r="DZ189" i="25" s="1"/>
  <c r="DW190" i="25"/>
  <c r="DW191" i="25"/>
  <c r="DX191" i="25" s="1"/>
  <c r="DY178" i="25"/>
  <c r="DY177" i="25"/>
  <c r="DY179" i="25"/>
  <c r="DY180" i="25"/>
  <c r="DY194" i="25"/>
  <c r="DY195" i="25"/>
  <c r="DY198" i="25"/>
  <c r="DY196" i="25"/>
  <c r="DY197" i="25"/>
  <c r="DY200" i="25"/>
  <c r="DY203" i="25"/>
  <c r="DY205" i="25"/>
  <c r="DY201" i="25"/>
  <c r="DY199" i="25"/>
  <c r="DY204" i="25"/>
  <c r="DY202" i="25"/>
  <c r="DY181" i="25"/>
  <c r="DY182" i="25"/>
  <c r="DY183" i="25"/>
  <c r="DY185" i="25"/>
  <c r="DY186" i="25"/>
  <c r="DY187" i="25"/>
  <c r="DY188" i="25"/>
  <c r="DY189" i="25"/>
  <c r="DY190" i="25"/>
  <c r="DY191" i="25"/>
  <c r="EA178" i="25"/>
  <c r="EA177" i="25"/>
  <c r="EA179" i="25"/>
  <c r="EA180" i="25"/>
  <c r="EA194" i="25"/>
  <c r="EA195" i="25"/>
  <c r="EA198" i="25"/>
  <c r="EA196" i="25"/>
  <c r="EA197" i="25"/>
  <c r="EA200" i="25"/>
  <c r="EA203" i="25"/>
  <c r="EA205" i="25"/>
  <c r="EA201" i="25"/>
  <c r="EA199" i="25"/>
  <c r="EA204" i="25"/>
  <c r="EA202" i="25"/>
  <c r="EA181" i="25"/>
  <c r="EA182" i="25"/>
  <c r="EA183" i="25"/>
  <c r="EA185" i="25"/>
  <c r="EA186" i="25"/>
  <c r="EA187" i="25"/>
  <c r="EA188" i="25"/>
  <c r="EA189" i="25"/>
  <c r="EA190" i="25"/>
  <c r="EA191" i="25"/>
  <c r="EB178" i="25"/>
  <c r="EB177" i="25"/>
  <c r="EB179" i="25"/>
  <c r="EB180" i="25"/>
  <c r="EB194" i="25"/>
  <c r="EB195" i="25"/>
  <c r="EB198" i="25"/>
  <c r="EB196" i="25"/>
  <c r="EB197" i="25"/>
  <c r="EB200" i="25"/>
  <c r="EB203" i="25"/>
  <c r="EB205" i="25"/>
  <c r="EB201" i="25"/>
  <c r="EB199" i="25"/>
  <c r="EB204" i="25"/>
  <c r="EB202" i="25"/>
  <c r="EB181" i="25"/>
  <c r="EB182" i="25"/>
  <c r="EB183" i="25"/>
  <c r="EB185" i="25"/>
  <c r="EB186" i="25"/>
  <c r="EB187" i="25"/>
  <c r="EB188" i="25"/>
  <c r="EB189" i="25"/>
  <c r="EB190" i="25"/>
  <c r="EB191" i="25"/>
  <c r="EC178" i="25"/>
  <c r="EC177" i="25"/>
  <c r="EC179" i="25"/>
  <c r="EC180" i="25"/>
  <c r="EC194" i="25"/>
  <c r="EC195" i="25"/>
  <c r="EC198" i="25"/>
  <c r="EC196" i="25"/>
  <c r="EC197" i="25"/>
  <c r="EC200" i="25"/>
  <c r="EC203" i="25"/>
  <c r="EC205" i="25"/>
  <c r="EC201" i="25"/>
  <c r="EC199" i="25"/>
  <c r="EC204" i="25"/>
  <c r="EC202" i="25"/>
  <c r="EC181" i="25"/>
  <c r="EC182" i="25"/>
  <c r="EC183" i="25"/>
  <c r="EC185" i="25"/>
  <c r="EC186" i="25"/>
  <c r="EC187" i="25"/>
  <c r="EC188" i="25"/>
  <c r="EC189" i="25"/>
  <c r="EC190" i="25"/>
  <c r="EC191" i="25"/>
  <c r="ED178" i="25"/>
  <c r="ED177" i="25"/>
  <c r="ED179" i="25"/>
  <c r="ED180" i="25"/>
  <c r="ED194" i="25"/>
  <c r="ED195" i="25"/>
  <c r="ED198" i="25"/>
  <c r="ED196" i="25"/>
  <c r="ED197" i="25"/>
  <c r="ED200" i="25"/>
  <c r="ED203" i="25"/>
  <c r="ED205" i="25"/>
  <c r="ED201" i="25"/>
  <c r="ED199" i="25"/>
  <c r="ED204" i="25"/>
  <c r="ED202" i="25"/>
  <c r="ED181" i="25"/>
  <c r="ED182" i="25"/>
  <c r="ED183" i="25"/>
  <c r="ED185" i="25"/>
  <c r="ED186" i="25"/>
  <c r="ED187" i="25"/>
  <c r="ED188" i="25"/>
  <c r="ED189" i="25"/>
  <c r="ED190" i="25"/>
  <c r="ED191" i="25"/>
  <c r="EE178" i="25"/>
  <c r="EE177" i="25"/>
  <c r="EE179" i="25"/>
  <c r="EE180" i="25"/>
  <c r="EE194" i="25"/>
  <c r="EE195" i="25"/>
  <c r="EE198" i="25"/>
  <c r="EE196" i="25"/>
  <c r="EE197" i="25"/>
  <c r="EE200" i="25"/>
  <c r="EE203" i="25"/>
  <c r="EE205" i="25"/>
  <c r="EE201" i="25"/>
  <c r="EE199" i="25"/>
  <c r="EE204" i="25"/>
  <c r="EE202" i="25"/>
  <c r="EE181" i="25"/>
  <c r="EE182" i="25"/>
  <c r="EE183" i="25"/>
  <c r="EE185" i="25"/>
  <c r="EE186" i="25"/>
  <c r="EE187" i="25"/>
  <c r="EE188" i="25"/>
  <c r="EE189" i="25"/>
  <c r="EE190" i="25"/>
  <c r="EE191" i="25"/>
  <c r="EI178" i="25"/>
  <c r="EI177" i="25"/>
  <c r="EI179" i="25"/>
  <c r="EI180" i="25"/>
  <c r="EI194" i="25"/>
  <c r="EI195" i="25"/>
  <c r="EI198" i="25"/>
  <c r="EI196" i="25"/>
  <c r="EI197" i="25"/>
  <c r="EI200" i="25"/>
  <c r="EI203" i="25"/>
  <c r="EI205" i="25"/>
  <c r="EI201" i="25"/>
  <c r="EI199" i="25"/>
  <c r="EI204" i="25"/>
  <c r="EI202" i="25"/>
  <c r="EI181" i="25"/>
  <c r="EI182" i="25"/>
  <c r="EI183" i="25"/>
  <c r="EI185" i="25"/>
  <c r="EI186" i="25"/>
  <c r="EI187" i="25"/>
  <c r="EI188" i="25"/>
  <c r="EI189" i="25"/>
  <c r="EI190" i="25"/>
  <c r="EI191" i="25"/>
  <c r="EJ178" i="25"/>
  <c r="EJ177" i="25"/>
  <c r="EJ179" i="25"/>
  <c r="EJ180" i="25"/>
  <c r="EJ194" i="25"/>
  <c r="EJ195" i="25"/>
  <c r="EJ198" i="25"/>
  <c r="EJ196" i="25"/>
  <c r="EJ197" i="25"/>
  <c r="EJ200" i="25"/>
  <c r="EJ203" i="25"/>
  <c r="EJ205" i="25"/>
  <c r="EJ201" i="25"/>
  <c r="EJ199" i="25"/>
  <c r="EJ204" i="25"/>
  <c r="EJ202" i="25"/>
  <c r="EJ181" i="25"/>
  <c r="EJ182" i="25"/>
  <c r="EJ183" i="25"/>
  <c r="EJ185" i="25"/>
  <c r="EJ186" i="25"/>
  <c r="EJ187" i="25"/>
  <c r="EJ188" i="25"/>
  <c r="EJ189" i="25"/>
  <c r="EJ190" i="25"/>
  <c r="EJ191" i="25"/>
  <c r="EK179" i="25"/>
  <c r="DI179" i="25" s="1"/>
  <c r="DJ179" i="25" s="1"/>
  <c r="EK180" i="25"/>
  <c r="EK194" i="25"/>
  <c r="EK195" i="25"/>
  <c r="DE195" i="25" s="1"/>
  <c r="DD195" i="25" s="1"/>
  <c r="DK195" i="25" s="1"/>
  <c r="EK198" i="25"/>
  <c r="DI198" i="25" s="1"/>
  <c r="DJ198" i="25" s="1"/>
  <c r="EK196" i="25"/>
  <c r="EK197" i="25"/>
  <c r="EK200" i="25"/>
  <c r="EK203" i="25"/>
  <c r="DI203" i="25" s="1"/>
  <c r="DJ203" i="25" s="1"/>
  <c r="EK205" i="25"/>
  <c r="DE205" i="25" s="1"/>
  <c r="DD205" i="25" s="1"/>
  <c r="DK205" i="25" s="1"/>
  <c r="EK201" i="25"/>
  <c r="EK199" i="25"/>
  <c r="DI199" i="25" s="1"/>
  <c r="DJ199" i="25" s="1"/>
  <c r="EK204" i="25"/>
  <c r="EK202" i="25"/>
  <c r="DE202" i="25" s="1"/>
  <c r="DD202" i="25" s="1"/>
  <c r="DK202" i="25" s="1"/>
  <c r="EK181" i="25"/>
  <c r="EK182" i="25"/>
  <c r="DI182" i="25" s="1"/>
  <c r="DJ182" i="25" s="1"/>
  <c r="EK183" i="25"/>
  <c r="EK185" i="25"/>
  <c r="EK186" i="25"/>
  <c r="EK187" i="25"/>
  <c r="DI187" i="25" s="1"/>
  <c r="DJ187" i="25" s="1"/>
  <c r="EK188" i="25"/>
  <c r="EK189" i="25"/>
  <c r="DE189" i="25" s="1"/>
  <c r="DD189" i="25" s="1"/>
  <c r="DK189" i="25" s="1"/>
  <c r="EK190" i="25"/>
  <c r="EK191" i="25"/>
  <c r="DI191" i="25" s="1"/>
  <c r="DJ191" i="25" s="1"/>
  <c r="EL179" i="25"/>
  <c r="EL180" i="25"/>
  <c r="EL194" i="25"/>
  <c r="EL195" i="25"/>
  <c r="EL198" i="25"/>
  <c r="EL196" i="25"/>
  <c r="EL197" i="25"/>
  <c r="EL200" i="25"/>
  <c r="EL203" i="25"/>
  <c r="EL205" i="25"/>
  <c r="EL201" i="25"/>
  <c r="EL199" i="25"/>
  <c r="EL204" i="25"/>
  <c r="EL202" i="25"/>
  <c r="EL181" i="25"/>
  <c r="EL182" i="25"/>
  <c r="EL183" i="25"/>
  <c r="EL185" i="25"/>
  <c r="EL186" i="25"/>
  <c r="EL187" i="25"/>
  <c r="EL188" i="25"/>
  <c r="EL189" i="25"/>
  <c r="EL190" i="25"/>
  <c r="EL191" i="25"/>
  <c r="DU178" i="25"/>
  <c r="DU177" i="25"/>
  <c r="EM179" i="25"/>
  <c r="DU179" i="25" s="1"/>
  <c r="EM180" i="25"/>
  <c r="DU180" i="25" s="1"/>
  <c r="EM194" i="25"/>
  <c r="DU194" i="25" s="1"/>
  <c r="EM195" i="25"/>
  <c r="DU195" i="25" s="1"/>
  <c r="EM198" i="25"/>
  <c r="DU198" i="25" s="1"/>
  <c r="EM196" i="25"/>
  <c r="DU196" i="25" s="1"/>
  <c r="EM197" i="25"/>
  <c r="DU197" i="25" s="1"/>
  <c r="EM200" i="25"/>
  <c r="DU200" i="25" s="1"/>
  <c r="EM203" i="25"/>
  <c r="DU203" i="25" s="1"/>
  <c r="EM205" i="25"/>
  <c r="DU205" i="25" s="1"/>
  <c r="EM201" i="25"/>
  <c r="DU201" i="25" s="1"/>
  <c r="EM199" i="25"/>
  <c r="DU199" i="25" s="1"/>
  <c r="EM204" i="25"/>
  <c r="DU204" i="25" s="1"/>
  <c r="EM202" i="25"/>
  <c r="DU202" i="25" s="1"/>
  <c r="EM181" i="25"/>
  <c r="DU181" i="25" s="1"/>
  <c r="EM182" i="25"/>
  <c r="DU182" i="25" s="1"/>
  <c r="EM183" i="25"/>
  <c r="DU183" i="25" s="1"/>
  <c r="EM185" i="25"/>
  <c r="DU185" i="25" s="1"/>
  <c r="EM186" i="25"/>
  <c r="DU186" i="25" s="1"/>
  <c r="EM187" i="25"/>
  <c r="DU187" i="25" s="1"/>
  <c r="EM188" i="25"/>
  <c r="DU188" i="25" s="1"/>
  <c r="EM189" i="25"/>
  <c r="DU189" i="25" s="1"/>
  <c r="EM190" i="25"/>
  <c r="DU190" i="25" s="1"/>
  <c r="EM191" i="25"/>
  <c r="DU191" i="25" s="1"/>
  <c r="EN178" i="25"/>
  <c r="EN177" i="25"/>
  <c r="EN179" i="25"/>
  <c r="EN180" i="25"/>
  <c r="EN194" i="25"/>
  <c r="EN195" i="25"/>
  <c r="EN198" i="25"/>
  <c r="EN196" i="25"/>
  <c r="EN197" i="25"/>
  <c r="EN200" i="25"/>
  <c r="EN203" i="25"/>
  <c r="EN205" i="25"/>
  <c r="EN201" i="25"/>
  <c r="EN199" i="25"/>
  <c r="EN204" i="25"/>
  <c r="EN202" i="25"/>
  <c r="EN181" i="25"/>
  <c r="EN182" i="25"/>
  <c r="EN183" i="25"/>
  <c r="EN185" i="25"/>
  <c r="EN186" i="25"/>
  <c r="EN187" i="25"/>
  <c r="EN188" i="25"/>
  <c r="EN189" i="25"/>
  <c r="EN190" i="25"/>
  <c r="EN191" i="25"/>
  <c r="EO178" i="25"/>
  <c r="EO177" i="25"/>
  <c r="EO179" i="25"/>
  <c r="EO180" i="25"/>
  <c r="EO194" i="25"/>
  <c r="EO195" i="25"/>
  <c r="EO198" i="25"/>
  <c r="EO196" i="25"/>
  <c r="EO197" i="25"/>
  <c r="EO200" i="25"/>
  <c r="EO203" i="25"/>
  <c r="EO205" i="25"/>
  <c r="EO201" i="25"/>
  <c r="EO199" i="25"/>
  <c r="EO204" i="25"/>
  <c r="EO202" i="25"/>
  <c r="EO181" i="25"/>
  <c r="EO182" i="25"/>
  <c r="EO183" i="25"/>
  <c r="EO185" i="25"/>
  <c r="EO186" i="25"/>
  <c r="EO187" i="25"/>
  <c r="EO188" i="25"/>
  <c r="EO189" i="25"/>
  <c r="EO190" i="25"/>
  <c r="EO191" i="25"/>
  <c r="EP178" i="25"/>
  <c r="EP177" i="25"/>
  <c r="EP179" i="25"/>
  <c r="EP180" i="25"/>
  <c r="EP194" i="25"/>
  <c r="EP195" i="25"/>
  <c r="EP198" i="25"/>
  <c r="EP196" i="25"/>
  <c r="EP197" i="25"/>
  <c r="EP200" i="25"/>
  <c r="EP203" i="25"/>
  <c r="EP205" i="25"/>
  <c r="EP201" i="25"/>
  <c r="EP199" i="25"/>
  <c r="EP204" i="25"/>
  <c r="EP202" i="25"/>
  <c r="EP181" i="25"/>
  <c r="EP182" i="25"/>
  <c r="EP183" i="25"/>
  <c r="EP185" i="25"/>
  <c r="EP186" i="25"/>
  <c r="EP187" i="25"/>
  <c r="EP188" i="25"/>
  <c r="EP189" i="25"/>
  <c r="EP190" i="25"/>
  <c r="EP191" i="25"/>
  <c r="EQ178" i="25"/>
  <c r="EQ177" i="25"/>
  <c r="EQ179" i="25"/>
  <c r="EQ180" i="25"/>
  <c r="EQ194" i="25"/>
  <c r="EQ195" i="25"/>
  <c r="EQ198" i="25"/>
  <c r="EQ196" i="25"/>
  <c r="EQ197" i="25"/>
  <c r="EQ200" i="25"/>
  <c r="EQ203" i="25"/>
  <c r="EQ205" i="25"/>
  <c r="EQ201" i="25"/>
  <c r="EQ199" i="25"/>
  <c r="EQ204" i="25"/>
  <c r="EQ202" i="25"/>
  <c r="EQ181" i="25"/>
  <c r="EQ182" i="25"/>
  <c r="EQ183" i="25"/>
  <c r="EQ185" i="25"/>
  <c r="EQ186" i="25"/>
  <c r="EQ187" i="25"/>
  <c r="EQ188" i="25"/>
  <c r="EQ189" i="25"/>
  <c r="EQ190" i="25"/>
  <c r="EQ191" i="25"/>
  <c r="ET178" i="25"/>
  <c r="ET177" i="25"/>
  <c r="ET179" i="25"/>
  <c r="ET180" i="25"/>
  <c r="ET194" i="25"/>
  <c r="ET195" i="25"/>
  <c r="ET198" i="25"/>
  <c r="ET196" i="25"/>
  <c r="ET197" i="25"/>
  <c r="ET200" i="25"/>
  <c r="ET203" i="25"/>
  <c r="ET205" i="25"/>
  <c r="ET201" i="25"/>
  <c r="ET199" i="25"/>
  <c r="ET204" i="25"/>
  <c r="ET202" i="25"/>
  <c r="ET181" i="25"/>
  <c r="ET182" i="25"/>
  <c r="ET183" i="25"/>
  <c r="ET185" i="25"/>
  <c r="ET186" i="25"/>
  <c r="ET187" i="25"/>
  <c r="ET188" i="25"/>
  <c r="ET189" i="25"/>
  <c r="ET190" i="25"/>
  <c r="ET191" i="25"/>
  <c r="EU178" i="25"/>
  <c r="EU177" i="25"/>
  <c r="EU179" i="25"/>
  <c r="EU180" i="25"/>
  <c r="EU194" i="25"/>
  <c r="EU195" i="25"/>
  <c r="EU198" i="25"/>
  <c r="EU196" i="25"/>
  <c r="EU197" i="25"/>
  <c r="EU200" i="25"/>
  <c r="EU203" i="25"/>
  <c r="EU205" i="25"/>
  <c r="EU201" i="25"/>
  <c r="EU199" i="25"/>
  <c r="EU204" i="25"/>
  <c r="EU202" i="25"/>
  <c r="EU181" i="25"/>
  <c r="EU182" i="25"/>
  <c r="EU183" i="25"/>
  <c r="EU185" i="25"/>
  <c r="EU186" i="25"/>
  <c r="EU187" i="25"/>
  <c r="EU188" i="25"/>
  <c r="EU189" i="25"/>
  <c r="EU190" i="25"/>
  <c r="EU191" i="25"/>
  <c r="DE379" i="25" l="1"/>
  <c r="EG370" i="25"/>
  <c r="EH241" i="25"/>
  <c r="EH305" i="25"/>
  <c r="EH359" i="25"/>
  <c r="EH394" i="25"/>
  <c r="DP258" i="25"/>
  <c r="DQ258" i="25" s="1"/>
  <c r="DR258" i="25" s="1"/>
  <c r="DS258" i="25" s="1"/>
  <c r="DP336" i="25"/>
  <c r="DQ336" i="25" s="1"/>
  <c r="DR336" i="25" s="1"/>
  <c r="DS336" i="25" s="1"/>
  <c r="EH388" i="25"/>
  <c r="EH311" i="25"/>
  <c r="EH261" i="25"/>
  <c r="EH406" i="25"/>
  <c r="EH384" i="25"/>
  <c r="EH405" i="25"/>
  <c r="EH269" i="25"/>
  <c r="EH239" i="25"/>
  <c r="EH332" i="25"/>
  <c r="EG390" i="25"/>
  <c r="EG385" i="25"/>
  <c r="EG351" i="25"/>
  <c r="EG278" i="25"/>
  <c r="EG260" i="25"/>
  <c r="EG397" i="25"/>
  <c r="EG333" i="25"/>
  <c r="EG235" i="25"/>
  <c r="EH220" i="25"/>
  <c r="EH344" i="25"/>
  <c r="EH347" i="25"/>
  <c r="EH404" i="25"/>
  <c r="EH366" i="25"/>
  <c r="EG386" i="25"/>
  <c r="EG376" i="25"/>
  <c r="EG340" i="25"/>
  <c r="EG237" i="25"/>
  <c r="EG292" i="25"/>
  <c r="EG336" i="25"/>
  <c r="EG331" i="25"/>
  <c r="EH348" i="25"/>
  <c r="EH260" i="25"/>
  <c r="EH326" i="25"/>
  <c r="EG289" i="25"/>
  <c r="EH389" i="25"/>
  <c r="EG306" i="25"/>
  <c r="EG350" i="25"/>
  <c r="EG223" i="25"/>
  <c r="EH258" i="25"/>
  <c r="EH337" i="25"/>
  <c r="EH237" i="25"/>
  <c r="EG271" i="25"/>
  <c r="EG367" i="25"/>
  <c r="EH252" i="25"/>
  <c r="EH377" i="25"/>
  <c r="DZ396" i="25"/>
  <c r="EG395" i="25"/>
  <c r="EH356" i="25"/>
  <c r="EH343" i="25"/>
  <c r="EH304" i="25"/>
  <c r="EH407" i="25"/>
  <c r="EH383" i="25"/>
  <c r="EH381" i="25"/>
  <c r="EH345" i="25"/>
  <c r="EH290" i="25"/>
  <c r="EH250" i="25"/>
  <c r="EH234" i="25"/>
  <c r="EG311" i="25"/>
  <c r="EG305" i="25"/>
  <c r="EG261" i="25"/>
  <c r="EG406" i="25"/>
  <c r="EG384" i="25"/>
  <c r="EG405" i="25"/>
  <c r="EG269" i="25"/>
  <c r="DZ239" i="25"/>
  <c r="CG389" i="25"/>
  <c r="CG376" i="25"/>
  <c r="CG237" i="25"/>
  <c r="CG336" i="25"/>
  <c r="DZ390" i="25"/>
  <c r="EH245" i="25"/>
  <c r="EH353" i="25"/>
  <c r="EH374" i="25"/>
  <c r="EG348" i="25"/>
  <c r="EG388" i="25"/>
  <c r="EG326" i="25"/>
  <c r="DZ273" i="25"/>
  <c r="CG356" i="25"/>
  <c r="CG252" i="25"/>
  <c r="CG343" i="25"/>
  <c r="CG304" i="25"/>
  <c r="CG407" i="25"/>
  <c r="CG246" i="25"/>
  <c r="CG377" i="25"/>
  <c r="CG383" i="25"/>
  <c r="CG381" i="25"/>
  <c r="CG290" i="25"/>
  <c r="CG250" i="25"/>
  <c r="CG234" i="25"/>
  <c r="EH317" i="25"/>
  <c r="EH243" i="25"/>
  <c r="EH284" i="25"/>
  <c r="EH400" i="25"/>
  <c r="EH249" i="25"/>
  <c r="EH379" i="25"/>
  <c r="EH364" i="25"/>
  <c r="EH363" i="25"/>
  <c r="EH399" i="25"/>
  <c r="EH395" i="25"/>
  <c r="EH251" i="25"/>
  <c r="EH229" i="25"/>
  <c r="EH291" i="25"/>
  <c r="EH289" i="25"/>
  <c r="EG220" i="25"/>
  <c r="EG344" i="25"/>
  <c r="EG347" i="25"/>
  <c r="EG355" i="25"/>
  <c r="EG373" i="25"/>
  <c r="EG404" i="25"/>
  <c r="EG396" i="25"/>
  <c r="EG366" i="25"/>
  <c r="EG231" i="25"/>
  <c r="EG232" i="25"/>
  <c r="DZ404" i="25"/>
  <c r="DP397" i="25"/>
  <c r="DQ397" i="25" s="1"/>
  <c r="DR397" i="25" s="1"/>
  <c r="DS397" i="25" s="1"/>
  <c r="DP346" i="25"/>
  <c r="DQ346" i="25" s="1"/>
  <c r="DR346" i="25" s="1"/>
  <c r="DS346" i="25" s="1"/>
  <c r="DP337" i="25"/>
  <c r="DQ337" i="25" s="1"/>
  <c r="DR337" i="25" s="1"/>
  <c r="DS337" i="25" s="1"/>
  <c r="DP237" i="25"/>
  <c r="DQ237" i="25" s="1"/>
  <c r="DR237" i="25" s="1"/>
  <c r="DS237" i="25" s="1"/>
  <c r="EH355" i="25"/>
  <c r="EH373" i="25"/>
  <c r="EH396" i="25"/>
  <c r="EH231" i="25"/>
  <c r="EH232" i="25"/>
  <c r="EG358" i="25"/>
  <c r="EG346" i="25"/>
  <c r="EG389" i="25"/>
  <c r="EG273" i="25"/>
  <c r="EG258" i="25"/>
  <c r="EG369" i="25"/>
  <c r="EG321" i="25"/>
  <c r="EG337" i="25"/>
  <c r="EF375" i="25"/>
  <c r="DZ407" i="25"/>
  <c r="DZ377" i="25"/>
  <c r="DZ337" i="25"/>
  <c r="DZ352" i="25"/>
  <c r="CG404" i="25"/>
  <c r="CG366" i="25"/>
  <c r="CG232" i="25"/>
  <c r="DX380" i="25"/>
  <c r="EH365" i="25"/>
  <c r="EH328" i="25"/>
  <c r="EH315" i="25"/>
  <c r="EH393" i="25"/>
  <c r="EH352" i="25"/>
  <c r="EH371" i="25"/>
  <c r="EH398" i="25"/>
  <c r="EH382" i="25"/>
  <c r="EH380" i="25"/>
  <c r="EH327" i="25"/>
  <c r="EH240" i="25"/>
  <c r="EH238" i="25"/>
  <c r="EH233" i="25"/>
  <c r="EG356" i="25"/>
  <c r="EG252" i="25"/>
  <c r="EG343" i="25"/>
  <c r="EG304" i="25"/>
  <c r="EG407" i="25"/>
  <c r="EG246" i="25"/>
  <c r="EG377" i="25"/>
  <c r="EG383" i="25"/>
  <c r="EG381" i="25"/>
  <c r="EG345" i="25"/>
  <c r="EG290" i="25"/>
  <c r="EG250" i="25"/>
  <c r="EG234" i="25"/>
  <c r="EG330" i="25"/>
  <c r="DZ246" i="25"/>
  <c r="EH385" i="25"/>
  <c r="EH351" i="25"/>
  <c r="EH278" i="25"/>
  <c r="EH397" i="25"/>
  <c r="EH370" i="25"/>
  <c r="EG317" i="25"/>
  <c r="EG249" i="25"/>
  <c r="EG379" i="25"/>
  <c r="EG364" i="25"/>
  <c r="EG399" i="25"/>
  <c r="EG251" i="25"/>
  <c r="EG291" i="25"/>
  <c r="DZ346" i="25"/>
  <c r="DZ369" i="25"/>
  <c r="DZ331" i="25"/>
  <c r="DP314" i="25"/>
  <c r="DQ314" i="25" s="1"/>
  <c r="DR314" i="25" s="1"/>
  <c r="DS314" i="25" s="1"/>
  <c r="DP306" i="25"/>
  <c r="DQ306" i="25" s="1"/>
  <c r="DR306" i="25" s="1"/>
  <c r="DS306" i="25" s="1"/>
  <c r="DP387" i="25"/>
  <c r="DQ387" i="25" s="1"/>
  <c r="DR387" i="25" s="1"/>
  <c r="DS387" i="25" s="1"/>
  <c r="DP271" i="25"/>
  <c r="DQ271" i="25" s="1"/>
  <c r="DR271" i="25" s="1"/>
  <c r="DS271" i="25" s="1"/>
  <c r="DP350" i="25"/>
  <c r="DQ350" i="25" s="1"/>
  <c r="DR350" i="25" s="1"/>
  <c r="DS350" i="25" s="1"/>
  <c r="DP368" i="25"/>
  <c r="DQ368" i="25" s="1"/>
  <c r="DR368" i="25" s="1"/>
  <c r="DS368" i="25" s="1"/>
  <c r="DP378" i="25"/>
  <c r="DQ378" i="25" s="1"/>
  <c r="DR378" i="25" s="1"/>
  <c r="DS378" i="25" s="1"/>
  <c r="DP375" i="25"/>
  <c r="DQ375" i="25" s="1"/>
  <c r="DR375" i="25" s="1"/>
  <c r="DS375" i="25" s="1"/>
  <c r="DP372" i="25"/>
  <c r="DQ372" i="25" s="1"/>
  <c r="DR372" i="25" s="1"/>
  <c r="DS372" i="25" s="1"/>
  <c r="DP367" i="25"/>
  <c r="DQ367" i="25" s="1"/>
  <c r="DR367" i="25" s="1"/>
  <c r="DS367" i="25" s="1"/>
  <c r="DP248" i="25"/>
  <c r="DQ248" i="25" s="1"/>
  <c r="DR248" i="25" s="1"/>
  <c r="DS248" i="25" s="1"/>
  <c r="DP270" i="25"/>
  <c r="DQ270" i="25" s="1"/>
  <c r="DR270" i="25" s="1"/>
  <c r="DS270" i="25" s="1"/>
  <c r="DP223" i="25"/>
  <c r="DQ223" i="25" s="1"/>
  <c r="DR223" i="25" s="1"/>
  <c r="DS223" i="25" s="1"/>
  <c r="DP294" i="25"/>
  <c r="DQ294" i="25" s="1"/>
  <c r="DR294" i="25" s="1"/>
  <c r="DS294" i="25" s="1"/>
  <c r="EH358" i="25"/>
  <c r="EH346" i="25"/>
  <c r="EH386" i="25"/>
  <c r="EH273" i="25"/>
  <c r="EH376" i="25"/>
  <c r="EH369" i="25"/>
  <c r="EH321" i="25"/>
  <c r="EH340" i="25"/>
  <c r="EH292" i="25"/>
  <c r="EH336" i="25"/>
  <c r="EH331" i="25"/>
  <c r="EG314" i="25"/>
  <c r="EG387" i="25"/>
  <c r="EG368" i="25"/>
  <c r="EG378" i="25"/>
  <c r="EG375" i="25"/>
  <c r="EG372" i="25"/>
  <c r="EG248" i="25"/>
  <c r="EG270" i="25"/>
  <c r="EG294" i="25"/>
  <c r="DZ321" i="25"/>
  <c r="DZ292" i="25"/>
  <c r="DZ330" i="25"/>
  <c r="DT397" i="25"/>
  <c r="DZ336" i="25"/>
  <c r="DP358" i="25"/>
  <c r="DQ358" i="25" s="1"/>
  <c r="DR358" i="25" s="1"/>
  <c r="DS358" i="25" s="1"/>
  <c r="DP389" i="25"/>
  <c r="DQ389" i="25" s="1"/>
  <c r="DR389" i="25" s="1"/>
  <c r="DS389" i="25" s="1"/>
  <c r="DP386" i="25"/>
  <c r="DQ386" i="25" s="1"/>
  <c r="DR386" i="25" s="1"/>
  <c r="DS386" i="25" s="1"/>
  <c r="DP273" i="25"/>
  <c r="DQ273" i="25" s="1"/>
  <c r="DR273" i="25" s="1"/>
  <c r="DS273" i="25" s="1"/>
  <c r="DP376" i="25"/>
  <c r="DQ376" i="25" s="1"/>
  <c r="DR376" i="25" s="1"/>
  <c r="DS376" i="25" s="1"/>
  <c r="DP369" i="25"/>
  <c r="DQ369" i="25" s="1"/>
  <c r="DR369" i="25" s="1"/>
  <c r="DS369" i="25" s="1"/>
  <c r="DP321" i="25"/>
  <c r="DQ321" i="25" s="1"/>
  <c r="DR321" i="25" s="1"/>
  <c r="DS321" i="25" s="1"/>
  <c r="DP340" i="25"/>
  <c r="DQ340" i="25" s="1"/>
  <c r="DR340" i="25" s="1"/>
  <c r="DS340" i="25" s="1"/>
  <c r="CG390" i="25"/>
  <c r="CG385" i="25"/>
  <c r="CG388" i="25"/>
  <c r="CG351" i="25"/>
  <c r="EH390" i="25"/>
  <c r="EH333" i="25"/>
  <c r="EH235" i="25"/>
  <c r="EG243" i="25"/>
  <c r="EG284" i="25"/>
  <c r="EG400" i="25"/>
  <c r="EG363" i="25"/>
  <c r="EG229" i="25"/>
  <c r="DX261" i="25"/>
  <c r="DZ261" i="25"/>
  <c r="DZ374" i="25"/>
  <c r="DX374" i="25"/>
  <c r="DP352" i="25"/>
  <c r="DQ352" i="25" s="1"/>
  <c r="DR352" i="25" s="1"/>
  <c r="DS352" i="25" s="1"/>
  <c r="DP398" i="25"/>
  <c r="DQ398" i="25" s="1"/>
  <c r="DR398" i="25" s="1"/>
  <c r="DS398" i="25" s="1"/>
  <c r="DP327" i="25"/>
  <c r="DQ327" i="25" s="1"/>
  <c r="DR327" i="25" s="1"/>
  <c r="DS327" i="25" s="1"/>
  <c r="DP240" i="25"/>
  <c r="DQ240" i="25" s="1"/>
  <c r="DR240" i="25" s="1"/>
  <c r="DS240" i="25" s="1"/>
  <c r="EF314" i="25"/>
  <c r="EF306" i="25"/>
  <c r="EF387" i="25"/>
  <c r="EF271" i="25"/>
  <c r="EF350" i="25"/>
  <c r="EF368" i="25"/>
  <c r="EF378" i="25"/>
  <c r="EF270" i="25"/>
  <c r="EF223" i="25"/>
  <c r="EF245" i="25"/>
  <c r="EF365" i="25"/>
  <c r="EF353" i="25"/>
  <c r="EF328" i="25"/>
  <c r="EF315" i="25"/>
  <c r="EF393" i="25"/>
  <c r="EF352" i="25"/>
  <c r="EF371" i="25"/>
  <c r="EF398" i="25"/>
  <c r="EF382" i="25"/>
  <c r="EF380" i="25"/>
  <c r="EF327" i="25"/>
  <c r="EF240" i="25"/>
  <c r="EF238" i="25"/>
  <c r="EF233" i="25"/>
  <c r="DX405" i="25"/>
  <c r="EF356" i="25"/>
  <c r="EF252" i="25"/>
  <c r="EF343" i="25"/>
  <c r="EF304" i="25"/>
  <c r="EF246" i="25"/>
  <c r="EF377" i="25"/>
  <c r="EF383" i="25"/>
  <c r="EF381" i="25"/>
  <c r="EF290" i="25"/>
  <c r="EF250" i="25"/>
  <c r="EF330" i="25"/>
  <c r="EF348" i="25"/>
  <c r="EF390" i="25"/>
  <c r="EF385" i="25"/>
  <c r="EF388" i="25"/>
  <c r="EF351" i="25"/>
  <c r="EF278" i="25"/>
  <c r="EF260" i="25"/>
  <c r="EF397" i="25"/>
  <c r="EF370" i="25"/>
  <c r="EF326" i="25"/>
  <c r="EF333" i="25"/>
  <c r="EF235" i="25"/>
  <c r="DX245" i="25"/>
  <c r="DZ245" i="25"/>
  <c r="DX233" i="25"/>
  <c r="DZ233" i="25"/>
  <c r="EH246" i="25"/>
  <c r="EH330" i="25"/>
  <c r="EG394" i="25"/>
  <c r="EG359" i="25"/>
  <c r="EG374" i="25"/>
  <c r="EG239" i="25"/>
  <c r="EG241" i="25"/>
  <c r="EG332" i="25"/>
  <c r="CG245" i="25"/>
  <c r="CG365" i="25"/>
  <c r="CG353" i="25"/>
  <c r="CG328" i="25"/>
  <c r="CG315" i="25"/>
  <c r="CG393" i="25"/>
  <c r="CG352" i="25"/>
  <c r="CG371" i="25"/>
  <c r="CG398" i="25"/>
  <c r="CG382" i="25"/>
  <c r="CG380" i="25"/>
  <c r="CG327" i="25"/>
  <c r="CG240" i="25"/>
  <c r="CG238" i="25"/>
  <c r="CG233" i="25"/>
  <c r="CG220" i="25"/>
  <c r="CG347" i="25"/>
  <c r="CG355" i="25"/>
  <c r="CG396" i="25"/>
  <c r="EF344" i="25"/>
  <c r="EF366" i="25"/>
  <c r="DP249" i="25"/>
  <c r="DQ249" i="25" s="1"/>
  <c r="DR249" i="25" s="1"/>
  <c r="DS249" i="25" s="1"/>
  <c r="CG317" i="25"/>
  <c r="CG243" i="25"/>
  <c r="DX348" i="25"/>
  <c r="DZ348" i="25"/>
  <c r="DX385" i="25"/>
  <c r="DZ385" i="25"/>
  <c r="DX351" i="25"/>
  <c r="DZ351" i="25"/>
  <c r="DX278" i="25"/>
  <c r="DZ278" i="25"/>
  <c r="DX370" i="25"/>
  <c r="DZ370" i="25"/>
  <c r="DX333" i="25"/>
  <c r="DZ333" i="25"/>
  <c r="DZ388" i="25"/>
  <c r="DX252" i="25"/>
  <c r="DZ252" i="25"/>
  <c r="CG314" i="25"/>
  <c r="CG306" i="25"/>
  <c r="EF373" i="25"/>
  <c r="DZ343" i="25"/>
  <c r="DZ260" i="25"/>
  <c r="DP380" i="25"/>
  <c r="DQ380" i="25" s="1"/>
  <c r="DR380" i="25" s="1"/>
  <c r="DS380" i="25" s="1"/>
  <c r="CG273" i="25"/>
  <c r="CG340" i="25"/>
  <c r="CG292" i="25"/>
  <c r="DZ356" i="25"/>
  <c r="DX311" i="25"/>
  <c r="DZ311" i="25"/>
  <c r="DX305" i="25"/>
  <c r="DZ305" i="25"/>
  <c r="DZ394" i="25"/>
  <c r="DX394" i="25"/>
  <c r="DX359" i="25"/>
  <c r="DZ359" i="25"/>
  <c r="DZ406" i="25"/>
  <c r="DX406" i="25"/>
  <c r="DX384" i="25"/>
  <c r="DZ384" i="25"/>
  <c r="DZ269" i="25"/>
  <c r="DX269" i="25"/>
  <c r="DX241" i="25"/>
  <c r="DZ241" i="25"/>
  <c r="DX332" i="25"/>
  <c r="DZ332" i="25"/>
  <c r="CG330" i="25"/>
  <c r="EF358" i="25"/>
  <c r="EF346" i="25"/>
  <c r="EF389" i="25"/>
  <c r="EF386" i="25"/>
  <c r="EF273" i="25"/>
  <c r="EF258" i="25"/>
  <c r="EF376" i="25"/>
  <c r="EF369" i="25"/>
  <c r="EF321" i="25"/>
  <c r="EF340" i="25"/>
  <c r="EF337" i="25"/>
  <c r="EF237" i="25"/>
  <c r="EF292" i="25"/>
  <c r="EF336" i="25"/>
  <c r="EF331" i="25"/>
  <c r="DX347" i="25"/>
  <c r="DZ347" i="25"/>
  <c r="DZ231" i="25"/>
  <c r="DX231" i="25"/>
  <c r="DX232" i="25"/>
  <c r="DZ232" i="25"/>
  <c r="DZ358" i="25"/>
  <c r="DZ386" i="25"/>
  <c r="CG344" i="25"/>
  <c r="CG387" i="25"/>
  <c r="CG271" i="25"/>
  <c r="CG350" i="25"/>
  <c r="CG368" i="25"/>
  <c r="CG378" i="25"/>
  <c r="CG375" i="25"/>
  <c r="CG372" i="25"/>
  <c r="CG367" i="25"/>
  <c r="CG248" i="25"/>
  <c r="CG270" i="25"/>
  <c r="CG223" i="25"/>
  <c r="CG294" i="25"/>
  <c r="DX383" i="25"/>
  <c r="DP317" i="25"/>
  <c r="DQ317" i="25" s="1"/>
  <c r="DR317" i="25" s="1"/>
  <c r="DS317" i="25" s="1"/>
  <c r="DP243" i="25"/>
  <c r="DQ243" i="25" s="1"/>
  <c r="DR243" i="25" s="1"/>
  <c r="DS243" i="25" s="1"/>
  <c r="CG311" i="25"/>
  <c r="CG305" i="25"/>
  <c r="CG394" i="25"/>
  <c r="CG359" i="25"/>
  <c r="CG261" i="25"/>
  <c r="CG406" i="25"/>
  <c r="CG374" i="25"/>
  <c r="CG384" i="25"/>
  <c r="CG405" i="25"/>
  <c r="CG269" i="25"/>
  <c r="CG239" i="25"/>
  <c r="CQ382" i="25"/>
  <c r="CG258" i="25"/>
  <c r="EF407" i="25"/>
  <c r="EF345" i="25"/>
  <c r="DZ250" i="25"/>
  <c r="DX304" i="25"/>
  <c r="CG345" i="25"/>
  <c r="DZ381" i="25"/>
  <c r="DZ345" i="25"/>
  <c r="DP292" i="25"/>
  <c r="DQ292" i="25" s="1"/>
  <c r="DR292" i="25" s="1"/>
  <c r="DS292" i="25" s="1"/>
  <c r="DP331" i="25"/>
  <c r="DQ331" i="25" s="1"/>
  <c r="DR331" i="25" s="1"/>
  <c r="DS331" i="25" s="1"/>
  <c r="CG260" i="25"/>
  <c r="CG397" i="25"/>
  <c r="CG370" i="25"/>
  <c r="CG284" i="25"/>
  <c r="CG400" i="25"/>
  <c r="CG249" i="25"/>
  <c r="CG379" i="25"/>
  <c r="CG364" i="25"/>
  <c r="CG363" i="25"/>
  <c r="CG399" i="25"/>
  <c r="CG395" i="25"/>
  <c r="CG251" i="25"/>
  <c r="CG229" i="25"/>
  <c r="CG291" i="25"/>
  <c r="CG289" i="25"/>
  <c r="EF220" i="25"/>
  <c r="EF347" i="25"/>
  <c r="EF355" i="25"/>
  <c r="EF404" i="25"/>
  <c r="EF396" i="25"/>
  <c r="EF231" i="25"/>
  <c r="EF232" i="25"/>
  <c r="DZ314" i="25"/>
  <c r="DZ326" i="25"/>
  <c r="DX355" i="25"/>
  <c r="DX398" i="25"/>
  <c r="DX235" i="25"/>
  <c r="DP245" i="25"/>
  <c r="DQ245" i="25" s="1"/>
  <c r="DR245" i="25" s="1"/>
  <c r="DS245" i="25" s="1"/>
  <c r="DP365" i="25"/>
  <c r="DQ365" i="25" s="1"/>
  <c r="DR365" i="25" s="1"/>
  <c r="DS365" i="25" s="1"/>
  <c r="DP353" i="25"/>
  <c r="DQ353" i="25" s="1"/>
  <c r="DR353" i="25" s="1"/>
  <c r="DS353" i="25" s="1"/>
  <c r="DP328" i="25"/>
  <c r="DQ328" i="25" s="1"/>
  <c r="DR328" i="25" s="1"/>
  <c r="DS328" i="25" s="1"/>
  <c r="DP315" i="25"/>
  <c r="DQ315" i="25" s="1"/>
  <c r="DR315" i="25" s="1"/>
  <c r="DS315" i="25" s="1"/>
  <c r="DP393" i="25"/>
  <c r="DQ393" i="25" s="1"/>
  <c r="DR393" i="25" s="1"/>
  <c r="DS393" i="25" s="1"/>
  <c r="DP371" i="25"/>
  <c r="DQ371" i="25" s="1"/>
  <c r="DR371" i="25" s="1"/>
  <c r="DS371" i="25" s="1"/>
  <c r="DP382" i="25"/>
  <c r="DQ382" i="25" s="1"/>
  <c r="DR382" i="25" s="1"/>
  <c r="DS382" i="25" s="1"/>
  <c r="DP238" i="25"/>
  <c r="DQ238" i="25" s="1"/>
  <c r="DR238" i="25" s="1"/>
  <c r="DS238" i="25" s="1"/>
  <c r="DP233" i="25"/>
  <c r="DQ233" i="25" s="1"/>
  <c r="DR233" i="25" s="1"/>
  <c r="DS233" i="25" s="1"/>
  <c r="EF234" i="25"/>
  <c r="DZ248" i="25"/>
  <c r="DX368" i="25"/>
  <c r="EF372" i="25"/>
  <c r="EF367" i="25"/>
  <c r="EF248" i="25"/>
  <c r="EF294" i="25"/>
  <c r="DZ382" i="25"/>
  <c r="DZ240" i="25"/>
  <c r="DX220" i="25"/>
  <c r="CG348" i="25"/>
  <c r="CG278" i="25"/>
  <c r="CG326" i="25"/>
  <c r="CG333" i="25"/>
  <c r="CG235" i="25"/>
  <c r="DZ344" i="25"/>
  <c r="DZ393" i="25"/>
  <c r="DZ366" i="25"/>
  <c r="DX373" i="25"/>
  <c r="DX372" i="25"/>
  <c r="DX270" i="25"/>
  <c r="DP356" i="25"/>
  <c r="DQ356" i="25" s="1"/>
  <c r="DR356" i="25" s="1"/>
  <c r="DS356" i="25" s="1"/>
  <c r="DP252" i="25"/>
  <c r="DQ252" i="25" s="1"/>
  <c r="DR252" i="25" s="1"/>
  <c r="DS252" i="25" s="1"/>
  <c r="DP343" i="25"/>
  <c r="DQ343" i="25" s="1"/>
  <c r="DR343" i="25" s="1"/>
  <c r="DS343" i="25" s="1"/>
  <c r="DP304" i="25"/>
  <c r="DQ304" i="25" s="1"/>
  <c r="DR304" i="25" s="1"/>
  <c r="DS304" i="25" s="1"/>
  <c r="DP407" i="25"/>
  <c r="DQ407" i="25" s="1"/>
  <c r="DR407" i="25" s="1"/>
  <c r="DS407" i="25" s="1"/>
  <c r="DP246" i="25"/>
  <c r="DQ246" i="25" s="1"/>
  <c r="DR246" i="25" s="1"/>
  <c r="DS246" i="25" s="1"/>
  <c r="DP383" i="25"/>
  <c r="DQ383" i="25" s="1"/>
  <c r="DR383" i="25" s="1"/>
  <c r="DS383" i="25" s="1"/>
  <c r="DP381" i="25"/>
  <c r="DQ381" i="25" s="1"/>
  <c r="DR381" i="25" s="1"/>
  <c r="DS381" i="25" s="1"/>
  <c r="DP290" i="25"/>
  <c r="DQ290" i="25" s="1"/>
  <c r="DR290" i="25" s="1"/>
  <c r="DS290" i="25" s="1"/>
  <c r="DP250" i="25"/>
  <c r="DQ250" i="25" s="1"/>
  <c r="DR250" i="25" s="1"/>
  <c r="DS250" i="25" s="1"/>
  <c r="DP330" i="25"/>
  <c r="DQ330" i="25" s="1"/>
  <c r="DR330" i="25" s="1"/>
  <c r="DS330" i="25" s="1"/>
  <c r="DP284" i="25"/>
  <c r="DQ284" i="25" s="1"/>
  <c r="DR284" i="25" s="1"/>
  <c r="DS284" i="25" s="1"/>
  <c r="DP400" i="25"/>
  <c r="DQ400" i="25" s="1"/>
  <c r="DR400" i="25" s="1"/>
  <c r="DS400" i="25" s="1"/>
  <c r="DP379" i="25"/>
  <c r="DQ379" i="25" s="1"/>
  <c r="DR379" i="25" s="1"/>
  <c r="DS379" i="25" s="1"/>
  <c r="DP364" i="25"/>
  <c r="DQ364" i="25" s="1"/>
  <c r="DR364" i="25" s="1"/>
  <c r="DS364" i="25" s="1"/>
  <c r="DP363" i="25"/>
  <c r="DQ363" i="25" s="1"/>
  <c r="DR363" i="25" s="1"/>
  <c r="DS363" i="25" s="1"/>
  <c r="DP399" i="25"/>
  <c r="DQ399" i="25" s="1"/>
  <c r="DR399" i="25" s="1"/>
  <c r="DS399" i="25" s="1"/>
  <c r="DP395" i="25"/>
  <c r="DQ395" i="25" s="1"/>
  <c r="DR395" i="25" s="1"/>
  <c r="DS395" i="25" s="1"/>
  <c r="DP251" i="25"/>
  <c r="DQ251" i="25" s="1"/>
  <c r="DR251" i="25" s="1"/>
  <c r="DS251" i="25" s="1"/>
  <c r="DP229" i="25"/>
  <c r="DQ229" i="25" s="1"/>
  <c r="DR229" i="25" s="1"/>
  <c r="DS229" i="25" s="1"/>
  <c r="DP291" i="25"/>
  <c r="DQ291" i="25" s="1"/>
  <c r="DR291" i="25" s="1"/>
  <c r="DS291" i="25" s="1"/>
  <c r="DP289" i="25"/>
  <c r="DQ289" i="25" s="1"/>
  <c r="DR289" i="25" s="1"/>
  <c r="DS289" i="25" s="1"/>
  <c r="DP220" i="25"/>
  <c r="DQ220" i="25" s="1"/>
  <c r="DR220" i="25" s="1"/>
  <c r="DS220" i="25" s="1"/>
  <c r="DP344" i="25"/>
  <c r="DQ344" i="25" s="1"/>
  <c r="DR344" i="25" s="1"/>
  <c r="DS344" i="25" s="1"/>
  <c r="DP347" i="25"/>
  <c r="DQ347" i="25" s="1"/>
  <c r="DR347" i="25" s="1"/>
  <c r="DS347" i="25" s="1"/>
  <c r="DP355" i="25"/>
  <c r="DQ355" i="25" s="1"/>
  <c r="DR355" i="25" s="1"/>
  <c r="DS355" i="25" s="1"/>
  <c r="DP373" i="25"/>
  <c r="DQ373" i="25" s="1"/>
  <c r="DR373" i="25" s="1"/>
  <c r="DS373" i="25" s="1"/>
  <c r="DP404" i="25"/>
  <c r="DQ404" i="25" s="1"/>
  <c r="DR404" i="25" s="1"/>
  <c r="DS404" i="25" s="1"/>
  <c r="DP396" i="25"/>
  <c r="DQ396" i="25" s="1"/>
  <c r="DR396" i="25" s="1"/>
  <c r="DS396" i="25" s="1"/>
  <c r="DP366" i="25"/>
  <c r="DQ366" i="25" s="1"/>
  <c r="DR366" i="25" s="1"/>
  <c r="DS366" i="25" s="1"/>
  <c r="DP231" i="25"/>
  <c r="DQ231" i="25" s="1"/>
  <c r="DR231" i="25" s="1"/>
  <c r="DS231" i="25" s="1"/>
  <c r="CP389" i="25"/>
  <c r="CR389" i="25" s="1"/>
  <c r="CP292" i="25"/>
  <c r="CR292" i="25" s="1"/>
  <c r="CG358" i="25"/>
  <c r="CG346" i="25"/>
  <c r="CG386" i="25"/>
  <c r="CG369" i="25"/>
  <c r="CG321" i="25"/>
  <c r="CG337" i="25"/>
  <c r="CG331" i="25"/>
  <c r="DP348" i="25"/>
  <c r="DQ348" i="25" s="1"/>
  <c r="DR348" i="25" s="1"/>
  <c r="DS348" i="25" s="1"/>
  <c r="DP390" i="25"/>
  <c r="DQ390" i="25" s="1"/>
  <c r="DR390" i="25" s="1"/>
  <c r="DS390" i="25" s="1"/>
  <c r="DP385" i="25"/>
  <c r="DQ385" i="25" s="1"/>
  <c r="DR385" i="25" s="1"/>
  <c r="DS385" i="25" s="1"/>
  <c r="DP388" i="25"/>
  <c r="DQ388" i="25" s="1"/>
  <c r="DR388" i="25" s="1"/>
  <c r="DS388" i="25" s="1"/>
  <c r="DP351" i="25"/>
  <c r="DQ351" i="25" s="1"/>
  <c r="DR351" i="25" s="1"/>
  <c r="DS351" i="25" s="1"/>
  <c r="DP278" i="25"/>
  <c r="DQ278" i="25" s="1"/>
  <c r="DR278" i="25" s="1"/>
  <c r="DS278" i="25" s="1"/>
  <c r="DP260" i="25"/>
  <c r="DQ260" i="25" s="1"/>
  <c r="DR260" i="25" s="1"/>
  <c r="DS260" i="25" s="1"/>
  <c r="DP370" i="25"/>
  <c r="DQ370" i="25" s="1"/>
  <c r="DR370" i="25" s="1"/>
  <c r="DS370" i="25" s="1"/>
  <c r="DP326" i="25"/>
  <c r="DQ326" i="25" s="1"/>
  <c r="DR326" i="25" s="1"/>
  <c r="DS326" i="25" s="1"/>
  <c r="DP333" i="25"/>
  <c r="DQ333" i="25" s="1"/>
  <c r="DR333" i="25" s="1"/>
  <c r="DS333" i="25" s="1"/>
  <c r="DP235" i="25"/>
  <c r="DQ235" i="25" s="1"/>
  <c r="DR235" i="25" s="1"/>
  <c r="DS235" i="25" s="1"/>
  <c r="CG373" i="25"/>
  <c r="CG231" i="25"/>
  <c r="EH314" i="25"/>
  <c r="EH306" i="25"/>
  <c r="EH387" i="25"/>
  <c r="EH271" i="25"/>
  <c r="EH350" i="25"/>
  <c r="EH368" i="25"/>
  <c r="EH378" i="25"/>
  <c r="EH375" i="25"/>
  <c r="EH372" i="25"/>
  <c r="EH367" i="25"/>
  <c r="EH248" i="25"/>
  <c r="EH270" i="25"/>
  <c r="EH223" i="25"/>
  <c r="EH294" i="25"/>
  <c r="EG245" i="25"/>
  <c r="EG365" i="25"/>
  <c r="EG353" i="25"/>
  <c r="EG328" i="25"/>
  <c r="EG315" i="25"/>
  <c r="EG393" i="25"/>
  <c r="EG352" i="25"/>
  <c r="EG371" i="25"/>
  <c r="EG398" i="25"/>
  <c r="EG382" i="25"/>
  <c r="EG380" i="25"/>
  <c r="EG327" i="25"/>
  <c r="EG240" i="25"/>
  <c r="EG238" i="25"/>
  <c r="EG233" i="25"/>
  <c r="CP330" i="25"/>
  <c r="CR330" i="25" s="1"/>
  <c r="CQ359" i="25"/>
  <c r="CQ384" i="25"/>
  <c r="CQ269" i="25"/>
  <c r="CQ239" i="25"/>
  <c r="CQ388" i="25"/>
  <c r="DX363" i="25"/>
  <c r="DZ387" i="25"/>
  <c r="DZ367" i="25"/>
  <c r="DZ223" i="25"/>
  <c r="DX378" i="25"/>
  <c r="DX375" i="25"/>
  <c r="DT376" i="25"/>
  <c r="EF311" i="25"/>
  <c r="EF305" i="25"/>
  <c r="EF394" i="25"/>
  <c r="EF359" i="25"/>
  <c r="EF261" i="25"/>
  <c r="EF406" i="25"/>
  <c r="EF374" i="25"/>
  <c r="EF384" i="25"/>
  <c r="EF405" i="25"/>
  <c r="EF269" i="25"/>
  <c r="EF239" i="25"/>
  <c r="EF241" i="25"/>
  <c r="EF332" i="25"/>
  <c r="EF317" i="25"/>
  <c r="EF243" i="25"/>
  <c r="EF284" i="25"/>
  <c r="EF400" i="25"/>
  <c r="EF249" i="25"/>
  <c r="EF379" i="25"/>
  <c r="EF364" i="25"/>
  <c r="EF363" i="25"/>
  <c r="EF399" i="25"/>
  <c r="EF395" i="25"/>
  <c r="EF251" i="25"/>
  <c r="EF229" i="25"/>
  <c r="EF291" i="25"/>
  <c r="EF289" i="25"/>
  <c r="DX271" i="25"/>
  <c r="DX251" i="25"/>
  <c r="DZ365" i="25"/>
  <c r="DX365" i="25"/>
  <c r="DZ327" i="25"/>
  <c r="DX327" i="25"/>
  <c r="DX306" i="25"/>
  <c r="DX294" i="25"/>
  <c r="DZ353" i="25"/>
  <c r="DZ350" i="25"/>
  <c r="DZ290" i="25"/>
  <c r="DX315" i="25"/>
  <c r="DX389" i="25"/>
  <c r="DZ389" i="25"/>
  <c r="DX376" i="25"/>
  <c r="DZ376" i="25"/>
  <c r="DX340" i="25"/>
  <c r="DZ340" i="25"/>
  <c r="DX237" i="25"/>
  <c r="DZ237" i="25"/>
  <c r="DZ234" i="25"/>
  <c r="DX234" i="25"/>
  <c r="DT340" i="25"/>
  <c r="DP311" i="25"/>
  <c r="DQ311" i="25" s="1"/>
  <c r="DR311" i="25" s="1"/>
  <c r="DS311" i="25" s="1"/>
  <c r="DP305" i="25"/>
  <c r="DQ305" i="25" s="1"/>
  <c r="DR305" i="25" s="1"/>
  <c r="DS305" i="25" s="1"/>
  <c r="DP394" i="25"/>
  <c r="DQ394" i="25" s="1"/>
  <c r="DR394" i="25" s="1"/>
  <c r="DS394" i="25" s="1"/>
  <c r="DP359" i="25"/>
  <c r="DQ359" i="25" s="1"/>
  <c r="DR359" i="25" s="1"/>
  <c r="DS359" i="25" s="1"/>
  <c r="DP261" i="25"/>
  <c r="DQ261" i="25" s="1"/>
  <c r="DR261" i="25" s="1"/>
  <c r="DS261" i="25" s="1"/>
  <c r="DP406" i="25"/>
  <c r="DQ406" i="25" s="1"/>
  <c r="DR406" i="25" s="1"/>
  <c r="DS406" i="25" s="1"/>
  <c r="DP374" i="25"/>
  <c r="DQ374" i="25" s="1"/>
  <c r="DR374" i="25" s="1"/>
  <c r="DS374" i="25" s="1"/>
  <c r="DP384" i="25"/>
  <c r="DQ384" i="25" s="1"/>
  <c r="DR384" i="25" s="1"/>
  <c r="DS384" i="25" s="1"/>
  <c r="DP405" i="25"/>
  <c r="DQ405" i="25" s="1"/>
  <c r="DR405" i="25" s="1"/>
  <c r="DS405" i="25" s="1"/>
  <c r="DP269" i="25"/>
  <c r="DQ269" i="25" s="1"/>
  <c r="DR269" i="25" s="1"/>
  <c r="DS269" i="25" s="1"/>
  <c r="DP239" i="25"/>
  <c r="DQ239" i="25" s="1"/>
  <c r="DR239" i="25" s="1"/>
  <c r="DS239" i="25" s="1"/>
  <c r="DP241" i="25"/>
  <c r="DQ241" i="25" s="1"/>
  <c r="DR241" i="25" s="1"/>
  <c r="DS241" i="25" s="1"/>
  <c r="DP332" i="25"/>
  <c r="DQ332" i="25" s="1"/>
  <c r="DR332" i="25" s="1"/>
  <c r="DS332" i="25" s="1"/>
  <c r="DT379" i="25"/>
  <c r="DT395" i="25"/>
  <c r="DP377" i="25"/>
  <c r="DQ377" i="25" s="1"/>
  <c r="DR377" i="25" s="1"/>
  <c r="DS377" i="25" s="1"/>
  <c r="DP345" i="25"/>
  <c r="DQ345" i="25" s="1"/>
  <c r="DR345" i="25" s="1"/>
  <c r="DS345" i="25" s="1"/>
  <c r="DP234" i="25"/>
  <c r="DQ234" i="25" s="1"/>
  <c r="DR234" i="25" s="1"/>
  <c r="DS234" i="25" s="1"/>
  <c r="CQ373" i="25"/>
  <c r="CQ404" i="25"/>
  <c r="CQ396" i="25"/>
  <c r="CQ366" i="25"/>
  <c r="CQ231" i="25"/>
  <c r="CQ232" i="25"/>
  <c r="CQ389" i="25"/>
  <c r="CQ292" i="25"/>
  <c r="CP371" i="25"/>
  <c r="CR371" i="25" s="1"/>
  <c r="CS371" i="25" s="1"/>
  <c r="CG241" i="25"/>
  <c r="CG332" i="25"/>
  <c r="DP232" i="25"/>
  <c r="DQ232" i="25" s="1"/>
  <c r="DR232" i="25" s="1"/>
  <c r="DS232" i="25" s="1"/>
  <c r="CQ352" i="25"/>
  <c r="CQ371" i="25"/>
  <c r="CQ398" i="25"/>
  <c r="CQ380" i="25"/>
  <c r="CQ327" i="25"/>
  <c r="CQ240" i="25"/>
  <c r="CQ238" i="25"/>
  <c r="CQ233" i="25"/>
  <c r="DF289" i="25"/>
  <c r="DI289" i="25"/>
  <c r="DJ289" i="25" s="1"/>
  <c r="DE289" i="25"/>
  <c r="DD289" i="25" s="1"/>
  <c r="DK289" i="25" s="1"/>
  <c r="DI379" i="25"/>
  <c r="DJ379" i="25" s="1"/>
  <c r="DD379" i="25"/>
  <c r="DK379" i="25" s="1"/>
  <c r="DF379" i="25"/>
  <c r="DF395" i="25"/>
  <c r="DI395" i="25"/>
  <c r="DJ395" i="25" s="1"/>
  <c r="DE395" i="25"/>
  <c r="DD395" i="25" s="1"/>
  <c r="DK395" i="25" s="1"/>
  <c r="DF251" i="25"/>
  <c r="DI251" i="25"/>
  <c r="DJ251" i="25" s="1"/>
  <c r="DE251" i="25"/>
  <c r="DD251" i="25" s="1"/>
  <c r="DK251" i="25" s="1"/>
  <c r="DE229" i="25"/>
  <c r="DD229" i="25" s="1"/>
  <c r="DK229" i="25" s="1"/>
  <c r="DF229" i="25"/>
  <c r="DI229" i="25"/>
  <c r="DJ229" i="25" s="1"/>
  <c r="DF291" i="25"/>
  <c r="DI291" i="25"/>
  <c r="DJ291" i="25" s="1"/>
  <c r="DE291" i="25"/>
  <c r="DD291" i="25" s="1"/>
  <c r="DK291" i="25" s="1"/>
  <c r="DF314" i="25"/>
  <c r="DE314" i="25"/>
  <c r="DD314" i="25" s="1"/>
  <c r="DK314" i="25" s="1"/>
  <c r="DI314" i="25"/>
  <c r="DJ314" i="25" s="1"/>
  <c r="DI306" i="25"/>
  <c r="DJ306" i="25" s="1"/>
  <c r="DF306" i="25"/>
  <c r="DE306" i="25"/>
  <c r="DD306" i="25" s="1"/>
  <c r="DK306" i="25" s="1"/>
  <c r="DI387" i="25"/>
  <c r="DJ387" i="25" s="1"/>
  <c r="DF387" i="25"/>
  <c r="DE387" i="25"/>
  <c r="DD387" i="25" s="1"/>
  <c r="DK387" i="25" s="1"/>
  <c r="DI271" i="25"/>
  <c r="DJ271" i="25" s="1"/>
  <c r="DF271" i="25"/>
  <c r="DE271" i="25"/>
  <c r="DD271" i="25" s="1"/>
  <c r="DK271" i="25" s="1"/>
  <c r="DI350" i="25"/>
  <c r="DJ350" i="25" s="1"/>
  <c r="DF350" i="25"/>
  <c r="DE350" i="25"/>
  <c r="DD350" i="25" s="1"/>
  <c r="DK350" i="25" s="1"/>
  <c r="DI368" i="25"/>
  <c r="DJ368" i="25" s="1"/>
  <c r="DF368" i="25"/>
  <c r="DE368" i="25"/>
  <c r="DD368" i="25" s="1"/>
  <c r="DK368" i="25" s="1"/>
  <c r="DI378" i="25"/>
  <c r="DJ378" i="25" s="1"/>
  <c r="DF378" i="25"/>
  <c r="DE378" i="25"/>
  <c r="DD378" i="25" s="1"/>
  <c r="DK378" i="25" s="1"/>
  <c r="DI375" i="25"/>
  <c r="DJ375" i="25" s="1"/>
  <c r="DF375" i="25"/>
  <c r="DE375" i="25"/>
  <c r="DD375" i="25" s="1"/>
  <c r="DK375" i="25" s="1"/>
  <c r="DI372" i="25"/>
  <c r="DJ372" i="25" s="1"/>
  <c r="DF372" i="25"/>
  <c r="DE372" i="25"/>
  <c r="DD372" i="25" s="1"/>
  <c r="DK372" i="25" s="1"/>
  <c r="DI367" i="25"/>
  <c r="DJ367" i="25" s="1"/>
  <c r="DF367" i="25"/>
  <c r="DE367" i="25"/>
  <c r="DD367" i="25" s="1"/>
  <c r="DK367" i="25" s="1"/>
  <c r="DI248" i="25"/>
  <c r="DJ248" i="25" s="1"/>
  <c r="DF248" i="25"/>
  <c r="DE248" i="25"/>
  <c r="DD248" i="25" s="1"/>
  <c r="DK248" i="25" s="1"/>
  <c r="DI270" i="25"/>
  <c r="DJ270" i="25" s="1"/>
  <c r="DF270" i="25"/>
  <c r="DE270" i="25"/>
  <c r="DD270" i="25" s="1"/>
  <c r="DK270" i="25" s="1"/>
  <c r="DI223" i="25"/>
  <c r="DJ223" i="25" s="1"/>
  <c r="DF223" i="25"/>
  <c r="DE223" i="25"/>
  <c r="DD223" i="25" s="1"/>
  <c r="DK223" i="25" s="1"/>
  <c r="DI294" i="25"/>
  <c r="DJ294" i="25" s="1"/>
  <c r="DF294" i="25"/>
  <c r="DE294" i="25"/>
  <c r="DD294" i="25" s="1"/>
  <c r="DK294" i="25" s="1"/>
  <c r="DZ258" i="25"/>
  <c r="DX364" i="25"/>
  <c r="DF400" i="25"/>
  <c r="DI400" i="25"/>
  <c r="DJ400" i="25" s="1"/>
  <c r="DE400" i="25"/>
  <c r="DD400" i="25" s="1"/>
  <c r="DK400" i="25" s="1"/>
  <c r="DI249" i="25"/>
  <c r="DJ249" i="25" s="1"/>
  <c r="DF249" i="25"/>
  <c r="DE249" i="25"/>
  <c r="DD249" i="25" s="1"/>
  <c r="DK249" i="25" s="1"/>
  <c r="DF311" i="25"/>
  <c r="DE311" i="25"/>
  <c r="DD311" i="25" s="1"/>
  <c r="DK311" i="25" s="1"/>
  <c r="DI311" i="25"/>
  <c r="DJ311" i="25" s="1"/>
  <c r="DF305" i="25"/>
  <c r="DE305" i="25"/>
  <c r="DD305" i="25" s="1"/>
  <c r="DK305" i="25" s="1"/>
  <c r="DI305" i="25"/>
  <c r="DJ305" i="25" s="1"/>
  <c r="DF394" i="25"/>
  <c r="DE394" i="25"/>
  <c r="DD394" i="25" s="1"/>
  <c r="DK394" i="25" s="1"/>
  <c r="DI394" i="25"/>
  <c r="DJ394" i="25" s="1"/>
  <c r="DF359" i="25"/>
  <c r="DE359" i="25"/>
  <c r="DD359" i="25" s="1"/>
  <c r="DK359" i="25" s="1"/>
  <c r="DI359" i="25"/>
  <c r="DJ359" i="25" s="1"/>
  <c r="DF261" i="25"/>
  <c r="DE261" i="25"/>
  <c r="DD261" i="25" s="1"/>
  <c r="DK261" i="25" s="1"/>
  <c r="DI261" i="25"/>
  <c r="DJ261" i="25" s="1"/>
  <c r="DF406" i="25"/>
  <c r="DI406" i="25"/>
  <c r="DJ406" i="25" s="1"/>
  <c r="DE406" i="25"/>
  <c r="DD406" i="25" s="1"/>
  <c r="DK406" i="25" s="1"/>
  <c r="DF374" i="25"/>
  <c r="DI374" i="25"/>
  <c r="DJ374" i="25" s="1"/>
  <c r="DE374" i="25"/>
  <c r="DD374" i="25" s="1"/>
  <c r="DK374" i="25" s="1"/>
  <c r="DF384" i="25"/>
  <c r="DE384" i="25"/>
  <c r="DD384" i="25" s="1"/>
  <c r="DK384" i="25" s="1"/>
  <c r="DI384" i="25"/>
  <c r="DJ384" i="25" s="1"/>
  <c r="DF405" i="25"/>
  <c r="DE405" i="25"/>
  <c r="DD405" i="25" s="1"/>
  <c r="DK405" i="25" s="1"/>
  <c r="DI405" i="25"/>
  <c r="DJ405" i="25" s="1"/>
  <c r="DF269" i="25"/>
  <c r="DI269" i="25"/>
  <c r="DJ269" i="25" s="1"/>
  <c r="DE269" i="25"/>
  <c r="DD269" i="25" s="1"/>
  <c r="DK269" i="25" s="1"/>
  <c r="DF239" i="25"/>
  <c r="DI239" i="25"/>
  <c r="DJ239" i="25" s="1"/>
  <c r="DE239" i="25"/>
  <c r="DD239" i="25" s="1"/>
  <c r="DK239" i="25" s="1"/>
  <c r="DF241" i="25"/>
  <c r="DE241" i="25"/>
  <c r="DD241" i="25" s="1"/>
  <c r="DK241" i="25" s="1"/>
  <c r="DI241" i="25"/>
  <c r="DJ241" i="25" s="1"/>
  <c r="DF332" i="25"/>
  <c r="DE332" i="25"/>
  <c r="DD332" i="25" s="1"/>
  <c r="DK332" i="25" s="1"/>
  <c r="DI332" i="25"/>
  <c r="DJ332" i="25" s="1"/>
  <c r="DX379" i="25"/>
  <c r="DE399" i="25"/>
  <c r="DD399" i="25" s="1"/>
  <c r="DK399" i="25" s="1"/>
  <c r="DF399" i="25"/>
  <c r="DI399" i="25"/>
  <c r="DJ399" i="25" s="1"/>
  <c r="DE220" i="25"/>
  <c r="DD220" i="25" s="1"/>
  <c r="DK220" i="25" s="1"/>
  <c r="DF220" i="25"/>
  <c r="DI220" i="25"/>
  <c r="DJ220" i="25" s="1"/>
  <c r="DE344" i="25"/>
  <c r="DD344" i="25" s="1"/>
  <c r="DK344" i="25" s="1"/>
  <c r="DI344" i="25"/>
  <c r="DJ344" i="25" s="1"/>
  <c r="DF344" i="25"/>
  <c r="DE347" i="25"/>
  <c r="DD347" i="25" s="1"/>
  <c r="DK347" i="25" s="1"/>
  <c r="DF347" i="25"/>
  <c r="DI347" i="25"/>
  <c r="DJ347" i="25" s="1"/>
  <c r="DE355" i="25"/>
  <c r="DD355" i="25" s="1"/>
  <c r="DK355" i="25" s="1"/>
  <c r="DF355" i="25"/>
  <c r="DI355" i="25"/>
  <c r="DJ355" i="25" s="1"/>
  <c r="DE373" i="25"/>
  <c r="DD373" i="25" s="1"/>
  <c r="DK373" i="25" s="1"/>
  <c r="DI373" i="25"/>
  <c r="DJ373" i="25" s="1"/>
  <c r="DF373" i="25"/>
  <c r="DE404" i="25"/>
  <c r="DD404" i="25" s="1"/>
  <c r="DK404" i="25" s="1"/>
  <c r="DF404" i="25"/>
  <c r="DI404" i="25"/>
  <c r="DJ404" i="25" s="1"/>
  <c r="DE396" i="25"/>
  <c r="DD396" i="25" s="1"/>
  <c r="DK396" i="25" s="1"/>
  <c r="DF396" i="25"/>
  <c r="DI396" i="25"/>
  <c r="DJ396" i="25" s="1"/>
  <c r="DE366" i="25"/>
  <c r="DD366" i="25" s="1"/>
  <c r="DK366" i="25" s="1"/>
  <c r="DF366" i="25"/>
  <c r="DI366" i="25"/>
  <c r="DJ366" i="25" s="1"/>
  <c r="DE231" i="25"/>
  <c r="DD231" i="25" s="1"/>
  <c r="DK231" i="25" s="1"/>
  <c r="DI231" i="25"/>
  <c r="DJ231" i="25" s="1"/>
  <c r="DF231" i="25"/>
  <c r="DE232" i="25"/>
  <c r="DD232" i="25" s="1"/>
  <c r="DK232" i="25" s="1"/>
  <c r="DF232" i="25"/>
  <c r="DI232" i="25"/>
  <c r="DJ232" i="25" s="1"/>
  <c r="DX289" i="25"/>
  <c r="DI243" i="25"/>
  <c r="DJ243" i="25" s="1"/>
  <c r="DF243" i="25"/>
  <c r="DE243" i="25"/>
  <c r="DD243" i="25" s="1"/>
  <c r="DK243" i="25" s="1"/>
  <c r="DE284" i="25"/>
  <c r="DD284" i="25" s="1"/>
  <c r="DK284" i="25" s="1"/>
  <c r="DF284" i="25"/>
  <c r="DE245" i="25"/>
  <c r="DD245" i="25" s="1"/>
  <c r="DK245" i="25" s="1"/>
  <c r="DF245" i="25"/>
  <c r="DI245" i="25"/>
  <c r="DJ245" i="25" s="1"/>
  <c r="DE365" i="25"/>
  <c r="DD365" i="25" s="1"/>
  <c r="DK365" i="25" s="1"/>
  <c r="DF365" i="25"/>
  <c r="DI365" i="25"/>
  <c r="DJ365" i="25" s="1"/>
  <c r="DE353" i="25"/>
  <c r="DD353" i="25" s="1"/>
  <c r="DK353" i="25" s="1"/>
  <c r="DF353" i="25"/>
  <c r="DI353" i="25"/>
  <c r="DJ353" i="25" s="1"/>
  <c r="DE328" i="25"/>
  <c r="DD328" i="25" s="1"/>
  <c r="DK328" i="25" s="1"/>
  <c r="DF328" i="25"/>
  <c r="DI328" i="25"/>
  <c r="DJ328" i="25" s="1"/>
  <c r="DE315" i="25"/>
  <c r="DD315" i="25" s="1"/>
  <c r="DK315" i="25" s="1"/>
  <c r="DF315" i="25"/>
  <c r="DI315" i="25"/>
  <c r="DJ315" i="25" s="1"/>
  <c r="DE393" i="25"/>
  <c r="DD393" i="25" s="1"/>
  <c r="DK393" i="25" s="1"/>
  <c r="DF393" i="25"/>
  <c r="DI393" i="25"/>
  <c r="DJ393" i="25" s="1"/>
  <c r="DE352" i="25"/>
  <c r="DD352" i="25" s="1"/>
  <c r="DK352" i="25" s="1"/>
  <c r="DF352" i="25"/>
  <c r="DI352" i="25"/>
  <c r="DJ352" i="25" s="1"/>
  <c r="DE371" i="25"/>
  <c r="DD371" i="25" s="1"/>
  <c r="DK371" i="25" s="1"/>
  <c r="DF371" i="25"/>
  <c r="DI371" i="25"/>
  <c r="DJ371" i="25" s="1"/>
  <c r="DE398" i="25"/>
  <c r="DD398" i="25" s="1"/>
  <c r="DK398" i="25" s="1"/>
  <c r="DF398" i="25"/>
  <c r="DI398" i="25"/>
  <c r="DJ398" i="25" s="1"/>
  <c r="DE382" i="25"/>
  <c r="DD382" i="25" s="1"/>
  <c r="DK382" i="25" s="1"/>
  <c r="DF382" i="25"/>
  <c r="DI382" i="25"/>
  <c r="DJ382" i="25" s="1"/>
  <c r="DE380" i="25"/>
  <c r="DD380" i="25" s="1"/>
  <c r="DK380" i="25" s="1"/>
  <c r="DF380" i="25"/>
  <c r="DI380" i="25"/>
  <c r="DJ380" i="25" s="1"/>
  <c r="DE327" i="25"/>
  <c r="DD327" i="25" s="1"/>
  <c r="DK327" i="25" s="1"/>
  <c r="DF327" i="25"/>
  <c r="DI327" i="25"/>
  <c r="DJ327" i="25" s="1"/>
  <c r="DE240" i="25"/>
  <c r="DD240" i="25" s="1"/>
  <c r="DK240" i="25" s="1"/>
  <c r="DF240" i="25"/>
  <c r="DI240" i="25"/>
  <c r="DJ240" i="25" s="1"/>
  <c r="DE238" i="25"/>
  <c r="DD238" i="25" s="1"/>
  <c r="DK238" i="25" s="1"/>
  <c r="DF238" i="25"/>
  <c r="DI238" i="25"/>
  <c r="DJ238" i="25" s="1"/>
  <c r="DE233" i="25"/>
  <c r="DD233" i="25" s="1"/>
  <c r="DK233" i="25" s="1"/>
  <c r="DF233" i="25"/>
  <c r="DI233" i="25"/>
  <c r="DJ233" i="25" s="1"/>
  <c r="DX243" i="25"/>
  <c r="DX249" i="25"/>
  <c r="DF363" i="25"/>
  <c r="DI363" i="25"/>
  <c r="DJ363" i="25" s="1"/>
  <c r="DE363" i="25"/>
  <c r="DD363" i="25" s="1"/>
  <c r="DK363" i="25" s="1"/>
  <c r="DE348" i="25"/>
  <c r="DD348" i="25" s="1"/>
  <c r="DK348" i="25" s="1"/>
  <c r="DF348" i="25"/>
  <c r="DI348" i="25"/>
  <c r="DJ348" i="25" s="1"/>
  <c r="DE390" i="25"/>
  <c r="DD390" i="25" s="1"/>
  <c r="DK390" i="25" s="1"/>
  <c r="DF390" i="25"/>
  <c r="DI390" i="25"/>
  <c r="DJ390" i="25" s="1"/>
  <c r="DE385" i="25"/>
  <c r="DD385" i="25" s="1"/>
  <c r="DK385" i="25" s="1"/>
  <c r="DI385" i="25"/>
  <c r="DJ385" i="25" s="1"/>
  <c r="DF385" i="25"/>
  <c r="DE388" i="25"/>
  <c r="DD388" i="25" s="1"/>
  <c r="DK388" i="25" s="1"/>
  <c r="DF388" i="25"/>
  <c r="DI388" i="25"/>
  <c r="DJ388" i="25" s="1"/>
  <c r="DE351" i="25"/>
  <c r="DD351" i="25" s="1"/>
  <c r="DK351" i="25" s="1"/>
  <c r="DF351" i="25"/>
  <c r="DI351" i="25"/>
  <c r="DJ351" i="25" s="1"/>
  <c r="DE278" i="25"/>
  <c r="DD278" i="25" s="1"/>
  <c r="DK278" i="25" s="1"/>
  <c r="DF278" i="25"/>
  <c r="DI278" i="25"/>
  <c r="DJ278" i="25" s="1"/>
  <c r="DE260" i="25"/>
  <c r="DD260" i="25" s="1"/>
  <c r="DK260" i="25" s="1"/>
  <c r="DF260" i="25"/>
  <c r="DI260" i="25"/>
  <c r="DJ260" i="25" s="1"/>
  <c r="DE397" i="25"/>
  <c r="DD397" i="25" s="1"/>
  <c r="DK397" i="25" s="1"/>
  <c r="DF397" i="25"/>
  <c r="DI397" i="25"/>
  <c r="DJ397" i="25" s="1"/>
  <c r="DE370" i="25"/>
  <c r="DD370" i="25" s="1"/>
  <c r="DK370" i="25" s="1"/>
  <c r="DI370" i="25"/>
  <c r="DJ370" i="25" s="1"/>
  <c r="DF370" i="25"/>
  <c r="DE326" i="25"/>
  <c r="DD326" i="25" s="1"/>
  <c r="DK326" i="25" s="1"/>
  <c r="DI326" i="25"/>
  <c r="DJ326" i="25" s="1"/>
  <c r="DF326" i="25"/>
  <c r="DE333" i="25"/>
  <c r="DD333" i="25" s="1"/>
  <c r="DK333" i="25" s="1"/>
  <c r="DF333" i="25"/>
  <c r="DI333" i="25"/>
  <c r="DJ333" i="25" s="1"/>
  <c r="DE235" i="25"/>
  <c r="DD235" i="25" s="1"/>
  <c r="DK235" i="25" s="1"/>
  <c r="DF235" i="25"/>
  <c r="DI235" i="25"/>
  <c r="DJ235" i="25" s="1"/>
  <c r="DX317" i="25"/>
  <c r="DE364" i="25"/>
  <c r="DD364" i="25" s="1"/>
  <c r="DK364" i="25" s="1"/>
  <c r="DF364" i="25"/>
  <c r="DI364" i="25"/>
  <c r="DJ364" i="25" s="1"/>
  <c r="DI358" i="25"/>
  <c r="DJ358" i="25" s="1"/>
  <c r="DE358" i="25"/>
  <c r="DD358" i="25" s="1"/>
  <c r="DK358" i="25" s="1"/>
  <c r="DF358" i="25"/>
  <c r="DE346" i="25"/>
  <c r="DD346" i="25" s="1"/>
  <c r="DK346" i="25" s="1"/>
  <c r="DF346" i="25"/>
  <c r="DI346" i="25"/>
  <c r="DJ346" i="25" s="1"/>
  <c r="DE389" i="25"/>
  <c r="DD389" i="25" s="1"/>
  <c r="DK389" i="25" s="1"/>
  <c r="DI389" i="25"/>
  <c r="DJ389" i="25" s="1"/>
  <c r="DF389" i="25"/>
  <c r="DI386" i="25"/>
  <c r="DJ386" i="25" s="1"/>
  <c r="DE386" i="25"/>
  <c r="DD386" i="25" s="1"/>
  <c r="DK386" i="25" s="1"/>
  <c r="DF386" i="25"/>
  <c r="DE273" i="25"/>
  <c r="DD273" i="25" s="1"/>
  <c r="DK273" i="25" s="1"/>
  <c r="DF273" i="25"/>
  <c r="DI273" i="25"/>
  <c r="DJ273" i="25" s="1"/>
  <c r="DF258" i="25"/>
  <c r="DE258" i="25"/>
  <c r="DD258" i="25" s="1"/>
  <c r="DK258" i="25" s="1"/>
  <c r="DI258" i="25"/>
  <c r="DJ258" i="25" s="1"/>
  <c r="DE376" i="25"/>
  <c r="DD376" i="25" s="1"/>
  <c r="DK376" i="25" s="1"/>
  <c r="DI376" i="25"/>
  <c r="DJ376" i="25" s="1"/>
  <c r="DF376" i="25"/>
  <c r="DE369" i="25"/>
  <c r="DD369" i="25" s="1"/>
  <c r="DK369" i="25" s="1"/>
  <c r="DI369" i="25"/>
  <c r="DJ369" i="25" s="1"/>
  <c r="DF369" i="25"/>
  <c r="DI321" i="25"/>
  <c r="DJ321" i="25" s="1"/>
  <c r="DE321" i="25"/>
  <c r="DD321" i="25" s="1"/>
  <c r="DK321" i="25" s="1"/>
  <c r="DF321" i="25"/>
  <c r="DE340" i="25"/>
  <c r="DD340" i="25" s="1"/>
  <c r="DK340" i="25" s="1"/>
  <c r="DF340" i="25"/>
  <c r="DI340" i="25"/>
  <c r="DJ340" i="25" s="1"/>
  <c r="DF337" i="25"/>
  <c r="DE337" i="25"/>
  <c r="DD337" i="25" s="1"/>
  <c r="DK337" i="25" s="1"/>
  <c r="DI337" i="25"/>
  <c r="DJ337" i="25" s="1"/>
  <c r="DF237" i="25"/>
  <c r="DE237" i="25"/>
  <c r="DD237" i="25" s="1"/>
  <c r="DK237" i="25" s="1"/>
  <c r="DI237" i="25"/>
  <c r="DJ237" i="25" s="1"/>
  <c r="DE292" i="25"/>
  <c r="DD292" i="25" s="1"/>
  <c r="DK292" i="25" s="1"/>
  <c r="DI292" i="25"/>
  <c r="DJ292" i="25" s="1"/>
  <c r="DF292" i="25"/>
  <c r="DE336" i="25"/>
  <c r="DD336" i="25" s="1"/>
  <c r="DK336" i="25" s="1"/>
  <c r="DF336" i="25"/>
  <c r="DI336" i="25"/>
  <c r="DJ336" i="25" s="1"/>
  <c r="DE331" i="25"/>
  <c r="DD331" i="25" s="1"/>
  <c r="DK331" i="25" s="1"/>
  <c r="DF331" i="25"/>
  <c r="DI331" i="25"/>
  <c r="DJ331" i="25" s="1"/>
  <c r="DX328" i="25"/>
  <c r="DX400" i="25"/>
  <c r="DX371" i="25"/>
  <c r="DX397" i="25"/>
  <c r="DX395" i="25"/>
  <c r="DX238" i="25"/>
  <c r="DX291" i="25"/>
  <c r="DI317" i="25"/>
  <c r="DJ317" i="25" s="1"/>
  <c r="DE317" i="25"/>
  <c r="DD317" i="25" s="1"/>
  <c r="DK317" i="25" s="1"/>
  <c r="DF317" i="25"/>
  <c r="DE356" i="25"/>
  <c r="DD356" i="25" s="1"/>
  <c r="DK356" i="25" s="1"/>
  <c r="DI356" i="25"/>
  <c r="DJ356" i="25" s="1"/>
  <c r="DF356" i="25"/>
  <c r="DE252" i="25"/>
  <c r="DD252" i="25" s="1"/>
  <c r="DK252" i="25" s="1"/>
  <c r="DF252" i="25"/>
  <c r="DI252" i="25"/>
  <c r="DJ252" i="25" s="1"/>
  <c r="DE343" i="25"/>
  <c r="DD343" i="25" s="1"/>
  <c r="DK343" i="25" s="1"/>
  <c r="DF343" i="25"/>
  <c r="DI343" i="25"/>
  <c r="DJ343" i="25" s="1"/>
  <c r="DE304" i="25"/>
  <c r="DD304" i="25" s="1"/>
  <c r="DK304" i="25" s="1"/>
  <c r="DF304" i="25"/>
  <c r="DI304" i="25"/>
  <c r="DJ304" i="25" s="1"/>
  <c r="DE407" i="25"/>
  <c r="DD407" i="25" s="1"/>
  <c r="DK407" i="25" s="1"/>
  <c r="DF407" i="25"/>
  <c r="DI407" i="25"/>
  <c r="DJ407" i="25" s="1"/>
  <c r="DE246" i="25"/>
  <c r="DD246" i="25" s="1"/>
  <c r="DK246" i="25" s="1"/>
  <c r="DI246" i="25"/>
  <c r="DJ246" i="25" s="1"/>
  <c r="DF246" i="25"/>
  <c r="DE377" i="25"/>
  <c r="DD377" i="25" s="1"/>
  <c r="DK377" i="25" s="1"/>
  <c r="DF377" i="25"/>
  <c r="DI377" i="25"/>
  <c r="DJ377" i="25" s="1"/>
  <c r="DE383" i="25"/>
  <c r="DD383" i="25" s="1"/>
  <c r="DK383" i="25" s="1"/>
  <c r="DF383" i="25"/>
  <c r="DI383" i="25"/>
  <c r="DJ383" i="25" s="1"/>
  <c r="DE381" i="25"/>
  <c r="DD381" i="25" s="1"/>
  <c r="DK381" i="25" s="1"/>
  <c r="DF381" i="25"/>
  <c r="DI381" i="25"/>
  <c r="DJ381" i="25" s="1"/>
  <c r="DE345" i="25"/>
  <c r="DD345" i="25" s="1"/>
  <c r="DK345" i="25" s="1"/>
  <c r="DI345" i="25"/>
  <c r="DJ345" i="25" s="1"/>
  <c r="DF345" i="25"/>
  <c r="DE290" i="25"/>
  <c r="DD290" i="25" s="1"/>
  <c r="DK290" i="25" s="1"/>
  <c r="DF290" i="25"/>
  <c r="DI290" i="25"/>
  <c r="DJ290" i="25" s="1"/>
  <c r="DE250" i="25"/>
  <c r="DD250" i="25" s="1"/>
  <c r="DK250" i="25" s="1"/>
  <c r="DF250" i="25"/>
  <c r="DI250" i="25"/>
  <c r="DJ250" i="25" s="1"/>
  <c r="DE234" i="25"/>
  <c r="DD234" i="25" s="1"/>
  <c r="DK234" i="25" s="1"/>
  <c r="DI234" i="25"/>
  <c r="DJ234" i="25" s="1"/>
  <c r="DF234" i="25"/>
  <c r="DE330" i="25"/>
  <c r="DD330" i="25" s="1"/>
  <c r="DK330" i="25" s="1"/>
  <c r="DF330" i="25"/>
  <c r="DI330" i="25"/>
  <c r="DJ330" i="25" s="1"/>
  <c r="DX284" i="25"/>
  <c r="DX399" i="25"/>
  <c r="DX229" i="25"/>
  <c r="CU245" i="25"/>
  <c r="CU365" i="25"/>
  <c r="CU353" i="25"/>
  <c r="CU328" i="25"/>
  <c r="CU315" i="25"/>
  <c r="CU393" i="25"/>
  <c r="CU352" i="25"/>
  <c r="CU371" i="25"/>
  <c r="CU398" i="25"/>
  <c r="CU382" i="25"/>
  <c r="CU380" i="25"/>
  <c r="CU327" i="25"/>
  <c r="CU240" i="25"/>
  <c r="CU238" i="25"/>
  <c r="CU233" i="25"/>
  <c r="CP388" i="25"/>
  <c r="CR388" i="25" s="1"/>
  <c r="CQ348" i="25"/>
  <c r="CP348" i="25"/>
  <c r="CR348" i="25" s="1"/>
  <c r="CQ390" i="25"/>
  <c r="CP390" i="25"/>
  <c r="CR390" i="25" s="1"/>
  <c r="CQ385" i="25"/>
  <c r="CP385" i="25"/>
  <c r="CR385" i="25" s="1"/>
  <c r="CQ351" i="25"/>
  <c r="CP351" i="25"/>
  <c r="CR351" i="25" s="1"/>
  <c r="CQ278" i="25"/>
  <c r="CP278" i="25"/>
  <c r="CR278" i="25" s="1"/>
  <c r="CS278" i="25" s="1"/>
  <c r="CW278" i="25" s="1"/>
  <c r="CX278" i="25" s="1"/>
  <c r="DA278" i="25" s="1"/>
  <c r="CQ260" i="25"/>
  <c r="CP260" i="25"/>
  <c r="CR260" i="25" s="1"/>
  <c r="CQ397" i="25"/>
  <c r="CP397" i="25"/>
  <c r="CR397" i="25" s="1"/>
  <c r="CQ370" i="25"/>
  <c r="CP370" i="25"/>
  <c r="CR370" i="25" s="1"/>
  <c r="CQ326" i="25"/>
  <c r="CP326" i="25"/>
  <c r="CR326" i="25" s="1"/>
  <c r="CS326" i="25" s="1"/>
  <c r="CQ333" i="25"/>
  <c r="CP333" i="25"/>
  <c r="CR333" i="25" s="1"/>
  <c r="CS333" i="25" s="1"/>
  <c r="CW333" i="25" s="1"/>
  <c r="CX333" i="25" s="1"/>
  <c r="DA333" i="25" s="1"/>
  <c r="CQ235" i="25"/>
  <c r="CP235" i="25"/>
  <c r="CR235" i="25" s="1"/>
  <c r="CP317" i="25"/>
  <c r="CR317" i="25" s="1"/>
  <c r="CQ317" i="25"/>
  <c r="CP243" i="25"/>
  <c r="CR243" i="25" s="1"/>
  <c r="CP284" i="25"/>
  <c r="CR284" i="25" s="1"/>
  <c r="CQ284" i="25"/>
  <c r="CP400" i="25"/>
  <c r="CR400" i="25" s="1"/>
  <c r="CQ400" i="25"/>
  <c r="CP249" i="25"/>
  <c r="CR249" i="25" s="1"/>
  <c r="CQ249" i="25"/>
  <c r="CP379" i="25"/>
  <c r="CR379" i="25" s="1"/>
  <c r="CQ379" i="25"/>
  <c r="CP364" i="25"/>
  <c r="CR364" i="25" s="1"/>
  <c r="CQ364" i="25"/>
  <c r="CP363" i="25"/>
  <c r="CR363" i="25" s="1"/>
  <c r="CQ363" i="25"/>
  <c r="CP399" i="25"/>
  <c r="CR399" i="25" s="1"/>
  <c r="CQ399" i="25"/>
  <c r="CP395" i="25"/>
  <c r="CR395" i="25" s="1"/>
  <c r="CQ395" i="25"/>
  <c r="CP251" i="25"/>
  <c r="CR251" i="25" s="1"/>
  <c r="CQ251" i="25"/>
  <c r="CP229" i="25"/>
  <c r="CR229" i="25" s="1"/>
  <c r="CQ229" i="25"/>
  <c r="CP358" i="25"/>
  <c r="CR358" i="25" s="1"/>
  <c r="CQ358" i="25"/>
  <c r="CP346" i="25"/>
  <c r="CR346" i="25" s="1"/>
  <c r="CQ346" i="25"/>
  <c r="CP386" i="25"/>
  <c r="CR386" i="25" s="1"/>
  <c r="CQ386" i="25"/>
  <c r="CP273" i="25"/>
  <c r="CR273" i="25" s="1"/>
  <c r="CQ273" i="25"/>
  <c r="CQ258" i="25"/>
  <c r="CP258" i="25"/>
  <c r="CR258" i="25" s="1"/>
  <c r="CQ376" i="25"/>
  <c r="CP376" i="25"/>
  <c r="CR376" i="25" s="1"/>
  <c r="CQ369" i="25"/>
  <c r="CP369" i="25"/>
  <c r="CR369" i="25" s="1"/>
  <c r="CQ321" i="25"/>
  <c r="CP321" i="25"/>
  <c r="CR321" i="25" s="1"/>
  <c r="CQ340" i="25"/>
  <c r="CP340" i="25"/>
  <c r="CR340" i="25" s="1"/>
  <c r="CQ337" i="25"/>
  <c r="CP337" i="25"/>
  <c r="CR337" i="25" s="1"/>
  <c r="CQ237" i="25"/>
  <c r="CP237" i="25"/>
  <c r="CR237" i="25" s="1"/>
  <c r="CQ336" i="25"/>
  <c r="CP336" i="25"/>
  <c r="CR336" i="25" s="1"/>
  <c r="CQ331" i="25"/>
  <c r="CP331" i="25"/>
  <c r="CR331" i="25" s="1"/>
  <c r="CP314" i="25"/>
  <c r="CR314" i="25" s="1"/>
  <c r="CQ314" i="25"/>
  <c r="CP306" i="25"/>
  <c r="CR306" i="25" s="1"/>
  <c r="CQ306" i="25"/>
  <c r="CP387" i="25"/>
  <c r="CR387" i="25" s="1"/>
  <c r="CQ387" i="25"/>
  <c r="CP271" i="25"/>
  <c r="CR271" i="25" s="1"/>
  <c r="CQ271" i="25"/>
  <c r="CP350" i="25"/>
  <c r="CR350" i="25" s="1"/>
  <c r="CQ350" i="25"/>
  <c r="CP368" i="25"/>
  <c r="CR368" i="25" s="1"/>
  <c r="CQ368" i="25"/>
  <c r="CP378" i="25"/>
  <c r="CR378" i="25" s="1"/>
  <c r="CQ378" i="25"/>
  <c r="CP375" i="25"/>
  <c r="CR375" i="25" s="1"/>
  <c r="CQ375" i="25"/>
  <c r="CP372" i="25"/>
  <c r="CR372" i="25" s="1"/>
  <c r="CQ372" i="25"/>
  <c r="CP367" i="25"/>
  <c r="CR367" i="25" s="1"/>
  <c r="CQ367" i="25"/>
  <c r="CP248" i="25"/>
  <c r="CR248" i="25" s="1"/>
  <c r="CQ248" i="25"/>
  <c r="CP270" i="25"/>
  <c r="CR270" i="25" s="1"/>
  <c r="CQ270" i="25"/>
  <c r="CP223" i="25"/>
  <c r="CR223" i="25" s="1"/>
  <c r="CQ223" i="25"/>
  <c r="CP294" i="25"/>
  <c r="CR294" i="25" s="1"/>
  <c r="CQ294" i="25"/>
  <c r="CP245" i="25"/>
  <c r="CR245" i="25" s="1"/>
  <c r="CQ245" i="25"/>
  <c r="CP365" i="25"/>
  <c r="CR365" i="25" s="1"/>
  <c r="CS365" i="25" s="1"/>
  <c r="CQ365" i="25"/>
  <c r="CP353" i="25"/>
  <c r="CR353" i="25" s="1"/>
  <c r="CQ353" i="25"/>
  <c r="CP328" i="25"/>
  <c r="CR328" i="25" s="1"/>
  <c r="CS328" i="25" s="1"/>
  <c r="CQ328" i="25"/>
  <c r="CP315" i="25"/>
  <c r="CR315" i="25" s="1"/>
  <c r="CQ315" i="25"/>
  <c r="CP393" i="25"/>
  <c r="CR393" i="25" s="1"/>
  <c r="CS393" i="25" s="1"/>
  <c r="CQ393" i="25"/>
  <c r="CP352" i="25"/>
  <c r="CR352" i="25" s="1"/>
  <c r="CQ243" i="25"/>
  <c r="CU232" i="25"/>
  <c r="CQ356" i="25"/>
  <c r="CP356" i="25"/>
  <c r="CR356" i="25" s="1"/>
  <c r="CQ252" i="25"/>
  <c r="CP252" i="25"/>
  <c r="CR252" i="25" s="1"/>
  <c r="CQ343" i="25"/>
  <c r="CP343" i="25"/>
  <c r="CR343" i="25" s="1"/>
  <c r="CQ304" i="25"/>
  <c r="CP304" i="25"/>
  <c r="CR304" i="25" s="1"/>
  <c r="CQ407" i="25"/>
  <c r="CP407" i="25"/>
  <c r="CR407" i="25" s="1"/>
  <c r="CQ246" i="25"/>
  <c r="CP246" i="25"/>
  <c r="CR246" i="25" s="1"/>
  <c r="CQ377" i="25"/>
  <c r="CP377" i="25"/>
  <c r="CR377" i="25" s="1"/>
  <c r="CQ383" i="25"/>
  <c r="CP383" i="25"/>
  <c r="CR383" i="25" s="1"/>
  <c r="CQ381" i="25"/>
  <c r="CP381" i="25"/>
  <c r="CR381" i="25" s="1"/>
  <c r="CQ345" i="25"/>
  <c r="CP345" i="25"/>
  <c r="CR345" i="25" s="1"/>
  <c r="CQ290" i="25"/>
  <c r="CP290" i="25"/>
  <c r="CR290" i="25" s="1"/>
  <c r="CQ250" i="25"/>
  <c r="CP250" i="25"/>
  <c r="CR250" i="25" s="1"/>
  <c r="CQ234" i="25"/>
  <c r="CP234" i="25"/>
  <c r="CR234" i="25" s="1"/>
  <c r="CP291" i="25"/>
  <c r="CR291" i="25" s="1"/>
  <c r="CQ291" i="25"/>
  <c r="CP289" i="25"/>
  <c r="CR289" i="25" s="1"/>
  <c r="CQ289" i="25"/>
  <c r="CP220" i="25"/>
  <c r="CR220" i="25" s="1"/>
  <c r="CS220" i="25" s="1"/>
  <c r="CQ220" i="25"/>
  <c r="CP344" i="25"/>
  <c r="CR344" i="25" s="1"/>
  <c r="CQ344" i="25"/>
  <c r="CP347" i="25"/>
  <c r="CR347" i="25" s="1"/>
  <c r="CQ347" i="25"/>
  <c r="CP355" i="25"/>
  <c r="CR355" i="25" s="1"/>
  <c r="CQ355" i="25"/>
  <c r="CP373" i="25"/>
  <c r="CR373" i="25" s="1"/>
  <c r="CP404" i="25"/>
  <c r="CR404" i="25" s="1"/>
  <c r="CP396" i="25"/>
  <c r="CR396" i="25" s="1"/>
  <c r="CP366" i="25"/>
  <c r="CR366" i="25" s="1"/>
  <c r="CP231" i="25"/>
  <c r="CR231" i="25" s="1"/>
  <c r="CP232" i="25"/>
  <c r="CR232" i="25" s="1"/>
  <c r="CP398" i="25"/>
  <c r="CR398" i="25" s="1"/>
  <c r="CP382" i="25"/>
  <c r="CR382" i="25" s="1"/>
  <c r="CS382" i="25" s="1"/>
  <c r="CP380" i="25"/>
  <c r="CR380" i="25" s="1"/>
  <c r="CP327" i="25"/>
  <c r="CR327" i="25" s="1"/>
  <c r="CS327" i="25" s="1"/>
  <c r="CP240" i="25"/>
  <c r="CR240" i="25" s="1"/>
  <c r="CP238" i="25"/>
  <c r="CR238" i="25" s="1"/>
  <c r="CU355" i="25"/>
  <c r="CQ330" i="25"/>
  <c r="CP311" i="25"/>
  <c r="CR311" i="25" s="1"/>
  <c r="CP305" i="25"/>
  <c r="CR305" i="25" s="1"/>
  <c r="CQ305" i="25"/>
  <c r="CP394" i="25"/>
  <c r="CR394" i="25" s="1"/>
  <c r="CQ394" i="25"/>
  <c r="CP359" i="25"/>
  <c r="CR359" i="25" s="1"/>
  <c r="CP261" i="25"/>
  <c r="CR261" i="25" s="1"/>
  <c r="CQ261" i="25"/>
  <c r="CP233" i="25"/>
  <c r="CR233" i="25" s="1"/>
  <c r="CU326" i="25"/>
  <c r="CU235" i="25"/>
  <c r="CQ311" i="25"/>
  <c r="CP406" i="25"/>
  <c r="CR406" i="25" s="1"/>
  <c r="CP374" i="25"/>
  <c r="CR374" i="25" s="1"/>
  <c r="CP384" i="25"/>
  <c r="CR384" i="25" s="1"/>
  <c r="CP405" i="25"/>
  <c r="CR405" i="25" s="1"/>
  <c r="CQ405" i="25"/>
  <c r="CP269" i="25"/>
  <c r="CR269" i="25" s="1"/>
  <c r="CP239" i="25"/>
  <c r="CR239" i="25" s="1"/>
  <c r="CP241" i="25"/>
  <c r="CR241" i="25" s="1"/>
  <c r="CQ241" i="25"/>
  <c r="CP332" i="25"/>
  <c r="CR332" i="25" s="1"/>
  <c r="CQ332" i="25"/>
  <c r="CQ406" i="25"/>
  <c r="CQ374" i="25"/>
  <c r="DE197" i="25"/>
  <c r="DD197" i="25" s="1"/>
  <c r="DK197" i="25" s="1"/>
  <c r="EG177" i="25"/>
  <c r="DE194" i="25"/>
  <c r="DD194" i="25" s="1"/>
  <c r="DK194" i="25" s="1"/>
  <c r="DE196" i="25"/>
  <c r="DD196" i="25" s="1"/>
  <c r="DK196" i="25" s="1"/>
  <c r="DP197" i="25"/>
  <c r="DQ197" i="25" s="1"/>
  <c r="DR197" i="25" s="1"/>
  <c r="DS197" i="25" s="1"/>
  <c r="EG190" i="25"/>
  <c r="CG188" i="25"/>
  <c r="CG204" i="25"/>
  <c r="CG196" i="25"/>
  <c r="DE188" i="25"/>
  <c r="DD188" i="25" s="1"/>
  <c r="DK188" i="25" s="1"/>
  <c r="DE204" i="25"/>
  <c r="DD204" i="25" s="1"/>
  <c r="DK204" i="25" s="1"/>
  <c r="CG183" i="25"/>
  <c r="CG205" i="25"/>
  <c r="CG180" i="25"/>
  <c r="DE190" i="25"/>
  <c r="DD190" i="25" s="1"/>
  <c r="DK190" i="25" s="1"/>
  <c r="DE181" i="25"/>
  <c r="DD181" i="25" s="1"/>
  <c r="DK181" i="25" s="1"/>
  <c r="DE200" i="25"/>
  <c r="DD200" i="25" s="1"/>
  <c r="DK200" i="25" s="1"/>
  <c r="CP204" i="25"/>
  <c r="CR204" i="25" s="1"/>
  <c r="DE183" i="25"/>
  <c r="DD183" i="25" s="1"/>
  <c r="DK183" i="25" s="1"/>
  <c r="DE180" i="25"/>
  <c r="DD180" i="25" s="1"/>
  <c r="DK180" i="25" s="1"/>
  <c r="EH199" i="25"/>
  <c r="EH198" i="25"/>
  <c r="EG191" i="25"/>
  <c r="CG187" i="25"/>
  <c r="CG199" i="25"/>
  <c r="CG198" i="25"/>
  <c r="CG191" i="25"/>
  <c r="CG182" i="25"/>
  <c r="CG203" i="25"/>
  <c r="CG179" i="25"/>
  <c r="DE185" i="25"/>
  <c r="DD185" i="25" s="1"/>
  <c r="DK185" i="25" s="1"/>
  <c r="DZ182" i="25"/>
  <c r="EH195" i="25"/>
  <c r="DZ183" i="25"/>
  <c r="CQ199" i="25"/>
  <c r="CP203" i="25"/>
  <c r="CR203" i="25" s="1"/>
  <c r="EH190" i="25"/>
  <c r="EH181" i="25"/>
  <c r="EH200" i="25"/>
  <c r="EH177" i="25"/>
  <c r="EG201" i="25"/>
  <c r="EG195" i="25"/>
  <c r="DP181" i="25"/>
  <c r="DQ181" i="25" s="1"/>
  <c r="DR181" i="25" s="1"/>
  <c r="DS181" i="25" s="1"/>
  <c r="CQ183" i="25"/>
  <c r="CP191" i="25"/>
  <c r="CR191" i="25" s="1"/>
  <c r="CP190" i="25"/>
  <c r="CR190" i="25" s="1"/>
  <c r="DP185" i="25"/>
  <c r="DQ185" i="25" s="1"/>
  <c r="DR185" i="25" s="1"/>
  <c r="DS185" i="25" s="1"/>
  <c r="EH202" i="25"/>
  <c r="CQ185" i="25"/>
  <c r="CQ194" i="25"/>
  <c r="CP189" i="25"/>
  <c r="CR189" i="25" s="1"/>
  <c r="DX185" i="25"/>
  <c r="EG198" i="25"/>
  <c r="EF186" i="25"/>
  <c r="EF201" i="25"/>
  <c r="EF195" i="25"/>
  <c r="CQ201" i="25"/>
  <c r="CP200" i="25"/>
  <c r="CR200" i="25" s="1"/>
  <c r="CG201" i="25"/>
  <c r="CG195" i="25"/>
  <c r="CP197" i="25"/>
  <c r="CR197" i="25" s="1"/>
  <c r="EH204" i="25"/>
  <c r="CQ180" i="25"/>
  <c r="DP186" i="25"/>
  <c r="DQ186" i="25" s="1"/>
  <c r="DR186" i="25" s="1"/>
  <c r="DS186" i="25" s="1"/>
  <c r="DP195" i="25"/>
  <c r="DQ195" i="25" s="1"/>
  <c r="DR195" i="25" s="1"/>
  <c r="DS195" i="25" s="1"/>
  <c r="DP190" i="25"/>
  <c r="DQ190" i="25" s="1"/>
  <c r="DR190" i="25" s="1"/>
  <c r="DS190" i="25" s="1"/>
  <c r="DP200" i="25"/>
  <c r="DQ200" i="25" s="1"/>
  <c r="DR200" i="25" s="1"/>
  <c r="DS200" i="25" s="1"/>
  <c r="DP177" i="25"/>
  <c r="DQ177" i="25" s="1"/>
  <c r="DR177" i="25" s="1"/>
  <c r="DS177" i="25" s="1"/>
  <c r="EH186" i="25"/>
  <c r="EG181" i="25"/>
  <c r="EG200" i="25"/>
  <c r="EG202" i="25"/>
  <c r="CG189" i="25"/>
  <c r="CG178" i="25"/>
  <c r="CG185" i="25"/>
  <c r="CG194" i="25"/>
  <c r="EF188" i="25"/>
  <c r="EF196" i="25"/>
  <c r="EF197" i="25"/>
  <c r="CG190" i="25"/>
  <c r="CG181" i="25"/>
  <c r="CG200" i="25"/>
  <c r="CG177" i="25"/>
  <c r="DE186" i="25"/>
  <c r="DD186" i="25" s="1"/>
  <c r="DK186" i="25" s="1"/>
  <c r="DE201" i="25"/>
  <c r="DD201" i="25" s="1"/>
  <c r="DK201" i="25" s="1"/>
  <c r="DX203" i="25"/>
  <c r="DP178" i="25"/>
  <c r="DQ178" i="25" s="1"/>
  <c r="DR178" i="25" s="1"/>
  <c r="DS178" i="25" s="1"/>
  <c r="EH189" i="25"/>
  <c r="EH197" i="25"/>
  <c r="EH178" i="25"/>
  <c r="EG185" i="25"/>
  <c r="EG194" i="25"/>
  <c r="EH183" i="25"/>
  <c r="EH205" i="25"/>
  <c r="EH180" i="25"/>
  <c r="EG188" i="25"/>
  <c r="EG204" i="25"/>
  <c r="EG196" i="25"/>
  <c r="CP188" i="25"/>
  <c r="CR188" i="25" s="1"/>
  <c r="CP196" i="25"/>
  <c r="CR196" i="25" s="1"/>
  <c r="CQ205" i="25"/>
  <c r="EF185" i="25"/>
  <c r="EH188" i="25"/>
  <c r="EH196" i="25"/>
  <c r="EG183" i="25"/>
  <c r="EG205" i="25"/>
  <c r="CQ187" i="25"/>
  <c r="CQ198" i="25"/>
  <c r="CP182" i="25"/>
  <c r="CR182" i="25" s="1"/>
  <c r="CP179" i="25"/>
  <c r="CR179" i="25" s="1"/>
  <c r="CG186" i="25"/>
  <c r="CQ186" i="25"/>
  <c r="CQ195" i="25"/>
  <c r="CP181" i="25"/>
  <c r="CR181" i="25" s="1"/>
  <c r="CP177" i="25"/>
  <c r="CR177" i="25" s="1"/>
  <c r="EF203" i="25"/>
  <c r="CP202" i="25"/>
  <c r="CR202" i="25" s="1"/>
  <c r="CP178" i="25"/>
  <c r="CR178" i="25" s="1"/>
  <c r="EF189" i="25"/>
  <c r="EF202" i="25"/>
  <c r="EF178" i="25"/>
  <c r="DZ202" i="25"/>
  <c r="DX197" i="25"/>
  <c r="DT178" i="25"/>
  <c r="EF204" i="25"/>
  <c r="DX189" i="25"/>
  <c r="DX196" i="25"/>
  <c r="DP194" i="25"/>
  <c r="DQ194" i="25" s="1"/>
  <c r="DR194" i="25" s="1"/>
  <c r="DS194" i="25" s="1"/>
  <c r="DP189" i="25"/>
  <c r="DQ189" i="25" s="1"/>
  <c r="DR189" i="25" s="1"/>
  <c r="DS189" i="25" s="1"/>
  <c r="DP202" i="25"/>
  <c r="DQ202" i="25" s="1"/>
  <c r="DR202" i="25" s="1"/>
  <c r="DS202" i="25" s="1"/>
  <c r="EG180" i="25"/>
  <c r="CG202" i="25"/>
  <c r="CG197" i="25"/>
  <c r="DX188" i="25"/>
  <c r="DX178" i="25"/>
  <c r="DP183" i="25"/>
  <c r="DQ183" i="25" s="1"/>
  <c r="DR183" i="25" s="1"/>
  <c r="DS183" i="25" s="1"/>
  <c r="DP205" i="25"/>
  <c r="DQ205" i="25" s="1"/>
  <c r="DR205" i="25" s="1"/>
  <c r="DS205" i="25" s="1"/>
  <c r="DP180" i="25"/>
  <c r="DQ180" i="25" s="1"/>
  <c r="DR180" i="25" s="1"/>
  <c r="DS180" i="25" s="1"/>
  <c r="DP188" i="25"/>
  <c r="DQ188" i="25" s="1"/>
  <c r="DR188" i="25" s="1"/>
  <c r="DS188" i="25" s="1"/>
  <c r="DP204" i="25"/>
  <c r="DQ204" i="25" s="1"/>
  <c r="DR204" i="25" s="1"/>
  <c r="DS204" i="25" s="1"/>
  <c r="DP196" i="25"/>
  <c r="DQ196" i="25" s="1"/>
  <c r="DR196" i="25" s="1"/>
  <c r="DS196" i="25" s="1"/>
  <c r="EH187" i="25"/>
  <c r="EG182" i="25"/>
  <c r="EG203" i="25"/>
  <c r="EG179" i="25"/>
  <c r="CQ191" i="25"/>
  <c r="CQ182" i="25"/>
  <c r="CQ203" i="25"/>
  <c r="CQ179" i="25"/>
  <c r="CP187" i="25"/>
  <c r="CR187" i="25" s="1"/>
  <c r="CP199" i="25"/>
  <c r="CR199" i="25" s="1"/>
  <c r="CP198" i="25"/>
  <c r="CR198" i="25" s="1"/>
  <c r="DP191" i="25"/>
  <c r="DQ191" i="25" s="1"/>
  <c r="DR191" i="25" s="1"/>
  <c r="DS191" i="25" s="1"/>
  <c r="DP179" i="25"/>
  <c r="DQ179" i="25" s="1"/>
  <c r="DR179" i="25" s="1"/>
  <c r="DS179" i="25" s="1"/>
  <c r="EH191" i="25"/>
  <c r="EH182" i="25"/>
  <c r="EH203" i="25"/>
  <c r="EH179" i="25"/>
  <c r="EG187" i="25"/>
  <c r="EG199" i="25"/>
  <c r="EH201" i="25"/>
  <c r="CQ190" i="25"/>
  <c r="CQ181" i="25"/>
  <c r="CQ200" i="25"/>
  <c r="CQ177" i="25"/>
  <c r="CP186" i="25"/>
  <c r="CR186" i="25" s="1"/>
  <c r="CP201" i="25"/>
  <c r="CR201" i="25" s="1"/>
  <c r="CP195" i="25"/>
  <c r="CR195" i="25" s="1"/>
  <c r="EF194" i="25"/>
  <c r="DZ186" i="25"/>
  <c r="DP201" i="25"/>
  <c r="DQ201" i="25" s="1"/>
  <c r="DR201" i="25" s="1"/>
  <c r="DS201" i="25" s="1"/>
  <c r="EG186" i="25"/>
  <c r="EH185" i="25"/>
  <c r="EH194" i="25"/>
  <c r="EG189" i="25"/>
  <c r="EG197" i="25"/>
  <c r="EG178" i="25"/>
  <c r="CQ189" i="25"/>
  <c r="CQ202" i="25"/>
  <c r="CQ197" i="25"/>
  <c r="CQ178" i="25"/>
  <c r="CP185" i="25"/>
  <c r="CR185" i="25" s="1"/>
  <c r="CP194" i="25"/>
  <c r="CR194" i="25" s="1"/>
  <c r="EF183" i="25"/>
  <c r="EF205" i="25"/>
  <c r="EF180" i="25"/>
  <c r="DX204" i="25"/>
  <c r="CQ188" i="25"/>
  <c r="CQ204" i="25"/>
  <c r="CQ196" i="25"/>
  <c r="CP183" i="25"/>
  <c r="CR183" i="25" s="1"/>
  <c r="CP205" i="25"/>
  <c r="CR205" i="25" s="1"/>
  <c r="CP180" i="25"/>
  <c r="CR180" i="25" s="1"/>
  <c r="EF182" i="25"/>
  <c r="DZ195" i="25"/>
  <c r="DE187" i="25"/>
  <c r="DD187" i="25" s="1"/>
  <c r="DK187" i="25" s="1"/>
  <c r="DE199" i="25"/>
  <c r="DD199" i="25" s="1"/>
  <c r="DK199" i="25" s="1"/>
  <c r="DE198" i="25"/>
  <c r="DD198" i="25" s="1"/>
  <c r="DK198" i="25" s="1"/>
  <c r="EF191" i="25"/>
  <c r="EF179" i="25"/>
  <c r="DZ191" i="25"/>
  <c r="DZ194" i="25"/>
  <c r="DT195" i="25"/>
  <c r="DZ201" i="25"/>
  <c r="DZ180" i="25"/>
  <c r="DT194" i="25"/>
  <c r="DZ179" i="25"/>
  <c r="DT186" i="25"/>
  <c r="DT180" i="25"/>
  <c r="DP187" i="25"/>
  <c r="DQ187" i="25" s="1"/>
  <c r="DR187" i="25" s="1"/>
  <c r="DS187" i="25" s="1"/>
  <c r="DP199" i="25"/>
  <c r="DQ199" i="25" s="1"/>
  <c r="DR199" i="25" s="1"/>
  <c r="DS199" i="25" s="1"/>
  <c r="DP198" i="25"/>
  <c r="DQ198" i="25" s="1"/>
  <c r="DR198" i="25" s="1"/>
  <c r="DS198" i="25" s="1"/>
  <c r="DP182" i="25"/>
  <c r="DQ182" i="25" s="1"/>
  <c r="DR182" i="25" s="1"/>
  <c r="DS182" i="25" s="1"/>
  <c r="DP203" i="25"/>
  <c r="DQ203" i="25" s="1"/>
  <c r="DR203" i="25" s="1"/>
  <c r="DS203" i="25" s="1"/>
  <c r="EF181" i="25"/>
  <c r="DZ205" i="25"/>
  <c r="DE191" i="25"/>
  <c r="DD191" i="25" s="1"/>
  <c r="DK191" i="25" s="1"/>
  <c r="DE182" i="25"/>
  <c r="DD182" i="25" s="1"/>
  <c r="DK182" i="25" s="1"/>
  <c r="DE203" i="25"/>
  <c r="DD203" i="25" s="1"/>
  <c r="DK203" i="25" s="1"/>
  <c r="DE179" i="25"/>
  <c r="DD179" i="25" s="1"/>
  <c r="DK179" i="25" s="1"/>
  <c r="EF200" i="25"/>
  <c r="EF177" i="25"/>
  <c r="DF201" i="25"/>
  <c r="DI201" i="25"/>
  <c r="DJ201" i="25" s="1"/>
  <c r="DF180" i="25"/>
  <c r="DI180" i="25"/>
  <c r="DJ180" i="25" s="1"/>
  <c r="EF190" i="25"/>
  <c r="DF191" i="25"/>
  <c r="DF186" i="25"/>
  <c r="DI186" i="25"/>
  <c r="DJ186" i="25" s="1"/>
  <c r="DF194" i="25"/>
  <c r="DI194" i="25"/>
  <c r="DJ194" i="25" s="1"/>
  <c r="DF183" i="25"/>
  <c r="DI183" i="25"/>
  <c r="DJ183" i="25" s="1"/>
  <c r="DI190" i="25"/>
  <c r="DJ190" i="25" s="1"/>
  <c r="DF190" i="25"/>
  <c r="DI181" i="25"/>
  <c r="DJ181" i="25" s="1"/>
  <c r="DF181" i="25"/>
  <c r="DI200" i="25"/>
  <c r="DJ200" i="25" s="1"/>
  <c r="DF200" i="25"/>
  <c r="DI177" i="25"/>
  <c r="DJ177" i="25" s="1"/>
  <c r="DF177" i="25"/>
  <c r="DX190" i="25"/>
  <c r="DZ190" i="25"/>
  <c r="DX181" i="25"/>
  <c r="DZ181" i="25"/>
  <c r="DX200" i="25"/>
  <c r="DZ200" i="25"/>
  <c r="DX177" i="25"/>
  <c r="DZ177" i="25"/>
  <c r="DF182" i="25"/>
  <c r="DF195" i="25"/>
  <c r="DI195" i="25"/>
  <c r="DJ195" i="25" s="1"/>
  <c r="DI189" i="25"/>
  <c r="DJ189" i="25" s="1"/>
  <c r="DF189" i="25"/>
  <c r="DI202" i="25"/>
  <c r="DJ202" i="25" s="1"/>
  <c r="DF202" i="25"/>
  <c r="DI197" i="25"/>
  <c r="DJ197" i="25" s="1"/>
  <c r="DF197" i="25"/>
  <c r="DI178" i="25"/>
  <c r="DJ178" i="25" s="1"/>
  <c r="DF178" i="25"/>
  <c r="EF187" i="25"/>
  <c r="EF199" i="25"/>
  <c r="EF198" i="25"/>
  <c r="DF203" i="25"/>
  <c r="DF185" i="25"/>
  <c r="DI185" i="25"/>
  <c r="DJ185" i="25" s="1"/>
  <c r="DF205" i="25"/>
  <c r="DI205" i="25"/>
  <c r="DJ205" i="25" s="1"/>
  <c r="DI188" i="25"/>
  <c r="DJ188" i="25" s="1"/>
  <c r="DF188" i="25"/>
  <c r="DI204" i="25"/>
  <c r="DJ204" i="25" s="1"/>
  <c r="DF204" i="25"/>
  <c r="DI196" i="25"/>
  <c r="DJ196" i="25" s="1"/>
  <c r="DF196" i="25"/>
  <c r="DF179" i="25"/>
  <c r="DF187" i="25"/>
  <c r="DF199" i="25"/>
  <c r="DF198" i="25"/>
  <c r="DX187" i="25"/>
  <c r="DZ187" i="25"/>
  <c r="DX199" i="25"/>
  <c r="DZ199" i="25"/>
  <c r="DX198" i="25"/>
  <c r="DZ198" i="25"/>
  <c r="CW327" i="25" l="1"/>
  <c r="CX327" i="25" s="1"/>
  <c r="DA327" i="25" s="1"/>
  <c r="CW365" i="25"/>
  <c r="CX365" i="25" s="1"/>
  <c r="DA365" i="25" s="1"/>
  <c r="CW328" i="25"/>
  <c r="CX328" i="25" s="1"/>
  <c r="DA328" i="25" s="1"/>
  <c r="CW382" i="25"/>
  <c r="CX382" i="25" s="1"/>
  <c r="DA382" i="25" s="1"/>
  <c r="CW393" i="25"/>
  <c r="CX393" i="25" s="1"/>
  <c r="DA393" i="25" s="1"/>
  <c r="CW371" i="25"/>
  <c r="CX371" i="25" s="1"/>
  <c r="DA371" i="25" s="1"/>
  <c r="CW326" i="25"/>
  <c r="CX326" i="25" s="1"/>
  <c r="DA326" i="25" s="1"/>
  <c r="CS388" i="25"/>
  <c r="CW388" i="25" s="1"/>
  <c r="CX388" i="25" s="1"/>
  <c r="DA388" i="25" s="1"/>
  <c r="CV388" i="25"/>
  <c r="CY388" i="25" s="1"/>
  <c r="CZ388" i="25" s="1"/>
  <c r="CS406" i="25"/>
  <c r="CW406" i="25" s="1"/>
  <c r="CX406" i="25" s="1"/>
  <c r="DA406" i="25" s="1"/>
  <c r="CV406" i="25"/>
  <c r="CY406" i="25" s="1"/>
  <c r="CZ406" i="25" s="1"/>
  <c r="CS377" i="25"/>
  <c r="CW377" i="25" s="1"/>
  <c r="CX377" i="25" s="1"/>
  <c r="DA377" i="25" s="1"/>
  <c r="CV377" i="25"/>
  <c r="CY377" i="25" s="1"/>
  <c r="CZ377" i="25" s="1"/>
  <c r="CS261" i="25"/>
  <c r="CW261" i="25" s="1"/>
  <c r="CX261" i="25" s="1"/>
  <c r="DA261" i="25" s="1"/>
  <c r="CV261" i="25"/>
  <c r="CY261" i="25" s="1"/>
  <c r="CZ261" i="25" s="1"/>
  <c r="CS366" i="25"/>
  <c r="CW366" i="25" s="1"/>
  <c r="CX366" i="25" s="1"/>
  <c r="DA366" i="25" s="1"/>
  <c r="CV366" i="25"/>
  <c r="CY366" i="25" s="1"/>
  <c r="CZ366" i="25" s="1"/>
  <c r="CV234" i="25"/>
  <c r="CY234" i="25" s="1"/>
  <c r="CZ234" i="25" s="1"/>
  <c r="CS234" i="25"/>
  <c r="CW234" i="25" s="1"/>
  <c r="CX234" i="25" s="1"/>
  <c r="DA234" i="25" s="1"/>
  <c r="CS223" i="25"/>
  <c r="CW223" i="25" s="1"/>
  <c r="CX223" i="25" s="1"/>
  <c r="DA223" i="25" s="1"/>
  <c r="CV223" i="25"/>
  <c r="CY223" i="25" s="1"/>
  <c r="CZ223" i="25" s="1"/>
  <c r="CS314" i="25"/>
  <c r="CW314" i="25" s="1"/>
  <c r="CX314" i="25" s="1"/>
  <c r="DA314" i="25" s="1"/>
  <c r="CV314" i="25"/>
  <c r="CY314" i="25" s="1"/>
  <c r="CZ314" i="25" s="1"/>
  <c r="CS239" i="25"/>
  <c r="CW239" i="25" s="1"/>
  <c r="CX239" i="25" s="1"/>
  <c r="DA239" i="25" s="1"/>
  <c r="CV239" i="25"/>
  <c r="CY239" i="25" s="1"/>
  <c r="CZ239" i="25" s="1"/>
  <c r="CS233" i="25"/>
  <c r="CW233" i="25" s="1"/>
  <c r="CX233" i="25" s="1"/>
  <c r="DA233" i="25" s="1"/>
  <c r="CV233" i="25"/>
  <c r="CY233" i="25" s="1"/>
  <c r="CZ233" i="25" s="1"/>
  <c r="CS404" i="25"/>
  <c r="CW404" i="25" s="1"/>
  <c r="CX404" i="25" s="1"/>
  <c r="DA404" i="25" s="1"/>
  <c r="CV404" i="25"/>
  <c r="CY404" i="25" s="1"/>
  <c r="CZ404" i="25" s="1"/>
  <c r="CV381" i="25"/>
  <c r="CY381" i="25" s="1"/>
  <c r="CZ381" i="25" s="1"/>
  <c r="CS381" i="25"/>
  <c r="CW381" i="25" s="1"/>
  <c r="CX381" i="25" s="1"/>
  <c r="DA381" i="25" s="1"/>
  <c r="CS352" i="25"/>
  <c r="CW352" i="25" s="1"/>
  <c r="CX352" i="25" s="1"/>
  <c r="DA352" i="25" s="1"/>
  <c r="CV352" i="25"/>
  <c r="CY352" i="25" s="1"/>
  <c r="CZ352" i="25" s="1"/>
  <c r="CS315" i="25"/>
  <c r="CW315" i="25" s="1"/>
  <c r="CX315" i="25" s="1"/>
  <c r="DA315" i="25" s="1"/>
  <c r="CV315" i="25"/>
  <c r="CY315" i="25" s="1"/>
  <c r="CZ315" i="25" s="1"/>
  <c r="CS245" i="25"/>
  <c r="CW245" i="25" s="1"/>
  <c r="CX245" i="25" s="1"/>
  <c r="DA245" i="25" s="1"/>
  <c r="CV245" i="25"/>
  <c r="CY245" i="25" s="1"/>
  <c r="CZ245" i="25" s="1"/>
  <c r="CS367" i="25"/>
  <c r="CW367" i="25" s="1"/>
  <c r="CX367" i="25" s="1"/>
  <c r="DA367" i="25" s="1"/>
  <c r="CV367" i="25"/>
  <c r="CY367" i="25" s="1"/>
  <c r="CZ367" i="25" s="1"/>
  <c r="CS378" i="25"/>
  <c r="CW378" i="25" s="1"/>
  <c r="CX378" i="25" s="1"/>
  <c r="DA378" i="25" s="1"/>
  <c r="CV378" i="25"/>
  <c r="CY378" i="25" s="1"/>
  <c r="CZ378" i="25" s="1"/>
  <c r="CS273" i="25"/>
  <c r="CW273" i="25" s="1"/>
  <c r="CX273" i="25" s="1"/>
  <c r="DA273" i="25" s="1"/>
  <c r="CV273" i="25"/>
  <c r="CY273" i="25" s="1"/>
  <c r="CZ273" i="25" s="1"/>
  <c r="CS358" i="25"/>
  <c r="CW358" i="25" s="1"/>
  <c r="CX358" i="25" s="1"/>
  <c r="DA358" i="25" s="1"/>
  <c r="CV358" i="25"/>
  <c r="CY358" i="25" s="1"/>
  <c r="CZ358" i="25" s="1"/>
  <c r="CS395" i="25"/>
  <c r="CW395" i="25" s="1"/>
  <c r="CX395" i="25" s="1"/>
  <c r="DA395" i="25" s="1"/>
  <c r="CV395" i="25"/>
  <c r="CY395" i="25" s="1"/>
  <c r="CZ395" i="25" s="1"/>
  <c r="CS379" i="25"/>
  <c r="CW379" i="25" s="1"/>
  <c r="CX379" i="25" s="1"/>
  <c r="DA379" i="25" s="1"/>
  <c r="CV379" i="25"/>
  <c r="CY379" i="25" s="1"/>
  <c r="CZ379" i="25" s="1"/>
  <c r="CS400" i="25"/>
  <c r="CW400" i="25" s="1"/>
  <c r="CX400" i="25" s="1"/>
  <c r="DA400" i="25" s="1"/>
  <c r="CV400" i="25"/>
  <c r="CY400" i="25" s="1"/>
  <c r="CZ400" i="25" s="1"/>
  <c r="CS241" i="25"/>
  <c r="CW241" i="25" s="1"/>
  <c r="CX241" i="25" s="1"/>
  <c r="DA241" i="25" s="1"/>
  <c r="CV241" i="25"/>
  <c r="CY241" i="25" s="1"/>
  <c r="CZ241" i="25" s="1"/>
  <c r="CS311" i="25"/>
  <c r="CW311" i="25" s="1"/>
  <c r="CX311" i="25" s="1"/>
  <c r="DA311" i="25" s="1"/>
  <c r="CV311" i="25"/>
  <c r="CY311" i="25" s="1"/>
  <c r="CZ311" i="25" s="1"/>
  <c r="CV363" i="25"/>
  <c r="CY363" i="25" s="1"/>
  <c r="CZ363" i="25" s="1"/>
  <c r="CS363" i="25"/>
  <c r="CW363" i="25" s="1"/>
  <c r="CX363" i="25" s="1"/>
  <c r="DA363" i="25" s="1"/>
  <c r="CS364" i="25"/>
  <c r="CW364" i="25" s="1"/>
  <c r="CX364" i="25" s="1"/>
  <c r="DA364" i="25" s="1"/>
  <c r="CV364" i="25"/>
  <c r="CY364" i="25" s="1"/>
  <c r="CZ364" i="25" s="1"/>
  <c r="CS332" i="25"/>
  <c r="CW332" i="25" s="1"/>
  <c r="CX332" i="25" s="1"/>
  <c r="DA332" i="25" s="1"/>
  <c r="CV332" i="25"/>
  <c r="CY332" i="25" s="1"/>
  <c r="CZ332" i="25" s="1"/>
  <c r="CS269" i="25"/>
  <c r="CW269" i="25" s="1"/>
  <c r="CX269" i="25" s="1"/>
  <c r="DA269" i="25" s="1"/>
  <c r="CV269" i="25"/>
  <c r="CY269" i="25" s="1"/>
  <c r="CZ269" i="25" s="1"/>
  <c r="CS405" i="25"/>
  <c r="CW405" i="25" s="1"/>
  <c r="CX405" i="25" s="1"/>
  <c r="DA405" i="25" s="1"/>
  <c r="CV405" i="25"/>
  <c r="CY405" i="25" s="1"/>
  <c r="CZ405" i="25" s="1"/>
  <c r="CS394" i="25"/>
  <c r="CW394" i="25" s="1"/>
  <c r="CX394" i="25" s="1"/>
  <c r="DA394" i="25" s="1"/>
  <c r="CV394" i="25"/>
  <c r="CY394" i="25" s="1"/>
  <c r="CZ394" i="25" s="1"/>
  <c r="CS380" i="25"/>
  <c r="CW380" i="25" s="1"/>
  <c r="CX380" i="25" s="1"/>
  <c r="DA380" i="25" s="1"/>
  <c r="CV380" i="25"/>
  <c r="CY380" i="25" s="1"/>
  <c r="CZ380" i="25" s="1"/>
  <c r="CS331" i="25"/>
  <c r="CW331" i="25" s="1"/>
  <c r="CX331" i="25" s="1"/>
  <c r="DA331" i="25" s="1"/>
  <c r="CV331" i="25"/>
  <c r="CY331" i="25" s="1"/>
  <c r="CZ331" i="25" s="1"/>
  <c r="CV237" i="25"/>
  <c r="CY237" i="25" s="1"/>
  <c r="CZ237" i="25" s="1"/>
  <c r="CS237" i="25"/>
  <c r="CW237" i="25" s="1"/>
  <c r="CX237" i="25" s="1"/>
  <c r="DA237" i="25" s="1"/>
  <c r="CS321" i="25"/>
  <c r="CW321" i="25" s="1"/>
  <c r="CX321" i="25" s="1"/>
  <c r="DA321" i="25" s="1"/>
  <c r="CV321" i="25"/>
  <c r="CY321" i="25" s="1"/>
  <c r="CZ321" i="25" s="1"/>
  <c r="CS348" i="25"/>
  <c r="CW348" i="25" s="1"/>
  <c r="CX348" i="25" s="1"/>
  <c r="DA348" i="25" s="1"/>
  <c r="CV348" i="25"/>
  <c r="CY348" i="25" s="1"/>
  <c r="CZ348" i="25" s="1"/>
  <c r="CS384" i="25"/>
  <c r="CW384" i="25" s="1"/>
  <c r="CX384" i="25" s="1"/>
  <c r="DA384" i="25" s="1"/>
  <c r="CV384" i="25"/>
  <c r="CY384" i="25" s="1"/>
  <c r="CZ384" i="25" s="1"/>
  <c r="CS231" i="25"/>
  <c r="CW231" i="25" s="1"/>
  <c r="CX231" i="25" s="1"/>
  <c r="DA231" i="25" s="1"/>
  <c r="CV231" i="25"/>
  <c r="CY231" i="25" s="1"/>
  <c r="CZ231" i="25" s="1"/>
  <c r="CS373" i="25"/>
  <c r="CW373" i="25" s="1"/>
  <c r="CX373" i="25" s="1"/>
  <c r="DA373" i="25" s="1"/>
  <c r="CV373" i="25"/>
  <c r="CY373" i="25" s="1"/>
  <c r="CZ373" i="25" s="1"/>
  <c r="CS347" i="25"/>
  <c r="CW347" i="25" s="1"/>
  <c r="CX347" i="25" s="1"/>
  <c r="DA347" i="25" s="1"/>
  <c r="CV347" i="25"/>
  <c r="CY347" i="25" s="1"/>
  <c r="CZ347" i="25" s="1"/>
  <c r="CS270" i="25"/>
  <c r="CW270" i="25" s="1"/>
  <c r="CX270" i="25" s="1"/>
  <c r="DA270" i="25" s="1"/>
  <c r="CV270" i="25"/>
  <c r="CY270" i="25" s="1"/>
  <c r="CZ270" i="25" s="1"/>
  <c r="CS372" i="25"/>
  <c r="CW372" i="25" s="1"/>
  <c r="CX372" i="25" s="1"/>
  <c r="DA372" i="25" s="1"/>
  <c r="CV372" i="25"/>
  <c r="CY372" i="25" s="1"/>
  <c r="CZ372" i="25" s="1"/>
  <c r="CS368" i="25"/>
  <c r="CW368" i="25" s="1"/>
  <c r="CX368" i="25" s="1"/>
  <c r="DA368" i="25" s="1"/>
  <c r="CV368" i="25"/>
  <c r="CY368" i="25" s="1"/>
  <c r="CZ368" i="25" s="1"/>
  <c r="CS386" i="25"/>
  <c r="CW386" i="25" s="1"/>
  <c r="CX386" i="25" s="1"/>
  <c r="DA386" i="25" s="1"/>
  <c r="CV386" i="25"/>
  <c r="CY386" i="25" s="1"/>
  <c r="CZ386" i="25" s="1"/>
  <c r="CV346" i="25"/>
  <c r="CY346" i="25" s="1"/>
  <c r="CZ346" i="25" s="1"/>
  <c r="CS346" i="25"/>
  <c r="CW346" i="25" s="1"/>
  <c r="CX346" i="25" s="1"/>
  <c r="DA346" i="25" s="1"/>
  <c r="CS229" i="25"/>
  <c r="CW229" i="25" s="1"/>
  <c r="CX229" i="25" s="1"/>
  <c r="DA229" i="25" s="1"/>
  <c r="CV229" i="25"/>
  <c r="CY229" i="25" s="1"/>
  <c r="CZ229" i="25" s="1"/>
  <c r="CS399" i="25"/>
  <c r="CW399" i="25" s="1"/>
  <c r="CX399" i="25" s="1"/>
  <c r="DA399" i="25" s="1"/>
  <c r="CV399" i="25"/>
  <c r="CY399" i="25" s="1"/>
  <c r="CZ399" i="25" s="1"/>
  <c r="CS284" i="25"/>
  <c r="CW284" i="25" s="1"/>
  <c r="CX284" i="25" s="1"/>
  <c r="DA284" i="25" s="1"/>
  <c r="CV284" i="25"/>
  <c r="CY284" i="25" s="1"/>
  <c r="CZ284" i="25" s="1"/>
  <c r="CS243" i="25"/>
  <c r="CW243" i="25" s="1"/>
  <c r="CX243" i="25" s="1"/>
  <c r="DA243" i="25" s="1"/>
  <c r="CV243" i="25"/>
  <c r="CY243" i="25" s="1"/>
  <c r="CZ243" i="25" s="1"/>
  <c r="CS374" i="25"/>
  <c r="CW374" i="25" s="1"/>
  <c r="CX374" i="25" s="1"/>
  <c r="DA374" i="25" s="1"/>
  <c r="CV374" i="25"/>
  <c r="CY374" i="25" s="1"/>
  <c r="CZ374" i="25" s="1"/>
  <c r="CS305" i="25"/>
  <c r="CW305" i="25" s="1"/>
  <c r="CX305" i="25" s="1"/>
  <c r="DA305" i="25" s="1"/>
  <c r="CV305" i="25"/>
  <c r="CY305" i="25" s="1"/>
  <c r="CZ305" i="25" s="1"/>
  <c r="CS398" i="25"/>
  <c r="CW398" i="25" s="1"/>
  <c r="CX398" i="25" s="1"/>
  <c r="DA398" i="25" s="1"/>
  <c r="CV398" i="25"/>
  <c r="CY398" i="25" s="1"/>
  <c r="CZ398" i="25" s="1"/>
  <c r="CS344" i="25"/>
  <c r="CW344" i="25" s="1"/>
  <c r="CX344" i="25" s="1"/>
  <c r="DA344" i="25" s="1"/>
  <c r="CV344" i="25"/>
  <c r="CY344" i="25" s="1"/>
  <c r="CZ344" i="25" s="1"/>
  <c r="CV356" i="25"/>
  <c r="CY356" i="25" s="1"/>
  <c r="CZ356" i="25" s="1"/>
  <c r="CS356" i="25"/>
  <c r="CW356" i="25" s="1"/>
  <c r="CX356" i="25" s="1"/>
  <c r="DA356" i="25" s="1"/>
  <c r="CS369" i="25"/>
  <c r="CW369" i="25" s="1"/>
  <c r="CX369" i="25" s="1"/>
  <c r="DA369" i="25" s="1"/>
  <c r="CV369" i="25"/>
  <c r="CY369" i="25" s="1"/>
  <c r="CZ369" i="25" s="1"/>
  <c r="CS235" i="25"/>
  <c r="CW235" i="25" s="1"/>
  <c r="CX235" i="25" s="1"/>
  <c r="DA235" i="25" s="1"/>
  <c r="CV235" i="25"/>
  <c r="CY235" i="25" s="1"/>
  <c r="CZ235" i="25" s="1"/>
  <c r="CS397" i="25"/>
  <c r="CW397" i="25" s="1"/>
  <c r="CX397" i="25" s="1"/>
  <c r="DA397" i="25" s="1"/>
  <c r="CV397" i="25"/>
  <c r="CY397" i="25" s="1"/>
  <c r="CZ397" i="25" s="1"/>
  <c r="CS351" i="25"/>
  <c r="CW351" i="25" s="1"/>
  <c r="CX351" i="25" s="1"/>
  <c r="DA351" i="25" s="1"/>
  <c r="CV351" i="25"/>
  <c r="CY351" i="25" s="1"/>
  <c r="CZ351" i="25" s="1"/>
  <c r="CS375" i="25"/>
  <c r="CW375" i="25" s="1"/>
  <c r="CX375" i="25" s="1"/>
  <c r="DA375" i="25" s="1"/>
  <c r="CV375" i="25"/>
  <c r="CY375" i="25" s="1"/>
  <c r="CZ375" i="25" s="1"/>
  <c r="CS249" i="25"/>
  <c r="CW249" i="25" s="1"/>
  <c r="CX249" i="25" s="1"/>
  <c r="DA249" i="25" s="1"/>
  <c r="CV249" i="25"/>
  <c r="CY249" i="25" s="1"/>
  <c r="CZ249" i="25" s="1"/>
  <c r="CS232" i="25"/>
  <c r="CW232" i="25" s="1"/>
  <c r="CX232" i="25" s="1"/>
  <c r="DA232" i="25" s="1"/>
  <c r="CV232" i="25"/>
  <c r="CY232" i="25" s="1"/>
  <c r="CZ232" i="25" s="1"/>
  <c r="CS306" i="25"/>
  <c r="CW306" i="25" s="1"/>
  <c r="CX306" i="25" s="1"/>
  <c r="DA306" i="25" s="1"/>
  <c r="CV306" i="25"/>
  <c r="CY306" i="25" s="1"/>
  <c r="CZ306" i="25" s="1"/>
  <c r="CV251" i="25"/>
  <c r="CY251" i="25" s="1"/>
  <c r="CZ251" i="25" s="1"/>
  <c r="CS251" i="25"/>
  <c r="CW251" i="25" s="1"/>
  <c r="CX251" i="25" s="1"/>
  <c r="DA251" i="25" s="1"/>
  <c r="CS317" i="25"/>
  <c r="CW317" i="25" s="1"/>
  <c r="CX317" i="25" s="1"/>
  <c r="DA317" i="25" s="1"/>
  <c r="CV317" i="25"/>
  <c r="CY317" i="25" s="1"/>
  <c r="CZ317" i="25" s="1"/>
  <c r="CS240" i="25"/>
  <c r="CW240" i="25" s="1"/>
  <c r="CX240" i="25" s="1"/>
  <c r="DA240" i="25" s="1"/>
  <c r="CV240" i="25"/>
  <c r="CY240" i="25" s="1"/>
  <c r="CZ240" i="25" s="1"/>
  <c r="CS291" i="25"/>
  <c r="CW291" i="25" s="1"/>
  <c r="CX291" i="25" s="1"/>
  <c r="DA291" i="25" s="1"/>
  <c r="CV291" i="25"/>
  <c r="CY291" i="25" s="1"/>
  <c r="CZ291" i="25" s="1"/>
  <c r="CV345" i="25"/>
  <c r="CY345" i="25" s="1"/>
  <c r="CZ345" i="25" s="1"/>
  <c r="CS345" i="25"/>
  <c r="CW345" i="25" s="1"/>
  <c r="CX345" i="25" s="1"/>
  <c r="DA345" i="25" s="1"/>
  <c r="CV337" i="25"/>
  <c r="CY337" i="25" s="1"/>
  <c r="CZ337" i="25" s="1"/>
  <c r="CS337" i="25"/>
  <c r="CW337" i="25" s="1"/>
  <c r="CX337" i="25" s="1"/>
  <c r="DA337" i="25" s="1"/>
  <c r="CS260" i="25"/>
  <c r="CW260" i="25" s="1"/>
  <c r="CX260" i="25" s="1"/>
  <c r="DA260" i="25" s="1"/>
  <c r="CV260" i="25"/>
  <c r="CY260" i="25" s="1"/>
  <c r="CZ260" i="25" s="1"/>
  <c r="CS385" i="25"/>
  <c r="CW385" i="25" s="1"/>
  <c r="CX385" i="25" s="1"/>
  <c r="DA385" i="25" s="1"/>
  <c r="CV385" i="25"/>
  <c r="CY385" i="25" s="1"/>
  <c r="CZ385" i="25" s="1"/>
  <c r="CS238" i="25"/>
  <c r="CW238" i="25" s="1"/>
  <c r="CX238" i="25" s="1"/>
  <c r="DA238" i="25" s="1"/>
  <c r="CV238" i="25"/>
  <c r="CY238" i="25" s="1"/>
  <c r="CZ238" i="25" s="1"/>
  <c r="CS353" i="25"/>
  <c r="CW353" i="25" s="1"/>
  <c r="CX353" i="25" s="1"/>
  <c r="DA353" i="25" s="1"/>
  <c r="CV353" i="25"/>
  <c r="CY353" i="25" s="1"/>
  <c r="CZ353" i="25" s="1"/>
  <c r="CS350" i="25"/>
  <c r="CW350" i="25" s="1"/>
  <c r="CX350" i="25" s="1"/>
  <c r="DA350" i="25" s="1"/>
  <c r="CV350" i="25"/>
  <c r="CY350" i="25" s="1"/>
  <c r="CZ350" i="25" s="1"/>
  <c r="CS355" i="25"/>
  <c r="CW355" i="25" s="1"/>
  <c r="CX355" i="25" s="1"/>
  <c r="DA355" i="25" s="1"/>
  <c r="CV355" i="25"/>
  <c r="CY355" i="25" s="1"/>
  <c r="CZ355" i="25" s="1"/>
  <c r="CS248" i="25"/>
  <c r="CW248" i="25" s="1"/>
  <c r="CX248" i="25" s="1"/>
  <c r="DA248" i="25" s="1"/>
  <c r="CV248" i="25"/>
  <c r="CY248" i="25" s="1"/>
  <c r="CZ248" i="25" s="1"/>
  <c r="CS271" i="25"/>
  <c r="CW271" i="25" s="1"/>
  <c r="CX271" i="25" s="1"/>
  <c r="DA271" i="25" s="1"/>
  <c r="CV271" i="25"/>
  <c r="CY271" i="25" s="1"/>
  <c r="CZ271" i="25" s="1"/>
  <c r="CS359" i="25"/>
  <c r="CW359" i="25" s="1"/>
  <c r="CX359" i="25" s="1"/>
  <c r="DA359" i="25" s="1"/>
  <c r="CV359" i="25"/>
  <c r="CY359" i="25" s="1"/>
  <c r="CZ359" i="25" s="1"/>
  <c r="CS396" i="25"/>
  <c r="CW396" i="25" s="1"/>
  <c r="CX396" i="25" s="1"/>
  <c r="DA396" i="25" s="1"/>
  <c r="CV396" i="25"/>
  <c r="CY396" i="25" s="1"/>
  <c r="CZ396" i="25" s="1"/>
  <c r="CS289" i="25"/>
  <c r="CW289" i="25" s="1"/>
  <c r="CX289" i="25" s="1"/>
  <c r="DA289" i="25" s="1"/>
  <c r="CV289" i="25"/>
  <c r="CY289" i="25" s="1"/>
  <c r="CZ289" i="25" s="1"/>
  <c r="CV252" i="25"/>
  <c r="CY252" i="25" s="1"/>
  <c r="CZ252" i="25" s="1"/>
  <c r="CS252" i="25"/>
  <c r="CW252" i="25" s="1"/>
  <c r="CX252" i="25" s="1"/>
  <c r="DA252" i="25" s="1"/>
  <c r="CS336" i="25"/>
  <c r="CW336" i="25" s="1"/>
  <c r="CX336" i="25" s="1"/>
  <c r="DA336" i="25" s="1"/>
  <c r="CV336" i="25"/>
  <c r="CY336" i="25" s="1"/>
  <c r="CZ336" i="25" s="1"/>
  <c r="CS340" i="25"/>
  <c r="CW340" i="25" s="1"/>
  <c r="CX340" i="25" s="1"/>
  <c r="DA340" i="25" s="1"/>
  <c r="CV340" i="25"/>
  <c r="CY340" i="25" s="1"/>
  <c r="CZ340" i="25" s="1"/>
  <c r="CV376" i="25"/>
  <c r="CY376" i="25" s="1"/>
  <c r="CZ376" i="25" s="1"/>
  <c r="CS376" i="25"/>
  <c r="CW376" i="25" s="1"/>
  <c r="CX376" i="25" s="1"/>
  <c r="DA376" i="25" s="1"/>
  <c r="CS370" i="25"/>
  <c r="CW370" i="25" s="1"/>
  <c r="CX370" i="25" s="1"/>
  <c r="DA370" i="25" s="1"/>
  <c r="CV370" i="25"/>
  <c r="CY370" i="25" s="1"/>
  <c r="CZ370" i="25" s="1"/>
  <c r="CV383" i="25"/>
  <c r="CY383" i="25" s="1"/>
  <c r="CZ383" i="25" s="1"/>
  <c r="CS383" i="25"/>
  <c r="CW383" i="25" s="1"/>
  <c r="CX383" i="25" s="1"/>
  <c r="DA383" i="25" s="1"/>
  <c r="CV390" i="25"/>
  <c r="CY390" i="25" s="1"/>
  <c r="CZ390" i="25" s="1"/>
  <c r="CS390" i="25"/>
  <c r="CW390" i="25" s="1"/>
  <c r="CX390" i="25" s="1"/>
  <c r="DA390" i="25" s="1"/>
  <c r="CS290" i="25"/>
  <c r="CW290" i="25" s="1"/>
  <c r="CX290" i="25" s="1"/>
  <c r="DA290" i="25" s="1"/>
  <c r="CV290" i="25"/>
  <c r="CY290" i="25" s="1"/>
  <c r="CZ290" i="25" s="1"/>
  <c r="CS343" i="25"/>
  <c r="CW343" i="25" s="1"/>
  <c r="CX343" i="25" s="1"/>
  <c r="DA343" i="25" s="1"/>
  <c r="CV343" i="25"/>
  <c r="CY343" i="25" s="1"/>
  <c r="CZ343" i="25" s="1"/>
  <c r="CV333" i="25"/>
  <c r="CY333" i="25" s="1"/>
  <c r="CZ333" i="25" s="1"/>
  <c r="CV327" i="25"/>
  <c r="CY327" i="25" s="1"/>
  <c r="CZ327" i="25" s="1"/>
  <c r="CV250" i="25"/>
  <c r="CY250" i="25" s="1"/>
  <c r="CZ250" i="25" s="1"/>
  <c r="CS250" i="25"/>
  <c r="CW250" i="25" s="1"/>
  <c r="CX250" i="25" s="1"/>
  <c r="DA250" i="25" s="1"/>
  <c r="CV407" i="25"/>
  <c r="CY407" i="25" s="1"/>
  <c r="CZ407" i="25" s="1"/>
  <c r="CS407" i="25"/>
  <c r="CW407" i="25" s="1"/>
  <c r="CX407" i="25" s="1"/>
  <c r="DA407" i="25" s="1"/>
  <c r="CS258" i="25"/>
  <c r="CW258" i="25" s="1"/>
  <c r="CX258" i="25" s="1"/>
  <c r="DA258" i="25" s="1"/>
  <c r="CV258" i="25"/>
  <c r="CY258" i="25" s="1"/>
  <c r="CZ258" i="25" s="1"/>
  <c r="CV382" i="25"/>
  <c r="CY382" i="25" s="1"/>
  <c r="CZ382" i="25" s="1"/>
  <c r="CV365" i="25"/>
  <c r="CY365" i="25" s="1"/>
  <c r="CZ365" i="25" s="1"/>
  <c r="CS246" i="25"/>
  <c r="CW246" i="25" s="1"/>
  <c r="CX246" i="25" s="1"/>
  <c r="DA246" i="25" s="1"/>
  <c r="CV246" i="25"/>
  <c r="CY246" i="25" s="1"/>
  <c r="CZ246" i="25" s="1"/>
  <c r="CV326" i="25"/>
  <c r="CY326" i="25" s="1"/>
  <c r="CZ326" i="25" s="1"/>
  <c r="CS330" i="25"/>
  <c r="CW330" i="25" s="1"/>
  <c r="CX330" i="25" s="1"/>
  <c r="DA330" i="25" s="1"/>
  <c r="CV330" i="25"/>
  <c r="CY330" i="25" s="1"/>
  <c r="CZ330" i="25" s="1"/>
  <c r="CS387" i="25"/>
  <c r="CW387" i="25" s="1"/>
  <c r="CX387" i="25" s="1"/>
  <c r="DA387" i="25" s="1"/>
  <c r="CV387" i="25"/>
  <c r="CY387" i="25" s="1"/>
  <c r="CZ387" i="25" s="1"/>
  <c r="CV278" i="25"/>
  <c r="CY278" i="25" s="1"/>
  <c r="CZ278" i="25" s="1"/>
  <c r="CV292" i="25"/>
  <c r="CY292" i="25" s="1"/>
  <c r="CZ292" i="25" s="1"/>
  <c r="CS292" i="25"/>
  <c r="CW292" i="25" s="1"/>
  <c r="CX292" i="25" s="1"/>
  <c r="DA292" i="25" s="1"/>
  <c r="CS389" i="25"/>
  <c r="CW389" i="25" s="1"/>
  <c r="CX389" i="25" s="1"/>
  <c r="DA389" i="25" s="1"/>
  <c r="CV389" i="25"/>
  <c r="CY389" i="25" s="1"/>
  <c r="CZ389" i="25" s="1"/>
  <c r="CW220" i="25"/>
  <c r="CX220" i="25" s="1"/>
  <c r="DA220" i="25" s="1"/>
  <c r="CV220" i="25"/>
  <c r="CY220" i="25" s="1"/>
  <c r="CZ220" i="25" s="1"/>
  <c r="CV304" i="25"/>
  <c r="CY304" i="25" s="1"/>
  <c r="CZ304" i="25" s="1"/>
  <c r="CS304" i="25"/>
  <c r="CW304" i="25" s="1"/>
  <c r="CX304" i="25" s="1"/>
  <c r="DA304" i="25" s="1"/>
  <c r="CS294" i="25"/>
  <c r="CW294" i="25" s="1"/>
  <c r="CX294" i="25" s="1"/>
  <c r="DA294" i="25" s="1"/>
  <c r="CV294" i="25"/>
  <c r="CY294" i="25" s="1"/>
  <c r="CZ294" i="25" s="1"/>
  <c r="CV371" i="25"/>
  <c r="CY371" i="25" s="1"/>
  <c r="CZ371" i="25" s="1"/>
  <c r="CV393" i="25"/>
  <c r="CY393" i="25" s="1"/>
  <c r="CZ393" i="25" s="1"/>
  <c r="CV328" i="25"/>
  <c r="CY328" i="25" s="1"/>
  <c r="CZ328" i="25" s="1"/>
  <c r="CV185" i="25"/>
  <c r="CY185" i="25" s="1"/>
  <c r="CZ185" i="25" s="1"/>
  <c r="CS185" i="25"/>
  <c r="CW185" i="25" s="1"/>
  <c r="CX185" i="25" s="1"/>
  <c r="DA185" i="25" s="1"/>
  <c r="CS181" i="25"/>
  <c r="CW181" i="25" s="1"/>
  <c r="CX181" i="25" s="1"/>
  <c r="DA181" i="25" s="1"/>
  <c r="CV181" i="25"/>
  <c r="CY181" i="25" s="1"/>
  <c r="CZ181" i="25" s="1"/>
  <c r="CV180" i="25"/>
  <c r="CY180" i="25" s="1"/>
  <c r="CZ180" i="25" s="1"/>
  <c r="CS180" i="25"/>
  <c r="CW180" i="25" s="1"/>
  <c r="CX180" i="25" s="1"/>
  <c r="DA180" i="25" s="1"/>
  <c r="CS179" i="25"/>
  <c r="CW179" i="25" s="1"/>
  <c r="CX179" i="25" s="1"/>
  <c r="DA179" i="25" s="1"/>
  <c r="CV179" i="25"/>
  <c r="CY179" i="25" s="1"/>
  <c r="CZ179" i="25" s="1"/>
  <c r="CS188" i="25"/>
  <c r="CW188" i="25" s="1"/>
  <c r="CX188" i="25" s="1"/>
  <c r="DA188" i="25" s="1"/>
  <c r="CV188" i="25"/>
  <c r="CY188" i="25" s="1"/>
  <c r="CZ188" i="25" s="1"/>
  <c r="CS203" i="25"/>
  <c r="CW203" i="25" s="1"/>
  <c r="CX203" i="25" s="1"/>
  <c r="DA203" i="25" s="1"/>
  <c r="CV203" i="25"/>
  <c r="CY203" i="25" s="1"/>
  <c r="CZ203" i="25" s="1"/>
  <c r="CS202" i="25"/>
  <c r="CW202" i="25" s="1"/>
  <c r="CX202" i="25" s="1"/>
  <c r="DA202" i="25" s="1"/>
  <c r="CV202" i="25"/>
  <c r="CY202" i="25" s="1"/>
  <c r="CZ202" i="25" s="1"/>
  <c r="CV195" i="25"/>
  <c r="CY195" i="25" s="1"/>
  <c r="CZ195" i="25" s="1"/>
  <c r="CS195" i="25"/>
  <c r="CW195" i="25" s="1"/>
  <c r="CX195" i="25" s="1"/>
  <c r="DA195" i="25" s="1"/>
  <c r="CS177" i="25"/>
  <c r="CW177" i="25" s="1"/>
  <c r="CX177" i="25" s="1"/>
  <c r="DA177" i="25" s="1"/>
  <c r="CV177" i="25"/>
  <c r="CY177" i="25" s="1"/>
  <c r="CZ177" i="25" s="1"/>
  <c r="CV194" i="25"/>
  <c r="CY194" i="25" s="1"/>
  <c r="CZ194" i="25" s="1"/>
  <c r="CS194" i="25"/>
  <c r="CW194" i="25" s="1"/>
  <c r="CX194" i="25" s="1"/>
  <c r="DA194" i="25" s="1"/>
  <c r="CV198" i="25"/>
  <c r="CY198" i="25" s="1"/>
  <c r="CZ198" i="25" s="1"/>
  <c r="CS198" i="25"/>
  <c r="CW198" i="25" s="1"/>
  <c r="CX198" i="25" s="1"/>
  <c r="DA198" i="25" s="1"/>
  <c r="CS196" i="25"/>
  <c r="CW196" i="25" s="1"/>
  <c r="CX196" i="25" s="1"/>
  <c r="DA196" i="25" s="1"/>
  <c r="CV196" i="25"/>
  <c r="CY196" i="25" s="1"/>
  <c r="CZ196" i="25" s="1"/>
  <c r="CS182" i="25"/>
  <c r="CW182" i="25" s="1"/>
  <c r="CX182" i="25" s="1"/>
  <c r="DA182" i="25" s="1"/>
  <c r="CV182" i="25"/>
  <c r="CY182" i="25" s="1"/>
  <c r="CZ182" i="25" s="1"/>
  <c r="CS190" i="25"/>
  <c r="CW190" i="25" s="1"/>
  <c r="CX190" i="25" s="1"/>
  <c r="DA190" i="25" s="1"/>
  <c r="CV190" i="25"/>
  <c r="CY190" i="25" s="1"/>
  <c r="CZ190" i="25" s="1"/>
  <c r="CS178" i="25"/>
  <c r="CW178" i="25" s="1"/>
  <c r="CX178" i="25" s="1"/>
  <c r="DA178" i="25" s="1"/>
  <c r="CV178" i="25"/>
  <c r="CY178" i="25" s="1"/>
  <c r="CZ178" i="25" s="1"/>
  <c r="CV199" i="25"/>
  <c r="CY199" i="25" s="1"/>
  <c r="CZ199" i="25" s="1"/>
  <c r="CS199" i="25"/>
  <c r="CW199" i="25" s="1"/>
  <c r="CX199" i="25" s="1"/>
  <c r="DA199" i="25" s="1"/>
  <c r="CV205" i="25"/>
  <c r="CY205" i="25" s="1"/>
  <c r="CZ205" i="25" s="1"/>
  <c r="CS205" i="25"/>
  <c r="CW205" i="25" s="1"/>
  <c r="CX205" i="25" s="1"/>
  <c r="DA205" i="25" s="1"/>
  <c r="CS189" i="25"/>
  <c r="CW189" i="25" s="1"/>
  <c r="CX189" i="25" s="1"/>
  <c r="DA189" i="25" s="1"/>
  <c r="CV189" i="25"/>
  <c r="CY189" i="25" s="1"/>
  <c r="CZ189" i="25" s="1"/>
  <c r="CS200" i="25"/>
  <c r="CW200" i="25" s="1"/>
  <c r="CX200" i="25" s="1"/>
  <c r="DA200" i="25" s="1"/>
  <c r="CV200" i="25"/>
  <c r="CY200" i="25" s="1"/>
  <c r="CZ200" i="25" s="1"/>
  <c r="CV186" i="25"/>
  <c r="CY186" i="25" s="1"/>
  <c r="CZ186" i="25" s="1"/>
  <c r="CS186" i="25"/>
  <c r="CW186" i="25" s="1"/>
  <c r="CX186" i="25" s="1"/>
  <c r="DA186" i="25" s="1"/>
  <c r="CS204" i="25"/>
  <c r="CW204" i="25" s="1"/>
  <c r="CX204" i="25" s="1"/>
  <c r="DA204" i="25" s="1"/>
  <c r="CV204" i="25"/>
  <c r="CY204" i="25" s="1"/>
  <c r="CZ204" i="25" s="1"/>
  <c r="CS191" i="25"/>
  <c r="CW191" i="25" s="1"/>
  <c r="CX191" i="25" s="1"/>
  <c r="DA191" i="25" s="1"/>
  <c r="CV191" i="25"/>
  <c r="CY191" i="25" s="1"/>
  <c r="CZ191" i="25" s="1"/>
  <c r="CV201" i="25"/>
  <c r="CY201" i="25" s="1"/>
  <c r="CZ201" i="25" s="1"/>
  <c r="CS201" i="25"/>
  <c r="CW201" i="25" s="1"/>
  <c r="CX201" i="25" s="1"/>
  <c r="DA201" i="25" s="1"/>
  <c r="CV187" i="25"/>
  <c r="CY187" i="25" s="1"/>
  <c r="CZ187" i="25" s="1"/>
  <c r="CS187" i="25"/>
  <c r="CW187" i="25" s="1"/>
  <c r="CX187" i="25" s="1"/>
  <c r="DA187" i="25" s="1"/>
  <c r="CS197" i="25"/>
  <c r="CW197" i="25" s="1"/>
  <c r="CX197" i="25" s="1"/>
  <c r="DA197" i="25" s="1"/>
  <c r="CV197" i="25"/>
  <c r="CY197" i="25" s="1"/>
  <c r="CZ197" i="25" s="1"/>
  <c r="CV183" i="25"/>
  <c r="CY183" i="25" s="1"/>
  <c r="CZ183" i="25" s="1"/>
  <c r="CS183" i="25"/>
  <c r="CW183" i="25" s="1"/>
  <c r="CX183" i="25" s="1"/>
  <c r="DA183" i="25" s="1"/>
  <c r="EQ24" i="25" l="1"/>
  <c r="EP24" i="25"/>
  <c r="EO24" i="25"/>
  <c r="EN24" i="25"/>
  <c r="EM24" i="25"/>
  <c r="DU24" i="25" s="1"/>
  <c r="EL24" i="25"/>
  <c r="EK24" i="25"/>
  <c r="DI24" i="25" s="1"/>
  <c r="DJ24" i="25" s="1"/>
  <c r="EJ24" i="25"/>
  <c r="EI24" i="25"/>
  <c r="EE24" i="25"/>
  <c r="ED24" i="25"/>
  <c r="EC24" i="25"/>
  <c r="EB24" i="25"/>
  <c r="EA24" i="25"/>
  <c r="DY24" i="25"/>
  <c r="DW24" i="25"/>
  <c r="DZ24" i="25" s="1"/>
  <c r="DV24" i="25"/>
  <c r="DO24" i="25"/>
  <c r="DN24" i="25"/>
  <c r="DM24" i="25"/>
  <c r="DT24" i="25" s="1"/>
  <c r="DL24" i="25"/>
  <c r="DH24" i="25"/>
  <c r="DG24" i="25"/>
  <c r="DC24" i="25"/>
  <c r="DB24" i="25"/>
  <c r="CT24" i="25"/>
  <c r="CU24" i="25" s="1"/>
  <c r="CN24" i="25"/>
  <c r="CM24" i="25"/>
  <c r="CL24" i="25"/>
  <c r="CK24" i="25"/>
  <c r="CJ24" i="25"/>
  <c r="CI24" i="25"/>
  <c r="CH24" i="25"/>
  <c r="CF24" i="25"/>
  <c r="CE24" i="25"/>
  <c r="C140" i="92"/>
  <c r="D141" i="92"/>
  <c r="M74" i="92"/>
  <c r="AA70" i="92"/>
  <c r="C136" i="92"/>
  <c r="C135" i="92"/>
  <c r="G135" i="92"/>
  <c r="C137" i="92"/>
  <c r="D140" i="92"/>
  <c r="AA63" i="92"/>
  <c r="D135" i="92"/>
  <c r="L74" i="92"/>
  <c r="D137" i="92"/>
  <c r="L65" i="92"/>
  <c r="Z63" i="92"/>
  <c r="D136" i="92"/>
  <c r="D139" i="92"/>
  <c r="C141" i="92"/>
  <c r="Z70" i="92"/>
  <c r="M65" i="92"/>
  <c r="C138" i="92"/>
  <c r="D138" i="92"/>
  <c r="C139" i="92"/>
  <c r="J57" i="92"/>
  <c r="EG24" i="25" l="1"/>
  <c r="CG24" i="25"/>
  <c r="EH24" i="25"/>
  <c r="CQ24" i="25"/>
  <c r="CP24" i="25"/>
  <c r="CR24" i="25" s="1"/>
  <c r="CS24" i="25" s="1"/>
  <c r="CW24" i="25" s="1"/>
  <c r="CX24" i="25" s="1"/>
  <c r="DA24" i="25" s="1"/>
  <c r="DP24" i="25"/>
  <c r="DQ24" i="25" s="1"/>
  <c r="DR24" i="25" s="1"/>
  <c r="DS24" i="25" s="1"/>
  <c r="EF24" i="25"/>
  <c r="DE24" i="25"/>
  <c r="DD24" i="25" s="1"/>
  <c r="DK24" i="25" s="1"/>
  <c r="DF24" i="25"/>
  <c r="DX24" i="25"/>
  <c r="CV24" i="25" l="1"/>
  <c r="CY24" i="25" s="1"/>
  <c r="CZ24" i="25" s="1"/>
  <c r="D267" i="89"/>
  <c r="D268" i="89"/>
  <c r="D269" i="89"/>
  <c r="D270" i="89"/>
  <c r="D271" i="89"/>
  <c r="D272" i="89"/>
  <c r="R255" i="89"/>
  <c r="R256" i="89"/>
  <c r="R257" i="89"/>
  <c r="R258" i="89"/>
  <c r="R259" i="89"/>
  <c r="R260" i="89"/>
  <c r="D255" i="89"/>
  <c r="D256" i="89"/>
  <c r="D257" i="89"/>
  <c r="D258" i="89"/>
  <c r="D259" i="89"/>
  <c r="D260" i="89"/>
  <c r="R243" i="89"/>
  <c r="R244" i="89"/>
  <c r="R232" i="89"/>
  <c r="R233" i="89"/>
  <c r="D232" i="89"/>
  <c r="D233" i="89"/>
  <c r="D218" i="89"/>
  <c r="D219" i="89"/>
  <c r="D202" i="89"/>
  <c r="D203" i="89"/>
  <c r="AG43" i="89" l="1"/>
  <c r="AF43" i="89"/>
  <c r="AE43" i="89"/>
  <c r="AD43" i="89"/>
  <c r="AC43" i="89"/>
  <c r="EQ7" i="25" l="1"/>
  <c r="EQ8" i="25"/>
  <c r="EQ57" i="25"/>
  <c r="EQ17" i="25"/>
  <c r="EQ56" i="25"/>
  <c r="EQ53" i="25"/>
  <c r="EQ43" i="25"/>
  <c r="EQ52" i="25"/>
  <c r="EQ42" i="25"/>
  <c r="EQ51" i="25"/>
  <c r="EQ41" i="25"/>
  <c r="EQ40" i="25"/>
  <c r="EQ50" i="25"/>
  <c r="EQ39" i="25"/>
  <c r="EQ49" i="25"/>
  <c r="EQ38" i="25"/>
  <c r="EQ37" i="25"/>
  <c r="EQ36" i="25"/>
  <c r="EQ35" i="25"/>
  <c r="EQ34" i="25"/>
  <c r="EQ33" i="25"/>
  <c r="EQ32" i="25"/>
  <c r="EQ31" i="25"/>
  <c r="EQ48" i="25"/>
  <c r="EQ47" i="25"/>
  <c r="EQ30" i="25"/>
  <c r="EQ46" i="25"/>
  <c r="EQ29" i="25"/>
  <c r="EQ92" i="25"/>
  <c r="EQ213" i="25"/>
  <c r="EQ212" i="25"/>
  <c r="EQ91" i="25"/>
  <c r="EQ211" i="25"/>
  <c r="EQ90" i="25"/>
  <c r="EQ210" i="25"/>
  <c r="EQ89" i="25"/>
  <c r="EQ209" i="25"/>
  <c r="EQ88" i="25"/>
  <c r="EQ155" i="25"/>
  <c r="EQ173" i="25"/>
  <c r="EQ163" i="25"/>
  <c r="EQ167" i="25"/>
  <c r="EQ176" i="25"/>
  <c r="EQ10" i="25"/>
  <c r="EQ165" i="25"/>
  <c r="EQ169" i="25"/>
  <c r="EQ175" i="25"/>
  <c r="EQ168" i="25"/>
  <c r="EQ166" i="25"/>
  <c r="EQ164" i="25"/>
  <c r="EQ174" i="25"/>
  <c r="EQ161" i="25"/>
  <c r="EQ144" i="25"/>
  <c r="EQ160" i="25"/>
  <c r="EQ159" i="25"/>
  <c r="EQ158" i="25"/>
  <c r="EQ157" i="25"/>
  <c r="EQ145" i="25"/>
  <c r="EQ136" i="25"/>
  <c r="EQ138" i="25"/>
  <c r="EQ156" i="25"/>
  <c r="EQ140" i="25"/>
  <c r="EQ153" i="25"/>
  <c r="EQ45" i="25"/>
  <c r="EQ87" i="25"/>
  <c r="EQ85" i="25"/>
  <c r="EQ208" i="25"/>
  <c r="EQ79" i="25"/>
  <c r="EQ101" i="25"/>
  <c r="EQ131" i="25"/>
  <c r="EQ128" i="25"/>
  <c r="EQ127" i="25"/>
  <c r="EQ124" i="25"/>
  <c r="EQ122" i="25"/>
  <c r="EQ121" i="25"/>
  <c r="EQ113" i="25"/>
  <c r="EQ112" i="25"/>
  <c r="EQ108" i="25"/>
  <c r="EQ107" i="25"/>
  <c r="EQ104" i="25"/>
  <c r="EQ139" i="25"/>
  <c r="EQ84" i="25"/>
  <c r="EQ111" i="25"/>
  <c r="EQ98" i="25"/>
  <c r="EQ129" i="25"/>
  <c r="EQ118" i="25"/>
  <c r="EQ117" i="25"/>
  <c r="EQ172" i="25"/>
  <c r="EQ171" i="25"/>
  <c r="EQ110" i="25"/>
  <c r="EQ116" i="25"/>
  <c r="EQ97" i="25"/>
  <c r="EQ109" i="25"/>
  <c r="EQ123" i="25"/>
  <c r="EQ130" i="25"/>
  <c r="EQ115" i="25"/>
  <c r="EQ106" i="25"/>
  <c r="EQ120" i="25"/>
  <c r="EQ114" i="25"/>
  <c r="EQ9" i="25"/>
  <c r="EQ105" i="25"/>
  <c r="EQ126" i="25"/>
  <c r="EQ170" i="25"/>
  <c r="EQ162" i="25"/>
  <c r="EQ103" i="25"/>
  <c r="EQ102" i="25"/>
  <c r="EQ125" i="25"/>
  <c r="EQ11" i="25"/>
  <c r="EQ100" i="25"/>
  <c r="EQ119" i="25"/>
  <c r="EQ99" i="25"/>
  <c r="EQ94" i="25"/>
  <c r="EQ96" i="25"/>
  <c r="EQ95" i="25"/>
  <c r="EQ154" i="25"/>
  <c r="EQ133" i="25"/>
  <c r="EQ214" i="25"/>
  <c r="EQ28" i="25"/>
  <c r="EQ44" i="25"/>
  <c r="EQ148" i="25"/>
  <c r="EQ59" i="25"/>
  <c r="EQ27" i="25"/>
  <c r="EQ141" i="25"/>
  <c r="EQ64" i="25"/>
  <c r="EQ63" i="25"/>
  <c r="EQ26" i="25"/>
  <c r="EQ73" i="25"/>
  <c r="EQ72" i="25"/>
  <c r="EQ152" i="25"/>
  <c r="EQ25" i="25"/>
  <c r="EQ55" i="25"/>
  <c r="EQ143" i="25"/>
  <c r="EQ142" i="25"/>
  <c r="EQ83" i="25"/>
  <c r="EQ82" i="25"/>
  <c r="EQ71" i="25"/>
  <c r="EQ146" i="25"/>
  <c r="EQ81" i="25"/>
  <c r="EQ207" i="25"/>
  <c r="EQ192" i="25"/>
  <c r="EQ54" i="25"/>
  <c r="EQ137" i="25"/>
  <c r="EQ134" i="25"/>
  <c r="EQ23" i="25"/>
  <c r="EQ58" i="25"/>
  <c r="EQ80" i="25"/>
  <c r="EQ62" i="25"/>
  <c r="EQ218" i="25"/>
  <c r="EQ22" i="25"/>
  <c r="EQ217" i="25"/>
  <c r="EQ219" i="25"/>
  <c r="EQ65" i="25"/>
  <c r="EQ86" i="25"/>
  <c r="EQ21" i="25"/>
  <c r="EQ151" i="25"/>
  <c r="EQ76" i="25"/>
  <c r="EQ184" i="25"/>
  <c r="EQ193" i="25"/>
  <c r="EQ61" i="25"/>
  <c r="EQ135" i="25"/>
  <c r="EQ20" i="25"/>
  <c r="EQ132" i="25"/>
  <c r="EQ60" i="25"/>
  <c r="EQ78" i="25"/>
  <c r="EQ216" i="25"/>
  <c r="EQ147" i="25"/>
  <c r="EQ77" i="25"/>
  <c r="EQ19" i="25"/>
  <c r="EQ206" i="25"/>
  <c r="EQ18" i="25"/>
  <c r="EQ75" i="25"/>
  <c r="EQ93" i="25"/>
  <c r="EQ16" i="25"/>
  <c r="EQ215" i="25"/>
  <c r="EQ74" i="25"/>
  <c r="EQ70" i="25"/>
  <c r="EQ150" i="25"/>
  <c r="EQ69" i="25"/>
  <c r="EQ15" i="25"/>
  <c r="EQ68" i="25"/>
  <c r="EQ14" i="25"/>
  <c r="EQ13" i="25"/>
  <c r="EQ67" i="25"/>
  <c r="EQ66" i="25"/>
  <c r="EQ12" i="25"/>
  <c r="EE12" i="25" l="1"/>
  <c r="EE66" i="25"/>
  <c r="EE67" i="25"/>
  <c r="EE13" i="25"/>
  <c r="EE14" i="25"/>
  <c r="EE68" i="25"/>
  <c r="EE15" i="25"/>
  <c r="EE69" i="25"/>
  <c r="EE149" i="25"/>
  <c r="EE150" i="25"/>
  <c r="EE70" i="25"/>
  <c r="EE74" i="25"/>
  <c r="EE215" i="25"/>
  <c r="EE16" i="25"/>
  <c r="EE93" i="25"/>
  <c r="EE75" i="25"/>
  <c r="EE18" i="25"/>
  <c r="EE206" i="25"/>
  <c r="EE19" i="25"/>
  <c r="EE77" i="25"/>
  <c r="EE147" i="25"/>
  <c r="EE216" i="25"/>
  <c r="EE78" i="25"/>
  <c r="EE60" i="25"/>
  <c r="EE132" i="25"/>
  <c r="EE20" i="25"/>
  <c r="EE135" i="25"/>
  <c r="EE61" i="25"/>
  <c r="EE193" i="25"/>
  <c r="EE184" i="25"/>
  <c r="EE76" i="25"/>
  <c r="EE151" i="25"/>
  <c r="EE21" i="25"/>
  <c r="EE86" i="25"/>
  <c r="EE65" i="25"/>
  <c r="EE219" i="25"/>
  <c r="EE217" i="25"/>
  <c r="EE22" i="25"/>
  <c r="EE218" i="25"/>
  <c r="EE62" i="25"/>
  <c r="EE80" i="25"/>
  <c r="EE58" i="25"/>
  <c r="EE23" i="25"/>
  <c r="EE134" i="25"/>
  <c r="EE137" i="25"/>
  <c r="EE54" i="25"/>
  <c r="EE192" i="25"/>
  <c r="EE207" i="25"/>
  <c r="EE81" i="25"/>
  <c r="EE146" i="25"/>
  <c r="EE71" i="25"/>
  <c r="EE82" i="25"/>
  <c r="EE83" i="25"/>
  <c r="EE142" i="25"/>
  <c r="EE143" i="25"/>
  <c r="EE55" i="25"/>
  <c r="EE25" i="25"/>
  <c r="EE152" i="25"/>
  <c r="EE72" i="25"/>
  <c r="EE73" i="25"/>
  <c r="EE26" i="25"/>
  <c r="EE63" i="25"/>
  <c r="EE64" i="25"/>
  <c r="EE141" i="25"/>
  <c r="EE27" i="25"/>
  <c r="EE59" i="25"/>
  <c r="EE148" i="25"/>
  <c r="EE44" i="25"/>
  <c r="EE28" i="25"/>
  <c r="EE214" i="25"/>
  <c r="EE133" i="25"/>
  <c r="EE154" i="25"/>
  <c r="EE95" i="25"/>
  <c r="EE96" i="25"/>
  <c r="EE94" i="25"/>
  <c r="EE99" i="25"/>
  <c r="EE119" i="25"/>
  <c r="EE100" i="25"/>
  <c r="EE11" i="25"/>
  <c r="EE125" i="25"/>
  <c r="EE102" i="25"/>
  <c r="EE103" i="25"/>
  <c r="EE162" i="25"/>
  <c r="EE170" i="25"/>
  <c r="EE126" i="25"/>
  <c r="EE105" i="25"/>
  <c r="EE9" i="25"/>
  <c r="EE114" i="25"/>
  <c r="EE120" i="25"/>
  <c r="EE106" i="25"/>
  <c r="EE115" i="25"/>
  <c r="EE130" i="25"/>
  <c r="EE123" i="25"/>
  <c r="EE109" i="25"/>
  <c r="EE97" i="25"/>
  <c r="EE116" i="25"/>
  <c r="EE110" i="25"/>
  <c r="EE171" i="25"/>
  <c r="EE172" i="25"/>
  <c r="EE117" i="25"/>
  <c r="EE118" i="25"/>
  <c r="EE129" i="25"/>
  <c r="EE98" i="25"/>
  <c r="EE111" i="25"/>
  <c r="EE84" i="25"/>
  <c r="EE139" i="25"/>
  <c r="EE104" i="25"/>
  <c r="EE107" i="25"/>
  <c r="EE108" i="25"/>
  <c r="EE112" i="25"/>
  <c r="EE113" i="25"/>
  <c r="EE121" i="25"/>
  <c r="EE122" i="25"/>
  <c r="EE124" i="25"/>
  <c r="EE127" i="25"/>
  <c r="EE128" i="25"/>
  <c r="EE131" i="25"/>
  <c r="EE101" i="25"/>
  <c r="EE79" i="25"/>
  <c r="EE208" i="25"/>
  <c r="EE85" i="25"/>
  <c r="EE87" i="25"/>
  <c r="EE45" i="25"/>
  <c r="EE153" i="25"/>
  <c r="EE140" i="25"/>
  <c r="EE156" i="25"/>
  <c r="EE138" i="25"/>
  <c r="EE136" i="25"/>
  <c r="EE145" i="25"/>
  <c r="EE157" i="25"/>
  <c r="EE158" i="25"/>
  <c r="EE159" i="25"/>
  <c r="EE160" i="25"/>
  <c r="EE144" i="25"/>
  <c r="EE161" i="25"/>
  <c r="EE174" i="25"/>
  <c r="EE164" i="25"/>
  <c r="EE166" i="25"/>
  <c r="EE168" i="25"/>
  <c r="EE175" i="25"/>
  <c r="EE169" i="25"/>
  <c r="EE165" i="25"/>
  <c r="EE10" i="25"/>
  <c r="EE176" i="25"/>
  <c r="EE167" i="25"/>
  <c r="EE163" i="25"/>
  <c r="EE173" i="25"/>
  <c r="EE155" i="25"/>
  <c r="EE88" i="25"/>
  <c r="EE209" i="25"/>
  <c r="EE89" i="25"/>
  <c r="EE210" i="25"/>
  <c r="EE90" i="25"/>
  <c r="EE211" i="25"/>
  <c r="EE91" i="25"/>
  <c r="EE212" i="25"/>
  <c r="EE213" i="25"/>
  <c r="EE92" i="25"/>
  <c r="EE29" i="25"/>
  <c r="EE46" i="25"/>
  <c r="EE30" i="25"/>
  <c r="EE47" i="25"/>
  <c r="EE48" i="25"/>
  <c r="EE31" i="25"/>
  <c r="EE32" i="25"/>
  <c r="EE33" i="25"/>
  <c r="EE34" i="25"/>
  <c r="EE35" i="25"/>
  <c r="EE36" i="25"/>
  <c r="EE37" i="25"/>
  <c r="EE38" i="25"/>
  <c r="EE49" i="25"/>
  <c r="EE39" i="25"/>
  <c r="EE50" i="25"/>
  <c r="EE40" i="25"/>
  <c r="EE41" i="25"/>
  <c r="EE51" i="25"/>
  <c r="EE42" i="25"/>
  <c r="EE52" i="25"/>
  <c r="EE43" i="25"/>
  <c r="EE53" i="25"/>
  <c r="EE56" i="25"/>
  <c r="EE17" i="25"/>
  <c r="EE57" i="25"/>
  <c r="EE8" i="25"/>
  <c r="EE7" i="25"/>
  <c r="ED12" i="25"/>
  <c r="ED66" i="25"/>
  <c r="ED67" i="25"/>
  <c r="ED13" i="25"/>
  <c r="ED14" i="25"/>
  <c r="ED68" i="25"/>
  <c r="ED15" i="25"/>
  <c r="ED69" i="25"/>
  <c r="ED149" i="25"/>
  <c r="ED150" i="25"/>
  <c r="ED70" i="25"/>
  <c r="ED74" i="25"/>
  <c r="ED215" i="25"/>
  <c r="ED16" i="25"/>
  <c r="ED93" i="25"/>
  <c r="ED75" i="25"/>
  <c r="ED18" i="25"/>
  <c r="ED206" i="25"/>
  <c r="ED19" i="25"/>
  <c r="ED77" i="25"/>
  <c r="ED147" i="25"/>
  <c r="ED216" i="25"/>
  <c r="ED78" i="25"/>
  <c r="ED60" i="25"/>
  <c r="ED132" i="25"/>
  <c r="ED20" i="25"/>
  <c r="ED135" i="25"/>
  <c r="ED61" i="25"/>
  <c r="ED193" i="25"/>
  <c r="ED184" i="25"/>
  <c r="ED76" i="25"/>
  <c r="ED151" i="25"/>
  <c r="ED21" i="25"/>
  <c r="ED86" i="25"/>
  <c r="ED65" i="25"/>
  <c r="ED219" i="25"/>
  <c r="ED217" i="25"/>
  <c r="ED22" i="25"/>
  <c r="ED218" i="25"/>
  <c r="ED62" i="25"/>
  <c r="ED80" i="25"/>
  <c r="ED58" i="25"/>
  <c r="ED23" i="25"/>
  <c r="ED134" i="25"/>
  <c r="ED137" i="25"/>
  <c r="ED54" i="25"/>
  <c r="ED192" i="25"/>
  <c r="ED207" i="25"/>
  <c r="ED81" i="25"/>
  <c r="ED146" i="25"/>
  <c r="ED71" i="25"/>
  <c r="ED82" i="25"/>
  <c r="ED83" i="25"/>
  <c r="ED142" i="25"/>
  <c r="ED143" i="25"/>
  <c r="ED55" i="25"/>
  <c r="ED25" i="25"/>
  <c r="ED152" i="25"/>
  <c r="ED72" i="25"/>
  <c r="ED73" i="25"/>
  <c r="ED26" i="25"/>
  <c r="ED63" i="25"/>
  <c r="ED64" i="25"/>
  <c r="ED141" i="25"/>
  <c r="ED27" i="25"/>
  <c r="ED59" i="25"/>
  <c r="ED148" i="25"/>
  <c r="ED44" i="25"/>
  <c r="ED28" i="25"/>
  <c r="ED214" i="25"/>
  <c r="ED133" i="25"/>
  <c r="ED154" i="25"/>
  <c r="ED95" i="25"/>
  <c r="ED96" i="25"/>
  <c r="ED94" i="25"/>
  <c r="ED99" i="25"/>
  <c r="ED119" i="25"/>
  <c r="ED100" i="25"/>
  <c r="ED11" i="25"/>
  <c r="ED125" i="25"/>
  <c r="ED102" i="25"/>
  <c r="ED103" i="25"/>
  <c r="ED162" i="25"/>
  <c r="ED170" i="25"/>
  <c r="ED126" i="25"/>
  <c r="ED105" i="25"/>
  <c r="ED9" i="25"/>
  <c r="ED114" i="25"/>
  <c r="ED120" i="25"/>
  <c r="ED106" i="25"/>
  <c r="ED115" i="25"/>
  <c r="ED130" i="25"/>
  <c r="ED123" i="25"/>
  <c r="ED109" i="25"/>
  <c r="ED97" i="25"/>
  <c r="ED116" i="25"/>
  <c r="ED110" i="25"/>
  <c r="ED171" i="25"/>
  <c r="ED172" i="25"/>
  <c r="ED117" i="25"/>
  <c r="ED118" i="25"/>
  <c r="ED129" i="25"/>
  <c r="ED98" i="25"/>
  <c r="ED111" i="25"/>
  <c r="ED84" i="25"/>
  <c r="ED139" i="25"/>
  <c r="ED104" i="25"/>
  <c r="ED107" i="25"/>
  <c r="ED108" i="25"/>
  <c r="ED112" i="25"/>
  <c r="ED113" i="25"/>
  <c r="ED121" i="25"/>
  <c r="ED122" i="25"/>
  <c r="ED124" i="25"/>
  <c r="ED127" i="25"/>
  <c r="ED128" i="25"/>
  <c r="ED131" i="25"/>
  <c r="ED101" i="25"/>
  <c r="ED79" i="25"/>
  <c r="ED208" i="25"/>
  <c r="ED85" i="25"/>
  <c r="ED87" i="25"/>
  <c r="ED45" i="25"/>
  <c r="ED153" i="25"/>
  <c r="ED140" i="25"/>
  <c r="ED156" i="25"/>
  <c r="ED138" i="25"/>
  <c r="ED136" i="25"/>
  <c r="ED145" i="25"/>
  <c r="ED157" i="25"/>
  <c r="ED158" i="25"/>
  <c r="ED159" i="25"/>
  <c r="ED160" i="25"/>
  <c r="ED144" i="25"/>
  <c r="ED161" i="25"/>
  <c r="ED174" i="25"/>
  <c r="ED164" i="25"/>
  <c r="ED166" i="25"/>
  <c r="ED168" i="25"/>
  <c r="ED175" i="25"/>
  <c r="ED169" i="25"/>
  <c r="ED165" i="25"/>
  <c r="ED10" i="25"/>
  <c r="ED176" i="25"/>
  <c r="ED167" i="25"/>
  <c r="ED163" i="25"/>
  <c r="ED173" i="25"/>
  <c r="ED155" i="25"/>
  <c r="ED88" i="25"/>
  <c r="ED209" i="25"/>
  <c r="ED89" i="25"/>
  <c r="ED210" i="25"/>
  <c r="ED90" i="25"/>
  <c r="ED211" i="25"/>
  <c r="ED91" i="25"/>
  <c r="ED212" i="25"/>
  <c r="ED213" i="25"/>
  <c r="ED92" i="25"/>
  <c r="ED29" i="25"/>
  <c r="ED46" i="25"/>
  <c r="ED30" i="25"/>
  <c r="ED47" i="25"/>
  <c r="ED48" i="25"/>
  <c r="ED31" i="25"/>
  <c r="ED32" i="25"/>
  <c r="ED33" i="25"/>
  <c r="ED34" i="25"/>
  <c r="ED35" i="25"/>
  <c r="ED36" i="25"/>
  <c r="ED37" i="25"/>
  <c r="ED38" i="25"/>
  <c r="ED49" i="25"/>
  <c r="ED39" i="25"/>
  <c r="ED50" i="25"/>
  <c r="ED40" i="25"/>
  <c r="ED41" i="25"/>
  <c r="ED51" i="25"/>
  <c r="ED42" i="25"/>
  <c r="ED52" i="25"/>
  <c r="ED43" i="25"/>
  <c r="ED53" i="25"/>
  <c r="ED56" i="25"/>
  <c r="ED17" i="25"/>
  <c r="ED57" i="25"/>
  <c r="ED8" i="25"/>
  <c r="ED7" i="25"/>
  <c r="EC12" i="25"/>
  <c r="EC66" i="25"/>
  <c r="EC67" i="25"/>
  <c r="EC13" i="25"/>
  <c r="EC14" i="25"/>
  <c r="EC68" i="25"/>
  <c r="EC15" i="25"/>
  <c r="EC69" i="25"/>
  <c r="EC149" i="25"/>
  <c r="EC150" i="25"/>
  <c r="EC70" i="25"/>
  <c r="EC74" i="25"/>
  <c r="EC215" i="25"/>
  <c r="EC16" i="25"/>
  <c r="EC93" i="25"/>
  <c r="EC75" i="25"/>
  <c r="EC18" i="25"/>
  <c r="EC206" i="25"/>
  <c r="EC19" i="25"/>
  <c r="EC77" i="25"/>
  <c r="EC147" i="25"/>
  <c r="EC216" i="25"/>
  <c r="EC78" i="25"/>
  <c r="EC60" i="25"/>
  <c r="EC132" i="25"/>
  <c r="EC20" i="25"/>
  <c r="EC135" i="25"/>
  <c r="EC61" i="25"/>
  <c r="EC193" i="25"/>
  <c r="EC184" i="25"/>
  <c r="EC76" i="25"/>
  <c r="EC151" i="25"/>
  <c r="EC21" i="25"/>
  <c r="EC86" i="25"/>
  <c r="EC65" i="25"/>
  <c r="EC219" i="25"/>
  <c r="EC217" i="25"/>
  <c r="EC22" i="25"/>
  <c r="EC218" i="25"/>
  <c r="EC62" i="25"/>
  <c r="EC80" i="25"/>
  <c r="EC58" i="25"/>
  <c r="EC23" i="25"/>
  <c r="EC134" i="25"/>
  <c r="EC137" i="25"/>
  <c r="EC54" i="25"/>
  <c r="EC192" i="25"/>
  <c r="EC207" i="25"/>
  <c r="EC81" i="25"/>
  <c r="EC146" i="25"/>
  <c r="EC71" i="25"/>
  <c r="EC82" i="25"/>
  <c r="EC83" i="25"/>
  <c r="EC142" i="25"/>
  <c r="EC143" i="25"/>
  <c r="EC55" i="25"/>
  <c r="EC25" i="25"/>
  <c r="EC152" i="25"/>
  <c r="EC72" i="25"/>
  <c r="EC73" i="25"/>
  <c r="EC26" i="25"/>
  <c r="EC63" i="25"/>
  <c r="EC64" i="25"/>
  <c r="EC141" i="25"/>
  <c r="EC27" i="25"/>
  <c r="EC59" i="25"/>
  <c r="EC148" i="25"/>
  <c r="EC44" i="25"/>
  <c r="EC28" i="25"/>
  <c r="EC214" i="25"/>
  <c r="EC133" i="25"/>
  <c r="EC154" i="25"/>
  <c r="EC95" i="25"/>
  <c r="EC96" i="25"/>
  <c r="EC94" i="25"/>
  <c r="EC99" i="25"/>
  <c r="EC119" i="25"/>
  <c r="EC100" i="25"/>
  <c r="EC11" i="25"/>
  <c r="EC125" i="25"/>
  <c r="EC102" i="25"/>
  <c r="EC103" i="25"/>
  <c r="EC162" i="25"/>
  <c r="EC170" i="25"/>
  <c r="EC126" i="25"/>
  <c r="EC105" i="25"/>
  <c r="EC9" i="25"/>
  <c r="EC114" i="25"/>
  <c r="EC120" i="25"/>
  <c r="EC106" i="25"/>
  <c r="EC115" i="25"/>
  <c r="EC130" i="25"/>
  <c r="EC123" i="25"/>
  <c r="EC109" i="25"/>
  <c r="EC97" i="25"/>
  <c r="EC116" i="25"/>
  <c r="EC110" i="25"/>
  <c r="EC171" i="25"/>
  <c r="EC172" i="25"/>
  <c r="EC117" i="25"/>
  <c r="EC118" i="25"/>
  <c r="EC129" i="25"/>
  <c r="EC98" i="25"/>
  <c r="EC111" i="25"/>
  <c r="EC84" i="25"/>
  <c r="EC139" i="25"/>
  <c r="EC104" i="25"/>
  <c r="EC107" i="25"/>
  <c r="EC108" i="25"/>
  <c r="EC112" i="25"/>
  <c r="EC113" i="25"/>
  <c r="EC121" i="25"/>
  <c r="EC122" i="25"/>
  <c r="EC124" i="25"/>
  <c r="EC127" i="25"/>
  <c r="EC128" i="25"/>
  <c r="EC131" i="25"/>
  <c r="EC101" i="25"/>
  <c r="EC79" i="25"/>
  <c r="EC208" i="25"/>
  <c r="EC85" i="25"/>
  <c r="EC87" i="25"/>
  <c r="EC45" i="25"/>
  <c r="EC153" i="25"/>
  <c r="EC140" i="25"/>
  <c r="EC156" i="25"/>
  <c r="EC138" i="25"/>
  <c r="EC136" i="25"/>
  <c r="EC145" i="25"/>
  <c r="EC157" i="25"/>
  <c r="EC158" i="25"/>
  <c r="EC159" i="25"/>
  <c r="EC160" i="25"/>
  <c r="EC144" i="25"/>
  <c r="EC161" i="25"/>
  <c r="EC174" i="25"/>
  <c r="EC164" i="25"/>
  <c r="EC166" i="25"/>
  <c r="EC168" i="25"/>
  <c r="EC175" i="25"/>
  <c r="EC169" i="25"/>
  <c r="EC165" i="25"/>
  <c r="EC10" i="25"/>
  <c r="EC176" i="25"/>
  <c r="EC167" i="25"/>
  <c r="EC163" i="25"/>
  <c r="EC173" i="25"/>
  <c r="EC155" i="25"/>
  <c r="EC88" i="25"/>
  <c r="EC209" i="25"/>
  <c r="EC89" i="25"/>
  <c r="EC210" i="25"/>
  <c r="EC90" i="25"/>
  <c r="EC211" i="25"/>
  <c r="EC91" i="25"/>
  <c r="EC212" i="25"/>
  <c r="EC213" i="25"/>
  <c r="EC92" i="25"/>
  <c r="EC29" i="25"/>
  <c r="EC46" i="25"/>
  <c r="EC30" i="25"/>
  <c r="EC47" i="25"/>
  <c r="EC48" i="25"/>
  <c r="EC31" i="25"/>
  <c r="EC32" i="25"/>
  <c r="EC33" i="25"/>
  <c r="EC34" i="25"/>
  <c r="EC35" i="25"/>
  <c r="EC36" i="25"/>
  <c r="EC37" i="25"/>
  <c r="EC38" i="25"/>
  <c r="EC49" i="25"/>
  <c r="EC39" i="25"/>
  <c r="EC50" i="25"/>
  <c r="EC40" i="25"/>
  <c r="EC41" i="25"/>
  <c r="EC51" i="25"/>
  <c r="EC42" i="25"/>
  <c r="EC52" i="25"/>
  <c r="EC43" i="25"/>
  <c r="EC53" i="25"/>
  <c r="EC56" i="25"/>
  <c r="EC17" i="25"/>
  <c r="EC57" i="25"/>
  <c r="EC8" i="25"/>
  <c r="EC7" i="25"/>
  <c r="P137" i="89"/>
  <c r="P136" i="89"/>
  <c r="P135" i="89"/>
  <c r="S243" i="89" s="1"/>
  <c r="P133" i="89"/>
  <c r="P132" i="89"/>
  <c r="S255" i="89" s="1"/>
  <c r="P117" i="89"/>
  <c r="P116" i="89"/>
  <c r="S244" i="89" s="1"/>
  <c r="P114" i="89"/>
  <c r="P113" i="89"/>
  <c r="S256" i="89" s="1"/>
  <c r="EF51" i="25" l="1"/>
  <c r="EF30" i="25"/>
  <c r="EF167" i="25"/>
  <c r="EF145" i="25"/>
  <c r="EF122" i="25"/>
  <c r="EF84" i="25"/>
  <c r="EF120" i="25"/>
  <c r="EF102" i="25"/>
  <c r="EF95" i="25"/>
  <c r="EF59" i="25"/>
  <c r="EF73" i="25"/>
  <c r="EF83" i="25"/>
  <c r="EF54" i="25"/>
  <c r="EF218" i="25"/>
  <c r="EF20" i="25"/>
  <c r="EF206" i="25"/>
  <c r="EF69" i="25"/>
  <c r="EF66" i="25"/>
  <c r="EF8" i="25"/>
  <c r="EF36" i="25"/>
  <c r="EF90" i="25"/>
  <c r="EF164" i="25"/>
  <c r="EF85" i="25"/>
  <c r="EF110" i="25"/>
  <c r="EF56" i="25"/>
  <c r="EF165" i="25"/>
  <c r="EF144" i="25"/>
  <c r="EF156" i="25"/>
  <c r="EF101" i="25"/>
  <c r="EF112" i="25"/>
  <c r="EF129" i="25"/>
  <c r="EF109" i="25"/>
  <c r="EF105" i="25"/>
  <c r="EF100" i="25"/>
  <c r="EF133" i="25"/>
  <c r="EF152" i="25"/>
  <c r="EF71" i="25"/>
  <c r="EF134" i="25"/>
  <c r="EF219" i="25"/>
  <c r="EF184" i="25"/>
  <c r="EF78" i="25"/>
  <c r="EF18" i="25"/>
  <c r="EF50" i="25"/>
  <c r="EF92" i="25"/>
  <c r="EF33" i="25"/>
  <c r="EF209" i="25"/>
  <c r="EF137" i="25"/>
  <c r="EF215" i="25"/>
  <c r="EF15" i="25"/>
  <c r="EF12" i="25"/>
  <c r="EF42" i="25"/>
  <c r="EF37" i="25"/>
  <c r="EF47" i="25"/>
  <c r="EF211" i="25"/>
  <c r="EF163" i="25"/>
  <c r="EF166" i="25"/>
  <c r="EF157" i="25"/>
  <c r="EF87" i="25"/>
  <c r="EF124" i="25"/>
  <c r="EF139" i="25"/>
  <c r="EF171" i="25"/>
  <c r="EF106" i="25"/>
  <c r="EF103" i="25"/>
  <c r="EF96" i="25"/>
  <c r="EF148" i="25"/>
  <c r="EF26" i="25"/>
  <c r="EF142" i="25"/>
  <c r="EF207" i="25"/>
  <c r="EF62" i="25"/>
  <c r="EF21" i="25"/>
  <c r="EF19" i="25"/>
  <c r="EF16" i="25"/>
  <c r="EF149" i="25"/>
  <c r="EF67" i="25"/>
  <c r="EF17" i="25"/>
  <c r="EF40" i="25"/>
  <c r="EF34" i="25"/>
  <c r="EF29" i="25"/>
  <c r="EF89" i="25"/>
  <c r="EF10" i="25"/>
  <c r="EF138" i="25"/>
  <c r="EF79" i="25"/>
  <c r="EF113" i="25"/>
  <c r="EF98" i="25"/>
  <c r="EF27" i="25"/>
  <c r="EF82" i="25"/>
  <c r="EF192" i="25"/>
  <c r="EF217" i="25"/>
  <c r="EF76" i="25"/>
  <c r="EF60" i="25"/>
  <c r="EF74" i="25"/>
  <c r="EF68" i="25"/>
  <c r="EF49" i="25"/>
  <c r="EF212" i="25"/>
  <c r="EF175" i="25"/>
  <c r="EF159" i="25"/>
  <c r="EF128" i="25"/>
  <c r="EF107" i="25"/>
  <c r="EF117" i="25"/>
  <c r="EF130" i="25"/>
  <c r="EF170" i="25"/>
  <c r="EF99" i="25"/>
  <c r="EF28" i="25"/>
  <c r="EF64" i="25"/>
  <c r="EF55" i="25"/>
  <c r="EF81" i="25"/>
  <c r="EF58" i="25"/>
  <c r="EF86" i="25"/>
  <c r="EF61" i="25"/>
  <c r="EF147" i="25"/>
  <c r="EF70" i="25"/>
  <c r="EF14" i="25"/>
  <c r="EF43" i="25"/>
  <c r="EF31" i="25"/>
  <c r="EF155" i="25"/>
  <c r="EF153" i="25"/>
  <c r="EF57" i="25"/>
  <c r="EF41" i="25"/>
  <c r="EF35" i="25"/>
  <c r="EF46" i="25"/>
  <c r="EF210" i="25"/>
  <c r="EF176" i="25"/>
  <c r="EF174" i="25"/>
  <c r="EF136" i="25"/>
  <c r="EF208" i="25"/>
  <c r="EF121" i="25"/>
  <c r="EF111" i="25"/>
  <c r="EF116" i="25"/>
  <c r="EF114" i="25"/>
  <c r="EF125" i="25"/>
  <c r="EF154" i="25"/>
  <c r="EF72" i="25"/>
  <c r="EF22" i="25"/>
  <c r="EF151" i="25"/>
  <c r="EF132" i="25"/>
  <c r="EF161" i="25"/>
  <c r="EF97" i="25"/>
  <c r="EF9" i="25"/>
  <c r="EF11" i="25"/>
  <c r="EF53" i="25"/>
  <c r="EF39" i="25"/>
  <c r="EF32" i="25"/>
  <c r="EF213" i="25"/>
  <c r="EF88" i="25"/>
  <c r="EF169" i="25"/>
  <c r="EF160" i="25"/>
  <c r="EF140" i="25"/>
  <c r="EF131" i="25"/>
  <c r="EF108" i="25"/>
  <c r="EF118" i="25"/>
  <c r="EF123" i="25"/>
  <c r="EF126" i="25"/>
  <c r="EF119" i="25"/>
  <c r="EF214" i="25"/>
  <c r="EF141" i="25"/>
  <c r="EF25" i="25"/>
  <c r="EF146" i="25"/>
  <c r="EF23" i="25"/>
  <c r="EF65" i="25"/>
  <c r="EF193" i="25"/>
  <c r="EF216" i="25"/>
  <c r="EF75" i="25"/>
  <c r="EF7" i="25"/>
  <c r="EF52" i="25"/>
  <c r="EF38" i="25"/>
  <c r="EF48" i="25"/>
  <c r="EF91" i="25"/>
  <c r="EF173" i="25"/>
  <c r="EF168" i="25"/>
  <c r="EF158" i="25"/>
  <c r="EF45" i="25"/>
  <c r="EF127" i="25"/>
  <c r="EF104" i="25"/>
  <c r="EF172" i="25"/>
  <c r="EF115" i="25"/>
  <c r="EF162" i="25"/>
  <c r="EF94" i="25"/>
  <c r="EF44" i="25"/>
  <c r="EF63" i="25"/>
  <c r="EF143" i="25"/>
  <c r="EF80" i="25"/>
  <c r="EF135" i="25"/>
  <c r="EF77" i="25"/>
  <c r="EF93" i="25"/>
  <c r="EF150" i="25"/>
  <c r="EF13" i="25"/>
  <c r="P131" i="89"/>
  <c r="Q131" i="89" s="1"/>
  <c r="R131" i="89" s="1"/>
  <c r="P112" i="89"/>
  <c r="Q112" i="89" s="1"/>
  <c r="R112" i="89" s="1"/>
  <c r="CE10" i="25" l="1"/>
  <c r="CE7" i="25"/>
  <c r="CE9" i="25"/>
  <c r="CE8" i="25"/>
  <c r="CF10" i="25"/>
  <c r="CF7" i="25"/>
  <c r="CF9" i="25"/>
  <c r="CF8" i="25"/>
  <c r="CH10" i="25"/>
  <c r="CH7" i="25"/>
  <c r="CH9" i="25"/>
  <c r="CH8" i="25"/>
  <c r="CI10" i="25"/>
  <c r="CI7" i="25"/>
  <c r="CI9" i="25"/>
  <c r="CI8" i="25"/>
  <c r="CJ10" i="25"/>
  <c r="CJ7" i="25"/>
  <c r="CJ9" i="25"/>
  <c r="CJ8" i="25"/>
  <c r="CK10" i="25"/>
  <c r="CK7" i="25"/>
  <c r="CK9" i="25"/>
  <c r="CK8" i="25"/>
  <c r="CL10" i="25"/>
  <c r="CL7" i="25"/>
  <c r="CL9" i="25"/>
  <c r="CL8" i="25"/>
  <c r="CM10" i="25"/>
  <c r="CM7" i="25"/>
  <c r="CM9" i="25"/>
  <c r="CM8" i="25"/>
  <c r="CN10" i="25"/>
  <c r="CN7" i="25"/>
  <c r="CN9" i="25"/>
  <c r="CN8" i="25"/>
  <c r="CT10" i="25"/>
  <c r="CU10" i="25" s="1"/>
  <c r="CT7" i="25"/>
  <c r="CU7" i="25" s="1"/>
  <c r="CT9" i="25"/>
  <c r="CU9" i="25" s="1"/>
  <c r="CT8" i="25"/>
  <c r="CU8" i="25" s="1"/>
  <c r="DB10" i="25"/>
  <c r="DB7" i="25"/>
  <c r="DB9" i="25"/>
  <c r="DB8" i="25"/>
  <c r="DC10" i="25"/>
  <c r="DC7" i="25"/>
  <c r="DC9" i="25"/>
  <c r="DC8" i="25"/>
  <c r="DG10" i="25"/>
  <c r="DG7" i="25"/>
  <c r="DG9" i="25"/>
  <c r="DG8" i="25"/>
  <c r="DH10" i="25"/>
  <c r="DH7" i="25"/>
  <c r="DH9" i="25"/>
  <c r="DH8" i="25"/>
  <c r="DL10" i="25"/>
  <c r="DL7" i="25"/>
  <c r="DL9" i="25"/>
  <c r="DL8" i="25"/>
  <c r="DM10" i="25"/>
  <c r="DT10" i="25" s="1"/>
  <c r="DM7" i="25"/>
  <c r="DT7" i="25" s="1"/>
  <c r="DM9" i="25"/>
  <c r="DT9" i="25" s="1"/>
  <c r="DM8" i="25"/>
  <c r="DT8" i="25" s="1"/>
  <c r="DN10" i="25"/>
  <c r="DN7" i="25"/>
  <c r="DN9" i="25"/>
  <c r="DN8" i="25"/>
  <c r="DO10" i="25"/>
  <c r="DO7" i="25"/>
  <c r="DO9" i="25"/>
  <c r="DO8" i="25"/>
  <c r="DV10" i="25"/>
  <c r="DV7" i="25"/>
  <c r="DV9" i="25"/>
  <c r="DV8" i="25"/>
  <c r="DW10" i="25"/>
  <c r="DX10" i="25" s="1"/>
  <c r="DW7" i="25"/>
  <c r="DX7" i="25" s="1"/>
  <c r="DW9" i="25"/>
  <c r="DX9" i="25" s="1"/>
  <c r="DW8" i="25"/>
  <c r="DX8" i="25" s="1"/>
  <c r="DY10" i="25"/>
  <c r="DY7" i="25"/>
  <c r="DY9" i="25"/>
  <c r="DY8" i="25"/>
  <c r="EA10" i="25"/>
  <c r="EA7" i="25"/>
  <c r="EA9" i="25"/>
  <c r="EA8" i="25"/>
  <c r="EB10" i="25"/>
  <c r="EB7" i="25"/>
  <c r="EB9" i="25"/>
  <c r="EB8" i="25"/>
  <c r="EI10" i="25"/>
  <c r="EI7" i="25"/>
  <c r="EI9" i="25"/>
  <c r="EI8" i="25"/>
  <c r="EJ10" i="25"/>
  <c r="EJ7" i="25"/>
  <c r="EJ9" i="25"/>
  <c r="EJ8" i="25"/>
  <c r="EK10" i="25"/>
  <c r="EK7" i="25"/>
  <c r="EK9" i="25"/>
  <c r="EK8" i="25"/>
  <c r="EL10" i="25"/>
  <c r="EL7" i="25"/>
  <c r="EL9" i="25"/>
  <c r="EL8" i="25"/>
  <c r="EM10" i="25"/>
  <c r="DU10" i="25" s="1"/>
  <c r="EM7" i="25"/>
  <c r="DU7" i="25" s="1"/>
  <c r="EM9" i="25"/>
  <c r="DU9" i="25" s="1"/>
  <c r="EM8" i="25"/>
  <c r="DU8" i="25" s="1"/>
  <c r="EN10" i="25"/>
  <c r="EN7" i="25"/>
  <c r="EN9" i="25"/>
  <c r="EN8" i="25"/>
  <c r="EO10" i="25"/>
  <c r="EO7" i="25"/>
  <c r="EO9" i="25"/>
  <c r="EO8" i="25"/>
  <c r="EP10" i="25"/>
  <c r="EP7" i="25"/>
  <c r="EP9" i="25"/>
  <c r="EP8" i="25"/>
  <c r="ET10" i="25"/>
  <c r="ET7" i="25"/>
  <c r="ET9" i="25"/>
  <c r="ET8" i="25"/>
  <c r="EU10" i="25"/>
  <c r="EU7" i="25"/>
  <c r="EU9" i="25"/>
  <c r="EU8" i="25"/>
  <c r="DZ10" i="25" l="1"/>
  <c r="EG10" i="25"/>
  <c r="EG9" i="25"/>
  <c r="EG7" i="25"/>
  <c r="EG8" i="25"/>
  <c r="EH9" i="25"/>
  <c r="EH8" i="25"/>
  <c r="CG8" i="25"/>
  <c r="EH7" i="25"/>
  <c r="CQ7" i="25"/>
  <c r="DP10" i="25"/>
  <c r="DQ10" i="25" s="1"/>
  <c r="DR10" i="25" s="1"/>
  <c r="DS10" i="25" s="1"/>
  <c r="EH10" i="25"/>
  <c r="CP9" i="25"/>
  <c r="CR9" i="25" s="1"/>
  <c r="CG9" i="25"/>
  <c r="CG10" i="25"/>
  <c r="CP7" i="25"/>
  <c r="CR7" i="25" s="1"/>
  <c r="CQ9" i="25"/>
  <c r="DP7" i="25"/>
  <c r="DQ7" i="25" s="1"/>
  <c r="DR7" i="25" s="1"/>
  <c r="DS7" i="25" s="1"/>
  <c r="CP10" i="25"/>
  <c r="CR10" i="25" s="1"/>
  <c r="CQ10" i="25"/>
  <c r="CG7" i="25"/>
  <c r="CP8" i="25"/>
  <c r="CR8" i="25" s="1"/>
  <c r="DP8" i="25"/>
  <c r="DQ8" i="25" s="1"/>
  <c r="DR8" i="25" s="1"/>
  <c r="DS8" i="25" s="1"/>
  <c r="DI8" i="25"/>
  <c r="DJ8" i="25" s="1"/>
  <c r="DP9" i="25"/>
  <c r="DQ9" i="25" s="1"/>
  <c r="DR9" i="25" s="1"/>
  <c r="DS9" i="25" s="1"/>
  <c r="DE8" i="25"/>
  <c r="DD8" i="25" s="1"/>
  <c r="DK8" i="25" s="1"/>
  <c r="CQ8" i="25"/>
  <c r="DI9" i="25"/>
  <c r="DJ9" i="25" s="1"/>
  <c r="DE9" i="25"/>
  <c r="DD9" i="25" s="1"/>
  <c r="DK9" i="25" s="1"/>
  <c r="DI7" i="25"/>
  <c r="DJ7" i="25" s="1"/>
  <c r="DE7" i="25"/>
  <c r="DD7" i="25" s="1"/>
  <c r="DK7" i="25" s="1"/>
  <c r="DI10" i="25"/>
  <c r="DJ10" i="25" s="1"/>
  <c r="DE10" i="25"/>
  <c r="DD10" i="25" s="1"/>
  <c r="DK10" i="25" s="1"/>
  <c r="DZ8" i="25"/>
  <c r="DF8" i="25"/>
  <c r="DZ9" i="25"/>
  <c r="DF9" i="25"/>
  <c r="DZ7" i="25"/>
  <c r="DF7" i="25"/>
  <c r="DF10" i="25"/>
  <c r="CV9" i="25" l="1"/>
  <c r="CY9" i="25" s="1"/>
  <c r="CZ9" i="25" s="1"/>
  <c r="CS9" i="25"/>
  <c r="CW9" i="25" s="1"/>
  <c r="CX9" i="25" s="1"/>
  <c r="DA9" i="25" s="1"/>
  <c r="CV7" i="25"/>
  <c r="CY7" i="25" s="1"/>
  <c r="CZ7" i="25" s="1"/>
  <c r="CS7" i="25"/>
  <c r="CW7" i="25" s="1"/>
  <c r="CX7" i="25" s="1"/>
  <c r="DA7" i="25" s="1"/>
  <c r="CV10" i="25"/>
  <c r="CY10" i="25" s="1"/>
  <c r="CZ10" i="25" s="1"/>
  <c r="CS10" i="25"/>
  <c r="CW10" i="25" s="1"/>
  <c r="CX10" i="25" s="1"/>
  <c r="DA10" i="25" s="1"/>
  <c r="CV8" i="25"/>
  <c r="CY8" i="25" s="1"/>
  <c r="CZ8" i="25" s="1"/>
  <c r="CS8" i="25"/>
  <c r="CW8" i="25" s="1"/>
  <c r="CX8" i="25" s="1"/>
  <c r="DA8" i="25" s="1"/>
  <c r="CE56" i="25"/>
  <c r="CE17" i="25"/>
  <c r="CE57" i="25"/>
  <c r="CF56" i="25"/>
  <c r="CF17" i="25"/>
  <c r="CF57" i="25"/>
  <c r="CH56" i="25"/>
  <c r="CH17" i="25"/>
  <c r="CH57" i="25"/>
  <c r="CI56" i="25"/>
  <c r="CI17" i="25"/>
  <c r="CI57" i="25"/>
  <c r="CJ56" i="25"/>
  <c r="CJ17" i="25"/>
  <c r="CJ57" i="25"/>
  <c r="CK56" i="25"/>
  <c r="CK17" i="25"/>
  <c r="CK57" i="25"/>
  <c r="CL56" i="25"/>
  <c r="CL17" i="25"/>
  <c r="CL57" i="25"/>
  <c r="CM56" i="25"/>
  <c r="CM17" i="25"/>
  <c r="CM57" i="25"/>
  <c r="CN56" i="25"/>
  <c r="CN17" i="25"/>
  <c r="CN57" i="25"/>
  <c r="CT56" i="25"/>
  <c r="CU56" i="25" s="1"/>
  <c r="CT17" i="25"/>
  <c r="CU17" i="25" s="1"/>
  <c r="CT57" i="25"/>
  <c r="CU57" i="25" s="1"/>
  <c r="DB56" i="25"/>
  <c r="DB17" i="25"/>
  <c r="DB57" i="25"/>
  <c r="DC56" i="25"/>
  <c r="DC17" i="25"/>
  <c r="DC57" i="25"/>
  <c r="DG56" i="25"/>
  <c r="DG17" i="25"/>
  <c r="DG57" i="25"/>
  <c r="DH56" i="25"/>
  <c r="DH17" i="25"/>
  <c r="DH57" i="25"/>
  <c r="DL56" i="25"/>
  <c r="DL17" i="25"/>
  <c r="DL57" i="25"/>
  <c r="DM56" i="25"/>
  <c r="DT56" i="25" s="1"/>
  <c r="DM17" i="25"/>
  <c r="DT17" i="25" s="1"/>
  <c r="DM57" i="25"/>
  <c r="DT57" i="25" s="1"/>
  <c r="DN56" i="25"/>
  <c r="DN17" i="25"/>
  <c r="DN57" i="25"/>
  <c r="DO56" i="25"/>
  <c r="DO17" i="25"/>
  <c r="DO57" i="25"/>
  <c r="DV56" i="25"/>
  <c r="DV17" i="25"/>
  <c r="DV57" i="25"/>
  <c r="DW56" i="25"/>
  <c r="DZ56" i="25" s="1"/>
  <c r="DW17" i="25"/>
  <c r="DZ17" i="25" s="1"/>
  <c r="DW57" i="25"/>
  <c r="DZ57" i="25" s="1"/>
  <c r="DY56" i="25"/>
  <c r="DY17" i="25"/>
  <c r="DY57" i="25"/>
  <c r="EA56" i="25"/>
  <c r="EA17" i="25"/>
  <c r="EA57" i="25"/>
  <c r="EB56" i="25"/>
  <c r="EB17" i="25"/>
  <c r="EB57" i="25"/>
  <c r="EI56" i="25"/>
  <c r="EI17" i="25"/>
  <c r="EI57" i="25"/>
  <c r="EJ56" i="25"/>
  <c r="EJ17" i="25"/>
  <c r="EJ57" i="25"/>
  <c r="EK56" i="25"/>
  <c r="EK17" i="25"/>
  <c r="DI17" i="25" s="1"/>
  <c r="DJ17" i="25" s="1"/>
  <c r="EK57" i="25"/>
  <c r="DF57" i="25" s="1"/>
  <c r="EL56" i="25"/>
  <c r="EL17" i="25"/>
  <c r="EL57" i="25"/>
  <c r="EM56" i="25"/>
  <c r="DU56" i="25" s="1"/>
  <c r="EM17" i="25"/>
  <c r="DU17" i="25" s="1"/>
  <c r="EM57" i="25"/>
  <c r="DU57" i="25" s="1"/>
  <c r="EN56" i="25"/>
  <c r="EN17" i="25"/>
  <c r="EN57" i="25"/>
  <c r="EO56" i="25"/>
  <c r="EO17" i="25"/>
  <c r="EO57" i="25"/>
  <c r="EP56" i="25"/>
  <c r="EP17" i="25"/>
  <c r="EP57" i="25"/>
  <c r="ET56" i="25"/>
  <c r="ET17" i="25"/>
  <c r="ET57" i="25"/>
  <c r="EU56" i="25"/>
  <c r="EU17" i="25"/>
  <c r="EU57" i="25"/>
  <c r="EG57" i="25" l="1"/>
  <c r="EG56" i="25"/>
  <c r="EG17" i="25"/>
  <c r="EH17" i="25"/>
  <c r="CG17" i="25"/>
  <c r="EH56" i="25"/>
  <c r="CP17" i="25"/>
  <c r="CR17" i="25" s="1"/>
  <c r="CG56" i="25"/>
  <c r="DP57" i="25"/>
  <c r="DQ57" i="25" s="1"/>
  <c r="DR57" i="25" s="1"/>
  <c r="DS57" i="25" s="1"/>
  <c r="CG57" i="25"/>
  <c r="CQ56" i="25"/>
  <c r="DX17" i="25"/>
  <c r="EH57" i="25"/>
  <c r="CQ17" i="25"/>
  <c r="DE56" i="25"/>
  <c r="DD56" i="25" s="1"/>
  <c r="DK56" i="25" s="1"/>
  <c r="DP56" i="25"/>
  <c r="DQ56" i="25" s="1"/>
  <c r="DR56" i="25" s="1"/>
  <c r="DS56" i="25" s="1"/>
  <c r="DF17" i="25"/>
  <c r="CP57" i="25"/>
  <c r="CR57" i="25" s="1"/>
  <c r="CP56" i="25"/>
  <c r="CR56" i="25" s="1"/>
  <c r="DP17" i="25"/>
  <c r="DQ17" i="25" s="1"/>
  <c r="DR17" i="25" s="1"/>
  <c r="DS17" i="25" s="1"/>
  <c r="DI56" i="25"/>
  <c r="DJ56" i="25" s="1"/>
  <c r="DX57" i="25"/>
  <c r="DF56" i="25"/>
  <c r="DE57" i="25"/>
  <c r="DD57" i="25" s="1"/>
  <c r="DK57" i="25" s="1"/>
  <c r="DX56" i="25"/>
  <c r="DE17" i="25"/>
  <c r="DD17" i="25" s="1"/>
  <c r="DK17" i="25" s="1"/>
  <c r="CQ57" i="25"/>
  <c r="DI57" i="25"/>
  <c r="DJ57" i="25" s="1"/>
  <c r="CS57" i="25" l="1"/>
  <c r="CW57" i="25" s="1"/>
  <c r="CX57" i="25" s="1"/>
  <c r="DA57" i="25" s="1"/>
  <c r="CV57" i="25"/>
  <c r="CY57" i="25" s="1"/>
  <c r="CZ57" i="25" s="1"/>
  <c r="CS17" i="25"/>
  <c r="CW17" i="25" s="1"/>
  <c r="CX17" i="25" s="1"/>
  <c r="DA17" i="25" s="1"/>
  <c r="CV17" i="25"/>
  <c r="CY17" i="25" s="1"/>
  <c r="CZ17" i="25" s="1"/>
  <c r="CV56" i="25"/>
  <c r="CY56" i="25" s="1"/>
  <c r="CZ56" i="25" s="1"/>
  <c r="CS56" i="25"/>
  <c r="CW56" i="25" s="1"/>
  <c r="CX56" i="25" s="1"/>
  <c r="DA56" i="25" s="1"/>
  <c r="G20" i="25" l="1"/>
  <c r="CE35" i="25"/>
  <c r="CE34" i="25"/>
  <c r="CE53" i="25"/>
  <c r="CF35" i="25"/>
  <c r="CF34" i="25"/>
  <c r="CF53" i="25"/>
  <c r="CH35" i="25"/>
  <c r="CH34" i="25"/>
  <c r="CH53" i="25"/>
  <c r="CI35" i="25"/>
  <c r="CI34" i="25"/>
  <c r="CI53" i="25"/>
  <c r="CJ35" i="25"/>
  <c r="CJ34" i="25"/>
  <c r="CJ53" i="25"/>
  <c r="CK35" i="25"/>
  <c r="CK34" i="25"/>
  <c r="CK53" i="25"/>
  <c r="CL35" i="25"/>
  <c r="CL34" i="25"/>
  <c r="CL53" i="25"/>
  <c r="CM35" i="25"/>
  <c r="CM34" i="25"/>
  <c r="CM53" i="25"/>
  <c r="CN35" i="25"/>
  <c r="CN34" i="25"/>
  <c r="CN53" i="25"/>
  <c r="CT35" i="25"/>
  <c r="CU35" i="25" s="1"/>
  <c r="CT34" i="25"/>
  <c r="CU34" i="25" s="1"/>
  <c r="CT53" i="25"/>
  <c r="CU53" i="25" s="1"/>
  <c r="DB35" i="25"/>
  <c r="DB34" i="25"/>
  <c r="DB53" i="25"/>
  <c r="DC35" i="25"/>
  <c r="DC34" i="25"/>
  <c r="DC53" i="25"/>
  <c r="DG35" i="25"/>
  <c r="DG34" i="25"/>
  <c r="DG53" i="25"/>
  <c r="DH35" i="25"/>
  <c r="DH34" i="25"/>
  <c r="DH53" i="25"/>
  <c r="DL35" i="25"/>
  <c r="DL34" i="25"/>
  <c r="DL53" i="25"/>
  <c r="DM35" i="25"/>
  <c r="DT35" i="25" s="1"/>
  <c r="DM34" i="25"/>
  <c r="DT34" i="25" s="1"/>
  <c r="DM53" i="25"/>
  <c r="DT53" i="25" s="1"/>
  <c r="DN35" i="25"/>
  <c r="DN34" i="25"/>
  <c r="DN53" i="25"/>
  <c r="DO35" i="25"/>
  <c r="DO34" i="25"/>
  <c r="DO53" i="25"/>
  <c r="DV35" i="25"/>
  <c r="DV34" i="25"/>
  <c r="DV53" i="25"/>
  <c r="DW35" i="25"/>
  <c r="DX35" i="25" s="1"/>
  <c r="DW34" i="25"/>
  <c r="DX34" i="25" s="1"/>
  <c r="DW53" i="25"/>
  <c r="DZ53" i="25" s="1"/>
  <c r="DY35" i="25"/>
  <c r="DY34" i="25"/>
  <c r="DY53" i="25"/>
  <c r="EA35" i="25"/>
  <c r="EA34" i="25"/>
  <c r="EA53" i="25"/>
  <c r="EB35" i="25"/>
  <c r="EB34" i="25"/>
  <c r="EB53" i="25"/>
  <c r="EI35" i="25"/>
  <c r="EI34" i="25"/>
  <c r="EI53" i="25"/>
  <c r="EJ35" i="25"/>
  <c r="EJ34" i="25"/>
  <c r="EJ53" i="25"/>
  <c r="EK35" i="25"/>
  <c r="EK34" i="25"/>
  <c r="DI34" i="25" s="1"/>
  <c r="DJ34" i="25" s="1"/>
  <c r="EK53" i="25"/>
  <c r="DF53" i="25" s="1"/>
  <c r="EL35" i="25"/>
  <c r="EL34" i="25"/>
  <c r="EL53" i="25"/>
  <c r="EM35" i="25"/>
  <c r="DU35" i="25" s="1"/>
  <c r="EM34" i="25"/>
  <c r="DU34" i="25" s="1"/>
  <c r="EM53" i="25"/>
  <c r="DU53" i="25" s="1"/>
  <c r="EN35" i="25"/>
  <c r="EN34" i="25"/>
  <c r="EN53" i="25"/>
  <c r="EO35" i="25"/>
  <c r="EO34" i="25"/>
  <c r="EO53" i="25"/>
  <c r="EP35" i="25"/>
  <c r="EP34" i="25"/>
  <c r="EP53" i="25"/>
  <c r="ET35" i="25"/>
  <c r="ET34" i="25"/>
  <c r="ET53" i="25"/>
  <c r="EU35" i="25"/>
  <c r="EU34" i="25"/>
  <c r="EU53" i="25"/>
  <c r="CE33" i="25"/>
  <c r="CF33" i="25"/>
  <c r="CH33" i="25"/>
  <c r="CI33" i="25"/>
  <c r="CJ33" i="25"/>
  <c r="CK33" i="25"/>
  <c r="CL33" i="25"/>
  <c r="CM33" i="25"/>
  <c r="CN33" i="25"/>
  <c r="CT33" i="25"/>
  <c r="CU33" i="25" s="1"/>
  <c r="DB33" i="25"/>
  <c r="DC33" i="25"/>
  <c r="DG33" i="25"/>
  <c r="DH33" i="25"/>
  <c r="DL33" i="25"/>
  <c r="DM33" i="25"/>
  <c r="DN33" i="25"/>
  <c r="DO33" i="25"/>
  <c r="DV33" i="25"/>
  <c r="DW33" i="25"/>
  <c r="DX33" i="25" s="1"/>
  <c r="DY33" i="25"/>
  <c r="EA33" i="25"/>
  <c r="EB33" i="25"/>
  <c r="EI33" i="25"/>
  <c r="EJ33" i="25"/>
  <c r="EK33" i="25"/>
  <c r="EL33" i="25"/>
  <c r="EM33" i="25"/>
  <c r="DU33" i="25" s="1"/>
  <c r="EN33" i="25"/>
  <c r="EO33" i="25"/>
  <c r="EP33" i="25"/>
  <c r="ET33" i="25"/>
  <c r="EU33" i="25"/>
  <c r="CE32" i="25"/>
  <c r="CF32" i="25"/>
  <c r="CH32" i="25"/>
  <c r="CI32" i="25"/>
  <c r="CJ32" i="25"/>
  <c r="CK32" i="25"/>
  <c r="CL32" i="25"/>
  <c r="CM32" i="25"/>
  <c r="CN32" i="25"/>
  <c r="CT32" i="25"/>
  <c r="CU32" i="25" s="1"/>
  <c r="DB32" i="25"/>
  <c r="DC32" i="25"/>
  <c r="DG32" i="25"/>
  <c r="DH32" i="25"/>
  <c r="DL32" i="25"/>
  <c r="DM32" i="25"/>
  <c r="DN32" i="25"/>
  <c r="DO32" i="25"/>
  <c r="DV32" i="25"/>
  <c r="DW32" i="25"/>
  <c r="DX32" i="25" s="1"/>
  <c r="DY32" i="25"/>
  <c r="EA32" i="25"/>
  <c r="EB32" i="25"/>
  <c r="EI32" i="25"/>
  <c r="EJ32" i="25"/>
  <c r="EK32" i="25"/>
  <c r="EL32" i="25"/>
  <c r="EM32" i="25"/>
  <c r="DU32" i="25" s="1"/>
  <c r="EN32" i="25"/>
  <c r="EO32" i="25"/>
  <c r="EP32" i="25"/>
  <c r="ET32" i="25"/>
  <c r="EU32" i="25"/>
  <c r="CE21" i="25"/>
  <c r="CF21" i="25"/>
  <c r="CH21" i="25"/>
  <c r="CI21" i="25"/>
  <c r="CJ21" i="25"/>
  <c r="CK21" i="25"/>
  <c r="CL21" i="25"/>
  <c r="CM21" i="25"/>
  <c r="CN21" i="25"/>
  <c r="CT21" i="25"/>
  <c r="DB21" i="25"/>
  <c r="DC21" i="25"/>
  <c r="DG21" i="25"/>
  <c r="DH21" i="25"/>
  <c r="DL21" i="25"/>
  <c r="DM21" i="25"/>
  <c r="DT21" i="25" s="1"/>
  <c r="DN21" i="25"/>
  <c r="DO21" i="25"/>
  <c r="DV21" i="25"/>
  <c r="DW21" i="25"/>
  <c r="DX21" i="25" s="1"/>
  <c r="DY21" i="25"/>
  <c r="EA21" i="25"/>
  <c r="EB21" i="25"/>
  <c r="EI21" i="25"/>
  <c r="EJ21" i="25"/>
  <c r="EK21" i="25"/>
  <c r="EL21" i="25"/>
  <c r="EM21" i="25"/>
  <c r="DU21" i="25" s="1"/>
  <c r="EN21" i="25"/>
  <c r="EO21" i="25"/>
  <c r="EP21" i="25"/>
  <c r="ET21" i="25"/>
  <c r="EU21" i="25"/>
  <c r="CE31" i="25"/>
  <c r="CE43" i="25"/>
  <c r="CF31" i="25"/>
  <c r="CF43" i="25"/>
  <c r="CH31" i="25"/>
  <c r="CH43" i="25"/>
  <c r="CI31" i="25"/>
  <c r="CI43" i="25"/>
  <c r="CJ31" i="25"/>
  <c r="CJ43" i="25"/>
  <c r="CK31" i="25"/>
  <c r="CK43" i="25"/>
  <c r="CL31" i="25"/>
  <c r="CL43" i="25"/>
  <c r="CM31" i="25"/>
  <c r="CM43" i="25"/>
  <c r="CN31" i="25"/>
  <c r="CN43" i="25"/>
  <c r="CT31" i="25"/>
  <c r="CU31" i="25" s="1"/>
  <c r="CT43" i="25"/>
  <c r="CU43" i="25" s="1"/>
  <c r="DB31" i="25"/>
  <c r="DB43" i="25"/>
  <c r="DC31" i="25"/>
  <c r="DC43" i="25"/>
  <c r="DG31" i="25"/>
  <c r="DG43" i="25"/>
  <c r="DH31" i="25"/>
  <c r="DH43" i="25"/>
  <c r="DL31" i="25"/>
  <c r="DL43" i="25"/>
  <c r="DM31" i="25"/>
  <c r="DT31" i="25" s="1"/>
  <c r="DM43" i="25"/>
  <c r="DT43" i="25" s="1"/>
  <c r="DN31" i="25"/>
  <c r="DN43" i="25"/>
  <c r="DO31" i="25"/>
  <c r="DO43" i="25"/>
  <c r="DV31" i="25"/>
  <c r="DV43" i="25"/>
  <c r="DW31" i="25"/>
  <c r="DX31" i="25" s="1"/>
  <c r="DW43" i="25"/>
  <c r="DX43" i="25" s="1"/>
  <c r="DY31" i="25"/>
  <c r="DY43" i="25"/>
  <c r="EA31" i="25"/>
  <c r="EA43" i="25"/>
  <c r="EB31" i="25"/>
  <c r="EB43" i="25"/>
  <c r="EI31" i="25"/>
  <c r="EI43" i="25"/>
  <c r="EJ31" i="25"/>
  <c r="EJ43" i="25"/>
  <c r="EK31" i="25"/>
  <c r="EK43" i="25"/>
  <c r="EL31" i="25"/>
  <c r="EL43" i="25"/>
  <c r="EM31" i="25"/>
  <c r="DU31" i="25" s="1"/>
  <c r="EM43" i="25"/>
  <c r="DU43" i="25" s="1"/>
  <c r="EN31" i="25"/>
  <c r="EN43" i="25"/>
  <c r="EO31" i="25"/>
  <c r="EO43" i="25"/>
  <c r="EP31" i="25"/>
  <c r="EP43" i="25"/>
  <c r="ET31" i="25"/>
  <c r="ET43" i="25"/>
  <c r="EU31" i="25"/>
  <c r="EU43" i="25"/>
  <c r="CE38" i="25"/>
  <c r="CF38" i="25"/>
  <c r="CH38" i="25"/>
  <c r="CI38" i="25"/>
  <c r="CJ38" i="25"/>
  <c r="CK38" i="25"/>
  <c r="CL38" i="25"/>
  <c r="CM38" i="25"/>
  <c r="CN38" i="25"/>
  <c r="CT38" i="25"/>
  <c r="CU38" i="25" s="1"/>
  <c r="DB38" i="25"/>
  <c r="DC38" i="25"/>
  <c r="DG38" i="25"/>
  <c r="DH38" i="25"/>
  <c r="DL38" i="25"/>
  <c r="DM38" i="25"/>
  <c r="DT38" i="25" s="1"/>
  <c r="DN38" i="25"/>
  <c r="DO38" i="25"/>
  <c r="DV38" i="25"/>
  <c r="DW38" i="25"/>
  <c r="DX38" i="25" s="1"/>
  <c r="DY38" i="25"/>
  <c r="EA38" i="25"/>
  <c r="EB38" i="25"/>
  <c r="EI38" i="25"/>
  <c r="EJ38" i="25"/>
  <c r="EK38" i="25"/>
  <c r="EL38" i="25"/>
  <c r="EM38" i="25"/>
  <c r="DU38" i="25" s="1"/>
  <c r="EN38" i="25"/>
  <c r="EO38" i="25"/>
  <c r="EP38" i="25"/>
  <c r="ET38" i="25"/>
  <c r="EU38" i="25"/>
  <c r="CE52" i="25"/>
  <c r="CF52" i="25"/>
  <c r="CH52" i="25"/>
  <c r="CI52" i="25"/>
  <c r="CJ52" i="25"/>
  <c r="CK52" i="25"/>
  <c r="CL52" i="25"/>
  <c r="CM52" i="25"/>
  <c r="CN52" i="25"/>
  <c r="CT52" i="25"/>
  <c r="CU52" i="25" s="1"/>
  <c r="DB52" i="25"/>
  <c r="DC52" i="25"/>
  <c r="DG52" i="25"/>
  <c r="DH52" i="25"/>
  <c r="DL52" i="25"/>
  <c r="DM52" i="25"/>
  <c r="DT52" i="25" s="1"/>
  <c r="DN52" i="25"/>
  <c r="DO52" i="25"/>
  <c r="DV52" i="25"/>
  <c r="DW52" i="25"/>
  <c r="DX52" i="25" s="1"/>
  <c r="DY52" i="25"/>
  <c r="EA52" i="25"/>
  <c r="EB52" i="25"/>
  <c r="EI52" i="25"/>
  <c r="EJ52" i="25"/>
  <c r="EK52" i="25"/>
  <c r="EL52" i="25"/>
  <c r="EM52" i="25"/>
  <c r="DU52" i="25" s="1"/>
  <c r="EN52" i="25"/>
  <c r="EO52" i="25"/>
  <c r="EP52" i="25"/>
  <c r="ET52" i="25"/>
  <c r="EU52" i="25"/>
  <c r="CE58" i="25"/>
  <c r="CE36" i="25"/>
  <c r="CE37" i="25"/>
  <c r="CE16" i="25"/>
  <c r="CE15" i="25"/>
  <c r="CF58" i="25"/>
  <c r="CF36" i="25"/>
  <c r="CF37" i="25"/>
  <c r="CF16" i="25"/>
  <c r="CF15" i="25"/>
  <c r="CH58" i="25"/>
  <c r="CH36" i="25"/>
  <c r="CH37" i="25"/>
  <c r="CH16" i="25"/>
  <c r="CH15" i="25"/>
  <c r="CI58" i="25"/>
  <c r="CI36" i="25"/>
  <c r="CI37" i="25"/>
  <c r="CI16" i="25"/>
  <c r="CI15" i="25"/>
  <c r="CJ58" i="25"/>
  <c r="CJ36" i="25"/>
  <c r="CJ37" i="25"/>
  <c r="CJ16" i="25"/>
  <c r="CJ15" i="25"/>
  <c r="CK58" i="25"/>
  <c r="CK36" i="25"/>
  <c r="CK37" i="25"/>
  <c r="CK16" i="25"/>
  <c r="CK15" i="25"/>
  <c r="CL58" i="25"/>
  <c r="CL36" i="25"/>
  <c r="CL37" i="25"/>
  <c r="CL16" i="25"/>
  <c r="CL15" i="25"/>
  <c r="CM58" i="25"/>
  <c r="CM36" i="25"/>
  <c r="CM37" i="25"/>
  <c r="CM16" i="25"/>
  <c r="CM15" i="25"/>
  <c r="CN58" i="25"/>
  <c r="CN36" i="25"/>
  <c r="CN37" i="25"/>
  <c r="CN16" i="25"/>
  <c r="CN15" i="25"/>
  <c r="CT58" i="25"/>
  <c r="CU58" i="25" s="1"/>
  <c r="CT36" i="25"/>
  <c r="CT37" i="25"/>
  <c r="CU37" i="25" s="1"/>
  <c r="CT16" i="25"/>
  <c r="CU16" i="25" s="1"/>
  <c r="CT15" i="25"/>
  <c r="CU15" i="25" s="1"/>
  <c r="DB58" i="25"/>
  <c r="DB36" i="25"/>
  <c r="DB37" i="25"/>
  <c r="DB16" i="25"/>
  <c r="DB15" i="25"/>
  <c r="DC58" i="25"/>
  <c r="DC36" i="25"/>
  <c r="DC37" i="25"/>
  <c r="DC16" i="25"/>
  <c r="DC15" i="25"/>
  <c r="DG58" i="25"/>
  <c r="DG36" i="25"/>
  <c r="DG37" i="25"/>
  <c r="DG16" i="25"/>
  <c r="DG15" i="25"/>
  <c r="DH58" i="25"/>
  <c r="DH36" i="25"/>
  <c r="DH37" i="25"/>
  <c r="DH16" i="25"/>
  <c r="DH15" i="25"/>
  <c r="DL58" i="25"/>
  <c r="DL36" i="25"/>
  <c r="DL37" i="25"/>
  <c r="DL16" i="25"/>
  <c r="DL15" i="25"/>
  <c r="DM58" i="25"/>
  <c r="DT58" i="25" s="1"/>
  <c r="DM36" i="25"/>
  <c r="DM37" i="25"/>
  <c r="DT37" i="25" s="1"/>
  <c r="DM16" i="25"/>
  <c r="DT16" i="25" s="1"/>
  <c r="DM15" i="25"/>
  <c r="DT15" i="25" s="1"/>
  <c r="DN58" i="25"/>
  <c r="DN36" i="25"/>
  <c r="DN37" i="25"/>
  <c r="DN16" i="25"/>
  <c r="DN15" i="25"/>
  <c r="DO58" i="25"/>
  <c r="DO36" i="25"/>
  <c r="DO37" i="25"/>
  <c r="DO16" i="25"/>
  <c r="DO15" i="25"/>
  <c r="DV58" i="25"/>
  <c r="DV36" i="25"/>
  <c r="DV37" i="25"/>
  <c r="DV16" i="25"/>
  <c r="DV15" i="25"/>
  <c r="DW58" i="25"/>
  <c r="DX58" i="25" s="1"/>
  <c r="DW36" i="25"/>
  <c r="DZ36" i="25" s="1"/>
  <c r="DW37" i="25"/>
  <c r="DZ37" i="25" s="1"/>
  <c r="DW16" i="25"/>
  <c r="DZ16" i="25" s="1"/>
  <c r="DW15" i="25"/>
  <c r="DX15" i="25" s="1"/>
  <c r="DY58" i="25"/>
  <c r="DY36" i="25"/>
  <c r="DY37" i="25"/>
  <c r="DY16" i="25"/>
  <c r="DY15" i="25"/>
  <c r="EA58" i="25"/>
  <c r="EA36" i="25"/>
  <c r="EA37" i="25"/>
  <c r="EA16" i="25"/>
  <c r="EA15" i="25"/>
  <c r="EB58" i="25"/>
  <c r="EB36" i="25"/>
  <c r="EB37" i="25"/>
  <c r="EB16" i="25"/>
  <c r="EB15" i="25"/>
  <c r="EI58" i="25"/>
  <c r="EI36" i="25"/>
  <c r="EI37" i="25"/>
  <c r="EI16" i="25"/>
  <c r="EI15" i="25"/>
  <c r="EJ58" i="25"/>
  <c r="EJ36" i="25"/>
  <c r="EJ37" i="25"/>
  <c r="EJ16" i="25"/>
  <c r="EJ15" i="25"/>
  <c r="EK58" i="25"/>
  <c r="DI58" i="25" s="1"/>
  <c r="DJ58" i="25" s="1"/>
  <c r="EK36" i="25"/>
  <c r="DI36" i="25" s="1"/>
  <c r="DJ36" i="25" s="1"/>
  <c r="EK37" i="25"/>
  <c r="DI37" i="25" s="1"/>
  <c r="DJ37" i="25" s="1"/>
  <c r="EK16" i="25"/>
  <c r="EK15" i="25"/>
  <c r="DI15" i="25" s="1"/>
  <c r="DJ15" i="25" s="1"/>
  <c r="EL58" i="25"/>
  <c r="EL36" i="25"/>
  <c r="EL37" i="25"/>
  <c r="EL16" i="25"/>
  <c r="EL15" i="25"/>
  <c r="EM58" i="25"/>
  <c r="DU58" i="25" s="1"/>
  <c r="EM36" i="25"/>
  <c r="DU36" i="25" s="1"/>
  <c r="EM37" i="25"/>
  <c r="DU37" i="25" s="1"/>
  <c r="EM16" i="25"/>
  <c r="DU16" i="25" s="1"/>
  <c r="EM15" i="25"/>
  <c r="DU15" i="25" s="1"/>
  <c r="EN58" i="25"/>
  <c r="EN36" i="25"/>
  <c r="EN37" i="25"/>
  <c r="EN16" i="25"/>
  <c r="EN15" i="25"/>
  <c r="EO58" i="25"/>
  <c r="EO36" i="25"/>
  <c r="EO37" i="25"/>
  <c r="EO16" i="25"/>
  <c r="EO15" i="25"/>
  <c r="EP58" i="25"/>
  <c r="EP36" i="25"/>
  <c r="EP37" i="25"/>
  <c r="EP16" i="25"/>
  <c r="EP15" i="25"/>
  <c r="ET58" i="25"/>
  <c r="ET36" i="25"/>
  <c r="ET37" i="25"/>
  <c r="ET16" i="25"/>
  <c r="ET15" i="25"/>
  <c r="EU58" i="25"/>
  <c r="EU36" i="25"/>
  <c r="EU37" i="25"/>
  <c r="EU16" i="25"/>
  <c r="EU15" i="25"/>
  <c r="CE42" i="25"/>
  <c r="CF42" i="25"/>
  <c r="CH42" i="25"/>
  <c r="CI42" i="25"/>
  <c r="CJ42" i="25"/>
  <c r="CK42" i="25"/>
  <c r="CL42" i="25"/>
  <c r="CM42" i="25"/>
  <c r="CN42" i="25"/>
  <c r="CT42" i="25"/>
  <c r="CU42" i="25" s="1"/>
  <c r="DB42" i="25"/>
  <c r="DC42" i="25"/>
  <c r="DG42" i="25"/>
  <c r="DH42" i="25"/>
  <c r="DL42" i="25"/>
  <c r="DM42" i="25"/>
  <c r="DT42" i="25" s="1"/>
  <c r="DN42" i="25"/>
  <c r="DO42" i="25"/>
  <c r="DV42" i="25"/>
  <c r="DW42" i="25"/>
  <c r="DX42" i="25" s="1"/>
  <c r="DY42" i="25"/>
  <c r="EA42" i="25"/>
  <c r="EB42" i="25"/>
  <c r="EI42" i="25"/>
  <c r="EJ42" i="25"/>
  <c r="EK42" i="25"/>
  <c r="EL42" i="25"/>
  <c r="EM42" i="25"/>
  <c r="DU42" i="25" s="1"/>
  <c r="EN42" i="25"/>
  <c r="EO42" i="25"/>
  <c r="EP42" i="25"/>
  <c r="ET42" i="25"/>
  <c r="EU42" i="25"/>
  <c r="CE20" i="25"/>
  <c r="CF20" i="25"/>
  <c r="CH20" i="25"/>
  <c r="CI20" i="25"/>
  <c r="CJ20" i="25"/>
  <c r="CK20" i="25"/>
  <c r="CL20" i="25"/>
  <c r="CM20" i="25"/>
  <c r="CN20" i="25"/>
  <c r="CT20" i="25"/>
  <c r="CU20" i="25" s="1"/>
  <c r="DB20" i="25"/>
  <c r="DC20" i="25"/>
  <c r="DG20" i="25"/>
  <c r="DH20" i="25"/>
  <c r="DL20" i="25"/>
  <c r="DM20" i="25"/>
  <c r="DT20" i="25" s="1"/>
  <c r="DN20" i="25"/>
  <c r="DO20" i="25"/>
  <c r="DV20" i="25"/>
  <c r="DW20" i="25"/>
  <c r="DX20" i="25" s="1"/>
  <c r="DY20" i="25"/>
  <c r="EA20" i="25"/>
  <c r="EB20" i="25"/>
  <c r="EI20" i="25"/>
  <c r="EJ20" i="25"/>
  <c r="EK20" i="25"/>
  <c r="EL20" i="25"/>
  <c r="EM20" i="25"/>
  <c r="DU20" i="25" s="1"/>
  <c r="EN20" i="25"/>
  <c r="EO20" i="25"/>
  <c r="EP20" i="25"/>
  <c r="ET20" i="25"/>
  <c r="EU20" i="25"/>
  <c r="CE12" i="25"/>
  <c r="CE14" i="25"/>
  <c r="CE23" i="25"/>
  <c r="CE48" i="25"/>
  <c r="CF12" i="25"/>
  <c r="CF14" i="25"/>
  <c r="CF23" i="25"/>
  <c r="CF48" i="25"/>
  <c r="CH12" i="25"/>
  <c r="CH14" i="25"/>
  <c r="CH23" i="25"/>
  <c r="CH48" i="25"/>
  <c r="CI12" i="25"/>
  <c r="CI14" i="25"/>
  <c r="CI23" i="25"/>
  <c r="CI48" i="25"/>
  <c r="CJ12" i="25"/>
  <c r="CJ14" i="25"/>
  <c r="CJ23" i="25"/>
  <c r="CJ48" i="25"/>
  <c r="CK12" i="25"/>
  <c r="CK14" i="25"/>
  <c r="CK23" i="25"/>
  <c r="CK48" i="25"/>
  <c r="CL12" i="25"/>
  <c r="CL14" i="25"/>
  <c r="CL23" i="25"/>
  <c r="CL48" i="25"/>
  <c r="CM12" i="25"/>
  <c r="CM14" i="25"/>
  <c r="CM23" i="25"/>
  <c r="CM48" i="25"/>
  <c r="CN12" i="25"/>
  <c r="CN14" i="25"/>
  <c r="CN23" i="25"/>
  <c r="CN48" i="25"/>
  <c r="CT12" i="25"/>
  <c r="CU12" i="25" s="1"/>
  <c r="CT14" i="25"/>
  <c r="CU14" i="25" s="1"/>
  <c r="CT23" i="25"/>
  <c r="CU23" i="25" s="1"/>
  <c r="CT48" i="25"/>
  <c r="CU48" i="25" s="1"/>
  <c r="DB12" i="25"/>
  <c r="DB14" i="25"/>
  <c r="DB23" i="25"/>
  <c r="DB48" i="25"/>
  <c r="DC12" i="25"/>
  <c r="DC14" i="25"/>
  <c r="DC23" i="25"/>
  <c r="DC48" i="25"/>
  <c r="DG12" i="25"/>
  <c r="DG14" i="25"/>
  <c r="DG23" i="25"/>
  <c r="DG48" i="25"/>
  <c r="DH12" i="25"/>
  <c r="DH14" i="25"/>
  <c r="DH23" i="25"/>
  <c r="DH48" i="25"/>
  <c r="DL12" i="25"/>
  <c r="DL14" i="25"/>
  <c r="DL23" i="25"/>
  <c r="DL48" i="25"/>
  <c r="DM12" i="25"/>
  <c r="DT12" i="25" s="1"/>
  <c r="DM14" i="25"/>
  <c r="DT14" i="25" s="1"/>
  <c r="DM23" i="25"/>
  <c r="DT23" i="25" s="1"/>
  <c r="DM48" i="25"/>
  <c r="DT48" i="25" s="1"/>
  <c r="DN12" i="25"/>
  <c r="DN14" i="25"/>
  <c r="DN23" i="25"/>
  <c r="DN48" i="25"/>
  <c r="DO12" i="25"/>
  <c r="DO14" i="25"/>
  <c r="DO23" i="25"/>
  <c r="DO48" i="25"/>
  <c r="DV12" i="25"/>
  <c r="DV14" i="25"/>
  <c r="DV23" i="25"/>
  <c r="DV48" i="25"/>
  <c r="DW12" i="25"/>
  <c r="DX12" i="25" s="1"/>
  <c r="DW14" i="25"/>
  <c r="DX14" i="25" s="1"/>
  <c r="DW23" i="25"/>
  <c r="DX23" i="25" s="1"/>
  <c r="DW48" i="25"/>
  <c r="DZ48" i="25" s="1"/>
  <c r="DY12" i="25"/>
  <c r="DY14" i="25"/>
  <c r="DY23" i="25"/>
  <c r="DY48" i="25"/>
  <c r="EA12" i="25"/>
  <c r="EA14" i="25"/>
  <c r="EA23" i="25"/>
  <c r="EA48" i="25"/>
  <c r="EB12" i="25"/>
  <c r="EB14" i="25"/>
  <c r="EB23" i="25"/>
  <c r="EB48" i="25"/>
  <c r="EI12" i="25"/>
  <c r="EI14" i="25"/>
  <c r="EI23" i="25"/>
  <c r="EI48" i="25"/>
  <c r="EJ12" i="25"/>
  <c r="EJ14" i="25"/>
  <c r="EJ23" i="25"/>
  <c r="EJ48" i="25"/>
  <c r="EK12" i="25"/>
  <c r="DI12" i="25" s="1"/>
  <c r="DJ12" i="25" s="1"/>
  <c r="EK14" i="25"/>
  <c r="DI14" i="25" s="1"/>
  <c r="DJ14" i="25" s="1"/>
  <c r="EK23" i="25"/>
  <c r="EK48" i="25"/>
  <c r="DI48" i="25" s="1"/>
  <c r="DJ48" i="25" s="1"/>
  <c r="EL12" i="25"/>
  <c r="EL14" i="25"/>
  <c r="EL23" i="25"/>
  <c r="EL48" i="25"/>
  <c r="EM12" i="25"/>
  <c r="DU12" i="25" s="1"/>
  <c r="EM14" i="25"/>
  <c r="DU14" i="25" s="1"/>
  <c r="EM23" i="25"/>
  <c r="DU23" i="25" s="1"/>
  <c r="EM48" i="25"/>
  <c r="DU48" i="25" s="1"/>
  <c r="EN12" i="25"/>
  <c r="EN14" i="25"/>
  <c r="EN23" i="25"/>
  <c r="EN48" i="25"/>
  <c r="EO12" i="25"/>
  <c r="EO14" i="25"/>
  <c r="EO23" i="25"/>
  <c r="EO48" i="25"/>
  <c r="EP12" i="25"/>
  <c r="EP14" i="25"/>
  <c r="EP23" i="25"/>
  <c r="EP48" i="25"/>
  <c r="ET12" i="25"/>
  <c r="ET14" i="25"/>
  <c r="ET23" i="25"/>
  <c r="ET48" i="25"/>
  <c r="EU12" i="25"/>
  <c r="EU14" i="25"/>
  <c r="EU23" i="25"/>
  <c r="EU48" i="25"/>
  <c r="CE51" i="25"/>
  <c r="CF51" i="25"/>
  <c r="CH51" i="25"/>
  <c r="CI51" i="25"/>
  <c r="CJ51" i="25"/>
  <c r="CK51" i="25"/>
  <c r="CL51" i="25"/>
  <c r="CM51" i="25"/>
  <c r="CN51" i="25"/>
  <c r="CT51" i="25"/>
  <c r="CU51" i="25" s="1"/>
  <c r="DB51" i="25"/>
  <c r="DC51" i="25"/>
  <c r="DG51" i="25"/>
  <c r="DH51" i="25"/>
  <c r="DL51" i="25"/>
  <c r="DM51" i="25"/>
  <c r="DT51" i="25" s="1"/>
  <c r="DN51" i="25"/>
  <c r="DO51" i="25"/>
  <c r="DV51" i="25"/>
  <c r="DW51" i="25"/>
  <c r="DX51" i="25" s="1"/>
  <c r="DY51" i="25"/>
  <c r="EA51" i="25"/>
  <c r="EB51" i="25"/>
  <c r="EI51" i="25"/>
  <c r="EJ51" i="25"/>
  <c r="EK51" i="25"/>
  <c r="EL51" i="25"/>
  <c r="EM51" i="25"/>
  <c r="DU51" i="25" s="1"/>
  <c r="EN51" i="25"/>
  <c r="EO51" i="25"/>
  <c r="EP51" i="25"/>
  <c r="ET51" i="25"/>
  <c r="EU51" i="25"/>
  <c r="CE19" i="25"/>
  <c r="CE18" i="25"/>
  <c r="CE22" i="25"/>
  <c r="CF19" i="25"/>
  <c r="CF18" i="25"/>
  <c r="CF22" i="25"/>
  <c r="CH19" i="25"/>
  <c r="CH18" i="25"/>
  <c r="CH22" i="25"/>
  <c r="CI19" i="25"/>
  <c r="CI18" i="25"/>
  <c r="CI22" i="25"/>
  <c r="CJ19" i="25"/>
  <c r="CJ18" i="25"/>
  <c r="CJ22" i="25"/>
  <c r="CK19" i="25"/>
  <c r="CK18" i="25"/>
  <c r="CK22" i="25"/>
  <c r="CL19" i="25"/>
  <c r="CL18" i="25"/>
  <c r="CL22" i="25"/>
  <c r="CM19" i="25"/>
  <c r="CM18" i="25"/>
  <c r="CM22" i="25"/>
  <c r="CN19" i="25"/>
  <c r="CN18" i="25"/>
  <c r="CN22" i="25"/>
  <c r="CT19" i="25"/>
  <c r="CU19" i="25" s="1"/>
  <c r="CT18" i="25"/>
  <c r="CU18" i="25" s="1"/>
  <c r="CT22" i="25"/>
  <c r="CU22" i="25" s="1"/>
  <c r="DB19" i="25"/>
  <c r="DB18" i="25"/>
  <c r="DB22" i="25"/>
  <c r="DC19" i="25"/>
  <c r="DC18" i="25"/>
  <c r="DC22" i="25"/>
  <c r="DG19" i="25"/>
  <c r="DG18" i="25"/>
  <c r="DG22" i="25"/>
  <c r="DH19" i="25"/>
  <c r="DH18" i="25"/>
  <c r="DH22" i="25"/>
  <c r="DL19" i="25"/>
  <c r="DL18" i="25"/>
  <c r="DL22" i="25"/>
  <c r="DM19" i="25"/>
  <c r="DM18" i="25"/>
  <c r="DT18" i="25" s="1"/>
  <c r="DM22" i="25"/>
  <c r="DT22" i="25" s="1"/>
  <c r="DN19" i="25"/>
  <c r="DN18" i="25"/>
  <c r="DN22" i="25"/>
  <c r="DO19" i="25"/>
  <c r="DO18" i="25"/>
  <c r="DO22" i="25"/>
  <c r="DV19" i="25"/>
  <c r="DV18" i="25"/>
  <c r="DV22" i="25"/>
  <c r="DW19" i="25"/>
  <c r="DX19" i="25" s="1"/>
  <c r="DW18" i="25"/>
  <c r="DX18" i="25" s="1"/>
  <c r="DW22" i="25"/>
  <c r="DX22" i="25" s="1"/>
  <c r="DY19" i="25"/>
  <c r="DY18" i="25"/>
  <c r="DY22" i="25"/>
  <c r="EA19" i="25"/>
  <c r="EA18" i="25"/>
  <c r="EA22" i="25"/>
  <c r="EB19" i="25"/>
  <c r="EB18" i="25"/>
  <c r="EB22" i="25"/>
  <c r="EI19" i="25"/>
  <c r="EI18" i="25"/>
  <c r="EI22" i="25"/>
  <c r="EJ19" i="25"/>
  <c r="EJ18" i="25"/>
  <c r="EJ22" i="25"/>
  <c r="EK19" i="25"/>
  <c r="EK18" i="25"/>
  <c r="DI18" i="25" s="1"/>
  <c r="DJ18" i="25" s="1"/>
  <c r="EK22" i="25"/>
  <c r="DF22" i="25" s="1"/>
  <c r="EL19" i="25"/>
  <c r="EL18" i="25"/>
  <c r="EL22" i="25"/>
  <c r="EM19" i="25"/>
  <c r="DU19" i="25" s="1"/>
  <c r="EM18" i="25"/>
  <c r="DU18" i="25" s="1"/>
  <c r="EM22" i="25"/>
  <c r="DU22" i="25" s="1"/>
  <c r="EN19" i="25"/>
  <c r="EN18" i="25"/>
  <c r="EN22" i="25"/>
  <c r="EO19" i="25"/>
  <c r="EO18" i="25"/>
  <c r="EO22" i="25"/>
  <c r="EP19" i="25"/>
  <c r="EP18" i="25"/>
  <c r="EP22" i="25"/>
  <c r="ET19" i="25"/>
  <c r="ET18" i="25"/>
  <c r="ET22" i="25"/>
  <c r="EU19" i="25"/>
  <c r="EU18" i="25"/>
  <c r="EU22" i="25"/>
  <c r="CE55" i="25"/>
  <c r="CF55" i="25"/>
  <c r="CH55" i="25"/>
  <c r="CI55" i="25"/>
  <c r="CJ55" i="25"/>
  <c r="CK55" i="25"/>
  <c r="CL55" i="25"/>
  <c r="CM55" i="25"/>
  <c r="CN55" i="25"/>
  <c r="CT55" i="25"/>
  <c r="CU55" i="25" s="1"/>
  <c r="DB55" i="25"/>
  <c r="DC55" i="25"/>
  <c r="DG55" i="25"/>
  <c r="DH55" i="25"/>
  <c r="DL55" i="25"/>
  <c r="DM55" i="25"/>
  <c r="DT55" i="25" s="1"/>
  <c r="DN55" i="25"/>
  <c r="DO55" i="25"/>
  <c r="DV55" i="25"/>
  <c r="DW55" i="25"/>
  <c r="DX55" i="25" s="1"/>
  <c r="DY55" i="25"/>
  <c r="EA55" i="25"/>
  <c r="EB55" i="25"/>
  <c r="EI55" i="25"/>
  <c r="EJ55" i="25"/>
  <c r="EK55" i="25"/>
  <c r="EL55" i="25"/>
  <c r="EM55" i="25"/>
  <c r="DU55" i="25" s="1"/>
  <c r="EN55" i="25"/>
  <c r="EO55" i="25"/>
  <c r="EP55" i="25"/>
  <c r="ET55" i="25"/>
  <c r="EU55" i="25"/>
  <c r="CE13" i="25"/>
  <c r="CE54" i="25"/>
  <c r="CE25" i="25"/>
  <c r="CF13" i="25"/>
  <c r="CF54" i="25"/>
  <c r="CF25" i="25"/>
  <c r="CH13" i="25"/>
  <c r="CH54" i="25"/>
  <c r="CH25" i="25"/>
  <c r="CI13" i="25"/>
  <c r="CI54" i="25"/>
  <c r="CI25" i="25"/>
  <c r="CJ13" i="25"/>
  <c r="CJ54" i="25"/>
  <c r="CJ25" i="25"/>
  <c r="CK13" i="25"/>
  <c r="CK54" i="25"/>
  <c r="CK25" i="25"/>
  <c r="CL13" i="25"/>
  <c r="CL54" i="25"/>
  <c r="CL25" i="25"/>
  <c r="CM13" i="25"/>
  <c r="CM54" i="25"/>
  <c r="CM25" i="25"/>
  <c r="CN13" i="25"/>
  <c r="CN54" i="25"/>
  <c r="CN25" i="25"/>
  <c r="CT13" i="25"/>
  <c r="CU13" i="25" s="1"/>
  <c r="CT54" i="25"/>
  <c r="CT25" i="25"/>
  <c r="CU25" i="25" s="1"/>
  <c r="DB13" i="25"/>
  <c r="DB54" i="25"/>
  <c r="DB25" i="25"/>
  <c r="DC13" i="25"/>
  <c r="DC54" i="25"/>
  <c r="DC25" i="25"/>
  <c r="DG13" i="25"/>
  <c r="DG54" i="25"/>
  <c r="DG25" i="25"/>
  <c r="DH13" i="25"/>
  <c r="DH54" i="25"/>
  <c r="DH25" i="25"/>
  <c r="DL13" i="25"/>
  <c r="DL54" i="25"/>
  <c r="DL25" i="25"/>
  <c r="DM13" i="25"/>
  <c r="DT13" i="25" s="1"/>
  <c r="DM54" i="25"/>
  <c r="DM25" i="25"/>
  <c r="DN13" i="25"/>
  <c r="DN54" i="25"/>
  <c r="DN25" i="25"/>
  <c r="DO13" i="25"/>
  <c r="DO54" i="25"/>
  <c r="DO25" i="25"/>
  <c r="DV13" i="25"/>
  <c r="DV54" i="25"/>
  <c r="DV25" i="25"/>
  <c r="DW13" i="25"/>
  <c r="DX13" i="25" s="1"/>
  <c r="DW54" i="25"/>
  <c r="DX54" i="25" s="1"/>
  <c r="DW25" i="25"/>
  <c r="DX25" i="25" s="1"/>
  <c r="DY13" i="25"/>
  <c r="DY54" i="25"/>
  <c r="DY25" i="25"/>
  <c r="EA13" i="25"/>
  <c r="EA54" i="25"/>
  <c r="EA25" i="25"/>
  <c r="EB13" i="25"/>
  <c r="EB54" i="25"/>
  <c r="EB25" i="25"/>
  <c r="EI13" i="25"/>
  <c r="EI54" i="25"/>
  <c r="EI25" i="25"/>
  <c r="EJ13" i="25"/>
  <c r="EJ54" i="25"/>
  <c r="EJ25" i="25"/>
  <c r="EK13" i="25"/>
  <c r="EK54" i="25"/>
  <c r="DI54" i="25" s="1"/>
  <c r="DJ54" i="25" s="1"/>
  <c r="EK25" i="25"/>
  <c r="DF25" i="25" s="1"/>
  <c r="EL13" i="25"/>
  <c r="EL54" i="25"/>
  <c r="EL25" i="25"/>
  <c r="EM13" i="25"/>
  <c r="DU13" i="25" s="1"/>
  <c r="EM54" i="25"/>
  <c r="DU54" i="25" s="1"/>
  <c r="EM25" i="25"/>
  <c r="DU25" i="25" s="1"/>
  <c r="EN13" i="25"/>
  <c r="EN54" i="25"/>
  <c r="EN25" i="25"/>
  <c r="EO13" i="25"/>
  <c r="EO54" i="25"/>
  <c r="EO25" i="25"/>
  <c r="EP13" i="25"/>
  <c r="EP54" i="25"/>
  <c r="EP25" i="25"/>
  <c r="ET13" i="25"/>
  <c r="ET54" i="25"/>
  <c r="ET25" i="25"/>
  <c r="EU13" i="25"/>
  <c r="EU54" i="25"/>
  <c r="EU25" i="25"/>
  <c r="CE40" i="25"/>
  <c r="CE41" i="25"/>
  <c r="CF40" i="25"/>
  <c r="CF41" i="25"/>
  <c r="CH40" i="25"/>
  <c r="CH41" i="25"/>
  <c r="CI40" i="25"/>
  <c r="CI41" i="25"/>
  <c r="CJ40" i="25"/>
  <c r="CJ41" i="25"/>
  <c r="CK40" i="25"/>
  <c r="CK41" i="25"/>
  <c r="CL40" i="25"/>
  <c r="CL41" i="25"/>
  <c r="CM40" i="25"/>
  <c r="CM41" i="25"/>
  <c r="CN40" i="25"/>
  <c r="CN41" i="25"/>
  <c r="CT40" i="25"/>
  <c r="CU40" i="25" s="1"/>
  <c r="CT41" i="25"/>
  <c r="CU41" i="25" s="1"/>
  <c r="DB40" i="25"/>
  <c r="DB41" i="25"/>
  <c r="DC40" i="25"/>
  <c r="DC41" i="25"/>
  <c r="DG40" i="25"/>
  <c r="DG41" i="25"/>
  <c r="DH40" i="25"/>
  <c r="DH41" i="25"/>
  <c r="DL40" i="25"/>
  <c r="DL41" i="25"/>
  <c r="DM40" i="25"/>
  <c r="DT40" i="25" s="1"/>
  <c r="DM41" i="25"/>
  <c r="DT41" i="25" s="1"/>
  <c r="DN40" i="25"/>
  <c r="DN41" i="25"/>
  <c r="DO40" i="25"/>
  <c r="DO41" i="25"/>
  <c r="DV40" i="25"/>
  <c r="DV41" i="25"/>
  <c r="DW40" i="25"/>
  <c r="DX40" i="25" s="1"/>
  <c r="DW41" i="25"/>
  <c r="DX41" i="25" s="1"/>
  <c r="DY40" i="25"/>
  <c r="DY41" i="25"/>
  <c r="EA40" i="25"/>
  <c r="EA41" i="25"/>
  <c r="EB40" i="25"/>
  <c r="EB41" i="25"/>
  <c r="EI40" i="25"/>
  <c r="EI41" i="25"/>
  <c r="EJ40" i="25"/>
  <c r="EJ41" i="25"/>
  <c r="EK40" i="25"/>
  <c r="EK41" i="25"/>
  <c r="EL40" i="25"/>
  <c r="EL41" i="25"/>
  <c r="EM40" i="25"/>
  <c r="DU40" i="25" s="1"/>
  <c r="EM41" i="25"/>
  <c r="DU41" i="25" s="1"/>
  <c r="EN40" i="25"/>
  <c r="EN41" i="25"/>
  <c r="EO40" i="25"/>
  <c r="EO41" i="25"/>
  <c r="EP40" i="25"/>
  <c r="EP41" i="25"/>
  <c r="ET40" i="25"/>
  <c r="ET41" i="25"/>
  <c r="EU40" i="25"/>
  <c r="EU41" i="25"/>
  <c r="CE50" i="25"/>
  <c r="CF50" i="25"/>
  <c r="CH50" i="25"/>
  <c r="CI50" i="25"/>
  <c r="CJ50" i="25"/>
  <c r="CK50" i="25"/>
  <c r="CL50" i="25"/>
  <c r="CM50" i="25"/>
  <c r="CN50" i="25"/>
  <c r="CT50" i="25"/>
  <c r="CU50" i="25" s="1"/>
  <c r="DB50" i="25"/>
  <c r="DC50" i="25"/>
  <c r="DG50" i="25"/>
  <c r="DH50" i="25"/>
  <c r="DL50" i="25"/>
  <c r="DM50" i="25"/>
  <c r="DT50" i="25" s="1"/>
  <c r="DN50" i="25"/>
  <c r="DO50" i="25"/>
  <c r="DV50" i="25"/>
  <c r="DW50" i="25"/>
  <c r="DX50" i="25" s="1"/>
  <c r="DY50" i="25"/>
  <c r="EA50" i="25"/>
  <c r="EB50" i="25"/>
  <c r="EI50" i="25"/>
  <c r="EJ50" i="25"/>
  <c r="EK50" i="25"/>
  <c r="DI50" i="25" s="1"/>
  <c r="DJ50" i="25" s="1"/>
  <c r="EL50" i="25"/>
  <c r="EM50" i="25"/>
  <c r="DU50" i="25" s="1"/>
  <c r="EN50" i="25"/>
  <c r="EO50" i="25"/>
  <c r="EP50" i="25"/>
  <c r="ET50" i="25"/>
  <c r="EU50" i="25"/>
  <c r="CE39" i="25"/>
  <c r="CF39" i="25"/>
  <c r="CH39" i="25"/>
  <c r="CI39" i="25"/>
  <c r="CJ39" i="25"/>
  <c r="CK39" i="25"/>
  <c r="CL39" i="25"/>
  <c r="CM39" i="25"/>
  <c r="CN39" i="25"/>
  <c r="CT39" i="25"/>
  <c r="CU39" i="25" s="1"/>
  <c r="DB39" i="25"/>
  <c r="DC39" i="25"/>
  <c r="DG39" i="25"/>
  <c r="DH39" i="25"/>
  <c r="DL39" i="25"/>
  <c r="DM39" i="25"/>
  <c r="DN39" i="25"/>
  <c r="DO39" i="25"/>
  <c r="DV39" i="25"/>
  <c r="DW39" i="25"/>
  <c r="DX39" i="25" s="1"/>
  <c r="DY39" i="25"/>
  <c r="EA39" i="25"/>
  <c r="EB39" i="25"/>
  <c r="EI39" i="25"/>
  <c r="EJ39" i="25"/>
  <c r="EK39" i="25"/>
  <c r="EL39" i="25"/>
  <c r="EM39" i="25"/>
  <c r="DU39" i="25" s="1"/>
  <c r="EN39" i="25"/>
  <c r="EO39" i="25"/>
  <c r="EP39" i="25"/>
  <c r="ET39" i="25"/>
  <c r="EU39" i="25"/>
  <c r="CE49" i="25"/>
  <c r="CF49" i="25"/>
  <c r="CH49" i="25"/>
  <c r="CI49" i="25"/>
  <c r="CJ49" i="25"/>
  <c r="CK49" i="25"/>
  <c r="CL49" i="25"/>
  <c r="CM49" i="25"/>
  <c r="CN49" i="25"/>
  <c r="CT49" i="25"/>
  <c r="CU49" i="25" s="1"/>
  <c r="DB49" i="25"/>
  <c r="DC49" i="25"/>
  <c r="DG49" i="25"/>
  <c r="DH49" i="25"/>
  <c r="DL49" i="25"/>
  <c r="DM49" i="25"/>
  <c r="DT49" i="25" s="1"/>
  <c r="DN49" i="25"/>
  <c r="DO49" i="25"/>
  <c r="DV49" i="25"/>
  <c r="DW49" i="25"/>
  <c r="DX49" i="25" s="1"/>
  <c r="DY49" i="25"/>
  <c r="EA49" i="25"/>
  <c r="EB49" i="25"/>
  <c r="EI49" i="25"/>
  <c r="EJ49" i="25"/>
  <c r="EK49" i="25"/>
  <c r="EL49" i="25"/>
  <c r="EM49" i="25"/>
  <c r="DU49" i="25" s="1"/>
  <c r="EN49" i="25"/>
  <c r="EO49" i="25"/>
  <c r="EP49" i="25"/>
  <c r="ET49" i="25"/>
  <c r="EU49" i="25"/>
  <c r="CE47" i="25"/>
  <c r="CF47" i="25"/>
  <c r="CH47" i="25"/>
  <c r="CI47" i="25"/>
  <c r="CJ47" i="25"/>
  <c r="CK47" i="25"/>
  <c r="CL47" i="25"/>
  <c r="CM47" i="25"/>
  <c r="CN47" i="25"/>
  <c r="CT47" i="25"/>
  <c r="CU47" i="25" s="1"/>
  <c r="DB47" i="25"/>
  <c r="DC47" i="25"/>
  <c r="DG47" i="25"/>
  <c r="DH47" i="25"/>
  <c r="DL47" i="25"/>
  <c r="DM47" i="25"/>
  <c r="DN47" i="25"/>
  <c r="DO47" i="25"/>
  <c r="DV47" i="25"/>
  <c r="DW47" i="25"/>
  <c r="DZ47" i="25" s="1"/>
  <c r="DY47" i="25"/>
  <c r="EA47" i="25"/>
  <c r="EB47" i="25"/>
  <c r="EI47" i="25"/>
  <c r="EJ47" i="25"/>
  <c r="EK47" i="25"/>
  <c r="EL47" i="25"/>
  <c r="EM47" i="25"/>
  <c r="DU47" i="25" s="1"/>
  <c r="EN47" i="25"/>
  <c r="EO47" i="25"/>
  <c r="EP47" i="25"/>
  <c r="ET47" i="25"/>
  <c r="EU47" i="25"/>
  <c r="CE30" i="25"/>
  <c r="CF30" i="25"/>
  <c r="CH30" i="25"/>
  <c r="CI30" i="25"/>
  <c r="CJ30" i="25"/>
  <c r="CK30" i="25"/>
  <c r="CL30" i="25"/>
  <c r="CM30" i="25"/>
  <c r="CN30" i="25"/>
  <c r="CT30" i="25"/>
  <c r="CU30" i="25" s="1"/>
  <c r="DB30" i="25"/>
  <c r="DC30" i="25"/>
  <c r="DG30" i="25"/>
  <c r="DH30" i="25"/>
  <c r="DL30" i="25"/>
  <c r="DM30" i="25"/>
  <c r="DT30" i="25" s="1"/>
  <c r="DN30" i="25"/>
  <c r="DO30" i="25"/>
  <c r="DV30" i="25"/>
  <c r="DW30" i="25"/>
  <c r="DX30" i="25" s="1"/>
  <c r="DY30" i="25"/>
  <c r="EA30" i="25"/>
  <c r="EB30" i="25"/>
  <c r="EI30" i="25"/>
  <c r="EJ30" i="25"/>
  <c r="EK30" i="25"/>
  <c r="EL30" i="25"/>
  <c r="EM30" i="25"/>
  <c r="DU30" i="25" s="1"/>
  <c r="EN30" i="25"/>
  <c r="EO30" i="25"/>
  <c r="EP30" i="25"/>
  <c r="ET30" i="25"/>
  <c r="EU30" i="25"/>
  <c r="CE28" i="25"/>
  <c r="CE45" i="25"/>
  <c r="CE29" i="25"/>
  <c r="CE46" i="25"/>
  <c r="CF28" i="25"/>
  <c r="CF45" i="25"/>
  <c r="CF29" i="25"/>
  <c r="CF46" i="25"/>
  <c r="CH28" i="25"/>
  <c r="CH45" i="25"/>
  <c r="CH29" i="25"/>
  <c r="CH46" i="25"/>
  <c r="CI28" i="25"/>
  <c r="CI45" i="25"/>
  <c r="CI29" i="25"/>
  <c r="CI46" i="25"/>
  <c r="CJ28" i="25"/>
  <c r="CJ45" i="25"/>
  <c r="CJ29" i="25"/>
  <c r="CJ46" i="25"/>
  <c r="CK28" i="25"/>
  <c r="CK45" i="25"/>
  <c r="CK29" i="25"/>
  <c r="CK46" i="25"/>
  <c r="CL28" i="25"/>
  <c r="CL45" i="25"/>
  <c r="CL29" i="25"/>
  <c r="CL46" i="25"/>
  <c r="CM28" i="25"/>
  <c r="CM45" i="25"/>
  <c r="CM29" i="25"/>
  <c r="CM46" i="25"/>
  <c r="CN28" i="25"/>
  <c r="CN45" i="25"/>
  <c r="CN29" i="25"/>
  <c r="CN46" i="25"/>
  <c r="CT28" i="25"/>
  <c r="CU28" i="25" s="1"/>
  <c r="CT45" i="25"/>
  <c r="CU45" i="25" s="1"/>
  <c r="CT29" i="25"/>
  <c r="CU29" i="25" s="1"/>
  <c r="CT46" i="25"/>
  <c r="CU46" i="25" s="1"/>
  <c r="DB28" i="25"/>
  <c r="DB45" i="25"/>
  <c r="DB29" i="25"/>
  <c r="DB46" i="25"/>
  <c r="DC28" i="25"/>
  <c r="DC45" i="25"/>
  <c r="DC29" i="25"/>
  <c r="DC46" i="25"/>
  <c r="DG28" i="25"/>
  <c r="DG45" i="25"/>
  <c r="DG29" i="25"/>
  <c r="DG46" i="25"/>
  <c r="DH28" i="25"/>
  <c r="DH45" i="25"/>
  <c r="DH29" i="25"/>
  <c r="DH46" i="25"/>
  <c r="DL28" i="25"/>
  <c r="DL45" i="25"/>
  <c r="DL29" i="25"/>
  <c r="DL46" i="25"/>
  <c r="DM28" i="25"/>
  <c r="DT28" i="25" s="1"/>
  <c r="DM45" i="25"/>
  <c r="DT45" i="25" s="1"/>
  <c r="DM29" i="25"/>
  <c r="DT29" i="25" s="1"/>
  <c r="DM46" i="25"/>
  <c r="DT46" i="25" s="1"/>
  <c r="DN28" i="25"/>
  <c r="DN45" i="25"/>
  <c r="DN29" i="25"/>
  <c r="DN46" i="25"/>
  <c r="DO28" i="25"/>
  <c r="DO45" i="25"/>
  <c r="DO29" i="25"/>
  <c r="DO46" i="25"/>
  <c r="DV28" i="25"/>
  <c r="DV45" i="25"/>
  <c r="DV29" i="25"/>
  <c r="DV46" i="25"/>
  <c r="DW28" i="25"/>
  <c r="DX28" i="25" s="1"/>
  <c r="DW45" i="25"/>
  <c r="DZ45" i="25" s="1"/>
  <c r="DW29" i="25"/>
  <c r="DX29" i="25" s="1"/>
  <c r="DW46" i="25"/>
  <c r="DX46" i="25" s="1"/>
  <c r="DY28" i="25"/>
  <c r="DY45" i="25"/>
  <c r="DY29" i="25"/>
  <c r="DY46" i="25"/>
  <c r="EA28" i="25"/>
  <c r="EA45" i="25"/>
  <c r="EA29" i="25"/>
  <c r="EA46" i="25"/>
  <c r="EB28" i="25"/>
  <c r="EB45" i="25"/>
  <c r="EB29" i="25"/>
  <c r="EB46" i="25"/>
  <c r="EI28" i="25"/>
  <c r="EI45" i="25"/>
  <c r="EI29" i="25"/>
  <c r="EI46" i="25"/>
  <c r="EJ28" i="25"/>
  <c r="EJ45" i="25"/>
  <c r="EJ29" i="25"/>
  <c r="EJ46" i="25"/>
  <c r="EK28" i="25"/>
  <c r="EK45" i="25"/>
  <c r="EK29" i="25"/>
  <c r="EK46" i="25"/>
  <c r="EL28" i="25"/>
  <c r="EL45" i="25"/>
  <c r="EL29" i="25"/>
  <c r="EL46" i="25"/>
  <c r="EM28" i="25"/>
  <c r="DU28" i="25" s="1"/>
  <c r="EM45" i="25"/>
  <c r="DU45" i="25" s="1"/>
  <c r="EM29" i="25"/>
  <c r="DU29" i="25" s="1"/>
  <c r="EM46" i="25"/>
  <c r="DU46" i="25" s="1"/>
  <c r="EN28" i="25"/>
  <c r="EN45" i="25"/>
  <c r="EN29" i="25"/>
  <c r="EN46" i="25"/>
  <c r="EO28" i="25"/>
  <c r="EO45" i="25"/>
  <c r="EO29" i="25"/>
  <c r="EO46" i="25"/>
  <c r="EP28" i="25"/>
  <c r="EP45" i="25"/>
  <c r="EP29" i="25"/>
  <c r="EP46" i="25"/>
  <c r="ET28" i="25"/>
  <c r="ET45" i="25"/>
  <c r="ET29" i="25"/>
  <c r="ET46" i="25"/>
  <c r="EU28" i="25"/>
  <c r="EU45" i="25"/>
  <c r="EU29" i="25"/>
  <c r="EU46" i="25"/>
  <c r="CE44" i="25"/>
  <c r="CF44" i="25"/>
  <c r="CH44" i="25"/>
  <c r="CI44" i="25"/>
  <c r="CJ44" i="25"/>
  <c r="CK44" i="25"/>
  <c r="CL44" i="25"/>
  <c r="CM44" i="25"/>
  <c r="CN44" i="25"/>
  <c r="CT44" i="25"/>
  <c r="CU44" i="25" s="1"/>
  <c r="DB44" i="25"/>
  <c r="DC44" i="25"/>
  <c r="DG44" i="25"/>
  <c r="DH44" i="25"/>
  <c r="DL44" i="25"/>
  <c r="DM44" i="25"/>
  <c r="DT44" i="25" s="1"/>
  <c r="DN44" i="25"/>
  <c r="DO44" i="25"/>
  <c r="DV44" i="25"/>
  <c r="DW44" i="25"/>
  <c r="DX44" i="25" s="1"/>
  <c r="DY44" i="25"/>
  <c r="EA44" i="25"/>
  <c r="EB44" i="25"/>
  <c r="EI44" i="25"/>
  <c r="EJ44" i="25"/>
  <c r="EK44" i="25"/>
  <c r="EL44" i="25"/>
  <c r="EM44" i="25"/>
  <c r="DU44" i="25" s="1"/>
  <c r="EN44" i="25"/>
  <c r="EO44" i="25"/>
  <c r="EP44" i="25"/>
  <c r="ET44" i="25"/>
  <c r="EU44" i="25"/>
  <c r="CE26" i="25"/>
  <c r="CE27" i="25"/>
  <c r="CF26" i="25"/>
  <c r="CF27" i="25"/>
  <c r="CH26" i="25"/>
  <c r="CH27" i="25"/>
  <c r="CI26" i="25"/>
  <c r="CI27" i="25"/>
  <c r="CJ26" i="25"/>
  <c r="CJ27" i="25"/>
  <c r="CK26" i="25"/>
  <c r="CK27" i="25"/>
  <c r="CL26" i="25"/>
  <c r="CL27" i="25"/>
  <c r="CM26" i="25"/>
  <c r="CM27" i="25"/>
  <c r="CN26" i="25"/>
  <c r="CN27" i="25"/>
  <c r="CT26" i="25"/>
  <c r="CU26" i="25" s="1"/>
  <c r="CT27" i="25"/>
  <c r="CU27" i="25" s="1"/>
  <c r="DB26" i="25"/>
  <c r="DB27" i="25"/>
  <c r="DC26" i="25"/>
  <c r="DC27" i="25"/>
  <c r="DG26" i="25"/>
  <c r="DG27" i="25"/>
  <c r="DH26" i="25"/>
  <c r="DH27" i="25"/>
  <c r="DL26" i="25"/>
  <c r="DL27" i="25"/>
  <c r="DM26" i="25"/>
  <c r="DT26" i="25" s="1"/>
  <c r="DM27" i="25"/>
  <c r="DT27" i="25" s="1"/>
  <c r="DN26" i="25"/>
  <c r="DN27" i="25"/>
  <c r="DO26" i="25"/>
  <c r="DO27" i="25"/>
  <c r="DV26" i="25"/>
  <c r="DV27" i="25"/>
  <c r="DW26" i="25"/>
  <c r="DX26" i="25" s="1"/>
  <c r="DW27" i="25"/>
  <c r="DX27" i="25" s="1"/>
  <c r="DY26" i="25"/>
  <c r="DY27" i="25"/>
  <c r="EA26" i="25"/>
  <c r="EA27" i="25"/>
  <c r="EB26" i="25"/>
  <c r="EB27" i="25"/>
  <c r="EI26" i="25"/>
  <c r="EI27" i="25"/>
  <c r="EJ26" i="25"/>
  <c r="EJ27" i="25"/>
  <c r="EK26" i="25"/>
  <c r="EK27" i="25"/>
  <c r="EL26" i="25"/>
  <c r="EL27" i="25"/>
  <c r="EM26" i="25"/>
  <c r="DU26" i="25" s="1"/>
  <c r="EM27" i="25"/>
  <c r="DU27" i="25" s="1"/>
  <c r="EN26" i="25"/>
  <c r="EN27" i="25"/>
  <c r="EO26" i="25"/>
  <c r="EO27" i="25"/>
  <c r="EP26" i="25"/>
  <c r="EP27" i="25"/>
  <c r="ET26" i="25"/>
  <c r="ET27" i="25"/>
  <c r="EU26" i="25"/>
  <c r="EU27" i="25"/>
  <c r="EG27" i="25" l="1"/>
  <c r="EG51" i="25"/>
  <c r="EG35" i="25"/>
  <c r="EG16" i="25"/>
  <c r="EG26" i="25"/>
  <c r="EG23" i="25"/>
  <c r="EG18" i="25"/>
  <c r="EG12" i="25"/>
  <c r="EG28" i="25"/>
  <c r="EG54" i="25"/>
  <c r="EG48" i="25"/>
  <c r="EG44" i="25"/>
  <c r="EG13" i="25"/>
  <c r="EG20" i="25"/>
  <c r="EG58" i="25"/>
  <c r="EG41" i="25"/>
  <c r="EG31" i="25"/>
  <c r="EG14" i="25"/>
  <c r="EG19" i="25"/>
  <c r="EG43" i="25"/>
  <c r="EG33" i="25"/>
  <c r="EG22" i="25"/>
  <c r="EG21" i="25"/>
  <c r="EG32" i="25"/>
  <c r="EG49" i="25"/>
  <c r="EG55" i="25"/>
  <c r="EG52" i="25"/>
  <c r="EG39" i="25"/>
  <c r="EG37" i="25"/>
  <c r="EG38" i="25"/>
  <c r="EG53" i="25"/>
  <c r="EG50" i="25"/>
  <c r="EG42" i="25"/>
  <c r="EG36" i="25"/>
  <c r="EG34" i="25"/>
  <c r="EG46" i="25"/>
  <c r="EG40" i="25"/>
  <c r="EG29" i="25"/>
  <c r="EG30" i="25"/>
  <c r="EG45" i="25"/>
  <c r="EG47" i="25"/>
  <c r="EG25" i="25"/>
  <c r="EG15" i="25"/>
  <c r="CG53" i="25"/>
  <c r="EH34" i="25"/>
  <c r="EH53" i="25"/>
  <c r="EH35" i="25"/>
  <c r="CG35" i="25"/>
  <c r="CG33" i="25"/>
  <c r="DE35" i="25"/>
  <c r="DD35" i="25" s="1"/>
  <c r="DK35" i="25" s="1"/>
  <c r="DE33" i="25"/>
  <c r="DD33" i="25" s="1"/>
  <c r="DK33" i="25" s="1"/>
  <c r="DP53" i="25"/>
  <c r="DQ53" i="25" s="1"/>
  <c r="DR53" i="25" s="1"/>
  <c r="DS53" i="25" s="1"/>
  <c r="CQ34" i="25"/>
  <c r="DP32" i="25"/>
  <c r="DQ32" i="25" s="1"/>
  <c r="DR32" i="25" s="1"/>
  <c r="DS32" i="25" s="1"/>
  <c r="CG32" i="25"/>
  <c r="DF34" i="25"/>
  <c r="DE21" i="25"/>
  <c r="DD21" i="25" s="1"/>
  <c r="DK21" i="25" s="1"/>
  <c r="DZ34" i="25"/>
  <c r="DZ32" i="25"/>
  <c r="DP35" i="25"/>
  <c r="DQ35" i="25" s="1"/>
  <c r="DR35" i="25" s="1"/>
  <c r="DS35" i="25" s="1"/>
  <c r="EH33" i="25"/>
  <c r="CG34" i="25"/>
  <c r="CG21" i="25"/>
  <c r="CQ35" i="25"/>
  <c r="CP34" i="25"/>
  <c r="CR34" i="25" s="1"/>
  <c r="CS34" i="25" s="1"/>
  <c r="CW34" i="25" s="1"/>
  <c r="CX34" i="25" s="1"/>
  <c r="DA34" i="25" s="1"/>
  <c r="CP53" i="25"/>
  <c r="CR53" i="25" s="1"/>
  <c r="CS53" i="25" s="1"/>
  <c r="CW53" i="25" s="1"/>
  <c r="CX53" i="25" s="1"/>
  <c r="DA53" i="25" s="1"/>
  <c r="DZ31" i="25"/>
  <c r="EH31" i="25"/>
  <c r="DI21" i="25"/>
  <c r="DJ21" i="25" s="1"/>
  <c r="DZ35" i="25"/>
  <c r="DZ33" i="25"/>
  <c r="EH32" i="25"/>
  <c r="DP34" i="25"/>
  <c r="DQ34" i="25" s="1"/>
  <c r="DR34" i="25" s="1"/>
  <c r="DS34" i="25" s="1"/>
  <c r="DI35" i="25"/>
  <c r="DJ35" i="25" s="1"/>
  <c r="DF35" i="25"/>
  <c r="DX53" i="25"/>
  <c r="EH16" i="25"/>
  <c r="DP33" i="25"/>
  <c r="DQ33" i="25" s="1"/>
  <c r="DR33" i="25" s="1"/>
  <c r="DS33" i="25" s="1"/>
  <c r="CP35" i="25"/>
  <c r="CR35" i="25" s="1"/>
  <c r="DE53" i="25"/>
  <c r="DD53" i="25" s="1"/>
  <c r="DK53" i="25" s="1"/>
  <c r="DE34" i="25"/>
  <c r="DD34" i="25" s="1"/>
  <c r="DK34" i="25" s="1"/>
  <c r="DP31" i="25"/>
  <c r="DQ31" i="25" s="1"/>
  <c r="DR31" i="25" s="1"/>
  <c r="DS31" i="25" s="1"/>
  <c r="CP33" i="25"/>
  <c r="CR33" i="25" s="1"/>
  <c r="CQ53" i="25"/>
  <c r="DP21" i="25"/>
  <c r="DQ21" i="25" s="1"/>
  <c r="DR21" i="25" s="1"/>
  <c r="DS21" i="25" s="1"/>
  <c r="DI53" i="25"/>
  <c r="DJ53" i="25" s="1"/>
  <c r="DP36" i="25"/>
  <c r="DQ36" i="25" s="1"/>
  <c r="DR36" i="25" s="1"/>
  <c r="DS36" i="25" s="1"/>
  <c r="DT33" i="25"/>
  <c r="DE32" i="25"/>
  <c r="DD32" i="25" s="1"/>
  <c r="DK32" i="25" s="1"/>
  <c r="CP32" i="25"/>
  <c r="CR32" i="25" s="1"/>
  <c r="DI33" i="25"/>
  <c r="DJ33" i="25" s="1"/>
  <c r="CQ33" i="25"/>
  <c r="DE52" i="25"/>
  <c r="DD52" i="25" s="1"/>
  <c r="DK52" i="25" s="1"/>
  <c r="DT32" i="25"/>
  <c r="DF33" i="25"/>
  <c r="DE20" i="25"/>
  <c r="DD20" i="25" s="1"/>
  <c r="DK20" i="25" s="1"/>
  <c r="DE38" i="25"/>
  <c r="DD38" i="25" s="1"/>
  <c r="DK38" i="25" s="1"/>
  <c r="DI32" i="25"/>
  <c r="DJ32" i="25" s="1"/>
  <c r="DP38" i="25"/>
  <c r="DQ38" i="25" s="1"/>
  <c r="DR38" i="25" s="1"/>
  <c r="DS38" i="25" s="1"/>
  <c r="DF21" i="25"/>
  <c r="CG48" i="25"/>
  <c r="CG15" i="25"/>
  <c r="EH43" i="25"/>
  <c r="CP21" i="25"/>
  <c r="CR21" i="25" s="1"/>
  <c r="CS21" i="25" s="1"/>
  <c r="CQ32" i="25"/>
  <c r="DZ21" i="25"/>
  <c r="DF32" i="25"/>
  <c r="CP16" i="25"/>
  <c r="CR16" i="25" s="1"/>
  <c r="CV16" i="25" s="1"/>
  <c r="CY16" i="25" s="1"/>
  <c r="CZ16" i="25" s="1"/>
  <c r="DP52" i="25"/>
  <c r="DQ52" i="25" s="1"/>
  <c r="DR52" i="25" s="1"/>
  <c r="DS52" i="25" s="1"/>
  <c r="CP31" i="25"/>
  <c r="CR31" i="25" s="1"/>
  <c r="EH21" i="25"/>
  <c r="EH42" i="25"/>
  <c r="CG42" i="25"/>
  <c r="CG31" i="25"/>
  <c r="CU21" i="25"/>
  <c r="CG36" i="25"/>
  <c r="DZ52" i="25"/>
  <c r="CP43" i="25"/>
  <c r="CR43" i="25" s="1"/>
  <c r="EH20" i="25"/>
  <c r="CQ21" i="25"/>
  <c r="EH38" i="25"/>
  <c r="DP43" i="25"/>
  <c r="DQ43" i="25" s="1"/>
  <c r="DR43" i="25" s="1"/>
  <c r="DS43" i="25" s="1"/>
  <c r="EH18" i="25"/>
  <c r="DI20" i="25"/>
  <c r="DJ20" i="25" s="1"/>
  <c r="DP42" i="25"/>
  <c r="DQ42" i="25" s="1"/>
  <c r="DR42" i="25" s="1"/>
  <c r="DS42" i="25" s="1"/>
  <c r="CQ43" i="25"/>
  <c r="DP37" i="25"/>
  <c r="DQ37" i="25" s="1"/>
  <c r="DR37" i="25" s="1"/>
  <c r="DS37" i="25" s="1"/>
  <c r="CG43" i="25"/>
  <c r="DP16" i="25"/>
  <c r="DQ16" i="25" s="1"/>
  <c r="DR16" i="25" s="1"/>
  <c r="DS16" i="25" s="1"/>
  <c r="EH52" i="25"/>
  <c r="CG52" i="25"/>
  <c r="CG38" i="25"/>
  <c r="CQ31" i="25"/>
  <c r="DZ38" i="25"/>
  <c r="DZ43" i="25"/>
  <c r="DF43" i="25"/>
  <c r="CP38" i="25"/>
  <c r="CR38" i="25" s="1"/>
  <c r="DF31" i="25"/>
  <c r="DI43" i="25"/>
  <c r="DJ43" i="25" s="1"/>
  <c r="DE43" i="25"/>
  <c r="DD43" i="25" s="1"/>
  <c r="DK43" i="25" s="1"/>
  <c r="DP48" i="25"/>
  <c r="DQ48" i="25" s="1"/>
  <c r="DR48" i="25" s="1"/>
  <c r="DS48" i="25" s="1"/>
  <c r="CG16" i="25"/>
  <c r="DI31" i="25"/>
  <c r="DJ31" i="25" s="1"/>
  <c r="DE31" i="25"/>
  <c r="DD31" i="25" s="1"/>
  <c r="DK31" i="25" s="1"/>
  <c r="CG37" i="25"/>
  <c r="DZ23" i="25"/>
  <c r="DI38" i="25"/>
  <c r="DJ38" i="25" s="1"/>
  <c r="CQ52" i="25"/>
  <c r="EH15" i="25"/>
  <c r="CQ38" i="25"/>
  <c r="DX16" i="25"/>
  <c r="DF38" i="25"/>
  <c r="DX36" i="25"/>
  <c r="CP52" i="25"/>
  <c r="CR52" i="25" s="1"/>
  <c r="CS52" i="25" s="1"/>
  <c r="CW52" i="25" s="1"/>
  <c r="CX52" i="25" s="1"/>
  <c r="DA52" i="25" s="1"/>
  <c r="DE16" i="25"/>
  <c r="DD16" i="25" s="1"/>
  <c r="DK16" i="25" s="1"/>
  <c r="DF16" i="25"/>
  <c r="DI52" i="25"/>
  <c r="DJ52" i="25" s="1"/>
  <c r="DP15" i="25"/>
  <c r="DQ15" i="25" s="1"/>
  <c r="DR15" i="25" s="1"/>
  <c r="DS15" i="25" s="1"/>
  <c r="EH36" i="25"/>
  <c r="DE58" i="25"/>
  <c r="DD58" i="25" s="1"/>
  <c r="DK58" i="25" s="1"/>
  <c r="EH37" i="25"/>
  <c r="CQ16" i="25"/>
  <c r="CP58" i="25"/>
  <c r="CR58" i="25" s="1"/>
  <c r="CS58" i="25" s="1"/>
  <c r="CW58" i="25" s="1"/>
  <c r="CX58" i="25" s="1"/>
  <c r="DA58" i="25" s="1"/>
  <c r="CG58" i="25"/>
  <c r="CQ37" i="25"/>
  <c r="EH48" i="25"/>
  <c r="DT36" i="25"/>
  <c r="DE23" i="25"/>
  <c r="DD23" i="25" s="1"/>
  <c r="DK23" i="25" s="1"/>
  <c r="CP42" i="25"/>
  <c r="CR42" i="25" s="1"/>
  <c r="CS42" i="25" s="1"/>
  <c r="CW42" i="25" s="1"/>
  <c r="CX42" i="25" s="1"/>
  <c r="DA42" i="25" s="1"/>
  <c r="EH58" i="25"/>
  <c r="CP37" i="25"/>
  <c r="CR37" i="25" s="1"/>
  <c r="CQ15" i="25"/>
  <c r="CQ36" i="25"/>
  <c r="DF52" i="25"/>
  <c r="CG18" i="25"/>
  <c r="DP14" i="25"/>
  <c r="DQ14" i="25" s="1"/>
  <c r="DR14" i="25" s="1"/>
  <c r="DS14" i="25" s="1"/>
  <c r="CG23" i="25"/>
  <c r="DE37" i="25"/>
  <c r="DD37" i="25" s="1"/>
  <c r="DK37" i="25" s="1"/>
  <c r="DP58" i="25"/>
  <c r="DQ58" i="25" s="1"/>
  <c r="DR58" i="25" s="1"/>
  <c r="DS58" i="25" s="1"/>
  <c r="CQ58" i="25"/>
  <c r="CQ42" i="25"/>
  <c r="CG22" i="25"/>
  <c r="EH51" i="25"/>
  <c r="DP12" i="25"/>
  <c r="DQ12" i="25" s="1"/>
  <c r="DR12" i="25" s="1"/>
  <c r="DS12" i="25" s="1"/>
  <c r="DZ58" i="25"/>
  <c r="DX37" i="25"/>
  <c r="DF15" i="25"/>
  <c r="DE36" i="25"/>
  <c r="DD36" i="25" s="1"/>
  <c r="DK36" i="25" s="1"/>
  <c r="CP15" i="25"/>
  <c r="CR15" i="25" s="1"/>
  <c r="DX48" i="25"/>
  <c r="DI16" i="25"/>
  <c r="DJ16" i="25" s="1"/>
  <c r="DF37" i="25"/>
  <c r="CU36" i="25"/>
  <c r="DZ14" i="25"/>
  <c r="DF36" i="25"/>
  <c r="CP36" i="25"/>
  <c r="CR36" i="25" s="1"/>
  <c r="CS36" i="25" s="1"/>
  <c r="DZ15" i="25"/>
  <c r="DF58" i="25"/>
  <c r="DE19" i="25"/>
  <c r="DD19" i="25" s="1"/>
  <c r="DK19" i="25" s="1"/>
  <c r="CG20" i="25"/>
  <c r="DZ42" i="25"/>
  <c r="DE15" i="25"/>
  <c r="DD15" i="25" s="1"/>
  <c r="DK15" i="25" s="1"/>
  <c r="DE51" i="25"/>
  <c r="DD51" i="25" s="1"/>
  <c r="DK51" i="25" s="1"/>
  <c r="DE42" i="25"/>
  <c r="DD42" i="25" s="1"/>
  <c r="DK42" i="25" s="1"/>
  <c r="DI42" i="25"/>
  <c r="DJ42" i="25" s="1"/>
  <c r="CG14" i="25"/>
  <c r="EH23" i="25"/>
  <c r="CQ20" i="25"/>
  <c r="DP23" i="25"/>
  <c r="DQ23" i="25" s="1"/>
  <c r="DR23" i="25" s="1"/>
  <c r="DS23" i="25" s="1"/>
  <c r="CP23" i="25"/>
  <c r="CR23" i="25" s="1"/>
  <c r="CS23" i="25" s="1"/>
  <c r="CW23" i="25" s="1"/>
  <c r="CX23" i="25" s="1"/>
  <c r="DA23" i="25" s="1"/>
  <c r="CQ12" i="25"/>
  <c r="DF42" i="25"/>
  <c r="DP20" i="25"/>
  <c r="DQ20" i="25" s="1"/>
  <c r="DR20" i="25" s="1"/>
  <c r="DS20" i="25" s="1"/>
  <c r="CP20" i="25"/>
  <c r="CR20" i="25" s="1"/>
  <c r="CG12" i="25"/>
  <c r="DZ20" i="25"/>
  <c r="DF23" i="25"/>
  <c r="EH14" i="25"/>
  <c r="CQ23" i="25"/>
  <c r="CP12" i="25"/>
  <c r="CR12" i="25" s="1"/>
  <c r="DE12" i="25"/>
  <c r="DD12" i="25" s="1"/>
  <c r="DK12" i="25" s="1"/>
  <c r="CQ14" i="25"/>
  <c r="EH12" i="25"/>
  <c r="CP14" i="25"/>
  <c r="CR14" i="25" s="1"/>
  <c r="CS14" i="25" s="1"/>
  <c r="CW14" i="25" s="1"/>
  <c r="CX14" i="25" s="1"/>
  <c r="DA14" i="25" s="1"/>
  <c r="CQ48" i="25"/>
  <c r="DF20" i="25"/>
  <c r="EH50" i="25"/>
  <c r="DE14" i="25"/>
  <c r="DD14" i="25" s="1"/>
  <c r="DK14" i="25" s="1"/>
  <c r="DE55" i="25"/>
  <c r="DD55" i="25" s="1"/>
  <c r="DK55" i="25" s="1"/>
  <c r="DZ12" i="25"/>
  <c r="DF48" i="25"/>
  <c r="CP48" i="25"/>
  <c r="CR48" i="25" s="1"/>
  <c r="DI23" i="25"/>
  <c r="DJ23" i="25" s="1"/>
  <c r="DF14" i="25"/>
  <c r="DF12" i="25"/>
  <c r="CP22" i="25"/>
  <c r="CR22" i="25" s="1"/>
  <c r="DE48" i="25"/>
  <c r="DD48" i="25" s="1"/>
  <c r="DK48" i="25" s="1"/>
  <c r="EH19" i="25"/>
  <c r="CQ19" i="25"/>
  <c r="CG51" i="25"/>
  <c r="DE39" i="25"/>
  <c r="DD39" i="25" s="1"/>
  <c r="DK39" i="25" s="1"/>
  <c r="DP22" i="25"/>
  <c r="DQ22" i="25" s="1"/>
  <c r="DR22" i="25" s="1"/>
  <c r="DS22" i="25" s="1"/>
  <c r="DE46" i="25"/>
  <c r="DD46" i="25" s="1"/>
  <c r="DK46" i="25" s="1"/>
  <c r="DZ19" i="25"/>
  <c r="EH54" i="25"/>
  <c r="CG19" i="25"/>
  <c r="DZ51" i="25"/>
  <c r="DP55" i="25"/>
  <c r="DQ55" i="25" s="1"/>
  <c r="DR55" i="25" s="1"/>
  <c r="DS55" i="25" s="1"/>
  <c r="CG55" i="25"/>
  <c r="DZ18" i="25"/>
  <c r="CQ18" i="25"/>
  <c r="DI51" i="25"/>
  <c r="DJ51" i="25" s="1"/>
  <c r="DP18" i="25"/>
  <c r="DQ18" i="25" s="1"/>
  <c r="DR18" i="25" s="1"/>
  <c r="DS18" i="25" s="1"/>
  <c r="DI19" i="25"/>
  <c r="DJ19" i="25" s="1"/>
  <c r="CP51" i="25"/>
  <c r="CR51" i="25" s="1"/>
  <c r="DP13" i="25"/>
  <c r="DQ13" i="25" s="1"/>
  <c r="DR13" i="25" s="1"/>
  <c r="DS13" i="25" s="1"/>
  <c r="CG54" i="25"/>
  <c r="DP19" i="25"/>
  <c r="DQ19" i="25" s="1"/>
  <c r="DR19" i="25" s="1"/>
  <c r="DS19" i="25" s="1"/>
  <c r="EH22" i="25"/>
  <c r="DZ25" i="25"/>
  <c r="DP51" i="25"/>
  <c r="DQ51" i="25" s="1"/>
  <c r="DR51" i="25" s="1"/>
  <c r="DS51" i="25" s="1"/>
  <c r="DT19" i="25"/>
  <c r="CP18" i="25"/>
  <c r="CR18" i="25" s="1"/>
  <c r="DF18" i="25"/>
  <c r="DE13" i="25"/>
  <c r="DD13" i="25" s="1"/>
  <c r="DK13" i="25" s="1"/>
  <c r="DP25" i="25"/>
  <c r="DQ25" i="25" s="1"/>
  <c r="DR25" i="25" s="1"/>
  <c r="DS25" i="25" s="1"/>
  <c r="EH41" i="25"/>
  <c r="DZ54" i="25"/>
  <c r="DZ22" i="25"/>
  <c r="DZ40" i="25"/>
  <c r="EH55" i="25"/>
  <c r="CQ51" i="25"/>
  <c r="DF51" i="25"/>
  <c r="CG25" i="25"/>
  <c r="DF54" i="25"/>
  <c r="CG13" i="25"/>
  <c r="DF19" i="25"/>
  <c r="CP19" i="25"/>
  <c r="CR19" i="25" s="1"/>
  <c r="DE25" i="25"/>
  <c r="DD25" i="25" s="1"/>
  <c r="DK25" i="25" s="1"/>
  <c r="DZ55" i="25"/>
  <c r="DE22" i="25"/>
  <c r="DD22" i="25" s="1"/>
  <c r="DK22" i="25" s="1"/>
  <c r="CQ41" i="25"/>
  <c r="DP47" i="25"/>
  <c r="DQ47" i="25" s="1"/>
  <c r="DR47" i="25" s="1"/>
  <c r="DS47" i="25" s="1"/>
  <c r="DP54" i="25"/>
  <c r="DQ54" i="25" s="1"/>
  <c r="DR54" i="25" s="1"/>
  <c r="DS54" i="25" s="1"/>
  <c r="DE18" i="25"/>
  <c r="DD18" i="25" s="1"/>
  <c r="DK18" i="25" s="1"/>
  <c r="DZ13" i="25"/>
  <c r="CP55" i="25"/>
  <c r="CR55" i="25" s="1"/>
  <c r="CS55" i="25" s="1"/>
  <c r="CW55" i="25" s="1"/>
  <c r="CX55" i="25" s="1"/>
  <c r="DA55" i="25" s="1"/>
  <c r="CQ22" i="25"/>
  <c r="EH40" i="25"/>
  <c r="EH13" i="25"/>
  <c r="EH25" i="25"/>
  <c r="DI22" i="25"/>
  <c r="DJ22" i="25" s="1"/>
  <c r="DI13" i="25"/>
  <c r="DJ13" i="25" s="1"/>
  <c r="EH28" i="25"/>
  <c r="DI55" i="25"/>
  <c r="DJ55" i="25" s="1"/>
  <c r="DP41" i="25"/>
  <c r="DQ41" i="25" s="1"/>
  <c r="DR41" i="25" s="1"/>
  <c r="DS41" i="25" s="1"/>
  <c r="CP25" i="25"/>
  <c r="CR25" i="25" s="1"/>
  <c r="CQ13" i="25"/>
  <c r="DP40" i="25"/>
  <c r="DQ40" i="25" s="1"/>
  <c r="DR40" i="25" s="1"/>
  <c r="DS40" i="25" s="1"/>
  <c r="CQ55" i="25"/>
  <c r="CG45" i="25"/>
  <c r="CQ54" i="25"/>
  <c r="DF55" i="25"/>
  <c r="CP54" i="25"/>
  <c r="CR54" i="25" s="1"/>
  <c r="CS54" i="25" s="1"/>
  <c r="EH49" i="25"/>
  <c r="CG41" i="25"/>
  <c r="DF13" i="25"/>
  <c r="CU54" i="25"/>
  <c r="CP13" i="25"/>
  <c r="CR13" i="25" s="1"/>
  <c r="DE54" i="25"/>
  <c r="DD54" i="25" s="1"/>
  <c r="DK54" i="25" s="1"/>
  <c r="CG40" i="25"/>
  <c r="DP39" i="25"/>
  <c r="DQ39" i="25" s="1"/>
  <c r="DR39" i="25" s="1"/>
  <c r="DS39" i="25" s="1"/>
  <c r="EH39" i="25"/>
  <c r="CG39" i="25"/>
  <c r="CP40" i="25"/>
  <c r="CR40" i="25" s="1"/>
  <c r="CQ25" i="25"/>
  <c r="CP41" i="25"/>
  <c r="CR41" i="25" s="1"/>
  <c r="DT25" i="25"/>
  <c r="CP29" i="25"/>
  <c r="CR29" i="25" s="1"/>
  <c r="CP50" i="25"/>
  <c r="CR50" i="25" s="1"/>
  <c r="DT54" i="25"/>
  <c r="DI25" i="25"/>
  <c r="DJ25" i="25" s="1"/>
  <c r="DE49" i="25"/>
  <c r="DD49" i="25" s="1"/>
  <c r="DK49" i="25" s="1"/>
  <c r="DE50" i="25"/>
  <c r="DD50" i="25" s="1"/>
  <c r="DK50" i="25" s="1"/>
  <c r="DZ50" i="25"/>
  <c r="CG50" i="25"/>
  <c r="CQ40" i="25"/>
  <c r="DZ41" i="25"/>
  <c r="DF41" i="25"/>
  <c r="EH29" i="25"/>
  <c r="DZ39" i="25"/>
  <c r="DF40" i="25"/>
  <c r="DI41" i="25"/>
  <c r="DJ41" i="25" s="1"/>
  <c r="DE41" i="25"/>
  <c r="DD41" i="25" s="1"/>
  <c r="DK41" i="25" s="1"/>
  <c r="DI40" i="25"/>
  <c r="DJ40" i="25" s="1"/>
  <c r="DE40" i="25"/>
  <c r="DD40" i="25" s="1"/>
  <c r="DK40" i="25" s="1"/>
  <c r="CG28" i="25"/>
  <c r="DE47" i="25"/>
  <c r="DD47" i="25" s="1"/>
  <c r="DK47" i="25" s="1"/>
  <c r="DZ49" i="25"/>
  <c r="DP50" i="25"/>
  <c r="DQ50" i="25" s="1"/>
  <c r="DR50" i="25" s="1"/>
  <c r="DS50" i="25" s="1"/>
  <c r="CP45" i="25"/>
  <c r="CR45" i="25" s="1"/>
  <c r="CS45" i="25" s="1"/>
  <c r="CW45" i="25" s="1"/>
  <c r="CX45" i="25" s="1"/>
  <c r="DA45" i="25" s="1"/>
  <c r="CG49" i="25"/>
  <c r="CG26" i="25"/>
  <c r="CP39" i="25"/>
  <c r="CR39" i="25" s="1"/>
  <c r="CS39" i="25" s="1"/>
  <c r="CW39" i="25" s="1"/>
  <c r="CX39" i="25" s="1"/>
  <c r="DA39" i="25" s="1"/>
  <c r="CQ50" i="25"/>
  <c r="DT39" i="25"/>
  <c r="DF50" i="25"/>
  <c r="CQ46" i="25"/>
  <c r="EH45" i="25"/>
  <c r="DE30" i="25"/>
  <c r="DD30" i="25" s="1"/>
  <c r="DK30" i="25" s="1"/>
  <c r="DI39" i="25"/>
  <c r="DJ39" i="25" s="1"/>
  <c r="DI49" i="25"/>
  <c r="DJ49" i="25" s="1"/>
  <c r="CP49" i="25"/>
  <c r="CR49" i="25" s="1"/>
  <c r="CQ39" i="25"/>
  <c r="CP28" i="25"/>
  <c r="CR28" i="25" s="1"/>
  <c r="CV28" i="25" s="1"/>
  <c r="CY28" i="25" s="1"/>
  <c r="CZ28" i="25" s="1"/>
  <c r="CG29" i="25"/>
  <c r="CP30" i="25"/>
  <c r="CR30" i="25" s="1"/>
  <c r="DF39" i="25"/>
  <c r="DP28" i="25"/>
  <c r="DQ28" i="25" s="1"/>
  <c r="DR28" i="25" s="1"/>
  <c r="DS28" i="25" s="1"/>
  <c r="DZ30" i="25"/>
  <c r="DP49" i="25"/>
  <c r="DQ49" i="25" s="1"/>
  <c r="DR49" i="25" s="1"/>
  <c r="DS49" i="25" s="1"/>
  <c r="EH47" i="25"/>
  <c r="CG47" i="25"/>
  <c r="DX47" i="25"/>
  <c r="DP44" i="25"/>
  <c r="DQ44" i="25" s="1"/>
  <c r="DR44" i="25" s="1"/>
  <c r="DS44" i="25" s="1"/>
  <c r="EH44" i="25"/>
  <c r="CG46" i="25"/>
  <c r="DZ29" i="25"/>
  <c r="DP46" i="25"/>
  <c r="DQ46" i="25" s="1"/>
  <c r="DR46" i="25" s="1"/>
  <c r="DS46" i="25" s="1"/>
  <c r="DT47" i="25"/>
  <c r="CQ49" i="25"/>
  <c r="CP47" i="25"/>
  <c r="CR47" i="25" s="1"/>
  <c r="DF49" i="25"/>
  <c r="DP30" i="25"/>
  <c r="DQ30" i="25" s="1"/>
  <c r="DR30" i="25" s="1"/>
  <c r="DS30" i="25" s="1"/>
  <c r="EH30" i="25"/>
  <c r="DZ28" i="25"/>
  <c r="DE44" i="25"/>
  <c r="DD44" i="25" s="1"/>
  <c r="DK44" i="25" s="1"/>
  <c r="DI47" i="25"/>
  <c r="DJ47" i="25" s="1"/>
  <c r="DP29" i="25"/>
  <c r="DQ29" i="25" s="1"/>
  <c r="DR29" i="25" s="1"/>
  <c r="DS29" i="25" s="1"/>
  <c r="EH46" i="25"/>
  <c r="CQ47" i="25"/>
  <c r="DP45" i="25"/>
  <c r="DQ45" i="25" s="1"/>
  <c r="DR45" i="25" s="1"/>
  <c r="DS45" i="25" s="1"/>
  <c r="DF47" i="25"/>
  <c r="DX45" i="25"/>
  <c r="CG30" i="25"/>
  <c r="CQ45" i="25"/>
  <c r="CQ28" i="25"/>
  <c r="CP46" i="25"/>
  <c r="CR46" i="25" s="1"/>
  <c r="DI30" i="25"/>
  <c r="DJ30" i="25" s="1"/>
  <c r="CQ30" i="25"/>
  <c r="CP26" i="25"/>
  <c r="CR26" i="25" s="1"/>
  <c r="DF30" i="25"/>
  <c r="CG27" i="25"/>
  <c r="DP26" i="25"/>
  <c r="DQ26" i="25" s="1"/>
  <c r="DR26" i="25" s="1"/>
  <c r="DS26" i="25" s="1"/>
  <c r="EH26" i="25"/>
  <c r="DI46" i="25"/>
  <c r="DJ46" i="25" s="1"/>
  <c r="CQ29" i="25"/>
  <c r="DI29" i="25"/>
  <c r="DJ29" i="25" s="1"/>
  <c r="DE29" i="25"/>
  <c r="DD29" i="25" s="1"/>
  <c r="DK29" i="25" s="1"/>
  <c r="DI45" i="25"/>
  <c r="DJ45" i="25" s="1"/>
  <c r="DE45" i="25"/>
  <c r="DD45" i="25" s="1"/>
  <c r="DK45" i="25" s="1"/>
  <c r="CG44" i="25"/>
  <c r="DI28" i="25"/>
  <c r="DJ28" i="25" s="1"/>
  <c r="DE28" i="25"/>
  <c r="DD28" i="25" s="1"/>
  <c r="DK28" i="25" s="1"/>
  <c r="DZ44" i="25"/>
  <c r="DZ46" i="25"/>
  <c r="DF46" i="25"/>
  <c r="CP44" i="25"/>
  <c r="CR44" i="25" s="1"/>
  <c r="DF29" i="25"/>
  <c r="DF45" i="25"/>
  <c r="EH27" i="25"/>
  <c r="DF28" i="25"/>
  <c r="CP27" i="25"/>
  <c r="CR27" i="25" s="1"/>
  <c r="CS27" i="25" s="1"/>
  <c r="CW27" i="25" s="1"/>
  <c r="CX27" i="25" s="1"/>
  <c r="DA27" i="25" s="1"/>
  <c r="DI44" i="25"/>
  <c r="DJ44" i="25" s="1"/>
  <c r="DP27" i="25"/>
  <c r="DQ27" i="25" s="1"/>
  <c r="DR27" i="25" s="1"/>
  <c r="DS27" i="25" s="1"/>
  <c r="CQ44" i="25"/>
  <c r="CQ27" i="25"/>
  <c r="DF44" i="25"/>
  <c r="CQ26" i="25"/>
  <c r="DZ27" i="25"/>
  <c r="DF27" i="25"/>
  <c r="DZ26" i="25"/>
  <c r="DF26" i="25"/>
  <c r="DI27" i="25"/>
  <c r="DJ27" i="25" s="1"/>
  <c r="DE27" i="25"/>
  <c r="DD27" i="25" s="1"/>
  <c r="DK27" i="25" s="1"/>
  <c r="DI26" i="25"/>
  <c r="DJ26" i="25" s="1"/>
  <c r="DE26" i="25"/>
  <c r="DD26" i="25" s="1"/>
  <c r="DK26" i="25" s="1"/>
  <c r="CV21" i="25" l="1"/>
  <c r="CY21" i="25" s="1"/>
  <c r="CZ21" i="25" s="1"/>
  <c r="CV53" i="25"/>
  <c r="CY53" i="25" s="1"/>
  <c r="CZ53" i="25" s="1"/>
  <c r="CV35" i="25"/>
  <c r="CY35" i="25" s="1"/>
  <c r="CZ35" i="25" s="1"/>
  <c r="CS35" i="25"/>
  <c r="CW35" i="25" s="1"/>
  <c r="CX35" i="25" s="1"/>
  <c r="DA35" i="25" s="1"/>
  <c r="CS16" i="25"/>
  <c r="CW16" i="25" s="1"/>
  <c r="CX16" i="25" s="1"/>
  <c r="DA16" i="25" s="1"/>
  <c r="CV34" i="25"/>
  <c r="CY34" i="25" s="1"/>
  <c r="CZ34" i="25" s="1"/>
  <c r="CV31" i="25"/>
  <c r="CY31" i="25" s="1"/>
  <c r="CZ31" i="25" s="1"/>
  <c r="CS31" i="25"/>
  <c r="CW31" i="25" s="1"/>
  <c r="CX31" i="25" s="1"/>
  <c r="DA31" i="25" s="1"/>
  <c r="CV33" i="25"/>
  <c r="CY33" i="25" s="1"/>
  <c r="CZ33" i="25" s="1"/>
  <c r="CS33" i="25"/>
  <c r="CW33" i="25" s="1"/>
  <c r="CX33" i="25" s="1"/>
  <c r="DA33" i="25" s="1"/>
  <c r="CV32" i="25"/>
  <c r="CY32" i="25" s="1"/>
  <c r="CZ32" i="25" s="1"/>
  <c r="CS32" i="25"/>
  <c r="CW32" i="25" s="1"/>
  <c r="CX32" i="25" s="1"/>
  <c r="DA32" i="25" s="1"/>
  <c r="CW21" i="25"/>
  <c r="CX21" i="25" s="1"/>
  <c r="DA21" i="25" s="1"/>
  <c r="CV43" i="25"/>
  <c r="CY43" i="25" s="1"/>
  <c r="CZ43" i="25" s="1"/>
  <c r="CS43" i="25"/>
  <c r="CW43" i="25" s="1"/>
  <c r="CX43" i="25" s="1"/>
  <c r="DA43" i="25" s="1"/>
  <c r="CV23" i="25"/>
  <c r="CY23" i="25" s="1"/>
  <c r="CZ23" i="25" s="1"/>
  <c r="CV38" i="25"/>
  <c r="CY38" i="25" s="1"/>
  <c r="CZ38" i="25" s="1"/>
  <c r="CS38" i="25"/>
  <c r="CW38" i="25" s="1"/>
  <c r="CX38" i="25" s="1"/>
  <c r="DA38" i="25" s="1"/>
  <c r="CV52" i="25"/>
  <c r="CY52" i="25" s="1"/>
  <c r="CZ52" i="25" s="1"/>
  <c r="CV15" i="25"/>
  <c r="CY15" i="25" s="1"/>
  <c r="CZ15" i="25" s="1"/>
  <c r="CS15" i="25"/>
  <c r="CW15" i="25" s="1"/>
  <c r="CX15" i="25" s="1"/>
  <c r="DA15" i="25" s="1"/>
  <c r="CW36" i="25"/>
  <c r="CX36" i="25" s="1"/>
  <c r="DA36" i="25" s="1"/>
  <c r="CV58" i="25"/>
  <c r="CY58" i="25" s="1"/>
  <c r="CZ58" i="25" s="1"/>
  <c r="CV36" i="25"/>
  <c r="CY36" i="25" s="1"/>
  <c r="CZ36" i="25" s="1"/>
  <c r="CV37" i="25"/>
  <c r="CY37" i="25" s="1"/>
  <c r="CZ37" i="25" s="1"/>
  <c r="CS37" i="25"/>
  <c r="CW37" i="25" s="1"/>
  <c r="CX37" i="25" s="1"/>
  <c r="DA37" i="25" s="1"/>
  <c r="CV42" i="25"/>
  <c r="CY42" i="25" s="1"/>
  <c r="CZ42" i="25" s="1"/>
  <c r="CV20" i="25"/>
  <c r="CY20" i="25" s="1"/>
  <c r="CZ20" i="25" s="1"/>
  <c r="CS20" i="25"/>
  <c r="CW20" i="25" s="1"/>
  <c r="CX20" i="25" s="1"/>
  <c r="DA20" i="25" s="1"/>
  <c r="CV12" i="25"/>
  <c r="CY12" i="25" s="1"/>
  <c r="CZ12" i="25" s="1"/>
  <c r="CS12" i="25"/>
  <c r="CS48" i="25"/>
  <c r="CW48" i="25" s="1"/>
  <c r="CX48" i="25" s="1"/>
  <c r="DA48" i="25" s="1"/>
  <c r="CV48" i="25"/>
  <c r="CY48" i="25" s="1"/>
  <c r="CZ48" i="25" s="1"/>
  <c r="CV14" i="25"/>
  <c r="CY14" i="25" s="1"/>
  <c r="CZ14" i="25" s="1"/>
  <c r="CV51" i="25"/>
  <c r="CY51" i="25" s="1"/>
  <c r="CZ51" i="25" s="1"/>
  <c r="CS51" i="25"/>
  <c r="CW51" i="25" s="1"/>
  <c r="CX51" i="25" s="1"/>
  <c r="DA51" i="25" s="1"/>
  <c r="CV19" i="25"/>
  <c r="CY19" i="25" s="1"/>
  <c r="CZ19" i="25" s="1"/>
  <c r="CS19" i="25"/>
  <c r="CW19" i="25" s="1"/>
  <c r="CX19" i="25" s="1"/>
  <c r="DA19" i="25" s="1"/>
  <c r="CS22" i="25"/>
  <c r="CW22" i="25" s="1"/>
  <c r="CX22" i="25" s="1"/>
  <c r="DA22" i="25" s="1"/>
  <c r="CV22" i="25"/>
  <c r="CY22" i="25" s="1"/>
  <c r="CZ22" i="25" s="1"/>
  <c r="CS18" i="25"/>
  <c r="CW18" i="25" s="1"/>
  <c r="CX18" i="25" s="1"/>
  <c r="DA18" i="25" s="1"/>
  <c r="CV18" i="25"/>
  <c r="CY18" i="25" s="1"/>
  <c r="CZ18" i="25" s="1"/>
  <c r="CV55" i="25"/>
  <c r="CY55" i="25" s="1"/>
  <c r="CZ55" i="25" s="1"/>
  <c r="CS40" i="25"/>
  <c r="CW40" i="25" s="1"/>
  <c r="CX40" i="25" s="1"/>
  <c r="DA40" i="25" s="1"/>
  <c r="CV40" i="25"/>
  <c r="CY40" i="25" s="1"/>
  <c r="CZ40" i="25" s="1"/>
  <c r="CV29" i="25"/>
  <c r="CY29" i="25" s="1"/>
  <c r="CZ29" i="25" s="1"/>
  <c r="CS29" i="25"/>
  <c r="CW29" i="25" s="1"/>
  <c r="CX29" i="25" s="1"/>
  <c r="DA29" i="25" s="1"/>
  <c r="CS41" i="25"/>
  <c r="CW41" i="25" s="1"/>
  <c r="CX41" i="25" s="1"/>
  <c r="DA41" i="25" s="1"/>
  <c r="CV41" i="25"/>
  <c r="CY41" i="25" s="1"/>
  <c r="CZ41" i="25" s="1"/>
  <c r="CV13" i="25"/>
  <c r="CY13" i="25" s="1"/>
  <c r="CZ13" i="25" s="1"/>
  <c r="CS13" i="25"/>
  <c r="CW13" i="25" s="1"/>
  <c r="CX13" i="25" s="1"/>
  <c r="DA13" i="25" s="1"/>
  <c r="CW54" i="25"/>
  <c r="CX54" i="25" s="1"/>
  <c r="DA54" i="25" s="1"/>
  <c r="CS25" i="25"/>
  <c r="CW25" i="25" s="1"/>
  <c r="CX25" i="25" s="1"/>
  <c r="DA25" i="25" s="1"/>
  <c r="CV25" i="25"/>
  <c r="CY25" i="25" s="1"/>
  <c r="CZ25" i="25" s="1"/>
  <c r="CV54" i="25"/>
  <c r="CY54" i="25" s="1"/>
  <c r="CZ54" i="25" s="1"/>
  <c r="CV50" i="25"/>
  <c r="CY50" i="25" s="1"/>
  <c r="CZ50" i="25" s="1"/>
  <c r="CS50" i="25"/>
  <c r="CW50" i="25" s="1"/>
  <c r="CX50" i="25" s="1"/>
  <c r="DA50" i="25" s="1"/>
  <c r="CV39" i="25"/>
  <c r="CY39" i="25" s="1"/>
  <c r="CZ39" i="25" s="1"/>
  <c r="CS28" i="25"/>
  <c r="CW28" i="25" s="1"/>
  <c r="CX28" i="25" s="1"/>
  <c r="DA28" i="25" s="1"/>
  <c r="CV49" i="25"/>
  <c r="CY49" i="25" s="1"/>
  <c r="CZ49" i="25" s="1"/>
  <c r="CS49" i="25"/>
  <c r="CW49" i="25" s="1"/>
  <c r="CX49" i="25" s="1"/>
  <c r="DA49" i="25" s="1"/>
  <c r="CV45" i="25"/>
  <c r="CY45" i="25" s="1"/>
  <c r="CZ45" i="25" s="1"/>
  <c r="CV27" i="25"/>
  <c r="CY27" i="25" s="1"/>
  <c r="CZ27" i="25" s="1"/>
  <c r="CV46" i="25"/>
  <c r="CY46" i="25" s="1"/>
  <c r="CZ46" i="25" s="1"/>
  <c r="CS46" i="25"/>
  <c r="CW46" i="25" s="1"/>
  <c r="CX46" i="25" s="1"/>
  <c r="DA46" i="25" s="1"/>
  <c r="CV47" i="25"/>
  <c r="CY47" i="25" s="1"/>
  <c r="CZ47" i="25" s="1"/>
  <c r="CS47" i="25"/>
  <c r="CW47" i="25" s="1"/>
  <c r="CX47" i="25" s="1"/>
  <c r="DA47" i="25" s="1"/>
  <c r="CV30" i="25"/>
  <c r="CY30" i="25" s="1"/>
  <c r="CZ30" i="25" s="1"/>
  <c r="CS30" i="25"/>
  <c r="CW30" i="25" s="1"/>
  <c r="CX30" i="25" s="1"/>
  <c r="DA30" i="25" s="1"/>
  <c r="CV44" i="25"/>
  <c r="CY44" i="25" s="1"/>
  <c r="CZ44" i="25" s="1"/>
  <c r="CS44" i="25"/>
  <c r="CW44" i="25" s="1"/>
  <c r="CX44" i="25" s="1"/>
  <c r="DA44" i="25" s="1"/>
  <c r="CV26" i="25"/>
  <c r="CY26" i="25" s="1"/>
  <c r="CZ26" i="25" s="1"/>
  <c r="CS26" i="25"/>
  <c r="CW26" i="25" s="1"/>
  <c r="CX26" i="25" s="1"/>
  <c r="DA26" i="25" s="1"/>
  <c r="CW12" i="25" l="1"/>
  <c r="CX12" i="25" s="1"/>
  <c r="DA12" i="25" s="1"/>
  <c r="CE90" i="25" l="1"/>
  <c r="CE211" i="25"/>
  <c r="CE85" i="25"/>
  <c r="CE91" i="25"/>
  <c r="CE207" i="25"/>
  <c r="CE212" i="25"/>
  <c r="CE79" i="25"/>
  <c r="CE208" i="25"/>
  <c r="CE213" i="25"/>
  <c r="CE92" i="25"/>
  <c r="CF90" i="25"/>
  <c r="CF211" i="25"/>
  <c r="CF85" i="25"/>
  <c r="CF91" i="25"/>
  <c r="CF207" i="25"/>
  <c r="CF212" i="25"/>
  <c r="CF79" i="25"/>
  <c r="CF208" i="25"/>
  <c r="CF213" i="25"/>
  <c r="CF92" i="25"/>
  <c r="CH90" i="25"/>
  <c r="CH211" i="25"/>
  <c r="CH85" i="25"/>
  <c r="CH91" i="25"/>
  <c r="CH207" i="25"/>
  <c r="CH212" i="25"/>
  <c r="CH79" i="25"/>
  <c r="CH208" i="25"/>
  <c r="CH213" i="25"/>
  <c r="CH92" i="25"/>
  <c r="CI90" i="25"/>
  <c r="CI211" i="25"/>
  <c r="CI85" i="25"/>
  <c r="CI91" i="25"/>
  <c r="CI207" i="25"/>
  <c r="CI212" i="25"/>
  <c r="CI79" i="25"/>
  <c r="CI208" i="25"/>
  <c r="CI213" i="25"/>
  <c r="CI92" i="25"/>
  <c r="CJ90" i="25"/>
  <c r="CJ211" i="25"/>
  <c r="CJ85" i="25"/>
  <c r="CJ91" i="25"/>
  <c r="CJ207" i="25"/>
  <c r="CJ212" i="25"/>
  <c r="CJ79" i="25"/>
  <c r="CJ208" i="25"/>
  <c r="CJ213" i="25"/>
  <c r="CJ92" i="25"/>
  <c r="CK90" i="25"/>
  <c r="CK211" i="25"/>
  <c r="CK85" i="25"/>
  <c r="CK91" i="25"/>
  <c r="CK207" i="25"/>
  <c r="CK212" i="25"/>
  <c r="CK79" i="25"/>
  <c r="CK208" i="25"/>
  <c r="CK213" i="25"/>
  <c r="CK92" i="25"/>
  <c r="CL90" i="25"/>
  <c r="CL211" i="25"/>
  <c r="CL85" i="25"/>
  <c r="CL91" i="25"/>
  <c r="CL207" i="25"/>
  <c r="CL212" i="25"/>
  <c r="CL79" i="25"/>
  <c r="CL208" i="25"/>
  <c r="CL213" i="25"/>
  <c r="CL92" i="25"/>
  <c r="CM90" i="25"/>
  <c r="CM211" i="25"/>
  <c r="CM85" i="25"/>
  <c r="CM91" i="25"/>
  <c r="CM207" i="25"/>
  <c r="CM212" i="25"/>
  <c r="CM79" i="25"/>
  <c r="CM208" i="25"/>
  <c r="CM213" i="25"/>
  <c r="CM92" i="25"/>
  <c r="CN90" i="25"/>
  <c r="CN211" i="25"/>
  <c r="CN85" i="25"/>
  <c r="CN91" i="25"/>
  <c r="CN207" i="25"/>
  <c r="CN212" i="25"/>
  <c r="CN79" i="25"/>
  <c r="CN208" i="25"/>
  <c r="CN213" i="25"/>
  <c r="CN92" i="25"/>
  <c r="CT90" i="25"/>
  <c r="CU90" i="25" s="1"/>
  <c r="CT211" i="25"/>
  <c r="CU211" i="25" s="1"/>
  <c r="CT85" i="25"/>
  <c r="CU85" i="25" s="1"/>
  <c r="CT91" i="25"/>
  <c r="CU91" i="25" s="1"/>
  <c r="CT207" i="25"/>
  <c r="CU207" i="25" s="1"/>
  <c r="CT212" i="25"/>
  <c r="CU212" i="25" s="1"/>
  <c r="CT79" i="25"/>
  <c r="CU79" i="25" s="1"/>
  <c r="CT208" i="25"/>
  <c r="CU208" i="25" s="1"/>
  <c r="CT213" i="25"/>
  <c r="CU213" i="25" s="1"/>
  <c r="CT92" i="25"/>
  <c r="CU92" i="25" s="1"/>
  <c r="DB90" i="25"/>
  <c r="DB211" i="25"/>
  <c r="DB85" i="25"/>
  <c r="DB91" i="25"/>
  <c r="DB207" i="25"/>
  <c r="DB212" i="25"/>
  <c r="DB79" i="25"/>
  <c r="DB208" i="25"/>
  <c r="DB213" i="25"/>
  <c r="DB92" i="25"/>
  <c r="DC90" i="25"/>
  <c r="DC211" i="25"/>
  <c r="DC85" i="25"/>
  <c r="DC91" i="25"/>
  <c r="DC207" i="25"/>
  <c r="DC212" i="25"/>
  <c r="DC79" i="25"/>
  <c r="DC208" i="25"/>
  <c r="DC213" i="25"/>
  <c r="DC92" i="25"/>
  <c r="DG90" i="25"/>
  <c r="DG211" i="25"/>
  <c r="DG85" i="25"/>
  <c r="DG91" i="25"/>
  <c r="DG207" i="25"/>
  <c r="DG212" i="25"/>
  <c r="DG79" i="25"/>
  <c r="DG208" i="25"/>
  <c r="DG213" i="25"/>
  <c r="DG92" i="25"/>
  <c r="DH90" i="25"/>
  <c r="DH211" i="25"/>
  <c r="DH85" i="25"/>
  <c r="DH91" i="25"/>
  <c r="DH207" i="25"/>
  <c r="DH212" i="25"/>
  <c r="DH79" i="25"/>
  <c r="DH208" i="25"/>
  <c r="DH213" i="25"/>
  <c r="DH92" i="25"/>
  <c r="DL90" i="25"/>
  <c r="DL211" i="25"/>
  <c r="DL85" i="25"/>
  <c r="DL91" i="25"/>
  <c r="DL207" i="25"/>
  <c r="DL212" i="25"/>
  <c r="DL79" i="25"/>
  <c r="DL208" i="25"/>
  <c r="DL213" i="25"/>
  <c r="DL92" i="25"/>
  <c r="DM90" i="25"/>
  <c r="DT90" i="25" s="1"/>
  <c r="DM211" i="25"/>
  <c r="DT211" i="25" s="1"/>
  <c r="DM85" i="25"/>
  <c r="DT85" i="25" s="1"/>
  <c r="DM91" i="25"/>
  <c r="DT91" i="25" s="1"/>
  <c r="DM207" i="25"/>
  <c r="DM212" i="25"/>
  <c r="DT212" i="25" s="1"/>
  <c r="DM79" i="25"/>
  <c r="DT79" i="25" s="1"/>
  <c r="DM208" i="25"/>
  <c r="DT208" i="25" s="1"/>
  <c r="DM213" i="25"/>
  <c r="DT213" i="25" s="1"/>
  <c r="DM92" i="25"/>
  <c r="DT92" i="25" s="1"/>
  <c r="DN90" i="25"/>
  <c r="DN211" i="25"/>
  <c r="DN85" i="25"/>
  <c r="DN91" i="25"/>
  <c r="DN207" i="25"/>
  <c r="DN212" i="25"/>
  <c r="DN79" i="25"/>
  <c r="DN208" i="25"/>
  <c r="DN213" i="25"/>
  <c r="DN92" i="25"/>
  <c r="DO90" i="25"/>
  <c r="DO211" i="25"/>
  <c r="DO85" i="25"/>
  <c r="DO91" i="25"/>
  <c r="DO207" i="25"/>
  <c r="DO212" i="25"/>
  <c r="DO79" i="25"/>
  <c r="DO208" i="25"/>
  <c r="DO213" i="25"/>
  <c r="DO92" i="25"/>
  <c r="DV90" i="25"/>
  <c r="DV211" i="25"/>
  <c r="DV85" i="25"/>
  <c r="DV91" i="25"/>
  <c r="DV207" i="25"/>
  <c r="DV212" i="25"/>
  <c r="DV79" i="25"/>
  <c r="DV208" i="25"/>
  <c r="DV213" i="25"/>
  <c r="DV92" i="25"/>
  <c r="DW90" i="25"/>
  <c r="DX90" i="25" s="1"/>
  <c r="DW211" i="25"/>
  <c r="DZ211" i="25" s="1"/>
  <c r="DW85" i="25"/>
  <c r="DX85" i="25" s="1"/>
  <c r="DW91" i="25"/>
  <c r="DZ91" i="25" s="1"/>
  <c r="DW207" i="25"/>
  <c r="DX207" i="25" s="1"/>
  <c r="DW212" i="25"/>
  <c r="DX212" i="25" s="1"/>
  <c r="DW79" i="25"/>
  <c r="DZ79" i="25" s="1"/>
  <c r="DW208" i="25"/>
  <c r="DZ208" i="25" s="1"/>
  <c r="DW213" i="25"/>
  <c r="DX213" i="25" s="1"/>
  <c r="DW92" i="25"/>
  <c r="DX92" i="25" s="1"/>
  <c r="DY90" i="25"/>
  <c r="DY211" i="25"/>
  <c r="DY85" i="25"/>
  <c r="DY91" i="25"/>
  <c r="DY207" i="25"/>
  <c r="DY212" i="25"/>
  <c r="DY79" i="25"/>
  <c r="DY208" i="25"/>
  <c r="DY213" i="25"/>
  <c r="DY92" i="25"/>
  <c r="EA90" i="25"/>
  <c r="EA211" i="25"/>
  <c r="EA85" i="25"/>
  <c r="EA91" i="25"/>
  <c r="EA207" i="25"/>
  <c r="EA212" i="25"/>
  <c r="EA79" i="25"/>
  <c r="EA208" i="25"/>
  <c r="EA213" i="25"/>
  <c r="EA92" i="25"/>
  <c r="EB90" i="25"/>
  <c r="EB211" i="25"/>
  <c r="EB85" i="25"/>
  <c r="EB91" i="25"/>
  <c r="EB207" i="25"/>
  <c r="EB212" i="25"/>
  <c r="EB79" i="25"/>
  <c r="EB208" i="25"/>
  <c r="EB213" i="25"/>
  <c r="EB92" i="25"/>
  <c r="EI90" i="25"/>
  <c r="EI211" i="25"/>
  <c r="EI85" i="25"/>
  <c r="EI91" i="25"/>
  <c r="EI207" i="25"/>
  <c r="EI212" i="25"/>
  <c r="EI79" i="25"/>
  <c r="EI208" i="25"/>
  <c r="EI213" i="25"/>
  <c r="EI92" i="25"/>
  <c r="EJ90" i="25"/>
  <c r="EJ211" i="25"/>
  <c r="EJ85" i="25"/>
  <c r="EJ91" i="25"/>
  <c r="EJ207" i="25"/>
  <c r="EJ212" i="25"/>
  <c r="EJ79" i="25"/>
  <c r="EJ208" i="25"/>
  <c r="EJ213" i="25"/>
  <c r="EJ92" i="25"/>
  <c r="EK90" i="25"/>
  <c r="EK211" i="25"/>
  <c r="DI211" i="25" s="1"/>
  <c r="DJ211" i="25" s="1"/>
  <c r="EK85" i="25"/>
  <c r="DF85" i="25" s="1"/>
  <c r="EK91" i="25"/>
  <c r="DF91" i="25" s="1"/>
  <c r="EK207" i="25"/>
  <c r="EK212" i="25"/>
  <c r="EK79" i="25"/>
  <c r="EK208" i="25"/>
  <c r="EK213" i="25"/>
  <c r="EK92" i="25"/>
  <c r="DF92" i="25" s="1"/>
  <c r="EL90" i="25"/>
  <c r="EL211" i="25"/>
  <c r="EL85" i="25"/>
  <c r="EL91" i="25"/>
  <c r="EL207" i="25"/>
  <c r="EL212" i="25"/>
  <c r="EL79" i="25"/>
  <c r="EL208" i="25"/>
  <c r="EL213" i="25"/>
  <c r="EL92" i="25"/>
  <c r="EM90" i="25"/>
  <c r="DU90" i="25" s="1"/>
  <c r="EM211" i="25"/>
  <c r="DU211" i="25" s="1"/>
  <c r="EM85" i="25"/>
  <c r="DU85" i="25" s="1"/>
  <c r="EM91" i="25"/>
  <c r="DU91" i="25" s="1"/>
  <c r="EM207" i="25"/>
  <c r="DU207" i="25" s="1"/>
  <c r="EM212" i="25"/>
  <c r="DU212" i="25" s="1"/>
  <c r="EM79" i="25"/>
  <c r="DU79" i="25" s="1"/>
  <c r="EM208" i="25"/>
  <c r="DU208" i="25" s="1"/>
  <c r="EM213" i="25"/>
  <c r="DU213" i="25" s="1"/>
  <c r="EM92" i="25"/>
  <c r="DU92" i="25" s="1"/>
  <c r="EN90" i="25"/>
  <c r="EN211" i="25"/>
  <c r="EN85" i="25"/>
  <c r="EN91" i="25"/>
  <c r="EN207" i="25"/>
  <c r="EN212" i="25"/>
  <c r="EN79" i="25"/>
  <c r="EN208" i="25"/>
  <c r="EN213" i="25"/>
  <c r="EN92" i="25"/>
  <c r="EO90" i="25"/>
  <c r="EO211" i="25"/>
  <c r="EO85" i="25"/>
  <c r="EO91" i="25"/>
  <c r="EO207" i="25"/>
  <c r="EO212" i="25"/>
  <c r="EO79" i="25"/>
  <c r="EO208" i="25"/>
  <c r="EO213" i="25"/>
  <c r="EO92" i="25"/>
  <c r="EP90" i="25"/>
  <c r="EP211" i="25"/>
  <c r="EP85" i="25"/>
  <c r="EP91" i="25"/>
  <c r="EP207" i="25"/>
  <c r="EP212" i="25"/>
  <c r="EP79" i="25"/>
  <c r="EP208" i="25"/>
  <c r="EP213" i="25"/>
  <c r="EP92" i="25"/>
  <c r="ET90" i="25"/>
  <c r="ET211" i="25"/>
  <c r="ET85" i="25"/>
  <c r="ET91" i="25"/>
  <c r="ET207" i="25"/>
  <c r="ET212" i="25"/>
  <c r="ET79" i="25"/>
  <c r="ET208" i="25"/>
  <c r="ET213" i="25"/>
  <c r="ET92" i="25"/>
  <c r="EU90" i="25"/>
  <c r="EU211" i="25"/>
  <c r="EU85" i="25"/>
  <c r="EU91" i="25"/>
  <c r="EU207" i="25"/>
  <c r="EU212" i="25"/>
  <c r="EU79" i="25"/>
  <c r="EU208" i="25"/>
  <c r="EU213" i="25"/>
  <c r="EU92" i="25"/>
  <c r="CE210" i="25"/>
  <c r="CF210" i="25"/>
  <c r="CH210" i="25"/>
  <c r="CI210" i="25"/>
  <c r="CJ210" i="25"/>
  <c r="CK210" i="25"/>
  <c r="CL210" i="25"/>
  <c r="CM210" i="25"/>
  <c r="CN210" i="25"/>
  <c r="CT210" i="25"/>
  <c r="CU210" i="25" s="1"/>
  <c r="DB210" i="25"/>
  <c r="DC210" i="25"/>
  <c r="DG210" i="25"/>
  <c r="DH210" i="25"/>
  <c r="DL210" i="25"/>
  <c r="DM210" i="25"/>
  <c r="DN210" i="25"/>
  <c r="DO210" i="25"/>
  <c r="DV210" i="25"/>
  <c r="DW210" i="25"/>
  <c r="DZ210" i="25" s="1"/>
  <c r="DY210" i="25"/>
  <c r="EA210" i="25"/>
  <c r="EB210" i="25"/>
  <c r="EI210" i="25"/>
  <c r="EJ210" i="25"/>
  <c r="EK210" i="25"/>
  <c r="EL210" i="25"/>
  <c r="EM210" i="25"/>
  <c r="DU210" i="25" s="1"/>
  <c r="EN210" i="25"/>
  <c r="EO210" i="25"/>
  <c r="EP210" i="25"/>
  <c r="ET210" i="25"/>
  <c r="EU210" i="25"/>
  <c r="CE89" i="25"/>
  <c r="CF89" i="25"/>
  <c r="CH89" i="25"/>
  <c r="CI89" i="25"/>
  <c r="CJ89" i="25"/>
  <c r="CK89" i="25"/>
  <c r="CL89" i="25"/>
  <c r="CM89" i="25"/>
  <c r="CN89" i="25"/>
  <c r="CT89" i="25"/>
  <c r="CU89" i="25" s="1"/>
  <c r="DB89" i="25"/>
  <c r="DC89" i="25"/>
  <c r="DG89" i="25"/>
  <c r="DH89" i="25"/>
  <c r="DL89" i="25"/>
  <c r="DM89" i="25"/>
  <c r="DT89" i="25" s="1"/>
  <c r="DN89" i="25"/>
  <c r="DO89" i="25"/>
  <c r="DV89" i="25"/>
  <c r="DW89" i="25"/>
  <c r="DX89" i="25" s="1"/>
  <c r="DY89" i="25"/>
  <c r="EA89" i="25"/>
  <c r="EB89" i="25"/>
  <c r="EI89" i="25"/>
  <c r="EJ89" i="25"/>
  <c r="EK89" i="25"/>
  <c r="EL89" i="25"/>
  <c r="EM89" i="25"/>
  <c r="DU89" i="25" s="1"/>
  <c r="EN89" i="25"/>
  <c r="EO89" i="25"/>
  <c r="EP89" i="25"/>
  <c r="ET89" i="25"/>
  <c r="EU89" i="25"/>
  <c r="CE209" i="25"/>
  <c r="CF209" i="25"/>
  <c r="CH209" i="25"/>
  <c r="CI209" i="25"/>
  <c r="CJ209" i="25"/>
  <c r="CK209" i="25"/>
  <c r="CL209" i="25"/>
  <c r="CM209" i="25"/>
  <c r="CN209" i="25"/>
  <c r="CT209" i="25"/>
  <c r="CU209" i="25" s="1"/>
  <c r="DB209" i="25"/>
  <c r="DC209" i="25"/>
  <c r="DG209" i="25"/>
  <c r="DH209" i="25"/>
  <c r="DL209" i="25"/>
  <c r="DM209" i="25"/>
  <c r="DT209" i="25" s="1"/>
  <c r="DN209" i="25"/>
  <c r="DO209" i="25"/>
  <c r="DV209" i="25"/>
  <c r="DW209" i="25"/>
  <c r="DX209" i="25" s="1"/>
  <c r="DY209" i="25"/>
  <c r="EA209" i="25"/>
  <c r="EB209" i="25"/>
  <c r="EI209" i="25"/>
  <c r="EJ209" i="25"/>
  <c r="EK209" i="25"/>
  <c r="EL209" i="25"/>
  <c r="EM209" i="25"/>
  <c r="DU209" i="25" s="1"/>
  <c r="EN209" i="25"/>
  <c r="EO209" i="25"/>
  <c r="EP209" i="25"/>
  <c r="ET209" i="25"/>
  <c r="EU209" i="25"/>
  <c r="CE132" i="25"/>
  <c r="CF132" i="25"/>
  <c r="CH132" i="25"/>
  <c r="CI132" i="25"/>
  <c r="CJ132" i="25"/>
  <c r="CK132" i="25"/>
  <c r="CL132" i="25"/>
  <c r="CM132" i="25"/>
  <c r="CN132" i="25"/>
  <c r="CT132" i="25"/>
  <c r="CU132" i="25" s="1"/>
  <c r="DB132" i="25"/>
  <c r="DC132" i="25"/>
  <c r="DG132" i="25"/>
  <c r="DH132" i="25"/>
  <c r="DL132" i="25"/>
  <c r="DM132" i="25"/>
  <c r="DN132" i="25"/>
  <c r="DO132" i="25"/>
  <c r="DV132" i="25"/>
  <c r="DW132" i="25"/>
  <c r="DX132" i="25" s="1"/>
  <c r="DY132" i="25"/>
  <c r="EA132" i="25"/>
  <c r="EB132" i="25"/>
  <c r="EI132" i="25"/>
  <c r="EJ132" i="25"/>
  <c r="EK132" i="25"/>
  <c r="EL132" i="25"/>
  <c r="EM132" i="25"/>
  <c r="DU132" i="25" s="1"/>
  <c r="EN132" i="25"/>
  <c r="EO132" i="25"/>
  <c r="EP132" i="25"/>
  <c r="ET132" i="25"/>
  <c r="EU132" i="25"/>
  <c r="CE88" i="25"/>
  <c r="CF88" i="25"/>
  <c r="CH88" i="25"/>
  <c r="CI88" i="25"/>
  <c r="CJ88" i="25"/>
  <c r="CK88" i="25"/>
  <c r="CL88" i="25"/>
  <c r="CM88" i="25"/>
  <c r="CN88" i="25"/>
  <c r="CT88" i="25"/>
  <c r="CU88" i="25" s="1"/>
  <c r="DB88" i="25"/>
  <c r="DC88" i="25"/>
  <c r="DG88" i="25"/>
  <c r="DH88" i="25"/>
  <c r="DL88" i="25"/>
  <c r="DM88" i="25"/>
  <c r="DT88" i="25" s="1"/>
  <c r="DN88" i="25"/>
  <c r="DO88" i="25"/>
  <c r="DV88" i="25"/>
  <c r="DW88" i="25"/>
  <c r="DX88" i="25" s="1"/>
  <c r="DY88" i="25"/>
  <c r="EA88" i="25"/>
  <c r="EB88" i="25"/>
  <c r="EI88" i="25"/>
  <c r="EJ88" i="25"/>
  <c r="EK88" i="25"/>
  <c r="EL88" i="25"/>
  <c r="EM88" i="25"/>
  <c r="DU88" i="25" s="1"/>
  <c r="EN88" i="25"/>
  <c r="EO88" i="25"/>
  <c r="EP88" i="25"/>
  <c r="ET88" i="25"/>
  <c r="EU88" i="25"/>
  <c r="CE78" i="25"/>
  <c r="CF78" i="25"/>
  <c r="CH78" i="25"/>
  <c r="CI78" i="25"/>
  <c r="CJ78" i="25"/>
  <c r="CK78" i="25"/>
  <c r="CL78" i="25"/>
  <c r="CM78" i="25"/>
  <c r="CN78" i="25"/>
  <c r="CT78" i="25"/>
  <c r="CU78" i="25" s="1"/>
  <c r="DB78" i="25"/>
  <c r="DC78" i="25"/>
  <c r="DG78" i="25"/>
  <c r="DH78" i="25"/>
  <c r="DL78" i="25"/>
  <c r="DM78" i="25"/>
  <c r="DT78" i="25" s="1"/>
  <c r="DN78" i="25"/>
  <c r="DO78" i="25"/>
  <c r="DV78" i="25"/>
  <c r="DW78" i="25"/>
  <c r="DX78" i="25" s="1"/>
  <c r="DY78" i="25"/>
  <c r="EA78" i="25"/>
  <c r="EB78" i="25"/>
  <c r="EI78" i="25"/>
  <c r="EJ78" i="25"/>
  <c r="EK78" i="25"/>
  <c r="EL78" i="25"/>
  <c r="EM78" i="25"/>
  <c r="DU78" i="25" s="1"/>
  <c r="EN78" i="25"/>
  <c r="EO78" i="25"/>
  <c r="EP78" i="25"/>
  <c r="ET78" i="25"/>
  <c r="EU78" i="25"/>
  <c r="CE77" i="25"/>
  <c r="CE87" i="25"/>
  <c r="CF77" i="25"/>
  <c r="CF87" i="25"/>
  <c r="CH77" i="25"/>
  <c r="CH87" i="25"/>
  <c r="CI77" i="25"/>
  <c r="CI87" i="25"/>
  <c r="CJ77" i="25"/>
  <c r="CJ87" i="25"/>
  <c r="CK77" i="25"/>
  <c r="CK87" i="25"/>
  <c r="CL77" i="25"/>
  <c r="CL87" i="25"/>
  <c r="CM77" i="25"/>
  <c r="CM87" i="25"/>
  <c r="CN77" i="25"/>
  <c r="CN87" i="25"/>
  <c r="CT77" i="25"/>
  <c r="CT87" i="25"/>
  <c r="CU87" i="25" s="1"/>
  <c r="DB77" i="25"/>
  <c r="DB87" i="25"/>
  <c r="DC77" i="25"/>
  <c r="DC87" i="25"/>
  <c r="DG77" i="25"/>
  <c r="DG87" i="25"/>
  <c r="DH77" i="25"/>
  <c r="DH87" i="25"/>
  <c r="DL77" i="25"/>
  <c r="DL87" i="25"/>
  <c r="DM77" i="25"/>
  <c r="DT77" i="25" s="1"/>
  <c r="DM87" i="25"/>
  <c r="DT87" i="25" s="1"/>
  <c r="DN77" i="25"/>
  <c r="DN87" i="25"/>
  <c r="DO77" i="25"/>
  <c r="DO87" i="25"/>
  <c r="DV77" i="25"/>
  <c r="DV87" i="25"/>
  <c r="DW77" i="25"/>
  <c r="DX77" i="25" s="1"/>
  <c r="DW87" i="25"/>
  <c r="DX87" i="25" s="1"/>
  <c r="DY77" i="25"/>
  <c r="DY87" i="25"/>
  <c r="EA77" i="25"/>
  <c r="EA87" i="25"/>
  <c r="EB77" i="25"/>
  <c r="EB87" i="25"/>
  <c r="EI77" i="25"/>
  <c r="EI87" i="25"/>
  <c r="EJ77" i="25"/>
  <c r="EJ87" i="25"/>
  <c r="EK77" i="25"/>
  <c r="EK87" i="25"/>
  <c r="EL77" i="25"/>
  <c r="EL87" i="25"/>
  <c r="EM77" i="25"/>
  <c r="DU77" i="25" s="1"/>
  <c r="EM87" i="25"/>
  <c r="DU87" i="25" s="1"/>
  <c r="EN77" i="25"/>
  <c r="EN87" i="25"/>
  <c r="EO77" i="25"/>
  <c r="EO87" i="25"/>
  <c r="EP77" i="25"/>
  <c r="EP87" i="25"/>
  <c r="ET77" i="25"/>
  <c r="ET87" i="25"/>
  <c r="EU77" i="25"/>
  <c r="EU87" i="25"/>
  <c r="CE206" i="25"/>
  <c r="CF206" i="25"/>
  <c r="CH206" i="25"/>
  <c r="CI206" i="25"/>
  <c r="CJ206" i="25"/>
  <c r="CK206" i="25"/>
  <c r="CL206" i="25"/>
  <c r="CM206" i="25"/>
  <c r="CN206" i="25"/>
  <c r="CT206" i="25"/>
  <c r="CU206" i="25" s="1"/>
  <c r="DB206" i="25"/>
  <c r="DC206" i="25"/>
  <c r="DG206" i="25"/>
  <c r="DH206" i="25"/>
  <c r="DL206" i="25"/>
  <c r="DM206" i="25"/>
  <c r="DT206" i="25" s="1"/>
  <c r="DN206" i="25"/>
  <c r="DO206" i="25"/>
  <c r="DV206" i="25"/>
  <c r="DW206" i="25"/>
  <c r="DX206" i="25" s="1"/>
  <c r="DY206" i="25"/>
  <c r="EA206" i="25"/>
  <c r="EB206" i="25"/>
  <c r="EI206" i="25"/>
  <c r="EJ206" i="25"/>
  <c r="EK206" i="25"/>
  <c r="DF206" i="25" s="1"/>
  <c r="EL206" i="25"/>
  <c r="EM206" i="25"/>
  <c r="DU206" i="25" s="1"/>
  <c r="EN206" i="25"/>
  <c r="EO206" i="25"/>
  <c r="EP206" i="25"/>
  <c r="ET206" i="25"/>
  <c r="EU206" i="25"/>
  <c r="EG209" i="25" l="1"/>
  <c r="EG88" i="25"/>
  <c r="EG85" i="25"/>
  <c r="EG77" i="25"/>
  <c r="EG78" i="25"/>
  <c r="EG87" i="25"/>
  <c r="EG92" i="25"/>
  <c r="EG211" i="25"/>
  <c r="EG213" i="25"/>
  <c r="EG90" i="25"/>
  <c r="EG208" i="25"/>
  <c r="EG132" i="25"/>
  <c r="EG79" i="25"/>
  <c r="EG212" i="25"/>
  <c r="EG89" i="25"/>
  <c r="EG207" i="25"/>
  <c r="EG206" i="25"/>
  <c r="EG210" i="25"/>
  <c r="EG91" i="25"/>
  <c r="DE213" i="25"/>
  <c r="DD213" i="25" s="1"/>
  <c r="DK213" i="25" s="1"/>
  <c r="DE90" i="25"/>
  <c r="DD90" i="25" s="1"/>
  <c r="DK90" i="25" s="1"/>
  <c r="DE79" i="25"/>
  <c r="DD79" i="25" s="1"/>
  <c r="DK79" i="25" s="1"/>
  <c r="EH79" i="25"/>
  <c r="DE212" i="25"/>
  <c r="DD212" i="25" s="1"/>
  <c r="DK212" i="25" s="1"/>
  <c r="DZ213" i="25"/>
  <c r="CG91" i="25"/>
  <c r="DZ90" i="25"/>
  <c r="DZ85" i="25"/>
  <c r="EH91" i="25"/>
  <c r="CG79" i="25"/>
  <c r="CG85" i="25"/>
  <c r="EH213" i="25"/>
  <c r="EH90" i="25"/>
  <c r="CG213" i="25"/>
  <c r="CG90" i="25"/>
  <c r="DZ212" i="25"/>
  <c r="DX91" i="25"/>
  <c r="CG211" i="25"/>
  <c r="DE210" i="25"/>
  <c r="DD210" i="25" s="1"/>
  <c r="DK210" i="25" s="1"/>
  <c r="CG208" i="25"/>
  <c r="DE207" i="25"/>
  <c r="DD207" i="25" s="1"/>
  <c r="DK207" i="25" s="1"/>
  <c r="EH92" i="25"/>
  <c r="EH85" i="25"/>
  <c r="CG92" i="25"/>
  <c r="CQ208" i="25"/>
  <c r="EH211" i="25"/>
  <c r="CQ92" i="25"/>
  <c r="CQ85" i="25"/>
  <c r="CP212" i="25"/>
  <c r="CR212" i="25" s="1"/>
  <c r="CS212" i="25" s="1"/>
  <c r="CW212" i="25" s="1"/>
  <c r="CX212" i="25" s="1"/>
  <c r="DA212" i="25" s="1"/>
  <c r="CQ213" i="25"/>
  <c r="CQ90" i="25"/>
  <c r="CP91" i="25"/>
  <c r="CR91" i="25" s="1"/>
  <c r="CV91" i="25" s="1"/>
  <c r="CY91" i="25" s="1"/>
  <c r="CZ91" i="25" s="1"/>
  <c r="DP79" i="25"/>
  <c r="DQ79" i="25" s="1"/>
  <c r="DR79" i="25" s="1"/>
  <c r="DS79" i="25" s="1"/>
  <c r="DE132" i="25"/>
  <c r="DD132" i="25" s="1"/>
  <c r="DK132" i="25" s="1"/>
  <c r="CG89" i="25"/>
  <c r="DX210" i="25"/>
  <c r="DP212" i="25"/>
  <c r="DQ212" i="25" s="1"/>
  <c r="DR212" i="25" s="1"/>
  <c r="DS212" i="25" s="1"/>
  <c r="EH208" i="25"/>
  <c r="CQ79" i="25"/>
  <c r="CP211" i="25"/>
  <c r="CR211" i="25" s="1"/>
  <c r="DP207" i="25"/>
  <c r="DQ207" i="25" s="1"/>
  <c r="DR207" i="25" s="1"/>
  <c r="DS207" i="25" s="1"/>
  <c r="DP213" i="25"/>
  <c r="DQ213" i="25" s="1"/>
  <c r="DR213" i="25" s="1"/>
  <c r="DS213" i="25" s="1"/>
  <c r="DP90" i="25"/>
  <c r="DQ90" i="25" s="1"/>
  <c r="DR90" i="25" s="1"/>
  <c r="DS90" i="25" s="1"/>
  <c r="DZ207" i="25"/>
  <c r="DP91" i="25"/>
  <c r="DQ91" i="25" s="1"/>
  <c r="DR91" i="25" s="1"/>
  <c r="DS91" i="25" s="1"/>
  <c r="DE89" i="25"/>
  <c r="DD89" i="25" s="1"/>
  <c r="DK89" i="25" s="1"/>
  <c r="DZ92" i="25"/>
  <c r="EH210" i="25"/>
  <c r="CG212" i="25"/>
  <c r="EH209" i="25"/>
  <c r="CG210" i="25"/>
  <c r="DP208" i="25"/>
  <c r="DQ208" i="25" s="1"/>
  <c r="DR208" i="25" s="1"/>
  <c r="DS208" i="25" s="1"/>
  <c r="DP92" i="25"/>
  <c r="DQ92" i="25" s="1"/>
  <c r="DR92" i="25" s="1"/>
  <c r="DS92" i="25" s="1"/>
  <c r="DP85" i="25"/>
  <c r="DQ85" i="25" s="1"/>
  <c r="DR85" i="25" s="1"/>
  <c r="DS85" i="25" s="1"/>
  <c r="DP211" i="25"/>
  <c r="DQ211" i="25" s="1"/>
  <c r="DR211" i="25" s="1"/>
  <c r="DS211" i="25" s="1"/>
  <c r="DI213" i="25"/>
  <c r="DJ213" i="25" s="1"/>
  <c r="DI90" i="25"/>
  <c r="DJ90" i="25" s="1"/>
  <c r="DF211" i="25"/>
  <c r="CG207" i="25"/>
  <c r="EH212" i="25"/>
  <c r="CQ211" i="25"/>
  <c r="CP207" i="25"/>
  <c r="CR207" i="25" s="1"/>
  <c r="CP208" i="25"/>
  <c r="CR208" i="25" s="1"/>
  <c r="DE208" i="25"/>
  <c r="DD208" i="25" s="1"/>
  <c r="DK208" i="25" s="1"/>
  <c r="EH207" i="25"/>
  <c r="CP92" i="25"/>
  <c r="CR92" i="25" s="1"/>
  <c r="CS92" i="25" s="1"/>
  <c r="CW92" i="25" s="1"/>
  <c r="CX92" i="25" s="1"/>
  <c r="DA92" i="25" s="1"/>
  <c r="CP85" i="25"/>
  <c r="CR85" i="25" s="1"/>
  <c r="CS85" i="25" s="1"/>
  <c r="CW85" i="25" s="1"/>
  <c r="CX85" i="25" s="1"/>
  <c r="DA85" i="25" s="1"/>
  <c r="CQ91" i="25"/>
  <c r="CP79" i="25"/>
  <c r="CR79" i="25" s="1"/>
  <c r="DE209" i="25"/>
  <c r="DD209" i="25" s="1"/>
  <c r="DK209" i="25" s="1"/>
  <c r="DP210" i="25"/>
  <c r="DQ210" i="25" s="1"/>
  <c r="DR210" i="25" s="1"/>
  <c r="DS210" i="25" s="1"/>
  <c r="DZ209" i="25"/>
  <c r="DI208" i="25"/>
  <c r="DJ208" i="25" s="1"/>
  <c r="DF213" i="25"/>
  <c r="DF90" i="25"/>
  <c r="DE91" i="25"/>
  <c r="DD91" i="25" s="1"/>
  <c r="DK91" i="25" s="1"/>
  <c r="CQ212" i="25"/>
  <c r="CP213" i="25"/>
  <c r="CR213" i="25" s="1"/>
  <c r="CP90" i="25"/>
  <c r="CR90" i="25" s="1"/>
  <c r="EH89" i="25"/>
  <c r="DX211" i="25"/>
  <c r="DI79" i="25"/>
  <c r="DJ79" i="25" s="1"/>
  <c r="DF208" i="25"/>
  <c r="DE92" i="25"/>
  <c r="DD92" i="25" s="1"/>
  <c r="DK92" i="25" s="1"/>
  <c r="DE85" i="25"/>
  <c r="DD85" i="25" s="1"/>
  <c r="DK85" i="25" s="1"/>
  <c r="CQ207" i="25"/>
  <c r="DT207" i="25"/>
  <c r="DI212" i="25"/>
  <c r="DJ212" i="25" s="1"/>
  <c r="DF79" i="25"/>
  <c r="DE211" i="25"/>
  <c r="DD211" i="25" s="1"/>
  <c r="DK211" i="25" s="1"/>
  <c r="CP89" i="25"/>
  <c r="CR89" i="25" s="1"/>
  <c r="DX208" i="25"/>
  <c r="DI207" i="25"/>
  <c r="DJ207" i="25" s="1"/>
  <c r="DF212" i="25"/>
  <c r="DZ89" i="25"/>
  <c r="DX79" i="25"/>
  <c r="DI91" i="25"/>
  <c r="DJ91" i="25" s="1"/>
  <c r="DF207" i="25"/>
  <c r="DP209" i="25"/>
  <c r="DQ209" i="25" s="1"/>
  <c r="DR209" i="25" s="1"/>
  <c r="DS209" i="25" s="1"/>
  <c r="CG209" i="25"/>
  <c r="DT210" i="25"/>
  <c r="DI92" i="25"/>
  <c r="DJ92" i="25" s="1"/>
  <c r="DI85" i="25"/>
  <c r="DJ85" i="25" s="1"/>
  <c r="CP210" i="25"/>
  <c r="CR210" i="25" s="1"/>
  <c r="DI210" i="25"/>
  <c r="DJ210" i="25" s="1"/>
  <c r="CQ210" i="25"/>
  <c r="DF210" i="25"/>
  <c r="DZ132" i="25"/>
  <c r="DP89" i="25"/>
  <c r="DQ89" i="25" s="1"/>
  <c r="DR89" i="25" s="1"/>
  <c r="DS89" i="25" s="1"/>
  <c r="EH132" i="25"/>
  <c r="CG132" i="25"/>
  <c r="DI89" i="25"/>
  <c r="DJ89" i="25" s="1"/>
  <c r="EH88" i="25"/>
  <c r="CG88" i="25"/>
  <c r="CP132" i="25"/>
  <c r="CR132" i="25" s="1"/>
  <c r="CP209" i="25"/>
  <c r="CR209" i="25" s="1"/>
  <c r="CS209" i="25" s="1"/>
  <c r="CW209" i="25" s="1"/>
  <c r="CX209" i="25" s="1"/>
  <c r="DA209" i="25" s="1"/>
  <c r="CQ89" i="25"/>
  <c r="DF89" i="25"/>
  <c r="DI209" i="25"/>
  <c r="DJ209" i="25" s="1"/>
  <c r="DP78" i="25"/>
  <c r="DQ78" i="25" s="1"/>
  <c r="DR78" i="25" s="1"/>
  <c r="DS78" i="25" s="1"/>
  <c r="EH78" i="25"/>
  <c r="CQ209" i="25"/>
  <c r="DT132" i="25"/>
  <c r="DF209" i="25"/>
  <c r="DP206" i="25"/>
  <c r="DQ206" i="25" s="1"/>
  <c r="DR206" i="25" s="1"/>
  <c r="DS206" i="25" s="1"/>
  <c r="EH87" i="25"/>
  <c r="CG87" i="25"/>
  <c r="DZ78" i="25"/>
  <c r="DP132" i="25"/>
  <c r="DQ132" i="25" s="1"/>
  <c r="DR132" i="25" s="1"/>
  <c r="DS132" i="25" s="1"/>
  <c r="DP88" i="25"/>
  <c r="DQ88" i="25" s="1"/>
  <c r="DR88" i="25" s="1"/>
  <c r="DS88" i="25" s="1"/>
  <c r="CP78" i="25"/>
  <c r="CR78" i="25" s="1"/>
  <c r="CP88" i="25"/>
  <c r="CR88" i="25" s="1"/>
  <c r="DI132" i="25"/>
  <c r="DJ132" i="25" s="1"/>
  <c r="EH77" i="25"/>
  <c r="CG77" i="25"/>
  <c r="CQ88" i="25"/>
  <c r="CQ132" i="25"/>
  <c r="DF132" i="25"/>
  <c r="CP77" i="25"/>
  <c r="CR77" i="25" s="1"/>
  <c r="CQ77" i="25"/>
  <c r="CG78" i="25"/>
  <c r="DE78" i="25"/>
  <c r="DD78" i="25" s="1"/>
  <c r="DK78" i="25" s="1"/>
  <c r="DZ88" i="25"/>
  <c r="DF88" i="25"/>
  <c r="DZ77" i="25"/>
  <c r="DI88" i="25"/>
  <c r="DJ88" i="25" s="1"/>
  <c r="DE88" i="25"/>
  <c r="DD88" i="25" s="1"/>
  <c r="DK88" i="25" s="1"/>
  <c r="DZ206" i="25"/>
  <c r="DP87" i="25"/>
  <c r="DQ87" i="25" s="1"/>
  <c r="DR87" i="25" s="1"/>
  <c r="DS87" i="25" s="1"/>
  <c r="DI78" i="25"/>
  <c r="DJ78" i="25" s="1"/>
  <c r="CP87" i="25"/>
  <c r="CR87" i="25" s="1"/>
  <c r="DP77" i="25"/>
  <c r="DQ77" i="25" s="1"/>
  <c r="DR77" i="25" s="1"/>
  <c r="DS77" i="25" s="1"/>
  <c r="CQ87" i="25"/>
  <c r="CQ78" i="25"/>
  <c r="DF78" i="25"/>
  <c r="CU77" i="25"/>
  <c r="DZ87" i="25"/>
  <c r="DF87" i="25"/>
  <c r="EH206" i="25"/>
  <c r="CG206" i="25"/>
  <c r="DF77" i="25"/>
  <c r="DI87" i="25"/>
  <c r="DJ87" i="25" s="1"/>
  <c r="DE87" i="25"/>
  <c r="DD87" i="25" s="1"/>
  <c r="DK87" i="25" s="1"/>
  <c r="DI77" i="25"/>
  <c r="DJ77" i="25" s="1"/>
  <c r="DE77" i="25"/>
  <c r="DD77" i="25" s="1"/>
  <c r="DK77" i="25" s="1"/>
  <c r="DE206" i="25"/>
  <c r="DD206" i="25" s="1"/>
  <c r="DK206" i="25" s="1"/>
  <c r="CP206" i="25"/>
  <c r="CR206" i="25" s="1"/>
  <c r="CS206" i="25" s="1"/>
  <c r="CW206" i="25" s="1"/>
  <c r="CX206" i="25" s="1"/>
  <c r="DA206" i="25" s="1"/>
  <c r="DI206" i="25"/>
  <c r="DJ206" i="25" s="1"/>
  <c r="CQ206" i="25"/>
  <c r="CS91" i="25" l="1"/>
  <c r="CW91" i="25" s="1"/>
  <c r="CX91" i="25" s="1"/>
  <c r="DA91" i="25" s="1"/>
  <c r="CS79" i="25"/>
  <c r="CW79" i="25" s="1"/>
  <c r="CX79" i="25" s="1"/>
  <c r="DA79" i="25" s="1"/>
  <c r="CV79" i="25"/>
  <c r="CY79" i="25" s="1"/>
  <c r="CZ79" i="25" s="1"/>
  <c r="CS207" i="25"/>
  <c r="CW207" i="25" s="1"/>
  <c r="CX207" i="25" s="1"/>
  <c r="DA207" i="25" s="1"/>
  <c r="CV207" i="25"/>
  <c r="CY207" i="25" s="1"/>
  <c r="CZ207" i="25" s="1"/>
  <c r="CV92" i="25"/>
  <c r="CY92" i="25" s="1"/>
  <c r="CZ92" i="25" s="1"/>
  <c r="CV90" i="25"/>
  <c r="CY90" i="25" s="1"/>
  <c r="CZ90" i="25" s="1"/>
  <c r="CS90" i="25"/>
  <c r="CW90" i="25" s="1"/>
  <c r="CX90" i="25" s="1"/>
  <c r="DA90" i="25" s="1"/>
  <c r="CS77" i="25"/>
  <c r="CW77" i="25" s="1"/>
  <c r="CX77" i="25" s="1"/>
  <c r="DA77" i="25" s="1"/>
  <c r="CV77" i="25"/>
  <c r="CY77" i="25" s="1"/>
  <c r="CZ77" i="25" s="1"/>
  <c r="CS208" i="25"/>
  <c r="CW208" i="25" s="1"/>
  <c r="CX208" i="25" s="1"/>
  <c r="DA208" i="25" s="1"/>
  <c r="CV208" i="25"/>
  <c r="CY208" i="25" s="1"/>
  <c r="CZ208" i="25" s="1"/>
  <c r="CV85" i="25"/>
  <c r="CY85" i="25" s="1"/>
  <c r="CZ85" i="25" s="1"/>
  <c r="CS211" i="25"/>
  <c r="CW211" i="25" s="1"/>
  <c r="CX211" i="25" s="1"/>
  <c r="DA211" i="25" s="1"/>
  <c r="CV211" i="25"/>
  <c r="CY211" i="25" s="1"/>
  <c r="CZ211" i="25" s="1"/>
  <c r="CV213" i="25"/>
  <c r="CY213" i="25" s="1"/>
  <c r="CZ213" i="25" s="1"/>
  <c r="CS213" i="25"/>
  <c r="CW213" i="25" s="1"/>
  <c r="CX213" i="25" s="1"/>
  <c r="DA213" i="25" s="1"/>
  <c r="CV212" i="25"/>
  <c r="CY212" i="25" s="1"/>
  <c r="CZ212" i="25" s="1"/>
  <c r="CV210" i="25"/>
  <c r="CY210" i="25" s="1"/>
  <c r="CZ210" i="25" s="1"/>
  <c r="CS210" i="25"/>
  <c r="CW210" i="25" s="1"/>
  <c r="CX210" i="25" s="1"/>
  <c r="DA210" i="25" s="1"/>
  <c r="CV89" i="25"/>
  <c r="CY89" i="25" s="1"/>
  <c r="CZ89" i="25" s="1"/>
  <c r="CS89" i="25"/>
  <c r="CW89" i="25" s="1"/>
  <c r="CX89" i="25" s="1"/>
  <c r="DA89" i="25" s="1"/>
  <c r="CV209" i="25"/>
  <c r="CY209" i="25" s="1"/>
  <c r="CZ209" i="25" s="1"/>
  <c r="CV88" i="25"/>
  <c r="CY88" i="25" s="1"/>
  <c r="CZ88" i="25" s="1"/>
  <c r="CS88" i="25"/>
  <c r="CW88" i="25" s="1"/>
  <c r="CX88" i="25" s="1"/>
  <c r="DA88" i="25" s="1"/>
  <c r="CV132" i="25"/>
  <c r="CY132" i="25" s="1"/>
  <c r="CZ132" i="25" s="1"/>
  <c r="CS132" i="25"/>
  <c r="CW132" i="25" s="1"/>
  <c r="CX132" i="25" s="1"/>
  <c r="DA132" i="25" s="1"/>
  <c r="CV78" i="25"/>
  <c r="CY78" i="25" s="1"/>
  <c r="CZ78" i="25" s="1"/>
  <c r="CS78" i="25"/>
  <c r="CW78" i="25" s="1"/>
  <c r="CX78" i="25" s="1"/>
  <c r="DA78" i="25" s="1"/>
  <c r="CV87" i="25"/>
  <c r="CY87" i="25" s="1"/>
  <c r="CZ87" i="25" s="1"/>
  <c r="CS87" i="25"/>
  <c r="CW87" i="25" s="1"/>
  <c r="CX87" i="25" s="1"/>
  <c r="DA87" i="25" s="1"/>
  <c r="CV206" i="25"/>
  <c r="CY206" i="25" s="1"/>
  <c r="CZ206" i="25" s="1"/>
  <c r="CE155" i="25" l="1"/>
  <c r="CF155" i="25"/>
  <c r="CH155" i="25"/>
  <c r="CI155" i="25"/>
  <c r="CJ155" i="25"/>
  <c r="CK155" i="25"/>
  <c r="CL155" i="25"/>
  <c r="CM155" i="25"/>
  <c r="CN155" i="25"/>
  <c r="CT155" i="25"/>
  <c r="CU155" i="25" s="1"/>
  <c r="DB155" i="25"/>
  <c r="DC155" i="25"/>
  <c r="DG155" i="25"/>
  <c r="DH155" i="25"/>
  <c r="DL155" i="25"/>
  <c r="DM155" i="25"/>
  <c r="DT155" i="25" s="1"/>
  <c r="DN155" i="25"/>
  <c r="DO155" i="25"/>
  <c r="DV155" i="25"/>
  <c r="DW155" i="25"/>
  <c r="DX155" i="25" s="1"/>
  <c r="DY155" i="25"/>
  <c r="EA155" i="25"/>
  <c r="EB155" i="25"/>
  <c r="EI155" i="25"/>
  <c r="EJ155" i="25"/>
  <c r="EK155" i="25"/>
  <c r="DF155" i="25" s="1"/>
  <c r="EL155" i="25"/>
  <c r="EM155" i="25"/>
  <c r="DU155" i="25" s="1"/>
  <c r="EN155" i="25"/>
  <c r="EO155" i="25"/>
  <c r="EP155" i="25"/>
  <c r="ET155" i="25"/>
  <c r="EU155" i="25"/>
  <c r="EP74" i="25"/>
  <c r="G66" i="25"/>
  <c r="CE159" i="25"/>
  <c r="CE138" i="25"/>
  <c r="CE136" i="25"/>
  <c r="CE145" i="25"/>
  <c r="CE151" i="25"/>
  <c r="CE161" i="25"/>
  <c r="CE158" i="25"/>
  <c r="CE152" i="25"/>
  <c r="CE144" i="25"/>
  <c r="CE157" i="25"/>
  <c r="CE174" i="25"/>
  <c r="CE164" i="25"/>
  <c r="CE166" i="25"/>
  <c r="CE168" i="25"/>
  <c r="CE175" i="25"/>
  <c r="CE169" i="25"/>
  <c r="CE165" i="25"/>
  <c r="CE176" i="25"/>
  <c r="CE167" i="25"/>
  <c r="CE163" i="25"/>
  <c r="CE173" i="25"/>
  <c r="CF159" i="25"/>
  <c r="CF138" i="25"/>
  <c r="CF136" i="25"/>
  <c r="CF145" i="25"/>
  <c r="CF151" i="25"/>
  <c r="CF161" i="25"/>
  <c r="CF158" i="25"/>
  <c r="CF152" i="25"/>
  <c r="CF144" i="25"/>
  <c r="CF157" i="25"/>
  <c r="CF174" i="25"/>
  <c r="CF164" i="25"/>
  <c r="CF166" i="25"/>
  <c r="CF168" i="25"/>
  <c r="CF175" i="25"/>
  <c r="CF169" i="25"/>
  <c r="CF165" i="25"/>
  <c r="CF176" i="25"/>
  <c r="CF167" i="25"/>
  <c r="CF163" i="25"/>
  <c r="CF173" i="25"/>
  <c r="CH159" i="25"/>
  <c r="CH138" i="25"/>
  <c r="CH136" i="25"/>
  <c r="CH145" i="25"/>
  <c r="CH151" i="25"/>
  <c r="CH161" i="25"/>
  <c r="CH158" i="25"/>
  <c r="CH152" i="25"/>
  <c r="CH144" i="25"/>
  <c r="CH157" i="25"/>
  <c r="CH174" i="25"/>
  <c r="CH164" i="25"/>
  <c r="CH166" i="25"/>
  <c r="CH168" i="25"/>
  <c r="CH175" i="25"/>
  <c r="CH169" i="25"/>
  <c r="CH165" i="25"/>
  <c r="CH176" i="25"/>
  <c r="CH167" i="25"/>
  <c r="CH163" i="25"/>
  <c r="CH173" i="25"/>
  <c r="CI159" i="25"/>
  <c r="CI138" i="25"/>
  <c r="CI136" i="25"/>
  <c r="CI145" i="25"/>
  <c r="CI151" i="25"/>
  <c r="CI161" i="25"/>
  <c r="CI158" i="25"/>
  <c r="CI152" i="25"/>
  <c r="CI144" i="25"/>
  <c r="CI157" i="25"/>
  <c r="CI174" i="25"/>
  <c r="CI164" i="25"/>
  <c r="CI166" i="25"/>
  <c r="CI168" i="25"/>
  <c r="CI175" i="25"/>
  <c r="CI169" i="25"/>
  <c r="CI165" i="25"/>
  <c r="CI176" i="25"/>
  <c r="CI167" i="25"/>
  <c r="CI163" i="25"/>
  <c r="CI173" i="25"/>
  <c r="CJ159" i="25"/>
  <c r="CJ138" i="25"/>
  <c r="CJ136" i="25"/>
  <c r="CJ145" i="25"/>
  <c r="CJ151" i="25"/>
  <c r="CJ161" i="25"/>
  <c r="CJ158" i="25"/>
  <c r="CJ152" i="25"/>
  <c r="CJ144" i="25"/>
  <c r="CJ157" i="25"/>
  <c r="CJ174" i="25"/>
  <c r="CJ164" i="25"/>
  <c r="CJ166" i="25"/>
  <c r="CJ168" i="25"/>
  <c r="CJ175" i="25"/>
  <c r="CJ169" i="25"/>
  <c r="CJ165" i="25"/>
  <c r="CJ176" i="25"/>
  <c r="CJ167" i="25"/>
  <c r="CJ163" i="25"/>
  <c r="CJ173" i="25"/>
  <c r="CK159" i="25"/>
  <c r="CK138" i="25"/>
  <c r="CK136" i="25"/>
  <c r="CK145" i="25"/>
  <c r="CK151" i="25"/>
  <c r="CK161" i="25"/>
  <c r="CK158" i="25"/>
  <c r="CK152" i="25"/>
  <c r="CK144" i="25"/>
  <c r="CK157" i="25"/>
  <c r="CK174" i="25"/>
  <c r="CK164" i="25"/>
  <c r="CK166" i="25"/>
  <c r="CK168" i="25"/>
  <c r="CK175" i="25"/>
  <c r="CK169" i="25"/>
  <c r="CK165" i="25"/>
  <c r="CK176" i="25"/>
  <c r="CK167" i="25"/>
  <c r="CK163" i="25"/>
  <c r="CK173" i="25"/>
  <c r="CL159" i="25"/>
  <c r="CL138" i="25"/>
  <c r="CL136" i="25"/>
  <c r="CL145" i="25"/>
  <c r="CL151" i="25"/>
  <c r="CL161" i="25"/>
  <c r="CL158" i="25"/>
  <c r="CL152" i="25"/>
  <c r="CL144" i="25"/>
  <c r="CL157" i="25"/>
  <c r="CL174" i="25"/>
  <c r="CL164" i="25"/>
  <c r="CL166" i="25"/>
  <c r="CL168" i="25"/>
  <c r="CL175" i="25"/>
  <c r="CL169" i="25"/>
  <c r="CL165" i="25"/>
  <c r="CL176" i="25"/>
  <c r="CL167" i="25"/>
  <c r="CL163" i="25"/>
  <c r="CL173" i="25"/>
  <c r="CM159" i="25"/>
  <c r="CM138" i="25"/>
  <c r="CM136" i="25"/>
  <c r="CM145" i="25"/>
  <c r="CM151" i="25"/>
  <c r="CM161" i="25"/>
  <c r="CM158" i="25"/>
  <c r="CM152" i="25"/>
  <c r="CM144" i="25"/>
  <c r="CM157" i="25"/>
  <c r="CM174" i="25"/>
  <c r="CM164" i="25"/>
  <c r="CM166" i="25"/>
  <c r="CM168" i="25"/>
  <c r="CM175" i="25"/>
  <c r="CM169" i="25"/>
  <c r="CM165" i="25"/>
  <c r="CM176" i="25"/>
  <c r="CM167" i="25"/>
  <c r="CM163" i="25"/>
  <c r="CM173" i="25"/>
  <c r="CN159" i="25"/>
  <c r="CN138" i="25"/>
  <c r="CN136" i="25"/>
  <c r="CN145" i="25"/>
  <c r="CN151" i="25"/>
  <c r="CN161" i="25"/>
  <c r="CN158" i="25"/>
  <c r="CN152" i="25"/>
  <c r="CN144" i="25"/>
  <c r="CN157" i="25"/>
  <c r="CN174" i="25"/>
  <c r="CN164" i="25"/>
  <c r="CN166" i="25"/>
  <c r="CN168" i="25"/>
  <c r="CN175" i="25"/>
  <c r="CN169" i="25"/>
  <c r="CN165" i="25"/>
  <c r="CN176" i="25"/>
  <c r="CN167" i="25"/>
  <c r="CN163" i="25"/>
  <c r="CN173" i="25"/>
  <c r="CT159" i="25"/>
  <c r="CU159" i="25" s="1"/>
  <c r="CT138" i="25"/>
  <c r="CU138" i="25" s="1"/>
  <c r="CT136" i="25"/>
  <c r="CU136" i="25" s="1"/>
  <c r="CT145" i="25"/>
  <c r="CU145" i="25" s="1"/>
  <c r="CT151" i="25"/>
  <c r="CU151" i="25" s="1"/>
  <c r="CT161" i="25"/>
  <c r="CU161" i="25" s="1"/>
  <c r="CT158" i="25"/>
  <c r="CT152" i="25"/>
  <c r="CU152" i="25" s="1"/>
  <c r="CT144" i="25"/>
  <c r="CU144" i="25" s="1"/>
  <c r="CT157" i="25"/>
  <c r="CU157" i="25" s="1"/>
  <c r="CT174" i="25"/>
  <c r="CU174" i="25" s="1"/>
  <c r="CT164" i="25"/>
  <c r="CU164" i="25" s="1"/>
  <c r="CT166" i="25"/>
  <c r="CU166" i="25" s="1"/>
  <c r="CT168" i="25"/>
  <c r="CU168" i="25" s="1"/>
  <c r="CT175" i="25"/>
  <c r="CU175" i="25" s="1"/>
  <c r="CT169" i="25"/>
  <c r="CU169" i="25" s="1"/>
  <c r="CT165" i="25"/>
  <c r="CU165" i="25" s="1"/>
  <c r="CT176" i="25"/>
  <c r="CU176" i="25" s="1"/>
  <c r="CT167" i="25"/>
  <c r="CU167" i="25" s="1"/>
  <c r="CT163" i="25"/>
  <c r="CU163" i="25" s="1"/>
  <c r="CT173" i="25"/>
  <c r="DB159" i="25"/>
  <c r="DB138" i="25"/>
  <c r="DB136" i="25"/>
  <c r="DB145" i="25"/>
  <c r="DB151" i="25"/>
  <c r="DB161" i="25"/>
  <c r="DB158" i="25"/>
  <c r="DB152" i="25"/>
  <c r="DB144" i="25"/>
  <c r="DB157" i="25"/>
  <c r="DB174" i="25"/>
  <c r="DB164" i="25"/>
  <c r="DB166" i="25"/>
  <c r="DB168" i="25"/>
  <c r="DB175" i="25"/>
  <c r="DB169" i="25"/>
  <c r="DB165" i="25"/>
  <c r="DB176" i="25"/>
  <c r="DB167" i="25"/>
  <c r="DB163" i="25"/>
  <c r="DB173" i="25"/>
  <c r="DC159" i="25"/>
  <c r="DC138" i="25"/>
  <c r="DC136" i="25"/>
  <c r="DC145" i="25"/>
  <c r="DC151" i="25"/>
  <c r="DC161" i="25"/>
  <c r="DC158" i="25"/>
  <c r="DC152" i="25"/>
  <c r="DC144" i="25"/>
  <c r="DC157" i="25"/>
  <c r="DC174" i="25"/>
  <c r="DC164" i="25"/>
  <c r="DC166" i="25"/>
  <c r="DC168" i="25"/>
  <c r="DC175" i="25"/>
  <c r="DC169" i="25"/>
  <c r="DC165" i="25"/>
  <c r="DC176" i="25"/>
  <c r="DC167" i="25"/>
  <c r="DC163" i="25"/>
  <c r="DC173" i="25"/>
  <c r="DG159" i="25"/>
  <c r="DG138" i="25"/>
  <c r="DG136" i="25"/>
  <c r="DG145" i="25"/>
  <c r="DG151" i="25"/>
  <c r="DG161" i="25"/>
  <c r="DG158" i="25"/>
  <c r="DG152" i="25"/>
  <c r="DG144" i="25"/>
  <c r="DG157" i="25"/>
  <c r="DG174" i="25"/>
  <c r="DG164" i="25"/>
  <c r="DG166" i="25"/>
  <c r="DG168" i="25"/>
  <c r="DG175" i="25"/>
  <c r="DG169" i="25"/>
  <c r="DG165" i="25"/>
  <c r="DG176" i="25"/>
  <c r="DG167" i="25"/>
  <c r="DG163" i="25"/>
  <c r="DG173" i="25"/>
  <c r="DH159" i="25"/>
  <c r="DH138" i="25"/>
  <c r="DH136" i="25"/>
  <c r="DH145" i="25"/>
  <c r="DH151" i="25"/>
  <c r="DH161" i="25"/>
  <c r="DH158" i="25"/>
  <c r="DH152" i="25"/>
  <c r="DH144" i="25"/>
  <c r="DH157" i="25"/>
  <c r="DH174" i="25"/>
  <c r="DH164" i="25"/>
  <c r="DH166" i="25"/>
  <c r="DH168" i="25"/>
  <c r="DH175" i="25"/>
  <c r="DH169" i="25"/>
  <c r="DH165" i="25"/>
  <c r="DH176" i="25"/>
  <c r="DH167" i="25"/>
  <c r="DH163" i="25"/>
  <c r="DH173" i="25"/>
  <c r="DL159" i="25"/>
  <c r="DL138" i="25"/>
  <c r="DL136" i="25"/>
  <c r="DL145" i="25"/>
  <c r="DL151" i="25"/>
  <c r="DL161" i="25"/>
  <c r="DL158" i="25"/>
  <c r="DL152" i="25"/>
  <c r="DL144" i="25"/>
  <c r="DL157" i="25"/>
  <c r="DL174" i="25"/>
  <c r="DL164" i="25"/>
  <c r="DL166" i="25"/>
  <c r="DL168" i="25"/>
  <c r="DL175" i="25"/>
  <c r="DL169" i="25"/>
  <c r="DL165" i="25"/>
  <c r="DL176" i="25"/>
  <c r="DL167" i="25"/>
  <c r="DL163" i="25"/>
  <c r="DL173" i="25"/>
  <c r="DM159" i="25"/>
  <c r="DT159" i="25" s="1"/>
  <c r="DM138" i="25"/>
  <c r="DT138" i="25" s="1"/>
  <c r="DM136" i="25"/>
  <c r="DT136" i="25" s="1"/>
  <c r="DM145" i="25"/>
  <c r="DT145" i="25" s="1"/>
  <c r="DM151" i="25"/>
  <c r="DT151" i="25" s="1"/>
  <c r="DM161" i="25"/>
  <c r="DT161" i="25" s="1"/>
  <c r="DM158" i="25"/>
  <c r="DT158" i="25" s="1"/>
  <c r="DM152" i="25"/>
  <c r="DT152" i="25" s="1"/>
  <c r="DM144" i="25"/>
  <c r="DT144" i="25" s="1"/>
  <c r="DM157" i="25"/>
  <c r="DT157" i="25" s="1"/>
  <c r="DM174" i="25"/>
  <c r="DT174" i="25" s="1"/>
  <c r="DM164" i="25"/>
  <c r="DT164" i="25" s="1"/>
  <c r="DM166" i="25"/>
  <c r="DT166" i="25" s="1"/>
  <c r="DM168" i="25"/>
  <c r="DT168" i="25" s="1"/>
  <c r="DM175" i="25"/>
  <c r="DT175" i="25" s="1"/>
  <c r="DM169" i="25"/>
  <c r="DT169" i="25" s="1"/>
  <c r="DM165" i="25"/>
  <c r="DT165" i="25" s="1"/>
  <c r="DM176" i="25"/>
  <c r="DT176" i="25" s="1"/>
  <c r="DM167" i="25"/>
  <c r="DT167" i="25" s="1"/>
  <c r="DM163" i="25"/>
  <c r="DT163" i="25" s="1"/>
  <c r="DM173" i="25"/>
  <c r="DT173" i="25" s="1"/>
  <c r="DN159" i="25"/>
  <c r="DN138" i="25"/>
  <c r="DN136" i="25"/>
  <c r="DN145" i="25"/>
  <c r="DN151" i="25"/>
  <c r="DN161" i="25"/>
  <c r="DN158" i="25"/>
  <c r="DN152" i="25"/>
  <c r="DN144" i="25"/>
  <c r="DN157" i="25"/>
  <c r="DN174" i="25"/>
  <c r="DN164" i="25"/>
  <c r="DN166" i="25"/>
  <c r="DN168" i="25"/>
  <c r="DN175" i="25"/>
  <c r="DN169" i="25"/>
  <c r="DN165" i="25"/>
  <c r="DN176" i="25"/>
  <c r="DN167" i="25"/>
  <c r="DN163" i="25"/>
  <c r="DN173" i="25"/>
  <c r="DO159" i="25"/>
  <c r="DO138" i="25"/>
  <c r="DO136" i="25"/>
  <c r="DO145" i="25"/>
  <c r="DO151" i="25"/>
  <c r="DO161" i="25"/>
  <c r="DO158" i="25"/>
  <c r="DO152" i="25"/>
  <c r="DO144" i="25"/>
  <c r="DO157" i="25"/>
  <c r="DO174" i="25"/>
  <c r="DO164" i="25"/>
  <c r="DO166" i="25"/>
  <c r="DO168" i="25"/>
  <c r="DO175" i="25"/>
  <c r="DO169" i="25"/>
  <c r="DO165" i="25"/>
  <c r="DO176" i="25"/>
  <c r="DO167" i="25"/>
  <c r="DO163" i="25"/>
  <c r="DO173" i="25"/>
  <c r="DV159" i="25"/>
  <c r="DV138" i="25"/>
  <c r="DV136" i="25"/>
  <c r="DV145" i="25"/>
  <c r="DV151" i="25"/>
  <c r="DV161" i="25"/>
  <c r="DV158" i="25"/>
  <c r="DV152" i="25"/>
  <c r="DV144" i="25"/>
  <c r="DV157" i="25"/>
  <c r="DV174" i="25"/>
  <c r="DV164" i="25"/>
  <c r="DV166" i="25"/>
  <c r="DV168" i="25"/>
  <c r="DV175" i="25"/>
  <c r="DV169" i="25"/>
  <c r="DV165" i="25"/>
  <c r="DV176" i="25"/>
  <c r="DV167" i="25"/>
  <c r="DV163" i="25"/>
  <c r="DV173" i="25"/>
  <c r="DW159" i="25"/>
  <c r="DZ159" i="25" s="1"/>
  <c r="DW138" i="25"/>
  <c r="DX138" i="25" s="1"/>
  <c r="DW136" i="25"/>
  <c r="DZ136" i="25" s="1"/>
  <c r="DW145" i="25"/>
  <c r="DZ145" i="25" s="1"/>
  <c r="DW151" i="25"/>
  <c r="DZ151" i="25" s="1"/>
  <c r="DW161" i="25"/>
  <c r="DZ161" i="25" s="1"/>
  <c r="DW158" i="25"/>
  <c r="DX158" i="25" s="1"/>
  <c r="DW152" i="25"/>
  <c r="DZ152" i="25" s="1"/>
  <c r="DW144" i="25"/>
  <c r="DX144" i="25" s="1"/>
  <c r="DW157" i="25"/>
  <c r="DZ157" i="25" s="1"/>
  <c r="DW174" i="25"/>
  <c r="DX174" i="25" s="1"/>
  <c r="DW164" i="25"/>
  <c r="DZ164" i="25" s="1"/>
  <c r="DW166" i="25"/>
  <c r="DZ166" i="25" s="1"/>
  <c r="DW168" i="25"/>
  <c r="DX168" i="25" s="1"/>
  <c r="DW175" i="25"/>
  <c r="DZ175" i="25" s="1"/>
  <c r="DW169" i="25"/>
  <c r="DZ169" i="25" s="1"/>
  <c r="DW165" i="25"/>
  <c r="DZ165" i="25" s="1"/>
  <c r="DW176" i="25"/>
  <c r="DZ176" i="25" s="1"/>
  <c r="DW167" i="25"/>
  <c r="DZ167" i="25" s="1"/>
  <c r="DW163" i="25"/>
  <c r="DX163" i="25" s="1"/>
  <c r="DW173" i="25"/>
  <c r="DX173" i="25" s="1"/>
  <c r="DY159" i="25"/>
  <c r="DY138" i="25"/>
  <c r="DY136" i="25"/>
  <c r="DY145" i="25"/>
  <c r="DY151" i="25"/>
  <c r="DY161" i="25"/>
  <c r="DY158" i="25"/>
  <c r="DY152" i="25"/>
  <c r="DY144" i="25"/>
  <c r="DY157" i="25"/>
  <c r="DY174" i="25"/>
  <c r="DY164" i="25"/>
  <c r="DY166" i="25"/>
  <c r="DY168" i="25"/>
  <c r="DY175" i="25"/>
  <c r="DY169" i="25"/>
  <c r="DY165" i="25"/>
  <c r="DY176" i="25"/>
  <c r="DY167" i="25"/>
  <c r="DY163" i="25"/>
  <c r="DY173" i="25"/>
  <c r="EA159" i="25"/>
  <c r="EA138" i="25"/>
  <c r="EA136" i="25"/>
  <c r="EA145" i="25"/>
  <c r="EA151" i="25"/>
  <c r="EA161" i="25"/>
  <c r="EA158" i="25"/>
  <c r="EA152" i="25"/>
  <c r="EA144" i="25"/>
  <c r="EA157" i="25"/>
  <c r="EA174" i="25"/>
  <c r="EA164" i="25"/>
  <c r="EA166" i="25"/>
  <c r="EA168" i="25"/>
  <c r="EA175" i="25"/>
  <c r="EA169" i="25"/>
  <c r="EA165" i="25"/>
  <c r="EA176" i="25"/>
  <c r="EA167" i="25"/>
  <c r="EA163" i="25"/>
  <c r="EA173" i="25"/>
  <c r="EB159" i="25"/>
  <c r="EB138" i="25"/>
  <c r="EB136" i="25"/>
  <c r="EB145" i="25"/>
  <c r="EB151" i="25"/>
  <c r="EB161" i="25"/>
  <c r="EB158" i="25"/>
  <c r="EB152" i="25"/>
  <c r="EB144" i="25"/>
  <c r="EB157" i="25"/>
  <c r="EB174" i="25"/>
  <c r="EB164" i="25"/>
  <c r="EB166" i="25"/>
  <c r="EB168" i="25"/>
  <c r="EB175" i="25"/>
  <c r="EB169" i="25"/>
  <c r="EB165" i="25"/>
  <c r="EB176" i="25"/>
  <c r="EB167" i="25"/>
  <c r="EB163" i="25"/>
  <c r="EB173" i="25"/>
  <c r="EI159" i="25"/>
  <c r="EI138" i="25"/>
  <c r="EI136" i="25"/>
  <c r="EI145" i="25"/>
  <c r="EI151" i="25"/>
  <c r="EI161" i="25"/>
  <c r="EI158" i="25"/>
  <c r="EI152" i="25"/>
  <c r="EI144" i="25"/>
  <c r="EI157" i="25"/>
  <c r="EI174" i="25"/>
  <c r="EI164" i="25"/>
  <c r="EI166" i="25"/>
  <c r="EI168" i="25"/>
  <c r="EI175" i="25"/>
  <c r="EI169" i="25"/>
  <c r="EI165" i="25"/>
  <c r="EI176" i="25"/>
  <c r="EI167" i="25"/>
  <c r="EI163" i="25"/>
  <c r="EI173" i="25"/>
  <c r="EJ159" i="25"/>
  <c r="EJ138" i="25"/>
  <c r="EJ136" i="25"/>
  <c r="EJ145" i="25"/>
  <c r="EJ151" i="25"/>
  <c r="EJ161" i="25"/>
  <c r="EJ158" i="25"/>
  <c r="EJ152" i="25"/>
  <c r="EJ144" i="25"/>
  <c r="EJ157" i="25"/>
  <c r="EJ174" i="25"/>
  <c r="EJ164" i="25"/>
  <c r="EJ166" i="25"/>
  <c r="EJ168" i="25"/>
  <c r="EJ175" i="25"/>
  <c r="EJ169" i="25"/>
  <c r="EJ165" i="25"/>
  <c r="EJ176" i="25"/>
  <c r="EJ167" i="25"/>
  <c r="EJ163" i="25"/>
  <c r="EJ173" i="25"/>
  <c r="EK159" i="25"/>
  <c r="DI159" i="25" s="1"/>
  <c r="DJ159" i="25" s="1"/>
  <c r="EK138" i="25"/>
  <c r="DI138" i="25" s="1"/>
  <c r="DJ138" i="25" s="1"/>
  <c r="EK136" i="25"/>
  <c r="DI136" i="25" s="1"/>
  <c r="DJ136" i="25" s="1"/>
  <c r="EK145" i="25"/>
  <c r="DF145" i="25" s="1"/>
  <c r="EK151" i="25"/>
  <c r="DF151" i="25" s="1"/>
  <c r="EK161" i="25"/>
  <c r="EK158" i="25"/>
  <c r="DI158" i="25" s="1"/>
  <c r="DJ158" i="25" s="1"/>
  <c r="EK152" i="25"/>
  <c r="DI152" i="25" s="1"/>
  <c r="DJ152" i="25" s="1"/>
  <c r="EK144" i="25"/>
  <c r="DI144" i="25" s="1"/>
  <c r="DJ144" i="25" s="1"/>
  <c r="EK157" i="25"/>
  <c r="DI157" i="25" s="1"/>
  <c r="DJ157" i="25" s="1"/>
  <c r="EK174" i="25"/>
  <c r="DI174" i="25" s="1"/>
  <c r="DJ174" i="25" s="1"/>
  <c r="EK164" i="25"/>
  <c r="DF164" i="25" s="1"/>
  <c r="EK166" i="25"/>
  <c r="DF166" i="25" s="1"/>
  <c r="EK168" i="25"/>
  <c r="DI168" i="25" s="1"/>
  <c r="DJ168" i="25" s="1"/>
  <c r="EK175" i="25"/>
  <c r="DI175" i="25" s="1"/>
  <c r="DJ175" i="25" s="1"/>
  <c r="EK169" i="25"/>
  <c r="DI169" i="25" s="1"/>
  <c r="DJ169" i="25" s="1"/>
  <c r="EK165" i="25"/>
  <c r="DI165" i="25" s="1"/>
  <c r="DJ165" i="25" s="1"/>
  <c r="EK176" i="25"/>
  <c r="DF176" i="25" s="1"/>
  <c r="EK167" i="25"/>
  <c r="DF167" i="25" s="1"/>
  <c r="EK163" i="25"/>
  <c r="EK173" i="25"/>
  <c r="DI173" i="25" s="1"/>
  <c r="DJ173" i="25" s="1"/>
  <c r="EL159" i="25"/>
  <c r="EL138" i="25"/>
  <c r="EL136" i="25"/>
  <c r="EL145" i="25"/>
  <c r="EL151" i="25"/>
  <c r="EL161" i="25"/>
  <c r="EL158" i="25"/>
  <c r="EL152" i="25"/>
  <c r="EL144" i="25"/>
  <c r="EL157" i="25"/>
  <c r="EL174" i="25"/>
  <c r="EL164" i="25"/>
  <c r="EL166" i="25"/>
  <c r="EL168" i="25"/>
  <c r="EL175" i="25"/>
  <c r="EL169" i="25"/>
  <c r="EL165" i="25"/>
  <c r="EL176" i="25"/>
  <c r="EL167" i="25"/>
  <c r="EL163" i="25"/>
  <c r="EL173" i="25"/>
  <c r="EM159" i="25"/>
  <c r="DU159" i="25" s="1"/>
  <c r="EM138" i="25"/>
  <c r="DU138" i="25" s="1"/>
  <c r="EM136" i="25"/>
  <c r="DU136" i="25" s="1"/>
  <c r="EM145" i="25"/>
  <c r="DU145" i="25" s="1"/>
  <c r="EM151" i="25"/>
  <c r="DU151" i="25" s="1"/>
  <c r="EM161" i="25"/>
  <c r="DU161" i="25" s="1"/>
  <c r="EM158" i="25"/>
  <c r="DU158" i="25" s="1"/>
  <c r="EM152" i="25"/>
  <c r="DU152" i="25" s="1"/>
  <c r="EM144" i="25"/>
  <c r="DU144" i="25" s="1"/>
  <c r="EM157" i="25"/>
  <c r="DU157" i="25" s="1"/>
  <c r="EM174" i="25"/>
  <c r="DU174" i="25" s="1"/>
  <c r="EM164" i="25"/>
  <c r="DU164" i="25" s="1"/>
  <c r="EM166" i="25"/>
  <c r="DU166" i="25" s="1"/>
  <c r="EM168" i="25"/>
  <c r="DU168" i="25" s="1"/>
  <c r="EM175" i="25"/>
  <c r="DU175" i="25" s="1"/>
  <c r="EM169" i="25"/>
  <c r="DU169" i="25" s="1"/>
  <c r="EM165" i="25"/>
  <c r="DU165" i="25" s="1"/>
  <c r="EM176" i="25"/>
  <c r="DU176" i="25" s="1"/>
  <c r="EM167" i="25"/>
  <c r="DU167" i="25" s="1"/>
  <c r="EM163" i="25"/>
  <c r="DU163" i="25" s="1"/>
  <c r="EM173" i="25"/>
  <c r="DU173" i="25" s="1"/>
  <c r="EN159" i="25"/>
  <c r="EN138" i="25"/>
  <c r="EN136" i="25"/>
  <c r="EN145" i="25"/>
  <c r="EN151" i="25"/>
  <c r="EN161" i="25"/>
  <c r="EN158" i="25"/>
  <c r="EN152" i="25"/>
  <c r="EN144" i="25"/>
  <c r="EN157" i="25"/>
  <c r="EN174" i="25"/>
  <c r="EN164" i="25"/>
  <c r="EN166" i="25"/>
  <c r="EN168" i="25"/>
  <c r="EN175" i="25"/>
  <c r="EN169" i="25"/>
  <c r="EN165" i="25"/>
  <c r="EN176" i="25"/>
  <c r="EN167" i="25"/>
  <c r="EN163" i="25"/>
  <c r="EN173" i="25"/>
  <c r="EO159" i="25"/>
  <c r="EO138" i="25"/>
  <c r="EO136" i="25"/>
  <c r="EO145" i="25"/>
  <c r="EO151" i="25"/>
  <c r="EO161" i="25"/>
  <c r="EO158" i="25"/>
  <c r="EO152" i="25"/>
  <c r="EO144" i="25"/>
  <c r="EO157" i="25"/>
  <c r="EO174" i="25"/>
  <c r="EO164" i="25"/>
  <c r="EO166" i="25"/>
  <c r="EO168" i="25"/>
  <c r="EO175" i="25"/>
  <c r="EO169" i="25"/>
  <c r="EO165" i="25"/>
  <c r="EO176" i="25"/>
  <c r="EO167" i="25"/>
  <c r="EO163" i="25"/>
  <c r="EO173" i="25"/>
  <c r="EP159" i="25"/>
  <c r="EP138" i="25"/>
  <c r="EP136" i="25"/>
  <c r="EP145" i="25"/>
  <c r="EP151" i="25"/>
  <c r="EP161" i="25"/>
  <c r="EP158" i="25"/>
  <c r="EP152" i="25"/>
  <c r="EP144" i="25"/>
  <c r="EP157" i="25"/>
  <c r="EP174" i="25"/>
  <c r="EP164" i="25"/>
  <c r="EP166" i="25"/>
  <c r="EP168" i="25"/>
  <c r="EP175" i="25"/>
  <c r="EP169" i="25"/>
  <c r="EP165" i="25"/>
  <c r="EP176" i="25"/>
  <c r="EP167" i="25"/>
  <c r="EP163" i="25"/>
  <c r="EP173" i="25"/>
  <c r="ET159" i="25"/>
  <c r="ET138" i="25"/>
  <c r="ET136" i="25"/>
  <c r="ET145" i="25"/>
  <c r="ET151" i="25"/>
  <c r="ET161" i="25"/>
  <c r="ET158" i="25"/>
  <c r="ET152" i="25"/>
  <c r="ET144" i="25"/>
  <c r="ET157" i="25"/>
  <c r="ET174" i="25"/>
  <c r="ET164" i="25"/>
  <c r="ET166" i="25"/>
  <c r="ET168" i="25"/>
  <c r="ET175" i="25"/>
  <c r="ET169" i="25"/>
  <c r="ET165" i="25"/>
  <c r="ET176" i="25"/>
  <c r="ET167" i="25"/>
  <c r="ET163" i="25"/>
  <c r="ET173" i="25"/>
  <c r="EU159" i="25"/>
  <c r="EU138" i="25"/>
  <c r="EU136" i="25"/>
  <c r="EU145" i="25"/>
  <c r="EU151" i="25"/>
  <c r="EU161" i="25"/>
  <c r="EU158" i="25"/>
  <c r="EU152" i="25"/>
  <c r="EU144" i="25"/>
  <c r="EU157" i="25"/>
  <c r="EU174" i="25"/>
  <c r="EU164" i="25"/>
  <c r="EU166" i="25"/>
  <c r="EU168" i="25"/>
  <c r="EU175" i="25"/>
  <c r="EU169" i="25"/>
  <c r="EU165" i="25"/>
  <c r="EU176" i="25"/>
  <c r="EU167" i="25"/>
  <c r="EU163" i="25"/>
  <c r="EU173" i="25"/>
  <c r="G140" i="25"/>
  <c r="CE140" i="25"/>
  <c r="CF140" i="25"/>
  <c r="CH140" i="25"/>
  <c r="CI140" i="25"/>
  <c r="CJ140" i="25"/>
  <c r="CK140" i="25"/>
  <c r="CL140" i="25"/>
  <c r="CM140" i="25"/>
  <c r="CN140" i="25"/>
  <c r="CT140" i="25"/>
  <c r="CU140" i="25" s="1"/>
  <c r="DB140" i="25"/>
  <c r="DC140" i="25"/>
  <c r="DG140" i="25"/>
  <c r="DH140" i="25"/>
  <c r="DL140" i="25"/>
  <c r="DM140" i="25"/>
  <c r="DT140" i="25" s="1"/>
  <c r="DN140" i="25"/>
  <c r="DO140" i="25"/>
  <c r="DV140" i="25"/>
  <c r="DW140" i="25"/>
  <c r="DX140" i="25" s="1"/>
  <c r="DY140" i="25"/>
  <c r="EA140" i="25"/>
  <c r="EB140" i="25"/>
  <c r="EI140" i="25"/>
  <c r="EJ140" i="25"/>
  <c r="EK140" i="25"/>
  <c r="DF140" i="25" s="1"/>
  <c r="EL140" i="25"/>
  <c r="EM140" i="25"/>
  <c r="DU140" i="25" s="1"/>
  <c r="EN140" i="25"/>
  <c r="EO140" i="25"/>
  <c r="EP140" i="25"/>
  <c r="ET140" i="25"/>
  <c r="EU140" i="25"/>
  <c r="G153" i="25"/>
  <c r="CE153" i="25"/>
  <c r="CF153" i="25"/>
  <c r="CH153" i="25"/>
  <c r="CI153" i="25"/>
  <c r="CJ153" i="25"/>
  <c r="CK153" i="25"/>
  <c r="CL153" i="25"/>
  <c r="CM153" i="25"/>
  <c r="CN153" i="25"/>
  <c r="CT153" i="25"/>
  <c r="CU153" i="25" s="1"/>
  <c r="DB153" i="25"/>
  <c r="DC153" i="25"/>
  <c r="DG153" i="25"/>
  <c r="DH153" i="25"/>
  <c r="DL153" i="25"/>
  <c r="DM153" i="25"/>
  <c r="DT153" i="25" s="1"/>
  <c r="DN153" i="25"/>
  <c r="DO153" i="25"/>
  <c r="DV153" i="25"/>
  <c r="DW153" i="25"/>
  <c r="DX153" i="25" s="1"/>
  <c r="DY153" i="25"/>
  <c r="EA153" i="25"/>
  <c r="EB153" i="25"/>
  <c r="EI153" i="25"/>
  <c r="EJ153" i="25"/>
  <c r="EK153" i="25"/>
  <c r="DF153" i="25" s="1"/>
  <c r="EL153" i="25"/>
  <c r="EM153" i="25"/>
  <c r="DU153" i="25" s="1"/>
  <c r="EN153" i="25"/>
  <c r="EO153" i="25"/>
  <c r="EP153" i="25"/>
  <c r="ET153" i="25"/>
  <c r="EU153" i="25"/>
  <c r="EG155" i="25" l="1"/>
  <c r="EG169" i="25"/>
  <c r="EG152" i="25"/>
  <c r="EG168" i="25"/>
  <c r="EG161" i="25"/>
  <c r="EG163" i="25"/>
  <c r="EG164" i="25"/>
  <c r="EG145" i="25"/>
  <c r="EG176" i="25"/>
  <c r="EG157" i="25"/>
  <c r="EG138" i="25"/>
  <c r="EG173" i="25"/>
  <c r="EG166" i="25"/>
  <c r="EG151" i="25"/>
  <c r="EG153" i="25"/>
  <c r="EG140" i="25"/>
  <c r="EG167" i="25"/>
  <c r="EG174" i="25"/>
  <c r="EG136" i="25"/>
  <c r="EG165" i="25"/>
  <c r="EG144" i="25"/>
  <c r="EG159" i="25"/>
  <c r="EG175" i="25"/>
  <c r="EG158" i="25"/>
  <c r="CQ144" i="25"/>
  <c r="CQ169" i="25"/>
  <c r="CQ159" i="25"/>
  <c r="CP152" i="25"/>
  <c r="CR152" i="25" s="1"/>
  <c r="DE163" i="25"/>
  <c r="DD163" i="25" s="1"/>
  <c r="DK163" i="25" s="1"/>
  <c r="DE161" i="25"/>
  <c r="DD161" i="25" s="1"/>
  <c r="DK161" i="25" s="1"/>
  <c r="DE176" i="25"/>
  <c r="DD176" i="25" s="1"/>
  <c r="DK176" i="25" s="1"/>
  <c r="DE164" i="25"/>
  <c r="DD164" i="25" s="1"/>
  <c r="DK164" i="25" s="1"/>
  <c r="DE145" i="25"/>
  <c r="DD145" i="25" s="1"/>
  <c r="DK145" i="25" s="1"/>
  <c r="DE174" i="25"/>
  <c r="DD174" i="25" s="1"/>
  <c r="DK174" i="25" s="1"/>
  <c r="DE136" i="25"/>
  <c r="DD136" i="25" s="1"/>
  <c r="DK136" i="25" s="1"/>
  <c r="DE165" i="25"/>
  <c r="DD165" i="25" s="1"/>
  <c r="DK165" i="25" s="1"/>
  <c r="DE138" i="25"/>
  <c r="DD138" i="25" s="1"/>
  <c r="DK138" i="25" s="1"/>
  <c r="DE169" i="25"/>
  <c r="DD169" i="25" s="1"/>
  <c r="DK169" i="25" s="1"/>
  <c r="DE144" i="25"/>
  <c r="DD144" i="25" s="1"/>
  <c r="DK144" i="25" s="1"/>
  <c r="DE155" i="25"/>
  <c r="DD155" i="25" s="1"/>
  <c r="DK155" i="25" s="1"/>
  <c r="DE175" i="25"/>
  <c r="DD175" i="25" s="1"/>
  <c r="DK175" i="25" s="1"/>
  <c r="DE140" i="25"/>
  <c r="DD140" i="25" s="1"/>
  <c r="DK140" i="25" s="1"/>
  <c r="CQ175" i="25"/>
  <c r="CQ152" i="25"/>
  <c r="CQ173" i="25"/>
  <c r="CQ158" i="25"/>
  <c r="CQ163" i="25"/>
  <c r="CQ168" i="25"/>
  <c r="CQ161" i="25"/>
  <c r="CP167" i="25"/>
  <c r="CR167" i="25" s="1"/>
  <c r="CV167" i="25" s="1"/>
  <c r="CY167" i="25" s="1"/>
  <c r="CZ167" i="25" s="1"/>
  <c r="CP166" i="25"/>
  <c r="CR166" i="25" s="1"/>
  <c r="CV166" i="25" s="1"/>
  <c r="CY166" i="25" s="1"/>
  <c r="CZ166" i="25" s="1"/>
  <c r="CP151" i="25"/>
  <c r="CR151" i="25" s="1"/>
  <c r="CV151" i="25" s="1"/>
  <c r="CY151" i="25" s="1"/>
  <c r="CZ151" i="25" s="1"/>
  <c r="DE173" i="25"/>
  <c r="DD173" i="25" s="1"/>
  <c r="DK173" i="25" s="1"/>
  <c r="DE159" i="25"/>
  <c r="DD159" i="25" s="1"/>
  <c r="DK159" i="25" s="1"/>
  <c r="DE153" i="25"/>
  <c r="DD153" i="25" s="1"/>
  <c r="DK153" i="25" s="1"/>
  <c r="DE168" i="25"/>
  <c r="DD168" i="25" s="1"/>
  <c r="DK168" i="25" s="1"/>
  <c r="DE158" i="25"/>
  <c r="DD158" i="25" s="1"/>
  <c r="DK158" i="25" s="1"/>
  <c r="DE151" i="25"/>
  <c r="DD151" i="25" s="1"/>
  <c r="DK151" i="25" s="1"/>
  <c r="DE167" i="25"/>
  <c r="DD167" i="25" s="1"/>
  <c r="DK167" i="25" s="1"/>
  <c r="DE166" i="25"/>
  <c r="DD166" i="25" s="1"/>
  <c r="DK166" i="25" s="1"/>
  <c r="DE157" i="25"/>
  <c r="DD157" i="25" s="1"/>
  <c r="DK157" i="25" s="1"/>
  <c r="DE152" i="25"/>
  <c r="DD152" i="25" s="1"/>
  <c r="DK152" i="25" s="1"/>
  <c r="CQ140" i="25"/>
  <c r="CQ167" i="25"/>
  <c r="CQ166" i="25"/>
  <c r="CQ151" i="25"/>
  <c r="CP176" i="25"/>
  <c r="CR176" i="25" s="1"/>
  <c r="CP164" i="25"/>
  <c r="CR164" i="25" s="1"/>
  <c r="CP145" i="25"/>
  <c r="CR145" i="25" s="1"/>
  <c r="CP155" i="25"/>
  <c r="CR155" i="25" s="1"/>
  <c r="CS155" i="25" s="1"/>
  <c r="CW155" i="25" s="1"/>
  <c r="CX155" i="25" s="1"/>
  <c r="DA155" i="25" s="1"/>
  <c r="CP175" i="25"/>
  <c r="CR175" i="25" s="1"/>
  <c r="CP153" i="25"/>
  <c r="CR153" i="25" s="1"/>
  <c r="CS153" i="25" s="1"/>
  <c r="CW153" i="25" s="1"/>
  <c r="CX153" i="25" s="1"/>
  <c r="DA153" i="25" s="1"/>
  <c r="CQ176" i="25"/>
  <c r="CQ164" i="25"/>
  <c r="CQ145" i="25"/>
  <c r="CP174" i="25"/>
  <c r="CR174" i="25" s="1"/>
  <c r="CP136" i="25"/>
  <c r="CR136" i="25" s="1"/>
  <c r="CQ165" i="25"/>
  <c r="CQ157" i="25"/>
  <c r="CQ138" i="25"/>
  <c r="CP169" i="25"/>
  <c r="CR169" i="25" s="1"/>
  <c r="CP144" i="25"/>
  <c r="CR144" i="25" s="1"/>
  <c r="CP159" i="25"/>
  <c r="CR159" i="25" s="1"/>
  <c r="CQ153" i="25"/>
  <c r="CP140" i="25"/>
  <c r="CR140" i="25" s="1"/>
  <c r="CS140" i="25" s="1"/>
  <c r="CW140" i="25" s="1"/>
  <c r="CX140" i="25" s="1"/>
  <c r="DA140" i="25" s="1"/>
  <c r="CQ174" i="25"/>
  <c r="CQ136" i="25"/>
  <c r="CP165" i="25"/>
  <c r="CR165" i="25" s="1"/>
  <c r="CP157" i="25"/>
  <c r="CR157" i="25" s="1"/>
  <c r="CP138" i="25"/>
  <c r="CR138" i="25" s="1"/>
  <c r="CP173" i="25"/>
  <c r="CR173" i="25" s="1"/>
  <c r="CS173" i="25" s="1"/>
  <c r="CP158" i="25"/>
  <c r="CR158" i="25" s="1"/>
  <c r="CS158" i="25" s="1"/>
  <c r="CQ155" i="25"/>
  <c r="CP163" i="25"/>
  <c r="CR163" i="25" s="1"/>
  <c r="CS163" i="25" s="1"/>
  <c r="CW163" i="25" s="1"/>
  <c r="CX163" i="25" s="1"/>
  <c r="DA163" i="25" s="1"/>
  <c r="CP168" i="25"/>
  <c r="CR168" i="25" s="1"/>
  <c r="CS168" i="25" s="1"/>
  <c r="CW168" i="25" s="1"/>
  <c r="CX168" i="25" s="1"/>
  <c r="DA168" i="25" s="1"/>
  <c r="CP161" i="25"/>
  <c r="CR161" i="25" s="1"/>
  <c r="CV161" i="25" s="1"/>
  <c r="CY161" i="25" s="1"/>
  <c r="CZ161" i="25" s="1"/>
  <c r="DP155" i="25"/>
  <c r="DQ155" i="25" s="1"/>
  <c r="DR155" i="25" s="1"/>
  <c r="DS155" i="25" s="1"/>
  <c r="CG155" i="25"/>
  <c r="DZ155" i="25"/>
  <c r="EH155" i="25"/>
  <c r="DI155" i="25"/>
  <c r="DJ155" i="25" s="1"/>
  <c r="EH168" i="25"/>
  <c r="DZ174" i="25"/>
  <c r="DX165" i="25"/>
  <c r="DX169" i="25"/>
  <c r="CG164" i="25"/>
  <c r="DX136" i="25"/>
  <c r="DP167" i="25"/>
  <c r="DQ167" i="25" s="1"/>
  <c r="DR167" i="25" s="1"/>
  <c r="DS167" i="25" s="1"/>
  <c r="EH152" i="25"/>
  <c r="EH176" i="25"/>
  <c r="EH164" i="25"/>
  <c r="EH175" i="25"/>
  <c r="DP173" i="25"/>
  <c r="DQ173" i="25" s="1"/>
  <c r="DR173" i="25" s="1"/>
  <c r="DS173" i="25" s="1"/>
  <c r="CG173" i="25"/>
  <c r="DZ158" i="25"/>
  <c r="DP151" i="25"/>
  <c r="DQ151" i="25" s="1"/>
  <c r="DR151" i="25" s="1"/>
  <c r="DS151" i="25" s="1"/>
  <c r="EH136" i="25"/>
  <c r="CG176" i="25"/>
  <c r="CG136" i="25"/>
  <c r="DP144" i="25"/>
  <c r="DQ144" i="25" s="1"/>
  <c r="DR144" i="25" s="1"/>
  <c r="DS144" i="25" s="1"/>
  <c r="EH163" i="25"/>
  <c r="EH161" i="25"/>
  <c r="DP158" i="25"/>
  <c r="DQ158" i="25" s="1"/>
  <c r="DR158" i="25" s="1"/>
  <c r="DS158" i="25" s="1"/>
  <c r="DP163" i="25"/>
  <c r="DQ163" i="25" s="1"/>
  <c r="DR163" i="25" s="1"/>
  <c r="DS163" i="25" s="1"/>
  <c r="DP168" i="25"/>
  <c r="DQ168" i="25" s="1"/>
  <c r="DR168" i="25" s="1"/>
  <c r="DS168" i="25" s="1"/>
  <c r="DZ173" i="25"/>
  <c r="DP169" i="25"/>
  <c r="DQ169" i="25" s="1"/>
  <c r="DR169" i="25" s="1"/>
  <c r="DS169" i="25" s="1"/>
  <c r="DP159" i="25"/>
  <c r="DQ159" i="25" s="1"/>
  <c r="DR159" i="25" s="1"/>
  <c r="DS159" i="25" s="1"/>
  <c r="EH169" i="25"/>
  <c r="EH144" i="25"/>
  <c r="EH159" i="25"/>
  <c r="DX151" i="25"/>
  <c r="DX159" i="25"/>
  <c r="DP166" i="25"/>
  <c r="DQ166" i="25" s="1"/>
  <c r="DR166" i="25" s="1"/>
  <c r="DS166" i="25" s="1"/>
  <c r="CG153" i="25"/>
  <c r="EH145" i="25"/>
  <c r="CG152" i="25"/>
  <c r="DP165" i="25"/>
  <c r="DQ165" i="25" s="1"/>
  <c r="DR165" i="25" s="1"/>
  <c r="DS165" i="25" s="1"/>
  <c r="DP157" i="25"/>
  <c r="DQ157" i="25" s="1"/>
  <c r="DR157" i="25" s="1"/>
  <c r="DS157" i="25" s="1"/>
  <c r="DP138" i="25"/>
  <c r="DQ138" i="25" s="1"/>
  <c r="DR138" i="25" s="1"/>
  <c r="DS138" i="25" s="1"/>
  <c r="CG163" i="25"/>
  <c r="DZ144" i="25"/>
  <c r="DX166" i="25"/>
  <c r="EH173" i="25"/>
  <c r="EH158" i="25"/>
  <c r="CG167" i="25"/>
  <c r="CG166" i="25"/>
  <c r="CG151" i="25"/>
  <c r="CG145" i="25"/>
  <c r="DP175" i="25"/>
  <c r="DQ175" i="25" s="1"/>
  <c r="DR175" i="25" s="1"/>
  <c r="DS175" i="25" s="1"/>
  <c r="DP152" i="25"/>
  <c r="DQ152" i="25" s="1"/>
  <c r="DR152" i="25" s="1"/>
  <c r="DS152" i="25" s="1"/>
  <c r="EH167" i="25"/>
  <c r="EH166" i="25"/>
  <c r="EH151" i="25"/>
  <c r="CG174" i="25"/>
  <c r="DX157" i="25"/>
  <c r="DZ138" i="25"/>
  <c r="DX167" i="25"/>
  <c r="DX152" i="25"/>
  <c r="EH174" i="25"/>
  <c r="CG175" i="25"/>
  <c r="CG158" i="25"/>
  <c r="CG168" i="25"/>
  <c r="CG161" i="25"/>
  <c r="DZ168" i="25"/>
  <c r="DX175" i="25"/>
  <c r="DP161" i="25"/>
  <c r="DQ161" i="25" s="1"/>
  <c r="DR161" i="25" s="1"/>
  <c r="DS161" i="25" s="1"/>
  <c r="DX161" i="25"/>
  <c r="DZ163" i="25"/>
  <c r="DP176" i="25"/>
  <c r="DQ176" i="25" s="1"/>
  <c r="DR176" i="25" s="1"/>
  <c r="DS176" i="25" s="1"/>
  <c r="DP164" i="25"/>
  <c r="DQ164" i="25" s="1"/>
  <c r="DR164" i="25" s="1"/>
  <c r="DS164" i="25" s="1"/>
  <c r="DP145" i="25"/>
  <c r="DQ145" i="25" s="1"/>
  <c r="DR145" i="25" s="1"/>
  <c r="DS145" i="25" s="1"/>
  <c r="DP174" i="25"/>
  <c r="DQ174" i="25" s="1"/>
  <c r="DR174" i="25" s="1"/>
  <c r="DS174" i="25" s="1"/>
  <c r="DP136" i="25"/>
  <c r="DQ136" i="25" s="1"/>
  <c r="DR136" i="25" s="1"/>
  <c r="DS136" i="25" s="1"/>
  <c r="EH165" i="25"/>
  <c r="EH157" i="25"/>
  <c r="EH138" i="25"/>
  <c r="CG165" i="25"/>
  <c r="CG157" i="25"/>
  <c r="CG138" i="25"/>
  <c r="CG169" i="25"/>
  <c r="CG144" i="25"/>
  <c r="CG159" i="25"/>
  <c r="DI163" i="25"/>
  <c r="DJ163" i="25" s="1"/>
  <c r="DI161" i="25"/>
  <c r="DJ161" i="25" s="1"/>
  <c r="DF174" i="25"/>
  <c r="DF136" i="25"/>
  <c r="DX176" i="25"/>
  <c r="DX164" i="25"/>
  <c r="DX145" i="25"/>
  <c r="DI167" i="25"/>
  <c r="DJ167" i="25" s="1"/>
  <c r="DI166" i="25"/>
  <c r="DJ166" i="25" s="1"/>
  <c r="DI151" i="25"/>
  <c r="DJ151" i="25" s="1"/>
  <c r="DF165" i="25"/>
  <c r="DF157" i="25"/>
  <c r="DF138" i="25"/>
  <c r="CU173" i="25"/>
  <c r="CU158" i="25"/>
  <c r="DI176" i="25"/>
  <c r="DJ176" i="25" s="1"/>
  <c r="DI164" i="25"/>
  <c r="DJ164" i="25" s="1"/>
  <c r="DI145" i="25"/>
  <c r="DJ145" i="25" s="1"/>
  <c r="DF169" i="25"/>
  <c r="DF144" i="25"/>
  <c r="DF159" i="25"/>
  <c r="DF175" i="25"/>
  <c r="DF152" i="25"/>
  <c r="DF173" i="25"/>
  <c r="DF158" i="25"/>
  <c r="DF163" i="25"/>
  <c r="DF168" i="25"/>
  <c r="DF161" i="25"/>
  <c r="CG140" i="25"/>
  <c r="EH153" i="25"/>
  <c r="DZ153" i="25"/>
  <c r="DP140" i="25"/>
  <c r="DQ140" i="25" s="1"/>
  <c r="DR140" i="25" s="1"/>
  <c r="DS140" i="25" s="1"/>
  <c r="DZ140" i="25"/>
  <c r="EH140" i="25"/>
  <c r="DP153" i="25"/>
  <c r="DQ153" i="25" s="1"/>
  <c r="DR153" i="25" s="1"/>
  <c r="DS153" i="25" s="1"/>
  <c r="DI140" i="25"/>
  <c r="DJ140" i="25" s="1"/>
  <c r="DI153" i="25"/>
  <c r="DJ153" i="25" s="1"/>
  <c r="CE66" i="25"/>
  <c r="CE67" i="25"/>
  <c r="CE68" i="25"/>
  <c r="CE69" i="25"/>
  <c r="CE149" i="25"/>
  <c r="CE150" i="25"/>
  <c r="CE70" i="25"/>
  <c r="CE74" i="25"/>
  <c r="CE215" i="25"/>
  <c r="CE93" i="25"/>
  <c r="CE75" i="25"/>
  <c r="CE147" i="25"/>
  <c r="CE216" i="25"/>
  <c r="CE60" i="25"/>
  <c r="CE135" i="25"/>
  <c r="CE61" i="25"/>
  <c r="CE193" i="25"/>
  <c r="CE184" i="25"/>
  <c r="CE76" i="25"/>
  <c r="CE154" i="25"/>
  <c r="CE86" i="25"/>
  <c r="CE65" i="25"/>
  <c r="CE219" i="25"/>
  <c r="CE217" i="25"/>
  <c r="CE218" i="25"/>
  <c r="CE62" i="25"/>
  <c r="CE80" i="25"/>
  <c r="CE134" i="25"/>
  <c r="CE137" i="25"/>
  <c r="CE192" i="25"/>
  <c r="CE81" i="25"/>
  <c r="CE146" i="25"/>
  <c r="CE71" i="25"/>
  <c r="CE82" i="25"/>
  <c r="CE83" i="25"/>
  <c r="CE142" i="25"/>
  <c r="CE143" i="25"/>
  <c r="CE156" i="25"/>
  <c r="CE72" i="25"/>
  <c r="CE73" i="25"/>
  <c r="CE63" i="25"/>
  <c r="CE64" i="25"/>
  <c r="CE141" i="25"/>
  <c r="CE59" i="25"/>
  <c r="CE148" i="25"/>
  <c r="CE214" i="25"/>
  <c r="CE133" i="25"/>
  <c r="CE160" i="25"/>
  <c r="CE95" i="25"/>
  <c r="CE96" i="25"/>
  <c r="CE94" i="25"/>
  <c r="CE99" i="25"/>
  <c r="CE119" i="25"/>
  <c r="CE100" i="25"/>
  <c r="CE11" i="25"/>
  <c r="CE125" i="25"/>
  <c r="CE102" i="25"/>
  <c r="CE103" i="25"/>
  <c r="CE162" i="25"/>
  <c r="CE170" i="25"/>
  <c r="CE126" i="25"/>
  <c r="CE105" i="25"/>
  <c r="CE114" i="25"/>
  <c r="CE120" i="25"/>
  <c r="CE106" i="25"/>
  <c r="CE115" i="25"/>
  <c r="CE130" i="25"/>
  <c r="CE123" i="25"/>
  <c r="CE109" i="25"/>
  <c r="CE97" i="25"/>
  <c r="CE116" i="25"/>
  <c r="CE110" i="25"/>
  <c r="CE171" i="25"/>
  <c r="CE172" i="25"/>
  <c r="CE117" i="25"/>
  <c r="CE118" i="25"/>
  <c r="CE129" i="25"/>
  <c r="CE98" i="25"/>
  <c r="CE111" i="25"/>
  <c r="CE84" i="25"/>
  <c r="CE139" i="25"/>
  <c r="CE104" i="25"/>
  <c r="CE107" i="25"/>
  <c r="CE108" i="25"/>
  <c r="CE112" i="25"/>
  <c r="CE113" i="25"/>
  <c r="CE121" i="25"/>
  <c r="CE122" i="25"/>
  <c r="CE124" i="25"/>
  <c r="CE127" i="25"/>
  <c r="CE128" i="25"/>
  <c r="CE131" i="25"/>
  <c r="CE101" i="25"/>
  <c r="CF66" i="25"/>
  <c r="CF67" i="25"/>
  <c r="CF68" i="25"/>
  <c r="CF69" i="25"/>
  <c r="CF149" i="25"/>
  <c r="CF150" i="25"/>
  <c r="CF70" i="25"/>
  <c r="CF74" i="25"/>
  <c r="CF215" i="25"/>
  <c r="CF93" i="25"/>
  <c r="CF75" i="25"/>
  <c r="CF147" i="25"/>
  <c r="CF216" i="25"/>
  <c r="CF60" i="25"/>
  <c r="CF135" i="25"/>
  <c r="CF61" i="25"/>
  <c r="CF193" i="25"/>
  <c r="CF184" i="25"/>
  <c r="CF76" i="25"/>
  <c r="CF154" i="25"/>
  <c r="CF86" i="25"/>
  <c r="CF65" i="25"/>
  <c r="CF219" i="25"/>
  <c r="CF217" i="25"/>
  <c r="CF218" i="25"/>
  <c r="CF62" i="25"/>
  <c r="CF80" i="25"/>
  <c r="CF134" i="25"/>
  <c r="CF137" i="25"/>
  <c r="CF192" i="25"/>
  <c r="CF81" i="25"/>
  <c r="CF146" i="25"/>
  <c r="CF71" i="25"/>
  <c r="CF82" i="25"/>
  <c r="CF83" i="25"/>
  <c r="CF142" i="25"/>
  <c r="CF143" i="25"/>
  <c r="CF156" i="25"/>
  <c r="CF72" i="25"/>
  <c r="CF73" i="25"/>
  <c r="CF63" i="25"/>
  <c r="CF64" i="25"/>
  <c r="CF141" i="25"/>
  <c r="CF59" i="25"/>
  <c r="CF148" i="25"/>
  <c r="CF214" i="25"/>
  <c r="CF133" i="25"/>
  <c r="CF160" i="25"/>
  <c r="CF95" i="25"/>
  <c r="CF96" i="25"/>
  <c r="CF94" i="25"/>
  <c r="CF99" i="25"/>
  <c r="CF119" i="25"/>
  <c r="CF100" i="25"/>
  <c r="CF11" i="25"/>
  <c r="CF125" i="25"/>
  <c r="CF102" i="25"/>
  <c r="CF103" i="25"/>
  <c r="CF162" i="25"/>
  <c r="CF170" i="25"/>
  <c r="CF126" i="25"/>
  <c r="CF105" i="25"/>
  <c r="CF114" i="25"/>
  <c r="CF120" i="25"/>
  <c r="CF106" i="25"/>
  <c r="CF115" i="25"/>
  <c r="CF130" i="25"/>
  <c r="CF123" i="25"/>
  <c r="CF109" i="25"/>
  <c r="CF97" i="25"/>
  <c r="CF116" i="25"/>
  <c r="CF110" i="25"/>
  <c r="CF171" i="25"/>
  <c r="CF172" i="25"/>
  <c r="CF117" i="25"/>
  <c r="CF118" i="25"/>
  <c r="CF129" i="25"/>
  <c r="CF98" i="25"/>
  <c r="CF111" i="25"/>
  <c r="CF84" i="25"/>
  <c r="CF139" i="25"/>
  <c r="CF104" i="25"/>
  <c r="CF107" i="25"/>
  <c r="CF108" i="25"/>
  <c r="CF112" i="25"/>
  <c r="CF113" i="25"/>
  <c r="CF121" i="25"/>
  <c r="CF122" i="25"/>
  <c r="CF124" i="25"/>
  <c r="CF127" i="25"/>
  <c r="CF128" i="25"/>
  <c r="CF131" i="25"/>
  <c r="CF101" i="25"/>
  <c r="CH66" i="25"/>
  <c r="CH67" i="25"/>
  <c r="CH68" i="25"/>
  <c r="CH69" i="25"/>
  <c r="CH149" i="25"/>
  <c r="CH150" i="25"/>
  <c r="CH70" i="25"/>
  <c r="CH74" i="25"/>
  <c r="CH215" i="25"/>
  <c r="CH93" i="25"/>
  <c r="CH75" i="25"/>
  <c r="CH147" i="25"/>
  <c r="CH216" i="25"/>
  <c r="CH60" i="25"/>
  <c r="CH135" i="25"/>
  <c r="CH61" i="25"/>
  <c r="CH193" i="25"/>
  <c r="CH184" i="25"/>
  <c r="CH76" i="25"/>
  <c r="CH154" i="25"/>
  <c r="CH86" i="25"/>
  <c r="CH65" i="25"/>
  <c r="CH219" i="25"/>
  <c r="CH217" i="25"/>
  <c r="CH218" i="25"/>
  <c r="CH62" i="25"/>
  <c r="CH80" i="25"/>
  <c r="CH134" i="25"/>
  <c r="CH137" i="25"/>
  <c r="CH192" i="25"/>
  <c r="CH81" i="25"/>
  <c r="CH146" i="25"/>
  <c r="CH71" i="25"/>
  <c r="CH82" i="25"/>
  <c r="CH83" i="25"/>
  <c r="CH142" i="25"/>
  <c r="CH143" i="25"/>
  <c r="CH156" i="25"/>
  <c r="CH72" i="25"/>
  <c r="CH73" i="25"/>
  <c r="CH63" i="25"/>
  <c r="CH64" i="25"/>
  <c r="CH141" i="25"/>
  <c r="CH59" i="25"/>
  <c r="CH148" i="25"/>
  <c r="CH214" i="25"/>
  <c r="CH133" i="25"/>
  <c r="CH160" i="25"/>
  <c r="CH95" i="25"/>
  <c r="CH96" i="25"/>
  <c r="CH94" i="25"/>
  <c r="CH99" i="25"/>
  <c r="CH119" i="25"/>
  <c r="CH100" i="25"/>
  <c r="CH11" i="25"/>
  <c r="CH125" i="25"/>
  <c r="CH102" i="25"/>
  <c r="CH103" i="25"/>
  <c r="CH162" i="25"/>
  <c r="CH170" i="25"/>
  <c r="CH126" i="25"/>
  <c r="CH105" i="25"/>
  <c r="CH114" i="25"/>
  <c r="CH120" i="25"/>
  <c r="CH106" i="25"/>
  <c r="CH115" i="25"/>
  <c r="CH130" i="25"/>
  <c r="CH123" i="25"/>
  <c r="CH109" i="25"/>
  <c r="CH97" i="25"/>
  <c r="CH116" i="25"/>
  <c r="CH110" i="25"/>
  <c r="CH171" i="25"/>
  <c r="CH172" i="25"/>
  <c r="CH117" i="25"/>
  <c r="CH118" i="25"/>
  <c r="CH129" i="25"/>
  <c r="CH98" i="25"/>
  <c r="CH111" i="25"/>
  <c r="CH84" i="25"/>
  <c r="CH139" i="25"/>
  <c r="CH104" i="25"/>
  <c r="CH107" i="25"/>
  <c r="CH108" i="25"/>
  <c r="CH112" i="25"/>
  <c r="CH113" i="25"/>
  <c r="CH121" i="25"/>
  <c r="CH122" i="25"/>
  <c r="CH124" i="25"/>
  <c r="CH127" i="25"/>
  <c r="CH128" i="25"/>
  <c r="CH131" i="25"/>
  <c r="CH101" i="25"/>
  <c r="CI66" i="25"/>
  <c r="CI67" i="25"/>
  <c r="CI68" i="25"/>
  <c r="CI69" i="25"/>
  <c r="CI149" i="25"/>
  <c r="CI150" i="25"/>
  <c r="CI70" i="25"/>
  <c r="CI74" i="25"/>
  <c r="CI215" i="25"/>
  <c r="CI93" i="25"/>
  <c r="CI75" i="25"/>
  <c r="CI147" i="25"/>
  <c r="CI216" i="25"/>
  <c r="CI60" i="25"/>
  <c r="CI135" i="25"/>
  <c r="CI61" i="25"/>
  <c r="CI193" i="25"/>
  <c r="CI184" i="25"/>
  <c r="CI76" i="25"/>
  <c r="CI154" i="25"/>
  <c r="CI86" i="25"/>
  <c r="CI65" i="25"/>
  <c r="CI219" i="25"/>
  <c r="CI217" i="25"/>
  <c r="CI218" i="25"/>
  <c r="CI62" i="25"/>
  <c r="CI80" i="25"/>
  <c r="CI134" i="25"/>
  <c r="CI137" i="25"/>
  <c r="CI192" i="25"/>
  <c r="CI81" i="25"/>
  <c r="CI146" i="25"/>
  <c r="CI71" i="25"/>
  <c r="CI82" i="25"/>
  <c r="CI83" i="25"/>
  <c r="CI142" i="25"/>
  <c r="CI143" i="25"/>
  <c r="CI156" i="25"/>
  <c r="CI72" i="25"/>
  <c r="CI73" i="25"/>
  <c r="CI63" i="25"/>
  <c r="CI64" i="25"/>
  <c r="CI141" i="25"/>
  <c r="CI59" i="25"/>
  <c r="CI148" i="25"/>
  <c r="CI214" i="25"/>
  <c r="CI133" i="25"/>
  <c r="CI160" i="25"/>
  <c r="CI95" i="25"/>
  <c r="CI96" i="25"/>
  <c r="CI94" i="25"/>
  <c r="CI99" i="25"/>
  <c r="CI119" i="25"/>
  <c r="CI100" i="25"/>
  <c r="CI11" i="25"/>
  <c r="CI125" i="25"/>
  <c r="CI102" i="25"/>
  <c r="CI103" i="25"/>
  <c r="CI162" i="25"/>
  <c r="CI170" i="25"/>
  <c r="CI126" i="25"/>
  <c r="CI105" i="25"/>
  <c r="CI114" i="25"/>
  <c r="CI120" i="25"/>
  <c r="CI106" i="25"/>
  <c r="CI115" i="25"/>
  <c r="CI130" i="25"/>
  <c r="CI123" i="25"/>
  <c r="CI109" i="25"/>
  <c r="CI97" i="25"/>
  <c r="CI116" i="25"/>
  <c r="CI110" i="25"/>
  <c r="CI171" i="25"/>
  <c r="CI172" i="25"/>
  <c r="CI117" i="25"/>
  <c r="CI118" i="25"/>
  <c r="CI129" i="25"/>
  <c r="CI98" i="25"/>
  <c r="CI111" i="25"/>
  <c r="CI84" i="25"/>
  <c r="CI139" i="25"/>
  <c r="CI104" i="25"/>
  <c r="CI107" i="25"/>
  <c r="CI108" i="25"/>
  <c r="CI112" i="25"/>
  <c r="CI113" i="25"/>
  <c r="CI121" i="25"/>
  <c r="CI122" i="25"/>
  <c r="CI124" i="25"/>
  <c r="CI127" i="25"/>
  <c r="CI128" i="25"/>
  <c r="CI131" i="25"/>
  <c r="CI101" i="25"/>
  <c r="CJ66" i="25"/>
  <c r="CJ67" i="25"/>
  <c r="CJ68" i="25"/>
  <c r="CJ69" i="25"/>
  <c r="CJ149" i="25"/>
  <c r="CJ150" i="25"/>
  <c r="CJ70" i="25"/>
  <c r="CJ74" i="25"/>
  <c r="CJ215" i="25"/>
  <c r="CJ93" i="25"/>
  <c r="CJ75" i="25"/>
  <c r="CJ147" i="25"/>
  <c r="CJ216" i="25"/>
  <c r="CJ60" i="25"/>
  <c r="CJ135" i="25"/>
  <c r="CJ61" i="25"/>
  <c r="CJ193" i="25"/>
  <c r="CJ184" i="25"/>
  <c r="CJ76" i="25"/>
  <c r="CJ154" i="25"/>
  <c r="CJ86" i="25"/>
  <c r="CJ65" i="25"/>
  <c r="CJ219" i="25"/>
  <c r="CJ217" i="25"/>
  <c r="CJ218" i="25"/>
  <c r="CJ62" i="25"/>
  <c r="CJ80" i="25"/>
  <c r="CJ134" i="25"/>
  <c r="CJ137" i="25"/>
  <c r="CJ192" i="25"/>
  <c r="CJ81" i="25"/>
  <c r="CJ146" i="25"/>
  <c r="CJ71" i="25"/>
  <c r="CJ82" i="25"/>
  <c r="CJ83" i="25"/>
  <c r="CJ142" i="25"/>
  <c r="CJ143" i="25"/>
  <c r="CJ156" i="25"/>
  <c r="CJ72" i="25"/>
  <c r="CJ73" i="25"/>
  <c r="CJ63" i="25"/>
  <c r="CJ64" i="25"/>
  <c r="CJ141" i="25"/>
  <c r="CJ59" i="25"/>
  <c r="CJ148" i="25"/>
  <c r="CJ214" i="25"/>
  <c r="CJ133" i="25"/>
  <c r="CJ160" i="25"/>
  <c r="CJ95" i="25"/>
  <c r="CJ96" i="25"/>
  <c r="CJ94" i="25"/>
  <c r="CJ99" i="25"/>
  <c r="CJ119" i="25"/>
  <c r="CJ100" i="25"/>
  <c r="CJ11" i="25"/>
  <c r="CJ125" i="25"/>
  <c r="CJ102" i="25"/>
  <c r="CJ103" i="25"/>
  <c r="CJ162" i="25"/>
  <c r="CJ170" i="25"/>
  <c r="CJ126" i="25"/>
  <c r="CJ105" i="25"/>
  <c r="CJ114" i="25"/>
  <c r="CJ120" i="25"/>
  <c r="CJ106" i="25"/>
  <c r="CJ115" i="25"/>
  <c r="CJ130" i="25"/>
  <c r="CJ123" i="25"/>
  <c r="CJ109" i="25"/>
  <c r="CJ97" i="25"/>
  <c r="CJ116" i="25"/>
  <c r="CJ110" i="25"/>
  <c r="CJ171" i="25"/>
  <c r="CJ172" i="25"/>
  <c r="CJ117" i="25"/>
  <c r="CJ118" i="25"/>
  <c r="CJ129" i="25"/>
  <c r="CJ98" i="25"/>
  <c r="CJ111" i="25"/>
  <c r="CJ84" i="25"/>
  <c r="CJ139" i="25"/>
  <c r="CJ104" i="25"/>
  <c r="CJ107" i="25"/>
  <c r="CJ108" i="25"/>
  <c r="CJ112" i="25"/>
  <c r="CJ113" i="25"/>
  <c r="CJ121" i="25"/>
  <c r="CJ122" i="25"/>
  <c r="CJ124" i="25"/>
  <c r="CJ127" i="25"/>
  <c r="CJ128" i="25"/>
  <c r="CJ131" i="25"/>
  <c r="CJ101" i="25"/>
  <c r="CK66" i="25"/>
  <c r="CK67" i="25"/>
  <c r="CK68" i="25"/>
  <c r="CK69" i="25"/>
  <c r="CK149" i="25"/>
  <c r="CK150" i="25"/>
  <c r="CK70" i="25"/>
  <c r="CK74" i="25"/>
  <c r="CK215" i="25"/>
  <c r="CK93" i="25"/>
  <c r="CK75" i="25"/>
  <c r="CK147" i="25"/>
  <c r="CK216" i="25"/>
  <c r="CK60" i="25"/>
  <c r="CK135" i="25"/>
  <c r="CK61" i="25"/>
  <c r="CK193" i="25"/>
  <c r="CK184" i="25"/>
  <c r="CK76" i="25"/>
  <c r="CK154" i="25"/>
  <c r="CK86" i="25"/>
  <c r="CK65" i="25"/>
  <c r="CK219" i="25"/>
  <c r="CK217" i="25"/>
  <c r="CK218" i="25"/>
  <c r="CK62" i="25"/>
  <c r="CK80" i="25"/>
  <c r="CK134" i="25"/>
  <c r="CK137" i="25"/>
  <c r="CK192" i="25"/>
  <c r="CK81" i="25"/>
  <c r="CK146" i="25"/>
  <c r="CK71" i="25"/>
  <c r="CK82" i="25"/>
  <c r="CK83" i="25"/>
  <c r="CK142" i="25"/>
  <c r="CK143" i="25"/>
  <c r="CK156" i="25"/>
  <c r="CK72" i="25"/>
  <c r="CK73" i="25"/>
  <c r="CK63" i="25"/>
  <c r="CK64" i="25"/>
  <c r="CK141" i="25"/>
  <c r="CK59" i="25"/>
  <c r="CK148" i="25"/>
  <c r="CK214" i="25"/>
  <c r="CK133" i="25"/>
  <c r="CK160" i="25"/>
  <c r="CK95" i="25"/>
  <c r="CK96" i="25"/>
  <c r="CK94" i="25"/>
  <c r="CK99" i="25"/>
  <c r="CK119" i="25"/>
  <c r="CK100" i="25"/>
  <c r="CK11" i="25"/>
  <c r="CK125" i="25"/>
  <c r="CK102" i="25"/>
  <c r="CK103" i="25"/>
  <c r="CK162" i="25"/>
  <c r="CK170" i="25"/>
  <c r="CK126" i="25"/>
  <c r="CK105" i="25"/>
  <c r="CK114" i="25"/>
  <c r="CK120" i="25"/>
  <c r="CK106" i="25"/>
  <c r="CK115" i="25"/>
  <c r="CK130" i="25"/>
  <c r="CK123" i="25"/>
  <c r="CK109" i="25"/>
  <c r="CK97" i="25"/>
  <c r="CK116" i="25"/>
  <c r="CK110" i="25"/>
  <c r="CK171" i="25"/>
  <c r="CK172" i="25"/>
  <c r="CK117" i="25"/>
  <c r="CK118" i="25"/>
  <c r="CK129" i="25"/>
  <c r="CK98" i="25"/>
  <c r="CK111" i="25"/>
  <c r="CK84" i="25"/>
  <c r="CK139" i="25"/>
  <c r="CK104" i="25"/>
  <c r="CK107" i="25"/>
  <c r="CK108" i="25"/>
  <c r="CK112" i="25"/>
  <c r="CK113" i="25"/>
  <c r="CK121" i="25"/>
  <c r="CK122" i="25"/>
  <c r="CK124" i="25"/>
  <c r="CK127" i="25"/>
  <c r="CK128" i="25"/>
  <c r="CK131" i="25"/>
  <c r="CK101" i="25"/>
  <c r="CL66" i="25"/>
  <c r="CL67" i="25"/>
  <c r="CL68" i="25"/>
  <c r="CL69" i="25"/>
  <c r="CL149" i="25"/>
  <c r="CL150" i="25"/>
  <c r="CL70" i="25"/>
  <c r="CL74" i="25"/>
  <c r="CL215" i="25"/>
  <c r="CL93" i="25"/>
  <c r="CL75" i="25"/>
  <c r="CL147" i="25"/>
  <c r="CL216" i="25"/>
  <c r="CL60" i="25"/>
  <c r="CL135" i="25"/>
  <c r="CL61" i="25"/>
  <c r="CL193" i="25"/>
  <c r="CL184" i="25"/>
  <c r="CL76" i="25"/>
  <c r="CL154" i="25"/>
  <c r="CL86" i="25"/>
  <c r="CL65" i="25"/>
  <c r="CL219" i="25"/>
  <c r="CL217" i="25"/>
  <c r="CL218" i="25"/>
  <c r="CL62" i="25"/>
  <c r="CL80" i="25"/>
  <c r="CL134" i="25"/>
  <c r="CL137" i="25"/>
  <c r="CL192" i="25"/>
  <c r="CL81" i="25"/>
  <c r="CL146" i="25"/>
  <c r="CL71" i="25"/>
  <c r="CL82" i="25"/>
  <c r="CL83" i="25"/>
  <c r="CL142" i="25"/>
  <c r="CL143" i="25"/>
  <c r="CL156" i="25"/>
  <c r="CL72" i="25"/>
  <c r="CL73" i="25"/>
  <c r="CL63" i="25"/>
  <c r="CL64" i="25"/>
  <c r="CL141" i="25"/>
  <c r="CL59" i="25"/>
  <c r="CL148" i="25"/>
  <c r="CL214" i="25"/>
  <c r="CL133" i="25"/>
  <c r="CL160" i="25"/>
  <c r="CL95" i="25"/>
  <c r="CL96" i="25"/>
  <c r="CL94" i="25"/>
  <c r="CL99" i="25"/>
  <c r="CL119" i="25"/>
  <c r="CL100" i="25"/>
  <c r="CL11" i="25"/>
  <c r="CL125" i="25"/>
  <c r="CL102" i="25"/>
  <c r="CL103" i="25"/>
  <c r="CL162" i="25"/>
  <c r="CL170" i="25"/>
  <c r="CL126" i="25"/>
  <c r="CL105" i="25"/>
  <c r="CL114" i="25"/>
  <c r="CL120" i="25"/>
  <c r="CL106" i="25"/>
  <c r="CL115" i="25"/>
  <c r="CL130" i="25"/>
  <c r="CL123" i="25"/>
  <c r="CL109" i="25"/>
  <c r="CL97" i="25"/>
  <c r="CL116" i="25"/>
  <c r="CL110" i="25"/>
  <c r="CL171" i="25"/>
  <c r="CL172" i="25"/>
  <c r="CL117" i="25"/>
  <c r="CL118" i="25"/>
  <c r="CL129" i="25"/>
  <c r="CL98" i="25"/>
  <c r="CL111" i="25"/>
  <c r="CL84" i="25"/>
  <c r="CL139" i="25"/>
  <c r="CL104" i="25"/>
  <c r="CL107" i="25"/>
  <c r="CL108" i="25"/>
  <c r="CL112" i="25"/>
  <c r="CL113" i="25"/>
  <c r="CL121" i="25"/>
  <c r="CL122" i="25"/>
  <c r="CL124" i="25"/>
  <c r="CL127" i="25"/>
  <c r="CL128" i="25"/>
  <c r="CL131" i="25"/>
  <c r="CL101" i="25"/>
  <c r="CM66" i="25"/>
  <c r="CM67" i="25"/>
  <c r="CM68" i="25"/>
  <c r="CM69" i="25"/>
  <c r="CM149" i="25"/>
  <c r="CM150" i="25"/>
  <c r="CM70" i="25"/>
  <c r="CM74" i="25"/>
  <c r="CM215" i="25"/>
  <c r="CM93" i="25"/>
  <c r="CM75" i="25"/>
  <c r="CM147" i="25"/>
  <c r="CM216" i="25"/>
  <c r="CM60" i="25"/>
  <c r="CM135" i="25"/>
  <c r="CM61" i="25"/>
  <c r="CM193" i="25"/>
  <c r="CM184" i="25"/>
  <c r="CM76" i="25"/>
  <c r="CM154" i="25"/>
  <c r="CM86" i="25"/>
  <c r="CM65" i="25"/>
  <c r="CM219" i="25"/>
  <c r="CM217" i="25"/>
  <c r="CM218" i="25"/>
  <c r="CM62" i="25"/>
  <c r="CM80" i="25"/>
  <c r="CM134" i="25"/>
  <c r="CM137" i="25"/>
  <c r="CM192" i="25"/>
  <c r="CM81" i="25"/>
  <c r="CM146" i="25"/>
  <c r="CM71" i="25"/>
  <c r="CM82" i="25"/>
  <c r="CM83" i="25"/>
  <c r="CM142" i="25"/>
  <c r="CM143" i="25"/>
  <c r="CM156" i="25"/>
  <c r="CM72" i="25"/>
  <c r="CM73" i="25"/>
  <c r="CM63" i="25"/>
  <c r="CM64" i="25"/>
  <c r="CM141" i="25"/>
  <c r="CM59" i="25"/>
  <c r="CM148" i="25"/>
  <c r="CM214" i="25"/>
  <c r="CM133" i="25"/>
  <c r="CM160" i="25"/>
  <c r="CM95" i="25"/>
  <c r="CM96" i="25"/>
  <c r="CM94" i="25"/>
  <c r="CM99" i="25"/>
  <c r="CM119" i="25"/>
  <c r="CM100" i="25"/>
  <c r="CM11" i="25"/>
  <c r="CM125" i="25"/>
  <c r="CM102" i="25"/>
  <c r="CM103" i="25"/>
  <c r="CM162" i="25"/>
  <c r="CM170" i="25"/>
  <c r="CM126" i="25"/>
  <c r="CM105" i="25"/>
  <c r="CM114" i="25"/>
  <c r="CM120" i="25"/>
  <c r="CM106" i="25"/>
  <c r="CM115" i="25"/>
  <c r="CM130" i="25"/>
  <c r="CM123" i="25"/>
  <c r="CM109" i="25"/>
  <c r="CM97" i="25"/>
  <c r="CM116" i="25"/>
  <c r="CM110" i="25"/>
  <c r="CM171" i="25"/>
  <c r="CM172" i="25"/>
  <c r="CM117" i="25"/>
  <c r="CM118" i="25"/>
  <c r="CM129" i="25"/>
  <c r="CM98" i="25"/>
  <c r="CM111" i="25"/>
  <c r="CM84" i="25"/>
  <c r="CM139" i="25"/>
  <c r="CM104" i="25"/>
  <c r="CM107" i="25"/>
  <c r="CM108" i="25"/>
  <c r="CM112" i="25"/>
  <c r="CM113" i="25"/>
  <c r="CM121" i="25"/>
  <c r="CM122" i="25"/>
  <c r="CM124" i="25"/>
  <c r="CM127" i="25"/>
  <c r="CM128" i="25"/>
  <c r="CM131" i="25"/>
  <c r="CM101" i="25"/>
  <c r="CN66" i="25"/>
  <c r="CN67" i="25"/>
  <c r="CN68" i="25"/>
  <c r="CN69" i="25"/>
  <c r="CN149" i="25"/>
  <c r="CN150" i="25"/>
  <c r="CN70" i="25"/>
  <c r="CN74" i="25"/>
  <c r="CN215" i="25"/>
  <c r="CN93" i="25"/>
  <c r="CN75" i="25"/>
  <c r="CN147" i="25"/>
  <c r="CN216" i="25"/>
  <c r="CN60" i="25"/>
  <c r="CN135" i="25"/>
  <c r="CN61" i="25"/>
  <c r="CN193" i="25"/>
  <c r="CN184" i="25"/>
  <c r="CN76" i="25"/>
  <c r="CN154" i="25"/>
  <c r="CN86" i="25"/>
  <c r="CN65" i="25"/>
  <c r="CN219" i="25"/>
  <c r="CN217" i="25"/>
  <c r="CN218" i="25"/>
  <c r="CN62" i="25"/>
  <c r="CN80" i="25"/>
  <c r="CN134" i="25"/>
  <c r="CN137" i="25"/>
  <c r="CN192" i="25"/>
  <c r="CN81" i="25"/>
  <c r="CN146" i="25"/>
  <c r="CN71" i="25"/>
  <c r="CN82" i="25"/>
  <c r="CN83" i="25"/>
  <c r="CN142" i="25"/>
  <c r="CN143" i="25"/>
  <c r="CN156" i="25"/>
  <c r="CN72" i="25"/>
  <c r="CN73" i="25"/>
  <c r="CN63" i="25"/>
  <c r="CN64" i="25"/>
  <c r="CN141" i="25"/>
  <c r="CN59" i="25"/>
  <c r="CN148" i="25"/>
  <c r="CN214" i="25"/>
  <c r="CN133" i="25"/>
  <c r="CN160" i="25"/>
  <c r="CN95" i="25"/>
  <c r="CN96" i="25"/>
  <c r="CN94" i="25"/>
  <c r="CN99" i="25"/>
  <c r="CN119" i="25"/>
  <c r="CN100" i="25"/>
  <c r="CN11" i="25"/>
  <c r="CN125" i="25"/>
  <c r="CN102" i="25"/>
  <c r="CN103" i="25"/>
  <c r="CN162" i="25"/>
  <c r="CN170" i="25"/>
  <c r="CN126" i="25"/>
  <c r="CN105" i="25"/>
  <c r="CN114" i="25"/>
  <c r="CN120" i="25"/>
  <c r="CN106" i="25"/>
  <c r="CN115" i="25"/>
  <c r="CN130" i="25"/>
  <c r="CN123" i="25"/>
  <c r="CN109" i="25"/>
  <c r="CN97" i="25"/>
  <c r="CN116" i="25"/>
  <c r="CN110" i="25"/>
  <c r="CN171" i="25"/>
  <c r="CN172" i="25"/>
  <c r="CN117" i="25"/>
  <c r="CN118" i="25"/>
  <c r="CN129" i="25"/>
  <c r="CN98" i="25"/>
  <c r="CN111" i="25"/>
  <c r="CN84" i="25"/>
  <c r="CN139" i="25"/>
  <c r="CN104" i="25"/>
  <c r="CN107" i="25"/>
  <c r="CN108" i="25"/>
  <c r="CN112" i="25"/>
  <c r="CN113" i="25"/>
  <c r="CN121" i="25"/>
  <c r="CN122" i="25"/>
  <c r="CN124" i="25"/>
  <c r="CN127" i="25"/>
  <c r="CN128" i="25"/>
  <c r="CN131" i="25"/>
  <c r="CN101" i="25"/>
  <c r="CT66" i="25"/>
  <c r="CU66" i="25" s="1"/>
  <c r="CT67" i="25"/>
  <c r="CU67" i="25" s="1"/>
  <c r="CT68" i="25"/>
  <c r="CU68" i="25" s="1"/>
  <c r="CT69" i="25"/>
  <c r="CU69" i="25" s="1"/>
  <c r="CT149" i="25"/>
  <c r="CU149" i="25" s="1"/>
  <c r="CT150" i="25"/>
  <c r="CU150" i="25" s="1"/>
  <c r="CT70" i="25"/>
  <c r="CU70" i="25" s="1"/>
  <c r="CT74" i="25"/>
  <c r="CU74" i="25" s="1"/>
  <c r="CT215" i="25"/>
  <c r="CU215" i="25" s="1"/>
  <c r="CT93" i="25"/>
  <c r="CU93" i="25" s="1"/>
  <c r="CT75" i="25"/>
  <c r="CU75" i="25" s="1"/>
  <c r="CT147" i="25"/>
  <c r="CU147" i="25" s="1"/>
  <c r="CT216" i="25"/>
  <c r="CU216" i="25" s="1"/>
  <c r="CT60" i="25"/>
  <c r="CU60" i="25" s="1"/>
  <c r="CT135" i="25"/>
  <c r="CU135" i="25" s="1"/>
  <c r="CT61" i="25"/>
  <c r="CU61" i="25" s="1"/>
  <c r="CT193" i="25"/>
  <c r="CU193" i="25" s="1"/>
  <c r="CT184" i="25"/>
  <c r="CU184" i="25" s="1"/>
  <c r="CT76" i="25"/>
  <c r="CU76" i="25" s="1"/>
  <c r="CT154" i="25"/>
  <c r="CU154" i="25" s="1"/>
  <c r="CT86" i="25"/>
  <c r="CU86" i="25" s="1"/>
  <c r="CT65" i="25"/>
  <c r="CU65" i="25" s="1"/>
  <c r="CT219" i="25"/>
  <c r="CU219" i="25" s="1"/>
  <c r="CT217" i="25"/>
  <c r="CU217" i="25" s="1"/>
  <c r="CT218" i="25"/>
  <c r="CU218" i="25" s="1"/>
  <c r="CT62" i="25"/>
  <c r="CU62" i="25" s="1"/>
  <c r="CT80" i="25"/>
  <c r="CU80" i="25" s="1"/>
  <c r="CT134" i="25"/>
  <c r="CU134" i="25" s="1"/>
  <c r="CT137" i="25"/>
  <c r="CU137" i="25" s="1"/>
  <c r="CT192" i="25"/>
  <c r="CU192" i="25" s="1"/>
  <c r="CT81" i="25"/>
  <c r="CU81" i="25" s="1"/>
  <c r="CT146" i="25"/>
  <c r="CU146" i="25" s="1"/>
  <c r="CT71" i="25"/>
  <c r="CU71" i="25" s="1"/>
  <c r="CT82" i="25"/>
  <c r="CU82" i="25" s="1"/>
  <c r="CT83" i="25"/>
  <c r="CU83" i="25" s="1"/>
  <c r="CT142" i="25"/>
  <c r="CU142" i="25" s="1"/>
  <c r="CT143" i="25"/>
  <c r="CU143" i="25" s="1"/>
  <c r="CT156" i="25"/>
  <c r="CU156" i="25" s="1"/>
  <c r="CT72" i="25"/>
  <c r="CU72" i="25" s="1"/>
  <c r="CT73" i="25"/>
  <c r="CU73" i="25" s="1"/>
  <c r="CT63" i="25"/>
  <c r="CU63" i="25" s="1"/>
  <c r="CT64" i="25"/>
  <c r="CU64" i="25" s="1"/>
  <c r="CT141" i="25"/>
  <c r="CU141" i="25" s="1"/>
  <c r="CT59" i="25"/>
  <c r="CU59" i="25" s="1"/>
  <c r="CT148" i="25"/>
  <c r="CU148" i="25" s="1"/>
  <c r="CT214" i="25"/>
  <c r="CU214" i="25" s="1"/>
  <c r="CT133" i="25"/>
  <c r="CU133" i="25" s="1"/>
  <c r="CT160" i="25"/>
  <c r="CU160" i="25" s="1"/>
  <c r="CT95" i="25"/>
  <c r="CU95" i="25" s="1"/>
  <c r="CT96" i="25"/>
  <c r="CU96" i="25" s="1"/>
  <c r="CT94" i="25"/>
  <c r="CU94" i="25" s="1"/>
  <c r="CT99" i="25"/>
  <c r="CU99" i="25" s="1"/>
  <c r="CT119" i="25"/>
  <c r="CU119" i="25" s="1"/>
  <c r="CT100" i="25"/>
  <c r="CU100" i="25" s="1"/>
  <c r="CT11" i="25"/>
  <c r="CU11" i="25" s="1"/>
  <c r="CT125" i="25"/>
  <c r="CU125" i="25" s="1"/>
  <c r="CT102" i="25"/>
  <c r="CU102" i="25" s="1"/>
  <c r="CT103" i="25"/>
  <c r="CU103" i="25" s="1"/>
  <c r="CT162" i="25"/>
  <c r="CU162" i="25" s="1"/>
  <c r="CT170" i="25"/>
  <c r="CU170" i="25" s="1"/>
  <c r="CT126" i="25"/>
  <c r="CU126" i="25" s="1"/>
  <c r="CT105" i="25"/>
  <c r="CU105" i="25" s="1"/>
  <c r="CT114" i="25"/>
  <c r="CU114" i="25" s="1"/>
  <c r="CT120" i="25"/>
  <c r="CU120" i="25" s="1"/>
  <c r="CT106" i="25"/>
  <c r="CU106" i="25" s="1"/>
  <c r="CT115" i="25"/>
  <c r="CU115" i="25" s="1"/>
  <c r="CT130" i="25"/>
  <c r="CU130" i="25" s="1"/>
  <c r="CT123" i="25"/>
  <c r="CU123" i="25" s="1"/>
  <c r="CT109" i="25"/>
  <c r="CU109" i="25" s="1"/>
  <c r="CT97" i="25"/>
  <c r="CU97" i="25" s="1"/>
  <c r="CT116" i="25"/>
  <c r="CU116" i="25" s="1"/>
  <c r="CT110" i="25"/>
  <c r="CU110" i="25" s="1"/>
  <c r="CT171" i="25"/>
  <c r="CU171" i="25" s="1"/>
  <c r="CT172" i="25"/>
  <c r="CU172" i="25" s="1"/>
  <c r="CT117" i="25"/>
  <c r="CU117" i="25" s="1"/>
  <c r="CT118" i="25"/>
  <c r="CU118" i="25" s="1"/>
  <c r="CT129" i="25"/>
  <c r="CU129" i="25" s="1"/>
  <c r="CT98" i="25"/>
  <c r="CU98" i="25" s="1"/>
  <c r="CT111" i="25"/>
  <c r="CU111" i="25" s="1"/>
  <c r="CT84" i="25"/>
  <c r="CU84" i="25" s="1"/>
  <c r="CT139" i="25"/>
  <c r="CU139" i="25" s="1"/>
  <c r="CT104" i="25"/>
  <c r="CU104" i="25" s="1"/>
  <c r="CT107" i="25"/>
  <c r="CU107" i="25" s="1"/>
  <c r="CT108" i="25"/>
  <c r="CU108" i="25" s="1"/>
  <c r="CT112" i="25"/>
  <c r="CU112" i="25" s="1"/>
  <c r="CT113" i="25"/>
  <c r="CU113" i="25" s="1"/>
  <c r="CT121" i="25"/>
  <c r="CU121" i="25" s="1"/>
  <c r="CT122" i="25"/>
  <c r="CU122" i="25" s="1"/>
  <c r="CT124" i="25"/>
  <c r="CU124" i="25" s="1"/>
  <c r="CT127" i="25"/>
  <c r="CU127" i="25" s="1"/>
  <c r="CT128" i="25"/>
  <c r="CU128" i="25" s="1"/>
  <c r="CT131" i="25"/>
  <c r="CU131" i="25" s="1"/>
  <c r="CT101" i="25"/>
  <c r="CU101" i="25" s="1"/>
  <c r="DB66" i="25"/>
  <c r="DB67" i="25"/>
  <c r="DB68" i="25"/>
  <c r="DB69" i="25"/>
  <c r="DB149" i="25"/>
  <c r="DB150" i="25"/>
  <c r="DB70" i="25"/>
  <c r="DB74" i="25"/>
  <c r="DB215" i="25"/>
  <c r="DB93" i="25"/>
  <c r="DB75" i="25"/>
  <c r="DB147" i="25"/>
  <c r="DB216" i="25"/>
  <c r="DB60" i="25"/>
  <c r="DB135" i="25"/>
  <c r="DB61" i="25"/>
  <c r="DB193" i="25"/>
  <c r="DB184" i="25"/>
  <c r="DB76" i="25"/>
  <c r="DB154" i="25"/>
  <c r="DB86" i="25"/>
  <c r="DB65" i="25"/>
  <c r="DB219" i="25"/>
  <c r="DB217" i="25"/>
  <c r="DB218" i="25"/>
  <c r="DB62" i="25"/>
  <c r="DB80" i="25"/>
  <c r="DB134" i="25"/>
  <c r="DB137" i="25"/>
  <c r="DB192" i="25"/>
  <c r="DB81" i="25"/>
  <c r="DB146" i="25"/>
  <c r="DB71" i="25"/>
  <c r="DB82" i="25"/>
  <c r="DB83" i="25"/>
  <c r="DB142" i="25"/>
  <c r="DB143" i="25"/>
  <c r="DB156" i="25"/>
  <c r="DB72" i="25"/>
  <c r="DB73" i="25"/>
  <c r="DB63" i="25"/>
  <c r="DB64" i="25"/>
  <c r="DB141" i="25"/>
  <c r="DB59" i="25"/>
  <c r="DB148" i="25"/>
  <c r="DB214" i="25"/>
  <c r="DB133" i="25"/>
  <c r="DB160" i="25"/>
  <c r="DB95" i="25"/>
  <c r="DB96" i="25"/>
  <c r="DB94" i="25"/>
  <c r="DB99" i="25"/>
  <c r="DB119" i="25"/>
  <c r="DB100" i="25"/>
  <c r="DB11" i="25"/>
  <c r="DB125" i="25"/>
  <c r="DB102" i="25"/>
  <c r="DB103" i="25"/>
  <c r="DB162" i="25"/>
  <c r="DB170" i="25"/>
  <c r="DB126" i="25"/>
  <c r="DB105" i="25"/>
  <c r="DB114" i="25"/>
  <c r="DB120" i="25"/>
  <c r="DB106" i="25"/>
  <c r="DB115" i="25"/>
  <c r="DB130" i="25"/>
  <c r="DB123" i="25"/>
  <c r="DB109" i="25"/>
  <c r="DB97" i="25"/>
  <c r="DB116" i="25"/>
  <c r="DB110" i="25"/>
  <c r="DB171" i="25"/>
  <c r="DB172" i="25"/>
  <c r="DB117" i="25"/>
  <c r="DB118" i="25"/>
  <c r="DB129" i="25"/>
  <c r="DB98" i="25"/>
  <c r="DB111" i="25"/>
  <c r="DB84" i="25"/>
  <c r="DB139" i="25"/>
  <c r="DB104" i="25"/>
  <c r="DB107" i="25"/>
  <c r="DB108" i="25"/>
  <c r="DB112" i="25"/>
  <c r="DB113" i="25"/>
  <c r="DB121" i="25"/>
  <c r="DB122" i="25"/>
  <c r="DB124" i="25"/>
  <c r="DB127" i="25"/>
  <c r="DB128" i="25"/>
  <c r="DB131" i="25"/>
  <c r="DB101" i="25"/>
  <c r="DC66" i="25"/>
  <c r="DC67" i="25"/>
  <c r="DC68" i="25"/>
  <c r="DC69" i="25"/>
  <c r="DC149" i="25"/>
  <c r="DC150" i="25"/>
  <c r="DC70" i="25"/>
  <c r="DC74" i="25"/>
  <c r="DC215" i="25"/>
  <c r="DC93" i="25"/>
  <c r="DC75" i="25"/>
  <c r="DC147" i="25"/>
  <c r="DC216" i="25"/>
  <c r="DC60" i="25"/>
  <c r="DC135" i="25"/>
  <c r="DC61" i="25"/>
  <c r="DC193" i="25"/>
  <c r="DC184" i="25"/>
  <c r="DC76" i="25"/>
  <c r="DC154" i="25"/>
  <c r="DC86" i="25"/>
  <c r="DC65" i="25"/>
  <c r="DC219" i="25"/>
  <c r="DC217" i="25"/>
  <c r="DC218" i="25"/>
  <c r="DC62" i="25"/>
  <c r="DC80" i="25"/>
  <c r="DC134" i="25"/>
  <c r="DC137" i="25"/>
  <c r="DC192" i="25"/>
  <c r="DC81" i="25"/>
  <c r="DC146" i="25"/>
  <c r="DC71" i="25"/>
  <c r="DC82" i="25"/>
  <c r="DC83" i="25"/>
  <c r="DC142" i="25"/>
  <c r="DC143" i="25"/>
  <c r="DC156" i="25"/>
  <c r="DC72" i="25"/>
  <c r="DC73" i="25"/>
  <c r="DC63" i="25"/>
  <c r="DC64" i="25"/>
  <c r="DC141" i="25"/>
  <c r="DC59" i="25"/>
  <c r="DC148" i="25"/>
  <c r="DC214" i="25"/>
  <c r="DC133" i="25"/>
  <c r="DC160" i="25"/>
  <c r="DC95" i="25"/>
  <c r="DC96" i="25"/>
  <c r="DC94" i="25"/>
  <c r="DC99" i="25"/>
  <c r="DC119" i="25"/>
  <c r="DC100" i="25"/>
  <c r="DC11" i="25"/>
  <c r="DC125" i="25"/>
  <c r="DC102" i="25"/>
  <c r="DC103" i="25"/>
  <c r="DC162" i="25"/>
  <c r="DC170" i="25"/>
  <c r="DC126" i="25"/>
  <c r="DC105" i="25"/>
  <c r="DC114" i="25"/>
  <c r="DC120" i="25"/>
  <c r="DC106" i="25"/>
  <c r="DC115" i="25"/>
  <c r="DC130" i="25"/>
  <c r="DC123" i="25"/>
  <c r="DC109" i="25"/>
  <c r="DC97" i="25"/>
  <c r="DC116" i="25"/>
  <c r="DC110" i="25"/>
  <c r="DC171" i="25"/>
  <c r="DC172" i="25"/>
  <c r="DC117" i="25"/>
  <c r="DC118" i="25"/>
  <c r="DC129" i="25"/>
  <c r="DC98" i="25"/>
  <c r="DC111" i="25"/>
  <c r="DC84" i="25"/>
  <c r="DC139" i="25"/>
  <c r="DC104" i="25"/>
  <c r="DC107" i="25"/>
  <c r="DC108" i="25"/>
  <c r="DC112" i="25"/>
  <c r="DC113" i="25"/>
  <c r="DC121" i="25"/>
  <c r="DC122" i="25"/>
  <c r="DC124" i="25"/>
  <c r="DC127" i="25"/>
  <c r="DC128" i="25"/>
  <c r="DC131" i="25"/>
  <c r="DC101" i="25"/>
  <c r="DG66" i="25"/>
  <c r="DG67" i="25"/>
  <c r="DG68" i="25"/>
  <c r="DG69" i="25"/>
  <c r="DG149" i="25"/>
  <c r="DG150" i="25"/>
  <c r="DG70" i="25"/>
  <c r="DG74" i="25"/>
  <c r="DG215" i="25"/>
  <c r="DG93" i="25"/>
  <c r="DG75" i="25"/>
  <c r="DG147" i="25"/>
  <c r="DG216" i="25"/>
  <c r="DG60" i="25"/>
  <c r="DG135" i="25"/>
  <c r="DG61" i="25"/>
  <c r="DG193" i="25"/>
  <c r="DG184" i="25"/>
  <c r="DG76" i="25"/>
  <c r="DG154" i="25"/>
  <c r="DG86" i="25"/>
  <c r="DG65" i="25"/>
  <c r="DG219" i="25"/>
  <c r="DG217" i="25"/>
  <c r="DG218" i="25"/>
  <c r="DG62" i="25"/>
  <c r="DG80" i="25"/>
  <c r="DG134" i="25"/>
  <c r="DG137" i="25"/>
  <c r="DG192" i="25"/>
  <c r="DG81" i="25"/>
  <c r="DG146" i="25"/>
  <c r="DG71" i="25"/>
  <c r="DG82" i="25"/>
  <c r="DG83" i="25"/>
  <c r="DG142" i="25"/>
  <c r="DG143" i="25"/>
  <c r="DG156" i="25"/>
  <c r="DG72" i="25"/>
  <c r="DG73" i="25"/>
  <c r="DG63" i="25"/>
  <c r="DG64" i="25"/>
  <c r="DG141" i="25"/>
  <c r="DG59" i="25"/>
  <c r="DG148" i="25"/>
  <c r="DG214" i="25"/>
  <c r="DG133" i="25"/>
  <c r="DG160" i="25"/>
  <c r="DG95" i="25"/>
  <c r="DG96" i="25"/>
  <c r="DG94" i="25"/>
  <c r="DG99" i="25"/>
  <c r="DG119" i="25"/>
  <c r="DG100" i="25"/>
  <c r="DG11" i="25"/>
  <c r="DG125" i="25"/>
  <c r="DG102" i="25"/>
  <c r="DG103" i="25"/>
  <c r="DG162" i="25"/>
  <c r="DG170" i="25"/>
  <c r="DG126" i="25"/>
  <c r="DG105" i="25"/>
  <c r="DG114" i="25"/>
  <c r="DG120" i="25"/>
  <c r="DG106" i="25"/>
  <c r="DG115" i="25"/>
  <c r="DG130" i="25"/>
  <c r="DG123" i="25"/>
  <c r="DG109" i="25"/>
  <c r="DG97" i="25"/>
  <c r="DG116" i="25"/>
  <c r="DG110" i="25"/>
  <c r="DG171" i="25"/>
  <c r="DG172" i="25"/>
  <c r="DG117" i="25"/>
  <c r="DG118" i="25"/>
  <c r="DG129" i="25"/>
  <c r="DG98" i="25"/>
  <c r="DG111" i="25"/>
  <c r="DG84" i="25"/>
  <c r="DG139" i="25"/>
  <c r="DG104" i="25"/>
  <c r="DG107" i="25"/>
  <c r="DG108" i="25"/>
  <c r="DG112" i="25"/>
  <c r="DG113" i="25"/>
  <c r="DG121" i="25"/>
  <c r="DG122" i="25"/>
  <c r="DG124" i="25"/>
  <c r="DG127" i="25"/>
  <c r="DG128" i="25"/>
  <c r="DG131" i="25"/>
  <c r="DG101" i="25"/>
  <c r="DH66" i="25"/>
  <c r="DH67" i="25"/>
  <c r="DH68" i="25"/>
  <c r="DH69" i="25"/>
  <c r="DH149" i="25"/>
  <c r="DH150" i="25"/>
  <c r="DH70" i="25"/>
  <c r="DH74" i="25"/>
  <c r="DH215" i="25"/>
  <c r="DH93" i="25"/>
  <c r="DH75" i="25"/>
  <c r="DH147" i="25"/>
  <c r="DH216" i="25"/>
  <c r="DH60" i="25"/>
  <c r="DH135" i="25"/>
  <c r="DH61" i="25"/>
  <c r="DH193" i="25"/>
  <c r="DH184" i="25"/>
  <c r="DH76" i="25"/>
  <c r="DH154" i="25"/>
  <c r="DH86" i="25"/>
  <c r="DH65" i="25"/>
  <c r="DH219" i="25"/>
  <c r="DH217" i="25"/>
  <c r="DH218" i="25"/>
  <c r="DH62" i="25"/>
  <c r="DH80" i="25"/>
  <c r="DH134" i="25"/>
  <c r="DH137" i="25"/>
  <c r="DH192" i="25"/>
  <c r="DH81" i="25"/>
  <c r="DH146" i="25"/>
  <c r="DH71" i="25"/>
  <c r="DH82" i="25"/>
  <c r="DH83" i="25"/>
  <c r="DH142" i="25"/>
  <c r="DH143" i="25"/>
  <c r="DH156" i="25"/>
  <c r="DH72" i="25"/>
  <c r="DH73" i="25"/>
  <c r="DH63" i="25"/>
  <c r="DH64" i="25"/>
  <c r="DH141" i="25"/>
  <c r="DH59" i="25"/>
  <c r="DH148" i="25"/>
  <c r="DH214" i="25"/>
  <c r="DH133" i="25"/>
  <c r="DH160" i="25"/>
  <c r="DH95" i="25"/>
  <c r="DH96" i="25"/>
  <c r="DH94" i="25"/>
  <c r="DH99" i="25"/>
  <c r="DH119" i="25"/>
  <c r="DH100" i="25"/>
  <c r="DH11" i="25"/>
  <c r="DH125" i="25"/>
  <c r="DH102" i="25"/>
  <c r="DH103" i="25"/>
  <c r="DH162" i="25"/>
  <c r="DH170" i="25"/>
  <c r="DH126" i="25"/>
  <c r="DH105" i="25"/>
  <c r="DH114" i="25"/>
  <c r="DH120" i="25"/>
  <c r="DH106" i="25"/>
  <c r="DH115" i="25"/>
  <c r="DH130" i="25"/>
  <c r="DH123" i="25"/>
  <c r="DH109" i="25"/>
  <c r="DH97" i="25"/>
  <c r="DH116" i="25"/>
  <c r="DH110" i="25"/>
  <c r="DH171" i="25"/>
  <c r="DH172" i="25"/>
  <c r="DH117" i="25"/>
  <c r="DH118" i="25"/>
  <c r="DH129" i="25"/>
  <c r="DH98" i="25"/>
  <c r="DH111" i="25"/>
  <c r="DH84" i="25"/>
  <c r="DH139" i="25"/>
  <c r="DH104" i="25"/>
  <c r="DH107" i="25"/>
  <c r="DH108" i="25"/>
  <c r="DH112" i="25"/>
  <c r="DH113" i="25"/>
  <c r="DH121" i="25"/>
  <c r="DH122" i="25"/>
  <c r="DH124" i="25"/>
  <c r="DH127" i="25"/>
  <c r="DH128" i="25"/>
  <c r="DH131" i="25"/>
  <c r="DH101" i="25"/>
  <c r="DL66" i="25"/>
  <c r="DL67" i="25"/>
  <c r="DL68" i="25"/>
  <c r="DL69" i="25"/>
  <c r="DL149" i="25"/>
  <c r="DL150" i="25"/>
  <c r="DL70" i="25"/>
  <c r="DL74" i="25"/>
  <c r="DL215" i="25"/>
  <c r="DL93" i="25"/>
  <c r="DL75" i="25"/>
  <c r="DL147" i="25"/>
  <c r="DL216" i="25"/>
  <c r="DL60" i="25"/>
  <c r="DL135" i="25"/>
  <c r="DL61" i="25"/>
  <c r="DL193" i="25"/>
  <c r="DL184" i="25"/>
  <c r="DL76" i="25"/>
  <c r="DL154" i="25"/>
  <c r="DL86" i="25"/>
  <c r="DL65" i="25"/>
  <c r="DL219" i="25"/>
  <c r="DL217" i="25"/>
  <c r="DL218" i="25"/>
  <c r="DL62" i="25"/>
  <c r="DL80" i="25"/>
  <c r="DL134" i="25"/>
  <c r="DL137" i="25"/>
  <c r="DL192" i="25"/>
  <c r="DL81" i="25"/>
  <c r="DL146" i="25"/>
  <c r="DL71" i="25"/>
  <c r="DL82" i="25"/>
  <c r="DL83" i="25"/>
  <c r="DL142" i="25"/>
  <c r="DL143" i="25"/>
  <c r="DL156" i="25"/>
  <c r="DL72" i="25"/>
  <c r="DL73" i="25"/>
  <c r="DL63" i="25"/>
  <c r="DL64" i="25"/>
  <c r="DL141" i="25"/>
  <c r="DL59" i="25"/>
  <c r="DL148" i="25"/>
  <c r="DL214" i="25"/>
  <c r="DL133" i="25"/>
  <c r="DL160" i="25"/>
  <c r="DL95" i="25"/>
  <c r="DL96" i="25"/>
  <c r="DL94" i="25"/>
  <c r="DL99" i="25"/>
  <c r="DL119" i="25"/>
  <c r="DL100" i="25"/>
  <c r="DL11" i="25"/>
  <c r="DL125" i="25"/>
  <c r="DL102" i="25"/>
  <c r="DL103" i="25"/>
  <c r="DL162" i="25"/>
  <c r="DL170" i="25"/>
  <c r="DL126" i="25"/>
  <c r="DL105" i="25"/>
  <c r="DL114" i="25"/>
  <c r="DL120" i="25"/>
  <c r="DL106" i="25"/>
  <c r="DL115" i="25"/>
  <c r="DL130" i="25"/>
  <c r="DL123" i="25"/>
  <c r="DL109" i="25"/>
  <c r="DL97" i="25"/>
  <c r="DL116" i="25"/>
  <c r="DL110" i="25"/>
  <c r="DL171" i="25"/>
  <c r="DL172" i="25"/>
  <c r="DL117" i="25"/>
  <c r="DL118" i="25"/>
  <c r="DL129" i="25"/>
  <c r="DL98" i="25"/>
  <c r="DL111" i="25"/>
  <c r="DL84" i="25"/>
  <c r="DL139" i="25"/>
  <c r="DL104" i="25"/>
  <c r="DL107" i="25"/>
  <c r="DL108" i="25"/>
  <c r="DL112" i="25"/>
  <c r="DL113" i="25"/>
  <c r="DL121" i="25"/>
  <c r="DL122" i="25"/>
  <c r="DL124" i="25"/>
  <c r="DL127" i="25"/>
  <c r="DL128" i="25"/>
  <c r="DL131" i="25"/>
  <c r="DL101" i="25"/>
  <c r="DM66" i="25"/>
  <c r="DT66" i="25" s="1"/>
  <c r="DM67" i="25"/>
  <c r="DT67" i="25" s="1"/>
  <c r="DM68" i="25"/>
  <c r="DT68" i="25" s="1"/>
  <c r="DM69" i="25"/>
  <c r="DT69" i="25" s="1"/>
  <c r="DM149" i="25"/>
  <c r="DT149" i="25" s="1"/>
  <c r="DM150" i="25"/>
  <c r="DT150" i="25" s="1"/>
  <c r="DM70" i="25"/>
  <c r="DT70" i="25" s="1"/>
  <c r="DM74" i="25"/>
  <c r="DT74" i="25" s="1"/>
  <c r="DM215" i="25"/>
  <c r="DT215" i="25" s="1"/>
  <c r="DM93" i="25"/>
  <c r="DT93" i="25" s="1"/>
  <c r="DM75" i="25"/>
  <c r="DT75" i="25" s="1"/>
  <c r="DM147" i="25"/>
  <c r="DT147" i="25" s="1"/>
  <c r="DM216" i="25"/>
  <c r="DM60" i="25"/>
  <c r="DT60" i="25" s="1"/>
  <c r="DM135" i="25"/>
  <c r="DT135" i="25" s="1"/>
  <c r="DM61" i="25"/>
  <c r="DT61" i="25" s="1"/>
  <c r="DM193" i="25"/>
  <c r="DT193" i="25" s="1"/>
  <c r="DM184" i="25"/>
  <c r="DM76" i="25"/>
  <c r="DT76" i="25" s="1"/>
  <c r="DM154" i="25"/>
  <c r="DT154" i="25" s="1"/>
  <c r="DM86" i="25"/>
  <c r="DT86" i="25" s="1"/>
  <c r="DM65" i="25"/>
  <c r="DT65" i="25" s="1"/>
  <c r="DM219" i="25"/>
  <c r="DT219" i="25" s="1"/>
  <c r="DM217" i="25"/>
  <c r="DT217" i="25" s="1"/>
  <c r="DM218" i="25"/>
  <c r="DT218" i="25" s="1"/>
  <c r="DM62" i="25"/>
  <c r="DT62" i="25" s="1"/>
  <c r="DM80" i="25"/>
  <c r="DT80" i="25" s="1"/>
  <c r="DM134" i="25"/>
  <c r="DT134" i="25" s="1"/>
  <c r="DM137" i="25"/>
  <c r="DT137" i="25" s="1"/>
  <c r="DM192" i="25"/>
  <c r="DT192" i="25" s="1"/>
  <c r="DM81" i="25"/>
  <c r="DT81" i="25" s="1"/>
  <c r="DM146" i="25"/>
  <c r="DT146" i="25" s="1"/>
  <c r="DM71" i="25"/>
  <c r="DT71" i="25" s="1"/>
  <c r="DM82" i="25"/>
  <c r="DT82" i="25" s="1"/>
  <c r="DM83" i="25"/>
  <c r="DM142" i="25"/>
  <c r="DT142" i="25" s="1"/>
  <c r="DM143" i="25"/>
  <c r="DT143" i="25" s="1"/>
  <c r="DM156" i="25"/>
  <c r="DT156" i="25" s="1"/>
  <c r="DM72" i="25"/>
  <c r="DT72" i="25" s="1"/>
  <c r="DM73" i="25"/>
  <c r="DM63" i="25"/>
  <c r="DT63" i="25" s="1"/>
  <c r="DM64" i="25"/>
  <c r="DM141" i="25"/>
  <c r="DT141" i="25" s="1"/>
  <c r="DM59" i="25"/>
  <c r="DT59" i="25" s="1"/>
  <c r="DM148" i="25"/>
  <c r="DM214" i="25"/>
  <c r="DT214" i="25" s="1"/>
  <c r="DM133" i="25"/>
  <c r="DM160" i="25"/>
  <c r="DT160" i="25" s="1"/>
  <c r="DM95" i="25"/>
  <c r="DM96" i="25"/>
  <c r="DM94" i="25"/>
  <c r="DT94" i="25" s="1"/>
  <c r="DM99" i="25"/>
  <c r="DT99" i="25" s="1"/>
  <c r="DM119" i="25"/>
  <c r="DT119" i="25" s="1"/>
  <c r="DM100" i="25"/>
  <c r="DM11" i="25"/>
  <c r="DT11" i="25" s="1"/>
  <c r="DM125" i="25"/>
  <c r="DM102" i="25"/>
  <c r="DT102" i="25" s="1"/>
  <c r="DM103" i="25"/>
  <c r="DT103" i="25" s="1"/>
  <c r="DM162" i="25"/>
  <c r="DM170" i="25"/>
  <c r="DT170" i="25" s="1"/>
  <c r="DM126" i="25"/>
  <c r="DM105" i="25"/>
  <c r="DT105" i="25" s="1"/>
  <c r="DM114" i="25"/>
  <c r="DM120" i="25"/>
  <c r="DM106" i="25"/>
  <c r="DT106" i="25" s="1"/>
  <c r="DM115" i="25"/>
  <c r="DT115" i="25" s="1"/>
  <c r="DM130" i="25"/>
  <c r="DM123" i="25"/>
  <c r="DT123" i="25" s="1"/>
  <c r="DM109" i="25"/>
  <c r="DM97" i="25"/>
  <c r="DM116" i="25"/>
  <c r="DM110" i="25"/>
  <c r="DT110" i="25" s="1"/>
  <c r="DM171" i="25"/>
  <c r="DM172" i="25"/>
  <c r="DT172" i="25" s="1"/>
  <c r="DM117" i="25"/>
  <c r="DM118" i="25"/>
  <c r="DT118" i="25" s="1"/>
  <c r="DM129" i="25"/>
  <c r="DT129" i="25" s="1"/>
  <c r="DM98" i="25"/>
  <c r="DM111" i="25"/>
  <c r="DT111" i="25" s="1"/>
  <c r="DM84" i="25"/>
  <c r="DT84" i="25" s="1"/>
  <c r="DM139" i="25"/>
  <c r="DT139" i="25" s="1"/>
  <c r="DM104" i="25"/>
  <c r="DM107" i="25"/>
  <c r="DT107" i="25" s="1"/>
  <c r="DM108" i="25"/>
  <c r="DT108" i="25" s="1"/>
  <c r="DM112" i="25"/>
  <c r="DM113" i="25"/>
  <c r="DT113" i="25" s="1"/>
  <c r="DM121" i="25"/>
  <c r="DT121" i="25" s="1"/>
  <c r="DM122" i="25"/>
  <c r="DM124" i="25"/>
  <c r="DT124" i="25" s="1"/>
  <c r="DM127" i="25"/>
  <c r="DM128" i="25"/>
  <c r="DT128" i="25" s="1"/>
  <c r="DM131" i="25"/>
  <c r="DT131" i="25" s="1"/>
  <c r="DM101" i="25"/>
  <c r="DT101" i="25" s="1"/>
  <c r="DN66" i="25"/>
  <c r="DN67" i="25"/>
  <c r="DN68" i="25"/>
  <c r="DN69" i="25"/>
  <c r="DN149" i="25"/>
  <c r="DN150" i="25"/>
  <c r="DN70" i="25"/>
  <c r="DN74" i="25"/>
  <c r="DN215" i="25"/>
  <c r="DN93" i="25"/>
  <c r="DN75" i="25"/>
  <c r="DN147" i="25"/>
  <c r="DN216" i="25"/>
  <c r="DN60" i="25"/>
  <c r="DN135" i="25"/>
  <c r="DN61" i="25"/>
  <c r="DN193" i="25"/>
  <c r="DN184" i="25"/>
  <c r="DN76" i="25"/>
  <c r="DN154" i="25"/>
  <c r="DN86" i="25"/>
  <c r="DN65" i="25"/>
  <c r="DN219" i="25"/>
  <c r="DN217" i="25"/>
  <c r="DN218" i="25"/>
  <c r="DN62" i="25"/>
  <c r="DN80" i="25"/>
  <c r="DN134" i="25"/>
  <c r="DN137" i="25"/>
  <c r="DN192" i="25"/>
  <c r="DN81" i="25"/>
  <c r="DN146" i="25"/>
  <c r="DN71" i="25"/>
  <c r="DN82" i="25"/>
  <c r="DN83" i="25"/>
  <c r="DN142" i="25"/>
  <c r="DN143" i="25"/>
  <c r="DN156" i="25"/>
  <c r="DN72" i="25"/>
  <c r="DN73" i="25"/>
  <c r="DN63" i="25"/>
  <c r="DN64" i="25"/>
  <c r="DN141" i="25"/>
  <c r="DN59" i="25"/>
  <c r="DN148" i="25"/>
  <c r="DN214" i="25"/>
  <c r="DN133" i="25"/>
  <c r="DN160" i="25"/>
  <c r="DN95" i="25"/>
  <c r="DN96" i="25"/>
  <c r="DN94" i="25"/>
  <c r="DN99" i="25"/>
  <c r="DN119" i="25"/>
  <c r="DN100" i="25"/>
  <c r="DN11" i="25"/>
  <c r="DN125" i="25"/>
  <c r="DN102" i="25"/>
  <c r="DN103" i="25"/>
  <c r="DN162" i="25"/>
  <c r="DN170" i="25"/>
  <c r="DN126" i="25"/>
  <c r="DN105" i="25"/>
  <c r="DN114" i="25"/>
  <c r="DN120" i="25"/>
  <c r="DN106" i="25"/>
  <c r="DN115" i="25"/>
  <c r="DN130" i="25"/>
  <c r="DN123" i="25"/>
  <c r="DN109" i="25"/>
  <c r="DN97" i="25"/>
  <c r="DN116" i="25"/>
  <c r="DN110" i="25"/>
  <c r="DN171" i="25"/>
  <c r="DN172" i="25"/>
  <c r="DN117" i="25"/>
  <c r="DN118" i="25"/>
  <c r="DN129" i="25"/>
  <c r="DN98" i="25"/>
  <c r="DN111" i="25"/>
  <c r="DN84" i="25"/>
  <c r="DN139" i="25"/>
  <c r="DN104" i="25"/>
  <c r="DN107" i="25"/>
  <c r="DN108" i="25"/>
  <c r="DN112" i="25"/>
  <c r="DN113" i="25"/>
  <c r="DN121" i="25"/>
  <c r="DN122" i="25"/>
  <c r="DN124" i="25"/>
  <c r="DN127" i="25"/>
  <c r="DN128" i="25"/>
  <c r="DN131" i="25"/>
  <c r="DN101" i="25"/>
  <c r="DO66" i="25"/>
  <c r="DO67" i="25"/>
  <c r="DO68" i="25"/>
  <c r="DO69" i="25"/>
  <c r="DO149" i="25"/>
  <c r="DO150" i="25"/>
  <c r="DO70" i="25"/>
  <c r="DO74" i="25"/>
  <c r="DO215" i="25"/>
  <c r="DO93" i="25"/>
  <c r="DO75" i="25"/>
  <c r="DO147" i="25"/>
  <c r="DO216" i="25"/>
  <c r="DO60" i="25"/>
  <c r="DO135" i="25"/>
  <c r="DO61" i="25"/>
  <c r="DO193" i="25"/>
  <c r="DO184" i="25"/>
  <c r="DO76" i="25"/>
  <c r="DO154" i="25"/>
  <c r="DO86" i="25"/>
  <c r="DO65" i="25"/>
  <c r="DO219" i="25"/>
  <c r="DO217" i="25"/>
  <c r="DO218" i="25"/>
  <c r="DO62" i="25"/>
  <c r="DO80" i="25"/>
  <c r="DO134" i="25"/>
  <c r="DO137" i="25"/>
  <c r="DO192" i="25"/>
  <c r="DO81" i="25"/>
  <c r="DO146" i="25"/>
  <c r="DO71" i="25"/>
  <c r="DO82" i="25"/>
  <c r="DO83" i="25"/>
  <c r="DO142" i="25"/>
  <c r="DO143" i="25"/>
  <c r="DO156" i="25"/>
  <c r="DO72" i="25"/>
  <c r="DO73" i="25"/>
  <c r="DO63" i="25"/>
  <c r="DO64" i="25"/>
  <c r="DO141" i="25"/>
  <c r="DO59" i="25"/>
  <c r="DO148" i="25"/>
  <c r="DO214" i="25"/>
  <c r="DO133" i="25"/>
  <c r="DO160" i="25"/>
  <c r="DO95" i="25"/>
  <c r="DO96" i="25"/>
  <c r="DO94" i="25"/>
  <c r="DO99" i="25"/>
  <c r="DO119" i="25"/>
  <c r="DO100" i="25"/>
  <c r="DO11" i="25"/>
  <c r="DO125" i="25"/>
  <c r="DO102" i="25"/>
  <c r="DO103" i="25"/>
  <c r="DO162" i="25"/>
  <c r="DO170" i="25"/>
  <c r="DO126" i="25"/>
  <c r="DO105" i="25"/>
  <c r="DO114" i="25"/>
  <c r="DO120" i="25"/>
  <c r="DO106" i="25"/>
  <c r="DO115" i="25"/>
  <c r="DO130" i="25"/>
  <c r="DO123" i="25"/>
  <c r="DO109" i="25"/>
  <c r="DO97" i="25"/>
  <c r="DO116" i="25"/>
  <c r="DO110" i="25"/>
  <c r="DO171" i="25"/>
  <c r="DO172" i="25"/>
  <c r="DO117" i="25"/>
  <c r="DO118" i="25"/>
  <c r="DO129" i="25"/>
  <c r="DO98" i="25"/>
  <c r="DO111" i="25"/>
  <c r="DO84" i="25"/>
  <c r="DO139" i="25"/>
  <c r="DO104" i="25"/>
  <c r="DO107" i="25"/>
  <c r="DO108" i="25"/>
  <c r="DO112" i="25"/>
  <c r="DO113" i="25"/>
  <c r="DO121" i="25"/>
  <c r="DO122" i="25"/>
  <c r="DO124" i="25"/>
  <c r="DO127" i="25"/>
  <c r="DO128" i="25"/>
  <c r="DO131" i="25"/>
  <c r="DO101" i="25"/>
  <c r="DV66" i="25"/>
  <c r="DV67" i="25"/>
  <c r="DV68" i="25"/>
  <c r="DV69" i="25"/>
  <c r="DV149" i="25"/>
  <c r="DV150" i="25"/>
  <c r="DV70" i="25"/>
  <c r="DV74" i="25"/>
  <c r="DV215" i="25"/>
  <c r="DV93" i="25"/>
  <c r="DV75" i="25"/>
  <c r="DV147" i="25"/>
  <c r="DV216" i="25"/>
  <c r="DV60" i="25"/>
  <c r="DV135" i="25"/>
  <c r="DV61" i="25"/>
  <c r="DV193" i="25"/>
  <c r="DV184" i="25"/>
  <c r="DV76" i="25"/>
  <c r="DV154" i="25"/>
  <c r="DV86" i="25"/>
  <c r="DV65" i="25"/>
  <c r="DV219" i="25"/>
  <c r="DV217" i="25"/>
  <c r="DV218" i="25"/>
  <c r="DV62" i="25"/>
  <c r="DV80" i="25"/>
  <c r="DV134" i="25"/>
  <c r="DV137" i="25"/>
  <c r="DV192" i="25"/>
  <c r="DV81" i="25"/>
  <c r="DV146" i="25"/>
  <c r="DV71" i="25"/>
  <c r="DV82" i="25"/>
  <c r="DV83" i="25"/>
  <c r="DV142" i="25"/>
  <c r="DV143" i="25"/>
  <c r="DV156" i="25"/>
  <c r="DV72" i="25"/>
  <c r="DV73" i="25"/>
  <c r="DV63" i="25"/>
  <c r="DV64" i="25"/>
  <c r="DV141" i="25"/>
  <c r="DV59" i="25"/>
  <c r="DV148" i="25"/>
  <c r="DV214" i="25"/>
  <c r="DV133" i="25"/>
  <c r="DV160" i="25"/>
  <c r="DV95" i="25"/>
  <c r="DV96" i="25"/>
  <c r="DV94" i="25"/>
  <c r="DV99" i="25"/>
  <c r="DV119" i="25"/>
  <c r="DV100" i="25"/>
  <c r="DV11" i="25"/>
  <c r="DV125" i="25"/>
  <c r="DV102" i="25"/>
  <c r="DV103" i="25"/>
  <c r="DV162" i="25"/>
  <c r="DV170" i="25"/>
  <c r="DV126" i="25"/>
  <c r="DV105" i="25"/>
  <c r="DV114" i="25"/>
  <c r="DV120" i="25"/>
  <c r="DV106" i="25"/>
  <c r="DV115" i="25"/>
  <c r="DV130" i="25"/>
  <c r="DV123" i="25"/>
  <c r="DV109" i="25"/>
  <c r="DV97" i="25"/>
  <c r="DV116" i="25"/>
  <c r="DV110" i="25"/>
  <c r="DV171" i="25"/>
  <c r="DV172" i="25"/>
  <c r="DV117" i="25"/>
  <c r="DV118" i="25"/>
  <c r="DV129" i="25"/>
  <c r="DV98" i="25"/>
  <c r="DV111" i="25"/>
  <c r="DV84" i="25"/>
  <c r="DV139" i="25"/>
  <c r="DV104" i="25"/>
  <c r="DV107" i="25"/>
  <c r="DV108" i="25"/>
  <c r="DV112" i="25"/>
  <c r="DV113" i="25"/>
  <c r="DV121" i="25"/>
  <c r="DV122" i="25"/>
  <c r="DV124" i="25"/>
  <c r="DV127" i="25"/>
  <c r="DV128" i="25"/>
  <c r="DV131" i="25"/>
  <c r="DV101" i="25"/>
  <c r="DW66" i="25"/>
  <c r="DZ66" i="25" s="1"/>
  <c r="DW67" i="25"/>
  <c r="DZ67" i="25" s="1"/>
  <c r="DW68" i="25"/>
  <c r="DZ68" i="25" s="1"/>
  <c r="DW69" i="25"/>
  <c r="DZ69" i="25" s="1"/>
  <c r="DW149" i="25"/>
  <c r="DX149" i="25" s="1"/>
  <c r="DW150" i="25"/>
  <c r="DZ150" i="25" s="1"/>
  <c r="DW70" i="25"/>
  <c r="DX70" i="25" s="1"/>
  <c r="DW74" i="25"/>
  <c r="DZ74" i="25" s="1"/>
  <c r="DW215" i="25"/>
  <c r="DX215" i="25" s="1"/>
  <c r="DW93" i="25"/>
  <c r="DZ93" i="25" s="1"/>
  <c r="DW75" i="25"/>
  <c r="DX75" i="25" s="1"/>
  <c r="DW147" i="25"/>
  <c r="DZ147" i="25" s="1"/>
  <c r="DW216" i="25"/>
  <c r="DZ216" i="25" s="1"/>
  <c r="DW60" i="25"/>
  <c r="DX60" i="25" s="1"/>
  <c r="DW135" i="25"/>
  <c r="DZ135" i="25" s="1"/>
  <c r="DW61" i="25"/>
  <c r="DX61" i="25" s="1"/>
  <c r="DW193" i="25"/>
  <c r="DX193" i="25" s="1"/>
  <c r="DW184" i="25"/>
  <c r="DX184" i="25" s="1"/>
  <c r="DW76" i="25"/>
  <c r="DX76" i="25" s="1"/>
  <c r="DW154" i="25"/>
  <c r="DZ154" i="25" s="1"/>
  <c r="DW86" i="25"/>
  <c r="DZ86" i="25" s="1"/>
  <c r="DW65" i="25"/>
  <c r="DZ65" i="25" s="1"/>
  <c r="DW219" i="25"/>
  <c r="DZ219" i="25" s="1"/>
  <c r="DW217" i="25"/>
  <c r="DW218" i="25"/>
  <c r="DX218" i="25" s="1"/>
  <c r="DW62" i="25"/>
  <c r="DZ62" i="25" s="1"/>
  <c r="DW80" i="25"/>
  <c r="DX80" i="25" s="1"/>
  <c r="DW134" i="25"/>
  <c r="DZ134" i="25" s="1"/>
  <c r="DW137" i="25"/>
  <c r="DX137" i="25" s="1"/>
  <c r="DW192" i="25"/>
  <c r="DX192" i="25" s="1"/>
  <c r="DW81" i="25"/>
  <c r="DX81" i="25" s="1"/>
  <c r="DW146" i="25"/>
  <c r="DX146" i="25" s="1"/>
  <c r="DW71" i="25"/>
  <c r="DX71" i="25" s="1"/>
  <c r="DW82" i="25"/>
  <c r="DX82" i="25" s="1"/>
  <c r="DW83" i="25"/>
  <c r="DX83" i="25" s="1"/>
  <c r="DW142" i="25"/>
  <c r="DX142" i="25" s="1"/>
  <c r="DW143" i="25"/>
  <c r="DX143" i="25" s="1"/>
  <c r="DW156" i="25"/>
  <c r="DX156" i="25" s="1"/>
  <c r="DW72" i="25"/>
  <c r="DZ72" i="25" s="1"/>
  <c r="DW73" i="25"/>
  <c r="DX73" i="25" s="1"/>
  <c r="DW63" i="25"/>
  <c r="DX63" i="25" s="1"/>
  <c r="DW64" i="25"/>
  <c r="DZ64" i="25" s="1"/>
  <c r="DW141" i="25"/>
  <c r="DZ141" i="25" s="1"/>
  <c r="DW59" i="25"/>
  <c r="DX59" i="25" s="1"/>
  <c r="DW148" i="25"/>
  <c r="DX148" i="25" s="1"/>
  <c r="DW214" i="25"/>
  <c r="DX214" i="25" s="1"/>
  <c r="DW133" i="25"/>
  <c r="DX133" i="25" s="1"/>
  <c r="DW160" i="25"/>
  <c r="DX160" i="25" s="1"/>
  <c r="DW95" i="25"/>
  <c r="DX95" i="25" s="1"/>
  <c r="DW96" i="25"/>
  <c r="DX96" i="25" s="1"/>
  <c r="DW94" i="25"/>
  <c r="DX94" i="25" s="1"/>
  <c r="DW99" i="25"/>
  <c r="DX99" i="25" s="1"/>
  <c r="DW119" i="25"/>
  <c r="DZ119" i="25" s="1"/>
  <c r="DW100" i="25"/>
  <c r="DX100" i="25" s="1"/>
  <c r="DW11" i="25"/>
  <c r="DX11" i="25" s="1"/>
  <c r="DW125" i="25"/>
  <c r="DX125" i="25" s="1"/>
  <c r="DW102" i="25"/>
  <c r="DX102" i="25" s="1"/>
  <c r="DW103" i="25"/>
  <c r="DZ103" i="25" s="1"/>
  <c r="DW162" i="25"/>
  <c r="DX162" i="25" s="1"/>
  <c r="DW170" i="25"/>
  <c r="DZ170" i="25" s="1"/>
  <c r="DW126" i="25"/>
  <c r="DX126" i="25" s="1"/>
  <c r="DW105" i="25"/>
  <c r="DX105" i="25" s="1"/>
  <c r="DW114" i="25"/>
  <c r="DZ114" i="25" s="1"/>
  <c r="DW120" i="25"/>
  <c r="DX120" i="25" s="1"/>
  <c r="DW106" i="25"/>
  <c r="DZ106" i="25" s="1"/>
  <c r="DW115" i="25"/>
  <c r="DX115" i="25" s="1"/>
  <c r="DW130" i="25"/>
  <c r="DX130" i="25" s="1"/>
  <c r="DW123" i="25"/>
  <c r="DX123" i="25" s="1"/>
  <c r="DW109" i="25"/>
  <c r="DX109" i="25" s="1"/>
  <c r="DW97" i="25"/>
  <c r="DX97" i="25" s="1"/>
  <c r="DW116" i="25"/>
  <c r="DX116" i="25" s="1"/>
  <c r="DW110" i="25"/>
  <c r="DX110" i="25" s="1"/>
  <c r="DW171" i="25"/>
  <c r="DX171" i="25" s="1"/>
  <c r="DW172" i="25"/>
  <c r="DZ172" i="25" s="1"/>
  <c r="DW117" i="25"/>
  <c r="DZ117" i="25" s="1"/>
  <c r="DW118" i="25"/>
  <c r="DZ118" i="25" s="1"/>
  <c r="DW129" i="25"/>
  <c r="DX129" i="25" s="1"/>
  <c r="DW98" i="25"/>
  <c r="DX98" i="25" s="1"/>
  <c r="DW111" i="25"/>
  <c r="DX111" i="25" s="1"/>
  <c r="DW84" i="25"/>
  <c r="DZ84" i="25" s="1"/>
  <c r="DW139" i="25"/>
  <c r="DZ139" i="25" s="1"/>
  <c r="DW104" i="25"/>
  <c r="DX104" i="25" s="1"/>
  <c r="DW107" i="25"/>
  <c r="DX107" i="25" s="1"/>
  <c r="DW108" i="25"/>
  <c r="DX108" i="25" s="1"/>
  <c r="DW112" i="25"/>
  <c r="DX112" i="25" s="1"/>
  <c r="DW113" i="25"/>
  <c r="DX113" i="25" s="1"/>
  <c r="DW121" i="25"/>
  <c r="DZ121" i="25" s="1"/>
  <c r="DW122" i="25"/>
  <c r="DX122" i="25" s="1"/>
  <c r="DW124" i="25"/>
  <c r="DZ124" i="25" s="1"/>
  <c r="DW127" i="25"/>
  <c r="DZ127" i="25" s="1"/>
  <c r="DW128" i="25"/>
  <c r="DX128" i="25" s="1"/>
  <c r="DW131" i="25"/>
  <c r="DX131" i="25" s="1"/>
  <c r="DW101" i="25"/>
  <c r="DZ101" i="25" s="1"/>
  <c r="DY66" i="25"/>
  <c r="DY67" i="25"/>
  <c r="DY68" i="25"/>
  <c r="DY69" i="25"/>
  <c r="DY149" i="25"/>
  <c r="DY150" i="25"/>
  <c r="DY70" i="25"/>
  <c r="DY74" i="25"/>
  <c r="DY215" i="25"/>
  <c r="DY93" i="25"/>
  <c r="DY75" i="25"/>
  <c r="DY147" i="25"/>
  <c r="DY216" i="25"/>
  <c r="DY60" i="25"/>
  <c r="DY135" i="25"/>
  <c r="DY61" i="25"/>
  <c r="DY193" i="25"/>
  <c r="DY184" i="25"/>
  <c r="DY76" i="25"/>
  <c r="DY154" i="25"/>
  <c r="DY86" i="25"/>
  <c r="DY65" i="25"/>
  <c r="DY219" i="25"/>
  <c r="DY217" i="25"/>
  <c r="DY218" i="25"/>
  <c r="DY62" i="25"/>
  <c r="DY80" i="25"/>
  <c r="DY134" i="25"/>
  <c r="DY137" i="25"/>
  <c r="DY192" i="25"/>
  <c r="DY81" i="25"/>
  <c r="DY146" i="25"/>
  <c r="DY71" i="25"/>
  <c r="DY82" i="25"/>
  <c r="DY83" i="25"/>
  <c r="DY142" i="25"/>
  <c r="DY143" i="25"/>
  <c r="DY156" i="25"/>
  <c r="DY72" i="25"/>
  <c r="DY73" i="25"/>
  <c r="DY63" i="25"/>
  <c r="DY64" i="25"/>
  <c r="DY141" i="25"/>
  <c r="DY59" i="25"/>
  <c r="DY148" i="25"/>
  <c r="DY214" i="25"/>
  <c r="DY133" i="25"/>
  <c r="DY160" i="25"/>
  <c r="DY95" i="25"/>
  <c r="DY96" i="25"/>
  <c r="DY94" i="25"/>
  <c r="DY99" i="25"/>
  <c r="DY119" i="25"/>
  <c r="DY100" i="25"/>
  <c r="DY11" i="25"/>
  <c r="DY125" i="25"/>
  <c r="DY102" i="25"/>
  <c r="DY103" i="25"/>
  <c r="DY162" i="25"/>
  <c r="DY170" i="25"/>
  <c r="DY126" i="25"/>
  <c r="DY105" i="25"/>
  <c r="DY114" i="25"/>
  <c r="DY120" i="25"/>
  <c r="DY106" i="25"/>
  <c r="DY115" i="25"/>
  <c r="DY130" i="25"/>
  <c r="DY123" i="25"/>
  <c r="DY109" i="25"/>
  <c r="DY97" i="25"/>
  <c r="DY116" i="25"/>
  <c r="DY110" i="25"/>
  <c r="DY171" i="25"/>
  <c r="DY172" i="25"/>
  <c r="DY117" i="25"/>
  <c r="DY118" i="25"/>
  <c r="DY129" i="25"/>
  <c r="DY98" i="25"/>
  <c r="DY111" i="25"/>
  <c r="DY84" i="25"/>
  <c r="DY139" i="25"/>
  <c r="DY104" i="25"/>
  <c r="DY107" i="25"/>
  <c r="DY108" i="25"/>
  <c r="DY112" i="25"/>
  <c r="DY113" i="25"/>
  <c r="DY121" i="25"/>
  <c r="DY122" i="25"/>
  <c r="DY124" i="25"/>
  <c r="DY127" i="25"/>
  <c r="DY128" i="25"/>
  <c r="DY131" i="25"/>
  <c r="DY101" i="25"/>
  <c r="EA66" i="25"/>
  <c r="EA67" i="25"/>
  <c r="EA68" i="25"/>
  <c r="EA69" i="25"/>
  <c r="EA149" i="25"/>
  <c r="EA150" i="25"/>
  <c r="EA70" i="25"/>
  <c r="EA74" i="25"/>
  <c r="EA215" i="25"/>
  <c r="EA93" i="25"/>
  <c r="EA75" i="25"/>
  <c r="EA147" i="25"/>
  <c r="EA216" i="25"/>
  <c r="EA60" i="25"/>
  <c r="EA135" i="25"/>
  <c r="EA61" i="25"/>
  <c r="EA193" i="25"/>
  <c r="EA184" i="25"/>
  <c r="EA76" i="25"/>
  <c r="EA154" i="25"/>
  <c r="EA86" i="25"/>
  <c r="EA65" i="25"/>
  <c r="EA219" i="25"/>
  <c r="EA217" i="25"/>
  <c r="EA218" i="25"/>
  <c r="EA62" i="25"/>
  <c r="EA80" i="25"/>
  <c r="EA134" i="25"/>
  <c r="EA137" i="25"/>
  <c r="EA192" i="25"/>
  <c r="EA81" i="25"/>
  <c r="EA146" i="25"/>
  <c r="EA71" i="25"/>
  <c r="EA82" i="25"/>
  <c r="EA83" i="25"/>
  <c r="EA142" i="25"/>
  <c r="EA143" i="25"/>
  <c r="EA156" i="25"/>
  <c r="EA72" i="25"/>
  <c r="EA73" i="25"/>
  <c r="EA63" i="25"/>
  <c r="EA64" i="25"/>
  <c r="EA141" i="25"/>
  <c r="EA59" i="25"/>
  <c r="EA148" i="25"/>
  <c r="EA214" i="25"/>
  <c r="EA133" i="25"/>
  <c r="EA160" i="25"/>
  <c r="EA95" i="25"/>
  <c r="EA96" i="25"/>
  <c r="EA94" i="25"/>
  <c r="EA99" i="25"/>
  <c r="EA119" i="25"/>
  <c r="EA100" i="25"/>
  <c r="EA11" i="25"/>
  <c r="EA125" i="25"/>
  <c r="EA102" i="25"/>
  <c r="EA103" i="25"/>
  <c r="EA162" i="25"/>
  <c r="EA170" i="25"/>
  <c r="EA126" i="25"/>
  <c r="EA105" i="25"/>
  <c r="EA114" i="25"/>
  <c r="EA120" i="25"/>
  <c r="EA106" i="25"/>
  <c r="EA115" i="25"/>
  <c r="EA130" i="25"/>
  <c r="EA123" i="25"/>
  <c r="EA109" i="25"/>
  <c r="EA97" i="25"/>
  <c r="EA116" i="25"/>
  <c r="EA110" i="25"/>
  <c r="EA171" i="25"/>
  <c r="EA172" i="25"/>
  <c r="EA117" i="25"/>
  <c r="EA118" i="25"/>
  <c r="EA129" i="25"/>
  <c r="EA98" i="25"/>
  <c r="EA111" i="25"/>
  <c r="EA84" i="25"/>
  <c r="EA139" i="25"/>
  <c r="EA104" i="25"/>
  <c r="EA107" i="25"/>
  <c r="EA108" i="25"/>
  <c r="EA112" i="25"/>
  <c r="EA113" i="25"/>
  <c r="EA121" i="25"/>
  <c r="EA122" i="25"/>
  <c r="EA124" i="25"/>
  <c r="EA127" i="25"/>
  <c r="EA128" i="25"/>
  <c r="EA131" i="25"/>
  <c r="EA101" i="25"/>
  <c r="EB66" i="25"/>
  <c r="EB67" i="25"/>
  <c r="EB68" i="25"/>
  <c r="EB69" i="25"/>
  <c r="EB149" i="25"/>
  <c r="EB150" i="25"/>
  <c r="EB70" i="25"/>
  <c r="EB74" i="25"/>
  <c r="EB215" i="25"/>
  <c r="EB93" i="25"/>
  <c r="EB75" i="25"/>
  <c r="EB147" i="25"/>
  <c r="EB216" i="25"/>
  <c r="EB60" i="25"/>
  <c r="EB135" i="25"/>
  <c r="EB61" i="25"/>
  <c r="EB193" i="25"/>
  <c r="EB184" i="25"/>
  <c r="EB76" i="25"/>
  <c r="EB154" i="25"/>
  <c r="EB86" i="25"/>
  <c r="EB65" i="25"/>
  <c r="EB219" i="25"/>
  <c r="EB217" i="25"/>
  <c r="EB218" i="25"/>
  <c r="EB62" i="25"/>
  <c r="EB80" i="25"/>
  <c r="EB134" i="25"/>
  <c r="EB137" i="25"/>
  <c r="EB192" i="25"/>
  <c r="EB81" i="25"/>
  <c r="EB146" i="25"/>
  <c r="EB71" i="25"/>
  <c r="EB82" i="25"/>
  <c r="EB83" i="25"/>
  <c r="EB142" i="25"/>
  <c r="EB143" i="25"/>
  <c r="EB156" i="25"/>
  <c r="EB72" i="25"/>
  <c r="EB73" i="25"/>
  <c r="EB63" i="25"/>
  <c r="EB64" i="25"/>
  <c r="EB141" i="25"/>
  <c r="EB59" i="25"/>
  <c r="EB148" i="25"/>
  <c r="EB214" i="25"/>
  <c r="EB133" i="25"/>
  <c r="EB160" i="25"/>
  <c r="EB95" i="25"/>
  <c r="EB96" i="25"/>
  <c r="EB94" i="25"/>
  <c r="EB99" i="25"/>
  <c r="EB119" i="25"/>
  <c r="EB100" i="25"/>
  <c r="EB11" i="25"/>
  <c r="EB125" i="25"/>
  <c r="EB102" i="25"/>
  <c r="EB103" i="25"/>
  <c r="EB162" i="25"/>
  <c r="EB170" i="25"/>
  <c r="EB126" i="25"/>
  <c r="EB105" i="25"/>
  <c r="EB114" i="25"/>
  <c r="EB120" i="25"/>
  <c r="EB106" i="25"/>
  <c r="EB115" i="25"/>
  <c r="EB130" i="25"/>
  <c r="EB123" i="25"/>
  <c r="EB109" i="25"/>
  <c r="EB97" i="25"/>
  <c r="EB116" i="25"/>
  <c r="EB110" i="25"/>
  <c r="EB171" i="25"/>
  <c r="EB172" i="25"/>
  <c r="EB117" i="25"/>
  <c r="EB118" i="25"/>
  <c r="EB129" i="25"/>
  <c r="EB98" i="25"/>
  <c r="EB111" i="25"/>
  <c r="EB84" i="25"/>
  <c r="EB139" i="25"/>
  <c r="EB104" i="25"/>
  <c r="EB107" i="25"/>
  <c r="EB108" i="25"/>
  <c r="EB112" i="25"/>
  <c r="EB113" i="25"/>
  <c r="EB121" i="25"/>
  <c r="EB122" i="25"/>
  <c r="EB124" i="25"/>
  <c r="EB127" i="25"/>
  <c r="EB128" i="25"/>
  <c r="EB131" i="25"/>
  <c r="EB101" i="25"/>
  <c r="EI66" i="25"/>
  <c r="EI67" i="25"/>
  <c r="EI68" i="25"/>
  <c r="EI69" i="25"/>
  <c r="EI149" i="25"/>
  <c r="EI150" i="25"/>
  <c r="EI70" i="25"/>
  <c r="EI74" i="25"/>
  <c r="EI215" i="25"/>
  <c r="EI93" i="25"/>
  <c r="EI75" i="25"/>
  <c r="EI147" i="25"/>
  <c r="EI216" i="25"/>
  <c r="EI60" i="25"/>
  <c r="EI135" i="25"/>
  <c r="EI61" i="25"/>
  <c r="EI193" i="25"/>
  <c r="EI184" i="25"/>
  <c r="EI76" i="25"/>
  <c r="EI154" i="25"/>
  <c r="EI86" i="25"/>
  <c r="EI65" i="25"/>
  <c r="EI219" i="25"/>
  <c r="EI217" i="25"/>
  <c r="EI218" i="25"/>
  <c r="EI62" i="25"/>
  <c r="EI80" i="25"/>
  <c r="EI134" i="25"/>
  <c r="EI137" i="25"/>
  <c r="EI192" i="25"/>
  <c r="EI81" i="25"/>
  <c r="EI146" i="25"/>
  <c r="EI71" i="25"/>
  <c r="EI82" i="25"/>
  <c r="EI83" i="25"/>
  <c r="EI142" i="25"/>
  <c r="EI143" i="25"/>
  <c r="EI156" i="25"/>
  <c r="EI72" i="25"/>
  <c r="EI73" i="25"/>
  <c r="EI63" i="25"/>
  <c r="EI64" i="25"/>
  <c r="EI141" i="25"/>
  <c r="EI59" i="25"/>
  <c r="EI148" i="25"/>
  <c r="EI214" i="25"/>
  <c r="EI133" i="25"/>
  <c r="EI160" i="25"/>
  <c r="EI95" i="25"/>
  <c r="EI96" i="25"/>
  <c r="EI94" i="25"/>
  <c r="EI99" i="25"/>
  <c r="EI119" i="25"/>
  <c r="EI100" i="25"/>
  <c r="EI11" i="25"/>
  <c r="EI125" i="25"/>
  <c r="EI102" i="25"/>
  <c r="EI103" i="25"/>
  <c r="EI162" i="25"/>
  <c r="EI170" i="25"/>
  <c r="EI126" i="25"/>
  <c r="EI105" i="25"/>
  <c r="EI114" i="25"/>
  <c r="EI120" i="25"/>
  <c r="EI106" i="25"/>
  <c r="EI115" i="25"/>
  <c r="EI130" i="25"/>
  <c r="EI123" i="25"/>
  <c r="EI109" i="25"/>
  <c r="EI97" i="25"/>
  <c r="EI116" i="25"/>
  <c r="EI110" i="25"/>
  <c r="EI171" i="25"/>
  <c r="EI172" i="25"/>
  <c r="EI117" i="25"/>
  <c r="EI118" i="25"/>
  <c r="EI129" i="25"/>
  <c r="EI98" i="25"/>
  <c r="EI111" i="25"/>
  <c r="EI84" i="25"/>
  <c r="EI139" i="25"/>
  <c r="EI104" i="25"/>
  <c r="EI107" i="25"/>
  <c r="EI108" i="25"/>
  <c r="EI112" i="25"/>
  <c r="EI113" i="25"/>
  <c r="EI121" i="25"/>
  <c r="EI122" i="25"/>
  <c r="EI124" i="25"/>
  <c r="EI127" i="25"/>
  <c r="EI128" i="25"/>
  <c r="EI131" i="25"/>
  <c r="EI101" i="25"/>
  <c r="EJ66" i="25"/>
  <c r="EJ67" i="25"/>
  <c r="EJ68" i="25"/>
  <c r="EJ69" i="25"/>
  <c r="EJ149" i="25"/>
  <c r="EJ150" i="25"/>
  <c r="EJ70" i="25"/>
  <c r="EJ74" i="25"/>
  <c r="EJ215" i="25"/>
  <c r="EJ93" i="25"/>
  <c r="EJ75" i="25"/>
  <c r="EJ147" i="25"/>
  <c r="EJ216" i="25"/>
  <c r="EJ60" i="25"/>
  <c r="EJ135" i="25"/>
  <c r="EJ61" i="25"/>
  <c r="EJ193" i="25"/>
  <c r="EJ184" i="25"/>
  <c r="EJ76" i="25"/>
  <c r="EJ154" i="25"/>
  <c r="EJ86" i="25"/>
  <c r="EJ65" i="25"/>
  <c r="EJ219" i="25"/>
  <c r="EJ217" i="25"/>
  <c r="EJ218" i="25"/>
  <c r="EJ62" i="25"/>
  <c r="EJ80" i="25"/>
  <c r="EJ134" i="25"/>
  <c r="EJ137" i="25"/>
  <c r="EJ192" i="25"/>
  <c r="EJ81" i="25"/>
  <c r="EJ146" i="25"/>
  <c r="EJ71" i="25"/>
  <c r="EJ82" i="25"/>
  <c r="EJ83" i="25"/>
  <c r="EJ142" i="25"/>
  <c r="EJ143" i="25"/>
  <c r="EJ156" i="25"/>
  <c r="EJ72" i="25"/>
  <c r="EJ73" i="25"/>
  <c r="EJ63" i="25"/>
  <c r="EJ64" i="25"/>
  <c r="EJ141" i="25"/>
  <c r="EJ59" i="25"/>
  <c r="EJ148" i="25"/>
  <c r="EJ214" i="25"/>
  <c r="EJ133" i="25"/>
  <c r="EJ160" i="25"/>
  <c r="EJ95" i="25"/>
  <c r="EJ96" i="25"/>
  <c r="EJ94" i="25"/>
  <c r="EJ99" i="25"/>
  <c r="EJ119" i="25"/>
  <c r="EJ100" i="25"/>
  <c r="EJ11" i="25"/>
  <c r="EJ125" i="25"/>
  <c r="EJ102" i="25"/>
  <c r="EJ103" i="25"/>
  <c r="EJ162" i="25"/>
  <c r="EJ170" i="25"/>
  <c r="EJ126" i="25"/>
  <c r="EJ105" i="25"/>
  <c r="EJ114" i="25"/>
  <c r="EJ120" i="25"/>
  <c r="EJ106" i="25"/>
  <c r="EJ115" i="25"/>
  <c r="EJ130" i="25"/>
  <c r="EJ123" i="25"/>
  <c r="EJ109" i="25"/>
  <c r="EJ97" i="25"/>
  <c r="EJ116" i="25"/>
  <c r="EJ110" i="25"/>
  <c r="EJ171" i="25"/>
  <c r="EJ172" i="25"/>
  <c r="EJ117" i="25"/>
  <c r="EJ118" i="25"/>
  <c r="EJ129" i="25"/>
  <c r="EJ98" i="25"/>
  <c r="EJ111" i="25"/>
  <c r="EJ84" i="25"/>
  <c r="EJ139" i="25"/>
  <c r="EJ104" i="25"/>
  <c r="EJ107" i="25"/>
  <c r="EJ108" i="25"/>
  <c r="EJ112" i="25"/>
  <c r="EJ113" i="25"/>
  <c r="EJ121" i="25"/>
  <c r="EJ122" i="25"/>
  <c r="EJ124" i="25"/>
  <c r="EJ127" i="25"/>
  <c r="EJ128" i="25"/>
  <c r="EJ131" i="25"/>
  <c r="EJ101" i="25"/>
  <c r="EK66" i="25"/>
  <c r="EK67" i="25"/>
  <c r="EK68" i="25"/>
  <c r="EK69" i="25"/>
  <c r="EK149" i="25"/>
  <c r="EK150" i="25"/>
  <c r="EK70" i="25"/>
  <c r="EK74" i="25"/>
  <c r="EK215" i="25"/>
  <c r="EK93" i="25"/>
  <c r="EK75" i="25"/>
  <c r="EK147" i="25"/>
  <c r="EK216" i="25"/>
  <c r="EK60" i="25"/>
  <c r="EK135" i="25"/>
  <c r="EK61" i="25"/>
  <c r="EK193" i="25"/>
  <c r="EK184" i="25"/>
  <c r="EK76" i="25"/>
  <c r="EK154" i="25"/>
  <c r="EK86" i="25"/>
  <c r="EK65" i="25"/>
  <c r="EK219" i="25"/>
  <c r="EK217" i="25"/>
  <c r="EK218" i="25"/>
  <c r="EK62" i="25"/>
  <c r="EK80" i="25"/>
  <c r="EK134" i="25"/>
  <c r="EK137" i="25"/>
  <c r="EK192" i="25"/>
  <c r="EK81" i="25"/>
  <c r="EK146" i="25"/>
  <c r="EK71" i="25"/>
  <c r="EK82" i="25"/>
  <c r="EK83" i="25"/>
  <c r="EK142" i="25"/>
  <c r="EK143" i="25"/>
  <c r="EK156" i="25"/>
  <c r="EK72" i="25"/>
  <c r="EK73" i="25"/>
  <c r="EK63" i="25"/>
  <c r="EK64" i="25"/>
  <c r="EK141" i="25"/>
  <c r="EK59" i="25"/>
  <c r="EK148" i="25"/>
  <c r="EK214" i="25"/>
  <c r="EK133" i="25"/>
  <c r="EK160" i="25"/>
  <c r="EK95" i="25"/>
  <c r="EK96" i="25"/>
  <c r="EK94" i="25"/>
  <c r="EK99" i="25"/>
  <c r="EK119" i="25"/>
  <c r="EK100" i="25"/>
  <c r="EK11" i="25"/>
  <c r="EK125" i="25"/>
  <c r="EK102" i="25"/>
  <c r="EK103" i="25"/>
  <c r="EK162" i="25"/>
  <c r="EK170" i="25"/>
  <c r="EK126" i="25"/>
  <c r="EK105" i="25"/>
  <c r="EK114" i="25"/>
  <c r="EK120" i="25"/>
  <c r="EK106" i="25"/>
  <c r="EK115" i="25"/>
  <c r="EK130" i="25"/>
  <c r="EK123" i="25"/>
  <c r="EK109" i="25"/>
  <c r="EK97" i="25"/>
  <c r="EK116" i="25"/>
  <c r="EK110" i="25"/>
  <c r="EK171" i="25"/>
  <c r="EK172" i="25"/>
  <c r="EK117" i="25"/>
  <c r="EK118" i="25"/>
  <c r="EK129" i="25"/>
  <c r="EK98" i="25"/>
  <c r="EK111" i="25"/>
  <c r="EK84" i="25"/>
  <c r="EK139" i="25"/>
  <c r="EK104" i="25"/>
  <c r="EK107" i="25"/>
  <c r="EK108" i="25"/>
  <c r="EK112" i="25"/>
  <c r="EK113" i="25"/>
  <c r="EK121" i="25"/>
  <c r="EK122" i="25"/>
  <c r="EK124" i="25"/>
  <c r="EK127" i="25"/>
  <c r="EK128" i="25"/>
  <c r="EK131" i="25"/>
  <c r="EK101" i="25"/>
  <c r="EL66" i="25"/>
  <c r="EL67" i="25"/>
  <c r="EL68" i="25"/>
  <c r="EL69" i="25"/>
  <c r="EL149" i="25"/>
  <c r="EL150" i="25"/>
  <c r="EL70" i="25"/>
  <c r="EL74" i="25"/>
  <c r="EL215" i="25"/>
  <c r="EL93" i="25"/>
  <c r="EL75" i="25"/>
  <c r="EL147" i="25"/>
  <c r="EL216" i="25"/>
  <c r="EL60" i="25"/>
  <c r="EL135" i="25"/>
  <c r="EL61" i="25"/>
  <c r="EL193" i="25"/>
  <c r="EL184" i="25"/>
  <c r="EL76" i="25"/>
  <c r="EL154" i="25"/>
  <c r="EL86" i="25"/>
  <c r="EL65" i="25"/>
  <c r="EL219" i="25"/>
  <c r="EL217" i="25"/>
  <c r="EL218" i="25"/>
  <c r="EL62" i="25"/>
  <c r="EL80" i="25"/>
  <c r="EL134" i="25"/>
  <c r="EL137" i="25"/>
  <c r="EL192" i="25"/>
  <c r="EL81" i="25"/>
  <c r="EL146" i="25"/>
  <c r="EL71" i="25"/>
  <c r="EL82" i="25"/>
  <c r="EL83" i="25"/>
  <c r="EL142" i="25"/>
  <c r="EL143" i="25"/>
  <c r="EL156" i="25"/>
  <c r="EL72" i="25"/>
  <c r="EL73" i="25"/>
  <c r="EL63" i="25"/>
  <c r="EL64" i="25"/>
  <c r="EL141" i="25"/>
  <c r="EL59" i="25"/>
  <c r="EL148" i="25"/>
  <c r="EL214" i="25"/>
  <c r="EL133" i="25"/>
  <c r="EL160" i="25"/>
  <c r="EL95" i="25"/>
  <c r="EL96" i="25"/>
  <c r="EL94" i="25"/>
  <c r="EL99" i="25"/>
  <c r="EL119" i="25"/>
  <c r="EL100" i="25"/>
  <c r="EL11" i="25"/>
  <c r="EL125" i="25"/>
  <c r="EL102" i="25"/>
  <c r="EL103" i="25"/>
  <c r="EL162" i="25"/>
  <c r="EL170" i="25"/>
  <c r="EL126" i="25"/>
  <c r="EL105" i="25"/>
  <c r="EL114" i="25"/>
  <c r="EL120" i="25"/>
  <c r="EL106" i="25"/>
  <c r="EL115" i="25"/>
  <c r="EL130" i="25"/>
  <c r="EL123" i="25"/>
  <c r="EL109" i="25"/>
  <c r="EL97" i="25"/>
  <c r="EL116" i="25"/>
  <c r="EL110" i="25"/>
  <c r="EL171" i="25"/>
  <c r="EL172" i="25"/>
  <c r="EL117" i="25"/>
  <c r="EL118" i="25"/>
  <c r="EL129" i="25"/>
  <c r="EL98" i="25"/>
  <c r="EL111" i="25"/>
  <c r="EL84" i="25"/>
  <c r="EL139" i="25"/>
  <c r="EL104" i="25"/>
  <c r="EL107" i="25"/>
  <c r="EL108" i="25"/>
  <c r="EL112" i="25"/>
  <c r="EL113" i="25"/>
  <c r="EL121" i="25"/>
  <c r="EL122" i="25"/>
  <c r="EL124" i="25"/>
  <c r="EL127" i="25"/>
  <c r="EL128" i="25"/>
  <c r="EL131" i="25"/>
  <c r="EL101" i="25"/>
  <c r="EM66" i="25"/>
  <c r="DU66" i="25" s="1"/>
  <c r="EM67" i="25"/>
  <c r="DU67" i="25" s="1"/>
  <c r="EM68" i="25"/>
  <c r="DU68" i="25" s="1"/>
  <c r="EM69" i="25"/>
  <c r="DU69" i="25" s="1"/>
  <c r="EM149" i="25"/>
  <c r="DU149" i="25" s="1"/>
  <c r="EM150" i="25"/>
  <c r="DU150" i="25" s="1"/>
  <c r="EM70" i="25"/>
  <c r="DU70" i="25" s="1"/>
  <c r="EM74" i="25"/>
  <c r="DU74" i="25" s="1"/>
  <c r="EM215" i="25"/>
  <c r="DU215" i="25" s="1"/>
  <c r="EM93" i="25"/>
  <c r="DU93" i="25" s="1"/>
  <c r="EM75" i="25"/>
  <c r="DU75" i="25" s="1"/>
  <c r="EM147" i="25"/>
  <c r="DU147" i="25" s="1"/>
  <c r="EM216" i="25"/>
  <c r="DU216" i="25" s="1"/>
  <c r="EM60" i="25"/>
  <c r="DU60" i="25" s="1"/>
  <c r="EM135" i="25"/>
  <c r="DU135" i="25" s="1"/>
  <c r="EM61" i="25"/>
  <c r="DU61" i="25" s="1"/>
  <c r="EM193" i="25"/>
  <c r="DU193" i="25" s="1"/>
  <c r="EM184" i="25"/>
  <c r="DU184" i="25" s="1"/>
  <c r="EM76" i="25"/>
  <c r="DU76" i="25" s="1"/>
  <c r="EM154" i="25"/>
  <c r="DU154" i="25" s="1"/>
  <c r="EM86" i="25"/>
  <c r="DU86" i="25" s="1"/>
  <c r="EM65" i="25"/>
  <c r="DU65" i="25" s="1"/>
  <c r="EM219" i="25"/>
  <c r="DU219" i="25" s="1"/>
  <c r="EM217" i="25"/>
  <c r="DU217" i="25" s="1"/>
  <c r="EM218" i="25"/>
  <c r="DU218" i="25" s="1"/>
  <c r="EM62" i="25"/>
  <c r="DU62" i="25" s="1"/>
  <c r="EM80" i="25"/>
  <c r="DU80" i="25" s="1"/>
  <c r="EM134" i="25"/>
  <c r="DU134" i="25" s="1"/>
  <c r="EM137" i="25"/>
  <c r="DU137" i="25" s="1"/>
  <c r="EM192" i="25"/>
  <c r="DU192" i="25" s="1"/>
  <c r="EM81" i="25"/>
  <c r="DU81" i="25" s="1"/>
  <c r="EM146" i="25"/>
  <c r="DU146" i="25" s="1"/>
  <c r="EM71" i="25"/>
  <c r="DU71" i="25" s="1"/>
  <c r="EM82" i="25"/>
  <c r="DU82" i="25" s="1"/>
  <c r="EM83" i="25"/>
  <c r="DU83" i="25" s="1"/>
  <c r="EM142" i="25"/>
  <c r="DU142" i="25" s="1"/>
  <c r="EM143" i="25"/>
  <c r="DU143" i="25" s="1"/>
  <c r="EM156" i="25"/>
  <c r="DU156" i="25" s="1"/>
  <c r="EM72" i="25"/>
  <c r="DU72" i="25" s="1"/>
  <c r="EM73" i="25"/>
  <c r="DU73" i="25" s="1"/>
  <c r="EM63" i="25"/>
  <c r="DU63" i="25" s="1"/>
  <c r="EM64" i="25"/>
  <c r="DU64" i="25" s="1"/>
  <c r="EM141" i="25"/>
  <c r="DU141" i="25" s="1"/>
  <c r="EM59" i="25"/>
  <c r="DU59" i="25" s="1"/>
  <c r="EM148" i="25"/>
  <c r="DU148" i="25" s="1"/>
  <c r="EM214" i="25"/>
  <c r="DU214" i="25" s="1"/>
  <c r="EM133" i="25"/>
  <c r="DU133" i="25" s="1"/>
  <c r="EM160" i="25"/>
  <c r="DU160" i="25" s="1"/>
  <c r="EM95" i="25"/>
  <c r="DU95" i="25" s="1"/>
  <c r="EM96" i="25"/>
  <c r="DU96" i="25" s="1"/>
  <c r="EM94" i="25"/>
  <c r="DU94" i="25" s="1"/>
  <c r="EM99" i="25"/>
  <c r="DU99" i="25" s="1"/>
  <c r="EM119" i="25"/>
  <c r="DU119" i="25" s="1"/>
  <c r="EM100" i="25"/>
  <c r="DU100" i="25" s="1"/>
  <c r="EM11" i="25"/>
  <c r="DU11" i="25" s="1"/>
  <c r="EM125" i="25"/>
  <c r="DU125" i="25" s="1"/>
  <c r="EM102" i="25"/>
  <c r="DU102" i="25" s="1"/>
  <c r="EM103" i="25"/>
  <c r="DU103" i="25" s="1"/>
  <c r="EM162" i="25"/>
  <c r="DU162" i="25" s="1"/>
  <c r="EM170" i="25"/>
  <c r="DU170" i="25" s="1"/>
  <c r="EM126" i="25"/>
  <c r="DU126" i="25" s="1"/>
  <c r="EM105" i="25"/>
  <c r="DU105" i="25" s="1"/>
  <c r="EM114" i="25"/>
  <c r="DU114" i="25" s="1"/>
  <c r="EM120" i="25"/>
  <c r="DU120" i="25" s="1"/>
  <c r="EM106" i="25"/>
  <c r="DU106" i="25" s="1"/>
  <c r="EM115" i="25"/>
  <c r="DU115" i="25" s="1"/>
  <c r="EM130" i="25"/>
  <c r="DU130" i="25" s="1"/>
  <c r="EM123" i="25"/>
  <c r="DU123" i="25" s="1"/>
  <c r="EM109" i="25"/>
  <c r="DU109" i="25" s="1"/>
  <c r="EM97" i="25"/>
  <c r="DU97" i="25" s="1"/>
  <c r="EM116" i="25"/>
  <c r="DU116" i="25" s="1"/>
  <c r="EM110" i="25"/>
  <c r="DU110" i="25" s="1"/>
  <c r="EM171" i="25"/>
  <c r="DU171" i="25" s="1"/>
  <c r="EM172" i="25"/>
  <c r="DU172" i="25" s="1"/>
  <c r="EM117" i="25"/>
  <c r="DU117" i="25" s="1"/>
  <c r="EM118" i="25"/>
  <c r="DU118" i="25" s="1"/>
  <c r="EM129" i="25"/>
  <c r="DU129" i="25" s="1"/>
  <c r="EM98" i="25"/>
  <c r="DU98" i="25" s="1"/>
  <c r="EM111" i="25"/>
  <c r="DU111" i="25" s="1"/>
  <c r="EM84" i="25"/>
  <c r="DU84" i="25" s="1"/>
  <c r="EM139" i="25"/>
  <c r="DU139" i="25" s="1"/>
  <c r="EM104" i="25"/>
  <c r="DU104" i="25" s="1"/>
  <c r="EM107" i="25"/>
  <c r="DU107" i="25" s="1"/>
  <c r="EM108" i="25"/>
  <c r="DU108" i="25" s="1"/>
  <c r="EM112" i="25"/>
  <c r="DU112" i="25" s="1"/>
  <c r="EM113" i="25"/>
  <c r="DU113" i="25" s="1"/>
  <c r="EM121" i="25"/>
  <c r="DU121" i="25" s="1"/>
  <c r="EM122" i="25"/>
  <c r="DU122" i="25" s="1"/>
  <c r="EM124" i="25"/>
  <c r="DU124" i="25" s="1"/>
  <c r="EM127" i="25"/>
  <c r="DU127" i="25" s="1"/>
  <c r="EM128" i="25"/>
  <c r="DU128" i="25" s="1"/>
  <c r="EM131" i="25"/>
  <c r="DU131" i="25" s="1"/>
  <c r="EM101" i="25"/>
  <c r="DU101" i="25" s="1"/>
  <c r="EN66" i="25"/>
  <c r="EN67" i="25"/>
  <c r="EN68" i="25"/>
  <c r="EN69" i="25"/>
  <c r="EN149" i="25"/>
  <c r="EN150" i="25"/>
  <c r="EN70" i="25"/>
  <c r="EN74" i="25"/>
  <c r="EN215" i="25"/>
  <c r="EN93" i="25"/>
  <c r="EN75" i="25"/>
  <c r="EN147" i="25"/>
  <c r="EN216" i="25"/>
  <c r="EN60" i="25"/>
  <c r="EN135" i="25"/>
  <c r="EN61" i="25"/>
  <c r="EN193" i="25"/>
  <c r="EN184" i="25"/>
  <c r="EN76" i="25"/>
  <c r="EN154" i="25"/>
  <c r="EN86" i="25"/>
  <c r="EN65" i="25"/>
  <c r="EN219" i="25"/>
  <c r="EN217" i="25"/>
  <c r="EN218" i="25"/>
  <c r="EN62" i="25"/>
  <c r="EN80" i="25"/>
  <c r="EN134" i="25"/>
  <c r="EN137" i="25"/>
  <c r="EN192" i="25"/>
  <c r="EN81" i="25"/>
  <c r="EN146" i="25"/>
  <c r="EN71" i="25"/>
  <c r="EN82" i="25"/>
  <c r="EN83" i="25"/>
  <c r="EN142" i="25"/>
  <c r="EN143" i="25"/>
  <c r="EN156" i="25"/>
  <c r="EN72" i="25"/>
  <c r="EN73" i="25"/>
  <c r="EN63" i="25"/>
  <c r="EN64" i="25"/>
  <c r="EN141" i="25"/>
  <c r="EN59" i="25"/>
  <c r="EN148" i="25"/>
  <c r="EN214" i="25"/>
  <c r="EN133" i="25"/>
  <c r="EN160" i="25"/>
  <c r="EN95" i="25"/>
  <c r="EN96" i="25"/>
  <c r="EN94" i="25"/>
  <c r="EN99" i="25"/>
  <c r="EN119" i="25"/>
  <c r="EN100" i="25"/>
  <c r="EN11" i="25"/>
  <c r="EN125" i="25"/>
  <c r="EN102" i="25"/>
  <c r="EN103" i="25"/>
  <c r="EN162" i="25"/>
  <c r="EN170" i="25"/>
  <c r="EN126" i="25"/>
  <c r="EN105" i="25"/>
  <c r="EN114" i="25"/>
  <c r="EN120" i="25"/>
  <c r="EN106" i="25"/>
  <c r="EN115" i="25"/>
  <c r="EN130" i="25"/>
  <c r="EN123" i="25"/>
  <c r="EN109" i="25"/>
  <c r="EN97" i="25"/>
  <c r="EN116" i="25"/>
  <c r="EN110" i="25"/>
  <c r="EN171" i="25"/>
  <c r="EN172" i="25"/>
  <c r="EN117" i="25"/>
  <c r="EN118" i="25"/>
  <c r="EN129" i="25"/>
  <c r="EN98" i="25"/>
  <c r="EN111" i="25"/>
  <c r="EN84" i="25"/>
  <c r="EN139" i="25"/>
  <c r="EN104" i="25"/>
  <c r="EN107" i="25"/>
  <c r="EN108" i="25"/>
  <c r="EN112" i="25"/>
  <c r="EN113" i="25"/>
  <c r="EN121" i="25"/>
  <c r="EN122" i="25"/>
  <c r="EN124" i="25"/>
  <c r="EN127" i="25"/>
  <c r="EN128" i="25"/>
  <c r="EN131" i="25"/>
  <c r="EN101" i="25"/>
  <c r="EO66" i="25"/>
  <c r="EO67" i="25"/>
  <c r="EO68" i="25"/>
  <c r="EO69" i="25"/>
  <c r="EO149" i="25"/>
  <c r="EO150" i="25"/>
  <c r="EO70" i="25"/>
  <c r="EO74" i="25"/>
  <c r="EO215" i="25"/>
  <c r="EO93" i="25"/>
  <c r="EO75" i="25"/>
  <c r="EO147" i="25"/>
  <c r="EO216" i="25"/>
  <c r="EO60" i="25"/>
  <c r="EO135" i="25"/>
  <c r="EO61" i="25"/>
  <c r="EO193" i="25"/>
  <c r="EO184" i="25"/>
  <c r="EO76" i="25"/>
  <c r="EO154" i="25"/>
  <c r="EO86" i="25"/>
  <c r="EO65" i="25"/>
  <c r="EO219" i="25"/>
  <c r="EO217" i="25"/>
  <c r="EO218" i="25"/>
  <c r="EO62" i="25"/>
  <c r="EO80" i="25"/>
  <c r="EO134" i="25"/>
  <c r="EO137" i="25"/>
  <c r="EO192" i="25"/>
  <c r="EO81" i="25"/>
  <c r="EO146" i="25"/>
  <c r="EO71" i="25"/>
  <c r="EO82" i="25"/>
  <c r="EO83" i="25"/>
  <c r="EO142" i="25"/>
  <c r="EO143" i="25"/>
  <c r="EO156" i="25"/>
  <c r="EO72" i="25"/>
  <c r="EO73" i="25"/>
  <c r="EO63" i="25"/>
  <c r="EO64" i="25"/>
  <c r="EO141" i="25"/>
  <c r="EO59" i="25"/>
  <c r="EO148" i="25"/>
  <c r="EO214" i="25"/>
  <c r="EO133" i="25"/>
  <c r="EO160" i="25"/>
  <c r="EO95" i="25"/>
  <c r="EO96" i="25"/>
  <c r="EO94" i="25"/>
  <c r="EO99" i="25"/>
  <c r="EO119" i="25"/>
  <c r="EO100" i="25"/>
  <c r="EO11" i="25"/>
  <c r="EO125" i="25"/>
  <c r="EO102" i="25"/>
  <c r="EO103" i="25"/>
  <c r="EO162" i="25"/>
  <c r="EO170" i="25"/>
  <c r="EO126" i="25"/>
  <c r="EO105" i="25"/>
  <c r="EO114" i="25"/>
  <c r="EO120" i="25"/>
  <c r="EO106" i="25"/>
  <c r="EO115" i="25"/>
  <c r="EO130" i="25"/>
  <c r="EO123" i="25"/>
  <c r="EO109" i="25"/>
  <c r="EO97" i="25"/>
  <c r="EO116" i="25"/>
  <c r="EO110" i="25"/>
  <c r="EO171" i="25"/>
  <c r="EO172" i="25"/>
  <c r="EO117" i="25"/>
  <c r="EO118" i="25"/>
  <c r="EO129" i="25"/>
  <c r="EO98" i="25"/>
  <c r="EO111" i="25"/>
  <c r="EO84" i="25"/>
  <c r="EO139" i="25"/>
  <c r="EO104" i="25"/>
  <c r="EO107" i="25"/>
  <c r="EO108" i="25"/>
  <c r="EO112" i="25"/>
  <c r="EO113" i="25"/>
  <c r="EO121" i="25"/>
  <c r="EO122" i="25"/>
  <c r="EO124" i="25"/>
  <c r="EO127" i="25"/>
  <c r="EO128" i="25"/>
  <c r="EO131" i="25"/>
  <c r="EO101" i="25"/>
  <c r="EP66" i="25"/>
  <c r="EP67" i="25"/>
  <c r="EP68" i="25"/>
  <c r="EP69" i="25"/>
  <c r="EP149" i="25"/>
  <c r="EP150" i="25"/>
  <c r="EP70" i="25"/>
  <c r="EP215" i="25"/>
  <c r="EP93" i="25"/>
  <c r="EP75" i="25"/>
  <c r="EP147" i="25"/>
  <c r="EP216" i="25"/>
  <c r="EP60" i="25"/>
  <c r="EP135" i="25"/>
  <c r="EP61" i="25"/>
  <c r="EP193" i="25"/>
  <c r="EP184" i="25"/>
  <c r="EP76" i="25"/>
  <c r="EP154" i="25"/>
  <c r="EP86" i="25"/>
  <c r="EP65" i="25"/>
  <c r="EP219" i="25"/>
  <c r="EP217" i="25"/>
  <c r="EP218" i="25"/>
  <c r="EP62" i="25"/>
  <c r="EP80" i="25"/>
  <c r="EP134" i="25"/>
  <c r="EP137" i="25"/>
  <c r="EP192" i="25"/>
  <c r="EP81" i="25"/>
  <c r="EP146" i="25"/>
  <c r="EP71" i="25"/>
  <c r="EP82" i="25"/>
  <c r="EP83" i="25"/>
  <c r="EP142" i="25"/>
  <c r="EP143" i="25"/>
  <c r="EP156" i="25"/>
  <c r="EP72" i="25"/>
  <c r="EP73" i="25"/>
  <c r="EP63" i="25"/>
  <c r="EP64" i="25"/>
  <c r="EP141" i="25"/>
  <c r="EP59" i="25"/>
  <c r="EP148" i="25"/>
  <c r="EP214" i="25"/>
  <c r="EP133" i="25"/>
  <c r="EP160" i="25"/>
  <c r="EP95" i="25"/>
  <c r="EP96" i="25"/>
  <c r="EP94" i="25"/>
  <c r="EP99" i="25"/>
  <c r="EP119" i="25"/>
  <c r="EP100" i="25"/>
  <c r="EP11" i="25"/>
  <c r="EP125" i="25"/>
  <c r="EP102" i="25"/>
  <c r="EP103" i="25"/>
  <c r="EP162" i="25"/>
  <c r="EP170" i="25"/>
  <c r="EP126" i="25"/>
  <c r="EP105" i="25"/>
  <c r="EP114" i="25"/>
  <c r="EP120" i="25"/>
  <c r="EP106" i="25"/>
  <c r="EP115" i="25"/>
  <c r="EP130" i="25"/>
  <c r="EP123" i="25"/>
  <c r="EP109" i="25"/>
  <c r="EP97" i="25"/>
  <c r="EP116" i="25"/>
  <c r="EP110" i="25"/>
  <c r="EP171" i="25"/>
  <c r="EP172" i="25"/>
  <c r="EP117" i="25"/>
  <c r="EP118" i="25"/>
  <c r="EP129" i="25"/>
  <c r="EP98" i="25"/>
  <c r="EP111" i="25"/>
  <c r="EP84" i="25"/>
  <c r="EP139" i="25"/>
  <c r="EP104" i="25"/>
  <c r="EP107" i="25"/>
  <c r="EP108" i="25"/>
  <c r="EP112" i="25"/>
  <c r="EP113" i="25"/>
  <c r="EP121" i="25"/>
  <c r="EP122" i="25"/>
  <c r="EP124" i="25"/>
  <c r="EP127" i="25"/>
  <c r="EP128" i="25"/>
  <c r="EP131" i="25"/>
  <c r="EP101" i="25"/>
  <c r="EQ149" i="25"/>
  <c r="ET66" i="25"/>
  <c r="ET67" i="25"/>
  <c r="ET68" i="25"/>
  <c r="ET69" i="25"/>
  <c r="ET149" i="25"/>
  <c r="ET150" i="25"/>
  <c r="ET70" i="25"/>
  <c r="ET74" i="25"/>
  <c r="ET215" i="25"/>
  <c r="ET93" i="25"/>
  <c r="ET75" i="25"/>
  <c r="ET147" i="25"/>
  <c r="ET216" i="25"/>
  <c r="ET60" i="25"/>
  <c r="ET135" i="25"/>
  <c r="ET61" i="25"/>
  <c r="ET193" i="25"/>
  <c r="ET184" i="25"/>
  <c r="ET76" i="25"/>
  <c r="ET154" i="25"/>
  <c r="ET86" i="25"/>
  <c r="ET65" i="25"/>
  <c r="ET219" i="25"/>
  <c r="ET217" i="25"/>
  <c r="ET218" i="25"/>
  <c r="ET62" i="25"/>
  <c r="ET80" i="25"/>
  <c r="ET134" i="25"/>
  <c r="ET137" i="25"/>
  <c r="ET192" i="25"/>
  <c r="ET81" i="25"/>
  <c r="ET146" i="25"/>
  <c r="ET71" i="25"/>
  <c r="ET82" i="25"/>
  <c r="ET83" i="25"/>
  <c r="ET142" i="25"/>
  <c r="ET143" i="25"/>
  <c r="ET156" i="25"/>
  <c r="ET72" i="25"/>
  <c r="ET73" i="25"/>
  <c r="ET63" i="25"/>
  <c r="ET64" i="25"/>
  <c r="ET141" i="25"/>
  <c r="ET59" i="25"/>
  <c r="ET148" i="25"/>
  <c r="ET214" i="25"/>
  <c r="ET133" i="25"/>
  <c r="ET160" i="25"/>
  <c r="ET95" i="25"/>
  <c r="ET96" i="25"/>
  <c r="ET94" i="25"/>
  <c r="ET99" i="25"/>
  <c r="ET119" i="25"/>
  <c r="ET100" i="25"/>
  <c r="ET11" i="25"/>
  <c r="ET125" i="25"/>
  <c r="ET102" i="25"/>
  <c r="ET103" i="25"/>
  <c r="ET162" i="25"/>
  <c r="ET170" i="25"/>
  <c r="ET126" i="25"/>
  <c r="ET105" i="25"/>
  <c r="ET114" i="25"/>
  <c r="ET120" i="25"/>
  <c r="ET106" i="25"/>
  <c r="ET115" i="25"/>
  <c r="ET130" i="25"/>
  <c r="ET123" i="25"/>
  <c r="ET109" i="25"/>
  <c r="ET97" i="25"/>
  <c r="ET116" i="25"/>
  <c r="ET110" i="25"/>
  <c r="ET171" i="25"/>
  <c r="ET172" i="25"/>
  <c r="ET117" i="25"/>
  <c r="ET118" i="25"/>
  <c r="ET129" i="25"/>
  <c r="ET98" i="25"/>
  <c r="ET111" i="25"/>
  <c r="ET84" i="25"/>
  <c r="ET139" i="25"/>
  <c r="ET104" i="25"/>
  <c r="ET107" i="25"/>
  <c r="ET108" i="25"/>
  <c r="ET112" i="25"/>
  <c r="ET113" i="25"/>
  <c r="ET121" i="25"/>
  <c r="ET122" i="25"/>
  <c r="ET124" i="25"/>
  <c r="ET127" i="25"/>
  <c r="ET128" i="25"/>
  <c r="ET131" i="25"/>
  <c r="ET101" i="25"/>
  <c r="EU66" i="25"/>
  <c r="EU67" i="25"/>
  <c r="EU68" i="25"/>
  <c r="EU69" i="25"/>
  <c r="EU149" i="25"/>
  <c r="EU150" i="25"/>
  <c r="EU70" i="25"/>
  <c r="EU74" i="25"/>
  <c r="EU215" i="25"/>
  <c r="EU93" i="25"/>
  <c r="EU75" i="25"/>
  <c r="EU147" i="25"/>
  <c r="EU216" i="25"/>
  <c r="EU60" i="25"/>
  <c r="EU135" i="25"/>
  <c r="EU61" i="25"/>
  <c r="EU193" i="25"/>
  <c r="EU184" i="25"/>
  <c r="EU76" i="25"/>
  <c r="EU154" i="25"/>
  <c r="EU86" i="25"/>
  <c r="EU65" i="25"/>
  <c r="EU219" i="25"/>
  <c r="EU217" i="25"/>
  <c r="EU218" i="25"/>
  <c r="EU62" i="25"/>
  <c r="EU80" i="25"/>
  <c r="EU134" i="25"/>
  <c r="EU137" i="25"/>
  <c r="EU192" i="25"/>
  <c r="EU81" i="25"/>
  <c r="EU146" i="25"/>
  <c r="EU71" i="25"/>
  <c r="EU82" i="25"/>
  <c r="EU83" i="25"/>
  <c r="EU142" i="25"/>
  <c r="EU143" i="25"/>
  <c r="EU156" i="25"/>
  <c r="EU72" i="25"/>
  <c r="EU73" i="25"/>
  <c r="EU63" i="25"/>
  <c r="EU64" i="25"/>
  <c r="EU141" i="25"/>
  <c r="EU59" i="25"/>
  <c r="EU148" i="25"/>
  <c r="EU214" i="25"/>
  <c r="EU133" i="25"/>
  <c r="EU160" i="25"/>
  <c r="EU95" i="25"/>
  <c r="EU96" i="25"/>
  <c r="EU94" i="25"/>
  <c r="EU99" i="25"/>
  <c r="EU119" i="25"/>
  <c r="EU100" i="25"/>
  <c r="EU11" i="25"/>
  <c r="EU125" i="25"/>
  <c r="EU102" i="25"/>
  <c r="EU103" i="25"/>
  <c r="EU162" i="25"/>
  <c r="EU170" i="25"/>
  <c r="EU126" i="25"/>
  <c r="EU105" i="25"/>
  <c r="EU114" i="25"/>
  <c r="EU120" i="25"/>
  <c r="EU106" i="25"/>
  <c r="EU115" i="25"/>
  <c r="EU130" i="25"/>
  <c r="EU123" i="25"/>
  <c r="EU109" i="25"/>
  <c r="EU97" i="25"/>
  <c r="EU116" i="25"/>
  <c r="EU110" i="25"/>
  <c r="EU171" i="25"/>
  <c r="EU172" i="25"/>
  <c r="EU117" i="25"/>
  <c r="EU118" i="25"/>
  <c r="EU129" i="25"/>
  <c r="EU98" i="25"/>
  <c r="EU111" i="25"/>
  <c r="EU84" i="25"/>
  <c r="EU139" i="25"/>
  <c r="EU104" i="25"/>
  <c r="EU107" i="25"/>
  <c r="EU108" i="25"/>
  <c r="EU112" i="25"/>
  <c r="EU113" i="25"/>
  <c r="EU121" i="25"/>
  <c r="EU122" i="25"/>
  <c r="EU124" i="25"/>
  <c r="EU127" i="25"/>
  <c r="EU128" i="25"/>
  <c r="EU131" i="25"/>
  <c r="EU101" i="25"/>
  <c r="EG131" i="25" l="1"/>
  <c r="EG108" i="25"/>
  <c r="EG118" i="25"/>
  <c r="EG123" i="25"/>
  <c r="EG170" i="25"/>
  <c r="EG99" i="25"/>
  <c r="EG148" i="25"/>
  <c r="EG72" i="25"/>
  <c r="EG71" i="25"/>
  <c r="EG62" i="25"/>
  <c r="EG154" i="25"/>
  <c r="EG216" i="25"/>
  <c r="EG215" i="25"/>
  <c r="EG68" i="25"/>
  <c r="EG128" i="25"/>
  <c r="EG107" i="25"/>
  <c r="EG117" i="25"/>
  <c r="EG130" i="25"/>
  <c r="EG162" i="25"/>
  <c r="EG94" i="25"/>
  <c r="EG59" i="25"/>
  <c r="EG146" i="25"/>
  <c r="EG218" i="25"/>
  <c r="EG76" i="25"/>
  <c r="EG147" i="25"/>
  <c r="EG74" i="25"/>
  <c r="EG127" i="25"/>
  <c r="EG104" i="25"/>
  <c r="EG172" i="25"/>
  <c r="EG115" i="25"/>
  <c r="EG103" i="25"/>
  <c r="EG96" i="25"/>
  <c r="EG156" i="25"/>
  <c r="EG81" i="25"/>
  <c r="EG217" i="25"/>
  <c r="EG184" i="25"/>
  <c r="EG124" i="25"/>
  <c r="EG139" i="25"/>
  <c r="EG171" i="25"/>
  <c r="EG106" i="25"/>
  <c r="EG102" i="25"/>
  <c r="EG95" i="25"/>
  <c r="EG143" i="25"/>
  <c r="EG219" i="25"/>
  <c r="EG193" i="25"/>
  <c r="EG67" i="25"/>
  <c r="EG122" i="25"/>
  <c r="EG84" i="25"/>
  <c r="EG110" i="25"/>
  <c r="EG120" i="25"/>
  <c r="EG125" i="25"/>
  <c r="EG160" i="25"/>
  <c r="EG141" i="25"/>
  <c r="EG142" i="25"/>
  <c r="EG137" i="25"/>
  <c r="EG65" i="25"/>
  <c r="EG61" i="25"/>
  <c r="EG75" i="25"/>
  <c r="EG70" i="25"/>
  <c r="EG66" i="25"/>
  <c r="EG121" i="25"/>
  <c r="EG111" i="25"/>
  <c r="EG116" i="25"/>
  <c r="EG114" i="25"/>
  <c r="EG11" i="25"/>
  <c r="EG64" i="25"/>
  <c r="EG83" i="25"/>
  <c r="EG86" i="25"/>
  <c r="EG135" i="25"/>
  <c r="EG150" i="25"/>
  <c r="EG113" i="25"/>
  <c r="EG98" i="25"/>
  <c r="EG97" i="25"/>
  <c r="EG105" i="25"/>
  <c r="EG100" i="25"/>
  <c r="EG133" i="25"/>
  <c r="EG63" i="25"/>
  <c r="EG192" i="25"/>
  <c r="EG134" i="25"/>
  <c r="EG93" i="25"/>
  <c r="EG149" i="25"/>
  <c r="EG101" i="25"/>
  <c r="EG112" i="25"/>
  <c r="EG129" i="25"/>
  <c r="EG109" i="25"/>
  <c r="EG126" i="25"/>
  <c r="EG119" i="25"/>
  <c r="EG214" i="25"/>
  <c r="EG73" i="25"/>
  <c r="EG82" i="25"/>
  <c r="EG80" i="25"/>
  <c r="EG60" i="25"/>
  <c r="EG69" i="25"/>
  <c r="DE103" i="25"/>
  <c r="DD103" i="25" s="1"/>
  <c r="DK103" i="25" s="1"/>
  <c r="DE94" i="25"/>
  <c r="DD94" i="25" s="1"/>
  <c r="DK94" i="25" s="1"/>
  <c r="DE171" i="25"/>
  <c r="DD171" i="25" s="1"/>
  <c r="DK171" i="25" s="1"/>
  <c r="DE106" i="25"/>
  <c r="DD106" i="25" s="1"/>
  <c r="DK106" i="25" s="1"/>
  <c r="DE146" i="25"/>
  <c r="DD146" i="25" s="1"/>
  <c r="DK146" i="25" s="1"/>
  <c r="DE141" i="25"/>
  <c r="DD141" i="25" s="1"/>
  <c r="DK141" i="25" s="1"/>
  <c r="DE127" i="25"/>
  <c r="DD127" i="25" s="1"/>
  <c r="DK127" i="25" s="1"/>
  <c r="DE104" i="25"/>
  <c r="DD104" i="25" s="1"/>
  <c r="DK104" i="25" s="1"/>
  <c r="DE72" i="25"/>
  <c r="DD72" i="25" s="1"/>
  <c r="DK72" i="25" s="1"/>
  <c r="DE117" i="25"/>
  <c r="DD117" i="25" s="1"/>
  <c r="DK117" i="25" s="1"/>
  <c r="DE130" i="25"/>
  <c r="DD130" i="25" s="1"/>
  <c r="DK130" i="25" s="1"/>
  <c r="DE170" i="25"/>
  <c r="DD170" i="25" s="1"/>
  <c r="DK170" i="25" s="1"/>
  <c r="DE119" i="25"/>
  <c r="DD119" i="25" s="1"/>
  <c r="DK119" i="25" s="1"/>
  <c r="DE214" i="25"/>
  <c r="DD214" i="25" s="1"/>
  <c r="DK214" i="25" s="1"/>
  <c r="DE73" i="25"/>
  <c r="DD73" i="25" s="1"/>
  <c r="DK73" i="25" s="1"/>
  <c r="DE71" i="25"/>
  <c r="DD71" i="25" s="1"/>
  <c r="DK71" i="25" s="1"/>
  <c r="DE192" i="25"/>
  <c r="DD192" i="25" s="1"/>
  <c r="DK192" i="25" s="1"/>
  <c r="DE62" i="25"/>
  <c r="DD62" i="25" s="1"/>
  <c r="DK62" i="25" s="1"/>
  <c r="DE216" i="25"/>
  <c r="DD216" i="25" s="1"/>
  <c r="DK216" i="25" s="1"/>
  <c r="DE122" i="25"/>
  <c r="DD122" i="25" s="1"/>
  <c r="DK122" i="25" s="1"/>
  <c r="DE124" i="25"/>
  <c r="DD124" i="25" s="1"/>
  <c r="DK124" i="25" s="1"/>
  <c r="DE139" i="25"/>
  <c r="DD139" i="25" s="1"/>
  <c r="DK139" i="25" s="1"/>
  <c r="DE115" i="25"/>
  <c r="DD115" i="25" s="1"/>
  <c r="DK115" i="25" s="1"/>
  <c r="DE162" i="25"/>
  <c r="DD162" i="25" s="1"/>
  <c r="DK162" i="25" s="1"/>
  <c r="DE99" i="25"/>
  <c r="DD99" i="25" s="1"/>
  <c r="DK99" i="25" s="1"/>
  <c r="DE134" i="25"/>
  <c r="DD134" i="25" s="1"/>
  <c r="DK134" i="25" s="1"/>
  <c r="DE218" i="25"/>
  <c r="DD218" i="25" s="1"/>
  <c r="DK218" i="25" s="1"/>
  <c r="DE135" i="25"/>
  <c r="DD135" i="25" s="1"/>
  <c r="DK135" i="25" s="1"/>
  <c r="DE66" i="25"/>
  <c r="DD66" i="25" s="1"/>
  <c r="DK66" i="25" s="1"/>
  <c r="DE113" i="25"/>
  <c r="DD113" i="25" s="1"/>
  <c r="DK113" i="25" s="1"/>
  <c r="DE111" i="25"/>
  <c r="DD111" i="25" s="1"/>
  <c r="DK111" i="25" s="1"/>
  <c r="DE116" i="25"/>
  <c r="DD116" i="25" s="1"/>
  <c r="DK116" i="25" s="1"/>
  <c r="DE114" i="25"/>
  <c r="DD114" i="25" s="1"/>
  <c r="DK114" i="25" s="1"/>
  <c r="DE125" i="25"/>
  <c r="DD125" i="25" s="1"/>
  <c r="DK125" i="25" s="1"/>
  <c r="DE95" i="25"/>
  <c r="DD95" i="25" s="1"/>
  <c r="DK95" i="25" s="1"/>
  <c r="DE148" i="25"/>
  <c r="DD148" i="25" s="1"/>
  <c r="DK148" i="25" s="1"/>
  <c r="DE64" i="25"/>
  <c r="DD64" i="25" s="1"/>
  <c r="DK64" i="25" s="1"/>
  <c r="DE142" i="25"/>
  <c r="DD142" i="25" s="1"/>
  <c r="DK142" i="25" s="1"/>
  <c r="DE219" i="25"/>
  <c r="DD219" i="25" s="1"/>
  <c r="DK219" i="25" s="1"/>
  <c r="DE154" i="25"/>
  <c r="DD154" i="25" s="1"/>
  <c r="DK154" i="25" s="1"/>
  <c r="DE147" i="25"/>
  <c r="DD147" i="25" s="1"/>
  <c r="DK147" i="25" s="1"/>
  <c r="DE150" i="25"/>
  <c r="DD150" i="25" s="1"/>
  <c r="DK150" i="25" s="1"/>
  <c r="DE108" i="25"/>
  <c r="DD108" i="25" s="1"/>
  <c r="DK108" i="25" s="1"/>
  <c r="DE129" i="25"/>
  <c r="DD129" i="25" s="1"/>
  <c r="DK129" i="25" s="1"/>
  <c r="DE109" i="25"/>
  <c r="DD109" i="25" s="1"/>
  <c r="DK109" i="25" s="1"/>
  <c r="DE105" i="25"/>
  <c r="DD105" i="25" s="1"/>
  <c r="DK105" i="25" s="1"/>
  <c r="DE11" i="25"/>
  <c r="DD11" i="25" s="1"/>
  <c r="DK11" i="25" s="1"/>
  <c r="DE59" i="25"/>
  <c r="DD59" i="25" s="1"/>
  <c r="DK59" i="25" s="1"/>
  <c r="DE86" i="25"/>
  <c r="DD86" i="25" s="1"/>
  <c r="DK86" i="25" s="1"/>
  <c r="DE184" i="25"/>
  <c r="DD184" i="25" s="1"/>
  <c r="DK184" i="25" s="1"/>
  <c r="DE75" i="25"/>
  <c r="DD75" i="25" s="1"/>
  <c r="DK75" i="25" s="1"/>
  <c r="DE215" i="25"/>
  <c r="DD215" i="25" s="1"/>
  <c r="DK215" i="25" s="1"/>
  <c r="DE69" i="25"/>
  <c r="DD69" i="25" s="1"/>
  <c r="DK69" i="25" s="1"/>
  <c r="DE121" i="25"/>
  <c r="DD121" i="25" s="1"/>
  <c r="DK121" i="25" s="1"/>
  <c r="DE84" i="25"/>
  <c r="DD84" i="25" s="1"/>
  <c r="DK84" i="25" s="1"/>
  <c r="DE110" i="25"/>
  <c r="DD110" i="25" s="1"/>
  <c r="DK110" i="25" s="1"/>
  <c r="DE120" i="25"/>
  <c r="DD120" i="25" s="1"/>
  <c r="DK120" i="25" s="1"/>
  <c r="DE102" i="25"/>
  <c r="DD102" i="25" s="1"/>
  <c r="DK102" i="25" s="1"/>
  <c r="DE96" i="25"/>
  <c r="DD96" i="25" s="1"/>
  <c r="DK96" i="25" s="1"/>
  <c r="DE143" i="25"/>
  <c r="DD143" i="25" s="1"/>
  <c r="DK143" i="25" s="1"/>
  <c r="DE81" i="25"/>
  <c r="DD81" i="25" s="1"/>
  <c r="DK81" i="25" s="1"/>
  <c r="DE217" i="25"/>
  <c r="DD217" i="25" s="1"/>
  <c r="DK217" i="25" s="1"/>
  <c r="DE93" i="25"/>
  <c r="DD93" i="25" s="1"/>
  <c r="DK93" i="25" s="1"/>
  <c r="DE70" i="25"/>
  <c r="DD70" i="25" s="1"/>
  <c r="DK70" i="25" s="1"/>
  <c r="DE101" i="25"/>
  <c r="DD101" i="25" s="1"/>
  <c r="DK101" i="25" s="1"/>
  <c r="DE112" i="25"/>
  <c r="DD112" i="25" s="1"/>
  <c r="DK112" i="25" s="1"/>
  <c r="DE98" i="25"/>
  <c r="DD98" i="25" s="1"/>
  <c r="DK98" i="25" s="1"/>
  <c r="DE97" i="25"/>
  <c r="DD97" i="25" s="1"/>
  <c r="DK97" i="25" s="1"/>
  <c r="DE160" i="25"/>
  <c r="DD160" i="25" s="1"/>
  <c r="DK160" i="25" s="1"/>
  <c r="DE63" i="25"/>
  <c r="DD63" i="25" s="1"/>
  <c r="DK63" i="25" s="1"/>
  <c r="DE156" i="25"/>
  <c r="DD156" i="25" s="1"/>
  <c r="DK156" i="25" s="1"/>
  <c r="DE83" i="25"/>
  <c r="DD83" i="25" s="1"/>
  <c r="DK83" i="25" s="1"/>
  <c r="DE65" i="25"/>
  <c r="DD65" i="25" s="1"/>
  <c r="DK65" i="25" s="1"/>
  <c r="DE76" i="25"/>
  <c r="DD76" i="25" s="1"/>
  <c r="DK76" i="25" s="1"/>
  <c r="DE149" i="25"/>
  <c r="DD149" i="25" s="1"/>
  <c r="DK149" i="25" s="1"/>
  <c r="DE128" i="25"/>
  <c r="DD128" i="25" s="1"/>
  <c r="DK128" i="25" s="1"/>
  <c r="DE107" i="25"/>
  <c r="DD107" i="25" s="1"/>
  <c r="DK107" i="25" s="1"/>
  <c r="DE118" i="25"/>
  <c r="DD118" i="25" s="1"/>
  <c r="DK118" i="25" s="1"/>
  <c r="DE123" i="25"/>
  <c r="DD123" i="25" s="1"/>
  <c r="DK123" i="25" s="1"/>
  <c r="DE100" i="25"/>
  <c r="DD100" i="25" s="1"/>
  <c r="DK100" i="25" s="1"/>
  <c r="DE133" i="25"/>
  <c r="DD133" i="25" s="1"/>
  <c r="DK133" i="25" s="1"/>
  <c r="DE82" i="25"/>
  <c r="DD82" i="25" s="1"/>
  <c r="DK82" i="25" s="1"/>
  <c r="DE137" i="25"/>
  <c r="DD137" i="25" s="1"/>
  <c r="DK137" i="25" s="1"/>
  <c r="DE80" i="25"/>
  <c r="DD80" i="25" s="1"/>
  <c r="DK80" i="25" s="1"/>
  <c r="DE193" i="25"/>
  <c r="DD193" i="25" s="1"/>
  <c r="DK193" i="25" s="1"/>
  <c r="DE60" i="25"/>
  <c r="DD60" i="25" s="1"/>
  <c r="DK60" i="25" s="1"/>
  <c r="DE74" i="25"/>
  <c r="DD74" i="25" s="1"/>
  <c r="DK74" i="25" s="1"/>
  <c r="DE67" i="25"/>
  <c r="DD67" i="25" s="1"/>
  <c r="DK67" i="25" s="1"/>
  <c r="DI172" i="25"/>
  <c r="DJ172" i="25" s="1"/>
  <c r="DE172" i="25"/>
  <c r="DD172" i="25" s="1"/>
  <c r="DK172" i="25" s="1"/>
  <c r="DI61" i="25"/>
  <c r="DJ61" i="25" s="1"/>
  <c r="DE61" i="25"/>
  <c r="DD61" i="25" s="1"/>
  <c r="DK61" i="25" s="1"/>
  <c r="DF68" i="25"/>
  <c r="DE68" i="25"/>
  <c r="DD68" i="25" s="1"/>
  <c r="DK68" i="25" s="1"/>
  <c r="DF131" i="25"/>
  <c r="DE131" i="25"/>
  <c r="DD131" i="25" s="1"/>
  <c r="DK131" i="25" s="1"/>
  <c r="DF126" i="25"/>
  <c r="DE126" i="25"/>
  <c r="DD126" i="25" s="1"/>
  <c r="DK126" i="25" s="1"/>
  <c r="CV155" i="25"/>
  <c r="CY155" i="25" s="1"/>
  <c r="CZ155" i="25" s="1"/>
  <c r="EH128" i="25"/>
  <c r="EH107" i="25"/>
  <c r="EH118" i="25"/>
  <c r="EH123" i="25"/>
  <c r="EH86" i="25"/>
  <c r="EH184" i="25"/>
  <c r="EH70" i="25"/>
  <c r="EH129" i="25"/>
  <c r="CS161" i="25"/>
  <c r="CW161" i="25" s="1"/>
  <c r="CX161" i="25" s="1"/>
  <c r="DA161" i="25" s="1"/>
  <c r="DZ97" i="25"/>
  <c r="CV163" i="25"/>
  <c r="CY163" i="25" s="1"/>
  <c r="CZ163" i="25" s="1"/>
  <c r="DP125" i="25"/>
  <c r="DQ125" i="25" s="1"/>
  <c r="DR125" i="25" s="1"/>
  <c r="DS125" i="25" s="1"/>
  <c r="DP217" i="25"/>
  <c r="DQ217" i="25" s="1"/>
  <c r="DR217" i="25" s="1"/>
  <c r="DS217" i="25" s="1"/>
  <c r="CG133" i="25"/>
  <c r="CS166" i="25"/>
  <c r="CW166" i="25" s="1"/>
  <c r="CX166" i="25" s="1"/>
  <c r="DA166" i="25" s="1"/>
  <c r="CV168" i="25"/>
  <c r="CY168" i="25" s="1"/>
  <c r="CZ168" i="25" s="1"/>
  <c r="CS167" i="25"/>
  <c r="CW167" i="25" s="1"/>
  <c r="CX167" i="25" s="1"/>
  <c r="DA167" i="25" s="1"/>
  <c r="EH148" i="25"/>
  <c r="DP160" i="25"/>
  <c r="DQ160" i="25" s="1"/>
  <c r="DR160" i="25" s="1"/>
  <c r="DS160" i="25" s="1"/>
  <c r="CW158" i="25"/>
  <c r="CX158" i="25" s="1"/>
  <c r="DA158" i="25" s="1"/>
  <c r="EH119" i="25"/>
  <c r="EH214" i="25"/>
  <c r="CS151" i="25"/>
  <c r="CW151" i="25" s="1"/>
  <c r="CX151" i="25" s="1"/>
  <c r="DA151" i="25" s="1"/>
  <c r="DX219" i="25"/>
  <c r="CV158" i="25"/>
  <c r="CY158" i="25" s="1"/>
  <c r="CZ158" i="25" s="1"/>
  <c r="CS175" i="25"/>
  <c r="CW175" i="25" s="1"/>
  <c r="CX175" i="25" s="1"/>
  <c r="DA175" i="25" s="1"/>
  <c r="CV175" i="25"/>
  <c r="CY175" i="25" s="1"/>
  <c r="CZ175" i="25" s="1"/>
  <c r="DX66" i="25"/>
  <c r="CV136" i="25"/>
  <c r="CY136" i="25" s="1"/>
  <c r="CZ136" i="25" s="1"/>
  <c r="CS136" i="25"/>
  <c r="CW136" i="25" s="1"/>
  <c r="CX136" i="25" s="1"/>
  <c r="DA136" i="25" s="1"/>
  <c r="CV174" i="25"/>
  <c r="CY174" i="25" s="1"/>
  <c r="CZ174" i="25" s="1"/>
  <c r="CS174" i="25"/>
  <c r="CW174" i="25" s="1"/>
  <c r="CX174" i="25" s="1"/>
  <c r="DA174" i="25" s="1"/>
  <c r="CV145" i="25"/>
  <c r="CY145" i="25" s="1"/>
  <c r="CZ145" i="25" s="1"/>
  <c r="CS145" i="25"/>
  <c r="CW145" i="25" s="1"/>
  <c r="CX145" i="25" s="1"/>
  <c r="DA145" i="25" s="1"/>
  <c r="CG219" i="25"/>
  <c r="CS159" i="25"/>
  <c r="CW159" i="25" s="1"/>
  <c r="CX159" i="25" s="1"/>
  <c r="DA159" i="25" s="1"/>
  <c r="CV159" i="25"/>
  <c r="CY159" i="25" s="1"/>
  <c r="CZ159" i="25" s="1"/>
  <c r="CV164" i="25"/>
  <c r="CY164" i="25" s="1"/>
  <c r="CZ164" i="25" s="1"/>
  <c r="CS164" i="25"/>
  <c r="CW164" i="25" s="1"/>
  <c r="CX164" i="25" s="1"/>
  <c r="DA164" i="25" s="1"/>
  <c r="CV173" i="25"/>
  <c r="CY173" i="25" s="1"/>
  <c r="CZ173" i="25" s="1"/>
  <c r="CG93" i="25"/>
  <c r="CS144" i="25"/>
  <c r="CW144" i="25" s="1"/>
  <c r="CX144" i="25" s="1"/>
  <c r="DA144" i="25" s="1"/>
  <c r="CV144" i="25"/>
  <c r="CY144" i="25" s="1"/>
  <c r="CZ144" i="25" s="1"/>
  <c r="CV138" i="25"/>
  <c r="CY138" i="25" s="1"/>
  <c r="CZ138" i="25" s="1"/>
  <c r="CS138" i="25"/>
  <c r="CW138" i="25" s="1"/>
  <c r="CX138" i="25" s="1"/>
  <c r="DA138" i="25" s="1"/>
  <c r="CV176" i="25"/>
  <c r="CY176" i="25" s="1"/>
  <c r="CZ176" i="25" s="1"/>
  <c r="CS176" i="25"/>
  <c r="CW176" i="25" s="1"/>
  <c r="CX176" i="25" s="1"/>
  <c r="DA176" i="25" s="1"/>
  <c r="CW173" i="25"/>
  <c r="CX173" i="25" s="1"/>
  <c r="DA173" i="25" s="1"/>
  <c r="CS169" i="25"/>
  <c r="CW169" i="25" s="1"/>
  <c r="CX169" i="25" s="1"/>
  <c r="DA169" i="25" s="1"/>
  <c r="CV169" i="25"/>
  <c r="CY169" i="25" s="1"/>
  <c r="CZ169" i="25" s="1"/>
  <c r="CV157" i="25"/>
  <c r="CY157" i="25" s="1"/>
  <c r="CZ157" i="25" s="1"/>
  <c r="CS157" i="25"/>
  <c r="CW157" i="25" s="1"/>
  <c r="CX157" i="25" s="1"/>
  <c r="DA157" i="25" s="1"/>
  <c r="EH170" i="25"/>
  <c r="EH73" i="25"/>
  <c r="EH71" i="25"/>
  <c r="EH139" i="25"/>
  <c r="CS152" i="25"/>
  <c r="CW152" i="25" s="1"/>
  <c r="CX152" i="25" s="1"/>
  <c r="DA152" i="25" s="1"/>
  <c r="CV152" i="25"/>
  <c r="CY152" i="25" s="1"/>
  <c r="CZ152" i="25" s="1"/>
  <c r="CV165" i="25"/>
  <c r="CY165" i="25" s="1"/>
  <c r="CZ165" i="25" s="1"/>
  <c r="CS165" i="25"/>
  <c r="CW165" i="25" s="1"/>
  <c r="CX165" i="25" s="1"/>
  <c r="DA165" i="25" s="1"/>
  <c r="CG107" i="25"/>
  <c r="CG129" i="25"/>
  <c r="CG59" i="25"/>
  <c r="CG109" i="25"/>
  <c r="CG65" i="25"/>
  <c r="CG76" i="25"/>
  <c r="CG147" i="25"/>
  <c r="DX139" i="25"/>
  <c r="CG128" i="25"/>
  <c r="CG118" i="25"/>
  <c r="CG123" i="25"/>
  <c r="CG126" i="25"/>
  <c r="CG100" i="25"/>
  <c r="CG82" i="25"/>
  <c r="DZ149" i="25"/>
  <c r="DX119" i="25"/>
  <c r="DP71" i="25"/>
  <c r="DQ71" i="25" s="1"/>
  <c r="DR71" i="25" s="1"/>
  <c r="DS71" i="25" s="1"/>
  <c r="CG97" i="25"/>
  <c r="CG68" i="25"/>
  <c r="DX62" i="25"/>
  <c r="DP137" i="25"/>
  <c r="DQ137" i="25" s="1"/>
  <c r="DR137" i="25" s="1"/>
  <c r="DS137" i="25" s="1"/>
  <c r="DP193" i="25"/>
  <c r="DQ193" i="25" s="1"/>
  <c r="DR193" i="25" s="1"/>
  <c r="DS193" i="25" s="1"/>
  <c r="DP75" i="25"/>
  <c r="DQ75" i="25" s="1"/>
  <c r="DR75" i="25" s="1"/>
  <c r="DS75" i="25" s="1"/>
  <c r="CG131" i="25"/>
  <c r="CG108" i="25"/>
  <c r="CG105" i="25"/>
  <c r="CG11" i="25"/>
  <c r="CG154" i="25"/>
  <c r="CG66" i="25"/>
  <c r="EH131" i="25"/>
  <c r="EH108" i="25"/>
  <c r="EH109" i="25"/>
  <c r="EH105" i="25"/>
  <c r="EH11" i="25"/>
  <c r="EH59" i="25"/>
  <c r="EH219" i="25"/>
  <c r="EH154" i="25"/>
  <c r="EH66" i="25"/>
  <c r="CG127" i="25"/>
  <c r="CG104" i="25"/>
  <c r="CG117" i="25"/>
  <c r="CG130" i="25"/>
  <c r="CG170" i="25"/>
  <c r="CG119" i="25"/>
  <c r="CG214" i="25"/>
  <c r="CG73" i="25"/>
  <c r="CG71" i="25"/>
  <c r="CG86" i="25"/>
  <c r="CG184" i="25"/>
  <c r="CG70" i="25"/>
  <c r="DP63" i="25"/>
  <c r="DQ63" i="25" s="1"/>
  <c r="DR63" i="25" s="1"/>
  <c r="DS63" i="25" s="1"/>
  <c r="DZ215" i="25"/>
  <c r="DP131" i="25"/>
  <c r="DQ131" i="25" s="1"/>
  <c r="DR131" i="25" s="1"/>
  <c r="DS131" i="25" s="1"/>
  <c r="DP108" i="25"/>
  <c r="DQ108" i="25" s="1"/>
  <c r="DR108" i="25" s="1"/>
  <c r="DS108" i="25" s="1"/>
  <c r="DP59" i="25"/>
  <c r="DQ59" i="25" s="1"/>
  <c r="DR59" i="25" s="1"/>
  <c r="DS59" i="25" s="1"/>
  <c r="DP154" i="25"/>
  <c r="DQ154" i="25" s="1"/>
  <c r="DR154" i="25" s="1"/>
  <c r="DS154" i="25" s="1"/>
  <c r="DZ156" i="25"/>
  <c r="DX68" i="25"/>
  <c r="CQ112" i="25"/>
  <c r="CQ156" i="25"/>
  <c r="CP109" i="25"/>
  <c r="CR109" i="25" s="1"/>
  <c r="CP59" i="25"/>
  <c r="CR59" i="25" s="1"/>
  <c r="DZ98" i="25"/>
  <c r="DZ129" i="25"/>
  <c r="DX124" i="25"/>
  <c r="DP127" i="25"/>
  <c r="DQ127" i="25" s="1"/>
  <c r="DR127" i="25" s="1"/>
  <c r="DS127" i="25" s="1"/>
  <c r="DP104" i="25"/>
  <c r="DQ104" i="25" s="1"/>
  <c r="DR104" i="25" s="1"/>
  <c r="DS104" i="25" s="1"/>
  <c r="DP117" i="25"/>
  <c r="DQ117" i="25" s="1"/>
  <c r="DR117" i="25" s="1"/>
  <c r="DS117" i="25" s="1"/>
  <c r="DP130" i="25"/>
  <c r="DQ130" i="25" s="1"/>
  <c r="DR130" i="25" s="1"/>
  <c r="DS130" i="25" s="1"/>
  <c r="DP119" i="25"/>
  <c r="DQ119" i="25" s="1"/>
  <c r="DR119" i="25" s="1"/>
  <c r="DS119" i="25" s="1"/>
  <c r="DP73" i="25"/>
  <c r="DQ73" i="25" s="1"/>
  <c r="DR73" i="25" s="1"/>
  <c r="DS73" i="25" s="1"/>
  <c r="DP86" i="25"/>
  <c r="DQ86" i="25" s="1"/>
  <c r="DR86" i="25" s="1"/>
  <c r="DS86" i="25" s="1"/>
  <c r="DP184" i="25"/>
  <c r="DQ184" i="25" s="1"/>
  <c r="DR184" i="25" s="1"/>
  <c r="DS184" i="25" s="1"/>
  <c r="DP172" i="25"/>
  <c r="DQ172" i="25" s="1"/>
  <c r="DR172" i="25" s="1"/>
  <c r="DS172" i="25" s="1"/>
  <c r="EH124" i="25"/>
  <c r="EH172" i="25"/>
  <c r="CQ101" i="25"/>
  <c r="CQ98" i="25"/>
  <c r="CQ97" i="25"/>
  <c r="CQ160" i="25"/>
  <c r="CQ63" i="25"/>
  <c r="CQ83" i="25"/>
  <c r="CQ217" i="25"/>
  <c r="CQ68" i="25"/>
  <c r="CQ71" i="25"/>
  <c r="CG120" i="25"/>
  <c r="CG102" i="25"/>
  <c r="CG96" i="25"/>
  <c r="CG143" i="25"/>
  <c r="CG146" i="25"/>
  <c r="CG134" i="25"/>
  <c r="CG218" i="25"/>
  <c r="CG135" i="25"/>
  <c r="CG74" i="25"/>
  <c r="CG69" i="25"/>
  <c r="EH114" i="25"/>
  <c r="EH125" i="25"/>
  <c r="EH95" i="25"/>
  <c r="EH64" i="25"/>
  <c r="EH142" i="25"/>
  <c r="EH81" i="25"/>
  <c r="EH216" i="25"/>
  <c r="EH67" i="25"/>
  <c r="EH101" i="25"/>
  <c r="EH112" i="25"/>
  <c r="EH98" i="25"/>
  <c r="EH97" i="25"/>
  <c r="CP124" i="25"/>
  <c r="CR124" i="25" s="1"/>
  <c r="CP139" i="25"/>
  <c r="CR139" i="25" s="1"/>
  <c r="CP172" i="25"/>
  <c r="CR172" i="25" s="1"/>
  <c r="CP115" i="25"/>
  <c r="CR115" i="25" s="1"/>
  <c r="CS115" i="25" s="1"/>
  <c r="CW115" i="25" s="1"/>
  <c r="CX115" i="25" s="1"/>
  <c r="DA115" i="25" s="1"/>
  <c r="CQ162" i="25"/>
  <c r="CP99" i="25"/>
  <c r="CR99" i="25" s="1"/>
  <c r="CS99" i="25" s="1"/>
  <c r="CW99" i="25" s="1"/>
  <c r="CX99" i="25" s="1"/>
  <c r="DA99" i="25" s="1"/>
  <c r="CP192" i="25"/>
  <c r="CR192" i="25" s="1"/>
  <c r="CS192" i="25" s="1"/>
  <c r="CW192" i="25" s="1"/>
  <c r="CX192" i="25" s="1"/>
  <c r="DA192" i="25" s="1"/>
  <c r="CP137" i="25"/>
  <c r="CR137" i="25" s="1"/>
  <c r="CP60" i="25"/>
  <c r="CR60" i="25" s="1"/>
  <c r="CP75" i="25"/>
  <c r="CR75" i="25" s="1"/>
  <c r="CP150" i="25"/>
  <c r="CR150" i="25" s="1"/>
  <c r="CP122" i="25"/>
  <c r="CR122" i="25" s="1"/>
  <c r="CP171" i="25"/>
  <c r="CR171" i="25" s="1"/>
  <c r="CP103" i="25"/>
  <c r="CR103" i="25" s="1"/>
  <c r="CS103" i="25" s="1"/>
  <c r="CW103" i="25" s="1"/>
  <c r="CX103" i="25" s="1"/>
  <c r="DA103" i="25" s="1"/>
  <c r="CP72" i="25"/>
  <c r="CR72" i="25" s="1"/>
  <c r="CS72" i="25" s="1"/>
  <c r="CW72" i="25" s="1"/>
  <c r="CX72" i="25" s="1"/>
  <c r="DA72" i="25" s="1"/>
  <c r="CP62" i="25"/>
  <c r="CR62" i="25" s="1"/>
  <c r="CS62" i="25" s="1"/>
  <c r="CW62" i="25" s="1"/>
  <c r="CX62" i="25" s="1"/>
  <c r="DA62" i="25" s="1"/>
  <c r="CP215" i="25"/>
  <c r="CR215" i="25" s="1"/>
  <c r="CS215" i="25" s="1"/>
  <c r="CW215" i="25" s="1"/>
  <c r="CX215" i="25" s="1"/>
  <c r="DA215" i="25" s="1"/>
  <c r="CG122" i="25"/>
  <c r="CG171" i="25"/>
  <c r="CG106" i="25"/>
  <c r="CG103" i="25"/>
  <c r="CG94" i="25"/>
  <c r="CG141" i="25"/>
  <c r="CG72" i="25"/>
  <c r="CG62" i="25"/>
  <c r="CG61" i="25"/>
  <c r="CG215" i="25"/>
  <c r="CG149" i="25"/>
  <c r="DP121" i="25"/>
  <c r="DQ121" i="25" s="1"/>
  <c r="DR121" i="25" s="1"/>
  <c r="DS121" i="25" s="1"/>
  <c r="DP84" i="25"/>
  <c r="DQ84" i="25" s="1"/>
  <c r="DR84" i="25" s="1"/>
  <c r="DS84" i="25" s="1"/>
  <c r="DP110" i="25"/>
  <c r="DQ110" i="25" s="1"/>
  <c r="DR110" i="25" s="1"/>
  <c r="DS110" i="25" s="1"/>
  <c r="DP120" i="25"/>
  <c r="DQ120" i="25" s="1"/>
  <c r="DR120" i="25" s="1"/>
  <c r="DS120" i="25" s="1"/>
  <c r="DP102" i="25"/>
  <c r="DQ102" i="25" s="1"/>
  <c r="DR102" i="25" s="1"/>
  <c r="DS102" i="25" s="1"/>
  <c r="DP96" i="25"/>
  <c r="DQ96" i="25" s="1"/>
  <c r="DR96" i="25" s="1"/>
  <c r="DS96" i="25" s="1"/>
  <c r="DP143" i="25"/>
  <c r="DQ143" i="25" s="1"/>
  <c r="DR143" i="25" s="1"/>
  <c r="DS143" i="25" s="1"/>
  <c r="DP146" i="25"/>
  <c r="DQ146" i="25" s="1"/>
  <c r="DR146" i="25" s="1"/>
  <c r="DS146" i="25" s="1"/>
  <c r="DP134" i="25"/>
  <c r="DQ134" i="25" s="1"/>
  <c r="DR134" i="25" s="1"/>
  <c r="DS134" i="25" s="1"/>
  <c r="DP218" i="25"/>
  <c r="DQ218" i="25" s="1"/>
  <c r="DR218" i="25" s="1"/>
  <c r="DS218" i="25" s="1"/>
  <c r="DP135" i="25"/>
  <c r="DQ135" i="25" s="1"/>
  <c r="DR135" i="25" s="1"/>
  <c r="DS135" i="25" s="1"/>
  <c r="DP74" i="25"/>
  <c r="DQ74" i="25" s="1"/>
  <c r="DR74" i="25" s="1"/>
  <c r="DS74" i="25" s="1"/>
  <c r="DP69" i="25"/>
  <c r="DQ69" i="25" s="1"/>
  <c r="DR69" i="25" s="1"/>
  <c r="DS69" i="25" s="1"/>
  <c r="DZ70" i="25"/>
  <c r="CP107" i="25"/>
  <c r="CR107" i="25" s="1"/>
  <c r="CP123" i="25"/>
  <c r="CR123" i="25" s="1"/>
  <c r="CP100" i="25"/>
  <c r="CR100" i="25" s="1"/>
  <c r="CP65" i="25"/>
  <c r="CR65" i="25" s="1"/>
  <c r="CP76" i="25"/>
  <c r="CR76" i="25" s="1"/>
  <c r="CP147" i="25"/>
  <c r="CR147" i="25" s="1"/>
  <c r="CP93" i="25"/>
  <c r="CR93" i="25" s="1"/>
  <c r="CQ127" i="25"/>
  <c r="CQ104" i="25"/>
  <c r="CQ117" i="25"/>
  <c r="CQ130" i="25"/>
  <c r="CQ170" i="25"/>
  <c r="CQ119" i="25"/>
  <c r="CQ214" i="25"/>
  <c r="CQ73" i="25"/>
  <c r="CQ86" i="25"/>
  <c r="CQ184" i="25"/>
  <c r="CQ70" i="25"/>
  <c r="DX86" i="25"/>
  <c r="DP113" i="25"/>
  <c r="DQ113" i="25" s="1"/>
  <c r="DR113" i="25" s="1"/>
  <c r="DS113" i="25" s="1"/>
  <c r="DP111" i="25"/>
  <c r="DQ111" i="25" s="1"/>
  <c r="DR111" i="25" s="1"/>
  <c r="DS111" i="25" s="1"/>
  <c r="DP116" i="25"/>
  <c r="DQ116" i="25" s="1"/>
  <c r="DR116" i="25" s="1"/>
  <c r="DS116" i="25" s="1"/>
  <c r="DP114" i="25"/>
  <c r="DQ114" i="25" s="1"/>
  <c r="DR114" i="25" s="1"/>
  <c r="DS114" i="25" s="1"/>
  <c r="DP95" i="25"/>
  <c r="DQ95" i="25" s="1"/>
  <c r="DR95" i="25" s="1"/>
  <c r="DS95" i="25" s="1"/>
  <c r="DP148" i="25"/>
  <c r="DQ148" i="25" s="1"/>
  <c r="DR148" i="25" s="1"/>
  <c r="DS148" i="25" s="1"/>
  <c r="DP64" i="25"/>
  <c r="DQ64" i="25" s="1"/>
  <c r="DR64" i="25" s="1"/>
  <c r="DS64" i="25" s="1"/>
  <c r="DP142" i="25"/>
  <c r="DQ142" i="25" s="1"/>
  <c r="DR142" i="25" s="1"/>
  <c r="DS142" i="25" s="1"/>
  <c r="DP81" i="25"/>
  <c r="DQ81" i="25" s="1"/>
  <c r="DR81" i="25" s="1"/>
  <c r="DS81" i="25" s="1"/>
  <c r="DP216" i="25"/>
  <c r="DQ216" i="25" s="1"/>
  <c r="DR216" i="25" s="1"/>
  <c r="DS216" i="25" s="1"/>
  <c r="DP67" i="25"/>
  <c r="DQ67" i="25" s="1"/>
  <c r="DR67" i="25" s="1"/>
  <c r="DS67" i="25" s="1"/>
  <c r="CG101" i="25"/>
  <c r="CG112" i="25"/>
  <c r="CG98" i="25"/>
  <c r="CG160" i="25"/>
  <c r="CG63" i="25"/>
  <c r="CG156" i="25"/>
  <c r="CG83" i="25"/>
  <c r="CG217" i="25"/>
  <c r="DX69" i="25"/>
  <c r="DZ214" i="25"/>
  <c r="EH106" i="25"/>
  <c r="EH103" i="25"/>
  <c r="EH94" i="25"/>
  <c r="EH141" i="25"/>
  <c r="EH72" i="25"/>
  <c r="EH62" i="25"/>
  <c r="EH61" i="25"/>
  <c r="EH215" i="25"/>
  <c r="EH149" i="25"/>
  <c r="DZ73" i="25"/>
  <c r="DZ184" i="25"/>
  <c r="DX170" i="25"/>
  <c r="CG124" i="25"/>
  <c r="CG139" i="25"/>
  <c r="CG172" i="25"/>
  <c r="CG115" i="25"/>
  <c r="CG162" i="25"/>
  <c r="DP101" i="25"/>
  <c r="DQ101" i="25" s="1"/>
  <c r="DR101" i="25" s="1"/>
  <c r="DS101" i="25" s="1"/>
  <c r="CV140" i="25"/>
  <c r="CY140" i="25" s="1"/>
  <c r="CZ140" i="25" s="1"/>
  <c r="DP128" i="25"/>
  <c r="DQ128" i="25" s="1"/>
  <c r="DR128" i="25" s="1"/>
  <c r="DS128" i="25" s="1"/>
  <c r="DP107" i="25"/>
  <c r="DQ107" i="25" s="1"/>
  <c r="DR107" i="25" s="1"/>
  <c r="DS107" i="25" s="1"/>
  <c r="DP118" i="25"/>
  <c r="DQ118" i="25" s="1"/>
  <c r="DR118" i="25" s="1"/>
  <c r="DS118" i="25" s="1"/>
  <c r="DP123" i="25"/>
  <c r="DQ123" i="25" s="1"/>
  <c r="DR123" i="25" s="1"/>
  <c r="DS123" i="25" s="1"/>
  <c r="DP126" i="25"/>
  <c r="DQ126" i="25" s="1"/>
  <c r="DR126" i="25" s="1"/>
  <c r="DS126" i="25" s="1"/>
  <c r="DP100" i="25"/>
  <c r="DQ100" i="25" s="1"/>
  <c r="DR100" i="25" s="1"/>
  <c r="DS100" i="25" s="1"/>
  <c r="DP133" i="25"/>
  <c r="DQ133" i="25" s="1"/>
  <c r="DR133" i="25" s="1"/>
  <c r="DS133" i="25" s="1"/>
  <c r="DP82" i="25"/>
  <c r="DQ82" i="25" s="1"/>
  <c r="DR82" i="25" s="1"/>
  <c r="DS82" i="25" s="1"/>
  <c r="DP65" i="25"/>
  <c r="DQ65" i="25" s="1"/>
  <c r="DR65" i="25" s="1"/>
  <c r="DS65" i="25" s="1"/>
  <c r="DP76" i="25"/>
  <c r="DQ76" i="25" s="1"/>
  <c r="DR76" i="25" s="1"/>
  <c r="DS76" i="25" s="1"/>
  <c r="DP147" i="25"/>
  <c r="DQ147" i="25" s="1"/>
  <c r="DR147" i="25" s="1"/>
  <c r="DS147" i="25" s="1"/>
  <c r="DP93" i="25"/>
  <c r="DQ93" i="25" s="1"/>
  <c r="DR93" i="25" s="1"/>
  <c r="DS93" i="25" s="1"/>
  <c r="CP162" i="25"/>
  <c r="CR162" i="25" s="1"/>
  <c r="CS162" i="25" s="1"/>
  <c r="CW162" i="25" s="1"/>
  <c r="CX162" i="25" s="1"/>
  <c r="DA162" i="25" s="1"/>
  <c r="CQ108" i="25"/>
  <c r="DP124" i="25"/>
  <c r="DQ124" i="25" s="1"/>
  <c r="DR124" i="25" s="1"/>
  <c r="DS124" i="25" s="1"/>
  <c r="DP139" i="25"/>
  <c r="DQ139" i="25" s="1"/>
  <c r="DR139" i="25" s="1"/>
  <c r="DS139" i="25" s="1"/>
  <c r="DP115" i="25"/>
  <c r="DQ115" i="25" s="1"/>
  <c r="DR115" i="25" s="1"/>
  <c r="DS115" i="25" s="1"/>
  <c r="DP162" i="25"/>
  <c r="DQ162" i="25" s="1"/>
  <c r="DR162" i="25" s="1"/>
  <c r="DS162" i="25" s="1"/>
  <c r="DP99" i="25"/>
  <c r="DQ99" i="25" s="1"/>
  <c r="DR99" i="25" s="1"/>
  <c r="DS99" i="25" s="1"/>
  <c r="DP192" i="25"/>
  <c r="DQ192" i="25" s="1"/>
  <c r="DR192" i="25" s="1"/>
  <c r="DS192" i="25" s="1"/>
  <c r="DP80" i="25"/>
  <c r="DQ80" i="25" s="1"/>
  <c r="DR80" i="25" s="1"/>
  <c r="DS80" i="25" s="1"/>
  <c r="DP60" i="25"/>
  <c r="DQ60" i="25" s="1"/>
  <c r="DR60" i="25" s="1"/>
  <c r="DS60" i="25" s="1"/>
  <c r="DP150" i="25"/>
  <c r="DQ150" i="25" s="1"/>
  <c r="DR150" i="25" s="1"/>
  <c r="DS150" i="25" s="1"/>
  <c r="CQ150" i="25"/>
  <c r="EH160" i="25"/>
  <c r="EH63" i="25"/>
  <c r="EH156" i="25"/>
  <c r="EH83" i="25"/>
  <c r="EH217" i="25"/>
  <c r="EH68" i="25"/>
  <c r="DX121" i="25"/>
  <c r="DX93" i="25"/>
  <c r="DZ110" i="25"/>
  <c r="DX84" i="25"/>
  <c r="DX74" i="25"/>
  <c r="DX172" i="25"/>
  <c r="DT184" i="25"/>
  <c r="DZ80" i="25"/>
  <c r="DX150" i="25"/>
  <c r="DP170" i="25"/>
  <c r="DQ170" i="25" s="1"/>
  <c r="DR170" i="25" s="1"/>
  <c r="DS170" i="25" s="1"/>
  <c r="DP214" i="25"/>
  <c r="DQ214" i="25" s="1"/>
  <c r="DR214" i="25" s="1"/>
  <c r="DS214" i="25" s="1"/>
  <c r="DP70" i="25"/>
  <c r="DQ70" i="25" s="1"/>
  <c r="DR70" i="25" s="1"/>
  <c r="DS70" i="25" s="1"/>
  <c r="CQ172" i="25"/>
  <c r="CQ60" i="25"/>
  <c r="DP112" i="25"/>
  <c r="DQ112" i="25" s="1"/>
  <c r="DR112" i="25" s="1"/>
  <c r="DS112" i="25" s="1"/>
  <c r="DP98" i="25"/>
  <c r="DQ98" i="25" s="1"/>
  <c r="DR98" i="25" s="1"/>
  <c r="DS98" i="25" s="1"/>
  <c r="DP97" i="25"/>
  <c r="DQ97" i="25" s="1"/>
  <c r="DR97" i="25" s="1"/>
  <c r="DS97" i="25" s="1"/>
  <c r="DP156" i="25"/>
  <c r="DQ156" i="25" s="1"/>
  <c r="DR156" i="25" s="1"/>
  <c r="DS156" i="25" s="1"/>
  <c r="DP83" i="25"/>
  <c r="DQ83" i="25" s="1"/>
  <c r="DR83" i="25" s="1"/>
  <c r="DS83" i="25" s="1"/>
  <c r="DP68" i="25"/>
  <c r="DQ68" i="25" s="1"/>
  <c r="DR68" i="25" s="1"/>
  <c r="DS68" i="25" s="1"/>
  <c r="CQ137" i="25"/>
  <c r="DP129" i="25"/>
  <c r="DQ129" i="25" s="1"/>
  <c r="DR129" i="25" s="1"/>
  <c r="DS129" i="25" s="1"/>
  <c r="DP109" i="25"/>
  <c r="DQ109" i="25" s="1"/>
  <c r="DR109" i="25" s="1"/>
  <c r="DS109" i="25" s="1"/>
  <c r="DP105" i="25"/>
  <c r="DQ105" i="25" s="1"/>
  <c r="DR105" i="25" s="1"/>
  <c r="DS105" i="25" s="1"/>
  <c r="DP11" i="25"/>
  <c r="DQ11" i="25" s="1"/>
  <c r="DR11" i="25" s="1"/>
  <c r="DS11" i="25" s="1"/>
  <c r="DP219" i="25"/>
  <c r="DQ219" i="25" s="1"/>
  <c r="DR219" i="25" s="1"/>
  <c r="DS219" i="25" s="1"/>
  <c r="DP66" i="25"/>
  <c r="DQ66" i="25" s="1"/>
  <c r="DR66" i="25" s="1"/>
  <c r="DS66" i="25" s="1"/>
  <c r="CQ122" i="25"/>
  <c r="CQ171" i="25"/>
  <c r="CQ106" i="25"/>
  <c r="CQ103" i="25"/>
  <c r="CQ94" i="25"/>
  <c r="CQ141" i="25"/>
  <c r="CQ72" i="25"/>
  <c r="CQ62" i="25"/>
  <c r="CQ61" i="25"/>
  <c r="CQ215" i="25"/>
  <c r="CQ149" i="25"/>
  <c r="CG99" i="25"/>
  <c r="CG192" i="25"/>
  <c r="CG137" i="25"/>
  <c r="CG80" i="25"/>
  <c r="CG193" i="25"/>
  <c r="CG60" i="25"/>
  <c r="CG75" i="25"/>
  <c r="CG150" i="25"/>
  <c r="CV153" i="25"/>
  <c r="CY153" i="25" s="1"/>
  <c r="CZ153" i="25" s="1"/>
  <c r="EH121" i="25"/>
  <c r="EH84" i="25"/>
  <c r="EH110" i="25"/>
  <c r="CQ124" i="25"/>
  <c r="CQ75" i="25"/>
  <c r="CQ109" i="25"/>
  <c r="CQ11" i="25"/>
  <c r="CQ59" i="25"/>
  <c r="CQ219" i="25"/>
  <c r="CQ154" i="25"/>
  <c r="CQ128" i="25"/>
  <c r="CQ107" i="25"/>
  <c r="CQ118" i="25"/>
  <c r="CQ123" i="25"/>
  <c r="CQ126" i="25"/>
  <c r="CQ100" i="25"/>
  <c r="CQ133" i="25"/>
  <c r="CQ82" i="25"/>
  <c r="CQ65" i="25"/>
  <c r="CQ76" i="25"/>
  <c r="CQ147" i="25"/>
  <c r="CQ93" i="25"/>
  <c r="CP127" i="25"/>
  <c r="CR127" i="25" s="1"/>
  <c r="CP104" i="25"/>
  <c r="CR104" i="25" s="1"/>
  <c r="CP117" i="25"/>
  <c r="CR117" i="25" s="1"/>
  <c r="CP130" i="25"/>
  <c r="CR130" i="25" s="1"/>
  <c r="CP170" i="25"/>
  <c r="CR170" i="25" s="1"/>
  <c r="CP119" i="25"/>
  <c r="CR119" i="25" s="1"/>
  <c r="CP214" i="25"/>
  <c r="CR214" i="25" s="1"/>
  <c r="CP73" i="25"/>
  <c r="CR73" i="25" s="1"/>
  <c r="CP71" i="25"/>
  <c r="CR71" i="25" s="1"/>
  <c r="CQ66" i="25"/>
  <c r="CP128" i="25"/>
  <c r="CR128" i="25" s="1"/>
  <c r="CP118" i="25"/>
  <c r="CR118" i="25" s="1"/>
  <c r="CP126" i="25"/>
  <c r="CR126" i="25" s="1"/>
  <c r="CP133" i="25"/>
  <c r="CR133" i="25" s="1"/>
  <c r="CP82" i="25"/>
  <c r="CR82" i="25" s="1"/>
  <c r="CP86" i="25"/>
  <c r="CR86" i="25" s="1"/>
  <c r="CP184" i="25"/>
  <c r="CR184" i="25" s="1"/>
  <c r="CP70" i="25"/>
  <c r="CR70" i="25" s="1"/>
  <c r="CQ139" i="25"/>
  <c r="CQ115" i="25"/>
  <c r="CQ99" i="25"/>
  <c r="CQ192" i="25"/>
  <c r="CP80" i="25"/>
  <c r="CR80" i="25" s="1"/>
  <c r="CS80" i="25" s="1"/>
  <c r="CW80" i="25" s="1"/>
  <c r="CX80" i="25" s="1"/>
  <c r="DA80" i="25" s="1"/>
  <c r="CP193" i="25"/>
  <c r="CR193" i="25" s="1"/>
  <c r="CS193" i="25" s="1"/>
  <c r="CW193" i="25" s="1"/>
  <c r="CX193" i="25" s="1"/>
  <c r="DA193" i="25" s="1"/>
  <c r="CG113" i="25"/>
  <c r="CG111" i="25"/>
  <c r="CG116" i="25"/>
  <c r="CG114" i="25"/>
  <c r="CG125" i="25"/>
  <c r="CG95" i="25"/>
  <c r="CG148" i="25"/>
  <c r="CG64" i="25"/>
  <c r="CG142" i="25"/>
  <c r="CG81" i="25"/>
  <c r="CG216" i="25"/>
  <c r="CG67" i="25"/>
  <c r="DT73" i="25"/>
  <c r="DZ94" i="25"/>
  <c r="DZ61" i="25"/>
  <c r="DX103" i="25"/>
  <c r="CQ131" i="25"/>
  <c r="CP131" i="25"/>
  <c r="CR131" i="25" s="1"/>
  <c r="CQ129" i="25"/>
  <c r="CP129" i="25"/>
  <c r="CR129" i="25" s="1"/>
  <c r="CQ105" i="25"/>
  <c r="CP105" i="25"/>
  <c r="CR105" i="25" s="1"/>
  <c r="DZ142" i="25"/>
  <c r="DX118" i="25"/>
  <c r="DX67" i="25"/>
  <c r="CP108" i="25"/>
  <c r="CR108" i="25" s="1"/>
  <c r="DX141" i="25"/>
  <c r="DZ81" i="25"/>
  <c r="DX72" i="25"/>
  <c r="DT216" i="25"/>
  <c r="DP122" i="25"/>
  <c r="DQ122" i="25" s="1"/>
  <c r="DR122" i="25" s="1"/>
  <c r="DS122" i="25" s="1"/>
  <c r="DP171" i="25"/>
  <c r="DQ171" i="25" s="1"/>
  <c r="DR171" i="25" s="1"/>
  <c r="DS171" i="25" s="1"/>
  <c r="DP106" i="25"/>
  <c r="DQ106" i="25" s="1"/>
  <c r="DR106" i="25" s="1"/>
  <c r="DS106" i="25" s="1"/>
  <c r="DP103" i="25"/>
  <c r="DQ103" i="25" s="1"/>
  <c r="DR103" i="25" s="1"/>
  <c r="DS103" i="25" s="1"/>
  <c r="DP94" i="25"/>
  <c r="DQ94" i="25" s="1"/>
  <c r="DR94" i="25" s="1"/>
  <c r="DS94" i="25" s="1"/>
  <c r="DP141" i="25"/>
  <c r="DQ141" i="25" s="1"/>
  <c r="DR141" i="25" s="1"/>
  <c r="DS141" i="25" s="1"/>
  <c r="DP72" i="25"/>
  <c r="DQ72" i="25" s="1"/>
  <c r="DR72" i="25" s="1"/>
  <c r="DS72" i="25" s="1"/>
  <c r="DP62" i="25"/>
  <c r="DQ62" i="25" s="1"/>
  <c r="DR62" i="25" s="1"/>
  <c r="DS62" i="25" s="1"/>
  <c r="DP61" i="25"/>
  <c r="DQ61" i="25" s="1"/>
  <c r="DR61" i="25" s="1"/>
  <c r="DS61" i="25" s="1"/>
  <c r="DP215" i="25"/>
  <c r="DQ215" i="25" s="1"/>
  <c r="DR215" i="25" s="1"/>
  <c r="DS215" i="25" s="1"/>
  <c r="DP149" i="25"/>
  <c r="DQ149" i="25" s="1"/>
  <c r="DR149" i="25" s="1"/>
  <c r="DS149" i="25" s="1"/>
  <c r="CP11" i="25"/>
  <c r="CR11" i="25" s="1"/>
  <c r="DZ125" i="25"/>
  <c r="DX106" i="25"/>
  <c r="DX134" i="25"/>
  <c r="DZ100" i="25"/>
  <c r="DX114" i="25"/>
  <c r="CG121" i="25"/>
  <c r="CG84" i="25"/>
  <c r="CG110" i="25"/>
  <c r="CQ80" i="25"/>
  <c r="CQ193" i="25"/>
  <c r="CP106" i="25"/>
  <c r="CR106" i="25" s="1"/>
  <c r="CS106" i="25" s="1"/>
  <c r="CW106" i="25" s="1"/>
  <c r="CX106" i="25" s="1"/>
  <c r="DA106" i="25" s="1"/>
  <c r="CP94" i="25"/>
  <c r="CR94" i="25" s="1"/>
  <c r="CP141" i="25"/>
  <c r="CR141" i="25" s="1"/>
  <c r="CP149" i="25"/>
  <c r="CR149" i="25" s="1"/>
  <c r="CS149" i="25" s="1"/>
  <c r="CW149" i="25" s="1"/>
  <c r="CX149" i="25" s="1"/>
  <c r="DA149" i="25" s="1"/>
  <c r="CP61" i="25"/>
  <c r="CR61" i="25" s="1"/>
  <c r="CS61" i="25" s="1"/>
  <c r="CW61" i="25" s="1"/>
  <c r="CX61" i="25" s="1"/>
  <c r="DA61" i="25" s="1"/>
  <c r="CQ121" i="25"/>
  <c r="CP121" i="25"/>
  <c r="CR121" i="25" s="1"/>
  <c r="CS121" i="25" s="1"/>
  <c r="CW121" i="25" s="1"/>
  <c r="CX121" i="25" s="1"/>
  <c r="DA121" i="25" s="1"/>
  <c r="CQ84" i="25"/>
  <c r="CP84" i="25"/>
  <c r="CR84" i="25" s="1"/>
  <c r="CS84" i="25" s="1"/>
  <c r="CW84" i="25" s="1"/>
  <c r="CX84" i="25" s="1"/>
  <c r="DA84" i="25" s="1"/>
  <c r="CQ110" i="25"/>
  <c r="CP110" i="25"/>
  <c r="CR110" i="25" s="1"/>
  <c r="CS110" i="25" s="1"/>
  <c r="CW110" i="25" s="1"/>
  <c r="CX110" i="25" s="1"/>
  <c r="DA110" i="25" s="1"/>
  <c r="CQ120" i="25"/>
  <c r="CP120" i="25"/>
  <c r="CR120" i="25" s="1"/>
  <c r="CS120" i="25" s="1"/>
  <c r="CW120" i="25" s="1"/>
  <c r="CX120" i="25" s="1"/>
  <c r="DA120" i="25" s="1"/>
  <c r="CQ102" i="25"/>
  <c r="CP102" i="25"/>
  <c r="CR102" i="25" s="1"/>
  <c r="CQ96" i="25"/>
  <c r="CP96" i="25"/>
  <c r="CR96" i="25" s="1"/>
  <c r="CS96" i="25" s="1"/>
  <c r="CW96" i="25" s="1"/>
  <c r="CX96" i="25" s="1"/>
  <c r="DA96" i="25" s="1"/>
  <c r="CQ143" i="25"/>
  <c r="CP143" i="25"/>
  <c r="CR143" i="25" s="1"/>
  <c r="CS143" i="25" s="1"/>
  <c r="CW143" i="25" s="1"/>
  <c r="CX143" i="25" s="1"/>
  <c r="DA143" i="25" s="1"/>
  <c r="CQ146" i="25"/>
  <c r="CP146" i="25"/>
  <c r="CR146" i="25" s="1"/>
  <c r="CQ134" i="25"/>
  <c r="CP134" i="25"/>
  <c r="CR134" i="25" s="1"/>
  <c r="CS134" i="25" s="1"/>
  <c r="CW134" i="25" s="1"/>
  <c r="CX134" i="25" s="1"/>
  <c r="DA134" i="25" s="1"/>
  <c r="CQ218" i="25"/>
  <c r="CP218" i="25"/>
  <c r="CR218" i="25" s="1"/>
  <c r="CS218" i="25" s="1"/>
  <c r="CW218" i="25" s="1"/>
  <c r="CX218" i="25" s="1"/>
  <c r="DA218" i="25" s="1"/>
  <c r="CQ135" i="25"/>
  <c r="CP135" i="25"/>
  <c r="CR135" i="25" s="1"/>
  <c r="CS135" i="25" s="1"/>
  <c r="CW135" i="25" s="1"/>
  <c r="CX135" i="25" s="1"/>
  <c r="DA135" i="25" s="1"/>
  <c r="CQ74" i="25"/>
  <c r="CP74" i="25"/>
  <c r="CR74" i="25" s="1"/>
  <c r="CQ69" i="25"/>
  <c r="CP69" i="25"/>
  <c r="CR69" i="25" s="1"/>
  <c r="CS69" i="25" s="1"/>
  <c r="CW69" i="25" s="1"/>
  <c r="CX69" i="25" s="1"/>
  <c r="DA69" i="25" s="1"/>
  <c r="CQ113" i="25"/>
  <c r="CP113" i="25"/>
  <c r="CR113" i="25" s="1"/>
  <c r="CQ111" i="25"/>
  <c r="CP111" i="25"/>
  <c r="CR111" i="25" s="1"/>
  <c r="CS111" i="25" s="1"/>
  <c r="CW111" i="25" s="1"/>
  <c r="CX111" i="25" s="1"/>
  <c r="DA111" i="25" s="1"/>
  <c r="CQ116" i="25"/>
  <c r="CP116" i="25"/>
  <c r="CR116" i="25" s="1"/>
  <c r="CS116" i="25" s="1"/>
  <c r="CW116" i="25" s="1"/>
  <c r="CX116" i="25" s="1"/>
  <c r="DA116" i="25" s="1"/>
  <c r="CQ114" i="25"/>
  <c r="CP114" i="25"/>
  <c r="CR114" i="25" s="1"/>
  <c r="CQ125" i="25"/>
  <c r="CP125" i="25"/>
  <c r="CR125" i="25" s="1"/>
  <c r="CQ95" i="25"/>
  <c r="CP95" i="25"/>
  <c r="CR95" i="25" s="1"/>
  <c r="CQ148" i="25"/>
  <c r="CP148" i="25"/>
  <c r="CR148" i="25" s="1"/>
  <c r="CQ64" i="25"/>
  <c r="CP64" i="25"/>
  <c r="CR64" i="25" s="1"/>
  <c r="CQ142" i="25"/>
  <c r="CP142" i="25"/>
  <c r="CR142" i="25" s="1"/>
  <c r="CQ81" i="25"/>
  <c r="CP81" i="25"/>
  <c r="CR81" i="25" s="1"/>
  <c r="CQ216" i="25"/>
  <c r="CP216" i="25"/>
  <c r="CR216" i="25" s="1"/>
  <c r="CQ67" i="25"/>
  <c r="CP67" i="25"/>
  <c r="CR67" i="25" s="1"/>
  <c r="CP101" i="25"/>
  <c r="CR101" i="25" s="1"/>
  <c r="CP112" i="25"/>
  <c r="CR112" i="25" s="1"/>
  <c r="CP98" i="25"/>
  <c r="CR98" i="25" s="1"/>
  <c r="CP97" i="25"/>
  <c r="CR97" i="25" s="1"/>
  <c r="CP160" i="25"/>
  <c r="CR160" i="25" s="1"/>
  <c r="CP63" i="25"/>
  <c r="CR63" i="25" s="1"/>
  <c r="CP156" i="25"/>
  <c r="CR156" i="25" s="1"/>
  <c r="CP83" i="25"/>
  <c r="CR83" i="25" s="1"/>
  <c r="CP217" i="25"/>
  <c r="CR217" i="25" s="1"/>
  <c r="CP68" i="25"/>
  <c r="CR68" i="25" s="1"/>
  <c r="CP219" i="25"/>
  <c r="CR219" i="25" s="1"/>
  <c r="CP154" i="25"/>
  <c r="CR154" i="25" s="1"/>
  <c r="CP66" i="25"/>
  <c r="CR66" i="25" s="1"/>
  <c r="DZ131" i="25"/>
  <c r="DZ109" i="25"/>
  <c r="DZ143" i="25"/>
  <c r="DZ76" i="25"/>
  <c r="DX65" i="25"/>
  <c r="DX216" i="25"/>
  <c r="DZ108" i="25"/>
  <c r="DX147" i="25"/>
  <c r="DZ96" i="25"/>
  <c r="DZ63" i="25"/>
  <c r="DZ83" i="25"/>
  <c r="DX101" i="25"/>
  <c r="DZ160" i="25"/>
  <c r="DZ133" i="25"/>
  <c r="DZ60" i="25"/>
  <c r="DZ113" i="25"/>
  <c r="DZ116" i="25"/>
  <c r="DZ102" i="25"/>
  <c r="DX117" i="25"/>
  <c r="DX127" i="25"/>
  <c r="DZ11" i="25"/>
  <c r="DZ146" i="25"/>
  <c r="DZ193" i="25"/>
  <c r="EH113" i="25"/>
  <c r="DZ111" i="25"/>
  <c r="DZ120" i="25"/>
  <c r="EH111" i="25"/>
  <c r="EH116" i="25"/>
  <c r="EH120" i="25"/>
  <c r="EH102" i="25"/>
  <c r="EH96" i="25"/>
  <c r="EH143" i="25"/>
  <c r="EH146" i="25"/>
  <c r="EH134" i="25"/>
  <c r="EH218" i="25"/>
  <c r="EH135" i="25"/>
  <c r="EH74" i="25"/>
  <c r="EH69" i="25"/>
  <c r="EH127" i="25"/>
  <c r="EH104" i="25"/>
  <c r="EH117" i="25"/>
  <c r="EH130" i="25"/>
  <c r="EH126" i="25"/>
  <c r="EH100" i="25"/>
  <c r="EH133" i="25"/>
  <c r="EH82" i="25"/>
  <c r="EH65" i="25"/>
  <c r="EH76" i="25"/>
  <c r="EH147" i="25"/>
  <c r="EH93" i="25"/>
  <c r="DZ105" i="25"/>
  <c r="DZ112" i="25"/>
  <c r="DZ123" i="25"/>
  <c r="DZ126" i="25"/>
  <c r="DX64" i="25"/>
  <c r="DT98" i="25"/>
  <c r="DT114" i="25"/>
  <c r="DT95" i="25"/>
  <c r="DT64" i="25"/>
  <c r="DZ130" i="25"/>
  <c r="DT122" i="25"/>
  <c r="DZ107" i="25"/>
  <c r="DZ148" i="25"/>
  <c r="DZ82" i="25"/>
  <c r="DX154" i="25"/>
  <c r="DT171" i="25"/>
  <c r="DT162" i="25"/>
  <c r="DZ128" i="25"/>
  <c r="DZ104" i="25"/>
  <c r="DZ95" i="25"/>
  <c r="DZ71" i="25"/>
  <c r="DT112" i="25"/>
  <c r="DZ59" i="25"/>
  <c r="DT97" i="25"/>
  <c r="DT125" i="25"/>
  <c r="DT148" i="25"/>
  <c r="DT116" i="25"/>
  <c r="DX135" i="25"/>
  <c r="DT96" i="25"/>
  <c r="DT83" i="25"/>
  <c r="DT109" i="25"/>
  <c r="DT127" i="25"/>
  <c r="DT104" i="25"/>
  <c r="DT117" i="25"/>
  <c r="DT130" i="25"/>
  <c r="DT126" i="25"/>
  <c r="DT100" i="25"/>
  <c r="DT133" i="25"/>
  <c r="DZ137" i="25"/>
  <c r="DX217" i="25"/>
  <c r="DZ217" i="25"/>
  <c r="DZ122" i="25"/>
  <c r="DZ171" i="25"/>
  <c r="DZ115" i="25"/>
  <c r="DZ162" i="25"/>
  <c r="DZ99" i="25"/>
  <c r="DZ192" i="25"/>
  <c r="DZ218" i="25"/>
  <c r="DZ75" i="25"/>
  <c r="DT120" i="25"/>
  <c r="EH122" i="25"/>
  <c r="EH171" i="25"/>
  <c r="EH115" i="25"/>
  <c r="EH162" i="25"/>
  <c r="EH99" i="25"/>
  <c r="EH192" i="25"/>
  <c r="EH137" i="25"/>
  <c r="EH80" i="25"/>
  <c r="EH193" i="25"/>
  <c r="EH60" i="25"/>
  <c r="EH75" i="25"/>
  <c r="EH150" i="25"/>
  <c r="DF113" i="25"/>
  <c r="DI113" i="25"/>
  <c r="DJ113" i="25" s="1"/>
  <c r="DF111" i="25"/>
  <c r="DI111" i="25"/>
  <c r="DJ111" i="25" s="1"/>
  <c r="DF116" i="25"/>
  <c r="DI116" i="25"/>
  <c r="DJ116" i="25" s="1"/>
  <c r="DF120" i="25"/>
  <c r="DF102" i="25"/>
  <c r="DI102" i="25"/>
  <c r="DJ102" i="25" s="1"/>
  <c r="DF96" i="25"/>
  <c r="DI96" i="25"/>
  <c r="DJ96" i="25" s="1"/>
  <c r="DF143" i="25"/>
  <c r="DI143" i="25"/>
  <c r="DJ143" i="25" s="1"/>
  <c r="DF146" i="25"/>
  <c r="DI146" i="25"/>
  <c r="DJ146" i="25" s="1"/>
  <c r="DF134" i="25"/>
  <c r="DI134" i="25"/>
  <c r="DJ134" i="25" s="1"/>
  <c r="DF218" i="25"/>
  <c r="DI218" i="25"/>
  <c r="DJ218" i="25" s="1"/>
  <c r="DF135" i="25"/>
  <c r="DI135" i="25"/>
  <c r="DJ135" i="25" s="1"/>
  <c r="DF74" i="25"/>
  <c r="DI74" i="25"/>
  <c r="DJ74" i="25" s="1"/>
  <c r="DF69" i="25"/>
  <c r="DI69" i="25"/>
  <c r="DJ69" i="25" s="1"/>
  <c r="DI101" i="25"/>
  <c r="DJ101" i="25" s="1"/>
  <c r="DF101" i="25"/>
  <c r="DF112" i="25"/>
  <c r="DI112" i="25"/>
  <c r="DJ112" i="25" s="1"/>
  <c r="DI98" i="25"/>
  <c r="DJ98" i="25" s="1"/>
  <c r="DF98" i="25"/>
  <c r="DF97" i="25"/>
  <c r="DI97" i="25"/>
  <c r="DJ97" i="25" s="1"/>
  <c r="DF114" i="25"/>
  <c r="DI114" i="25"/>
  <c r="DJ114" i="25" s="1"/>
  <c r="DF125" i="25"/>
  <c r="DI125" i="25"/>
  <c r="DJ125" i="25" s="1"/>
  <c r="DF95" i="25"/>
  <c r="DI95" i="25"/>
  <c r="DJ95" i="25" s="1"/>
  <c r="DF148" i="25"/>
  <c r="DI148" i="25"/>
  <c r="DJ148" i="25" s="1"/>
  <c r="DF64" i="25"/>
  <c r="DI64" i="25"/>
  <c r="DJ64" i="25" s="1"/>
  <c r="DF142" i="25"/>
  <c r="DI142" i="25"/>
  <c r="DJ142" i="25" s="1"/>
  <c r="DF81" i="25"/>
  <c r="DF216" i="25"/>
  <c r="DI216" i="25"/>
  <c r="DJ216" i="25" s="1"/>
  <c r="DF67" i="25"/>
  <c r="DI67" i="25"/>
  <c r="DJ67" i="25" s="1"/>
  <c r="DI81" i="25"/>
  <c r="DJ81" i="25" s="1"/>
  <c r="DF108" i="25"/>
  <c r="DI129" i="25"/>
  <c r="DJ129" i="25" s="1"/>
  <c r="DF109" i="25"/>
  <c r="DI109" i="25"/>
  <c r="DJ109" i="25" s="1"/>
  <c r="DF160" i="25"/>
  <c r="DI160" i="25"/>
  <c r="DJ160" i="25" s="1"/>
  <c r="DF63" i="25"/>
  <c r="DI63" i="25"/>
  <c r="DJ63" i="25" s="1"/>
  <c r="DI156" i="25"/>
  <c r="DJ156" i="25" s="1"/>
  <c r="DF156" i="25"/>
  <c r="DI83" i="25"/>
  <c r="DJ83" i="25" s="1"/>
  <c r="DF83" i="25"/>
  <c r="DF217" i="25"/>
  <c r="DI68" i="25"/>
  <c r="DJ68" i="25" s="1"/>
  <c r="DI108" i="25"/>
  <c r="DJ108" i="25" s="1"/>
  <c r="DF129" i="25"/>
  <c r="DF128" i="25"/>
  <c r="DI128" i="25"/>
  <c r="DJ128" i="25" s="1"/>
  <c r="DF107" i="25"/>
  <c r="DI107" i="25"/>
  <c r="DJ107" i="25" s="1"/>
  <c r="DF118" i="25"/>
  <c r="DI118" i="25"/>
  <c r="DJ118" i="25" s="1"/>
  <c r="DF123" i="25"/>
  <c r="DI123" i="25"/>
  <c r="DJ123" i="25" s="1"/>
  <c r="DF105" i="25"/>
  <c r="DI105" i="25"/>
  <c r="DJ105" i="25" s="1"/>
  <c r="DF11" i="25"/>
  <c r="DI11" i="25"/>
  <c r="DJ11" i="25" s="1"/>
  <c r="DF59" i="25"/>
  <c r="DI59" i="25"/>
  <c r="DJ59" i="25" s="1"/>
  <c r="DF219" i="25"/>
  <c r="DI219" i="25"/>
  <c r="DJ219" i="25" s="1"/>
  <c r="DF154" i="25"/>
  <c r="DI154" i="25"/>
  <c r="DJ154" i="25" s="1"/>
  <c r="DF66" i="25"/>
  <c r="DI66" i="25"/>
  <c r="DJ66" i="25" s="1"/>
  <c r="DI217" i="25"/>
  <c r="DJ217" i="25" s="1"/>
  <c r="DI127" i="25"/>
  <c r="DJ127" i="25" s="1"/>
  <c r="DF127" i="25"/>
  <c r="DF104" i="25"/>
  <c r="DI104" i="25"/>
  <c r="DJ104" i="25" s="1"/>
  <c r="DF117" i="25"/>
  <c r="DI117" i="25"/>
  <c r="DJ117" i="25" s="1"/>
  <c r="DF130" i="25"/>
  <c r="DI130" i="25"/>
  <c r="DJ130" i="25" s="1"/>
  <c r="DI126" i="25"/>
  <c r="DJ126" i="25" s="1"/>
  <c r="DF100" i="25"/>
  <c r="DI100" i="25"/>
  <c r="DJ100" i="25" s="1"/>
  <c r="DI133" i="25"/>
  <c r="DJ133" i="25" s="1"/>
  <c r="DF133" i="25"/>
  <c r="DI82" i="25"/>
  <c r="DJ82" i="25" s="1"/>
  <c r="DF82" i="25"/>
  <c r="DI65" i="25"/>
  <c r="DJ65" i="25" s="1"/>
  <c r="DF65" i="25"/>
  <c r="DF76" i="25"/>
  <c r="DI76" i="25"/>
  <c r="DJ76" i="25" s="1"/>
  <c r="DF147" i="25"/>
  <c r="DF93" i="25"/>
  <c r="DI93" i="25"/>
  <c r="DJ93" i="25" s="1"/>
  <c r="DI120" i="25"/>
  <c r="DJ120" i="25" s="1"/>
  <c r="DI131" i="25"/>
  <c r="DJ131" i="25" s="1"/>
  <c r="DF124" i="25"/>
  <c r="DI124" i="25"/>
  <c r="DJ124" i="25" s="1"/>
  <c r="DF139" i="25"/>
  <c r="DI139" i="25"/>
  <c r="DJ139" i="25" s="1"/>
  <c r="DF172" i="25"/>
  <c r="DF170" i="25"/>
  <c r="DI170" i="25"/>
  <c r="DJ170" i="25" s="1"/>
  <c r="DF119" i="25"/>
  <c r="DI119" i="25"/>
  <c r="DJ119" i="25" s="1"/>
  <c r="DF214" i="25"/>
  <c r="DF73" i="25"/>
  <c r="DI73" i="25"/>
  <c r="DJ73" i="25" s="1"/>
  <c r="DF71" i="25"/>
  <c r="DI71" i="25"/>
  <c r="DJ71" i="25" s="1"/>
  <c r="DF86" i="25"/>
  <c r="DI86" i="25"/>
  <c r="DJ86" i="25" s="1"/>
  <c r="DF184" i="25"/>
  <c r="DI184" i="25"/>
  <c r="DJ184" i="25" s="1"/>
  <c r="DF70" i="25"/>
  <c r="DI147" i="25"/>
  <c r="DJ147" i="25" s="1"/>
  <c r="DF122" i="25"/>
  <c r="DI122" i="25"/>
  <c r="DJ122" i="25" s="1"/>
  <c r="DF171" i="25"/>
  <c r="DI171" i="25"/>
  <c r="DJ171" i="25" s="1"/>
  <c r="DF115" i="25"/>
  <c r="DI115" i="25"/>
  <c r="DJ115" i="25" s="1"/>
  <c r="DF162" i="25"/>
  <c r="DI162" i="25"/>
  <c r="DJ162" i="25" s="1"/>
  <c r="DF99" i="25"/>
  <c r="DI99" i="25"/>
  <c r="DJ99" i="25" s="1"/>
  <c r="DF192" i="25"/>
  <c r="DI192" i="25"/>
  <c r="DJ192" i="25" s="1"/>
  <c r="DF137" i="25"/>
  <c r="DI137" i="25"/>
  <c r="DJ137" i="25" s="1"/>
  <c r="DF80" i="25"/>
  <c r="DI80" i="25"/>
  <c r="DJ80" i="25" s="1"/>
  <c r="DF193" i="25"/>
  <c r="DI193" i="25"/>
  <c r="DJ193" i="25" s="1"/>
  <c r="DF60" i="25"/>
  <c r="DI60" i="25"/>
  <c r="DJ60" i="25" s="1"/>
  <c r="DF75" i="25"/>
  <c r="DI75" i="25"/>
  <c r="DJ75" i="25" s="1"/>
  <c r="DF150" i="25"/>
  <c r="DI150" i="25"/>
  <c r="DJ150" i="25" s="1"/>
  <c r="DI214" i="25"/>
  <c r="DJ214" i="25" s="1"/>
  <c r="DI121" i="25"/>
  <c r="DJ121" i="25" s="1"/>
  <c r="DF121" i="25"/>
  <c r="DI84" i="25"/>
  <c r="DJ84" i="25" s="1"/>
  <c r="DF84" i="25"/>
  <c r="DF110" i="25"/>
  <c r="DI110" i="25"/>
  <c r="DJ110" i="25" s="1"/>
  <c r="DI106" i="25"/>
  <c r="DJ106" i="25" s="1"/>
  <c r="DF106" i="25"/>
  <c r="DI103" i="25"/>
  <c r="DJ103" i="25" s="1"/>
  <c r="DF103" i="25"/>
  <c r="DF94" i="25"/>
  <c r="DI94" i="25"/>
  <c r="DJ94" i="25" s="1"/>
  <c r="DF141" i="25"/>
  <c r="DI141" i="25"/>
  <c r="DJ141" i="25" s="1"/>
  <c r="DF72" i="25"/>
  <c r="DI72" i="25"/>
  <c r="DJ72" i="25" s="1"/>
  <c r="DF62" i="25"/>
  <c r="DI62" i="25"/>
  <c r="DJ62" i="25" s="1"/>
  <c r="DF61" i="25"/>
  <c r="DF215" i="25"/>
  <c r="DI215" i="25"/>
  <c r="DJ215" i="25" s="1"/>
  <c r="DF149" i="25"/>
  <c r="DI149" i="25"/>
  <c r="DJ149" i="25" s="1"/>
  <c r="DI70" i="25"/>
  <c r="DJ70" i="25" s="1"/>
  <c r="X137" i="89"/>
  <c r="W137" i="89"/>
  <c r="V137" i="89"/>
  <c r="U137" i="89"/>
  <c r="T137" i="89"/>
  <c r="X136" i="89"/>
  <c r="W136" i="89"/>
  <c r="V136" i="89"/>
  <c r="U136" i="89"/>
  <c r="T136" i="89"/>
  <c r="X135" i="89"/>
  <c r="W135" i="89"/>
  <c r="V135" i="89"/>
  <c r="U135" i="89"/>
  <c r="T135" i="89"/>
  <c r="X133" i="89"/>
  <c r="W133" i="89"/>
  <c r="V133" i="89"/>
  <c r="U133" i="89"/>
  <c r="T133" i="89"/>
  <c r="X132" i="89"/>
  <c r="W132" i="89"/>
  <c r="V132" i="89"/>
  <c r="U132" i="89"/>
  <c r="T132" i="89"/>
  <c r="X131" i="89"/>
  <c r="W131" i="89"/>
  <c r="V131" i="89"/>
  <c r="U131" i="89"/>
  <c r="T131" i="89"/>
  <c r="X117" i="89"/>
  <c r="W117" i="89"/>
  <c r="V117" i="89"/>
  <c r="U117" i="89"/>
  <c r="T117" i="89"/>
  <c r="X116" i="89"/>
  <c r="W116" i="89"/>
  <c r="V116" i="89"/>
  <c r="U116" i="89"/>
  <c r="T116" i="89"/>
  <c r="X114" i="89"/>
  <c r="W114" i="89"/>
  <c r="V114" i="89"/>
  <c r="U114" i="89"/>
  <c r="T114" i="89"/>
  <c r="X113" i="89"/>
  <c r="W113" i="89"/>
  <c r="V113" i="89"/>
  <c r="U113" i="89"/>
  <c r="T113" i="89"/>
  <c r="X112" i="89"/>
  <c r="W112" i="89"/>
  <c r="V112" i="89"/>
  <c r="U112" i="89"/>
  <c r="T112" i="89"/>
  <c r="D248" i="89"/>
  <c r="AL125" i="89"/>
  <c r="O43" i="89"/>
  <c r="N43" i="89"/>
  <c r="M43" i="89"/>
  <c r="L43" i="89"/>
  <c r="K43" i="89"/>
  <c r="J43" i="89"/>
  <c r="I43" i="89"/>
  <c r="H43" i="89"/>
  <c r="F43" i="89"/>
  <c r="E43" i="89"/>
  <c r="AL25" i="89"/>
  <c r="AK25" i="89"/>
  <c r="P25" i="89"/>
  <c r="Y117" i="89"/>
  <c r="Y116" i="89"/>
  <c r="Y114" i="89"/>
  <c r="Y113" i="89"/>
  <c r="Y112" i="89"/>
  <c r="S189" i="89" l="1"/>
  <c r="E248" i="89"/>
  <c r="F248" i="89" s="1"/>
  <c r="X25" i="89"/>
  <c r="AM25" i="89"/>
  <c r="W25" i="89"/>
  <c r="AH25" i="89"/>
  <c r="AI25" i="89"/>
  <c r="CV135" i="25"/>
  <c r="CY135" i="25" s="1"/>
  <c r="CZ135" i="25" s="1"/>
  <c r="CV96" i="25"/>
  <c r="CY96" i="25" s="1"/>
  <c r="CZ96" i="25" s="1"/>
  <c r="CV120" i="25"/>
  <c r="CY120" i="25" s="1"/>
  <c r="CZ120" i="25" s="1"/>
  <c r="CV111" i="25"/>
  <c r="CY111" i="25" s="1"/>
  <c r="CZ111" i="25" s="1"/>
  <c r="CV218" i="25"/>
  <c r="CY218" i="25" s="1"/>
  <c r="CZ218" i="25" s="1"/>
  <c r="CV143" i="25"/>
  <c r="CY143" i="25" s="1"/>
  <c r="CZ143" i="25" s="1"/>
  <c r="CV99" i="25"/>
  <c r="CY99" i="25" s="1"/>
  <c r="CZ99" i="25" s="1"/>
  <c r="CV121" i="25"/>
  <c r="CY121" i="25" s="1"/>
  <c r="CZ121" i="25" s="1"/>
  <c r="CV62" i="25"/>
  <c r="CY62" i="25" s="1"/>
  <c r="CZ62" i="25" s="1"/>
  <c r="CV61" i="25"/>
  <c r="CY61" i="25" s="1"/>
  <c r="CZ61" i="25" s="1"/>
  <c r="CV215" i="25"/>
  <c r="CY215" i="25" s="1"/>
  <c r="CZ215" i="25" s="1"/>
  <c r="CV192" i="25"/>
  <c r="CY192" i="25" s="1"/>
  <c r="CZ192" i="25" s="1"/>
  <c r="CV106" i="25"/>
  <c r="CY106" i="25" s="1"/>
  <c r="CZ106" i="25" s="1"/>
  <c r="CV110" i="25"/>
  <c r="CY110" i="25" s="1"/>
  <c r="CZ110" i="25" s="1"/>
  <c r="CV115" i="25"/>
  <c r="CY115" i="25" s="1"/>
  <c r="CZ115" i="25" s="1"/>
  <c r="CV162" i="25"/>
  <c r="CY162" i="25" s="1"/>
  <c r="CZ162" i="25" s="1"/>
  <c r="CV193" i="25"/>
  <c r="CY193" i="25" s="1"/>
  <c r="CZ193" i="25" s="1"/>
  <c r="CV80" i="25"/>
  <c r="CY80" i="25" s="1"/>
  <c r="CZ80" i="25" s="1"/>
  <c r="CV72" i="25"/>
  <c r="CY72" i="25" s="1"/>
  <c r="CZ72" i="25" s="1"/>
  <c r="CV116" i="25"/>
  <c r="CY116" i="25" s="1"/>
  <c r="CZ116" i="25" s="1"/>
  <c r="CV84" i="25"/>
  <c r="CY84" i="25" s="1"/>
  <c r="CZ84" i="25" s="1"/>
  <c r="CV103" i="25"/>
  <c r="CY103" i="25" s="1"/>
  <c r="CZ103" i="25" s="1"/>
  <c r="CV69" i="25"/>
  <c r="CY69" i="25" s="1"/>
  <c r="CZ69" i="25" s="1"/>
  <c r="CS184" i="25"/>
  <c r="CW184" i="25" s="1"/>
  <c r="CX184" i="25" s="1"/>
  <c r="DA184" i="25" s="1"/>
  <c r="CV184" i="25"/>
  <c r="CY184" i="25" s="1"/>
  <c r="CZ184" i="25" s="1"/>
  <c r="CS131" i="25"/>
  <c r="CW131" i="25" s="1"/>
  <c r="CX131" i="25" s="1"/>
  <c r="DA131" i="25" s="1"/>
  <c r="CV131" i="25"/>
  <c r="CY131" i="25" s="1"/>
  <c r="CZ131" i="25" s="1"/>
  <c r="CS100" i="25"/>
  <c r="CW100" i="25" s="1"/>
  <c r="CX100" i="25" s="1"/>
  <c r="DA100" i="25" s="1"/>
  <c r="CV100" i="25"/>
  <c r="CY100" i="25" s="1"/>
  <c r="CZ100" i="25" s="1"/>
  <c r="CS156" i="25"/>
  <c r="CW156" i="25" s="1"/>
  <c r="CX156" i="25" s="1"/>
  <c r="DA156" i="25" s="1"/>
  <c r="CV156" i="25"/>
  <c r="CY156" i="25" s="1"/>
  <c r="CZ156" i="25" s="1"/>
  <c r="CS129" i="25"/>
  <c r="CW129" i="25" s="1"/>
  <c r="CX129" i="25" s="1"/>
  <c r="DA129" i="25" s="1"/>
  <c r="CV129" i="25"/>
  <c r="CY129" i="25" s="1"/>
  <c r="CZ129" i="25" s="1"/>
  <c r="CS67" i="25"/>
  <c r="CW67" i="25" s="1"/>
  <c r="CX67" i="25" s="1"/>
  <c r="DA67" i="25" s="1"/>
  <c r="CV67" i="25"/>
  <c r="CY67" i="25" s="1"/>
  <c r="CZ67" i="25" s="1"/>
  <c r="CS113" i="25"/>
  <c r="CW113" i="25" s="1"/>
  <c r="CX113" i="25" s="1"/>
  <c r="DA113" i="25" s="1"/>
  <c r="CV113" i="25"/>
  <c r="CY113" i="25" s="1"/>
  <c r="CZ113" i="25" s="1"/>
  <c r="CS81" i="25"/>
  <c r="CW81" i="25" s="1"/>
  <c r="CX81" i="25" s="1"/>
  <c r="DA81" i="25" s="1"/>
  <c r="CV81" i="25"/>
  <c r="CY81" i="25" s="1"/>
  <c r="CZ81" i="25" s="1"/>
  <c r="CS112" i="25"/>
  <c r="CW112" i="25" s="1"/>
  <c r="CX112" i="25" s="1"/>
  <c r="DA112" i="25" s="1"/>
  <c r="CV112" i="25"/>
  <c r="CY112" i="25" s="1"/>
  <c r="CZ112" i="25" s="1"/>
  <c r="CS172" i="25"/>
  <c r="CW172" i="25" s="1"/>
  <c r="CX172" i="25" s="1"/>
  <c r="DA172" i="25" s="1"/>
  <c r="CV172" i="25"/>
  <c r="CY172" i="25" s="1"/>
  <c r="CZ172" i="25" s="1"/>
  <c r="CS124" i="25"/>
  <c r="CW124" i="25" s="1"/>
  <c r="CX124" i="25" s="1"/>
  <c r="DA124" i="25" s="1"/>
  <c r="CV124" i="25"/>
  <c r="CY124" i="25" s="1"/>
  <c r="CZ124" i="25" s="1"/>
  <c r="CS154" i="25"/>
  <c r="CW154" i="25" s="1"/>
  <c r="CX154" i="25" s="1"/>
  <c r="DA154" i="25" s="1"/>
  <c r="CV154" i="25"/>
  <c r="CY154" i="25" s="1"/>
  <c r="CZ154" i="25" s="1"/>
  <c r="CS59" i="25"/>
  <c r="CW59" i="25" s="1"/>
  <c r="CX59" i="25" s="1"/>
  <c r="DA59" i="25" s="1"/>
  <c r="CV59" i="25"/>
  <c r="CY59" i="25" s="1"/>
  <c r="CZ59" i="25" s="1"/>
  <c r="CS11" i="25"/>
  <c r="CW11" i="25" s="1"/>
  <c r="CX11" i="25" s="1"/>
  <c r="DA11" i="25" s="1"/>
  <c r="CV11" i="25"/>
  <c r="CY11" i="25" s="1"/>
  <c r="CZ11" i="25" s="1"/>
  <c r="CS123" i="25"/>
  <c r="CW123" i="25" s="1"/>
  <c r="CX123" i="25" s="1"/>
  <c r="DA123" i="25" s="1"/>
  <c r="CV123" i="25"/>
  <c r="CY123" i="25" s="1"/>
  <c r="CZ123" i="25" s="1"/>
  <c r="CS107" i="25"/>
  <c r="CW107" i="25" s="1"/>
  <c r="CX107" i="25" s="1"/>
  <c r="DA107" i="25" s="1"/>
  <c r="CV107" i="25"/>
  <c r="CY107" i="25" s="1"/>
  <c r="CZ107" i="25" s="1"/>
  <c r="CV102" i="25"/>
  <c r="CY102" i="25" s="1"/>
  <c r="CZ102" i="25" s="1"/>
  <c r="CS102" i="25"/>
  <c r="CW102" i="25" s="1"/>
  <c r="CX102" i="25" s="1"/>
  <c r="DA102" i="25" s="1"/>
  <c r="CS147" i="25"/>
  <c r="CW147" i="25" s="1"/>
  <c r="CX147" i="25" s="1"/>
  <c r="DA147" i="25" s="1"/>
  <c r="CV147" i="25"/>
  <c r="CY147" i="25" s="1"/>
  <c r="CZ147" i="25" s="1"/>
  <c r="CS97" i="25"/>
  <c r="CW97" i="25" s="1"/>
  <c r="CX97" i="25" s="1"/>
  <c r="DA97" i="25" s="1"/>
  <c r="CV97" i="25"/>
  <c r="CY97" i="25" s="1"/>
  <c r="CZ97" i="25" s="1"/>
  <c r="CS146" i="25"/>
  <c r="CW146" i="25" s="1"/>
  <c r="CX146" i="25" s="1"/>
  <c r="DA146" i="25" s="1"/>
  <c r="CV146" i="25"/>
  <c r="CY146" i="25" s="1"/>
  <c r="CZ146" i="25" s="1"/>
  <c r="CV149" i="25"/>
  <c r="CY149" i="25" s="1"/>
  <c r="CZ149" i="25" s="1"/>
  <c r="CS71" i="25"/>
  <c r="CW71" i="25" s="1"/>
  <c r="CX71" i="25" s="1"/>
  <c r="DA71" i="25" s="1"/>
  <c r="CV71" i="25"/>
  <c r="CY71" i="25" s="1"/>
  <c r="CZ71" i="25" s="1"/>
  <c r="CS73" i="25"/>
  <c r="CW73" i="25" s="1"/>
  <c r="CX73" i="25" s="1"/>
  <c r="DA73" i="25" s="1"/>
  <c r="CV73" i="25"/>
  <c r="CY73" i="25" s="1"/>
  <c r="CZ73" i="25" s="1"/>
  <c r="CS93" i="25"/>
  <c r="CW93" i="25" s="1"/>
  <c r="CX93" i="25" s="1"/>
  <c r="DA93" i="25" s="1"/>
  <c r="CV93" i="25"/>
  <c r="CY93" i="25" s="1"/>
  <c r="CZ93" i="25" s="1"/>
  <c r="CS126" i="25"/>
  <c r="CW126" i="25" s="1"/>
  <c r="CX126" i="25" s="1"/>
  <c r="DA126" i="25" s="1"/>
  <c r="CV126" i="25"/>
  <c r="CY126" i="25" s="1"/>
  <c r="CZ126" i="25" s="1"/>
  <c r="CS117" i="25"/>
  <c r="CW117" i="25" s="1"/>
  <c r="CX117" i="25" s="1"/>
  <c r="DA117" i="25" s="1"/>
  <c r="CV117" i="25"/>
  <c r="CY117" i="25" s="1"/>
  <c r="CZ117" i="25" s="1"/>
  <c r="CS127" i="25"/>
  <c r="CW127" i="25" s="1"/>
  <c r="CX127" i="25" s="1"/>
  <c r="DA127" i="25" s="1"/>
  <c r="CV127" i="25"/>
  <c r="CY127" i="25" s="1"/>
  <c r="CZ127" i="25" s="1"/>
  <c r="CS160" i="25"/>
  <c r="CW160" i="25" s="1"/>
  <c r="CX160" i="25" s="1"/>
  <c r="DA160" i="25" s="1"/>
  <c r="CV160" i="25"/>
  <c r="CY160" i="25" s="1"/>
  <c r="CZ160" i="25" s="1"/>
  <c r="CS216" i="25"/>
  <c r="CW216" i="25" s="1"/>
  <c r="CX216" i="25" s="1"/>
  <c r="DA216" i="25" s="1"/>
  <c r="CV216" i="25"/>
  <c r="CY216" i="25" s="1"/>
  <c r="CZ216" i="25" s="1"/>
  <c r="CS70" i="25"/>
  <c r="CW70" i="25" s="1"/>
  <c r="CX70" i="25" s="1"/>
  <c r="DA70" i="25" s="1"/>
  <c r="CV70" i="25"/>
  <c r="CY70" i="25" s="1"/>
  <c r="CZ70" i="25" s="1"/>
  <c r="CS86" i="25"/>
  <c r="CW86" i="25" s="1"/>
  <c r="CX86" i="25" s="1"/>
  <c r="DA86" i="25" s="1"/>
  <c r="CV86" i="25"/>
  <c r="CY86" i="25" s="1"/>
  <c r="CZ86" i="25" s="1"/>
  <c r="CS133" i="25"/>
  <c r="CW133" i="25" s="1"/>
  <c r="CX133" i="25" s="1"/>
  <c r="DA133" i="25" s="1"/>
  <c r="CV133" i="25"/>
  <c r="CY133" i="25" s="1"/>
  <c r="CZ133" i="25" s="1"/>
  <c r="CS63" i="25"/>
  <c r="CW63" i="25" s="1"/>
  <c r="CX63" i="25" s="1"/>
  <c r="DA63" i="25" s="1"/>
  <c r="CV63" i="25"/>
  <c r="CY63" i="25" s="1"/>
  <c r="CZ63" i="25" s="1"/>
  <c r="CS76" i="25"/>
  <c r="CW76" i="25" s="1"/>
  <c r="CX76" i="25" s="1"/>
  <c r="DA76" i="25" s="1"/>
  <c r="CV76" i="25"/>
  <c r="CY76" i="25" s="1"/>
  <c r="CZ76" i="25" s="1"/>
  <c r="CS148" i="25"/>
  <c r="CW148" i="25" s="1"/>
  <c r="CX148" i="25" s="1"/>
  <c r="DA148" i="25" s="1"/>
  <c r="CV148" i="25"/>
  <c r="CY148" i="25" s="1"/>
  <c r="CZ148" i="25" s="1"/>
  <c r="CV141" i="25"/>
  <c r="CY141" i="25" s="1"/>
  <c r="CZ141" i="25" s="1"/>
  <c r="CS141" i="25"/>
  <c r="CW141" i="25" s="1"/>
  <c r="CX141" i="25" s="1"/>
  <c r="DA141" i="25" s="1"/>
  <c r="CS94" i="25"/>
  <c r="CW94" i="25" s="1"/>
  <c r="CX94" i="25" s="1"/>
  <c r="DA94" i="25" s="1"/>
  <c r="CV94" i="25"/>
  <c r="CY94" i="25" s="1"/>
  <c r="CZ94" i="25" s="1"/>
  <c r="CS150" i="25"/>
  <c r="CW150" i="25" s="1"/>
  <c r="CX150" i="25" s="1"/>
  <c r="DA150" i="25" s="1"/>
  <c r="CV150" i="25"/>
  <c r="CY150" i="25" s="1"/>
  <c r="CZ150" i="25" s="1"/>
  <c r="CS75" i="25"/>
  <c r="CW75" i="25" s="1"/>
  <c r="CX75" i="25" s="1"/>
  <c r="DA75" i="25" s="1"/>
  <c r="CV75" i="25"/>
  <c r="CY75" i="25" s="1"/>
  <c r="CZ75" i="25" s="1"/>
  <c r="CV60" i="25"/>
  <c r="CY60" i="25" s="1"/>
  <c r="CZ60" i="25" s="1"/>
  <c r="CS60" i="25"/>
  <c r="CW60" i="25" s="1"/>
  <c r="CX60" i="25" s="1"/>
  <c r="DA60" i="25" s="1"/>
  <c r="CS137" i="25"/>
  <c r="CW137" i="25" s="1"/>
  <c r="CX137" i="25" s="1"/>
  <c r="DA137" i="25" s="1"/>
  <c r="CV137" i="25"/>
  <c r="CY137" i="25" s="1"/>
  <c r="CZ137" i="25" s="1"/>
  <c r="CS171" i="25"/>
  <c r="CW171" i="25" s="1"/>
  <c r="CX171" i="25" s="1"/>
  <c r="DA171" i="25" s="1"/>
  <c r="CV171" i="25"/>
  <c r="CY171" i="25" s="1"/>
  <c r="CZ171" i="25" s="1"/>
  <c r="CS122" i="25"/>
  <c r="CW122" i="25" s="1"/>
  <c r="CX122" i="25" s="1"/>
  <c r="DA122" i="25" s="1"/>
  <c r="CV122" i="25"/>
  <c r="CY122" i="25" s="1"/>
  <c r="CZ122" i="25" s="1"/>
  <c r="CS139" i="25"/>
  <c r="CW139" i="25" s="1"/>
  <c r="CX139" i="25" s="1"/>
  <c r="DA139" i="25" s="1"/>
  <c r="CV139" i="25"/>
  <c r="CY139" i="25" s="1"/>
  <c r="CZ139" i="25" s="1"/>
  <c r="CS82" i="25"/>
  <c r="CW82" i="25" s="1"/>
  <c r="CX82" i="25" s="1"/>
  <c r="DA82" i="25" s="1"/>
  <c r="CV82" i="25"/>
  <c r="CY82" i="25" s="1"/>
  <c r="CZ82" i="25" s="1"/>
  <c r="CS66" i="25"/>
  <c r="CW66" i="25" s="1"/>
  <c r="CX66" i="25" s="1"/>
  <c r="DA66" i="25" s="1"/>
  <c r="CV66" i="25"/>
  <c r="CY66" i="25" s="1"/>
  <c r="CZ66" i="25" s="1"/>
  <c r="CS219" i="25"/>
  <c r="CW219" i="25" s="1"/>
  <c r="CX219" i="25" s="1"/>
  <c r="DA219" i="25" s="1"/>
  <c r="CV219" i="25"/>
  <c r="CY219" i="25" s="1"/>
  <c r="CZ219" i="25" s="1"/>
  <c r="CS105" i="25"/>
  <c r="CW105" i="25" s="1"/>
  <c r="CX105" i="25" s="1"/>
  <c r="DA105" i="25" s="1"/>
  <c r="CV105" i="25"/>
  <c r="CY105" i="25" s="1"/>
  <c r="CZ105" i="25" s="1"/>
  <c r="CS118" i="25"/>
  <c r="CW118" i="25" s="1"/>
  <c r="CX118" i="25" s="1"/>
  <c r="DA118" i="25" s="1"/>
  <c r="CV118" i="25"/>
  <c r="CY118" i="25" s="1"/>
  <c r="CZ118" i="25" s="1"/>
  <c r="CS128" i="25"/>
  <c r="CW128" i="25" s="1"/>
  <c r="CX128" i="25" s="1"/>
  <c r="DA128" i="25" s="1"/>
  <c r="CV128" i="25"/>
  <c r="CY128" i="25" s="1"/>
  <c r="CZ128" i="25" s="1"/>
  <c r="CS68" i="25"/>
  <c r="CW68" i="25" s="1"/>
  <c r="CX68" i="25" s="1"/>
  <c r="DA68" i="25" s="1"/>
  <c r="CV68" i="25"/>
  <c r="CY68" i="25" s="1"/>
  <c r="CZ68" i="25" s="1"/>
  <c r="CS83" i="25"/>
  <c r="CW83" i="25" s="1"/>
  <c r="CX83" i="25" s="1"/>
  <c r="DA83" i="25" s="1"/>
  <c r="CV83" i="25"/>
  <c r="CY83" i="25" s="1"/>
  <c r="CZ83" i="25" s="1"/>
  <c r="CS109" i="25"/>
  <c r="CW109" i="25" s="1"/>
  <c r="CX109" i="25" s="1"/>
  <c r="DA109" i="25" s="1"/>
  <c r="CV109" i="25"/>
  <c r="CY109" i="25" s="1"/>
  <c r="CZ109" i="25" s="1"/>
  <c r="CS214" i="25"/>
  <c r="CW214" i="25" s="1"/>
  <c r="CX214" i="25" s="1"/>
  <c r="DA214" i="25" s="1"/>
  <c r="CV214" i="25"/>
  <c r="CY214" i="25" s="1"/>
  <c r="CZ214" i="25" s="1"/>
  <c r="CS108" i="25"/>
  <c r="CW108" i="25" s="1"/>
  <c r="CX108" i="25" s="1"/>
  <c r="DA108" i="25" s="1"/>
  <c r="CV108" i="25"/>
  <c r="CY108" i="25" s="1"/>
  <c r="CZ108" i="25" s="1"/>
  <c r="CV134" i="25"/>
  <c r="CY134" i="25" s="1"/>
  <c r="CZ134" i="25" s="1"/>
  <c r="CS119" i="25"/>
  <c r="CW119" i="25" s="1"/>
  <c r="CX119" i="25" s="1"/>
  <c r="DA119" i="25" s="1"/>
  <c r="CV119" i="25"/>
  <c r="CY119" i="25" s="1"/>
  <c r="CZ119" i="25" s="1"/>
  <c r="CS65" i="25"/>
  <c r="CW65" i="25" s="1"/>
  <c r="CX65" i="25" s="1"/>
  <c r="DA65" i="25" s="1"/>
  <c r="CV65" i="25"/>
  <c r="CY65" i="25" s="1"/>
  <c r="CZ65" i="25" s="1"/>
  <c r="CS217" i="25"/>
  <c r="CW217" i="25" s="1"/>
  <c r="CX217" i="25" s="1"/>
  <c r="DA217" i="25" s="1"/>
  <c r="CV217" i="25"/>
  <c r="CY217" i="25" s="1"/>
  <c r="CZ217" i="25" s="1"/>
  <c r="CS142" i="25"/>
  <c r="CW142" i="25" s="1"/>
  <c r="CX142" i="25" s="1"/>
  <c r="DA142" i="25" s="1"/>
  <c r="CV142" i="25"/>
  <c r="CY142" i="25" s="1"/>
  <c r="CZ142" i="25" s="1"/>
  <c r="CS64" i="25"/>
  <c r="CW64" i="25" s="1"/>
  <c r="CX64" i="25" s="1"/>
  <c r="DA64" i="25" s="1"/>
  <c r="CV64" i="25"/>
  <c r="CY64" i="25" s="1"/>
  <c r="CZ64" i="25" s="1"/>
  <c r="CS95" i="25"/>
  <c r="CW95" i="25" s="1"/>
  <c r="CX95" i="25" s="1"/>
  <c r="DA95" i="25" s="1"/>
  <c r="CV95" i="25"/>
  <c r="CY95" i="25" s="1"/>
  <c r="CZ95" i="25" s="1"/>
  <c r="CS114" i="25"/>
  <c r="CW114" i="25" s="1"/>
  <c r="CX114" i="25" s="1"/>
  <c r="DA114" i="25" s="1"/>
  <c r="CV114" i="25"/>
  <c r="CY114" i="25" s="1"/>
  <c r="CZ114" i="25" s="1"/>
  <c r="CS98" i="25"/>
  <c r="CW98" i="25" s="1"/>
  <c r="CX98" i="25" s="1"/>
  <c r="DA98" i="25" s="1"/>
  <c r="CV98" i="25"/>
  <c r="CY98" i="25" s="1"/>
  <c r="CZ98" i="25" s="1"/>
  <c r="CS101" i="25"/>
  <c r="CW101" i="25" s="1"/>
  <c r="CX101" i="25" s="1"/>
  <c r="DA101" i="25" s="1"/>
  <c r="CV101" i="25"/>
  <c r="CY101" i="25" s="1"/>
  <c r="CZ101" i="25" s="1"/>
  <c r="CS74" i="25"/>
  <c r="CW74" i="25" s="1"/>
  <c r="CX74" i="25" s="1"/>
  <c r="DA74" i="25" s="1"/>
  <c r="CV74" i="25"/>
  <c r="CY74" i="25" s="1"/>
  <c r="CZ74" i="25" s="1"/>
  <c r="CS170" i="25"/>
  <c r="CW170" i="25" s="1"/>
  <c r="CX170" i="25" s="1"/>
  <c r="DA170" i="25" s="1"/>
  <c r="CV170" i="25"/>
  <c r="CY170" i="25" s="1"/>
  <c r="CZ170" i="25" s="1"/>
  <c r="CS125" i="25"/>
  <c r="CW125" i="25" s="1"/>
  <c r="CX125" i="25" s="1"/>
  <c r="DA125" i="25" s="1"/>
  <c r="CV125" i="25"/>
  <c r="CY125" i="25" s="1"/>
  <c r="CZ125" i="25" s="1"/>
  <c r="CS130" i="25"/>
  <c r="CW130" i="25" s="1"/>
  <c r="CX130" i="25" s="1"/>
  <c r="DA130" i="25" s="1"/>
  <c r="CV130" i="25"/>
  <c r="CY130" i="25" s="1"/>
  <c r="CZ130" i="25" s="1"/>
  <c r="CS104" i="25"/>
  <c r="CW104" i="25" s="1"/>
  <c r="CX104" i="25" s="1"/>
  <c r="DA104" i="25" s="1"/>
  <c r="CV104" i="25"/>
  <c r="CY104" i="25" s="1"/>
  <c r="CZ104" i="25" s="1"/>
  <c r="T25" i="89"/>
  <c r="U25" i="89"/>
  <c r="V25" i="89"/>
  <c r="Q25" i="89"/>
  <c r="R25" i="89" s="1"/>
  <c r="Y25" i="89"/>
  <c r="AK29" i="89" l="1"/>
  <c r="AP26" i="89" l="1"/>
  <c r="AP28" i="89"/>
  <c r="AP34" i="89"/>
  <c r="AP35" i="89"/>
  <c r="AP38" i="89"/>
  <c r="M157" i="89"/>
  <c r="AK26" i="89"/>
  <c r="AL26" i="89"/>
  <c r="AK27" i="89"/>
  <c r="AL27" i="89"/>
  <c r="AK28" i="89"/>
  <c r="AL28" i="89"/>
  <c r="AL29" i="89"/>
  <c r="AL30" i="89"/>
  <c r="AK31" i="89"/>
  <c r="AL31" i="89"/>
  <c r="AK32" i="89"/>
  <c r="AL32" i="89"/>
  <c r="AK33" i="89"/>
  <c r="AL33" i="89"/>
  <c r="AK34" i="89"/>
  <c r="AL34" i="89"/>
  <c r="AK35" i="89"/>
  <c r="AL35" i="89"/>
  <c r="AK36" i="89"/>
  <c r="AL36" i="89"/>
  <c r="AK37" i="89"/>
  <c r="AL37" i="89"/>
  <c r="AK38" i="89"/>
  <c r="AL38" i="89"/>
  <c r="AL39" i="89"/>
  <c r="AK40" i="89"/>
  <c r="AL40" i="89"/>
  <c r="AK41" i="89"/>
  <c r="AL41" i="89"/>
  <c r="AK42" i="89"/>
  <c r="AL42" i="89"/>
  <c r="AK44" i="89"/>
  <c r="AL44" i="89"/>
  <c r="AK45" i="89"/>
  <c r="AL45" i="89"/>
  <c r="AK46" i="89"/>
  <c r="AL46" i="89"/>
  <c r="AK47" i="89"/>
  <c r="AL47" i="89"/>
  <c r="AK48" i="89"/>
  <c r="AL48" i="89"/>
  <c r="AL49" i="89"/>
  <c r="AK50" i="89"/>
  <c r="AL50" i="89"/>
  <c r="AK51" i="89"/>
  <c r="AL51" i="89"/>
  <c r="AK52" i="89"/>
  <c r="AL52" i="89"/>
  <c r="AK53" i="89"/>
  <c r="AL53" i="89"/>
  <c r="AK54" i="89"/>
  <c r="AL54" i="89"/>
  <c r="AK55" i="89"/>
  <c r="AL55" i="89"/>
  <c r="AK56" i="89"/>
  <c r="AL56" i="89"/>
  <c r="AK57" i="89"/>
  <c r="AL57" i="89"/>
  <c r="AL58" i="89"/>
  <c r="AK59" i="89"/>
  <c r="AL59" i="89"/>
  <c r="AK60" i="89"/>
  <c r="AL60" i="89"/>
  <c r="AK61" i="89"/>
  <c r="AL61" i="89"/>
  <c r="AK63" i="89"/>
  <c r="AL63" i="89"/>
  <c r="AK64" i="89"/>
  <c r="AL64" i="89"/>
  <c r="AK65" i="89"/>
  <c r="AL65" i="89"/>
  <c r="AK66" i="89"/>
  <c r="AL66" i="89"/>
  <c r="AK67" i="89"/>
  <c r="AL67" i="89"/>
  <c r="AL68" i="89"/>
  <c r="AK69" i="89"/>
  <c r="AL69" i="89"/>
  <c r="AK70" i="89"/>
  <c r="AL70" i="89"/>
  <c r="AK71" i="89"/>
  <c r="AL71" i="89"/>
  <c r="AK72" i="89"/>
  <c r="AL72" i="89"/>
  <c r="AK73" i="89"/>
  <c r="AL73" i="89"/>
  <c r="AK74" i="89"/>
  <c r="AL74" i="89"/>
  <c r="AK75" i="89"/>
  <c r="AL75" i="89"/>
  <c r="AK76" i="89"/>
  <c r="AL76" i="89"/>
  <c r="AK78" i="89"/>
  <c r="AL78" i="89"/>
  <c r="AK79" i="89"/>
  <c r="AL79" i="89"/>
  <c r="AK80" i="89"/>
  <c r="AL80" i="89"/>
  <c r="AK82" i="89"/>
  <c r="AL82" i="89"/>
  <c r="AK83" i="89"/>
  <c r="AL83" i="89"/>
  <c r="AK84" i="89"/>
  <c r="AL84" i="89"/>
  <c r="AK85" i="89"/>
  <c r="AL85" i="89"/>
  <c r="AK86" i="89"/>
  <c r="AL86" i="89"/>
  <c r="AL87" i="89"/>
  <c r="AK88" i="89"/>
  <c r="AL88" i="89"/>
  <c r="AK89" i="89"/>
  <c r="AL89" i="89"/>
  <c r="AK90" i="89"/>
  <c r="AL90" i="89"/>
  <c r="AK91" i="89"/>
  <c r="AL91" i="89"/>
  <c r="AK92" i="89"/>
  <c r="AL92" i="89"/>
  <c r="AK93" i="89"/>
  <c r="AL93" i="89"/>
  <c r="AK94" i="89"/>
  <c r="AL94" i="89"/>
  <c r="AK95" i="89"/>
  <c r="AL95" i="89"/>
  <c r="AL96" i="89"/>
  <c r="AK97" i="89"/>
  <c r="AL97" i="89"/>
  <c r="AK98" i="89"/>
  <c r="AL98" i="89"/>
  <c r="AK99" i="89"/>
  <c r="AL99" i="89"/>
  <c r="AK101" i="89"/>
  <c r="AL101" i="89"/>
  <c r="AK102" i="89"/>
  <c r="AL102" i="89"/>
  <c r="AK103" i="89"/>
  <c r="AL103" i="89"/>
  <c r="AL104" i="89"/>
  <c r="AK105" i="89"/>
  <c r="AL105" i="89"/>
  <c r="AL106" i="89"/>
  <c r="AK107" i="89"/>
  <c r="AL107" i="89"/>
  <c r="AK108" i="89"/>
  <c r="AL108" i="89"/>
  <c r="AK109" i="89"/>
  <c r="AL109" i="89"/>
  <c r="AL110" i="89"/>
  <c r="AK111" i="89"/>
  <c r="AL111" i="89"/>
  <c r="AK118" i="89"/>
  <c r="AL118" i="89"/>
  <c r="AK120" i="89"/>
  <c r="AL120" i="89"/>
  <c r="AK121" i="89"/>
  <c r="AL121" i="89"/>
  <c r="AK122" i="89"/>
  <c r="AL122" i="89"/>
  <c r="AL123" i="89"/>
  <c r="AK124" i="89"/>
  <c r="AL124" i="89"/>
  <c r="AK126" i="89"/>
  <c r="AL126" i="89"/>
  <c r="AK127" i="89"/>
  <c r="AL127" i="89"/>
  <c r="AK128" i="89"/>
  <c r="AL128" i="89"/>
  <c r="AL129" i="89"/>
  <c r="AK130" i="89"/>
  <c r="AL130" i="89"/>
  <c r="AK139" i="89"/>
  <c r="AL139" i="89"/>
  <c r="AK140" i="89"/>
  <c r="AL140" i="89"/>
  <c r="AK141" i="89"/>
  <c r="AL141" i="89"/>
  <c r="AK142" i="89"/>
  <c r="AL142" i="89"/>
  <c r="AK143" i="89"/>
  <c r="AL143" i="89"/>
  <c r="AL144" i="89"/>
  <c r="AK145" i="89"/>
  <c r="AL145" i="89"/>
  <c r="AK146" i="89"/>
  <c r="AL146" i="89"/>
  <c r="AK147" i="89"/>
  <c r="AL147" i="89"/>
  <c r="AK148" i="89"/>
  <c r="AL148" i="89"/>
  <c r="AK149" i="89"/>
  <c r="AL149" i="89"/>
  <c r="AK150" i="89"/>
  <c r="AL150" i="89"/>
  <c r="AK151" i="89"/>
  <c r="AL151" i="89"/>
  <c r="AK152" i="89"/>
  <c r="AL152" i="89"/>
  <c r="AL153" i="89"/>
  <c r="AK154" i="89"/>
  <c r="AL154" i="89"/>
  <c r="AK155" i="89"/>
  <c r="AL155" i="89"/>
  <c r="AK156" i="89"/>
  <c r="AL156" i="89"/>
  <c r="AK158" i="89"/>
  <c r="AL158" i="89"/>
  <c r="AK159" i="89"/>
  <c r="AL159" i="89"/>
  <c r="AK160" i="89"/>
  <c r="AL160" i="89"/>
  <c r="AK161" i="89"/>
  <c r="AL161" i="89"/>
  <c r="AK162" i="89"/>
  <c r="AL162" i="89"/>
  <c r="AL163" i="89"/>
  <c r="AK164" i="89"/>
  <c r="AL164" i="89"/>
  <c r="AK165" i="89"/>
  <c r="AL165" i="89"/>
  <c r="AK166" i="89"/>
  <c r="AL166" i="89"/>
  <c r="AK167" i="89"/>
  <c r="AL167" i="89"/>
  <c r="AK168" i="89"/>
  <c r="AL168" i="89"/>
  <c r="AK169" i="89"/>
  <c r="AL169" i="89"/>
  <c r="AK170" i="89"/>
  <c r="AL170" i="89"/>
  <c r="AK171" i="89"/>
  <c r="AL171" i="89"/>
  <c r="AL172" i="89"/>
  <c r="AK173" i="89"/>
  <c r="AL173" i="89"/>
  <c r="AK174" i="89"/>
  <c r="AL174" i="89"/>
  <c r="AK175" i="89"/>
  <c r="AL175" i="89"/>
  <c r="AO25" i="89" l="1"/>
  <c r="AN25" i="89"/>
  <c r="AO32" i="89"/>
  <c r="AN29" i="89"/>
  <c r="AO29" i="89"/>
  <c r="AN42" i="89"/>
  <c r="AP42" i="89" s="1"/>
  <c r="AN41" i="89"/>
  <c r="AP41" i="89" s="1"/>
  <c r="AN40" i="89"/>
  <c r="AP40" i="89" s="1"/>
  <c r="AN37" i="89"/>
  <c r="AP37" i="89" s="1"/>
  <c r="AN36" i="89"/>
  <c r="AO36" i="89"/>
  <c r="AN33" i="89"/>
  <c r="AP33" i="89" s="1"/>
  <c r="AO31" i="89"/>
  <c r="AN31" i="89"/>
  <c r="AO30" i="89"/>
  <c r="AO27" i="89"/>
  <c r="AN27" i="89"/>
  <c r="AP25" i="89" l="1"/>
  <c r="AP29" i="89"/>
  <c r="AP31" i="89"/>
  <c r="AP36" i="89"/>
  <c r="AP27" i="89"/>
  <c r="P55" i="89"/>
  <c r="AM55" i="89" l="1"/>
  <c r="X55" i="89"/>
  <c r="M81" i="89"/>
  <c r="M76" i="92"/>
  <c r="L76" i="92"/>
  <c r="P162" i="89" l="1"/>
  <c r="AM162" i="89" l="1"/>
  <c r="X162" i="89"/>
  <c r="W162" i="89"/>
  <c r="V162" i="89"/>
  <c r="T162" i="89"/>
  <c r="U162" i="89"/>
  <c r="P143" i="89"/>
  <c r="P80" i="89"/>
  <c r="AM80" i="89" s="1"/>
  <c r="L62" i="89"/>
  <c r="R248" i="89"/>
  <c r="R247" i="89"/>
  <c r="R246" i="89"/>
  <c r="R245" i="89"/>
  <c r="D247" i="89"/>
  <c r="D246" i="89"/>
  <c r="D245" i="89"/>
  <c r="D244" i="89"/>
  <c r="D243" i="89"/>
  <c r="P167" i="89"/>
  <c r="P168" i="89"/>
  <c r="P169" i="89"/>
  <c r="P170" i="89"/>
  <c r="P171" i="89"/>
  <c r="P173" i="89"/>
  <c r="P174" i="89"/>
  <c r="P175" i="89"/>
  <c r="P166" i="89"/>
  <c r="P158" i="89"/>
  <c r="P159" i="89"/>
  <c r="P160" i="89"/>
  <c r="P161" i="89"/>
  <c r="P164" i="89"/>
  <c r="P165" i="89"/>
  <c r="P140" i="89"/>
  <c r="P141" i="89"/>
  <c r="P142" i="89"/>
  <c r="P145" i="89"/>
  <c r="P146" i="89"/>
  <c r="P147" i="89"/>
  <c r="P148" i="89"/>
  <c r="P149" i="89"/>
  <c r="P150" i="89"/>
  <c r="P151" i="89"/>
  <c r="P152" i="89"/>
  <c r="P154" i="89"/>
  <c r="P155" i="89"/>
  <c r="P156" i="89"/>
  <c r="P139" i="89"/>
  <c r="P121" i="89"/>
  <c r="P122" i="89"/>
  <c r="E277" i="89" s="1"/>
  <c r="F277" i="89" s="1"/>
  <c r="P124" i="89"/>
  <c r="E255" i="89" s="1"/>
  <c r="F255" i="89" s="1"/>
  <c r="P126" i="89"/>
  <c r="S232" i="89" s="1"/>
  <c r="P127" i="89"/>
  <c r="E232" i="89" s="1"/>
  <c r="P128" i="89"/>
  <c r="E267" i="89" s="1"/>
  <c r="F267" i="89" s="1"/>
  <c r="P130" i="89"/>
  <c r="P120" i="89"/>
  <c r="E243" i="89" s="1"/>
  <c r="P102" i="89"/>
  <c r="P103" i="89"/>
  <c r="E278" i="89" s="1"/>
  <c r="F278" i="89" s="1"/>
  <c r="P105" i="89"/>
  <c r="E256" i="89" s="1"/>
  <c r="F256" i="89" s="1"/>
  <c r="P107" i="89"/>
  <c r="S233" i="89" s="1"/>
  <c r="P108" i="89"/>
  <c r="E233" i="89" s="1"/>
  <c r="P109" i="89"/>
  <c r="E268" i="89" s="1"/>
  <c r="F268" i="89" s="1"/>
  <c r="P111" i="89"/>
  <c r="P118" i="89"/>
  <c r="P101" i="89"/>
  <c r="E244" i="89" s="1"/>
  <c r="P82" i="89"/>
  <c r="E245" i="89" s="1"/>
  <c r="P64" i="89"/>
  <c r="AM64" i="89" s="1"/>
  <c r="P65" i="89"/>
  <c r="P66" i="89"/>
  <c r="AM66" i="89" s="1"/>
  <c r="P69" i="89"/>
  <c r="AM69" i="89" s="1"/>
  <c r="P70" i="89"/>
  <c r="AM70" i="89" s="1"/>
  <c r="P71" i="89"/>
  <c r="P72" i="89"/>
  <c r="AM72" i="89" s="1"/>
  <c r="P73" i="89"/>
  <c r="AM73" i="89" s="1"/>
  <c r="P74" i="89"/>
  <c r="AM74" i="89" s="1"/>
  <c r="P75" i="89"/>
  <c r="S258" i="89" s="1"/>
  <c r="P76" i="89"/>
  <c r="AM76" i="89" s="1"/>
  <c r="P78" i="89"/>
  <c r="P79" i="89"/>
  <c r="H62" i="89"/>
  <c r="I62" i="89"/>
  <c r="J62" i="89"/>
  <c r="K62" i="89"/>
  <c r="N62" i="89"/>
  <c r="O62" i="89"/>
  <c r="P45" i="89"/>
  <c r="AM45" i="89" s="1"/>
  <c r="P46" i="89"/>
  <c r="P47" i="89"/>
  <c r="AM47" i="89" s="1"/>
  <c r="P48" i="89"/>
  <c r="P50" i="89"/>
  <c r="AM50" i="89" s="1"/>
  <c r="P51" i="89"/>
  <c r="AM51" i="89" s="1"/>
  <c r="P52" i="89"/>
  <c r="P53" i="89"/>
  <c r="AM53" i="89" s="1"/>
  <c r="P54" i="89"/>
  <c r="AM54" i="89" s="1"/>
  <c r="P56" i="89"/>
  <c r="S259" i="89" s="1"/>
  <c r="P57" i="89"/>
  <c r="AM57" i="89" s="1"/>
  <c r="P59" i="89"/>
  <c r="P60" i="89"/>
  <c r="P61" i="89"/>
  <c r="AM61" i="89" s="1"/>
  <c r="P44" i="89"/>
  <c r="P26" i="89"/>
  <c r="P27" i="89"/>
  <c r="P28" i="89"/>
  <c r="AM28" i="89" s="1"/>
  <c r="P29" i="89"/>
  <c r="E260" i="89" s="1"/>
  <c r="P31" i="89"/>
  <c r="P32" i="89"/>
  <c r="P33" i="89"/>
  <c r="P34" i="89"/>
  <c r="AM34" i="89" s="1"/>
  <c r="P35" i="89"/>
  <c r="AM35" i="89" s="1"/>
  <c r="P36" i="89"/>
  <c r="AM36" i="89" s="1"/>
  <c r="P38" i="89"/>
  <c r="AM38" i="89" s="1"/>
  <c r="P40" i="89"/>
  <c r="P41" i="89"/>
  <c r="P42" i="89"/>
  <c r="Q42" i="89" s="1"/>
  <c r="L75" i="92"/>
  <c r="M75" i="92"/>
  <c r="AM46" i="89" l="1"/>
  <c r="E281" i="89"/>
  <c r="F281" i="89" s="1"/>
  <c r="AM27" i="89"/>
  <c r="E282" i="89"/>
  <c r="F282" i="89" s="1"/>
  <c r="AM65" i="89"/>
  <c r="E280" i="89"/>
  <c r="F280" i="89" s="1"/>
  <c r="S188" i="89"/>
  <c r="AM32" i="89"/>
  <c r="X32" i="89"/>
  <c r="Y32" i="89"/>
  <c r="AM71" i="89"/>
  <c r="E270" i="89"/>
  <c r="F270" i="89" s="1"/>
  <c r="AM52" i="89"/>
  <c r="E271" i="89"/>
  <c r="F271" i="89" s="1"/>
  <c r="AM33" i="89"/>
  <c r="E272" i="89"/>
  <c r="F272" i="89" s="1"/>
  <c r="AM79" i="89"/>
  <c r="AM60" i="89"/>
  <c r="AM41" i="89"/>
  <c r="AM48" i="89"/>
  <c r="E259" i="89"/>
  <c r="F259" i="89" s="1"/>
  <c r="AM56" i="89"/>
  <c r="AM75" i="89"/>
  <c r="AM152" i="89"/>
  <c r="X152" i="89"/>
  <c r="W152" i="89"/>
  <c r="V152" i="89"/>
  <c r="U152" i="89"/>
  <c r="T152" i="89"/>
  <c r="AM142" i="89"/>
  <c r="U142" i="89"/>
  <c r="T142" i="89"/>
  <c r="X142" i="89"/>
  <c r="V142" i="89"/>
  <c r="W142" i="89"/>
  <c r="AM158" i="89"/>
  <c r="X158" i="89"/>
  <c r="W158" i="89"/>
  <c r="V158" i="89"/>
  <c r="T158" i="89"/>
  <c r="U158" i="89"/>
  <c r="AM168" i="89"/>
  <c r="U168" i="89"/>
  <c r="T168" i="89"/>
  <c r="X168" i="89"/>
  <c r="V168" i="89"/>
  <c r="W168" i="89"/>
  <c r="AM143" i="89"/>
  <c r="W143" i="89"/>
  <c r="V143" i="89"/>
  <c r="U143" i="89"/>
  <c r="T143" i="89"/>
  <c r="X143" i="89"/>
  <c r="AM42" i="89"/>
  <c r="U42" i="89"/>
  <c r="W82" i="89"/>
  <c r="U82" i="89"/>
  <c r="V82" i="89"/>
  <c r="T82" i="89"/>
  <c r="X82" i="89"/>
  <c r="AM105" i="89"/>
  <c r="X105" i="89"/>
  <c r="W105" i="89"/>
  <c r="V105" i="89"/>
  <c r="U105" i="89"/>
  <c r="T105" i="89"/>
  <c r="T256" i="89" s="1"/>
  <c r="AM124" i="89"/>
  <c r="U124" i="89"/>
  <c r="T124" i="89"/>
  <c r="T255" i="89" s="1"/>
  <c r="V124" i="89"/>
  <c r="X124" i="89"/>
  <c r="W124" i="89"/>
  <c r="AM151" i="89"/>
  <c r="W151" i="89"/>
  <c r="V151" i="89"/>
  <c r="U151" i="89"/>
  <c r="T151" i="89"/>
  <c r="X151" i="89"/>
  <c r="AM141" i="89"/>
  <c r="X141" i="89"/>
  <c r="T141" i="89"/>
  <c r="W141" i="89"/>
  <c r="V141" i="89"/>
  <c r="U141" i="89"/>
  <c r="AM166" i="89"/>
  <c r="X166" i="89"/>
  <c r="W166" i="89"/>
  <c r="V166" i="89"/>
  <c r="U166" i="89"/>
  <c r="T166" i="89"/>
  <c r="AM167" i="89"/>
  <c r="X167" i="89"/>
  <c r="W167" i="89"/>
  <c r="V167" i="89"/>
  <c r="U167" i="89"/>
  <c r="T167" i="89"/>
  <c r="AM140" i="89"/>
  <c r="X140" i="89"/>
  <c r="W140" i="89"/>
  <c r="V140" i="89"/>
  <c r="U140" i="89"/>
  <c r="T140" i="89"/>
  <c r="AM126" i="89"/>
  <c r="X126" i="89"/>
  <c r="W126" i="89"/>
  <c r="V126" i="89"/>
  <c r="U126" i="89"/>
  <c r="T126" i="89"/>
  <c r="AM103" i="89"/>
  <c r="U103" i="89"/>
  <c r="V103" i="89"/>
  <c r="X103" i="89"/>
  <c r="W103" i="89"/>
  <c r="T103" i="89"/>
  <c r="AM175" i="89"/>
  <c r="X175" i="89"/>
  <c r="W175" i="89"/>
  <c r="V175" i="89"/>
  <c r="U175" i="89"/>
  <c r="T175" i="89"/>
  <c r="AM118" i="89"/>
  <c r="T118" i="89"/>
  <c r="X118" i="89"/>
  <c r="U118" i="89"/>
  <c r="W118" i="89"/>
  <c r="Y118" i="89"/>
  <c r="V118" i="89"/>
  <c r="AM102" i="89"/>
  <c r="X102" i="89"/>
  <c r="T102" i="89"/>
  <c r="W102" i="89"/>
  <c r="V102" i="89"/>
  <c r="U102" i="89"/>
  <c r="AM121" i="89"/>
  <c r="W121" i="89"/>
  <c r="V121" i="89"/>
  <c r="U121" i="89"/>
  <c r="T121" i="89"/>
  <c r="X121" i="89"/>
  <c r="AM149" i="89"/>
  <c r="X149" i="89"/>
  <c r="W149" i="89"/>
  <c r="V149" i="89"/>
  <c r="T149" i="89"/>
  <c r="U149" i="89"/>
  <c r="AM165" i="89"/>
  <c r="W165" i="89"/>
  <c r="V165" i="89"/>
  <c r="U165" i="89"/>
  <c r="T165" i="89"/>
  <c r="X165" i="89"/>
  <c r="AM174" i="89"/>
  <c r="X174" i="89"/>
  <c r="W174" i="89"/>
  <c r="V174" i="89"/>
  <c r="U174" i="89"/>
  <c r="T174" i="89"/>
  <c r="AM122" i="89"/>
  <c r="X122" i="89"/>
  <c r="W122" i="89"/>
  <c r="V122" i="89"/>
  <c r="U122" i="89"/>
  <c r="T122" i="89"/>
  <c r="U111" i="89"/>
  <c r="V111" i="89"/>
  <c r="X111" i="89"/>
  <c r="W111" i="89"/>
  <c r="T111" i="89"/>
  <c r="U120" i="89"/>
  <c r="T120" i="89"/>
  <c r="V120" i="89"/>
  <c r="X120" i="89"/>
  <c r="W120" i="89"/>
  <c r="W139" i="89"/>
  <c r="V139" i="89"/>
  <c r="U139" i="89"/>
  <c r="X139" i="89"/>
  <c r="T139" i="89"/>
  <c r="AM148" i="89"/>
  <c r="X148" i="89"/>
  <c r="W148" i="89"/>
  <c r="V148" i="89"/>
  <c r="U148" i="89"/>
  <c r="T148" i="89"/>
  <c r="AM164" i="89"/>
  <c r="U164" i="89"/>
  <c r="T164" i="89"/>
  <c r="V164" i="89"/>
  <c r="X164" i="89"/>
  <c r="W164" i="89"/>
  <c r="AM173" i="89"/>
  <c r="U173" i="89"/>
  <c r="T173" i="89"/>
  <c r="V173" i="89"/>
  <c r="X173" i="89"/>
  <c r="W173" i="89"/>
  <c r="AM109" i="89"/>
  <c r="W109" i="89"/>
  <c r="X109" i="89"/>
  <c r="V109" i="89"/>
  <c r="U109" i="89"/>
  <c r="T109" i="89"/>
  <c r="W130" i="89"/>
  <c r="V130" i="89"/>
  <c r="U130" i="89"/>
  <c r="T130" i="89"/>
  <c r="X130" i="89"/>
  <c r="AM156" i="89"/>
  <c r="X156" i="89"/>
  <c r="W156" i="89"/>
  <c r="V156" i="89"/>
  <c r="U156" i="89"/>
  <c r="T156" i="89"/>
  <c r="AM147" i="89"/>
  <c r="W147" i="89"/>
  <c r="V147" i="89"/>
  <c r="U147" i="89"/>
  <c r="T147" i="89"/>
  <c r="X147" i="89"/>
  <c r="AM161" i="89"/>
  <c r="X161" i="89"/>
  <c r="W161" i="89"/>
  <c r="V161" i="89"/>
  <c r="U161" i="89"/>
  <c r="T161" i="89"/>
  <c r="AM171" i="89"/>
  <c r="X171" i="89"/>
  <c r="T171" i="89"/>
  <c r="W171" i="89"/>
  <c r="V171" i="89"/>
  <c r="U171" i="89"/>
  <c r="W101" i="89"/>
  <c r="V101" i="89"/>
  <c r="X101" i="89"/>
  <c r="U101" i="89"/>
  <c r="T101" i="89"/>
  <c r="AM26" i="89"/>
  <c r="AM108" i="89"/>
  <c r="W108" i="89"/>
  <c r="U108" i="89"/>
  <c r="T108" i="89"/>
  <c r="V108" i="89"/>
  <c r="X108" i="89"/>
  <c r="AM128" i="89"/>
  <c r="U128" i="89"/>
  <c r="T128" i="89"/>
  <c r="X128" i="89"/>
  <c r="W128" i="89"/>
  <c r="V128" i="89"/>
  <c r="AM155" i="89"/>
  <c r="W155" i="89"/>
  <c r="V155" i="89"/>
  <c r="U155" i="89"/>
  <c r="T155" i="89"/>
  <c r="X155" i="89"/>
  <c r="AM146" i="89"/>
  <c r="U146" i="89"/>
  <c r="T146" i="89"/>
  <c r="V146" i="89"/>
  <c r="X146" i="89"/>
  <c r="W146" i="89"/>
  <c r="AM160" i="89"/>
  <c r="W160" i="89"/>
  <c r="V160" i="89"/>
  <c r="U160" i="89"/>
  <c r="T160" i="89"/>
  <c r="X160" i="89"/>
  <c r="AM170" i="89"/>
  <c r="X170" i="89"/>
  <c r="W170" i="89"/>
  <c r="V170" i="89"/>
  <c r="U170" i="89"/>
  <c r="T170" i="89"/>
  <c r="AM150" i="89"/>
  <c r="U150" i="89"/>
  <c r="T150" i="89"/>
  <c r="V150" i="89"/>
  <c r="X150" i="89"/>
  <c r="W150" i="89"/>
  <c r="X44" i="89"/>
  <c r="W44" i="89"/>
  <c r="V44" i="89"/>
  <c r="U44" i="89"/>
  <c r="T44" i="89"/>
  <c r="AM107" i="89"/>
  <c r="U107" i="89"/>
  <c r="X107" i="89"/>
  <c r="V107" i="89"/>
  <c r="T107" i="89"/>
  <c r="W107" i="89"/>
  <c r="AM127" i="89"/>
  <c r="X127" i="89"/>
  <c r="T127" i="89"/>
  <c r="W127" i="89"/>
  <c r="V127" i="89"/>
  <c r="U127" i="89"/>
  <c r="AM154" i="89"/>
  <c r="U154" i="89"/>
  <c r="T154" i="89"/>
  <c r="V154" i="89"/>
  <c r="X154" i="89"/>
  <c r="W154" i="89"/>
  <c r="AM145" i="89"/>
  <c r="X145" i="89"/>
  <c r="W145" i="89"/>
  <c r="V145" i="89"/>
  <c r="U145" i="89"/>
  <c r="T145" i="89"/>
  <c r="AM159" i="89"/>
  <c r="U159" i="89"/>
  <c r="T159" i="89"/>
  <c r="V159" i="89"/>
  <c r="X159" i="89"/>
  <c r="W159" i="89"/>
  <c r="AM169" i="89"/>
  <c r="W169" i="89"/>
  <c r="V169" i="89"/>
  <c r="U169" i="89"/>
  <c r="T169" i="89"/>
  <c r="X169" i="89"/>
  <c r="B25" i="89"/>
  <c r="AM31" i="89"/>
  <c r="L78" i="92"/>
  <c r="M69" i="92"/>
  <c r="M78" i="92"/>
  <c r="L69" i="92"/>
  <c r="AM29" i="89"/>
  <c r="AL62" i="89"/>
  <c r="S248" i="89"/>
  <c r="T248" i="89" s="1"/>
  <c r="AM40" i="89"/>
  <c r="T244" i="89"/>
  <c r="AM111" i="89"/>
  <c r="S246" i="89"/>
  <c r="T246" i="89" s="1"/>
  <c r="AM78" i="89"/>
  <c r="F243" i="89"/>
  <c r="AM120" i="89"/>
  <c r="T243" i="89"/>
  <c r="AM130" i="89"/>
  <c r="AM139" i="89"/>
  <c r="E247" i="89"/>
  <c r="F247" i="89" s="1"/>
  <c r="AM44" i="89"/>
  <c r="G248" i="89"/>
  <c r="F245" i="89"/>
  <c r="AM82" i="89"/>
  <c r="S247" i="89"/>
  <c r="T247" i="89" s="1"/>
  <c r="AM59" i="89"/>
  <c r="F244" i="89"/>
  <c r="AM101" i="89"/>
  <c r="P93" i="89"/>
  <c r="AM93" i="89" s="1"/>
  <c r="P89" i="89"/>
  <c r="N100" i="89"/>
  <c r="AM89" i="89" l="1"/>
  <c r="E234" i="89"/>
  <c r="P67" i="89"/>
  <c r="E258" i="89" s="1"/>
  <c r="F258" i="89" s="1"/>
  <c r="AM67" i="89" l="1"/>
  <c r="R234" i="89" l="1"/>
  <c r="R235" i="89"/>
  <c r="R236" i="89"/>
  <c r="R237" i="89"/>
  <c r="D234" i="89"/>
  <c r="D235" i="89"/>
  <c r="D236" i="89"/>
  <c r="D237" i="89"/>
  <c r="O176" i="89"/>
  <c r="N176" i="89"/>
  <c r="Y171" i="89"/>
  <c r="Y167" i="89"/>
  <c r="N157" i="89"/>
  <c r="N138" i="89"/>
  <c r="N119" i="89"/>
  <c r="N81" i="89"/>
  <c r="Y168" i="89" l="1"/>
  <c r="Y160" i="89"/>
  <c r="Y164" i="89"/>
  <c r="Q164" i="89"/>
  <c r="R164" i="89" s="1"/>
  <c r="Q168" i="89"/>
  <c r="R168" i="89" s="1"/>
  <c r="Q160" i="89"/>
  <c r="R160" i="89" s="1"/>
  <c r="Y161" i="89"/>
  <c r="Y165" i="89"/>
  <c r="Q158" i="89"/>
  <c r="R158" i="89" s="1"/>
  <c r="Y158" i="89"/>
  <c r="Q162" i="89"/>
  <c r="R162" i="89" s="1"/>
  <c r="Y162" i="89"/>
  <c r="Q166" i="89"/>
  <c r="R166" i="89" s="1"/>
  <c r="Y166" i="89"/>
  <c r="Q170" i="89"/>
  <c r="R170" i="89" s="1"/>
  <c r="Y170" i="89"/>
  <c r="Q174" i="89"/>
  <c r="R174" i="89" s="1"/>
  <c r="Y174" i="89"/>
  <c r="Q169" i="89"/>
  <c r="R169" i="89" s="1"/>
  <c r="Q173" i="89"/>
  <c r="R173" i="89" s="1"/>
  <c r="Q159" i="89"/>
  <c r="R159" i="89" s="1"/>
  <c r="Y159" i="89"/>
  <c r="Q167" i="89"/>
  <c r="R167" i="89" s="1"/>
  <c r="Q171" i="89"/>
  <c r="R171" i="89" s="1"/>
  <c r="Q175" i="89"/>
  <c r="R175" i="89" s="1"/>
  <c r="Y175" i="89"/>
  <c r="Q161" i="89"/>
  <c r="R161" i="89" s="1"/>
  <c r="Q165" i="89"/>
  <c r="R165" i="89" s="1"/>
  <c r="Y169" i="89"/>
  <c r="Y173" i="89"/>
  <c r="AB184" i="89"/>
  <c r="AB185" i="89"/>
  <c r="AB186" i="89"/>
  <c r="AB187" i="89"/>
  <c r="AB188" i="89"/>
  <c r="AB189" i="89"/>
  <c r="I100" i="89"/>
  <c r="D220" i="89" l="1"/>
  <c r="D221" i="89"/>
  <c r="D222" i="89"/>
  <c r="D223" i="89"/>
  <c r="D204" i="89"/>
  <c r="D205" i="89"/>
  <c r="D206" i="89"/>
  <c r="D207" i="89"/>
  <c r="C225" i="92"/>
  <c r="I386" i="92"/>
  <c r="H386" i="92"/>
  <c r="C222" i="92"/>
  <c r="H385" i="92"/>
  <c r="F386" i="92"/>
  <c r="G386" i="92"/>
  <c r="G385" i="92"/>
  <c r="F385" i="92"/>
  <c r="I385" i="92"/>
  <c r="Y156" i="89" l="1"/>
  <c r="AH42" i="89"/>
  <c r="AB25" i="89"/>
  <c r="AB26" i="89"/>
  <c r="AB27" i="89"/>
  <c r="AB28" i="89"/>
  <c r="AB29" i="89"/>
  <c r="AB30" i="89"/>
  <c r="AB31" i="89"/>
  <c r="AB32" i="89"/>
  <c r="AB33" i="89"/>
  <c r="AB34" i="89"/>
  <c r="AB35" i="89"/>
  <c r="AB36" i="89"/>
  <c r="AB37" i="89"/>
  <c r="AB38" i="89"/>
  <c r="AB39" i="89"/>
  <c r="AB40" i="89"/>
  <c r="AB41" i="89"/>
  <c r="AB42" i="89"/>
  <c r="W41" i="89"/>
  <c r="W38" i="89"/>
  <c r="V35" i="89"/>
  <c r="Y34" i="89"/>
  <c r="V33" i="89"/>
  <c r="S237" i="89"/>
  <c r="T237" i="89" s="1"/>
  <c r="W28" i="89"/>
  <c r="L176" i="89"/>
  <c r="K176" i="89"/>
  <c r="J176" i="89"/>
  <c r="I176" i="89"/>
  <c r="F176" i="89"/>
  <c r="E176" i="89"/>
  <c r="O157" i="89"/>
  <c r="L157" i="89"/>
  <c r="J157" i="89"/>
  <c r="I157" i="89"/>
  <c r="F157" i="89"/>
  <c r="E157" i="89"/>
  <c r="Y155" i="89"/>
  <c r="Y151" i="89"/>
  <c r="Y150" i="89"/>
  <c r="Y147" i="89"/>
  <c r="Y146" i="89"/>
  <c r="Y142" i="89"/>
  <c r="Y141" i="89"/>
  <c r="H157" i="89"/>
  <c r="Y130" i="89"/>
  <c r="Y126" i="89"/>
  <c r="Y121" i="89"/>
  <c r="Y120" i="89"/>
  <c r="P99" i="89"/>
  <c r="P98" i="89"/>
  <c r="P97" i="89"/>
  <c r="AM97" i="89" s="1"/>
  <c r="P95" i="89"/>
  <c r="P94" i="89"/>
  <c r="Y93" i="89"/>
  <c r="P92" i="89"/>
  <c r="P91" i="89"/>
  <c r="P90" i="89"/>
  <c r="E269" i="89" s="1"/>
  <c r="P88" i="89"/>
  <c r="P86" i="89"/>
  <c r="E257" i="89" s="1"/>
  <c r="P85" i="89"/>
  <c r="P84" i="89"/>
  <c r="E279" i="89" s="1"/>
  <c r="F279" i="89" s="1"/>
  <c r="P83" i="89"/>
  <c r="T80" i="89"/>
  <c r="X79" i="89"/>
  <c r="X76" i="89"/>
  <c r="X75" i="89"/>
  <c r="U74" i="89"/>
  <c r="Y73" i="89"/>
  <c r="W72" i="89"/>
  <c r="T71" i="89"/>
  <c r="X66" i="89"/>
  <c r="U65" i="89"/>
  <c r="Y64" i="89"/>
  <c r="P63" i="89"/>
  <c r="X61" i="89"/>
  <c r="X60" i="89"/>
  <c r="V59" i="89"/>
  <c r="T57" i="89"/>
  <c r="X56" i="89"/>
  <c r="W55" i="89"/>
  <c r="Y54" i="89"/>
  <c r="U53" i="89"/>
  <c r="T52" i="89"/>
  <c r="U47" i="89"/>
  <c r="T46" i="89"/>
  <c r="X45" i="89"/>
  <c r="V78" i="89"/>
  <c r="I81" i="89"/>
  <c r="J81" i="89"/>
  <c r="F138" i="89"/>
  <c r="F119" i="89"/>
  <c r="H100" i="89"/>
  <c r="J100" i="89"/>
  <c r="S186" i="89" s="1"/>
  <c r="U186" i="89" s="1"/>
  <c r="L100" i="89"/>
  <c r="O100" i="89"/>
  <c r="F100" i="89"/>
  <c r="F81" i="89"/>
  <c r="F62" i="89"/>
  <c r="AE4" i="129"/>
  <c r="O3" i="89" s="1"/>
  <c r="AD4" i="129"/>
  <c r="N3" i="89" s="1"/>
  <c r="AC4" i="129"/>
  <c r="M3" i="89" s="1"/>
  <c r="O4" i="129"/>
  <c r="O2" i="89" s="1"/>
  <c r="N4" i="129"/>
  <c r="N2" i="89" s="1"/>
  <c r="M4" i="129"/>
  <c r="M2" i="89" s="1"/>
  <c r="O138" i="89"/>
  <c r="L138" i="89"/>
  <c r="K138" i="89"/>
  <c r="J138" i="89"/>
  <c r="H138" i="89"/>
  <c r="E138" i="89"/>
  <c r="H417" i="92"/>
  <c r="H416" i="92"/>
  <c r="H415" i="92"/>
  <c r="H414" i="92"/>
  <c r="L119" i="89"/>
  <c r="K119" i="89"/>
  <c r="J119" i="89"/>
  <c r="H119" i="89"/>
  <c r="K100" i="89"/>
  <c r="O81" i="89"/>
  <c r="K81" i="89"/>
  <c r="H81" i="89"/>
  <c r="O119" i="89"/>
  <c r="AB4" i="129"/>
  <c r="L3" i="89" s="1"/>
  <c r="AA4" i="129"/>
  <c r="K3" i="89" s="1"/>
  <c r="Z4" i="129"/>
  <c r="J3" i="89" s="1"/>
  <c r="G153" i="89" s="1"/>
  <c r="Y4" i="129"/>
  <c r="I3" i="89" s="1"/>
  <c r="G172" i="89" s="1"/>
  <c r="X4" i="129"/>
  <c r="H3" i="89" s="1"/>
  <c r="W4" i="129"/>
  <c r="G3" i="89" s="1"/>
  <c r="V4" i="129"/>
  <c r="F3" i="89" s="1"/>
  <c r="G96" i="89" s="1"/>
  <c r="U4" i="129"/>
  <c r="E3" i="89" s="1"/>
  <c r="G77" i="89" s="1"/>
  <c r="T4" i="129"/>
  <c r="D3" i="89" s="1"/>
  <c r="S4" i="129"/>
  <c r="C3" i="89" s="1"/>
  <c r="G39" i="89" s="1"/>
  <c r="C2" i="89"/>
  <c r="G30" i="89" s="1"/>
  <c r="E62" i="89"/>
  <c r="E81" i="89"/>
  <c r="H122" i="92"/>
  <c r="D4" i="129"/>
  <c r="D2" i="89" s="1"/>
  <c r="G49" i="89" s="1"/>
  <c r="E4" i="129"/>
  <c r="E2" i="89" s="1"/>
  <c r="G68" i="89" s="1"/>
  <c r="F4" i="129"/>
  <c r="F2" i="89" s="1"/>
  <c r="G4" i="129"/>
  <c r="G2" i="89" s="1"/>
  <c r="G106" i="89" s="1"/>
  <c r="H4" i="129"/>
  <c r="H2" i="89" s="1"/>
  <c r="G125" i="89" s="1"/>
  <c r="I4" i="129"/>
  <c r="I2" i="89" s="1"/>
  <c r="G163" i="89" s="1"/>
  <c r="J4" i="129"/>
  <c r="J2" i="89" s="1"/>
  <c r="G144" i="89" s="1"/>
  <c r="K4" i="129"/>
  <c r="K2" i="89" s="1"/>
  <c r="L4" i="129"/>
  <c r="L2" i="89" s="1"/>
  <c r="E119" i="89"/>
  <c r="E100" i="89"/>
  <c r="T184" i="89"/>
  <c r="W189" i="89"/>
  <c r="Y58" i="92"/>
  <c r="H176" i="89"/>
  <c r="K139" i="92"/>
  <c r="L222" i="92"/>
  <c r="H245" i="92"/>
  <c r="F164" i="92"/>
  <c r="K140" i="92"/>
  <c r="D386" i="92"/>
  <c r="E180" i="92"/>
  <c r="D180" i="92"/>
  <c r="L241" i="92"/>
  <c r="D182" i="92"/>
  <c r="K141" i="92"/>
  <c r="K138" i="92"/>
  <c r="L244" i="92"/>
  <c r="H244" i="92"/>
  <c r="K137" i="92"/>
  <c r="F166" i="92"/>
  <c r="E166" i="92"/>
  <c r="H227" i="92"/>
  <c r="D385" i="92"/>
  <c r="K136" i="92"/>
  <c r="E385" i="92"/>
  <c r="C180" i="92"/>
  <c r="K135" i="92"/>
  <c r="D164" i="92"/>
  <c r="H225" i="92"/>
  <c r="E386" i="92"/>
  <c r="C166" i="92"/>
  <c r="H241" i="92"/>
  <c r="C182" i="92"/>
  <c r="I57" i="92"/>
  <c r="H228" i="92"/>
  <c r="I58" i="92"/>
  <c r="H226" i="92"/>
  <c r="D166" i="92"/>
  <c r="C226" i="92"/>
  <c r="I241" i="92"/>
  <c r="C164" i="92"/>
  <c r="H222" i="92"/>
  <c r="M241" i="92"/>
  <c r="E164" i="92"/>
  <c r="E182" i="92"/>
  <c r="L225" i="92"/>
  <c r="L245" i="92"/>
  <c r="X57" i="92"/>
  <c r="F269" i="89" l="1"/>
  <c r="G43" i="89"/>
  <c r="E189" i="89" s="1"/>
  <c r="F189" i="89" s="1"/>
  <c r="F257" i="89"/>
  <c r="S257" i="89"/>
  <c r="AM88" i="89"/>
  <c r="S234" i="89"/>
  <c r="T234" i="89" s="1"/>
  <c r="AB43" i="89"/>
  <c r="P125" i="89"/>
  <c r="E202" i="89" s="1"/>
  <c r="F202" i="89" s="1"/>
  <c r="AK125" i="89"/>
  <c r="AK106" i="89"/>
  <c r="P106" i="89"/>
  <c r="Y106" i="89" s="1"/>
  <c r="G87" i="89"/>
  <c r="G100" i="89" s="1"/>
  <c r="E186" i="89" s="1"/>
  <c r="G58" i="89"/>
  <c r="AK58" i="89" s="1"/>
  <c r="AK110" i="89"/>
  <c r="G115" i="89"/>
  <c r="P115" i="89" s="1"/>
  <c r="G129" i="89"/>
  <c r="AK129" i="89" s="1"/>
  <c r="G134" i="89"/>
  <c r="P134" i="89" s="1"/>
  <c r="S127" i="89"/>
  <c r="S165" i="89"/>
  <c r="S146" i="89"/>
  <c r="S108" i="89"/>
  <c r="S114" i="89"/>
  <c r="S133" i="89"/>
  <c r="S152" i="89"/>
  <c r="S171" i="89"/>
  <c r="S112" i="89"/>
  <c r="S131" i="89"/>
  <c r="S169" i="89"/>
  <c r="S150" i="89"/>
  <c r="S132" i="89"/>
  <c r="S113" i="89"/>
  <c r="S170" i="89"/>
  <c r="S151" i="89"/>
  <c r="S162" i="89"/>
  <c r="S143" i="89"/>
  <c r="S105" i="89"/>
  <c r="S124" i="89"/>
  <c r="S111" i="89"/>
  <c r="S130" i="89"/>
  <c r="S168" i="89"/>
  <c r="S149" i="89"/>
  <c r="S141" i="89"/>
  <c r="S122" i="89"/>
  <c r="S160" i="89"/>
  <c r="S103" i="89"/>
  <c r="S137" i="89"/>
  <c r="S156" i="89"/>
  <c r="S118" i="89"/>
  <c r="S175" i="89"/>
  <c r="S148" i="89"/>
  <c r="S167" i="89"/>
  <c r="S159" i="89"/>
  <c r="S121" i="89"/>
  <c r="S102" i="89"/>
  <c r="S26" i="89"/>
  <c r="S140" i="89"/>
  <c r="S142" i="89"/>
  <c r="S161" i="89"/>
  <c r="AM63" i="89"/>
  <c r="U63" i="89"/>
  <c r="T63" i="89"/>
  <c r="S63" i="89"/>
  <c r="V63" i="89"/>
  <c r="X63" i="89"/>
  <c r="W63" i="89"/>
  <c r="S136" i="89"/>
  <c r="S117" i="89"/>
  <c r="S174" i="89"/>
  <c r="S155" i="89"/>
  <c r="S128" i="89"/>
  <c r="S147" i="89"/>
  <c r="S166" i="89"/>
  <c r="S109" i="89"/>
  <c r="S25" i="89"/>
  <c r="S82" i="89"/>
  <c r="S120" i="89"/>
  <c r="S139" i="89"/>
  <c r="S44" i="89"/>
  <c r="S158" i="89"/>
  <c r="S101" i="89"/>
  <c r="S116" i="89"/>
  <c r="S135" i="89"/>
  <c r="S173" i="89"/>
  <c r="S154" i="89"/>
  <c r="S126" i="89"/>
  <c r="S107" i="89"/>
  <c r="S164" i="89"/>
  <c r="S145" i="89"/>
  <c r="P163" i="89"/>
  <c r="AK163" i="89"/>
  <c r="P30" i="89"/>
  <c r="AK30" i="89"/>
  <c r="P153" i="89"/>
  <c r="AK153" i="89"/>
  <c r="P144" i="89"/>
  <c r="AK144" i="89"/>
  <c r="G157" i="89"/>
  <c r="P39" i="89"/>
  <c r="W39" i="89" s="1"/>
  <c r="AK39" i="89"/>
  <c r="P123" i="89"/>
  <c r="AK123" i="89"/>
  <c r="AK77" i="89"/>
  <c r="P77" i="89"/>
  <c r="P104" i="89"/>
  <c r="AK104" i="89"/>
  <c r="P96" i="89"/>
  <c r="AK96" i="89"/>
  <c r="P68" i="89"/>
  <c r="E205" i="89" s="1"/>
  <c r="F205" i="89" s="1"/>
  <c r="AK68" i="89"/>
  <c r="P49" i="89"/>
  <c r="AK49" i="89"/>
  <c r="P172" i="89"/>
  <c r="AK172" i="89"/>
  <c r="AL176" i="89"/>
  <c r="AL138" i="89"/>
  <c r="Y83" i="89"/>
  <c r="AM83" i="89"/>
  <c r="V86" i="89"/>
  <c r="AM86" i="89"/>
  <c r="Y98" i="89"/>
  <c r="AM98" i="89"/>
  <c r="AL43" i="89"/>
  <c r="T90" i="89"/>
  <c r="AM90" i="89"/>
  <c r="T99" i="89"/>
  <c r="AM99" i="89"/>
  <c r="V91" i="89"/>
  <c r="AM91" i="89"/>
  <c r="AL157" i="89"/>
  <c r="AL119" i="89"/>
  <c r="AL100" i="89"/>
  <c r="X92" i="89"/>
  <c r="AM92" i="89"/>
  <c r="Y84" i="89"/>
  <c r="AM84" i="89"/>
  <c r="T94" i="89"/>
  <c r="AM94" i="89"/>
  <c r="T85" i="89"/>
  <c r="AM85" i="89"/>
  <c r="V95" i="89"/>
  <c r="AM95" i="89"/>
  <c r="P110" i="89"/>
  <c r="X97" i="89"/>
  <c r="S245" i="89"/>
  <c r="T245" i="89" s="1"/>
  <c r="E246" i="89"/>
  <c r="Y82" i="89"/>
  <c r="B44" i="89"/>
  <c r="B63" i="89"/>
  <c r="W27" i="89"/>
  <c r="X29" i="89"/>
  <c r="Q48" i="89"/>
  <c r="R48" i="89" s="1"/>
  <c r="B48" i="89"/>
  <c r="X67" i="89"/>
  <c r="B67" i="89"/>
  <c r="Q55" i="89"/>
  <c r="R55" i="89" s="1"/>
  <c r="Q126" i="89"/>
  <c r="R126" i="89" s="1"/>
  <c r="T232" i="89"/>
  <c r="Y105" i="89"/>
  <c r="T233" i="89"/>
  <c r="X88" i="89"/>
  <c r="V50" i="89"/>
  <c r="S236" i="89"/>
  <c r="T236" i="89" s="1"/>
  <c r="V69" i="89"/>
  <c r="S235" i="89"/>
  <c r="T235" i="89" s="1"/>
  <c r="Y89" i="89"/>
  <c r="F234" i="89"/>
  <c r="F233" i="89"/>
  <c r="T51" i="89"/>
  <c r="E236" i="89"/>
  <c r="F236" i="89" s="1"/>
  <c r="X70" i="89"/>
  <c r="E235" i="89"/>
  <c r="F235" i="89" s="1"/>
  <c r="Q32" i="89"/>
  <c r="R32" i="89" s="1"/>
  <c r="E237" i="89"/>
  <c r="F237" i="89" s="1"/>
  <c r="Q86" i="89"/>
  <c r="R86" i="89" s="1"/>
  <c r="Q95" i="89"/>
  <c r="R95" i="89" s="1"/>
  <c r="Q85" i="89"/>
  <c r="R85" i="89" s="1"/>
  <c r="W36" i="89"/>
  <c r="Q36" i="89"/>
  <c r="R36" i="89" s="1"/>
  <c r="V38" i="89"/>
  <c r="Q41" i="89"/>
  <c r="R41" i="89" s="1"/>
  <c r="Q65" i="89"/>
  <c r="R65" i="89" s="1"/>
  <c r="Q89" i="89"/>
  <c r="R89" i="89" s="1"/>
  <c r="Q121" i="89"/>
  <c r="R121" i="89" s="1"/>
  <c r="T33" i="89"/>
  <c r="Q46" i="89"/>
  <c r="R46" i="89" s="1"/>
  <c r="Q98" i="89"/>
  <c r="R98" i="89" s="1"/>
  <c r="U35" i="89"/>
  <c r="W26" i="89"/>
  <c r="T189" i="89"/>
  <c r="T188" i="89"/>
  <c r="AI35" i="89"/>
  <c r="Q83" i="89"/>
  <c r="R83" i="89" s="1"/>
  <c r="Q33" i="89"/>
  <c r="R33" i="89" s="1"/>
  <c r="Q88" i="89"/>
  <c r="R88" i="89" s="1"/>
  <c r="Q102" i="89"/>
  <c r="R102" i="89" s="1"/>
  <c r="T41" i="89"/>
  <c r="Q139" i="89"/>
  <c r="R139" i="89" s="1"/>
  <c r="AH41" i="89"/>
  <c r="AH32" i="89"/>
  <c r="V41" i="89"/>
  <c r="AI41" i="89"/>
  <c r="Q84" i="89"/>
  <c r="R84" i="89" s="1"/>
  <c r="U41" i="89"/>
  <c r="X41" i="89"/>
  <c r="Y41" i="89"/>
  <c r="Q78" i="89"/>
  <c r="R78" i="89" s="1"/>
  <c r="Q51" i="89"/>
  <c r="R51" i="89" s="1"/>
  <c r="Q151" i="89"/>
  <c r="R151" i="89" s="1"/>
  <c r="AH35" i="89"/>
  <c r="AI33" i="89"/>
  <c r="Q60" i="89"/>
  <c r="R60" i="89" s="1"/>
  <c r="Q70" i="89"/>
  <c r="R70" i="89" s="1"/>
  <c r="Q90" i="89"/>
  <c r="R90" i="89" s="1"/>
  <c r="AH34" i="89"/>
  <c r="AI27" i="89"/>
  <c r="Q34" i="89"/>
  <c r="R34" i="89" s="1"/>
  <c r="Q82" i="89"/>
  <c r="R82" i="89" s="1"/>
  <c r="AH33" i="89"/>
  <c r="V26" i="89"/>
  <c r="Q35" i="89"/>
  <c r="R35" i="89" s="1"/>
  <c r="Q109" i="89"/>
  <c r="R109" i="89" s="1"/>
  <c r="V27" i="89"/>
  <c r="Q71" i="89"/>
  <c r="R71" i="89" s="1"/>
  <c r="Q99" i="89"/>
  <c r="R99" i="89" s="1"/>
  <c r="X35" i="89"/>
  <c r="Q80" i="89"/>
  <c r="R80" i="89" s="1"/>
  <c r="T35" i="89"/>
  <c r="X36" i="89"/>
  <c r="Q103" i="89"/>
  <c r="R103" i="89" s="1"/>
  <c r="T36" i="89"/>
  <c r="U28" i="89"/>
  <c r="V42" i="89"/>
  <c r="X28" i="89"/>
  <c r="Q38" i="89"/>
  <c r="R38" i="89" s="1"/>
  <c r="Q47" i="89"/>
  <c r="R47" i="89" s="1"/>
  <c r="Q64" i="89"/>
  <c r="R64" i="89" s="1"/>
  <c r="Q74" i="89"/>
  <c r="R74" i="89" s="1"/>
  <c r="Q105" i="89"/>
  <c r="R105" i="89" s="1"/>
  <c r="Q128" i="89"/>
  <c r="R128" i="89" s="1"/>
  <c r="U33" i="89"/>
  <c r="AI42" i="89"/>
  <c r="U90" i="89"/>
  <c r="Q130" i="89"/>
  <c r="R130" i="89" s="1"/>
  <c r="T38" i="89"/>
  <c r="V28" i="89"/>
  <c r="S74" i="89"/>
  <c r="S66" i="89"/>
  <c r="R42" i="89"/>
  <c r="Q53" i="89"/>
  <c r="R53" i="89" s="1"/>
  <c r="Q66" i="89"/>
  <c r="R66" i="89" s="1"/>
  <c r="U36" i="89"/>
  <c r="AI38" i="89"/>
  <c r="X42" i="89"/>
  <c r="Q54" i="89"/>
  <c r="R54" i="89" s="1"/>
  <c r="Q93" i="89"/>
  <c r="R93" i="89" s="1"/>
  <c r="Q156" i="89"/>
  <c r="R156" i="89" s="1"/>
  <c r="T28" i="89"/>
  <c r="T42" i="89"/>
  <c r="AH29" i="89"/>
  <c r="U38" i="89"/>
  <c r="Q28" i="89"/>
  <c r="R28" i="89" s="1"/>
  <c r="Q56" i="89"/>
  <c r="R56" i="89" s="1"/>
  <c r="Q75" i="89"/>
  <c r="R75" i="89" s="1"/>
  <c r="Q94" i="89"/>
  <c r="R94" i="89" s="1"/>
  <c r="Q120" i="89"/>
  <c r="R120" i="89" s="1"/>
  <c r="Q142" i="89"/>
  <c r="R142" i="89" s="1"/>
  <c r="T29" i="89"/>
  <c r="AH28" i="89"/>
  <c r="X38" i="89"/>
  <c r="Y28" i="89"/>
  <c r="Q45" i="89"/>
  <c r="R45" i="89" s="1"/>
  <c r="Q122" i="89"/>
  <c r="R122" i="89" s="1"/>
  <c r="AH38" i="89"/>
  <c r="AI28" i="89"/>
  <c r="Y40" i="89"/>
  <c r="W40" i="89"/>
  <c r="Q76" i="89"/>
  <c r="R76" i="89" s="1"/>
  <c r="AI26" i="89"/>
  <c r="S34" i="89"/>
  <c r="W34" i="89"/>
  <c r="Q29" i="89"/>
  <c r="R29" i="89" s="1"/>
  <c r="Q79" i="89"/>
  <c r="R79" i="89" s="1"/>
  <c r="Q69" i="89"/>
  <c r="R69" i="89" s="1"/>
  <c r="Q152" i="89"/>
  <c r="R152" i="89" s="1"/>
  <c r="T34" i="89"/>
  <c r="U26" i="89"/>
  <c r="V40" i="89"/>
  <c r="AI36" i="89"/>
  <c r="X34" i="89"/>
  <c r="Y35" i="89"/>
  <c r="W35" i="89"/>
  <c r="V55" i="89"/>
  <c r="V65" i="89"/>
  <c r="W86" i="89"/>
  <c r="Q44" i="89"/>
  <c r="R44" i="89" s="1"/>
  <c r="Q57" i="89"/>
  <c r="R57" i="89" s="1"/>
  <c r="Q92" i="89"/>
  <c r="R92" i="89" s="1"/>
  <c r="Q141" i="89"/>
  <c r="R141" i="89" s="1"/>
  <c r="U27" i="89"/>
  <c r="V29" i="89"/>
  <c r="Y36" i="89"/>
  <c r="X57" i="89"/>
  <c r="T67" i="89"/>
  <c r="T258" i="89" s="1"/>
  <c r="Y88" i="89"/>
  <c r="Y139" i="89"/>
  <c r="Q26" i="89"/>
  <c r="R26" i="89" s="1"/>
  <c r="Q40" i="89"/>
  <c r="R40" i="89" s="1"/>
  <c r="Q59" i="89"/>
  <c r="R59" i="89" s="1"/>
  <c r="Q67" i="89"/>
  <c r="R67" i="89" s="1"/>
  <c r="Q107" i="89"/>
  <c r="R107" i="89" s="1"/>
  <c r="Q124" i="89"/>
  <c r="R124" i="89" s="1"/>
  <c r="AH40" i="89"/>
  <c r="U40" i="89"/>
  <c r="AI34" i="89"/>
  <c r="Y29" i="89"/>
  <c r="W29" i="89"/>
  <c r="U59" i="89"/>
  <c r="W69" i="89"/>
  <c r="Q27" i="89"/>
  <c r="R27" i="89" s="1"/>
  <c r="Q108" i="89"/>
  <c r="R108" i="89" s="1"/>
  <c r="T26" i="89"/>
  <c r="U29" i="89"/>
  <c r="V34" i="89"/>
  <c r="V31" i="89"/>
  <c r="W31" i="89"/>
  <c r="Y44" i="89"/>
  <c r="X72" i="89"/>
  <c r="Y92" i="89"/>
  <c r="Q72" i="89"/>
  <c r="R72" i="89" s="1"/>
  <c r="Q150" i="89"/>
  <c r="R150" i="89" s="1"/>
  <c r="Q155" i="89"/>
  <c r="R155" i="89" s="1"/>
  <c r="T27" i="89"/>
  <c r="AH27" i="89"/>
  <c r="AI29" i="89"/>
  <c r="X40" i="89"/>
  <c r="W32" i="89"/>
  <c r="Y38" i="89"/>
  <c r="Y42" i="89"/>
  <c r="W42" i="89"/>
  <c r="V74" i="89"/>
  <c r="U94" i="89"/>
  <c r="Q63" i="89"/>
  <c r="R63" i="89" s="1"/>
  <c r="Q73" i="89"/>
  <c r="R73" i="89" s="1"/>
  <c r="Q97" i="89"/>
  <c r="R97" i="89" s="1"/>
  <c r="Q118" i="89"/>
  <c r="R118" i="89" s="1"/>
  <c r="Q143" i="89"/>
  <c r="R143" i="89" s="1"/>
  <c r="T40" i="89"/>
  <c r="AH36" i="89"/>
  <c r="AH26" i="89"/>
  <c r="U34" i="89"/>
  <c r="V36" i="89"/>
  <c r="AI40" i="89"/>
  <c r="Y26" i="89"/>
  <c r="Y33" i="89"/>
  <c r="W33" i="89"/>
  <c r="Y63" i="89"/>
  <c r="U46" i="89"/>
  <c r="T76" i="89"/>
  <c r="W95" i="89"/>
  <c r="Y103" i="89"/>
  <c r="Y66" i="89"/>
  <c r="T47" i="89"/>
  <c r="W78" i="89"/>
  <c r="T84" i="89"/>
  <c r="Y97" i="89"/>
  <c r="Y75" i="89"/>
  <c r="T53" i="89"/>
  <c r="U80" i="89"/>
  <c r="U85" i="89"/>
  <c r="U99" i="89"/>
  <c r="Q52" i="89"/>
  <c r="R52" i="89" s="1"/>
  <c r="Q101" i="89"/>
  <c r="R101" i="89" s="1"/>
  <c r="Q111" i="89"/>
  <c r="R111" i="89" s="1"/>
  <c r="Q146" i="89"/>
  <c r="R146" i="89" s="1"/>
  <c r="X33" i="89"/>
  <c r="S35" i="89"/>
  <c r="S65" i="89"/>
  <c r="Y60" i="89"/>
  <c r="Y51" i="89"/>
  <c r="Y67" i="89"/>
  <c r="Y76" i="89"/>
  <c r="V46" i="89"/>
  <c r="U48" i="89"/>
  <c r="V52" i="89"/>
  <c r="T54" i="89"/>
  <c r="U55" i="89"/>
  <c r="W57" i="89"/>
  <c r="T59" i="89"/>
  <c r="V61" i="89"/>
  <c r="T64" i="89"/>
  <c r="W65" i="89"/>
  <c r="U67" i="89"/>
  <c r="X69" i="89"/>
  <c r="V71" i="89"/>
  <c r="T73" i="89"/>
  <c r="W74" i="89"/>
  <c r="U76" i="89"/>
  <c r="X78" i="89"/>
  <c r="V80" i="89"/>
  <c r="U84" i="89"/>
  <c r="V85" i="89"/>
  <c r="X86" i="89"/>
  <c r="T89" i="89"/>
  <c r="V90" i="89"/>
  <c r="X91" i="89"/>
  <c r="T93" i="89"/>
  <c r="V94" i="89"/>
  <c r="X95" i="89"/>
  <c r="T98" i="89"/>
  <c r="V99" i="89"/>
  <c r="Y102" i="89"/>
  <c r="Y124" i="89"/>
  <c r="Y128" i="89"/>
  <c r="Y140" i="89"/>
  <c r="Y145" i="89"/>
  <c r="Y149" i="89"/>
  <c r="Y52" i="89"/>
  <c r="U52" i="89"/>
  <c r="W61" i="89"/>
  <c r="Q31" i="89"/>
  <c r="R31" i="89" s="1"/>
  <c r="Q91" i="89"/>
  <c r="R91" i="89" s="1"/>
  <c r="Q140" i="89"/>
  <c r="R140" i="89" s="1"/>
  <c r="Q149" i="89"/>
  <c r="R149" i="89" s="1"/>
  <c r="Y27" i="89"/>
  <c r="S80" i="89"/>
  <c r="Y59" i="89"/>
  <c r="Y47" i="89"/>
  <c r="Y69" i="89"/>
  <c r="Y78" i="89"/>
  <c r="T45" i="89"/>
  <c r="W46" i="89"/>
  <c r="X51" i="89"/>
  <c r="W52" i="89"/>
  <c r="U54" i="89"/>
  <c r="T55" i="89"/>
  <c r="V57" i="89"/>
  <c r="T60" i="89"/>
  <c r="U61" i="89"/>
  <c r="U64" i="89"/>
  <c r="X65" i="89"/>
  <c r="V67" i="89"/>
  <c r="T70" i="89"/>
  <c r="W71" i="89"/>
  <c r="U73" i="89"/>
  <c r="X74" i="89"/>
  <c r="V76" i="89"/>
  <c r="T79" i="89"/>
  <c r="W80" i="89"/>
  <c r="T83" i="89"/>
  <c r="V84" i="89"/>
  <c r="W85" i="89"/>
  <c r="Y86" i="89"/>
  <c r="U89" i="89"/>
  <c r="W90" i="89"/>
  <c r="Y91" i="89"/>
  <c r="U93" i="89"/>
  <c r="W94" i="89"/>
  <c r="Y95" i="89"/>
  <c r="U98" i="89"/>
  <c r="W99" i="89"/>
  <c r="Y101" i="89"/>
  <c r="Y111" i="89"/>
  <c r="Q127" i="89"/>
  <c r="S79" i="89"/>
  <c r="Y57" i="89"/>
  <c r="Y46" i="89"/>
  <c r="Y70" i="89"/>
  <c r="Y79" i="89"/>
  <c r="U45" i="89"/>
  <c r="X46" i="89"/>
  <c r="W51" i="89"/>
  <c r="X52" i="89"/>
  <c r="V54" i="89"/>
  <c r="T56" i="89"/>
  <c r="U57" i="89"/>
  <c r="U60" i="89"/>
  <c r="T61" i="89"/>
  <c r="V64" i="89"/>
  <c r="T66" i="89"/>
  <c r="W67" i="89"/>
  <c r="U70" i="89"/>
  <c r="X71" i="89"/>
  <c r="V73" i="89"/>
  <c r="T75" i="89"/>
  <c r="W76" i="89"/>
  <c r="U79" i="89"/>
  <c r="X80" i="89"/>
  <c r="U83" i="89"/>
  <c r="W84" i="89"/>
  <c r="X85" i="89"/>
  <c r="T88" i="89"/>
  <c r="V89" i="89"/>
  <c r="X90" i="89"/>
  <c r="T92" i="89"/>
  <c r="V93" i="89"/>
  <c r="X94" i="89"/>
  <c r="T97" i="89"/>
  <c r="V98" i="89"/>
  <c r="X99" i="89"/>
  <c r="Y109" i="89"/>
  <c r="Y122" i="89"/>
  <c r="Y127" i="89"/>
  <c r="Y143" i="89"/>
  <c r="Y148" i="89"/>
  <c r="Y152" i="89"/>
  <c r="Q147" i="89"/>
  <c r="R147" i="89" s="1"/>
  <c r="X27" i="89"/>
  <c r="S97" i="89"/>
  <c r="S70" i="89"/>
  <c r="Y56" i="89"/>
  <c r="Y45" i="89"/>
  <c r="Y71" i="89"/>
  <c r="Y80" i="89"/>
  <c r="V45" i="89"/>
  <c r="X47" i="89"/>
  <c r="V51" i="89"/>
  <c r="X53" i="89"/>
  <c r="W54" i="89"/>
  <c r="U56" i="89"/>
  <c r="V60" i="89"/>
  <c r="W64" i="89"/>
  <c r="U66" i="89"/>
  <c r="V70" i="89"/>
  <c r="T72" i="89"/>
  <c r="W73" i="89"/>
  <c r="U75" i="89"/>
  <c r="V79" i="89"/>
  <c r="V83" i="89"/>
  <c r="X84" i="89"/>
  <c r="Y85" i="89"/>
  <c r="U88" i="89"/>
  <c r="W89" i="89"/>
  <c r="Y90" i="89"/>
  <c r="U92" i="89"/>
  <c r="W93" i="89"/>
  <c r="Y94" i="89"/>
  <c r="U97" i="89"/>
  <c r="W98" i="89"/>
  <c r="Y99" i="89"/>
  <c r="Y108" i="89"/>
  <c r="U71" i="89"/>
  <c r="W91" i="89"/>
  <c r="AI31" i="89"/>
  <c r="X26" i="89"/>
  <c r="Y55" i="89"/>
  <c r="Y72" i="89"/>
  <c r="W45" i="89"/>
  <c r="W47" i="89"/>
  <c r="U51" i="89"/>
  <c r="W53" i="89"/>
  <c r="X54" i="89"/>
  <c r="V56" i="89"/>
  <c r="X59" i="89"/>
  <c r="W60" i="89"/>
  <c r="X64" i="89"/>
  <c r="V66" i="89"/>
  <c r="T69" i="89"/>
  <c r="W70" i="89"/>
  <c r="U72" i="89"/>
  <c r="X73" i="89"/>
  <c r="V75" i="89"/>
  <c r="T78" i="89"/>
  <c r="W79" i="89"/>
  <c r="W83" i="89"/>
  <c r="T86" i="89"/>
  <c r="V88" i="89"/>
  <c r="X89" i="89"/>
  <c r="T91" i="89"/>
  <c r="V92" i="89"/>
  <c r="X93" i="89"/>
  <c r="T95" i="89"/>
  <c r="V97" i="89"/>
  <c r="X98" i="89"/>
  <c r="Y107" i="89"/>
  <c r="Y61" i="89"/>
  <c r="Q61" i="89"/>
  <c r="R61" i="89" s="1"/>
  <c r="Q145" i="89"/>
  <c r="R145" i="89" s="1"/>
  <c r="S95" i="89"/>
  <c r="V47" i="89"/>
  <c r="V53" i="89"/>
  <c r="W56" i="89"/>
  <c r="W59" i="89"/>
  <c r="T65" i="89"/>
  <c r="W66" i="89"/>
  <c r="U69" i="89"/>
  <c r="V72" i="89"/>
  <c r="T74" i="89"/>
  <c r="W75" i="89"/>
  <c r="U78" i="89"/>
  <c r="X83" i="89"/>
  <c r="S85" i="89"/>
  <c r="U86" i="89"/>
  <c r="W88" i="89"/>
  <c r="U91" i="89"/>
  <c r="W92" i="89"/>
  <c r="U95" i="89"/>
  <c r="W97" i="89"/>
  <c r="Q148" i="89"/>
  <c r="R148" i="89" s="1"/>
  <c r="Y53" i="89"/>
  <c r="Y65" i="89"/>
  <c r="Y74" i="89"/>
  <c r="W50" i="89"/>
  <c r="Y48" i="89"/>
  <c r="T48" i="89"/>
  <c r="T259" i="89" s="1"/>
  <c r="X50" i="89"/>
  <c r="Y50" i="89"/>
  <c r="Q50" i="89"/>
  <c r="R50" i="89" s="1"/>
  <c r="T50" i="89"/>
  <c r="U50" i="89"/>
  <c r="V48" i="89"/>
  <c r="W48" i="89"/>
  <c r="X48" i="89"/>
  <c r="V32" i="89"/>
  <c r="X31" i="89"/>
  <c r="U32" i="89"/>
  <c r="T32" i="89"/>
  <c r="AI32" i="89"/>
  <c r="AH31" i="89"/>
  <c r="Y31" i="89"/>
  <c r="T31" i="89"/>
  <c r="U31" i="89"/>
  <c r="S42" i="89"/>
  <c r="S53" i="89"/>
  <c r="S94" i="89"/>
  <c r="S57" i="89"/>
  <c r="S33" i="89"/>
  <c r="S45" i="89"/>
  <c r="S50" i="89"/>
  <c r="S54" i="89"/>
  <c r="S64" i="89"/>
  <c r="S69" i="89"/>
  <c r="S73" i="89"/>
  <c r="S78" i="89"/>
  <c r="S84" i="89"/>
  <c r="S93" i="89"/>
  <c r="S41" i="89"/>
  <c r="S32" i="89"/>
  <c r="S47" i="89"/>
  <c r="S61" i="89"/>
  <c r="S83" i="89"/>
  <c r="S92" i="89"/>
  <c r="S40" i="89"/>
  <c r="S31" i="89"/>
  <c r="S48" i="89"/>
  <c r="S67" i="89"/>
  <c r="S72" i="89"/>
  <c r="S76" i="89"/>
  <c r="S91" i="89"/>
  <c r="S38" i="89"/>
  <c r="S29" i="89"/>
  <c r="S51" i="89"/>
  <c r="S55" i="89"/>
  <c r="S90" i="89"/>
  <c r="S99" i="89"/>
  <c r="S28" i="89"/>
  <c r="S52" i="89"/>
  <c r="S56" i="89"/>
  <c r="S71" i="89"/>
  <c r="S75" i="89"/>
  <c r="S89" i="89"/>
  <c r="S98" i="89"/>
  <c r="S36" i="89"/>
  <c r="S27" i="89"/>
  <c r="S59" i="89"/>
  <c r="S88" i="89"/>
  <c r="S46" i="89"/>
  <c r="S60" i="89"/>
  <c r="S86" i="89"/>
  <c r="J60" i="92"/>
  <c r="G137" i="92"/>
  <c r="M244" i="92"/>
  <c r="M225" i="92"/>
  <c r="I228" i="92"/>
  <c r="I227" i="92"/>
  <c r="I226" i="92"/>
  <c r="I225" i="92"/>
  <c r="D226" i="92"/>
  <c r="D225" i="92"/>
  <c r="G136" i="92"/>
  <c r="I245" i="92"/>
  <c r="I244" i="92"/>
  <c r="M245" i="92"/>
  <c r="K58" i="92"/>
  <c r="O133" i="92"/>
  <c r="G81" i="89"/>
  <c r="E187" i="89" s="1"/>
  <c r="F187" i="89" s="1"/>
  <c r="G176" i="89"/>
  <c r="AK176" i="89" s="1"/>
  <c r="W57" i="92"/>
  <c r="Y57" i="92" s="1"/>
  <c r="I60" i="92"/>
  <c r="K57" i="92"/>
  <c r="O134" i="92"/>
  <c r="P129" i="89" l="1"/>
  <c r="X129" i="89" s="1"/>
  <c r="E220" i="89"/>
  <c r="F220" i="89" s="1"/>
  <c r="E218" i="89"/>
  <c r="F218" i="89" s="1"/>
  <c r="G62" i="89"/>
  <c r="E188" i="89" s="1"/>
  <c r="F188" i="89" s="1"/>
  <c r="P58" i="89"/>
  <c r="E222" i="89" s="1"/>
  <c r="F222" i="89" s="1"/>
  <c r="G119" i="89"/>
  <c r="AK119" i="89" s="1"/>
  <c r="T257" i="89"/>
  <c r="G246" i="89"/>
  <c r="F246" i="89"/>
  <c r="S115" i="89"/>
  <c r="E219" i="89"/>
  <c r="F219" i="89" s="1"/>
  <c r="S106" i="89"/>
  <c r="E203" i="89"/>
  <c r="G203" i="89" s="1"/>
  <c r="S125" i="89"/>
  <c r="Q106" i="89"/>
  <c r="R106" i="89" s="1"/>
  <c r="U39" i="89"/>
  <c r="G138" i="89"/>
  <c r="AM125" i="89"/>
  <c r="P87" i="89"/>
  <c r="W87" i="89" s="1"/>
  <c r="AK87" i="89"/>
  <c r="AN30" i="89" s="1"/>
  <c r="T134" i="89"/>
  <c r="X134" i="89"/>
  <c r="W134" i="89"/>
  <c r="V134" i="89"/>
  <c r="U134" i="89"/>
  <c r="W106" i="89"/>
  <c r="V106" i="89"/>
  <c r="U106" i="89"/>
  <c r="X106" i="89"/>
  <c r="T106" i="89"/>
  <c r="S134" i="89"/>
  <c r="AN32" i="89"/>
  <c r="AP32" i="89" s="1"/>
  <c r="AM106" i="89"/>
  <c r="Q115" i="89"/>
  <c r="R115" i="89" s="1"/>
  <c r="X115" i="89"/>
  <c r="W115" i="89"/>
  <c r="Y115" i="89"/>
  <c r="T115" i="89"/>
  <c r="V115" i="89"/>
  <c r="U115" i="89"/>
  <c r="W125" i="89"/>
  <c r="X125" i="89"/>
  <c r="U125" i="89"/>
  <c r="V125" i="89"/>
  <c r="F232" i="89"/>
  <c r="Q125" i="89"/>
  <c r="R125" i="89" s="1"/>
  <c r="Y125" i="89"/>
  <c r="T125" i="89"/>
  <c r="S123" i="89"/>
  <c r="T123" i="89"/>
  <c r="X123" i="89"/>
  <c r="W123" i="89"/>
  <c r="V123" i="89"/>
  <c r="U123" i="89"/>
  <c r="Q153" i="89"/>
  <c r="R153" i="89" s="1"/>
  <c r="S153" i="89"/>
  <c r="X153" i="89"/>
  <c r="W153" i="89"/>
  <c r="V153" i="89"/>
  <c r="T153" i="89"/>
  <c r="U153" i="89"/>
  <c r="W104" i="89"/>
  <c r="U104" i="89"/>
  <c r="T104" i="89"/>
  <c r="X104" i="89"/>
  <c r="S104" i="89"/>
  <c r="V104" i="89"/>
  <c r="S110" i="89"/>
  <c r="T110" i="89"/>
  <c r="X110" i="89"/>
  <c r="W110" i="89"/>
  <c r="V110" i="89"/>
  <c r="U110" i="89"/>
  <c r="X144" i="89"/>
  <c r="W144" i="89"/>
  <c r="V144" i="89"/>
  <c r="U144" i="89"/>
  <c r="T144" i="89"/>
  <c r="S144" i="89"/>
  <c r="Q163" i="89"/>
  <c r="R163" i="89" s="1"/>
  <c r="U163" i="89"/>
  <c r="T163" i="89"/>
  <c r="S163" i="89"/>
  <c r="X163" i="89"/>
  <c r="W163" i="89"/>
  <c r="V163" i="89"/>
  <c r="S129" i="89"/>
  <c r="W172" i="89"/>
  <c r="V172" i="89"/>
  <c r="U172" i="89"/>
  <c r="T172" i="89"/>
  <c r="S172" i="89"/>
  <c r="X172" i="89"/>
  <c r="R127" i="89"/>
  <c r="S39" i="89"/>
  <c r="S96" i="89"/>
  <c r="AM144" i="89"/>
  <c r="U96" i="89"/>
  <c r="Q39" i="89"/>
  <c r="R39" i="89" s="1"/>
  <c r="AM172" i="89"/>
  <c r="AM104" i="89"/>
  <c r="Q96" i="89"/>
  <c r="R96" i="89" s="1"/>
  <c r="V39" i="89"/>
  <c r="X96" i="89"/>
  <c r="T96" i="89"/>
  <c r="V96" i="89"/>
  <c r="AI39" i="89"/>
  <c r="W96" i="89"/>
  <c r="Y39" i="89"/>
  <c r="AH39" i="89"/>
  <c r="Y96" i="89"/>
  <c r="X39" i="89"/>
  <c r="T39" i="89"/>
  <c r="Y163" i="89"/>
  <c r="E223" i="89"/>
  <c r="F223" i="89" s="1"/>
  <c r="P157" i="89"/>
  <c r="Q157" i="89" s="1"/>
  <c r="R157" i="89" s="1"/>
  <c r="AM96" i="89"/>
  <c r="Y77" i="89"/>
  <c r="S77" i="89"/>
  <c r="U77" i="89"/>
  <c r="AM49" i="89"/>
  <c r="AM30" i="89"/>
  <c r="AM39" i="89"/>
  <c r="AL77" i="89"/>
  <c r="AO39" i="89" s="1"/>
  <c r="AO43" i="89" s="1"/>
  <c r="L81" i="89"/>
  <c r="S187" i="89" s="1"/>
  <c r="E206" i="89"/>
  <c r="G206" i="89" s="1"/>
  <c r="AM153" i="89"/>
  <c r="P176" i="89"/>
  <c r="Q176" i="89" s="1"/>
  <c r="R176" i="89" s="1"/>
  <c r="AM68" i="89"/>
  <c r="AM123" i="89"/>
  <c r="Q172" i="89"/>
  <c r="R172" i="89" s="1"/>
  <c r="AN39" i="89"/>
  <c r="Y172" i="89"/>
  <c r="AM163" i="89"/>
  <c r="AM110" i="89"/>
  <c r="E221" i="89"/>
  <c r="F221" i="89" s="1"/>
  <c r="G187" i="89"/>
  <c r="AK81" i="89"/>
  <c r="AC186" i="89"/>
  <c r="AD186" i="89" s="1"/>
  <c r="AK100" i="89"/>
  <c r="Q110" i="89"/>
  <c r="R110" i="89" s="1"/>
  <c r="W77" i="89"/>
  <c r="X77" i="89"/>
  <c r="T77" i="89"/>
  <c r="Q77" i="89"/>
  <c r="R77" i="89" s="1"/>
  <c r="V77" i="89"/>
  <c r="Q129" i="89"/>
  <c r="R129" i="89" s="1"/>
  <c r="Y110" i="89"/>
  <c r="P81" i="89"/>
  <c r="Y153" i="89"/>
  <c r="K157" i="89"/>
  <c r="AK157" i="89" s="1"/>
  <c r="E207" i="89"/>
  <c r="F207" i="89" s="1"/>
  <c r="W30" i="89"/>
  <c r="K60" i="92"/>
  <c r="Y144" i="89"/>
  <c r="Q144" i="89"/>
  <c r="R144" i="89" s="1"/>
  <c r="W68" i="89"/>
  <c r="V68" i="89"/>
  <c r="Q68" i="89"/>
  <c r="R68" i="89" s="1"/>
  <c r="U68" i="89"/>
  <c r="T68" i="89"/>
  <c r="Y68" i="89"/>
  <c r="S68" i="89"/>
  <c r="X68" i="89"/>
  <c r="P119" i="89"/>
  <c r="Q119" i="89" s="1"/>
  <c r="R119" i="89" s="1"/>
  <c r="Q104" i="89"/>
  <c r="R104" i="89" s="1"/>
  <c r="Y104" i="89"/>
  <c r="X49" i="89"/>
  <c r="Q49" i="89"/>
  <c r="R49" i="89" s="1"/>
  <c r="S49" i="89"/>
  <c r="T49" i="89"/>
  <c r="U49" i="89"/>
  <c r="V49" i="89"/>
  <c r="Y49" i="89"/>
  <c r="W49" i="89"/>
  <c r="Q123" i="89"/>
  <c r="R123" i="89" s="1"/>
  <c r="Y123" i="89"/>
  <c r="AH30" i="89"/>
  <c r="AI30" i="89"/>
  <c r="T30" i="89"/>
  <c r="V30" i="89"/>
  <c r="S30" i="89"/>
  <c r="Q30" i="89"/>
  <c r="R30" i="89" s="1"/>
  <c r="X30" i="89"/>
  <c r="U30" i="89"/>
  <c r="Y30" i="89"/>
  <c r="U129" i="89" l="1"/>
  <c r="P138" i="89"/>
  <c r="Q138" i="89" s="1"/>
  <c r="R138" i="89" s="1"/>
  <c r="T129" i="89"/>
  <c r="AM129" i="89"/>
  <c r="W129" i="89"/>
  <c r="V129" i="89"/>
  <c r="Y129" i="89"/>
  <c r="U58" i="89"/>
  <c r="E185" i="89"/>
  <c r="F185" i="89" s="1"/>
  <c r="P62" i="89"/>
  <c r="Q62" i="89" s="1"/>
  <c r="R62" i="89" s="1"/>
  <c r="S58" i="89"/>
  <c r="S62" i="89" s="1"/>
  <c r="Q58" i="89"/>
  <c r="R58" i="89" s="1"/>
  <c r="AK62" i="89"/>
  <c r="X58" i="89"/>
  <c r="X62" i="89" s="1"/>
  <c r="T58" i="89"/>
  <c r="T62" i="89" s="1"/>
  <c r="W58" i="89"/>
  <c r="V58" i="89"/>
  <c r="V62" i="89" s="1"/>
  <c r="AM58" i="89"/>
  <c r="Y58" i="89"/>
  <c r="Y62" i="89" s="1"/>
  <c r="Y87" i="89"/>
  <c r="Y100" i="89" s="1"/>
  <c r="E204" i="89"/>
  <c r="G204" i="89" s="1"/>
  <c r="U87" i="89"/>
  <c r="U100" i="89" s="1"/>
  <c r="T87" i="89"/>
  <c r="T100" i="89" s="1"/>
  <c r="V87" i="89"/>
  <c r="V100" i="89" s="1"/>
  <c r="P100" i="89"/>
  <c r="Q100" i="89" s="1"/>
  <c r="R100" i="89" s="1"/>
  <c r="S87" i="89"/>
  <c r="S100" i="89" s="1"/>
  <c r="Q87" i="89"/>
  <c r="R87" i="89" s="1"/>
  <c r="X87" i="89"/>
  <c r="X100" i="89" s="1"/>
  <c r="AK138" i="89"/>
  <c r="AM138" i="89" s="1"/>
  <c r="E184" i="89"/>
  <c r="F184" i="89" s="1"/>
  <c r="AM87" i="89"/>
  <c r="AN43" i="89"/>
  <c r="T176" i="89"/>
  <c r="W100" i="89"/>
  <c r="U176" i="89"/>
  <c r="V176" i="89"/>
  <c r="W176" i="89"/>
  <c r="S176" i="89"/>
  <c r="X176" i="89"/>
  <c r="Y176" i="89"/>
  <c r="AM157" i="89"/>
  <c r="Y81" i="89"/>
  <c r="S81" i="89"/>
  <c r="R22" i="89" s="1"/>
  <c r="U81" i="89"/>
  <c r="T22" i="89" s="1"/>
  <c r="AP39" i="89"/>
  <c r="AM176" i="89"/>
  <c r="AM77" i="89"/>
  <c r="AP30" i="89"/>
  <c r="AL81" i="89"/>
  <c r="AM81" i="89" s="1"/>
  <c r="AC187" i="89"/>
  <c r="AD187" i="89" s="1"/>
  <c r="W119" i="89"/>
  <c r="AC188" i="89"/>
  <c r="AD188" i="89" s="1"/>
  <c r="AM119" i="89"/>
  <c r="S119" i="89"/>
  <c r="T119" i="89"/>
  <c r="S138" i="89"/>
  <c r="X119" i="89"/>
  <c r="Y138" i="89"/>
  <c r="W138" i="89"/>
  <c r="U138" i="89"/>
  <c r="V81" i="89"/>
  <c r="V138" i="89"/>
  <c r="T81" i="89"/>
  <c r="X138" i="89"/>
  <c r="T138" i="89"/>
  <c r="W81" i="89"/>
  <c r="X81" i="89"/>
  <c r="V119" i="89"/>
  <c r="U119" i="89"/>
  <c r="U62" i="89"/>
  <c r="Y119" i="89"/>
  <c r="W62" i="89"/>
  <c r="Q81" i="89"/>
  <c r="R81" i="89" s="1"/>
  <c r="W157" i="89"/>
  <c r="U157" i="89"/>
  <c r="T157" i="89"/>
  <c r="V157" i="89"/>
  <c r="X157" i="89"/>
  <c r="S157" i="89"/>
  <c r="Y154" i="89"/>
  <c r="Y157" i="89" s="1"/>
  <c r="Q154" i="89"/>
  <c r="R154" i="89" s="1"/>
  <c r="F186" i="89"/>
  <c r="U20" i="89" l="1"/>
  <c r="X20" i="89"/>
  <c r="V20" i="89"/>
  <c r="W20" i="89"/>
  <c r="T20" i="89"/>
  <c r="AM62" i="89"/>
  <c r="S20" i="89"/>
  <c r="AC185" i="89"/>
  <c r="AD185" i="89" s="1"/>
  <c r="AC184" i="89"/>
  <c r="AD184" i="89" s="1"/>
  <c r="W3" i="89"/>
  <c r="S3" i="89"/>
  <c r="X3" i="89"/>
  <c r="V3" i="89"/>
  <c r="T3" i="89"/>
  <c r="U3" i="89"/>
  <c r="AM100" i="89"/>
  <c r="AP43" i="89"/>
  <c r="AR43" i="89" s="1"/>
  <c r="U4" i="89"/>
  <c r="S4" i="89"/>
  <c r="T187" i="89"/>
  <c r="X188" i="89"/>
  <c r="S22" i="89"/>
  <c r="T4" i="89"/>
  <c r="W22" i="89"/>
  <c r="X4" i="89"/>
  <c r="V22" i="89"/>
  <c r="W4" i="89"/>
  <c r="U22" i="89"/>
  <c r="V4" i="89"/>
  <c r="P37" i="89" l="1"/>
  <c r="F260" i="89" l="1"/>
  <c r="S260" i="89"/>
  <c r="T260" i="89" s="1"/>
  <c r="P43" i="89"/>
  <c r="Q43" i="89" s="1"/>
  <c r="R43" i="89" s="1"/>
  <c r="T37" i="89"/>
  <c r="T43" i="89" s="1"/>
  <c r="AM37" i="89"/>
  <c r="G189" i="89"/>
  <c r="AK43" i="89"/>
  <c r="AH37" i="89"/>
  <c r="V37" i="89"/>
  <c r="V43" i="89" s="1"/>
  <c r="B29" i="89"/>
  <c r="S37" i="89"/>
  <c r="S43" i="89" s="1"/>
  <c r="Y37" i="89"/>
  <c r="Y43" i="89" s="1"/>
  <c r="Q37" i="89"/>
  <c r="R37" i="89" s="1"/>
  <c r="AI37" i="89"/>
  <c r="U37" i="89"/>
  <c r="U43" i="89" s="1"/>
  <c r="W37" i="89"/>
  <c r="W43" i="89" s="1"/>
  <c r="X37" i="89"/>
  <c r="X43" i="89" s="1"/>
  <c r="AC189" i="89" l="1"/>
  <c r="AU188" i="89" s="1"/>
  <c r="H188" i="89"/>
  <c r="AM43" i="89"/>
  <c r="V23" i="89"/>
  <c r="U23" i="89"/>
  <c r="X23" i="89"/>
  <c r="W23" i="89"/>
  <c r="S21" i="89"/>
  <c r="R23" i="89"/>
  <c r="T21" i="89"/>
  <c r="AD189" i="8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A5" authorId="0" shapeId="0" xr:uid="{74083081-681B-448D-8840-BDCA16EED3DD}">
      <text>
        <r>
          <rPr>
            <b/>
            <sz val="9"/>
            <color indexed="81"/>
            <rFont val="Tahoma"/>
            <family val="2"/>
          </rPr>
          <t>Administrator:</t>
        </r>
        <r>
          <rPr>
            <sz val="9"/>
            <color indexed="81"/>
            <rFont val="Tahoma"/>
            <family val="2"/>
          </rPr>
          <t xml:space="preserve">
L x B x H x 6.24 x 4= L
(%1000)</t>
        </r>
      </text>
    </comment>
    <comment ref="B7" authorId="0" shapeId="0" xr:uid="{58A522DA-67A2-4D99-A74F-9C1424BAD772}">
      <text>
        <r>
          <rPr>
            <b/>
            <sz val="9"/>
            <color indexed="81"/>
            <rFont val="Tahoma"/>
            <family val="2"/>
          </rPr>
          <t>Administrator:</t>
        </r>
        <r>
          <rPr>
            <sz val="9"/>
            <color indexed="81"/>
            <rFont val="Tahoma"/>
            <family val="2"/>
          </rPr>
          <t xml:space="preserve">
Metta</t>
        </r>
      </text>
    </comment>
    <comment ref="B10" authorId="0" shapeId="0" xr:uid="{DAE2641C-CF9D-413D-98A3-E79794C567E9}">
      <text>
        <r>
          <rPr>
            <b/>
            <sz val="9"/>
            <color indexed="81"/>
            <rFont val="Tahoma"/>
            <family val="2"/>
          </rPr>
          <t>Administrator:</t>
        </r>
        <r>
          <rPr>
            <sz val="9"/>
            <color indexed="81"/>
            <rFont val="Tahoma"/>
            <family val="2"/>
          </rPr>
          <t xml:space="preserve">
Metta</t>
        </r>
      </text>
    </comment>
    <comment ref="H17" authorId="0" shapeId="0" xr:uid="{D31EB088-D3C1-47AA-994F-B33C4D47E70E}">
      <text>
        <r>
          <rPr>
            <b/>
            <sz val="9"/>
            <color indexed="81"/>
            <rFont val="Tahoma"/>
            <family val="2"/>
          </rPr>
          <t>Administrator:</t>
        </r>
        <r>
          <rPr>
            <sz val="9"/>
            <color indexed="81"/>
            <rFont val="Tahoma"/>
            <family val="2"/>
          </rPr>
          <t xml:space="preserve">
Mai Hkawng KBC Camp 1 &amp; 2</t>
        </r>
      </text>
    </comment>
    <comment ref="B54" authorId="0" shapeId="0" xr:uid="{DDED758C-3E6F-41C3-8A84-9626C129BAFC}">
      <text>
        <r>
          <rPr>
            <b/>
            <sz val="9"/>
            <color indexed="81"/>
            <rFont val="Tahoma"/>
            <family val="2"/>
          </rPr>
          <t>Administrator:</t>
        </r>
        <r>
          <rPr>
            <sz val="9"/>
            <color indexed="81"/>
            <rFont val="Tahoma"/>
            <family val="2"/>
          </rPr>
          <t xml:space="preserve">
handover from SI
</t>
        </r>
      </text>
    </comment>
    <comment ref="C54" authorId="0" shapeId="0" xr:uid="{EF49D6C6-5802-4CA3-9D78-FC3FBEB49A0D}">
      <text>
        <r>
          <rPr>
            <b/>
            <sz val="9"/>
            <color indexed="81"/>
            <rFont val="Tahoma"/>
            <family val="2"/>
          </rPr>
          <t>Administrator:</t>
        </r>
        <r>
          <rPr>
            <sz val="9"/>
            <color indexed="81"/>
            <rFont val="Tahoma"/>
            <family val="2"/>
          </rPr>
          <t xml:space="preserve">
handover from SI
</t>
        </r>
      </text>
    </comment>
    <comment ref="B55" authorId="0" shapeId="0" xr:uid="{D1503C4D-EDE3-4001-A939-FBF4DD6F5CB2}">
      <text>
        <r>
          <rPr>
            <b/>
            <sz val="9"/>
            <color indexed="81"/>
            <rFont val="Tahoma"/>
            <family val="2"/>
          </rPr>
          <t>Administrator:</t>
        </r>
        <r>
          <rPr>
            <sz val="9"/>
            <color indexed="81"/>
            <rFont val="Tahoma"/>
            <family val="2"/>
          </rPr>
          <t xml:space="preserve">
handover from SI
</t>
        </r>
      </text>
    </comment>
    <comment ref="C55" authorId="0" shapeId="0" xr:uid="{EB7DBE22-B568-4DE0-8C70-A45C43885A28}">
      <text>
        <r>
          <rPr>
            <b/>
            <sz val="9"/>
            <color indexed="81"/>
            <rFont val="Tahoma"/>
            <family val="2"/>
          </rPr>
          <t>Administrator:</t>
        </r>
        <r>
          <rPr>
            <sz val="9"/>
            <color indexed="81"/>
            <rFont val="Tahoma"/>
            <family val="2"/>
          </rPr>
          <t xml:space="preserve">
handover from SI
</t>
        </r>
      </text>
    </comment>
    <comment ref="B56" authorId="0" shapeId="0" xr:uid="{5C23AE16-D6AD-476A-A062-A1380420D9CD}">
      <text>
        <r>
          <rPr>
            <b/>
            <sz val="9"/>
            <color indexed="81"/>
            <rFont val="Tahoma"/>
            <family val="2"/>
          </rPr>
          <t>Administrator:</t>
        </r>
        <r>
          <rPr>
            <sz val="9"/>
            <color indexed="81"/>
            <rFont val="Tahoma"/>
            <family val="2"/>
          </rPr>
          <t xml:space="preserve">
handover from SI
</t>
        </r>
      </text>
    </comment>
    <comment ref="C56" authorId="0" shapeId="0" xr:uid="{4382A059-5286-4EAE-B09B-252EAC6F7C73}">
      <text>
        <r>
          <rPr>
            <b/>
            <sz val="9"/>
            <color indexed="81"/>
            <rFont val="Tahoma"/>
            <family val="2"/>
          </rPr>
          <t>Administrator:</t>
        </r>
        <r>
          <rPr>
            <sz val="9"/>
            <color indexed="81"/>
            <rFont val="Tahoma"/>
            <family val="2"/>
          </rPr>
          <t xml:space="preserve">
handover from SI
</t>
        </r>
      </text>
    </comment>
    <comment ref="H57" authorId="0" shapeId="0" xr:uid="{03AB39A7-DA3D-4589-9980-814D668C789C}">
      <text>
        <r>
          <rPr>
            <b/>
            <sz val="9"/>
            <color indexed="81"/>
            <rFont val="Tahoma"/>
            <family val="2"/>
          </rPr>
          <t>Administrator:</t>
        </r>
        <r>
          <rPr>
            <sz val="9"/>
            <color indexed="81"/>
            <rFont val="Tahoma"/>
            <family val="2"/>
          </rPr>
          <t xml:space="preserve">
Shwegu KBC Camp</t>
        </r>
      </text>
    </comment>
    <comment ref="B77" authorId="0" shapeId="0" xr:uid="{C4149889-3BE0-4B39-A72E-53A33B0EC4F9}">
      <text>
        <r>
          <rPr>
            <b/>
            <sz val="9"/>
            <color indexed="81"/>
            <rFont val="Tahoma"/>
            <family val="2"/>
          </rPr>
          <t>Administrator:</t>
        </r>
        <r>
          <rPr>
            <sz val="9"/>
            <color indexed="81"/>
            <rFont val="Tahoma"/>
            <family val="2"/>
          </rPr>
          <t xml:space="preserve">
handover from SI
</t>
        </r>
      </text>
    </comment>
    <comment ref="C77" authorId="0" shapeId="0" xr:uid="{F0EED25A-CF4B-4B9C-85D1-45C2CB981499}">
      <text>
        <r>
          <rPr>
            <b/>
            <sz val="9"/>
            <color indexed="81"/>
            <rFont val="Tahoma"/>
            <family val="2"/>
          </rPr>
          <t>Administrator:</t>
        </r>
        <r>
          <rPr>
            <sz val="9"/>
            <color indexed="81"/>
            <rFont val="Tahoma"/>
            <family val="2"/>
          </rPr>
          <t xml:space="preserve">
handover from SI
</t>
        </r>
      </text>
    </comment>
    <comment ref="B78" authorId="0" shapeId="0" xr:uid="{16CE01D4-5264-4835-812E-7556A9D15488}">
      <text>
        <r>
          <rPr>
            <b/>
            <sz val="9"/>
            <color indexed="81"/>
            <rFont val="Tahoma"/>
            <family val="2"/>
          </rPr>
          <t>Administrator:</t>
        </r>
        <r>
          <rPr>
            <sz val="9"/>
            <color indexed="81"/>
            <rFont val="Tahoma"/>
            <family val="2"/>
          </rPr>
          <t xml:space="preserve">
handover from SI
</t>
        </r>
      </text>
    </comment>
    <comment ref="C78" authorId="0" shapeId="0" xr:uid="{844CC3EA-963B-458D-97AC-195BE76EF728}">
      <text>
        <r>
          <rPr>
            <b/>
            <sz val="9"/>
            <color indexed="81"/>
            <rFont val="Tahoma"/>
            <family val="2"/>
          </rPr>
          <t>Administrator:</t>
        </r>
        <r>
          <rPr>
            <sz val="9"/>
            <color indexed="81"/>
            <rFont val="Tahoma"/>
            <family val="2"/>
          </rPr>
          <t xml:space="preserve">
handover from SI
</t>
        </r>
      </text>
    </comment>
    <comment ref="B79" authorId="0" shapeId="0" xr:uid="{436E424C-3CA8-424A-B846-86ABAD318410}">
      <text>
        <r>
          <rPr>
            <b/>
            <sz val="9"/>
            <color indexed="81"/>
            <rFont val="Tahoma"/>
            <family val="2"/>
          </rPr>
          <t>Administrator:</t>
        </r>
        <r>
          <rPr>
            <sz val="9"/>
            <color indexed="81"/>
            <rFont val="Tahoma"/>
            <family val="2"/>
          </rPr>
          <t xml:space="preserve">
handover from SI
</t>
        </r>
      </text>
    </comment>
    <comment ref="C79" authorId="0" shapeId="0" xr:uid="{9CF261E2-EECE-4097-AFA7-9EEBF3D18C4E}">
      <text>
        <r>
          <rPr>
            <b/>
            <sz val="9"/>
            <color indexed="81"/>
            <rFont val="Tahoma"/>
            <family val="2"/>
          </rPr>
          <t>Administrator:</t>
        </r>
        <r>
          <rPr>
            <sz val="9"/>
            <color indexed="81"/>
            <rFont val="Tahoma"/>
            <family val="2"/>
          </rPr>
          <t xml:space="preserve">
handover from SI
</t>
        </r>
      </text>
    </comment>
    <comment ref="B85" authorId="0" shapeId="0" xr:uid="{9A080782-B530-4FB2-8759-7AE5A685E1F1}">
      <text>
        <r>
          <rPr>
            <b/>
            <sz val="9"/>
            <color indexed="81"/>
            <rFont val="Tahoma"/>
            <family val="2"/>
          </rPr>
          <t>Administrator:</t>
        </r>
        <r>
          <rPr>
            <sz val="9"/>
            <color indexed="81"/>
            <rFont val="Tahoma"/>
            <family val="2"/>
          </rPr>
          <t xml:space="preserve">
handover from SI
</t>
        </r>
      </text>
    </comment>
    <comment ref="C85" authorId="0" shapeId="0" xr:uid="{7B76FC19-5180-467C-B5D2-86A82A426973}">
      <text>
        <r>
          <rPr>
            <b/>
            <sz val="9"/>
            <color indexed="81"/>
            <rFont val="Tahoma"/>
            <family val="2"/>
          </rPr>
          <t>Administrator:</t>
        </r>
        <r>
          <rPr>
            <sz val="9"/>
            <color indexed="81"/>
            <rFont val="Tahoma"/>
            <family val="2"/>
          </rPr>
          <t xml:space="preserve">
handover from SI
</t>
        </r>
      </text>
    </comment>
    <comment ref="B87" authorId="0" shapeId="0" xr:uid="{C3520C41-3870-47B3-A737-2AA6DC2117BC}">
      <text>
        <r>
          <rPr>
            <b/>
            <sz val="9"/>
            <color indexed="81"/>
            <rFont val="Tahoma"/>
            <family val="2"/>
          </rPr>
          <t>Administrator:</t>
        </r>
        <r>
          <rPr>
            <sz val="9"/>
            <color indexed="81"/>
            <rFont val="Tahoma"/>
            <family val="2"/>
          </rPr>
          <t xml:space="preserve">
handover from SI
</t>
        </r>
      </text>
    </comment>
    <comment ref="C87" authorId="0" shapeId="0" xr:uid="{A9C4B9B2-D0F0-4C49-B0D3-7350133B9758}">
      <text>
        <r>
          <rPr>
            <b/>
            <sz val="9"/>
            <color indexed="81"/>
            <rFont val="Tahoma"/>
            <family val="2"/>
          </rPr>
          <t>Administrator:</t>
        </r>
        <r>
          <rPr>
            <sz val="9"/>
            <color indexed="81"/>
            <rFont val="Tahoma"/>
            <family val="2"/>
          </rPr>
          <t xml:space="preserve">
handover from SI
</t>
        </r>
      </text>
    </comment>
    <comment ref="B88" authorId="0" shapeId="0" xr:uid="{545053E6-9D16-4AA6-B244-AE8DD7A0BED6}">
      <text>
        <r>
          <rPr>
            <b/>
            <sz val="9"/>
            <color indexed="81"/>
            <rFont val="Tahoma"/>
            <family val="2"/>
          </rPr>
          <t>Administrator:</t>
        </r>
        <r>
          <rPr>
            <sz val="9"/>
            <color indexed="81"/>
            <rFont val="Tahoma"/>
            <family val="2"/>
          </rPr>
          <t xml:space="preserve">
handover from SI
</t>
        </r>
      </text>
    </comment>
    <comment ref="C88" authorId="0" shapeId="0" xr:uid="{1231856C-7C0C-41B6-BCF8-0F2866846CB9}">
      <text>
        <r>
          <rPr>
            <b/>
            <sz val="9"/>
            <color indexed="81"/>
            <rFont val="Tahoma"/>
            <family val="2"/>
          </rPr>
          <t>Administrator:</t>
        </r>
        <r>
          <rPr>
            <sz val="9"/>
            <color indexed="81"/>
            <rFont val="Tahoma"/>
            <family val="2"/>
          </rPr>
          <t xml:space="preserve">
handover from SI
</t>
        </r>
      </text>
    </comment>
    <comment ref="B89" authorId="0" shapeId="0" xr:uid="{F284C5CD-79DF-47FD-AE15-34B332CD2DA7}">
      <text>
        <r>
          <rPr>
            <b/>
            <sz val="9"/>
            <color indexed="81"/>
            <rFont val="Tahoma"/>
            <family val="2"/>
          </rPr>
          <t>Administrator:</t>
        </r>
        <r>
          <rPr>
            <sz val="9"/>
            <color indexed="81"/>
            <rFont val="Tahoma"/>
            <family val="2"/>
          </rPr>
          <t xml:space="preserve">
handover from SI
</t>
        </r>
      </text>
    </comment>
    <comment ref="C89" authorId="0" shapeId="0" xr:uid="{5F6D7361-05AA-46AF-991B-8F6AE98BD2B5}">
      <text>
        <r>
          <rPr>
            <b/>
            <sz val="9"/>
            <color indexed="81"/>
            <rFont val="Tahoma"/>
            <family val="2"/>
          </rPr>
          <t>Administrator:</t>
        </r>
        <r>
          <rPr>
            <sz val="9"/>
            <color indexed="81"/>
            <rFont val="Tahoma"/>
            <family val="2"/>
          </rPr>
          <t xml:space="preserve">
handover from SI
</t>
        </r>
      </text>
    </comment>
    <comment ref="B90" authorId="0" shapeId="0" xr:uid="{4376F03B-E000-4E87-A421-F00B44B5E0FF}">
      <text>
        <r>
          <rPr>
            <b/>
            <sz val="9"/>
            <color indexed="81"/>
            <rFont val="Tahoma"/>
            <family val="2"/>
          </rPr>
          <t>Administrator:</t>
        </r>
        <r>
          <rPr>
            <sz val="9"/>
            <color indexed="81"/>
            <rFont val="Tahoma"/>
            <family val="2"/>
          </rPr>
          <t xml:space="preserve">
handover from SI
</t>
        </r>
      </text>
    </comment>
    <comment ref="C90" authorId="0" shapeId="0" xr:uid="{1F8971DC-97BD-465D-8D99-D8EC6E0D32E0}">
      <text>
        <r>
          <rPr>
            <b/>
            <sz val="9"/>
            <color indexed="81"/>
            <rFont val="Tahoma"/>
            <family val="2"/>
          </rPr>
          <t>Administrator:</t>
        </r>
        <r>
          <rPr>
            <sz val="9"/>
            <color indexed="81"/>
            <rFont val="Tahoma"/>
            <family val="2"/>
          </rPr>
          <t xml:space="preserve">
handover from SI
</t>
        </r>
      </text>
    </comment>
    <comment ref="B91" authorId="0" shapeId="0" xr:uid="{41B4E406-91A4-4F78-ACC3-9E4E7DE59A90}">
      <text>
        <r>
          <rPr>
            <b/>
            <sz val="9"/>
            <color indexed="81"/>
            <rFont val="Tahoma"/>
            <family val="2"/>
          </rPr>
          <t>Administrator:</t>
        </r>
        <r>
          <rPr>
            <sz val="9"/>
            <color indexed="81"/>
            <rFont val="Tahoma"/>
            <family val="2"/>
          </rPr>
          <t xml:space="preserve">
handover from SI
</t>
        </r>
      </text>
    </comment>
    <comment ref="C91" authorId="0" shapeId="0" xr:uid="{361DB6D3-8904-4B36-85C6-47B847DAF40D}">
      <text>
        <r>
          <rPr>
            <b/>
            <sz val="9"/>
            <color indexed="81"/>
            <rFont val="Tahoma"/>
            <family val="2"/>
          </rPr>
          <t>Administrator:</t>
        </r>
        <r>
          <rPr>
            <sz val="9"/>
            <color indexed="81"/>
            <rFont val="Tahoma"/>
            <family val="2"/>
          </rPr>
          <t xml:space="preserve">
handover from SI
</t>
        </r>
      </text>
    </comment>
    <comment ref="B92" authorId="0" shapeId="0" xr:uid="{3EE3D0BE-4844-4D05-8C7A-401E815A6C87}">
      <text>
        <r>
          <rPr>
            <b/>
            <sz val="9"/>
            <color indexed="81"/>
            <rFont val="Tahoma"/>
            <family val="2"/>
          </rPr>
          <t>Administrator:</t>
        </r>
        <r>
          <rPr>
            <sz val="9"/>
            <color indexed="81"/>
            <rFont val="Tahoma"/>
            <family val="2"/>
          </rPr>
          <t xml:space="preserve">
handover from SI
</t>
        </r>
      </text>
    </comment>
    <comment ref="C92" authorId="0" shapeId="0" xr:uid="{44A5BD77-06B9-4C1C-AF72-62A0D5325779}">
      <text>
        <r>
          <rPr>
            <b/>
            <sz val="9"/>
            <color indexed="81"/>
            <rFont val="Tahoma"/>
            <family val="2"/>
          </rPr>
          <t>Administrator:</t>
        </r>
        <r>
          <rPr>
            <sz val="9"/>
            <color indexed="81"/>
            <rFont val="Tahoma"/>
            <family val="2"/>
          </rPr>
          <t xml:space="preserve">
handover from SI
</t>
        </r>
      </text>
    </comment>
    <comment ref="B132" authorId="0" shapeId="0" xr:uid="{D1EEABDB-360E-486D-8A9E-1150FD30BAFD}">
      <text>
        <r>
          <rPr>
            <b/>
            <sz val="9"/>
            <color indexed="81"/>
            <rFont val="Tahoma"/>
            <family val="2"/>
          </rPr>
          <t>Administrator:</t>
        </r>
        <r>
          <rPr>
            <sz val="9"/>
            <color indexed="81"/>
            <rFont val="Tahoma"/>
            <family val="2"/>
          </rPr>
          <t xml:space="preserve">
handover from SI
</t>
        </r>
      </text>
    </comment>
    <comment ref="C132" authorId="0" shapeId="0" xr:uid="{84098656-9140-4F3D-91E1-83E56482B3FD}">
      <text>
        <r>
          <rPr>
            <b/>
            <sz val="9"/>
            <color indexed="81"/>
            <rFont val="Tahoma"/>
            <family val="2"/>
          </rPr>
          <t>Administrator:</t>
        </r>
        <r>
          <rPr>
            <sz val="9"/>
            <color indexed="81"/>
            <rFont val="Tahoma"/>
            <family val="2"/>
          </rPr>
          <t xml:space="preserve">
handover from SI
</t>
        </r>
      </text>
    </comment>
    <comment ref="R132" authorId="0" shapeId="0" xr:uid="{93ABED68-9C96-4A8C-AD6A-A417B1F09108}">
      <text>
        <r>
          <rPr>
            <b/>
            <sz val="9"/>
            <color indexed="81"/>
            <rFont val="Tahoma"/>
            <family val="2"/>
          </rPr>
          <t>Administrator:</t>
        </r>
        <r>
          <rPr>
            <sz val="9"/>
            <color indexed="81"/>
            <rFont val="Tahoma"/>
            <family val="2"/>
          </rPr>
          <t xml:space="preserve">
metta 1, Shalom 2</t>
        </r>
      </text>
    </comment>
    <comment ref="X183" authorId="0" shapeId="0" xr:uid="{9619100E-B75B-423A-9A63-E4EC54FEEFA0}">
      <text>
        <r>
          <rPr>
            <b/>
            <sz val="9"/>
            <color indexed="81"/>
            <rFont val="Tahoma"/>
            <family val="2"/>
          </rPr>
          <t>Administrator:</t>
        </r>
        <r>
          <rPr>
            <sz val="9"/>
            <color indexed="81"/>
            <rFont val="Tahoma"/>
            <family val="2"/>
          </rPr>
          <t xml:space="preserve">
kbc အသင်းတော်</t>
        </r>
      </text>
    </comment>
    <comment ref="H220" authorId="0" shapeId="0" xr:uid="{0DA3932E-A968-4E19-8C2F-64136D0361C9}">
      <text>
        <r>
          <rPr>
            <b/>
            <sz val="9"/>
            <color indexed="81"/>
            <rFont val="Tahoma"/>
            <family val="2"/>
          </rPr>
          <t>Administrator:</t>
        </r>
        <r>
          <rPr>
            <sz val="9"/>
            <color indexed="81"/>
            <rFont val="Tahoma"/>
            <family val="2"/>
          </rPr>
          <t xml:space="preserve">
not in CCCM same with 3 mile Shwe Pyi Thar???</t>
        </r>
      </text>
    </comment>
    <comment ref="AW279" authorId="0" shapeId="0" xr:uid="{418FED38-FF2C-43B0-B45C-F1E1BD06570B}">
      <text>
        <r>
          <rPr>
            <b/>
            <sz val="9"/>
            <color indexed="81"/>
            <rFont val="Tahoma"/>
            <family val="2"/>
          </rPr>
          <t>Administrator:</t>
        </r>
        <r>
          <rPr>
            <sz val="9"/>
            <color indexed="81"/>
            <rFont val="Tahoma"/>
            <family val="2"/>
          </rPr>
          <t xml:space="preserve">
45360 Gallons</t>
        </r>
      </text>
    </comment>
    <comment ref="B321" authorId="0" shapeId="0" xr:uid="{D670FADA-7034-41E7-A913-572564ACED50}">
      <text>
        <r>
          <rPr>
            <b/>
            <sz val="9"/>
            <color indexed="81"/>
            <rFont val="Tahoma"/>
            <family val="2"/>
          </rPr>
          <t>Administrator:</t>
        </r>
        <r>
          <rPr>
            <sz val="9"/>
            <color indexed="81"/>
            <rFont val="Tahoma"/>
            <family val="2"/>
          </rPr>
          <t xml:space="preserve">
KBC is focal</t>
        </r>
      </text>
    </comment>
    <comment ref="C321" authorId="0" shapeId="0" xr:uid="{22F8FFD7-6B7A-411A-A795-66A677C2A040}">
      <text>
        <r>
          <rPr>
            <b/>
            <sz val="9"/>
            <color indexed="81"/>
            <rFont val="Tahoma"/>
            <family val="2"/>
          </rPr>
          <t>Administrator:</t>
        </r>
        <r>
          <rPr>
            <sz val="9"/>
            <color indexed="81"/>
            <rFont val="Tahoma"/>
            <family val="2"/>
          </rPr>
          <t xml:space="preserve">
KBC is focal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K21" authorId="0" shapeId="0" xr:uid="{D4DDC6E8-28CF-4877-B831-F266815B5F9B}">
      <text>
        <r>
          <rPr>
            <b/>
            <sz val="9"/>
            <color indexed="81"/>
            <rFont val="Tahoma"/>
            <family val="2"/>
          </rPr>
          <t>Administrator:</t>
        </r>
        <r>
          <rPr>
            <sz val="9"/>
            <color indexed="81"/>
            <rFont val="Tahoma"/>
            <family val="2"/>
          </rPr>
          <t xml:space="preserve">
not include the data from cluster reporting partners</t>
        </r>
      </text>
    </comment>
    <comment ref="K23" authorId="0" shapeId="0" xr:uid="{C8EE03FA-AA09-45A2-82E1-8BB1285B2289}">
      <text>
        <r>
          <rPr>
            <b/>
            <sz val="9"/>
            <color indexed="81"/>
            <rFont val="Tahoma"/>
            <family val="2"/>
          </rPr>
          <t>Administrator:</t>
        </r>
        <r>
          <rPr>
            <sz val="9"/>
            <color indexed="81"/>
            <rFont val="Tahoma"/>
            <family val="2"/>
          </rPr>
          <t xml:space="preserve">
not include the data from cluster reporting partners</t>
        </r>
      </text>
    </comment>
    <comment ref="K24" authorId="0" shapeId="0" xr:uid="{43DF79B2-D6B4-45CB-8C67-B323E1E0F138}">
      <text>
        <r>
          <rPr>
            <b/>
            <sz val="9"/>
            <color indexed="81"/>
            <rFont val="Tahoma"/>
            <family val="2"/>
          </rPr>
          <t>Administrator:</t>
        </r>
        <r>
          <rPr>
            <sz val="9"/>
            <color indexed="81"/>
            <rFont val="Tahoma"/>
            <family val="2"/>
          </rPr>
          <t xml:space="preserve">
not include the data from cluster reporting partners</t>
        </r>
      </text>
    </comment>
    <comment ref="K27" authorId="0" shapeId="0" xr:uid="{10726BB1-1312-4AED-AB1D-4DC34CA0B5B1}">
      <text>
        <r>
          <rPr>
            <b/>
            <sz val="9"/>
            <color indexed="81"/>
            <rFont val="Tahoma"/>
            <family val="2"/>
          </rPr>
          <t>Administrator:</t>
        </r>
        <r>
          <rPr>
            <sz val="9"/>
            <color indexed="81"/>
            <rFont val="Tahoma"/>
            <family val="2"/>
          </rPr>
          <t xml:space="preserve">
march HPM</t>
        </r>
      </text>
    </comment>
    <comment ref="H29" authorId="0" shapeId="0" xr:uid="{E98295A6-8C65-4E85-BD4B-F835F12E11D0}">
      <text>
        <r>
          <rPr>
            <b/>
            <sz val="9"/>
            <color indexed="81"/>
            <rFont val="Tahoma"/>
            <family val="2"/>
          </rPr>
          <t>Administrator:</t>
        </r>
        <r>
          <rPr>
            <sz val="9"/>
            <color indexed="81"/>
            <rFont val="Tahoma"/>
            <family val="2"/>
          </rPr>
          <t xml:space="preserve">
6391 June3W
</t>
        </r>
      </text>
    </comment>
    <comment ref="K29" authorId="0" shapeId="0" xr:uid="{871CD624-84C0-4D9A-8549-E2AF3520CAE1}">
      <text>
        <r>
          <rPr>
            <b/>
            <sz val="9"/>
            <color indexed="81"/>
            <rFont val="Tahoma"/>
            <family val="2"/>
          </rPr>
          <t>Administrator:</t>
        </r>
        <r>
          <rPr>
            <sz val="9"/>
            <color indexed="81"/>
            <rFont val="Tahoma"/>
            <family val="2"/>
          </rPr>
          <t xml:space="preserve">
march HPM
</t>
        </r>
      </text>
    </comment>
    <comment ref="G30" authorId="0" shapeId="0" xr:uid="{E7C41E02-7C5F-492F-AFFB-AEF4E7C2CABB}">
      <text>
        <r>
          <rPr>
            <b/>
            <sz val="9"/>
            <color indexed="81"/>
            <rFont val="Tahoma"/>
            <family val="2"/>
          </rPr>
          <t>Administrator:</t>
        </r>
        <r>
          <rPr>
            <sz val="9"/>
            <color indexed="81"/>
            <rFont val="Tahoma"/>
            <family val="2"/>
          </rPr>
          <t xml:space="preserve">
only Q2</t>
        </r>
      </text>
    </comment>
    <comment ref="H30" authorId="0" shapeId="0" xr:uid="{D2672DDA-49C0-47F0-B6D8-DA1072D776EE}">
      <text>
        <r>
          <rPr>
            <b/>
            <sz val="9"/>
            <color indexed="81"/>
            <rFont val="Tahoma"/>
            <family val="2"/>
          </rPr>
          <t>Administrator:</t>
        </r>
        <r>
          <rPr>
            <sz val="9"/>
            <color indexed="81"/>
            <rFont val="Tahoma"/>
            <family val="2"/>
          </rPr>
          <t xml:space="preserve">
64</t>
        </r>
      </text>
    </comment>
    <comment ref="H31" authorId="0" shapeId="0" xr:uid="{9A2BA4F2-ABE9-4F55-8FFB-8A2BF60FE219}">
      <text>
        <r>
          <rPr>
            <b/>
            <sz val="9"/>
            <color indexed="81"/>
            <rFont val="Tahoma"/>
            <family val="2"/>
          </rPr>
          <t>Administrator:</t>
        </r>
        <r>
          <rPr>
            <sz val="9"/>
            <color indexed="81"/>
            <rFont val="Tahoma"/>
            <family val="2"/>
          </rPr>
          <t xml:space="preserve">
=10941+100 in June 3W</t>
        </r>
      </text>
    </comment>
    <comment ref="J31" authorId="0" shapeId="0" xr:uid="{81651A0C-9E0E-4CB0-BCDA-8953FFF5F069}">
      <text>
        <r>
          <rPr>
            <b/>
            <sz val="9"/>
            <color indexed="81"/>
            <rFont val="Tahoma"/>
            <family val="2"/>
          </rPr>
          <t>Administrator:</t>
        </r>
        <r>
          <rPr>
            <sz val="9"/>
            <color indexed="81"/>
            <rFont val="Tahoma"/>
            <family val="2"/>
          </rPr>
          <t xml:space="preserve">
3731in Q2 4W</t>
        </r>
      </text>
    </comment>
    <comment ref="K31" authorId="0" shapeId="0" xr:uid="{B0244080-CB71-4389-96B1-615F910B42C3}">
      <text>
        <r>
          <rPr>
            <b/>
            <sz val="9"/>
            <color indexed="81"/>
            <rFont val="Tahoma"/>
            <family val="2"/>
          </rPr>
          <t>Administrator:</t>
        </r>
        <r>
          <rPr>
            <sz val="9"/>
            <color indexed="81"/>
            <rFont val="Tahoma"/>
            <family val="2"/>
          </rPr>
          <t xml:space="preserve">
march HPM
</t>
        </r>
      </text>
    </comment>
    <comment ref="H32" authorId="0" shapeId="0" xr:uid="{8A73EBD7-3D03-41FD-A2AA-5B990A9C4D5D}">
      <text>
        <r>
          <rPr>
            <b/>
            <sz val="9"/>
            <color indexed="81"/>
            <rFont val="Tahoma"/>
            <family val="2"/>
          </rPr>
          <t>Administrator:</t>
        </r>
        <r>
          <rPr>
            <sz val="9"/>
            <color indexed="81"/>
            <rFont val="Tahoma"/>
            <family val="2"/>
          </rPr>
          <t xml:space="preserve">
7843 in June3W</t>
        </r>
      </text>
    </comment>
    <comment ref="K32" authorId="0" shapeId="0" xr:uid="{8D9458B7-0242-455E-89D4-D3A72069E109}">
      <text>
        <r>
          <rPr>
            <b/>
            <sz val="9"/>
            <color indexed="81"/>
            <rFont val="Tahoma"/>
            <family val="2"/>
          </rPr>
          <t>Administrator:</t>
        </r>
        <r>
          <rPr>
            <sz val="9"/>
            <color indexed="81"/>
            <rFont val="Tahoma"/>
            <family val="2"/>
          </rPr>
          <t xml:space="preserve">
June HPM</t>
        </r>
      </text>
    </comment>
    <comment ref="G36" authorId="0" shapeId="0" xr:uid="{43113426-F8C0-4036-868F-4C51DB0229F4}">
      <text>
        <r>
          <rPr>
            <b/>
            <sz val="9"/>
            <color indexed="81"/>
            <rFont val="Tahoma"/>
            <family val="2"/>
          </rPr>
          <t>Administrator:</t>
        </r>
        <r>
          <rPr>
            <sz val="9"/>
            <color indexed="81"/>
            <rFont val="Tahoma"/>
            <family val="2"/>
          </rPr>
          <t xml:space="preserve">
Q2 only</t>
        </r>
      </text>
    </comment>
    <comment ref="K40" authorId="0" shapeId="0" xr:uid="{8A862704-2A33-483E-845C-8934D57DA421}">
      <text>
        <r>
          <rPr>
            <b/>
            <sz val="9"/>
            <color indexed="81"/>
            <rFont val="Tahoma"/>
            <family val="2"/>
          </rPr>
          <t>Administrator:</t>
        </r>
        <r>
          <rPr>
            <sz val="9"/>
            <color indexed="81"/>
            <rFont val="Tahoma"/>
            <family val="2"/>
          </rPr>
          <t xml:space="preserve">
march HPM</t>
        </r>
      </text>
    </comment>
    <comment ref="K42" authorId="0" shapeId="0" xr:uid="{0F1337A6-D954-43D1-8EBC-65D5C216E453}">
      <text>
        <r>
          <rPr>
            <b/>
            <sz val="9"/>
            <color indexed="81"/>
            <rFont val="Tahoma"/>
            <family val="2"/>
          </rPr>
          <t>Administrator:</t>
        </r>
        <r>
          <rPr>
            <sz val="9"/>
            <color indexed="81"/>
            <rFont val="Tahoma"/>
            <family val="2"/>
          </rPr>
          <t xml:space="preserve">
June HPM</t>
        </r>
      </text>
    </comment>
    <comment ref="K46" authorId="0" shapeId="0" xr:uid="{8EFF6E6A-E4F4-4C3F-9092-243B0B7B14A9}">
      <text>
        <r>
          <rPr>
            <b/>
            <sz val="9"/>
            <color indexed="81"/>
            <rFont val="Tahoma"/>
            <family val="2"/>
          </rPr>
          <t>Administrator:</t>
        </r>
        <r>
          <rPr>
            <sz val="9"/>
            <color indexed="81"/>
            <rFont val="Tahoma"/>
            <family val="2"/>
          </rPr>
          <t xml:space="preserve">
march HPM</t>
        </r>
      </text>
    </comment>
    <comment ref="G49" authorId="0" shapeId="0" xr:uid="{7E979CE1-54A9-463F-A5B4-ACABCCFB435B}">
      <text>
        <r>
          <rPr>
            <b/>
            <sz val="9"/>
            <color indexed="81"/>
            <rFont val="Tahoma"/>
            <family val="2"/>
          </rPr>
          <t>Administrator:</t>
        </r>
        <r>
          <rPr>
            <sz val="9"/>
            <color indexed="81"/>
            <rFont val="Tahoma"/>
            <family val="2"/>
          </rPr>
          <t xml:space="preserve">
only Q2</t>
        </r>
      </text>
    </comment>
    <comment ref="K50" authorId="0" shapeId="0" xr:uid="{C705B27F-88A7-4261-A975-4C04371130DD}">
      <text>
        <r>
          <rPr>
            <b/>
            <sz val="9"/>
            <color indexed="81"/>
            <rFont val="Tahoma"/>
            <family val="2"/>
          </rPr>
          <t>Administrator:</t>
        </r>
        <r>
          <rPr>
            <sz val="9"/>
            <color indexed="81"/>
            <rFont val="Tahoma"/>
            <family val="2"/>
          </rPr>
          <t xml:space="preserve">
march HPM</t>
        </r>
      </text>
    </comment>
    <comment ref="K51" authorId="0" shapeId="0" xr:uid="{392AFFFF-F1E7-4778-BF82-4ECE7866C7FF}">
      <text>
        <r>
          <rPr>
            <b/>
            <sz val="9"/>
            <color indexed="81"/>
            <rFont val="Tahoma"/>
            <family val="2"/>
          </rPr>
          <t>Administrator:</t>
        </r>
        <r>
          <rPr>
            <sz val="9"/>
            <color indexed="81"/>
            <rFont val="Tahoma"/>
            <family val="2"/>
          </rPr>
          <t xml:space="preserve">
march HPM</t>
        </r>
      </text>
    </comment>
    <comment ref="G55" authorId="0" shapeId="0" xr:uid="{0BFD5D74-E8F5-40E5-9F84-8C9FD320EA4A}">
      <text>
        <r>
          <rPr>
            <b/>
            <sz val="9"/>
            <color indexed="81"/>
            <rFont val="Tahoma"/>
            <family val="2"/>
          </rPr>
          <t>Administrator:</t>
        </r>
        <r>
          <rPr>
            <sz val="9"/>
            <color indexed="81"/>
            <rFont val="Tahoma"/>
            <family val="2"/>
          </rPr>
          <t xml:space="preserve">
Q2 only</t>
        </r>
      </text>
    </comment>
    <comment ref="K57" authorId="0" shapeId="0" xr:uid="{2C8BA49A-3929-4647-B49D-1714379BAF34}">
      <text>
        <r>
          <rPr>
            <b/>
            <sz val="9"/>
            <color indexed="81"/>
            <rFont val="Tahoma"/>
            <family val="2"/>
          </rPr>
          <t>Administrator:</t>
        </r>
        <r>
          <rPr>
            <sz val="9"/>
            <color indexed="81"/>
            <rFont val="Tahoma"/>
            <family val="2"/>
          </rPr>
          <t xml:space="preserve">
march HPM</t>
        </r>
      </text>
    </comment>
    <comment ref="K59" authorId="0" shapeId="0" xr:uid="{783C47EF-3D3D-4766-8676-144E434BD0B4}">
      <text>
        <r>
          <rPr>
            <b/>
            <sz val="9"/>
            <color indexed="81"/>
            <rFont val="Tahoma"/>
            <family val="2"/>
          </rPr>
          <t>Administrator:</t>
        </r>
        <r>
          <rPr>
            <sz val="9"/>
            <color indexed="81"/>
            <rFont val="Tahoma"/>
            <family val="2"/>
          </rPr>
          <t xml:space="preserve">
march HPM</t>
        </r>
      </text>
    </comment>
    <comment ref="K65" authorId="0" shapeId="0" xr:uid="{B16CF896-443F-4158-8A9E-37810262DB8A}">
      <text>
        <r>
          <rPr>
            <b/>
            <sz val="9"/>
            <color indexed="81"/>
            <rFont val="Tahoma"/>
            <family val="2"/>
          </rPr>
          <t>Administrator:</t>
        </r>
        <r>
          <rPr>
            <sz val="9"/>
            <color indexed="81"/>
            <rFont val="Tahoma"/>
            <family val="2"/>
          </rPr>
          <t xml:space="preserve">
June HPM
</t>
        </r>
      </text>
    </comment>
    <comment ref="H69" authorId="0" shapeId="0" xr:uid="{43BCAC25-614E-4086-B1A5-4D18DCCF74CA}">
      <text>
        <r>
          <rPr>
            <b/>
            <sz val="9"/>
            <color indexed="81"/>
            <rFont val="Tahoma"/>
            <family val="2"/>
          </rPr>
          <t>Administrator:</t>
        </r>
        <r>
          <rPr>
            <sz val="9"/>
            <color indexed="81"/>
            <rFont val="Tahoma"/>
            <family val="2"/>
          </rPr>
          <t xml:space="preserve">
=14295+833 in June3W</t>
        </r>
      </text>
    </comment>
    <comment ref="J69" authorId="0" shapeId="0" xr:uid="{CF520DB8-B133-4DF4-9A8F-34CD2971BAB4}">
      <text>
        <r>
          <rPr>
            <b/>
            <sz val="9"/>
            <color indexed="81"/>
            <rFont val="Tahoma"/>
            <family val="2"/>
          </rPr>
          <t>Administrator:</t>
        </r>
        <r>
          <rPr>
            <sz val="9"/>
            <color indexed="81"/>
            <rFont val="Tahoma"/>
            <family val="2"/>
          </rPr>
          <t xml:space="preserve">
4301 in Q2 4W</t>
        </r>
      </text>
    </comment>
    <comment ref="K76" authorId="0" shapeId="0" xr:uid="{B38634D4-42D3-4EB9-92DB-27A3C46EA145}">
      <text>
        <r>
          <rPr>
            <b/>
            <sz val="9"/>
            <color indexed="81"/>
            <rFont val="Tahoma"/>
            <family val="2"/>
          </rPr>
          <t>Administrator:</t>
        </r>
        <r>
          <rPr>
            <sz val="9"/>
            <color indexed="81"/>
            <rFont val="Tahoma"/>
            <family val="2"/>
          </rPr>
          <t xml:space="preserve">
march HPM</t>
        </r>
      </text>
    </comment>
    <comment ref="K141" authorId="0" shapeId="0" xr:uid="{1D4DB8E5-38C9-45DE-B7A8-6D51BA25C780}">
      <text>
        <r>
          <rPr>
            <b/>
            <sz val="9"/>
            <color indexed="81"/>
            <rFont val="Tahoma"/>
            <family val="2"/>
          </rPr>
          <t>Administrator:</t>
        </r>
        <r>
          <rPr>
            <sz val="9"/>
            <color indexed="81"/>
            <rFont val="Tahoma"/>
            <family val="2"/>
          </rPr>
          <t xml:space="preserve">
march HPM</t>
        </r>
      </text>
    </comment>
    <comment ref="H145" authorId="0" shapeId="0" xr:uid="{05E94E82-AFB2-4ECA-86F5-31F48FB8A29E}">
      <text>
        <r>
          <rPr>
            <b/>
            <sz val="9"/>
            <color indexed="81"/>
            <rFont val="Tahoma"/>
            <family val="2"/>
          </rPr>
          <t>Administrator:</t>
        </r>
        <r>
          <rPr>
            <sz val="9"/>
            <color indexed="81"/>
            <rFont val="Tahoma"/>
            <family val="2"/>
          </rPr>
          <t xml:space="preserve">
4363 in June3W</t>
        </r>
      </text>
    </comment>
    <comment ref="J145" authorId="0" shapeId="0" xr:uid="{3E49EA1C-8A2F-400B-9574-5A17E2FF9B18}">
      <text>
        <r>
          <rPr>
            <b/>
            <sz val="9"/>
            <color indexed="81"/>
            <rFont val="Tahoma"/>
            <family val="2"/>
          </rPr>
          <t>Administrator:</t>
        </r>
        <r>
          <rPr>
            <sz val="9"/>
            <color indexed="81"/>
            <rFont val="Tahoma"/>
            <family val="2"/>
          </rPr>
          <t xml:space="preserve">
826 in Q2 4W</t>
        </r>
      </text>
    </comment>
    <comment ref="K145" authorId="0" shapeId="0" xr:uid="{8A8D3319-EBF3-4EAE-9F99-E047BB22CD3F}">
      <text>
        <r>
          <rPr>
            <b/>
            <sz val="9"/>
            <color indexed="81"/>
            <rFont val="Tahoma"/>
            <family val="2"/>
          </rPr>
          <t>Administrator:</t>
        </r>
        <r>
          <rPr>
            <sz val="9"/>
            <color indexed="81"/>
            <rFont val="Tahoma"/>
            <family val="2"/>
          </rPr>
          <t xml:space="preserve">
march HPM</t>
        </r>
      </text>
    </comment>
    <comment ref="K152" authorId="0" shapeId="0" xr:uid="{D4AC5308-E7C8-4882-95A1-4FEDECA678B0}">
      <text>
        <r>
          <rPr>
            <b/>
            <sz val="9"/>
            <color indexed="81"/>
            <rFont val="Tahoma"/>
            <family val="2"/>
          </rPr>
          <t>Administrator:</t>
        </r>
        <r>
          <rPr>
            <sz val="9"/>
            <color indexed="81"/>
            <rFont val="Tahoma"/>
            <family val="2"/>
          </rPr>
          <t xml:space="preserve">
march HPM</t>
        </r>
      </text>
    </comment>
    <comment ref="K154" authorId="0" shapeId="0" xr:uid="{0F6F031F-6E67-44DD-848C-A182036357E1}">
      <text>
        <r>
          <rPr>
            <b/>
            <sz val="9"/>
            <color indexed="81"/>
            <rFont val="Tahoma"/>
            <family val="2"/>
          </rPr>
          <t>Administrator:</t>
        </r>
        <r>
          <rPr>
            <sz val="9"/>
            <color indexed="81"/>
            <rFont val="Tahoma"/>
            <family val="2"/>
          </rPr>
          <t xml:space="preserve">
march HPM</t>
        </r>
      </text>
    </comment>
    <comment ref="K160" authorId="0" shapeId="0" xr:uid="{03C258BD-0E51-43A9-B3E6-AC25742C64CB}">
      <text>
        <r>
          <rPr>
            <b/>
            <sz val="9"/>
            <color indexed="81"/>
            <rFont val="Tahoma"/>
            <family val="2"/>
          </rPr>
          <t>Administrator:</t>
        </r>
        <r>
          <rPr>
            <sz val="9"/>
            <color indexed="81"/>
            <rFont val="Tahoma"/>
            <family val="2"/>
          </rPr>
          <t xml:space="preserve">
June HPM</t>
        </r>
      </text>
    </comment>
    <comment ref="H162" authorId="0" shapeId="0" xr:uid="{26CF490D-3946-41FC-812C-54BD30A2B7CB}">
      <text>
        <r>
          <rPr>
            <b/>
            <sz val="9"/>
            <color indexed="81"/>
            <rFont val="Tahoma"/>
            <family val="2"/>
          </rPr>
          <t>Administrator:</t>
        </r>
        <r>
          <rPr>
            <sz val="9"/>
            <color indexed="81"/>
            <rFont val="Tahoma"/>
            <family val="2"/>
          </rPr>
          <t xml:space="preserve">
addendum</t>
        </r>
      </text>
    </comment>
    <comment ref="H164" authorId="0" shapeId="0" xr:uid="{DBD07C9F-2876-4385-9081-01C46BE11768}">
      <text>
        <r>
          <rPr>
            <b/>
            <sz val="9"/>
            <color indexed="81"/>
            <rFont val="Tahoma"/>
            <family val="2"/>
          </rPr>
          <t>Administrator:</t>
        </r>
        <r>
          <rPr>
            <sz val="9"/>
            <color indexed="81"/>
            <rFont val="Tahoma"/>
            <family val="2"/>
          </rPr>
          <t xml:space="preserve">
=14295+833 in June3W</t>
        </r>
      </text>
    </comment>
    <comment ref="J164" authorId="0" shapeId="0" xr:uid="{9B577B90-3341-46DC-B0AE-D79E0B23A1A1}">
      <text>
        <r>
          <rPr>
            <b/>
            <sz val="9"/>
            <color indexed="81"/>
            <rFont val="Tahoma"/>
            <family val="2"/>
          </rPr>
          <t>Administrator:</t>
        </r>
        <r>
          <rPr>
            <sz val="9"/>
            <color indexed="81"/>
            <rFont val="Tahoma"/>
            <family val="2"/>
          </rPr>
          <t xml:space="preserve">
4301 in Q2 4W</t>
        </r>
      </text>
    </comment>
    <comment ref="H165" authorId="0" shapeId="0" xr:uid="{C6B8A725-B027-4D1E-8A30-F64085EED518}">
      <text>
        <r>
          <rPr>
            <b/>
            <sz val="9"/>
            <color indexed="81"/>
            <rFont val="Tahoma"/>
            <family val="2"/>
          </rPr>
          <t>Administrator:</t>
        </r>
        <r>
          <rPr>
            <sz val="9"/>
            <color indexed="81"/>
            <rFont val="Tahoma"/>
            <family val="2"/>
          </rPr>
          <t xml:space="preserve">
6918 in June3W</t>
        </r>
      </text>
    </comment>
    <comment ref="K165" authorId="0" shapeId="0" xr:uid="{E7C71FBE-19E6-4094-86F0-8D89BC52B5D8}">
      <text>
        <r>
          <rPr>
            <b/>
            <sz val="9"/>
            <color indexed="81"/>
            <rFont val="Tahoma"/>
            <family val="2"/>
          </rPr>
          <t>Administrator:</t>
        </r>
        <r>
          <rPr>
            <sz val="9"/>
            <color indexed="81"/>
            <rFont val="Tahoma"/>
            <family val="2"/>
          </rPr>
          <t xml:space="preserve">
March HPM</t>
        </r>
      </text>
    </comment>
    <comment ref="G169" authorId="0" shapeId="0" xr:uid="{5AA6786B-522C-4665-A973-913BA43ECD9E}">
      <text>
        <r>
          <rPr>
            <b/>
            <sz val="9"/>
            <color indexed="81"/>
            <rFont val="Tahoma"/>
            <family val="2"/>
          </rPr>
          <t>Administrator:</t>
        </r>
        <r>
          <rPr>
            <sz val="9"/>
            <color indexed="81"/>
            <rFont val="Tahoma"/>
            <family val="2"/>
          </rPr>
          <t xml:space="preserve">
addendum</t>
        </r>
      </text>
    </comment>
    <comment ref="I169" authorId="0" shapeId="0" xr:uid="{BD7B1C36-5A51-45B4-80DD-C5FCAA6E986B}">
      <text>
        <r>
          <rPr>
            <b/>
            <sz val="9"/>
            <color indexed="81"/>
            <rFont val="Tahoma"/>
            <family val="2"/>
          </rPr>
          <t>Administrator:</t>
        </r>
        <r>
          <rPr>
            <sz val="9"/>
            <color indexed="81"/>
            <rFont val="Tahoma"/>
            <family val="2"/>
          </rPr>
          <t xml:space="preserve">
addendum</t>
        </r>
      </text>
    </comment>
    <comment ref="H170" authorId="0" shapeId="0" xr:uid="{CC06E866-8665-44F7-843C-2F3DDF833994}">
      <text>
        <r>
          <rPr>
            <b/>
            <sz val="9"/>
            <color indexed="81"/>
            <rFont val="Tahoma"/>
            <family val="2"/>
          </rPr>
          <t>Administrator:</t>
        </r>
        <r>
          <rPr>
            <sz val="9"/>
            <color indexed="81"/>
            <rFont val="Tahoma"/>
            <family val="2"/>
          </rPr>
          <t xml:space="preserve">
addemdum</t>
        </r>
      </text>
    </comment>
    <comment ref="K173" authorId="0" shapeId="0" xr:uid="{0290B52E-B4B2-4344-8153-39D53E09A25F}">
      <text>
        <r>
          <rPr>
            <b/>
            <sz val="9"/>
            <color indexed="81"/>
            <rFont val="Tahoma"/>
            <family val="2"/>
          </rPr>
          <t>Administrator:</t>
        </r>
        <r>
          <rPr>
            <sz val="9"/>
            <color indexed="81"/>
            <rFont val="Tahoma"/>
            <family val="2"/>
          </rPr>
          <t xml:space="preserve">
march HPM</t>
        </r>
      </text>
    </comment>
    <comment ref="K175" authorId="0" shapeId="0" xr:uid="{6D61FD41-8C57-4BFA-B44D-62524114DD3F}">
      <text>
        <r>
          <rPr>
            <b/>
            <sz val="9"/>
            <color indexed="81"/>
            <rFont val="Tahoma"/>
            <family val="2"/>
          </rPr>
          <t>Administrator:</t>
        </r>
        <r>
          <rPr>
            <sz val="9"/>
            <color indexed="81"/>
            <rFont val="Tahoma"/>
            <family val="2"/>
          </rPr>
          <t xml:space="preserve">
March HPM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Than Kyaw Soe</author>
  </authors>
  <commentList>
    <comment ref="E420" authorId="0" shapeId="0" xr:uid="{00000000-0006-0000-0F00-000001000000}">
      <text>
        <r>
          <rPr>
            <b/>
            <sz val="9"/>
            <color indexed="81"/>
            <rFont val="Tahoma"/>
            <family val="2"/>
          </rPr>
          <t>Than Kyaw Soe:</t>
        </r>
        <r>
          <rPr>
            <sz val="9"/>
            <color indexed="81"/>
            <rFont val="Tahoma"/>
            <family val="2"/>
          </rPr>
          <t xml:space="preserve">
move to another locations need to change the GPS Point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712C701-95E3-4A60-9723-34B5D10516C4}"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C3E6344E-F416-40D3-84AE-ABFD84E1994F}" name="WorksheetConnection_20200716_Myanmar_WASH_4W_2020_Q2_KachinShan_camp_Consolidate.xlsx!WWWW" type="102" refreshedVersion="7" minRefreshableVersion="5">
    <extLst>
      <ext xmlns:x15="http://schemas.microsoft.com/office/spreadsheetml/2010/11/main" uri="{DE250136-89BD-433C-8126-D09CA5730AF9}">
        <x15:connection id="WWWW" autoDelete="1">
          <x15:rangePr sourceName="_xlcn.WorksheetConnection_20200716_Myanmar_WASH_4W_2020_Q2_KachinShan_camp_Consolidate.xlsxWWWW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
    <s v="ThisWorkbookDataModel"/>
    <s v="{[WWWW].[Covered].&amp;[Covered]}"/>
    <s v="{[WWWW].[Remark].&amp;[yes]}"/>
    <s v="{[WWWW].[#_Water sources tested for fecal coliform].&amp;[1],[WWWW].[#_Water sources tested for fecal coliform].&amp;[2],[WWWW].[#_Water sources tested for fecal coliform].&amp;[3],[WWWW].[#_Water sources tested for fecal coliform].&amp;[4],[WWWW].[#_Water sources tested for fecal coliform].&amp;[5],[WWWW].[#_Water sources tested for fecal coliform].&amp;[6],[WWWW].[#_Water sources tested for fecal coliform].&amp;[7],[WWWW].[#_Water sources tested for fecal coliform].&amp;[12],[WWWW].[#_Water sources tested for fecal coliform].&amp;[15],[WWWW].[#_Water sources tested for fecal coliform].&amp;[21],[WWWW].[#_Water sources tested for fecal coliform].&amp;[42]}"/>
    <s v="{[WWWW].[#_Household water samples tested for fecal coliform].&amp;[1],[WWWW].[#_Household water samples tested for fecal coliform].&amp;[2],[WWWW].[#_Household water samples tested for fecal coliform].&amp;[3],[WWWW].[#_Household water samples tested for fecal coliform].&amp;[5],[WWWW].[#_Household water samples tested for fecal coliform].&amp;[6],[WWWW].[#_Household water samples tested for fecal coliform].&amp;[7],[WWWW].[#_Household water samples tested for fecal coliform].&amp;[9],[WWWW].[#_Household water samples tested for fecal coliform].&amp;[15],[WWWW].[#_Household water samples tested for fecal coliform].&amp;[18],[WWWW].[#_Household water samples tested for fecal coliform].&amp;[21],[WWWW].[#_Household water samples tested for fecal coliform].&amp;[27],[WWWW].[#_Household water samples tested for fecal coliform].&amp;[36]}"/>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<sst xmlns="http://schemas.openxmlformats.org/spreadsheetml/2006/main" count="19112" uniqueCount="3408">
  <si>
    <t>V1</t>
  </si>
  <si>
    <t>V2</t>
  </si>
  <si>
    <t>V3</t>
  </si>
  <si>
    <t>V4</t>
  </si>
  <si>
    <t>V5</t>
  </si>
  <si>
    <t>V7</t>
  </si>
  <si>
    <t>V8</t>
  </si>
  <si>
    <t>x1</t>
  </si>
  <si>
    <t>x2</t>
  </si>
  <si>
    <t>x4</t>
  </si>
  <si>
    <t>x5</t>
  </si>
  <si>
    <t>x6</t>
  </si>
  <si>
    <t>x7</t>
  </si>
  <si>
    <t>x8</t>
  </si>
  <si>
    <t>x9</t>
  </si>
  <si>
    <t>x10</t>
  </si>
  <si>
    <t>drop down</t>
  </si>
  <si>
    <t>#</t>
  </si>
  <si>
    <t>Text</t>
  </si>
  <si>
    <t>date</t>
  </si>
  <si>
    <t>Reporting Period</t>
  </si>
  <si>
    <t>State</t>
  </si>
  <si>
    <t>Township</t>
  </si>
  <si>
    <t>Site Name</t>
  </si>
  <si>
    <t>Total HH</t>
  </si>
  <si>
    <t xml:space="preserve">Total PoP </t>
  </si>
  <si>
    <t xml:space="preserve">Primary Donor covering WASH activities at site </t>
  </si>
  <si>
    <t>CCCM Management</t>
  </si>
  <si>
    <t>CCCM Focal Agency</t>
  </si>
  <si>
    <t>Type of accommodation</t>
  </si>
  <si>
    <t>Ethnic or GCA/NGCA</t>
  </si>
  <si>
    <t>Lat</t>
  </si>
  <si>
    <t>Long</t>
  </si>
  <si>
    <t>Pcode</t>
  </si>
  <si>
    <t>Covered</t>
  </si>
  <si>
    <t>Remark</t>
  </si>
  <si>
    <t>KMSS</t>
  </si>
  <si>
    <t>Kachin</t>
  </si>
  <si>
    <t>Mansi</t>
  </si>
  <si>
    <t>Maing Khaung Catholic Church</t>
  </si>
  <si>
    <t>DFID/HARP</t>
  </si>
  <si>
    <t>Yes</t>
  </si>
  <si>
    <t>KMSS-BMO</t>
  </si>
  <si>
    <t>Camp</t>
  </si>
  <si>
    <t>GCA</t>
  </si>
  <si>
    <t>Current Indicators</t>
  </si>
  <si>
    <t>Definitions/Remarks</t>
  </si>
  <si>
    <t>V9</t>
  </si>
  <si>
    <t>V10</t>
  </si>
  <si>
    <t># Work days (approx) lost in this site due to access restrictions</t>
  </si>
  <si>
    <t>Yes/No</t>
  </si>
  <si>
    <t>V11</t>
  </si>
  <si>
    <t>%</t>
  </si>
  <si>
    <t>V12</t>
  </si>
  <si>
    <t>V13</t>
  </si>
  <si>
    <t># of functional public wells/boreholes ( deep tube well, shallow tube well) with water flowing/available all day with a functional flowrate</t>
  </si>
  <si>
    <t xml:space="preserve">Protected/fenced ponds do not count as improved water source or safe drinking water unless the results for ceramic filters and negative e.coli water quality test results are in place. </t>
  </si>
  <si>
    <t>V17</t>
  </si>
  <si>
    <t># of water points that have been fully handed over to families and community as part of the exit strategy. Note repairs might still be done by committees</t>
  </si>
  <si>
    <t>V16</t>
  </si>
  <si>
    <t>WATER
Comments                                         
(If you have gaps or questions)</t>
  </si>
  <si>
    <t>V18</t>
  </si>
  <si>
    <t>V20</t>
  </si>
  <si>
    <t>V21</t>
  </si>
  <si>
    <t>V22</t>
  </si>
  <si>
    <t>Sanitation 
Comments                                               
(If you have gaps or questions)</t>
  </si>
  <si>
    <t>V23</t>
  </si>
  <si>
    <t>V25</t>
  </si>
  <si>
    <t>V26</t>
  </si>
  <si>
    <t>V27</t>
  </si>
  <si>
    <t>V28</t>
  </si>
  <si>
    <t>Is sufficient soap available for TLS? (Yes/No)</t>
  </si>
  <si>
    <t>Hygiene
Comments                                                               
(If you have gaps or questions)</t>
  </si>
  <si>
    <t>HRP Code</t>
  </si>
  <si>
    <t>4W Code</t>
  </si>
  <si>
    <t>Corresponding 4W indicator</t>
  </si>
  <si>
    <t>Unit</t>
  </si>
  <si>
    <t>HRP1</t>
  </si>
  <si>
    <t>Number of people reached by regular dedicated hygiene promotion/behavior change activities</t>
  </si>
  <si>
    <r>
      <rPr>
        <sz val="18"/>
        <color theme="0"/>
        <rFont val="Calibri"/>
        <family val="2"/>
      </rPr>
      <t>WASH CLUSTER</t>
    </r>
    <r>
      <rPr>
        <b/>
        <sz val="18"/>
        <color theme="0"/>
        <rFont val="Calibri"/>
        <family val="2"/>
      </rPr>
      <t xml:space="preserve"> 4W MATRIX </t>
    </r>
    <r>
      <rPr>
        <sz val="18"/>
        <color theme="0"/>
        <rFont val="Calibri"/>
        <family val="2"/>
      </rPr>
      <t>MYANMAR</t>
    </r>
  </si>
  <si>
    <t>Objectives of the 4W matrix:</t>
  </si>
  <si>
    <t>To identify the geographical positionning of the different intervenants (Who)</t>
  </si>
  <si>
    <t>To reduce the geographical gaps coverage (Where)</t>
  </si>
  <si>
    <t>To produce a basic analysis of the needs covered, and needs remaining (What)</t>
  </si>
  <si>
    <t>To predict at minima the coverage extension or reduction in short term (When)</t>
  </si>
  <si>
    <t>To support defining priorities (traffic light)</t>
  </si>
  <si>
    <t>To offer a synthetic situation overview, a relavant and comparable analysis over time</t>
  </si>
  <si>
    <t>The 4W exercise cannot replace more complex and field monitoring tools and analysis.</t>
  </si>
  <si>
    <t xml:space="preserve"> It won't analyse much the qualitative aspect of the intervention, while it is a pre-condition for any intervention </t>
  </si>
  <si>
    <t>To respect minimum technical standards, shared and contextualised by the cluster</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</si>
  <si>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</si>
  <si>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</si>
  <si>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</si>
  <si>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wash cluster meeting, state level or country level, are the place to exchange on result findings</t>
  </si>
  <si>
    <t>The 4W should be updated at quaterly basis, while all agencies are requested to fill the form to offer a more accurate and relevant outlook of the situation</t>
  </si>
  <si>
    <t>The 4W and its analysis is shared with the Myanmar autorities at state and national level</t>
  </si>
  <si>
    <t>The wash cluster is in charge of gathering the information from the State government, in case of technical direct implementation</t>
  </si>
  <si>
    <t>The 4W consolidated by the wash cluster and its analysis will be quarterly shared through the google wash group, WASH Cluster google drive and the MIMU internet site</t>
  </si>
  <si>
    <t>Use of Excel Sheet:</t>
  </si>
  <si>
    <t>DATABASE: Main database for Data Entry by partners</t>
  </si>
  <si>
    <t>HRP Calculations: Calculations method for HRP indicators</t>
  </si>
  <si>
    <t>ANALYSIS: overall Analysis based on partner's  quarterly update 4 Ws</t>
  </si>
  <si>
    <t>Kachin/Rakhine/Shan: Quarterly Snapshot by state. Mapping can not be included in data entry period. It will be included in final version of 4 W released.</t>
  </si>
  <si>
    <t>By Camp: camp level analysis with different dimensions</t>
  </si>
  <si>
    <t>Focal point Agency:</t>
  </si>
  <si>
    <t xml:space="preserve">As per WASH cluster strategic plan and SOF, the approach remains one main wash actor per camp </t>
  </si>
  <si>
    <t>However, depending of the needs, two actors can be considered per sub sector, and different regarding wash sub-sector</t>
  </si>
  <si>
    <t>From a cluster point of view, to facilitate the data collection, the defined focal wash agency is reporting for the overall wash situation in the location, and not only on its own activities</t>
  </si>
  <si>
    <t>The agency focal point is defined on an bilateral agreement between NGOs, while the Cluster can accompaign any process difficulties</t>
  </si>
  <si>
    <t>Geographical reporting coverage</t>
  </si>
  <si>
    <t>WASH Cluster, through intersectorial coordination with CCCM, is providing a site baseline data. However,  this pre-defined list is not closed to new locations, if related to the emergency.</t>
  </si>
  <si>
    <t>In case of new location (ex: spontaneous camps not registered with CCCM, host communities considered directly affected, isolated villages facing</t>
  </si>
  <si>
    <t>humanitarian risk…), please mark in the Database, and engage exchange with the Wash cluster in order to properly recognize this location, and allow to exchange with CCCM if needed.</t>
  </si>
  <si>
    <t>The agencies are also welcome to cross check the data and mention major discrepancies with field observations. The wash cluster in that case ensures a follow up at the inter-cluster level</t>
  </si>
  <si>
    <t>CALCULATION</t>
  </si>
  <si>
    <t>V14</t>
  </si>
  <si>
    <t>V15</t>
  </si>
  <si>
    <t>Access to safe drinking water through improved water points (for Camp)</t>
  </si>
  <si>
    <t>Access to safe drinking water through improved water points (for Village)</t>
  </si>
  <si>
    <t>Equitable and continuous access to sufficient quantity of safe drinking water through improved water sources</t>
  </si>
  <si>
    <t>Number of People with equitable and continuous access to sufficient quantity of safe drinking water through improved water sources</t>
  </si>
  <si>
    <t>Number of People access to unimproved water sources</t>
  </si>
  <si>
    <t>% Equitable and continuous access to sufficient quantity of domestic water (borehole+ponds)</t>
  </si>
  <si>
    <t># of Water points coverage</t>
  </si>
  <si>
    <r>
      <t>% of equitable and continuous access to sufficient quantity of safe drinking and domestic water's GAP</t>
    </r>
    <r>
      <rPr>
        <b/>
        <sz val="10"/>
        <color rgb="FFFF0000"/>
        <rFont val="Corbel"/>
        <family val="2"/>
      </rPr>
      <t/>
    </r>
  </si>
  <si>
    <t># Potential required new water points</t>
  </si>
  <si>
    <t>Total required water points</t>
  </si>
  <si>
    <t># potential required new latrines</t>
  </si>
  <si>
    <t>Total required Latrines</t>
  </si>
  <si>
    <t>Hygiene Coverage %</t>
  </si>
  <si>
    <t>%people reached by regular dedicated hygiene promotion/behavior change activities</t>
  </si>
  <si>
    <t>% of HH with access to soap</t>
  </si>
  <si>
    <t>% of HH with access to Sanitary Pad</t>
  </si>
  <si>
    <t>Nb of HH with access to Hand Washing Station</t>
  </si>
  <si>
    <t>Location Type</t>
  </si>
  <si>
    <t>Location Type 1</t>
  </si>
  <si>
    <t>No</t>
  </si>
  <si>
    <t>Functional</t>
  </si>
  <si>
    <t>Household</t>
  </si>
  <si>
    <t>Sin Bo</t>
  </si>
  <si>
    <t>NA</t>
  </si>
  <si>
    <t>KBC</t>
  </si>
  <si>
    <t>Waingmaw</t>
  </si>
  <si>
    <t>Sha-It Yang</t>
  </si>
  <si>
    <t xml:space="preserve">Plan/GFFO,ADRA/CANADA  </t>
  </si>
  <si>
    <t>Both</t>
  </si>
  <si>
    <t>Chipwi</t>
  </si>
  <si>
    <t>Hpare Hkyer - BP6</t>
  </si>
  <si>
    <t>Hpakant</t>
  </si>
  <si>
    <t>Hlaing Naung Baptist</t>
  </si>
  <si>
    <t>ADRA/CANADA</t>
  </si>
  <si>
    <t>Non_Functional</t>
  </si>
  <si>
    <t>Mogaung</t>
  </si>
  <si>
    <t xml:space="preserve">Kyun Taw Baptist Church </t>
  </si>
  <si>
    <t>Mang Hawng Baptist Church</t>
  </si>
  <si>
    <t xml:space="preserve">Nat Gyi Kone Baptist Church </t>
  </si>
  <si>
    <t>Sar Hmaw - KBC</t>
  </si>
  <si>
    <t>Mohnyin</t>
  </si>
  <si>
    <t xml:space="preserve">Nawng Ing (Indawgyi) Baptist Church </t>
  </si>
  <si>
    <t>Myitkyina</t>
  </si>
  <si>
    <t>Du Kahtawng Baptist</t>
  </si>
  <si>
    <t>Jan Mai Kawng Baptist Church</t>
  </si>
  <si>
    <t>Kyun Pin Thar Baptist Church</t>
  </si>
  <si>
    <t>Le Kone Bethlehem Church</t>
  </si>
  <si>
    <t xml:space="preserve">Le Kone Ziun Baptist Church </t>
  </si>
  <si>
    <t>Maliyang Baptist Church</t>
  </si>
  <si>
    <t>Man Hkring Baptist Church</t>
  </si>
  <si>
    <t xml:space="preserve">Njang Dung Baptist Church </t>
  </si>
  <si>
    <t>Shatapru Sut Ngai Tawng</t>
  </si>
  <si>
    <t>Shwe Zet Baptist Church</t>
  </si>
  <si>
    <t>Tat Kone Baptist Church</t>
  </si>
  <si>
    <t>Tat Kone Galile Baptist Church</t>
  </si>
  <si>
    <t>Tat Kone San Pya Baptist Church</t>
  </si>
  <si>
    <t>Puta-O</t>
  </si>
  <si>
    <t>Lung Sut</t>
  </si>
  <si>
    <t>Hkau Shau (BP 12)</t>
  </si>
  <si>
    <t>Mading Baptist Church</t>
  </si>
  <si>
    <t xml:space="preserve">Maga Yang </t>
  </si>
  <si>
    <t>Maina KBC (Bawng Ring)</t>
  </si>
  <si>
    <t>Maina Lawang Baptist Church</t>
  </si>
  <si>
    <t>Pajau - Jan Mai</t>
  </si>
  <si>
    <t>Qtr. 2 Myoma Baptist Church</t>
  </si>
  <si>
    <t>Shing Jai</t>
  </si>
  <si>
    <t>Maing Khaung</t>
  </si>
  <si>
    <t>Sumprabum</t>
  </si>
  <si>
    <t>Ndup Yang</t>
  </si>
  <si>
    <t>Not_inPlace</t>
  </si>
  <si>
    <t>Salang Yang</t>
  </si>
  <si>
    <t xml:space="preserve">Shar Du Zut KBC church </t>
  </si>
  <si>
    <t>Shar Du Zut RC church</t>
  </si>
  <si>
    <t>Muyin church (Aung Yar pre-school compound)</t>
  </si>
  <si>
    <t>Shar Du Zut SanPya</t>
  </si>
  <si>
    <t>Metta</t>
  </si>
  <si>
    <t>Mansi Baptist Church</t>
  </si>
  <si>
    <t>USAID, Christian AID, HIDA</t>
  </si>
  <si>
    <t>Bhamo</t>
  </si>
  <si>
    <t>Aung Thar Church</t>
  </si>
  <si>
    <t>WHH ( BMZ ),USAID</t>
  </si>
  <si>
    <t>Htoi San Church</t>
  </si>
  <si>
    <t>USAID, Christian AID, HIDA, WHH ( AA )</t>
  </si>
  <si>
    <t>Lisu Boarding-House</t>
  </si>
  <si>
    <t>Mu-yin Baptist Church</t>
  </si>
  <si>
    <t>WHH ( BMZ ),USAID, HIDA</t>
  </si>
  <si>
    <t>Nant Hlaing Church</t>
  </si>
  <si>
    <t>Yoe Kyi Monastery</t>
  </si>
  <si>
    <t>Momauk</t>
  </si>
  <si>
    <t>Agritural Compound (KBC)</t>
  </si>
  <si>
    <t>Kachin Su Baptist Church (ECCD)</t>
  </si>
  <si>
    <t>USAID,Christian Aid, HIDA</t>
  </si>
  <si>
    <t>Khar Nan (1) Baptist Church</t>
  </si>
  <si>
    <t>Man Bung Catholic compound</t>
  </si>
  <si>
    <t>Mandalay Monestry</t>
  </si>
  <si>
    <t>WHH ( BMZ ),USAID, Christian AID</t>
  </si>
  <si>
    <t>Momauk Baptist Church</t>
  </si>
  <si>
    <t>Shwegu</t>
  </si>
  <si>
    <t>Shwe Gu Baptist Church</t>
  </si>
  <si>
    <t>Shwe Gu Catholic Church</t>
  </si>
  <si>
    <t xml:space="preserve">Hpun Lum Yang </t>
  </si>
  <si>
    <t>WHH-BMZ,WHH-AA</t>
  </si>
  <si>
    <t>Boys Boarding house, A Len Bum</t>
  </si>
  <si>
    <t>Girl Boarding house, A Len Bum</t>
  </si>
  <si>
    <t xml:space="preserve">Woi Chyai </t>
  </si>
  <si>
    <t>Woi Chyai host families</t>
  </si>
  <si>
    <t>Woi Chyai (Mong Lai)</t>
  </si>
  <si>
    <t>IDP Boarding School, A Len Bum</t>
  </si>
  <si>
    <t>Pan Wa</t>
  </si>
  <si>
    <t>DFID/UNICEF</t>
  </si>
  <si>
    <t>Saw Zam</t>
  </si>
  <si>
    <t xml:space="preserve">DFID / UNICEF </t>
  </si>
  <si>
    <t>Communal</t>
  </si>
  <si>
    <t>5 Ward RC Church(lon Khin)</t>
  </si>
  <si>
    <t>Nant Ma Hpit Catholic Church</t>
  </si>
  <si>
    <t xml:space="preserve">Dum Bung </t>
  </si>
  <si>
    <t>Jan Mai Kawng Catholic Church</t>
  </si>
  <si>
    <t>Nan Kway St. John Catholic Church</t>
  </si>
  <si>
    <t>Pa Dauk Myaing(Pa La Na)</t>
  </si>
  <si>
    <t>Border Post 8</t>
  </si>
  <si>
    <t>Maina Catholic Church (St. Joseph)</t>
  </si>
  <si>
    <t>Post 6 Camp</t>
  </si>
  <si>
    <t xml:space="preserve">St. Patrick Catholic Church </t>
  </si>
  <si>
    <t xml:space="preserve">Ma Hawng RC </t>
  </si>
  <si>
    <t>UNICEF</t>
  </si>
  <si>
    <t>Shalom</t>
  </si>
  <si>
    <t>Lawng Hkang Shait Yang Camp​ ( Lel Pyin)​ </t>
  </si>
  <si>
    <t>OFDA</t>
  </si>
  <si>
    <t>Chipwi KBC camp</t>
  </si>
  <si>
    <t>UNICEF/OFDA</t>
  </si>
  <si>
    <t>Lhaovao Baptist Church (LBC)</t>
  </si>
  <si>
    <t>AG Church, Hmaw Si Sa</t>
  </si>
  <si>
    <t>AG Church, Maw Wan</t>
  </si>
  <si>
    <t>Baptist Church, Hmaw Si Sar(Lon Khin)</t>
  </si>
  <si>
    <t>Chin Church, Seik Mu</t>
  </si>
  <si>
    <t>Dhama Rakhita, Nyein Chan Tar Yar Ward(Lon Khin)</t>
  </si>
  <si>
    <t>Hmaw Wan, Anglican</t>
  </si>
  <si>
    <t>Hpakant Baptist Church, Nam Ma Hpit</t>
  </si>
  <si>
    <t>Lisu Baptist Church, Maw Shan Vil,. Seik Mu</t>
  </si>
  <si>
    <t>Lisu Baptist Church, Maw Wan Ward</t>
  </si>
  <si>
    <t>Maw Wan, Mu-yin Baptist Church</t>
  </si>
  <si>
    <t>Nam Ma Phyit, COC</t>
  </si>
  <si>
    <t>Rawan Baptist Church, Maw Shan Vil., Seik Mu</t>
  </si>
  <si>
    <t>Sai Nai Baptish Church, Maw Shan Vil., Seki Mu</t>
  </si>
  <si>
    <t xml:space="preserve">Ward 2 Sai Taung Baptist Church, Seik Mu </t>
  </si>
  <si>
    <t>Yumar Baptist Church</t>
  </si>
  <si>
    <t>Maw Hpawng Hka Nan Baptist Church</t>
  </si>
  <si>
    <t>Maw Hpawng Lhaovo Baptist Church</t>
  </si>
  <si>
    <t>Shatapru Thida Aye Baptist Church</t>
  </si>
  <si>
    <t>Tat Kone COC Baptist - Tat Kone Htoi San</t>
  </si>
  <si>
    <t>Tat Kone Emanuel Church</t>
  </si>
  <si>
    <t xml:space="preserve">Hkat Cho </t>
  </si>
  <si>
    <t>Maina AG Church</t>
  </si>
  <si>
    <t>Nawng Hee Village</t>
  </si>
  <si>
    <t>Qtr. 2 Lhaovo Baptist Church</t>
  </si>
  <si>
    <t>Qtr. 3 Mu-yin  Baptist Church</t>
  </si>
  <si>
    <t>Qtr. 4 Monestry (Thargaya Thayett Taw)</t>
  </si>
  <si>
    <t>Thargaya Lisu Baptist Church</t>
  </si>
  <si>
    <t>Waingmaw AG Church</t>
  </si>
  <si>
    <t>SI</t>
  </si>
  <si>
    <t>AD-2000 Tharthana Compound</t>
  </si>
  <si>
    <t>ECHO/OFDA</t>
  </si>
  <si>
    <t>Phan Khar Kone</t>
  </si>
  <si>
    <t>Robert Church</t>
  </si>
  <si>
    <t>Loi Je Baptist Church</t>
  </si>
  <si>
    <t>Loi Je Catholic Church</t>
  </si>
  <si>
    <t>Loi Je Lisu Camp</t>
  </si>
  <si>
    <t xml:space="preserve">Nyaung Na Pin </t>
  </si>
  <si>
    <t>ECHO,OFDA</t>
  </si>
  <si>
    <t xml:space="preserve">Seng Ja </t>
  </si>
  <si>
    <t>Man Bung Edin Baptist Church</t>
  </si>
  <si>
    <t>Lwegel High School</t>
  </si>
  <si>
    <t>Laiza Je Yang School</t>
  </si>
  <si>
    <t xml:space="preserve">Je Yang Hka </t>
  </si>
  <si>
    <t>WPN</t>
  </si>
  <si>
    <t>ECHO</t>
  </si>
  <si>
    <t>Unknown</t>
  </si>
  <si>
    <t>Lana Zup Ja</t>
  </si>
  <si>
    <t xml:space="preserve">Nhkawng Pa </t>
  </si>
  <si>
    <t xml:space="preserve">Pa Kahtawng </t>
  </si>
  <si>
    <t>SCI</t>
  </si>
  <si>
    <t>Man Wing Baptist Church</t>
  </si>
  <si>
    <t>MHF</t>
  </si>
  <si>
    <t>Man Wing Baptist Church Cultural Compound</t>
  </si>
  <si>
    <t>Man Wing Catholic Church</t>
  </si>
  <si>
    <t>Man Wing Catholic Church II</t>
  </si>
  <si>
    <t>MA_UK</t>
  </si>
  <si>
    <t>Rakhine</t>
  </si>
  <si>
    <t>Sittwe</t>
  </si>
  <si>
    <t>MAA</t>
  </si>
  <si>
    <t>DFID</t>
  </si>
  <si>
    <t>Dar Paing Village</t>
  </si>
  <si>
    <t>None</t>
  </si>
  <si>
    <t>Kyauktaw</t>
  </si>
  <si>
    <t>CARE</t>
  </si>
  <si>
    <t>Maungdaw</t>
  </si>
  <si>
    <t>Alay Mushee</t>
  </si>
  <si>
    <t>EU</t>
  </si>
  <si>
    <t>Malteser</t>
  </si>
  <si>
    <t>Aung Thay Pyay (NaTaLa)</t>
  </si>
  <si>
    <t>AA</t>
  </si>
  <si>
    <t>Minbya</t>
  </si>
  <si>
    <t>ACF</t>
  </si>
  <si>
    <t>DPA</t>
  </si>
  <si>
    <t>Europaid</t>
  </si>
  <si>
    <t>Fatar</t>
  </si>
  <si>
    <t>CDN</t>
  </si>
  <si>
    <t>Buthidaung</t>
  </si>
  <si>
    <t>ZOA</t>
  </si>
  <si>
    <t>Ma Gyi Koung</t>
  </si>
  <si>
    <t>Ann</t>
  </si>
  <si>
    <t>BMZ</t>
  </si>
  <si>
    <t>Nant Yar Gaing (Nant Yar Gaing)</t>
  </si>
  <si>
    <t>Nat Chaung (Garapyin)</t>
  </si>
  <si>
    <t>GIZ</t>
  </si>
  <si>
    <t>Phas Kawri</t>
  </si>
  <si>
    <t>Rathedaung</t>
  </si>
  <si>
    <t>LIFT</t>
  </si>
  <si>
    <t>Rakhine Ywa</t>
  </si>
  <si>
    <t>Raza Bil</t>
  </si>
  <si>
    <t>Shwe Yin Aye</t>
  </si>
  <si>
    <t>Thit Taw Ywa</t>
  </si>
  <si>
    <t>Thit Tone Na Gwa Sone (Ywa Ma)</t>
  </si>
  <si>
    <t>Wa Khote Chaung</t>
  </si>
  <si>
    <t>Wai Thar Le</t>
  </si>
  <si>
    <t>Ywa Ma</t>
  </si>
  <si>
    <t>Ywa Thar Yar</t>
  </si>
  <si>
    <t>Ramree</t>
  </si>
  <si>
    <t>Ramree Town</t>
  </si>
  <si>
    <t>Kyaukpyu</t>
  </si>
  <si>
    <t>Yae Myet</t>
  </si>
  <si>
    <t>Kyauk Ka Lay</t>
  </si>
  <si>
    <t>Baw Ya Par</t>
  </si>
  <si>
    <t>Rakhine Min Pyin</t>
  </si>
  <si>
    <t>Chin Ywar Min Pyin</t>
  </si>
  <si>
    <t>Wa Hmyaung</t>
  </si>
  <si>
    <t>Pyu Chaing</t>
  </si>
  <si>
    <t>War Net Chun</t>
  </si>
  <si>
    <t>Oxfam</t>
  </si>
  <si>
    <t>Ka Nyin Taw</t>
  </si>
  <si>
    <t>MHDO</t>
  </si>
  <si>
    <t>RI</t>
  </si>
  <si>
    <t>Myebon</t>
  </si>
  <si>
    <t>Taung Paw</t>
  </si>
  <si>
    <t>Kan Thar Htwat Wa</t>
  </si>
  <si>
    <t>Pauktaw</t>
  </si>
  <si>
    <t>Sin Tet Maw Rakhine(Baw Da Li)</t>
  </si>
  <si>
    <t>Sin Tet Maw (Host)</t>
  </si>
  <si>
    <t>Sin Tet Maw</t>
  </si>
  <si>
    <t>Nget Chaung 1</t>
  </si>
  <si>
    <t>Nget Chaung 2</t>
  </si>
  <si>
    <t>Sin Aing</t>
  </si>
  <si>
    <t>DRC</t>
  </si>
  <si>
    <t>Kyein Ni Pyin</t>
  </si>
  <si>
    <t>Bar Sa Yar Host</t>
  </si>
  <si>
    <t>Set Yone Su 1</t>
  </si>
  <si>
    <t>Sat Roe Kya 1</t>
  </si>
  <si>
    <t>Set Yone Su 3</t>
  </si>
  <si>
    <t>Dar Pai</t>
  </si>
  <si>
    <t>Say Tha Mar Nge</t>
  </si>
  <si>
    <t>Ohn Taw Gyi</t>
  </si>
  <si>
    <t>Zaw Pu Gyar</t>
  </si>
  <si>
    <t>Say Tha Mar Gyi</t>
  </si>
  <si>
    <t>Ohn Taw Chay</t>
  </si>
  <si>
    <t>Nga/ Pun Ywar Shey</t>
  </si>
  <si>
    <t>Daung Pyauk Kay</t>
  </si>
  <si>
    <t>Nga/ Pun Ywar Gyi</t>
  </si>
  <si>
    <t>Me la zi Kone</t>
  </si>
  <si>
    <t>Ah Lar Than</t>
  </si>
  <si>
    <t xml:space="preserve">Aung Daing </t>
  </si>
  <si>
    <t>Kyet Taw Pyin</t>
  </si>
  <si>
    <t>Ponnagyun</t>
  </si>
  <si>
    <t>Tan Khoe</t>
  </si>
  <si>
    <t>Tan Zwei</t>
  </si>
  <si>
    <t>Thar Si</t>
  </si>
  <si>
    <t>Irish Aid</t>
  </si>
  <si>
    <t>Ah Nauk Pyin</t>
  </si>
  <si>
    <t>Chein Khar Li</t>
  </si>
  <si>
    <t>Yoe Ngu</t>
  </si>
  <si>
    <t>Koe Tan Kauk</t>
  </si>
  <si>
    <t>Mrauk-U</t>
  </si>
  <si>
    <t>Nyaung Pin Hla</t>
  </si>
  <si>
    <t>Myet Tauk</t>
  </si>
  <si>
    <t xml:space="preserve">U Htoe Dan </t>
  </si>
  <si>
    <t>Tauk Sone</t>
  </si>
  <si>
    <t>Navy Seik</t>
  </si>
  <si>
    <t>Pann Phaw Pyin</t>
  </si>
  <si>
    <t>Sin Oe</t>
  </si>
  <si>
    <t>Kyauk Pan Du (NTL)</t>
  </si>
  <si>
    <t>Pauk Pin Yin</t>
  </si>
  <si>
    <t>Be Lar Mi</t>
  </si>
  <si>
    <t>Ah Du</t>
  </si>
  <si>
    <t>Than Du</t>
  </si>
  <si>
    <t>Ni Lin Paw</t>
  </si>
  <si>
    <t>Yin Chaung</t>
  </si>
  <si>
    <t>Ah Htet Nan Yar</t>
  </si>
  <si>
    <t>Chut Pyin</t>
  </si>
  <si>
    <t>Chin Ywa(Pyaing Taung)</t>
  </si>
  <si>
    <t>Maw Htet</t>
  </si>
  <si>
    <t>Pyin Chay</t>
  </si>
  <si>
    <t>Pyin Hlyar Shey</t>
  </si>
  <si>
    <t>Maw</t>
  </si>
  <si>
    <t>Kyaung Taung</t>
  </si>
  <si>
    <t>Ngwe Taung</t>
  </si>
  <si>
    <t>Pyaing Taung</t>
  </si>
  <si>
    <t>Taung Chaung</t>
  </si>
  <si>
    <t>Taung Maw</t>
  </si>
  <si>
    <t>Thein Taung pyin (Dine Net)</t>
  </si>
  <si>
    <t>Hla Tha Ma</t>
  </si>
  <si>
    <t>Thein Taung pyin (Muslim)</t>
  </si>
  <si>
    <t>Langui</t>
  </si>
  <si>
    <t>Kyauk Pyin Seik</t>
  </si>
  <si>
    <t>Say Tha Ma</t>
  </si>
  <si>
    <t>Gan Gaw Myaing ( Na Ta La )</t>
  </si>
  <si>
    <t>Aung Pa</t>
  </si>
  <si>
    <t>Kar Di (Kywe Cho Maw)</t>
  </si>
  <si>
    <t>Thaing Ta Poke</t>
  </si>
  <si>
    <t>Nyaung Chaung</t>
  </si>
  <si>
    <t>Phyar Pyin</t>
  </si>
  <si>
    <t>Gwa Sone Muslim</t>
  </si>
  <si>
    <t>Gwa Sone Rakhine</t>
  </si>
  <si>
    <t>Doke Kan Chaung</t>
  </si>
  <si>
    <t>Tha Pyay Seik</t>
  </si>
  <si>
    <t>Goke Pi Htaunt</t>
  </si>
  <si>
    <t>Hin Thar Ra</t>
  </si>
  <si>
    <t>Saw Kina Ma</t>
  </si>
  <si>
    <t>Zaw Ma Tat</t>
  </si>
  <si>
    <t>Lam Bar Gone Nah</t>
  </si>
  <si>
    <t>Din Gar</t>
  </si>
  <si>
    <t>Ah Pauk Wa</t>
  </si>
  <si>
    <t>Gaung Gyi</t>
  </si>
  <si>
    <t>Maw Staw Bis</t>
  </si>
  <si>
    <t>Ywar Thit Kay</t>
  </si>
  <si>
    <t>Wet Ma Kya</t>
  </si>
  <si>
    <t>Say Taung</t>
  </si>
  <si>
    <t>Yun Nyar</t>
  </si>
  <si>
    <t>Zedi Taung (Muslim)</t>
  </si>
  <si>
    <t>Thein Tan (Rakhine)</t>
  </si>
  <si>
    <t>Thein Tan (Muslim)</t>
  </si>
  <si>
    <t>Kan Pyin</t>
  </si>
  <si>
    <t xml:space="preserve">Baw Li </t>
  </si>
  <si>
    <t>Kyauk Sar Dine</t>
  </si>
  <si>
    <t>Gudar Pyin</t>
  </si>
  <si>
    <t>Nwar Yone Taung</t>
  </si>
  <si>
    <t>Tha Yet Taung</t>
  </si>
  <si>
    <t>San Go Taung</t>
  </si>
  <si>
    <t>Shat Shar Taung</t>
  </si>
  <si>
    <t>Kyauk Yan (Rakhine)</t>
  </si>
  <si>
    <t>U Yin Thar</t>
  </si>
  <si>
    <t>Godzilla (Hteik Tu Pauk Myauk)</t>
  </si>
  <si>
    <t>Tat Oo Anauk</t>
  </si>
  <si>
    <t>Shwe Hlaing</t>
  </si>
  <si>
    <t>Nur Ru Lar</t>
  </si>
  <si>
    <t>Shwe Hlaing Rakhine</t>
  </si>
  <si>
    <t>Mardilla</t>
  </si>
  <si>
    <t>Taung Ywa</t>
  </si>
  <si>
    <t>Phwe Ra</t>
  </si>
  <si>
    <t>Taungchay Ywa Muslim</t>
  </si>
  <si>
    <t>Chaung Pauk</t>
  </si>
  <si>
    <t>Myauk Ywa</t>
  </si>
  <si>
    <t>Kan Tha Ya</t>
  </si>
  <si>
    <t>Kyar Nyo Pyin (Rakhine)
+ Pyar Yae</t>
  </si>
  <si>
    <t>Hla Nyo Kan</t>
  </si>
  <si>
    <t>Let Saung Kauk</t>
  </si>
  <si>
    <t>Kyar Nyo Pyin (Muslim)</t>
  </si>
  <si>
    <t>Taung Pauk</t>
  </si>
  <si>
    <t>Let Thar Ywa</t>
  </si>
  <si>
    <t>Kin Taung (Taung + Myauk)</t>
  </si>
  <si>
    <t>Kan Pyi Tha Zi</t>
  </si>
  <si>
    <t xml:space="preserve">Kan Kyar Taung </t>
  </si>
  <si>
    <t>Ah Lel Ywa</t>
  </si>
  <si>
    <t>Kan Kyar Myauk</t>
  </si>
  <si>
    <t>Myaung Nar</t>
  </si>
  <si>
    <t>Ywa Gyi (Tha Yet Kin Ma Nu)</t>
  </si>
  <si>
    <t>Ka Doe Seik</t>
  </si>
  <si>
    <t>Play Taung Ywa Gyi North</t>
  </si>
  <si>
    <t>Khaung Htoke</t>
  </si>
  <si>
    <t>Nan Yah Gone Ahtet</t>
  </si>
  <si>
    <t>Doe Tan</t>
  </si>
  <si>
    <t>Kyauk Yit Muslim</t>
  </si>
  <si>
    <t>Kyauk Yit RK</t>
  </si>
  <si>
    <t>Palay Taung Ywa Thit</t>
  </si>
  <si>
    <t>Let Wea Det</t>
  </si>
  <si>
    <t>Si Tar (Pa Zun Chaung)</t>
  </si>
  <si>
    <t>Kha Yu Chaung (Muslim)</t>
  </si>
  <si>
    <t>Laung Chaung (Daing Net)</t>
  </si>
  <si>
    <t>Ba Da Nar</t>
  </si>
  <si>
    <t>Inn Chaung (Muslim)</t>
  </si>
  <si>
    <t>Inn Chaung (Daing Net)</t>
  </si>
  <si>
    <t>Zay Teit Taung</t>
  </si>
  <si>
    <t>Chin Pyin</t>
  </si>
  <si>
    <t>San Pai Pin Yin</t>
  </si>
  <si>
    <t>Khat Pa Kaung</t>
  </si>
  <si>
    <t>Lu Fan Pyin</t>
  </si>
  <si>
    <t>Kywe Ta Ma</t>
  </si>
  <si>
    <t>Hindu</t>
  </si>
  <si>
    <t>Koun Tan</t>
  </si>
  <si>
    <t>Yai Mya</t>
  </si>
  <si>
    <t>Shan (North)</t>
  </si>
  <si>
    <t>Namhkan</t>
  </si>
  <si>
    <t>Nam Hkam Catholic Church ( St. Thomas I)</t>
  </si>
  <si>
    <t>ECHO,HARP</t>
  </si>
  <si>
    <t>Kutkai</t>
  </si>
  <si>
    <t>Kutkai downtown (RC Church)</t>
  </si>
  <si>
    <t>HARP</t>
  </si>
  <si>
    <t>Manton</t>
  </si>
  <si>
    <t>Mandung - RC</t>
  </si>
  <si>
    <t>Mungji Pa Dabang (Catholic Church)</t>
  </si>
  <si>
    <t>Muse</t>
  </si>
  <si>
    <t>Muse Catholic Church</t>
  </si>
  <si>
    <t>Nam Hkam - Nay Win Ni (Palawng)</t>
  </si>
  <si>
    <t>Mungji Pa Dabang (Baptist Church)</t>
  </si>
  <si>
    <t>WHH</t>
  </si>
  <si>
    <t>Nam Hkawng</t>
  </si>
  <si>
    <t xml:space="preserve">Nam Hpak Ka Mare </t>
  </si>
  <si>
    <t>WHH(BMZ,AA)</t>
  </si>
  <si>
    <t>WHH(BMZ, AA)</t>
  </si>
  <si>
    <t>Hseni</t>
  </si>
  <si>
    <t>Nam Sa Larp</t>
  </si>
  <si>
    <t>Namtu</t>
  </si>
  <si>
    <t>Pan Ta Pyae</t>
  </si>
  <si>
    <t>Zup Aung Camp</t>
  </si>
  <si>
    <t>Other</t>
  </si>
  <si>
    <t>Kone Khem Camp</t>
  </si>
  <si>
    <t>Kutkai downtown (KBC Church)</t>
  </si>
  <si>
    <t xml:space="preserve">New Pang Ku </t>
  </si>
  <si>
    <t>Kyu Sot</t>
  </si>
  <si>
    <t>Lisu Church Namtu</t>
  </si>
  <si>
    <t xml:space="preserve">Mung Hawm </t>
  </si>
  <si>
    <t>Kutkai downtown (KBC Church-2)</t>
  </si>
  <si>
    <t>Nam Tu Baptist</t>
  </si>
  <si>
    <t>Mandung - Jinghpaw</t>
  </si>
  <si>
    <t>Mine Yu Lay village</t>
  </si>
  <si>
    <t>Muse Baptist Church</t>
  </si>
  <si>
    <t>Nam Hkam (KBC Jaw Wang) II</t>
  </si>
  <si>
    <t>WHH(BMZ, AA),ECHO</t>
  </si>
  <si>
    <t>Namhkan - Pang Long KBC</t>
  </si>
  <si>
    <t>Man Loi</t>
  </si>
  <si>
    <t>Hpai Kawng</t>
  </si>
  <si>
    <t>Hsipaw</t>
  </si>
  <si>
    <t>Man Kaung/Naung Ti Kyar Village</t>
  </si>
  <si>
    <t>Narte</t>
  </si>
  <si>
    <t>Hpai Kawng Mare</t>
  </si>
  <si>
    <t>Man Sa</t>
  </si>
  <si>
    <t>Pan Law</t>
  </si>
  <si>
    <t>Nam Hkam (KBC Jaw Wang)</t>
  </si>
  <si>
    <t>Tsan Lun - Namjarap</t>
  </si>
  <si>
    <t>Kutkhai KBC-2 (Block-6)</t>
  </si>
  <si>
    <t>Jwan Jaw KBC</t>
  </si>
  <si>
    <t>Type of Accommodation</t>
  </si>
  <si>
    <t>HRP categories</t>
  </si>
  <si>
    <t>Current 4 W reported list</t>
  </si>
  <si>
    <t>Updated Date</t>
  </si>
  <si>
    <t>Site Name_(Old)</t>
  </si>
  <si>
    <t>Aung Mingalar_(Swan Saw ward)</t>
  </si>
  <si>
    <t>Closed Camp</t>
  </si>
  <si>
    <t>IDPs in collective centers or self-settled - pre existing</t>
  </si>
  <si>
    <t>Q1_2017</t>
  </si>
  <si>
    <t>B.E.H.S 2 (Ho Mun ward)</t>
  </si>
  <si>
    <t>B.E.H.S 4 (Ho Mun ward)</t>
  </si>
  <si>
    <t>Ban Hkung (School)</t>
  </si>
  <si>
    <t>Ban Hkung Yang</t>
  </si>
  <si>
    <t>Ban Hkung Yang (Boarding School)</t>
  </si>
  <si>
    <t>Daw Hpum Yang Ninghtawn</t>
  </si>
  <si>
    <t>Gant Gwin</t>
  </si>
  <si>
    <t>KBC (Ho Mun Ward)</t>
  </si>
  <si>
    <t>Lawk Awng Mare D. (Sinbo Area)</t>
  </si>
  <si>
    <t>IDPs in host families</t>
  </si>
  <si>
    <t>Lawk Hkawng Ginwang</t>
  </si>
  <si>
    <t>Injangyang</t>
  </si>
  <si>
    <t>Camp like setting</t>
  </si>
  <si>
    <t>Nam Hka Mare (west of Man Wing)</t>
  </si>
  <si>
    <t>NGCA</t>
  </si>
  <si>
    <t xml:space="preserve">Nam Hkam Malut Jak </t>
  </si>
  <si>
    <t>Q4_2016</t>
  </si>
  <si>
    <t>Nam Lim Pa    (Boarding School)</t>
  </si>
  <si>
    <t>Namt Hkun monastery</t>
  </si>
  <si>
    <t>Namtu KBC 1</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</si>
  <si>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</si>
  <si>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Namtu KBC 2</t>
  </si>
  <si>
    <t>combined with KBC 1</t>
  </si>
  <si>
    <t>Namtu RC</t>
  </si>
  <si>
    <t>all IDPs returned home; open status in July 31 CCCM camp list</t>
  </si>
  <si>
    <t>Si Hkan Gyi</t>
  </si>
  <si>
    <t>St. Peter Church (Ho Mun ward)</t>
  </si>
  <si>
    <t>Thu Kha Waddy</t>
  </si>
  <si>
    <t xml:space="preserve">Wein Sai Church </t>
  </si>
  <si>
    <t>UNHCR</t>
  </si>
  <si>
    <t>Ward 6</t>
  </si>
  <si>
    <t>Nga/Oke</t>
  </si>
  <si>
    <t xml:space="preserve">Kyauk Ta Lone </t>
  </si>
  <si>
    <t>Q2_2017</t>
  </si>
  <si>
    <t>Q3_2016</t>
  </si>
  <si>
    <t>Chin</t>
  </si>
  <si>
    <t>Nga Shwe Pyin</t>
  </si>
  <si>
    <t>Ah Ngu Ywar Haung</t>
  </si>
  <si>
    <t>Ah Ngu Ywar Thit</t>
  </si>
  <si>
    <t>Ohn Taw</t>
  </si>
  <si>
    <t>Aung Le Byin</t>
  </si>
  <si>
    <t>Pyin Taw Che</t>
  </si>
  <si>
    <t>Relocated</t>
  </si>
  <si>
    <t>Taung Pyin</t>
  </si>
  <si>
    <t xml:space="preserve">Pyar Tha Kywe </t>
  </si>
  <si>
    <t>Gaung Hpyu</t>
  </si>
  <si>
    <t>Yet Chaung</t>
  </si>
  <si>
    <t>Dagon</t>
  </si>
  <si>
    <t>A Nauk Ywe</t>
  </si>
  <si>
    <t>Wet Gaung</t>
  </si>
  <si>
    <t>Pa Lin Pyin (Muslim)</t>
  </si>
  <si>
    <t>Basara</t>
  </si>
  <si>
    <t>Pa Lin Pyin (Rakhine, Fisher)</t>
  </si>
  <si>
    <t>Pa Lin Pyin (Rakhine, Main)</t>
  </si>
  <si>
    <t>Pyar Lay Chaung (New)</t>
  </si>
  <si>
    <t>Pyar Lay Chaung (Old)</t>
  </si>
  <si>
    <t>Ohn Yee Paw</t>
  </si>
  <si>
    <t>Kyauk Nga Nwar</t>
  </si>
  <si>
    <t xml:space="preserve">Thea Chaung </t>
  </si>
  <si>
    <t>Ba Wunn Chaung Wa Su</t>
  </si>
  <si>
    <t>Thet Kel Pyin</t>
  </si>
  <si>
    <t>Hmansi ( from Kaung Doke Khar)</t>
  </si>
  <si>
    <t>Baw Du Pha</t>
  </si>
  <si>
    <t>Kaung Doke Khar (excl. Hmanzi)</t>
  </si>
  <si>
    <t>Ohn Taw Gyi South</t>
  </si>
  <si>
    <t>Maw Ti Ngar (TKP west)</t>
  </si>
  <si>
    <t>Ohn Taw Gyi North</t>
  </si>
  <si>
    <t>Phwe Yar Gone</t>
  </si>
  <si>
    <t>village</t>
  </si>
  <si>
    <t>Sa Par Htar</t>
  </si>
  <si>
    <t>Nat Seik</t>
  </si>
  <si>
    <t>Met Ka Lar Kya</t>
  </si>
  <si>
    <t>Nyaung Pin Gyi</t>
  </si>
  <si>
    <t>Kyauk Seik</t>
  </si>
  <si>
    <t>Shwe Laung Tin</t>
  </si>
  <si>
    <t>Da Pae</t>
  </si>
  <si>
    <t>Kyun Paw (Pauk Taw)</t>
  </si>
  <si>
    <t>Auk Nan Yar</t>
  </si>
  <si>
    <t>Padauk Myaing</t>
  </si>
  <si>
    <t>Pu Yain Kone</t>
  </si>
  <si>
    <t>Doe Wai Chaung</t>
  </si>
  <si>
    <t>Sa Hpo Gyun</t>
  </si>
  <si>
    <t>Kardi</t>
  </si>
  <si>
    <t>Kyawe Lan Chaung</t>
  </si>
  <si>
    <t>Pet Kwet Seik</t>
  </si>
  <si>
    <t>Lan Paik Khwin</t>
  </si>
  <si>
    <t>Zan Kha Ma</t>
  </si>
  <si>
    <t>Prine Taung</t>
  </si>
  <si>
    <t>Zumar Ywa</t>
  </si>
  <si>
    <t>Q3_2017</t>
  </si>
  <si>
    <t>Im Bar Yi</t>
  </si>
  <si>
    <t>Kaing Gyi</t>
  </si>
  <si>
    <t>U Saung Tan (lower)</t>
  </si>
  <si>
    <t>Kha Yai Myaing</t>
  </si>
  <si>
    <t>Ashit Ywa</t>
  </si>
  <si>
    <t>A Nauk Ywa</t>
  </si>
  <si>
    <t>Ywa Gyi</t>
  </si>
  <si>
    <t>Middle</t>
  </si>
  <si>
    <t xml:space="preserve">M </t>
  </si>
  <si>
    <t>Taung Pine Nyar</t>
  </si>
  <si>
    <t>Ywa Haung</t>
  </si>
  <si>
    <t>Ni Din</t>
  </si>
  <si>
    <t>Play Taung South</t>
  </si>
  <si>
    <t>Kyet Mauk Taung Myuak</t>
  </si>
  <si>
    <t>Than Chay  RK</t>
  </si>
  <si>
    <t>Ah Lel Kyun</t>
  </si>
  <si>
    <t>Ah Lel</t>
  </si>
  <si>
    <t>Taung Bwe</t>
  </si>
  <si>
    <t>Tha Pon</t>
  </si>
  <si>
    <t>Ba Gone Nar</t>
  </si>
  <si>
    <t>Thar Yar Koung</t>
  </si>
  <si>
    <t>Thet Kaing Ngyar (Thet Kaing Ngyar)</t>
  </si>
  <si>
    <t>Thet Kaing Ngyar (Thet Ywa)</t>
  </si>
  <si>
    <t>NSS WASH cluster comment: camp closed by end of Mar'17. open status in July 31 CCCM camp list</t>
  </si>
  <si>
    <t>Man Kaung village</t>
  </si>
  <si>
    <t>NSS WASH Cluster comments:Metta distributed hygiene kit in Apr'17 but no assessment done for other WASH needs. Water supply and latrines shared with host families. Metta could cover latrine construction if needed.</t>
  </si>
  <si>
    <t>Nam Tu RC</t>
  </si>
  <si>
    <t xml:space="preserve">Shwe Myint Thar Monastery </t>
  </si>
  <si>
    <t>2/June/2017: Changed camp status as "Closed" according to UNHCR_Lashio information. IDPs are moved to Kyu Sot camp</t>
  </si>
  <si>
    <t>Village Type Camp</t>
  </si>
  <si>
    <t xml:space="preserve">Mungji Pa Dabang (Baptist Church)         </t>
  </si>
  <si>
    <t>27/Apr/2017: Changed camp status as "Closed", Data source: KBC.</t>
  </si>
  <si>
    <t>6/April/2017: New Added camp. Data source: UNOCHA, Partners and CCCM.</t>
  </si>
  <si>
    <t xml:space="preserve">Mungji Pa Dabang (RC Church)         </t>
  </si>
  <si>
    <t>NSS WASH Cluster comments:land space very limited for infra; IDPs stay with and share WASH facilities from host families.</t>
  </si>
  <si>
    <t>Mong Wee Ta'ang</t>
  </si>
  <si>
    <t>Nam Lim Pa</t>
  </si>
  <si>
    <t>Nam Lim Pa - Scattered IDPs in forest</t>
  </si>
  <si>
    <t>Man Wing Host Families</t>
  </si>
  <si>
    <t>Clutural Compound</t>
  </si>
  <si>
    <t>MWG -RC2</t>
  </si>
  <si>
    <t>Bang Lung</t>
  </si>
  <si>
    <t>Jaw 2</t>
  </si>
  <si>
    <t>NSS WASH Cluster comments: Metta distributed hygiene kit in Apr'17 but no assessment done for other WASH needs.</t>
  </si>
  <si>
    <t xml:space="preserve">Lagatyan </t>
  </si>
  <si>
    <t>Lung Kawk  ( Hka Hkye Zup)</t>
  </si>
  <si>
    <t>Howa</t>
  </si>
  <si>
    <t>Nam Hkyet</t>
  </si>
  <si>
    <t>Maing Khaung KBC 2</t>
  </si>
  <si>
    <t>SI did emergency response</t>
  </si>
  <si>
    <t>Bum Tsit Pa * (2)</t>
  </si>
  <si>
    <t>Muse KBC Church</t>
  </si>
  <si>
    <t>Muse RC Church</t>
  </si>
  <si>
    <t xml:space="preserve">Mung Baw </t>
  </si>
  <si>
    <t>Munekoe Pa (Giwang) - Hka San (Mung  Go  Pa )</t>
  </si>
  <si>
    <t xml:space="preserve">Munekoe Pa (Giwang) - Hka San (Mung  Go  Pa ) </t>
  </si>
  <si>
    <t>Updated Date 11/7/17:Not known</t>
  </si>
  <si>
    <t>Mansi Host Families</t>
  </si>
  <si>
    <t>Man Kawng Baptist Church</t>
  </si>
  <si>
    <t>Camp close in CCCM list but WASH agencies presence</t>
  </si>
  <si>
    <t>Man Kawng Catholic Church</t>
  </si>
  <si>
    <t>Mung Ding Pa  (Boarder)</t>
  </si>
  <si>
    <t>Shwegu_Host Families</t>
  </si>
  <si>
    <t>Updated Date 11/7/17:Not known; Changed to Closed status in July 31 camp list,WC does not include in Q3 2017 report</t>
  </si>
  <si>
    <t>Momauk_Host Families</t>
  </si>
  <si>
    <t>Momauk Host Families</t>
  </si>
  <si>
    <t>Momauk Catholic Church (St. Patrick)</t>
  </si>
  <si>
    <t>Ni Thaw Ka Monestry</t>
  </si>
  <si>
    <t>Kannar Yeik Thar</t>
  </si>
  <si>
    <t>Bhamo_Host Families</t>
  </si>
  <si>
    <t>Updated Date 11/7/17:Not known and did not identify among WASH partners</t>
  </si>
  <si>
    <t>Ta Gun Taing Monastery (Shwe Kyi Na)</t>
  </si>
  <si>
    <t>Khun Sint Village</t>
  </si>
  <si>
    <t>Updated date 11/7/2017: Not known</t>
  </si>
  <si>
    <t xml:space="preserve">Myo Thit </t>
  </si>
  <si>
    <t>Updated Date 11/7/2017 : not known</t>
  </si>
  <si>
    <t xml:space="preserve">Man Nawng </t>
  </si>
  <si>
    <t>Updated Date 11/7/2017 : not known;Changed to Closed status in July 31 camp list,WC does not include in Q3 2017 report</t>
  </si>
  <si>
    <t xml:space="preserve">Mai Khat </t>
  </si>
  <si>
    <t>Updated Date 11/7/2017 : not known;Changed to Closed status in July 31 camp list, WC does not include in Q3 2017 report</t>
  </si>
  <si>
    <t xml:space="preserve">Tarli </t>
  </si>
  <si>
    <t>Dawthponeyan Boarding School</t>
  </si>
  <si>
    <t>Updated date 11/7/2017: already moved to other place;Changed to Closed status in July 31 camp list</t>
  </si>
  <si>
    <t xml:space="preserve">Phar Kay/Nant Waing </t>
  </si>
  <si>
    <t>Updated Date 11/7/2017 : not known;Changed to Closed status in July 31 camp list;Changed to Closed status in July 31 camp list,WC does not include in Q3 2017 report</t>
  </si>
  <si>
    <t>Laiza Market 3 - Laiza Gat</t>
  </si>
  <si>
    <t>Laiza Market 3 / Laiza Gat</t>
  </si>
  <si>
    <t>Boarding School</t>
  </si>
  <si>
    <t>Man Ting</t>
  </si>
  <si>
    <t>Updated Date 11/7/2017 : not known; Changed to Closed status in July 31 camp list,WC does not include in Q3 2017 report,WC does not include in Q3 2017 report</t>
  </si>
  <si>
    <t>Moenyin Host Families</t>
  </si>
  <si>
    <t>Updated date 11/7/2017: IDP families live in host community</t>
  </si>
  <si>
    <t>Village Type camp</t>
  </si>
  <si>
    <t>Pajau / Jan Mai</t>
  </si>
  <si>
    <t>Hopin Host Families</t>
  </si>
  <si>
    <t>Nant Mun</t>
  </si>
  <si>
    <t>Nawng Ing (Indawgyi) Baptist Church</t>
  </si>
  <si>
    <t>Zai Awng - Mung Ga Zup</t>
  </si>
  <si>
    <t>Zai Awng / Mung Ga Zup</t>
  </si>
  <si>
    <t>Laiza Muklum Hpyen  Yen Mungshawa ni</t>
  </si>
  <si>
    <t>Sar Hmaw - ICM</t>
  </si>
  <si>
    <t>intervention finished;Changed to Closed status in July 31 camp list</t>
  </si>
  <si>
    <t>Sar Maw-ICM</t>
  </si>
  <si>
    <t>Hka Shi</t>
  </si>
  <si>
    <t>2/June/2017: New added camp. Data source: WASH cluster, WV (World Vision). SI did emergency response</t>
  </si>
  <si>
    <t>Waingmaw Baptist Zonal Office</t>
  </si>
  <si>
    <t>intervention finished</t>
  </si>
  <si>
    <t>Wun Tho Buddhist Monastery</t>
  </si>
  <si>
    <t>Changed to Closed status in July 31 camp list</t>
  </si>
  <si>
    <t>Myay Myint Baptist Church</t>
  </si>
  <si>
    <t>Sadung</t>
  </si>
  <si>
    <t>Du Kahtawng Qtr. 14, 4 and 5 is combined into Du Kahtawng Baptist in 31st CCCM camp list</t>
  </si>
  <si>
    <t>Du Kahtawng Qtr. 4</t>
  </si>
  <si>
    <t>Du Kahtawng Qtr. 5</t>
  </si>
  <si>
    <t>Du Kahtawng Qtr. 14</t>
  </si>
  <si>
    <t>Tat Kone COC Baptist / Tat Kone Htoi San</t>
  </si>
  <si>
    <t>Ward 2 Cahotlic Church, Seik Mu</t>
  </si>
  <si>
    <t xml:space="preserve">Pan Wa (Saw Zam) camp </t>
  </si>
  <si>
    <t>5 Ward Baptist Church(lon Khin)</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</si>
  <si>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</si>
  <si>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Muring Baptist Church, Awng Ra, Wa Ra Zut VT</t>
  </si>
  <si>
    <t>Baptist Church, Sai Ra village</t>
  </si>
  <si>
    <t xml:space="preserve">Lan Jaw </t>
  </si>
  <si>
    <t>Updated date 11/7/1017:Not known and did not identify among WASH partners; Changed to Closed status in July 31 camp list,WC does not include in Q3 2017 report</t>
  </si>
  <si>
    <t>Baptist Church, Naung Hmee VT</t>
  </si>
  <si>
    <t>Ku Day Maw KBC</t>
  </si>
  <si>
    <t>Wara Zup KBC Church</t>
  </si>
  <si>
    <t>Updated date 11/7/2017: KBC has a plan to implement this location through ADRA; Changed to Closed status in July 31 camp list,WC does not include in Q3 2017 report</t>
  </si>
  <si>
    <t>A Lo Taw Pyae monastery</t>
  </si>
  <si>
    <t>Thar Ta Na Aung San monastery</t>
  </si>
  <si>
    <t>Updated date 11/7/2017: there is no camp</t>
  </si>
  <si>
    <t>Ndup Yang 1</t>
  </si>
  <si>
    <t>La Ja</t>
  </si>
  <si>
    <t>Khaunglanhpu</t>
  </si>
  <si>
    <t>Inn Lel Yan - Host Families</t>
  </si>
  <si>
    <t>Updated date 11/7/2017: KBC implement this camp since 2014 and some IDP families moved to other camps</t>
  </si>
  <si>
    <t>Naung Khaing</t>
  </si>
  <si>
    <t>Machanbaw - KBC</t>
  </si>
  <si>
    <t>Machanbaw</t>
  </si>
  <si>
    <t>Machanbaw-KBC</t>
  </si>
  <si>
    <t>Tote Tan Ward</t>
  </si>
  <si>
    <t>Updated date 11/7/2017: already moved to other place</t>
  </si>
  <si>
    <t>Lone Sut</t>
  </si>
  <si>
    <t>6/May/2017: New added camp. Data source: KBC. Camp was confirmed by CCCM unit. The missing informaiton will be updated as soon as possible.</t>
  </si>
  <si>
    <t>AD-2000 Extension camp</t>
  </si>
  <si>
    <t>camp</t>
  </si>
  <si>
    <t>AG Church Pa Ma Tee</t>
  </si>
  <si>
    <t>opening date: 16/8/17 and updated date in CCCM list: 31/8/17 ; New displacement from Ka Sung,not yet updated in Q3 4W</t>
  </si>
  <si>
    <t>not found in camp list. Partners said sub-camp of momauk baptist church</t>
  </si>
  <si>
    <t>Aung Thay Pyay (San Suri))</t>
  </si>
  <si>
    <t>Aung Zay Gone</t>
  </si>
  <si>
    <t>Baw Du Pha Village</t>
  </si>
  <si>
    <t>Bhamo Host Families</t>
  </si>
  <si>
    <t>not found in camp list</t>
  </si>
  <si>
    <t>Bum Tsit Pa * (3)</t>
  </si>
  <si>
    <t>Chipwi (School coumpound)</t>
  </si>
  <si>
    <t>School</t>
  </si>
  <si>
    <t>Doke Htan Ward</t>
  </si>
  <si>
    <t>Ka Bu Dam CoC</t>
  </si>
  <si>
    <t>Opening date: 7/13/2017 and updated date in CCCM list: not yet updated in Q3 4W</t>
  </si>
  <si>
    <t>Kutkai (host High School)</t>
  </si>
  <si>
    <t>Opeing date: 1/6/2017 and updated date in CCCM list: 31/7/2017 ; 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</si>
  <si>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Lisu Baptist Church</t>
  </si>
  <si>
    <t>Loi Je Lisu (2) Camp</t>
  </si>
  <si>
    <t>Loi Je Lisu  (2) Camp</t>
  </si>
  <si>
    <t>Loi Je Lisu (3) Camp</t>
  </si>
  <si>
    <t>Loi Je Lisu  (3) Camp</t>
  </si>
  <si>
    <t>Loi Je Lisu (4) Camp</t>
  </si>
  <si>
    <t>Loi Je Lisu  (4) Camp</t>
  </si>
  <si>
    <t>Loi Je RC Boarding School</t>
  </si>
  <si>
    <t>Man Wing Baptist Church Boarding House</t>
  </si>
  <si>
    <t>Man wing gyi (host school)</t>
  </si>
  <si>
    <t>Mong Wee - Shan</t>
  </si>
  <si>
    <t>Muslim
 (Aley Ywa)</t>
  </si>
  <si>
    <t>Muslim
 (Taung Ywa)</t>
  </si>
  <si>
    <t>Muslim
 (Myaunk Ywa)</t>
  </si>
  <si>
    <t>Nam Hpak Ka (Man Mau host school)</t>
  </si>
  <si>
    <t>Nampaka (Man Mau host school)</t>
  </si>
  <si>
    <t>Namti</t>
  </si>
  <si>
    <t>opening date: 16/8/17 and updated date in CCCM list: 31/8/17 ; Displacement out of Ka Sung,not yet updated in Q3 4W</t>
  </si>
  <si>
    <t>Ndup Yang 2</t>
  </si>
  <si>
    <t>N-Lwe Yan</t>
  </si>
  <si>
    <t>Ohnmadee monastery</t>
  </si>
  <si>
    <t>Naung Cho</t>
  </si>
  <si>
    <t>Pa Kahtawng 1B</t>
  </si>
  <si>
    <t>Pa Kahtawng 2</t>
  </si>
  <si>
    <t xml:space="preserve">Pa Kahtawng Boarding High School </t>
  </si>
  <si>
    <t xml:space="preserve">Pa Kahtawng Boarding Middle School </t>
  </si>
  <si>
    <t>Pa Kahtawng Host Families</t>
  </si>
  <si>
    <t>Pa Kahtawng Primary House</t>
  </si>
  <si>
    <t>Paung Mae</t>
  </si>
  <si>
    <t>6/June/2017: Added as new camp instead of Zai Awng - Mung Ga Zup camp because of the conflict on Dec, 2016. So IDPs ( from Zai Awng - Mung Ga Zup ) flew to Lung Byen. They stay awhile at Lung Byen and then they moved to Shait Yang on 17 Jan 2017. Changed the camp name as "Shait Yan</t>
  </si>
  <si>
    <t>Shwegu Host Families</t>
  </si>
  <si>
    <t>Tanai</t>
  </si>
  <si>
    <t>Opeing date: 1/6/2017 and updated date in CCCM list: 29/6/2017;not yet updated in Q3 4W</t>
  </si>
  <si>
    <t>Tanai CoC</t>
  </si>
  <si>
    <t>Opeing date: 1/6/2017 and updated date in CCCM list: 29/6/2017; not yet updated in Q3 4W</t>
  </si>
  <si>
    <t xml:space="preserve">Tanai RC Church - Kinsa Ra </t>
  </si>
  <si>
    <t>Tat Kone (Ra Da Kawng)</t>
  </si>
  <si>
    <t>Vote Par Yone monastery</t>
  </si>
  <si>
    <t>West</t>
  </si>
  <si>
    <t>CAMP</t>
  </si>
  <si>
    <t>Zupyan camp</t>
  </si>
  <si>
    <t>new camp added in 30/9/2017</t>
  </si>
  <si>
    <t>V6</t>
  </si>
  <si>
    <t>V19</t>
  </si>
  <si>
    <t>V24</t>
  </si>
  <si>
    <t>For Township dropdown</t>
  </si>
  <si>
    <t>Dropdown</t>
  </si>
  <si>
    <t>Wash focal point Agency</t>
  </si>
  <si>
    <t># work days (approx) lost in this site due to access restrictions</t>
  </si>
  <si>
    <t>WASH Committee part of camp management structures</t>
  </si>
  <si>
    <t>Primary Donor covering WASH activities at site</t>
  </si>
  <si>
    <t>Expected end of funding for WASH activties at site</t>
  </si>
  <si>
    <t xml:space="preserve">% of women on camp WASH committee </t>
  </si>
  <si>
    <t># Functioning protected open wells (without hand pump)</t>
  </si>
  <si>
    <t># functional wells/boreholes (with hand pump)</t>
  </si>
  <si>
    <t xml:space="preserve"># functional tapstands </t>
  </si>
  <si>
    <t>Litres/Day provided with Overhead or storage tank with reticulation/ Water  gravity system
based on SPHERE standard ( 15L/P/D : 8 hr tapstand open)</t>
  </si>
  <si>
    <t>% of E-Coli  Water quality test result
(@ water source or HH level)</t>
  </si>
  <si>
    <t xml:space="preserve"># water points managed by families or small group of families </t>
  </si>
  <si>
    <t># latrines functional &amp; appropriate</t>
  </si>
  <si>
    <t># Latrines requiring urgent desludging</t>
  </si>
  <si>
    <t xml:space="preserve"># Latrines managed by families or small group of families </t>
  </si>
  <si>
    <t>Is there an effective solid waste management system in place</t>
  </si>
  <si>
    <t>Does the camp have drainage of surface water</t>
  </si>
  <si>
    <t>% HHs with access to functional hand washing station  (communal or HHs level)</t>
  </si>
  <si>
    <t>Handwashing approch to camp - household, communal, or both?</t>
  </si>
  <si>
    <t xml:space="preserve"># of individual bathing spaces functional </t>
  </si>
  <si>
    <t xml:space="preserve"># Hygiene Promoters </t>
  </si>
  <si>
    <t xml:space="preserve">% of HHs with access to sufficient soap (250g/ person/month) </t>
  </si>
  <si>
    <t>State_list</t>
  </si>
  <si>
    <t>TSps</t>
  </si>
  <si>
    <t>ABCD</t>
  </si>
  <si>
    <t>Not_Functional</t>
  </si>
  <si>
    <t>ACF, CDN</t>
  </si>
  <si>
    <t>AusAid</t>
  </si>
  <si>
    <t>ACTED</t>
  </si>
  <si>
    <t>Arche nova</t>
  </si>
  <si>
    <t>CIDA</t>
  </si>
  <si>
    <t>DANIDA</t>
  </si>
  <si>
    <t>CARE, CDN</t>
  </si>
  <si>
    <t>DFAT</t>
  </si>
  <si>
    <t>CDN, MA_UK</t>
  </si>
  <si>
    <t>Cesvi</t>
  </si>
  <si>
    <t>Cesvi, SI</t>
  </si>
  <si>
    <t>CNN</t>
  </si>
  <si>
    <t>Nawngmun</t>
  </si>
  <si>
    <t>DRD</t>
  </si>
  <si>
    <t>IRC</t>
  </si>
  <si>
    <t>Tsawlaw</t>
  </si>
  <si>
    <t>KMSS, KBC-HDD-NSS</t>
  </si>
  <si>
    <t>FCA</t>
  </si>
  <si>
    <t>KMSS, Metta</t>
  </si>
  <si>
    <t>France</t>
  </si>
  <si>
    <t>KMSS, SCI</t>
  </si>
  <si>
    <t>KMSS, KBC</t>
  </si>
  <si>
    <t>Gwa</t>
  </si>
  <si>
    <t>HIDA</t>
  </si>
  <si>
    <t>MDCG</t>
  </si>
  <si>
    <t>Merlin</t>
  </si>
  <si>
    <t>Metta, ICRC</t>
  </si>
  <si>
    <t>OCHA</t>
  </si>
  <si>
    <t>Munaung</t>
  </si>
  <si>
    <t>Metta, KBC-HDD-NSS</t>
  </si>
  <si>
    <t>Metta, KBC-HDD-NSS, KMSS</t>
  </si>
  <si>
    <t>Metta, SI</t>
  </si>
  <si>
    <t>MSF</t>
  </si>
  <si>
    <t>Thandwe</t>
  </si>
  <si>
    <t>ICRC</t>
  </si>
  <si>
    <t>Toungup</t>
  </si>
  <si>
    <t>Myauk Ywa (Kyet Mauk Taung)</t>
  </si>
  <si>
    <t>Aik Chan (Ai' Chun)</t>
  </si>
  <si>
    <t>Oxfam, MA_UK</t>
  </si>
  <si>
    <t>Chinshwehaw Sub-township (Kokang SAZ)</t>
  </si>
  <si>
    <t>Oxfam, KMSS</t>
  </si>
  <si>
    <t>Hkun Mar (Hkwin Ma)</t>
  </si>
  <si>
    <t>PLAN</t>
  </si>
  <si>
    <t>Hopang</t>
  </si>
  <si>
    <t>Hsawng Hpa (Saun Pha)</t>
  </si>
  <si>
    <t>SCI, MA_UK</t>
  </si>
  <si>
    <t>SCI, KBC-HDD-NSS</t>
  </si>
  <si>
    <t>Ka Lawng Hpar</t>
  </si>
  <si>
    <t>SCI, KMSS</t>
  </si>
  <si>
    <t>Kawng Min Hsang</t>
  </si>
  <si>
    <t>Konkyan</t>
  </si>
  <si>
    <t>Konkyan (Kokang SAZ)</t>
  </si>
  <si>
    <t>SI, MA_UK</t>
  </si>
  <si>
    <t>Kunlong</t>
  </si>
  <si>
    <t>SI, KBC</t>
  </si>
  <si>
    <t>Kyaukme</t>
  </si>
  <si>
    <t>Lashio</t>
  </si>
  <si>
    <t>Laukkaing</t>
  </si>
  <si>
    <t>Laukkaing (Kokang SAZ)</t>
  </si>
  <si>
    <t>Lin Haw</t>
  </si>
  <si>
    <t>Long Htan</t>
  </si>
  <si>
    <t>Mabein</t>
  </si>
  <si>
    <t>Man Man Hseng</t>
  </si>
  <si>
    <t>Man Tun</t>
  </si>
  <si>
    <t>Matman</t>
  </si>
  <si>
    <t>Mongmao</t>
  </si>
  <si>
    <t>Mongmit</t>
  </si>
  <si>
    <t>Mongyai</t>
  </si>
  <si>
    <t>Nam Tit</t>
  </si>
  <si>
    <t>Namhsan</t>
  </si>
  <si>
    <t>Nar Kawng</t>
  </si>
  <si>
    <t>Nar Wee (Na Wi)</t>
  </si>
  <si>
    <t>Narphan</t>
  </si>
  <si>
    <t>Nawng Hkit</t>
  </si>
  <si>
    <t>Nawnghkio</t>
  </si>
  <si>
    <t>Pang Hkam</t>
  </si>
  <si>
    <t>Pang Yang</t>
  </si>
  <si>
    <t>Pangsang</t>
  </si>
  <si>
    <t>Pangwaun</t>
  </si>
  <si>
    <t>Tangyan</t>
  </si>
  <si>
    <t>Yawng Lin</t>
  </si>
  <si>
    <t>Yin Pang</t>
  </si>
  <si>
    <t>ANauk Ywa</t>
  </si>
  <si>
    <t>Myaunk Ywa</t>
  </si>
  <si>
    <t xml:space="preserve">Thet Kel Pyin </t>
  </si>
  <si>
    <t>AD-2000 Tharthana Compound*</t>
  </si>
  <si>
    <t>Phan Khar Kone*</t>
  </si>
  <si>
    <t>Robert Church*</t>
  </si>
  <si>
    <t>Pan Ku</t>
  </si>
  <si>
    <t>Bum Tsit Pa * (1)</t>
  </si>
  <si>
    <t>Lana Zup Ja *</t>
  </si>
  <si>
    <t>Maing Khaung Baptist Church</t>
  </si>
  <si>
    <t>Man Wing Baptist Church*</t>
  </si>
  <si>
    <t>Man Wing Catholic Church*</t>
  </si>
  <si>
    <t>Mansi Baptist Church*</t>
  </si>
  <si>
    <t xml:space="preserve">Nawng Ing (Indawgyi) Baptist Church  </t>
  </si>
  <si>
    <t>Loi Je Lisu  (1) Camp</t>
  </si>
  <si>
    <t xml:space="preserve">Loi Je Nyaung Na Pin </t>
  </si>
  <si>
    <t xml:space="preserve">Loi Je Seng Ja </t>
  </si>
  <si>
    <t>Pa Kahtawng 1 A</t>
  </si>
  <si>
    <t>Nam Hkawng/Manaung kaung</t>
  </si>
  <si>
    <t>Namtu Baptist</t>
  </si>
  <si>
    <t>Woi Chyai  host families</t>
  </si>
  <si>
    <t>Parameter/Assumptions</t>
  </si>
  <si>
    <t>1 latrine = 1 drophole</t>
  </si>
  <si>
    <t>In sites existing for a few years, the semi-permanent design is the only applicable option to be counted. If there are new sites due to new displacements, the emergency design latrine should be counted.Functional definition includes only mildly damaged roof, wall or door, with lock or some safety/door closure device, no major crack, on slab, no major leakage on pit,  pit is not full. (full pit: gap of 1ft height left before full)</t>
  </si>
  <si>
    <t>V29</t>
  </si>
  <si>
    <t>V30</t>
  </si>
  <si>
    <t>V31</t>
  </si>
  <si>
    <t>V32</t>
  </si>
  <si>
    <t>V33</t>
  </si>
  <si>
    <t>V34</t>
  </si>
  <si>
    <t>V35</t>
  </si>
  <si>
    <t>V36</t>
  </si>
  <si>
    <t>V37</t>
  </si>
  <si>
    <t>V38</t>
  </si>
  <si>
    <t>HRP 1</t>
  </si>
  <si>
    <t>HRP 2</t>
  </si>
  <si>
    <t>Chauk Maing</t>
  </si>
  <si>
    <t>Pang Kawng</t>
  </si>
  <si>
    <t xml:space="preserve">Mai Ja Yang </t>
  </si>
  <si>
    <t xml:space="preserve">New Lana Zup Ja </t>
  </si>
  <si>
    <t>MMR015CMP237</t>
  </si>
  <si>
    <t>MMR015CMP241</t>
  </si>
  <si>
    <t>MMR015CMP242</t>
  </si>
  <si>
    <t>MMR001CMP215</t>
  </si>
  <si>
    <t>MMR001CMP216</t>
  </si>
  <si>
    <t>MMR001CMP214</t>
  </si>
  <si>
    <t>MMR001CMP153</t>
  </si>
  <si>
    <t>MMR001CMP046</t>
  </si>
  <si>
    <t>KMSS-MYT</t>
  </si>
  <si>
    <t>MMR015CMP236</t>
  </si>
  <si>
    <t>MMR015CMP233</t>
  </si>
  <si>
    <t>MMR001CMP147</t>
  </si>
  <si>
    <t>MMR001CMP146</t>
  </si>
  <si>
    <t>MMR015CMP232</t>
  </si>
  <si>
    <t>KMSS-LSO</t>
  </si>
  <si>
    <t>MMR015CMP222</t>
  </si>
  <si>
    <t>MMR001CMP136</t>
  </si>
  <si>
    <t>MMR015CMP002</t>
  </si>
  <si>
    <t>MMR015CMP139</t>
  </si>
  <si>
    <t>MMR001CMP209</t>
  </si>
  <si>
    <t>MMR015CMP238</t>
  </si>
  <si>
    <t>MMR015CMP230</t>
  </si>
  <si>
    <t>MMR015CMP231</t>
  </si>
  <si>
    <t>MMR015CMP229</t>
  </si>
  <si>
    <t>MMR001CMP219</t>
  </si>
  <si>
    <t>MMR015CMP239</t>
  </si>
  <si>
    <t>MMR001CMP211</t>
  </si>
  <si>
    <t>MMR015CMP243</t>
  </si>
  <si>
    <t>MMR015CMP244</t>
  </si>
  <si>
    <t>MMR015CMP221</t>
  </si>
  <si>
    <t>MMR015CMP210</t>
  </si>
  <si>
    <t>MMR015CMP014</t>
  </si>
  <si>
    <t>MMR015CMP248</t>
  </si>
  <si>
    <t>MMR015CMP228</t>
  </si>
  <si>
    <t>MMR015CMP209</t>
  </si>
  <si>
    <t>MMR015CMP009</t>
  </si>
  <si>
    <t>MMR015CMP226</t>
  </si>
  <si>
    <t>MMR015CMP218</t>
  </si>
  <si>
    <t>MMR015CMP207</t>
  </si>
  <si>
    <t>MMR015CMP020</t>
  </si>
  <si>
    <t>MMR015CMP006</t>
  </si>
  <si>
    <t>MMR015CMP015</t>
  </si>
  <si>
    <t>MMR015CMP219</t>
  </si>
  <si>
    <t>MMR015CMP016</t>
  </si>
  <si>
    <t>MMR015CMP245</t>
  </si>
  <si>
    <t>MMR015CMP017</t>
  </si>
  <si>
    <t>MMR015CMP217</t>
  </si>
  <si>
    <t>MMR015CMP018</t>
  </si>
  <si>
    <t>MMR015CMP220</t>
  </si>
  <si>
    <t>MMR015CMP224</t>
  </si>
  <si>
    <t>MMR015CMP223</t>
  </si>
  <si>
    <t>MMR015CMP225</t>
  </si>
  <si>
    <t>MMR015CMP007</t>
  </si>
  <si>
    <t>MMR001CMP204</t>
  </si>
  <si>
    <t>MMR001CMP137</t>
  </si>
  <si>
    <t>MMR015CMP004</t>
  </si>
  <si>
    <t>MMR001CMP134</t>
  </si>
  <si>
    <t>MMR015CMP003</t>
  </si>
  <si>
    <t>MMR015CMP001</t>
  </si>
  <si>
    <t>MMR001CMP230</t>
  </si>
  <si>
    <t>MMR001CMP133</t>
  </si>
  <si>
    <t>MMR001CMP228</t>
  </si>
  <si>
    <t>MMR001CMP132</t>
  </si>
  <si>
    <t>MMR015CMP215</t>
  </si>
  <si>
    <t>MMR015CMP214</t>
  </si>
  <si>
    <t>MMR015CMP227</t>
  </si>
  <si>
    <t>MMR001CMP202</t>
  </si>
  <si>
    <t>MMR001CMP135</t>
  </si>
  <si>
    <t>MMR015CMP010</t>
  </si>
  <si>
    <t>MMR001CMP218</t>
  </si>
  <si>
    <t>MMR001CMP223</t>
  </si>
  <si>
    <t>MMR015CMP011</t>
  </si>
  <si>
    <t>Camp_not registered</t>
  </si>
  <si>
    <t>MMR001CMP226</t>
  </si>
  <si>
    <t>MMR001CMP129</t>
  </si>
  <si>
    <t>MMR015CMP213</t>
  </si>
  <si>
    <t>MMR015CMP216</t>
  </si>
  <si>
    <t>MMR015CMP005</t>
  </si>
  <si>
    <t>MMR001CMP128</t>
  </si>
  <si>
    <t>MMR015CMP022</t>
  </si>
  <si>
    <t>MMR015CMP012</t>
  </si>
  <si>
    <t>MMR001CMP196</t>
  </si>
  <si>
    <t>MMR001CMP066</t>
  </si>
  <si>
    <t>MMR001CMP212</t>
  </si>
  <si>
    <t>MMR001CMP213</t>
  </si>
  <si>
    <t>MMR001CMP067</t>
  </si>
  <si>
    <t>MMR001CMP068</t>
  </si>
  <si>
    <t>MMR001CMP070</t>
  </si>
  <si>
    <t>MMR001CMP071</t>
  </si>
  <si>
    <t>MMR001CMP069</t>
  </si>
  <si>
    <t>MMR001CMP072</t>
  </si>
  <si>
    <t>MMR001CMP203</t>
  </si>
  <si>
    <t>MMR001CMP073</t>
  </si>
  <si>
    <t>MMR001CMP193</t>
  </si>
  <si>
    <t>MMR001CMP199</t>
  </si>
  <si>
    <t>MMR001CMP062</t>
  </si>
  <si>
    <t>MMR001CMP052</t>
  </si>
  <si>
    <t>MMR001CMP053</t>
  </si>
  <si>
    <t>MMR001CMP056</t>
  </si>
  <si>
    <t>MMR001CMP197</t>
  </si>
  <si>
    <t>MMR001CMP057</t>
  </si>
  <si>
    <t>MMR001CMP058</t>
  </si>
  <si>
    <t>MMR001CMP051</t>
  </si>
  <si>
    <t>MMR001CMP059</t>
  </si>
  <si>
    <t>MMR001CMP194</t>
  </si>
  <si>
    <t>MMR001CMP050</t>
  </si>
  <si>
    <t>MMR001CMP048</t>
  </si>
  <si>
    <t>MMR001CMP049</t>
  </si>
  <si>
    <t>MMR001CMP163</t>
  </si>
  <si>
    <t>MMR001CMP047</t>
  </si>
  <si>
    <t>MMR001CMP126</t>
  </si>
  <si>
    <t>MMR001CMP055</t>
  </si>
  <si>
    <t>MMR001CMP054</t>
  </si>
  <si>
    <t>MMR001CMP200</t>
  </si>
  <si>
    <t>MMR001CMP131</t>
  </si>
  <si>
    <t>MMR001CMP061</t>
  </si>
  <si>
    <t>MMR001CMP063</t>
  </si>
  <si>
    <t>MMR001CMP064</t>
  </si>
  <si>
    <t>MMR001CMP123</t>
  </si>
  <si>
    <t>MMR001CMP060</t>
  </si>
  <si>
    <t>MMR001CMP240</t>
  </si>
  <si>
    <t>MMR001CMP065</t>
  </si>
  <si>
    <t>MMR001CMP122</t>
  </si>
  <si>
    <t>MMR001CMP121</t>
  </si>
  <si>
    <t>MMR001CMP117</t>
  </si>
  <si>
    <t>MMR001CMP208</t>
  </si>
  <si>
    <t>MMR001CMP116</t>
  </si>
  <si>
    <t>MMR001CMP198</t>
  </si>
  <si>
    <t>MMR001CMP080</t>
  </si>
  <si>
    <t>MMR001CMP233</t>
  </si>
  <si>
    <t>MMR001CMP120</t>
  </si>
  <si>
    <t>MMR001CMP119</t>
  </si>
  <si>
    <t>MMR001CMP232</t>
  </si>
  <si>
    <t>MMR001CMP081</t>
  </si>
  <si>
    <t>MMR001CMP152</t>
  </si>
  <si>
    <t>MMR001CMP111</t>
  </si>
  <si>
    <t>MMR001CMP149</t>
  </si>
  <si>
    <t>MMR001CMP115</t>
  </si>
  <si>
    <t>MMR001CMP113</t>
  </si>
  <si>
    <t>MMR001CMP235</t>
  </si>
  <si>
    <t>MMR001CMP236</t>
  </si>
  <si>
    <t>MMR001CMP160</t>
  </si>
  <si>
    <t>MMR001CMP077</t>
  </si>
  <si>
    <t>MMR001CMP237</t>
  </si>
  <si>
    <t>MMR001CMP079</t>
  </si>
  <si>
    <t>MMR001CMP248</t>
  </si>
  <si>
    <t>MMR001CMP078</t>
  </si>
  <si>
    <t>MMR001CMP028</t>
  </si>
  <si>
    <t>MMR001CMP037</t>
  </si>
  <si>
    <t>MMR001CMP030</t>
  </si>
  <si>
    <t>MMR001CMP026</t>
  </si>
  <si>
    <t>MMR001CMP014</t>
  </si>
  <si>
    <t>MMR001CMP038</t>
  </si>
  <si>
    <t>MMR001CMP025</t>
  </si>
  <si>
    <t>MMR001CMP033</t>
  </si>
  <si>
    <t>MMR001CMP032</t>
  </si>
  <si>
    <t>MMR001CMP036</t>
  </si>
  <si>
    <t>MMR001CMP027</t>
  </si>
  <si>
    <t>MMR001CMP016</t>
  </si>
  <si>
    <t>MMR001CMP015</t>
  </si>
  <si>
    <t>MMR001CMP013</t>
  </si>
  <si>
    <t>MMR001CMP021</t>
  </si>
  <si>
    <t>MMR001CMP020</t>
  </si>
  <si>
    <t>MMR001CMP022</t>
  </si>
  <si>
    <t>MMR001CMP017</t>
  </si>
  <si>
    <t>MMR001CMP010</t>
  </si>
  <si>
    <t>MMR001CMP011</t>
  </si>
  <si>
    <t>MMR001CMP012</t>
  </si>
  <si>
    <t>MMR001CMP019</t>
  </si>
  <si>
    <t>MMR001CMP018</t>
  </si>
  <si>
    <t>MMR001CMP005</t>
  </si>
  <si>
    <t>MMR001CMP003</t>
  </si>
  <si>
    <t>MMR001CMP039</t>
  </si>
  <si>
    <t>MMR001CMP024</t>
  </si>
  <si>
    <t>MMR001CMP040</t>
  </si>
  <si>
    <t>MMR001CMP006</t>
  </si>
  <si>
    <t>MMR001CMP001</t>
  </si>
  <si>
    <t>MMR001CMP029</t>
  </si>
  <si>
    <t>MMR001CMP004</t>
  </si>
  <si>
    <t>MMR001CMP041</t>
  </si>
  <si>
    <t>MMR001CMP002</t>
  </si>
  <si>
    <t>MMR001CMP023</t>
  </si>
  <si>
    <t>MMR001CMP007</t>
  </si>
  <si>
    <t>MMR001CMP031</t>
  </si>
  <si>
    <t>MMR001CMP008</t>
  </si>
  <si>
    <t>MMR001CMP009</t>
  </si>
  <si>
    <t>MMR001CMP162</t>
  </si>
  <si>
    <t>MMR001CMP148</t>
  </si>
  <si>
    <t>MMR001CMP182</t>
  </si>
  <si>
    <t>MMR001CMP181</t>
  </si>
  <si>
    <t>MMR001CMP184</t>
  </si>
  <si>
    <t>MMR001CMP185</t>
  </si>
  <si>
    <t>MMR001CMP109</t>
  </si>
  <si>
    <t>MMR001CMP105</t>
  </si>
  <si>
    <t>MMR001CMP210</t>
  </si>
  <si>
    <t>MMR001CMP229</t>
  </si>
  <si>
    <t>MMR001CMP103</t>
  </si>
  <si>
    <t>MMR001CMP091</t>
  </si>
  <si>
    <t>MMR001CMP191</t>
  </si>
  <si>
    <t>MMR001CMP190</t>
  </si>
  <si>
    <t>MMR001CMP192</t>
  </si>
  <si>
    <t>MMR001CMP167</t>
  </si>
  <si>
    <t>MMR001CMP176</t>
  </si>
  <si>
    <t>MMR001CMP174</t>
  </si>
  <si>
    <t>MMR001CMP225</t>
  </si>
  <si>
    <t>MMR001CMP169</t>
  </si>
  <si>
    <t>MMR001CMP168</t>
  </si>
  <si>
    <t>MMR001CMP179</t>
  </si>
  <si>
    <t>MMR001CMP177</t>
  </si>
  <si>
    <t>MMR001CMP183</t>
  </si>
  <si>
    <t>MMR001CMP172</t>
  </si>
  <si>
    <t>MMR001CMP045</t>
  </si>
  <si>
    <t>MMR001CMP188</t>
  </si>
  <si>
    <t>MMR001CMP043</t>
  </si>
  <si>
    <t>MMR001CMP231</t>
  </si>
  <si>
    <t>MMR001CMP242</t>
  </si>
  <si>
    <t>MMR001CMP195</t>
  </si>
  <si>
    <t>MMR001CMP042</t>
  </si>
  <si>
    <t>MMR001CMP243</t>
  </si>
  <si>
    <t>MMR001CMP247</t>
  </si>
  <si>
    <t>MMR001CMP244</t>
  </si>
  <si>
    <t>MMR001CMP246</t>
  </si>
  <si>
    <t>MMR001CMP245</t>
  </si>
  <si>
    <t>MMR001CMP206</t>
  </si>
  <si>
    <t>MMR001CMP239</t>
  </si>
  <si>
    <t>MMR001CMP238</t>
  </si>
  <si>
    <t>MMR001CMP074</t>
  </si>
  <si>
    <t>MMR001CMP227</t>
  </si>
  <si>
    <t>MMR001CMP220</t>
  </si>
  <si>
    <t>MMR001CMP221</t>
  </si>
  <si>
    <t>MMR001CMP075</t>
  </si>
  <si>
    <t>MMR001CMP234</t>
  </si>
  <si>
    <t>MMR015CMP247</t>
  </si>
  <si>
    <t>MMR001CMP250</t>
  </si>
  <si>
    <t>MMR015CMP246</t>
  </si>
  <si>
    <t>MMR001CMP249</t>
  </si>
  <si>
    <t>MMR001CMP252</t>
  </si>
  <si>
    <t>MMR001CMP254</t>
  </si>
  <si>
    <t>MMR001CMP253</t>
  </si>
  <si>
    <t>MMR001CMP251</t>
  </si>
  <si>
    <t>HRP 3</t>
  </si>
  <si>
    <t>Access to safe drinking water for Camp</t>
  </si>
  <si>
    <t>Access to safe drinking water for Village</t>
  </si>
  <si>
    <t>%Equitable and continuous access to sufficient quantity of safe drinking water</t>
  </si>
  <si>
    <t>#Water points coverage</t>
  </si>
  <si>
    <t>#Potential required new water points</t>
  </si>
  <si>
    <t>WATER Comments</t>
  </si>
  <si>
    <t>Sanitation Comments</t>
  </si>
  <si>
    <t>Hygiene Coverage%</t>
  </si>
  <si>
    <t>Hygiene Gap%</t>
  </si>
  <si>
    <t>%people reached by regular dedicated hygiene promotion</t>
  </si>
  <si>
    <t>%HH with access to soap</t>
  </si>
  <si>
    <t>#HH with access to Hand Washing Station</t>
  </si>
  <si>
    <t>Standard amount of Soap and sanitary pad</t>
  </si>
  <si>
    <t>Camps only</t>
  </si>
  <si>
    <t>#People access to unimproved water sources</t>
  </si>
  <si>
    <t>Row Labels</t>
  </si>
  <si>
    <t>(Multiple Items)</t>
  </si>
  <si>
    <t>Grand Total</t>
  </si>
  <si>
    <t>Indicators</t>
  </si>
  <si>
    <t>State/Region</t>
  </si>
  <si>
    <t xml:space="preserve"> In Need</t>
  </si>
  <si>
    <t>Overall reached</t>
  </si>
  <si>
    <t>Coverage</t>
  </si>
  <si>
    <t>Gap</t>
  </si>
  <si>
    <t>Robert -Middle school</t>
  </si>
  <si>
    <t>SCI, ADRA/CANADA</t>
  </si>
  <si>
    <t>Total Population reached</t>
  </si>
  <si>
    <t>Overall HRP Target</t>
  </si>
  <si>
    <t>open in cccm?</t>
  </si>
  <si>
    <t>Vtract</t>
  </si>
  <si>
    <t>VillageWard</t>
  </si>
  <si>
    <t>not in cccm2018Mar</t>
  </si>
  <si>
    <t>closed_cccm2018Mar</t>
  </si>
  <si>
    <t>Man Nway (Pang Hseng (Kyu Koke)) Sub-township</t>
  </si>
  <si>
    <t>Nam Hkawng Khu</t>
  </si>
  <si>
    <t>No (6) Ward</t>
  </si>
  <si>
    <t>Kawng Wein</t>
  </si>
  <si>
    <t>Kar Lai Kone Hsar</t>
  </si>
  <si>
    <t>Kar Lai</t>
  </si>
  <si>
    <t>Momauk Town</t>
  </si>
  <si>
    <t>Ah Lin Kawng Ward</t>
  </si>
  <si>
    <t>Seik Mu</t>
  </si>
  <si>
    <t>Maw Shan</t>
  </si>
  <si>
    <t>Muse Town</t>
  </si>
  <si>
    <t>Swei Taw Ward</t>
  </si>
  <si>
    <t>Ho Mun Ward</t>
  </si>
  <si>
    <t>Man Wein</t>
  </si>
  <si>
    <t>Nawng Hkam</t>
  </si>
  <si>
    <t>Nam Lin Pa</t>
  </si>
  <si>
    <t>Nam Pang</t>
  </si>
  <si>
    <t>Nam Hkon</t>
  </si>
  <si>
    <t>Namtu Town</t>
  </si>
  <si>
    <t>Namtu Ward</t>
  </si>
  <si>
    <t>Urban</t>
  </si>
  <si>
    <t>Mong Wee</t>
  </si>
  <si>
    <t>Man Mawn</t>
  </si>
  <si>
    <t>La Gat Dawt</t>
  </si>
  <si>
    <t>Man Pying (Pang Hseng (Kyu Koke)) Sub-township</t>
  </si>
  <si>
    <t>Hawwa</t>
  </si>
  <si>
    <t>Mone Paw Nam Chet (Zay) (Pang Hseng (Kyu Koke)) Sub-township</t>
  </si>
  <si>
    <t>Mone Paw Nam Chet</t>
  </si>
  <si>
    <t>Dum Buk</t>
  </si>
  <si>
    <t>Mai Bat</t>
  </si>
  <si>
    <t>Man Kawng</t>
  </si>
  <si>
    <t>Mung Ding Pa</t>
  </si>
  <si>
    <t>Kyay Nan Waing Ward</t>
  </si>
  <si>
    <t>Man Nawng</t>
  </si>
  <si>
    <t>Maing Khat</t>
  </si>
  <si>
    <t>Tar Li</t>
  </si>
  <si>
    <t>Dawthponeyan  Town</t>
  </si>
  <si>
    <t>No (2) Ward</t>
  </si>
  <si>
    <t>Hpar Kei (Dawthponeyan Sub-township)</t>
  </si>
  <si>
    <t>Hpar Kei</t>
  </si>
  <si>
    <t>Nam Sang Yang</t>
  </si>
  <si>
    <t>Man Ping (Ping) (Dawthponeyan Sub-township)</t>
  </si>
  <si>
    <t>Man Ping</t>
  </si>
  <si>
    <t>Nam Mun</t>
  </si>
  <si>
    <t>Hpawt Dawt</t>
  </si>
  <si>
    <t>Mon Gar Zut</t>
  </si>
  <si>
    <t>Sar Hmaw</t>
  </si>
  <si>
    <t>Waingmaw Town</t>
  </si>
  <si>
    <t>Myitkyina Town</t>
  </si>
  <si>
    <t>Kachin Su Ward</t>
  </si>
  <si>
    <t>Myay Myint Ward</t>
  </si>
  <si>
    <t>Lone Khin</t>
  </si>
  <si>
    <t>Ma Sut Yang</t>
  </si>
  <si>
    <t>Lang Jaw (Pang War Sub-township)</t>
  </si>
  <si>
    <t>Lang Jaw</t>
  </si>
  <si>
    <t>Nawng Mi</t>
  </si>
  <si>
    <t>Nawng Myi</t>
  </si>
  <si>
    <t>Ku Day</t>
  </si>
  <si>
    <t>Wa Ra Zut</t>
  </si>
  <si>
    <t>Shar Du Zut</t>
  </si>
  <si>
    <t>La Ja Ga</t>
  </si>
  <si>
    <t>Lang Taung</t>
  </si>
  <si>
    <t>Nawng Hkaing</t>
  </si>
  <si>
    <t>Pa Ma Tee</t>
  </si>
  <si>
    <t>Mogaung Town</t>
  </si>
  <si>
    <t>Moe Tay</t>
  </si>
  <si>
    <t>Nawng Tha Kyar</t>
  </si>
  <si>
    <t>Pang Long</t>
  </si>
  <si>
    <t>Pang Tha Pyay</t>
  </si>
  <si>
    <t>Nar Tee</t>
  </si>
  <si>
    <t>Kutkai Town</t>
  </si>
  <si>
    <t>No (5) Ward</t>
  </si>
  <si>
    <t>No (3) Ward</t>
  </si>
  <si>
    <t>Long Waun Nam Rein (Tarmoenye Sub-township)</t>
  </si>
  <si>
    <t>Mai Pong (Shu See)</t>
  </si>
  <si>
    <t>Mong Yu</t>
  </si>
  <si>
    <t>Nam Hpat Kar</t>
  </si>
  <si>
    <t>Nam Hpat Kar (Ho Pon + Pang Sa Lorp)</t>
  </si>
  <si>
    <t>Ho Nar</t>
  </si>
  <si>
    <t>Mung Hawm</t>
  </si>
  <si>
    <t xml:space="preserve">Htoi San Yang </t>
  </si>
  <si>
    <t>Mansi Town</t>
  </si>
  <si>
    <t>Kawng Yar Ward</t>
  </si>
  <si>
    <t>Shwegu Town</t>
  </si>
  <si>
    <t>Lwegel Town</t>
  </si>
  <si>
    <t>Aung Zay Yar Ward</t>
  </si>
  <si>
    <t>Aung Chan Thar Ward</t>
  </si>
  <si>
    <t>Saing Gyar Ward</t>
  </si>
  <si>
    <t>Han Te</t>
  </si>
  <si>
    <t>Hpan Hkar Kone</t>
  </si>
  <si>
    <t>Man Pon</t>
  </si>
  <si>
    <t>Bhamo Town</t>
  </si>
  <si>
    <t>Pauk Kone Ward</t>
  </si>
  <si>
    <t>Aung Thar</t>
  </si>
  <si>
    <t>Moe Hping</t>
  </si>
  <si>
    <t>Nyaung Pin Ward</t>
  </si>
  <si>
    <t>Kawng Hsa (Lwegel Sub-township)</t>
  </si>
  <si>
    <t>Mai Gyar Yang</t>
  </si>
  <si>
    <t>Nam Hlaing</t>
  </si>
  <si>
    <t>Ba Lawng Kawng (Lwegel Sub-township)</t>
  </si>
  <si>
    <t>Hpa Lum</t>
  </si>
  <si>
    <t>Zee Wone Gawt</t>
  </si>
  <si>
    <t>Dum Bung</t>
  </si>
  <si>
    <t>In Baw Mai Kyin (Dawthponeyan Sub-township)</t>
  </si>
  <si>
    <t>Hpun Lum Yang</t>
  </si>
  <si>
    <t>Mohnyin Town</t>
  </si>
  <si>
    <t>Aung Tha Pyay Ward</t>
  </si>
  <si>
    <t>Sa Ma</t>
  </si>
  <si>
    <t>Par Jaung</t>
  </si>
  <si>
    <t>Nar Gu</t>
  </si>
  <si>
    <t>Saga Pa</t>
  </si>
  <si>
    <t>Hkau Shau</t>
  </si>
  <si>
    <t>Saga Pa (Sadung Sub-township)</t>
  </si>
  <si>
    <t>Nawng Kaing Htaw</t>
  </si>
  <si>
    <t>Ma Haung</t>
  </si>
  <si>
    <t>Nat Gyi Kone Ward</t>
  </si>
  <si>
    <t>Kyun Taw Ward</t>
  </si>
  <si>
    <t>Hkat Shu</t>
  </si>
  <si>
    <t>No (4) Ward</t>
  </si>
  <si>
    <t>Lel Kone Ward</t>
  </si>
  <si>
    <t>Ma Hkan Tee</t>
  </si>
  <si>
    <t>Nawng Hee</t>
  </si>
  <si>
    <t>Mading</t>
  </si>
  <si>
    <t>Mading/Hka Kun</t>
  </si>
  <si>
    <t>Maliyang Ward</t>
  </si>
  <si>
    <t>Kyun Pin Thar Ward</t>
  </si>
  <si>
    <t>Maw Hpawng</t>
  </si>
  <si>
    <t>Du Ka Htaung Ward</t>
  </si>
  <si>
    <t>Jan Mai Kawng</t>
  </si>
  <si>
    <t>Tat Kone Ward</t>
  </si>
  <si>
    <t>Mai Na</t>
  </si>
  <si>
    <t>Nam Koi</t>
  </si>
  <si>
    <t>Si Tar Pu Ward</t>
  </si>
  <si>
    <t>Waw Shung (Kan Paik Ti Sub-township)</t>
  </si>
  <si>
    <t>Shan Kyaing</t>
  </si>
  <si>
    <t>N Jang Dung</t>
  </si>
  <si>
    <t>Man Khein Ward</t>
  </si>
  <si>
    <t>Shwe Set Ward</t>
  </si>
  <si>
    <t>Pa La Na Sa Khan Myar</t>
  </si>
  <si>
    <t>Pi Tauk Myaing</t>
  </si>
  <si>
    <t>Nam Si In (Karmaing Sub-township)</t>
  </si>
  <si>
    <t>Htwe San Yang</t>
  </si>
  <si>
    <t>Sai Taung (Ywar Haung)</t>
  </si>
  <si>
    <t>Nam Ma Hpyit</t>
  </si>
  <si>
    <t>Pang War Town</t>
  </si>
  <si>
    <t>Hpakan Town</t>
  </si>
  <si>
    <t>Maw Wam Ward</t>
  </si>
  <si>
    <t>Nyein Chan Thar Yar</t>
  </si>
  <si>
    <t>Hmaw Si Zar</t>
  </si>
  <si>
    <t>Hpa Re (Pang War Sub-township)</t>
  </si>
  <si>
    <t>Hpa Re Waw Jang</t>
  </si>
  <si>
    <t>Rit Law</t>
  </si>
  <si>
    <t>Chipwi Town</t>
  </si>
  <si>
    <t>Ba Leit Dan Ward</t>
  </si>
  <si>
    <t>Puta-O Town</t>
  </si>
  <si>
    <t>Lone Sut Ward</t>
  </si>
  <si>
    <t>Hpai Kawng (Pang Hseng-Kyu Koke Sub-township</t>
  </si>
  <si>
    <t>Lel Pyin</t>
  </si>
  <si>
    <t>Kawng Hkar Man Pying</t>
  </si>
  <si>
    <t>Shwe Kyee Nar Ward</t>
  </si>
  <si>
    <t>Myo Thit</t>
  </si>
  <si>
    <t>Khon Sint</t>
  </si>
  <si>
    <t>Hopin Town</t>
  </si>
  <si>
    <t>Myo Ma (South) Ward</t>
  </si>
  <si>
    <t>Moke Lwe</t>
  </si>
  <si>
    <t>Khar Shi</t>
  </si>
  <si>
    <t>Sumprabum Town</t>
  </si>
  <si>
    <t>Inn Lel Yan</t>
  </si>
  <si>
    <t>Doke Tan Ward</t>
  </si>
  <si>
    <t>Ka Bu Dam</t>
  </si>
  <si>
    <t>Ei Naing</t>
  </si>
  <si>
    <t>Bumtsit Pa (1,2,3)</t>
  </si>
  <si>
    <t>Bum Tsit Pa 3</t>
  </si>
  <si>
    <t>SCI/FFO</t>
  </si>
  <si>
    <t>Assume 5 people per hh. 100 hh per Hygiene promoters. So, 500 people per hygiene promotor</t>
  </si>
  <si>
    <t>(All)</t>
  </si>
  <si>
    <t>Column Labels</t>
  </si>
  <si>
    <t>Values</t>
  </si>
  <si>
    <t>Shan</t>
  </si>
  <si>
    <t>Count of Site Name</t>
  </si>
  <si>
    <t>Access to unimproved water points</t>
  </si>
  <si>
    <t>Sum of Total HH</t>
  </si>
  <si>
    <t>Sum of #HH with access to Hand Washing Station</t>
  </si>
  <si>
    <t>#HH reached by regular dedicated hygiene promotion</t>
  </si>
  <si>
    <t xml:space="preserve">PoP </t>
  </si>
  <si>
    <t>none</t>
  </si>
  <si>
    <t>Total population</t>
  </si>
  <si>
    <t>Total</t>
  </si>
  <si>
    <t>Kachin Total</t>
  </si>
  <si>
    <t>Bum Tsit Pa</t>
  </si>
  <si>
    <t>Bum Tsit Pa Camp II</t>
  </si>
  <si>
    <t>MMR015CMP249</t>
  </si>
  <si>
    <t>% Latrines requiring  repairs</t>
  </si>
  <si>
    <t># people reached by regular dedicated hygiene promotion_5</t>
  </si>
  <si>
    <t>SCI, Metta</t>
  </si>
  <si>
    <t xml:space="preserve"> Reached by Sex</t>
  </si>
  <si>
    <t xml:space="preserve">Partners </t>
  </si>
  <si>
    <t xml:space="preserve"> % 
Water Gap</t>
  </si>
  <si>
    <t xml:space="preserve"> %
 Sanitation Gap</t>
  </si>
  <si>
    <t>%  
Hygiene Gap</t>
  </si>
  <si>
    <t>Sum of # people reached by regular dedicated hygiene promotion_5</t>
  </si>
  <si>
    <t>Nb of People who received regular supply of hygiene items</t>
  </si>
  <si>
    <t># People with access to soap</t>
  </si>
  <si>
    <t># People with access to Sanity Pads</t>
  </si>
  <si>
    <t># People received regular supply of hygiene items_6</t>
  </si>
  <si>
    <t># latrines (target)</t>
  </si>
  <si>
    <t># latrines desludged</t>
  </si>
  <si>
    <t># in GCA (20:1)</t>
  </si>
  <si>
    <t># in NGCA (20:1)</t>
  </si>
  <si>
    <t>HRP target</t>
  </si>
  <si>
    <t>No Test</t>
  </si>
  <si>
    <t>Tested</t>
  </si>
  <si>
    <t>HHs</t>
  </si>
  <si>
    <t>Pops</t>
  </si>
  <si>
    <t>% WATER GAP</t>
  </si>
  <si>
    <t>% LATRINE GAP</t>
  </si>
  <si>
    <t>% HYGIENE GAP</t>
  </si>
  <si>
    <t>WinE</t>
  </si>
  <si>
    <t>GAP</t>
  </si>
  <si>
    <t>Latrines handed over</t>
  </si>
  <si>
    <t>Latrines not handed over</t>
  </si>
  <si>
    <t>%equitable and continuous access to sufficient quantity of safe drinking and domestic water's GAP</t>
  </si>
  <si>
    <t>% of Latrine Gap</t>
  </si>
  <si>
    <t>Functioning</t>
  </si>
  <si>
    <t>Desludging</t>
  </si>
  <si>
    <t>Indicator Summary (Eng/MM): All indicators and their propsed definition used in DATABASE</t>
  </si>
  <si>
    <t>Total Population</t>
  </si>
  <si>
    <t>Quarterly Dashboard: Dashboard for 1st Quarter 2017. We can view the analysis with different dimensions</t>
  </si>
  <si>
    <t>Kamai RC church</t>
  </si>
  <si>
    <t>Q2_2018</t>
  </si>
  <si>
    <t>Lawa St.Paul Catholic</t>
  </si>
  <si>
    <t xml:space="preserve">Langwa RC </t>
  </si>
  <si>
    <t xml:space="preserve">Langwa KBC </t>
  </si>
  <si>
    <t>Momauk KBC church</t>
  </si>
  <si>
    <t>Ti Yang Zug</t>
  </si>
  <si>
    <t>Trinity Church</t>
  </si>
  <si>
    <t>Jowmasat Baptist Church (Naw Khuu)</t>
  </si>
  <si>
    <t>Mine Yin Village Monastery</t>
  </si>
  <si>
    <t>Ywar Thit Kone AG Church (relocation)</t>
  </si>
  <si>
    <t>Waingmaw Behtela KBC church</t>
  </si>
  <si>
    <t>closed_cccm2018May</t>
  </si>
  <si>
    <t>31/May/2018: Population update. Data source: Shalom ( Camp Status change to Closed Camp, As per Shalom, the camp was closed on 28 May 2018). 
Updated date: 11/7/2017:SI did not WASH implement since july 2016</t>
  </si>
  <si>
    <t>MMR001CMP256</t>
  </si>
  <si>
    <t>Myo Oo St. Dominic RC Church</t>
  </si>
  <si>
    <t>Lan Gwa St.Paul RC Church</t>
  </si>
  <si>
    <t>Emmanuel AG Church</t>
  </si>
  <si>
    <t>Tang Hpre RC Church</t>
  </si>
  <si>
    <t>Ti Yang Zup</t>
  </si>
  <si>
    <t>MMR001CMP259</t>
  </si>
  <si>
    <t>MMR001CMP260</t>
  </si>
  <si>
    <t>MMR001CMP261</t>
  </si>
  <si>
    <t>MMR001CMP262</t>
  </si>
  <si>
    <t>MMR001CMP263</t>
  </si>
  <si>
    <t>MMR001CMP264</t>
  </si>
  <si>
    <t>MMR001CMP265</t>
  </si>
  <si>
    <t>MMR001CMP267</t>
  </si>
  <si>
    <t>MMR001CMP269</t>
  </si>
  <si>
    <t>MMR001CMP257</t>
  </si>
  <si>
    <t>MMR001CMP255</t>
  </si>
  <si>
    <t>MMR001CMP258</t>
  </si>
  <si>
    <t>Lawa RC Church</t>
  </si>
  <si>
    <t>MMR001CMP268</t>
  </si>
  <si>
    <t>Karmaing RC Church</t>
  </si>
  <si>
    <t>MMR001CMP270</t>
  </si>
  <si>
    <t>6/5/2018: Status changed into Closed. Source Metta NSS
Lack of access. Not updated since Mar/2014.
Change to Host Families.</t>
  </si>
  <si>
    <t>22/May/2017: Camp status change to Closed. Data Source: KBC 
2/June/2017: Population updated. Data source: WASH Cluster (dated 7/April_outlook mail)
Change to Host Families.</t>
  </si>
  <si>
    <t>Tanai AG Church</t>
  </si>
  <si>
    <t>V39</t>
  </si>
  <si>
    <t>Number of paid camp based WASH skilled labor</t>
  </si>
  <si>
    <t>V40</t>
  </si>
  <si>
    <t>Number of paid camp based WASH unskilled labor</t>
  </si>
  <si>
    <t>စခန္းအတြင္း အဖြဲ႕အစည္းမွ အခေၾကးေငြျဖင့္ခန္႔ထားေသာ (က်ြမ္းက်င္) WASH ၀န္ထမ္း အေရအတြက္</t>
  </si>
  <si>
    <t>new site</t>
  </si>
  <si>
    <t>Gaps analysis - Traffic light</t>
  </si>
  <si>
    <t>Lambraw Yang Rc, Namatee</t>
  </si>
  <si>
    <t>InjangYang  host families</t>
  </si>
  <si>
    <t>Ma Ji Bum</t>
  </si>
  <si>
    <t>New Camp April</t>
  </si>
  <si>
    <t>New Camp May</t>
  </si>
  <si>
    <t>New Camp April, , Not include in CCCM may 2018</t>
  </si>
  <si>
    <t>Not include in CCCM may 2018</t>
  </si>
  <si>
    <t>WATER</t>
  </si>
  <si>
    <t>SANITATION</t>
  </si>
  <si>
    <t>HYGIENE</t>
  </si>
  <si>
    <t>Area GAP</t>
  </si>
  <si>
    <t>% Reached</t>
  </si>
  <si>
    <t>% Gap</t>
  </si>
  <si>
    <t>National</t>
  </si>
  <si>
    <t>??</t>
  </si>
  <si>
    <t>Pang Hkawn Yang</t>
  </si>
  <si>
    <t>Lone Khin Catholic Church</t>
  </si>
  <si>
    <t>Momauk IDP new Extension camp
(Alen Kawng Lawk)</t>
  </si>
  <si>
    <t>Mohyin</t>
  </si>
  <si>
    <t>Zupra</t>
  </si>
  <si>
    <t>Ban Dang</t>
  </si>
  <si>
    <t>Sut Chyai</t>
  </si>
  <si>
    <t>Da Wei</t>
  </si>
  <si>
    <t>Htai Ra Yang</t>
  </si>
  <si>
    <t>Lawt Awng</t>
  </si>
  <si>
    <t>Water Quality</t>
  </si>
  <si>
    <t>Improved water source</t>
  </si>
  <si>
    <t>Unimproved water source</t>
  </si>
  <si>
    <r>
      <rPr>
        <b/>
        <sz val="11"/>
        <color rgb="FFFF0000"/>
        <rFont val="Corbel"/>
        <family val="2"/>
      </rPr>
      <t>Red &gt;=30%</t>
    </r>
    <r>
      <rPr>
        <b/>
        <sz val="11"/>
        <color theme="0"/>
        <rFont val="Corbel"/>
        <family val="2"/>
      </rPr>
      <t>,</t>
    </r>
    <r>
      <rPr>
        <b/>
        <sz val="11"/>
        <color theme="5"/>
        <rFont val="Corbel"/>
        <family val="2"/>
      </rPr>
      <t>Orange 0%~29%</t>
    </r>
    <r>
      <rPr>
        <b/>
        <sz val="11"/>
        <color theme="0"/>
        <rFont val="Corbel"/>
        <family val="2"/>
      </rPr>
      <t>,</t>
    </r>
    <r>
      <rPr>
        <b/>
        <sz val="11"/>
        <color theme="9" tint="-0.499984740745262"/>
        <rFont val="Corbel"/>
        <family val="2"/>
      </rPr>
      <t>Green =0%</t>
    </r>
  </si>
  <si>
    <t>Jaw Masat Camp</t>
  </si>
  <si>
    <t>Pa Dauk Myaing(Pa La Na)-II</t>
  </si>
  <si>
    <t>MMR001CMP271</t>
  </si>
  <si>
    <t>Q3_2018</t>
  </si>
  <si>
    <t>31/July /2018: Population update. Data source: KMSS M
6/1/2018: Added as new camp (Camp Like Setting).</t>
  </si>
  <si>
    <t>2/June/2017: Updated Accessibility NGCA to GCA. Data source: UNOCHA.
Change to Host Families.</t>
  </si>
  <si>
    <t>Closed_cccm2018Aug</t>
  </si>
  <si>
    <t>Waimaw Baptist Zonal Office 2</t>
  </si>
  <si>
    <t>Namti Labraw Yang KBC Camp</t>
  </si>
  <si>
    <t>Ma Hawng Baptist Church</t>
  </si>
  <si>
    <t>Trinity Camp</t>
  </si>
  <si>
    <t>Tanai KBC Camp</t>
  </si>
  <si>
    <t>Mai Yu Lay New (Ta'ang)</t>
  </si>
  <si>
    <t>Mine Yu Lay village ( Old)</t>
  </si>
  <si>
    <t>Nam Hpak Ka Ta'ang ( Aung Tha Pyay)</t>
  </si>
  <si>
    <t>uncovered</t>
  </si>
  <si>
    <t>Closed : Source, OCHA</t>
  </si>
  <si>
    <t>Closed: Source UNHCR-Bhamo</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</si>
  <si>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</si>
  <si>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Closed. Rellocated to Tharthana Ahlin Yaung.</t>
  </si>
  <si>
    <t>2-Apr-15 (Closed. Source: GAD)
Responsible Agency update. KMSS-BMO to KMSS-MYT.</t>
  </si>
  <si>
    <t>11/Jul/2017: Change status to Close as no update available since December 2016</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</si>
  <si>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</si>
  <si>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24/Apr/2017: Changed camp status as "closed". Data source: KMSS_Myitkyina and CCCM unit.
16/Sep/2016: New added camp. There no responsible organization.</t>
  </si>
  <si>
    <t>19-Aug-15 Closed. IDP were provided with individual lands within Naung Hmee village and transit toward semi-permanent settlement. Source: CCCM Unit
2-Apr-15 (Population update, Source: UNHCR CCCM Mission)
Population update: Source: Camp Profile Round 2.</t>
  </si>
  <si>
    <t>Only one HH left, included in Lon Khin Baptist distribution list.</t>
  </si>
  <si>
    <t>30/June /2018: Population update. Data source: UNHCR/Cluster partners
30/May/2018: Population update. Data source: UNHCR/Cluster partners
30/May/2018: Added as new camp</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</si>
  <si>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</si>
  <si>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Closed.</t>
  </si>
  <si>
    <t>11/Jul/2017: Change status into closed: Data source: KBC
25/Jul/2016: Added as new camp according to KBC data. Data was given by Jade</t>
  </si>
  <si>
    <t>Move to Nant Ma Hpit Catholic Church.</t>
  </si>
  <si>
    <t>Close. According to RRC's info, this camp does not include in reported list.</t>
  </si>
  <si>
    <t>Closed Camp
Update data from OCHA IDPs List</t>
  </si>
  <si>
    <t>25-Jun-15 (Relocate to Long Sut)
Geo-Info, HH/Pop data received from MIRA Form</t>
  </si>
  <si>
    <t>Closed. Rellocated to Man Win and La Ga Yaung</t>
  </si>
  <si>
    <t>27-Mar-15 (Closed. Source: UNHCR-Bhamo)
New Camp</t>
  </si>
  <si>
    <t>16/Sep/2016: Changes camp status. Actually it was not closed. It was combined as one camp with Bum Tsit Pa. Data source: KMSS_Bhamo.
28/Jan/2016. Population update. Data source: KBC
Population Update. Source: Save The Children.</t>
  </si>
  <si>
    <t>Closed. Source: Save The Children</t>
  </si>
  <si>
    <t>19-Aug-15 Close. Source: CCCM Unit.
Population source: KMSS-BMO</t>
  </si>
  <si>
    <t>Closed. Duplicate with Maing Khaung.</t>
  </si>
  <si>
    <t>Closed. Move to Bum Tist Pa II and Man Wing. HH113/Pop837</t>
  </si>
  <si>
    <t xml:space="preserve">This IDP are registered in Nam Lim pa (Boarder) (MMR001CMP204). We should not calculate this number in total. </t>
  </si>
  <si>
    <t>Close (Source: OCHA)</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</si>
  <si>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</si>
  <si>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IDPs returned</t>
  </si>
  <si>
    <t>11/Jul/2017: Closed camp. No update information.
25-Jun-2015 (New host families. Source: RRD)</t>
  </si>
  <si>
    <t>Closed. Duplicate with (Nawng Ing (Indawgyi) Baptist Church)</t>
  </si>
  <si>
    <t>11/Jul/2017: Closed camp. No update information since Nov 2015.
9/Nov/2015. Population update. Data source: mail from WFP.
New added Boarding School</t>
  </si>
  <si>
    <t>11/Jul/2017: Change status to Close as no update available since June/2017.
Geo-Info, HH/Pop data was updated from Google Earth.</t>
  </si>
  <si>
    <t>11/Jul/17: Change status to Close as no update available.</t>
  </si>
  <si>
    <t>11/Jul/2017: Change status to Close as no update available
Geo-Info, HH/Pop data was updated from Google Earth.</t>
  </si>
  <si>
    <t>9/Nov/2015. updated camp status (Closed). Data Source; Lu Lu Awng by mail.
19-Aug-15 Population update. Source: Shalom
25-Jun-15 (Population update. Source : Shalom)
Checked with Shalom data, IDPs figure do not change</t>
  </si>
  <si>
    <t>Closed. Population relocated to Man Bung Catholic Compound (MMR001CMP062)</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</si>
  <si>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</si>
  <si>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11/Jul/2017: Change status to Close as no update available since Jan/2017.
Update from OCHA Data (2 Jan 2014)</t>
  </si>
  <si>
    <t>11/Jul/2017: Change status to Close as no update available since June 2014
Geo-Info, HH/Pop data was updated from Google Earth.</t>
  </si>
  <si>
    <t>New displacement from Ka Sung</t>
  </si>
  <si>
    <t>25-Jun-15 Relocate to Shatapru Thida Aye Baptist Church
Population update: Source: Camp Profile Round 2.</t>
  </si>
  <si>
    <t>Closed july 2017</t>
  </si>
  <si>
    <t>25-Jun-15 (Relocated to Lone Sut)
Geo-Info, HH/Pop data received from MIRA Form</t>
  </si>
  <si>
    <t>11/Jul/2017: Change status to Close as no update available.</t>
  </si>
  <si>
    <t>25-Jun-15 (Relocated to Hpum Lone Yan and Wai Choi)
Population Update. Source: UNHCR Cross-Line Mission Report. (July 2014)</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</si>
  <si>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</si>
  <si>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UNHCR/DRC joint mission</t>
  </si>
  <si>
    <t>3/Mar/2016. Closed Camp. Data source: January report from KBC.
28/Jan/2016. Population update. Data source: KBC (mail by maran)
2/Dec/2015 (Population update. Data source: Monthly report by KBC).
25-Jun-2015 Update population. Data Source: KBC
Changed to Boarding School.</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</si>
  <si>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</si>
  <si>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</si>
  <si>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6/5/2018: Status changed into Closed. Source Metta NSS,some IDP have returned, some moved to host families in Namtu and Kha Shi village, Lashio township
Lack of access. Not updated since Mar/2014.
Change to Host Families.</t>
  </si>
  <si>
    <t>11/Jul/2017: Camp status change into closed. KBC said Camp will be combine with Nam Sa Larp. DATA Source: KBC
25/Jul/2016: Added as new camp according to KBC data. Data was given by Jade</t>
  </si>
  <si>
    <t>5/June/2018: Data Updated
17-01-2017: New added camp. Missing data will be collected from partners and present in next Report.</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</si>
  <si>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</si>
  <si>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</si>
  <si>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30/June/2018: Population update. Data source: KBC,
31/May/2018: Population update. Data source: KBC
30/Apr/2018: Population update. Data source: KBC
27/Mar/2018: Population update. Data source: KBC
5/Mar/2018: Population update. Data source: KBC
CCCM activities start in july 2017</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</si>
  <si>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</si>
  <si>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</si>
  <si>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5/June/2018. Data Updated.
6/May/2017: New added camp. Data source: KBC. Camp was confirmed by CCCM unit. The missing informaiton will be updated as soon as possible.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</si>
  <si>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</si>
  <si>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5/June/2018: Data Source Metta NSS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</si>
  <si>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</si>
  <si>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</si>
  <si>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</si>
  <si>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</si>
  <si>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31/July/2018: Data Source (UNHCR-LSH)
6/June/2018: Data Source ( IRC, KMSS-Lsh)
11/Jul/2017: Updated from UNOCHA, visited on March 2017 
9/Nov/15. New added camp. Data source: UNHCR CCCM officer NSS mission 8-12 July 2015.</t>
  </si>
  <si>
    <t>31/July/2018: Data Source (UNHCR-LSH)
5/June/2018: Data Source: IRC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</si>
  <si>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</si>
  <si>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</si>
  <si>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</si>
  <si>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</si>
  <si>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</si>
  <si>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</si>
  <si>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6/April/2017: Changed the camp stutas as "Closed". Data source CCCM and comfirmed by partner (KBC). And it was updated since 3/March/2017
Change to Host Families.</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</si>
  <si>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</si>
  <si>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</si>
  <si>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Closed as of 1st of September 2017</t>
  </si>
  <si>
    <t>31/July/2018: Data Source (UNHCR-LSH)
5/Jun/2018: Population update. Data source: DRC, SCI
2/Jun/2017: Population update. Data source: WASH cluster.
25/Jul/2016: Added as new camp according to KBC data. Data was given by Jade</t>
  </si>
  <si>
    <t>2/June/2017: Changed camp status as "Closed". Data source: UNOCHA and confirmed by CCCM unit.
25/Jul/2016: Added as new camp according to KBC data. Data was given by Jade</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</si>
  <si>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</si>
  <si>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</si>
  <si>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</si>
  <si>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</si>
  <si>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Closed. Same with (Nam Hkam Catholic Church  St. Thomas II)</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</si>
  <si>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</si>
  <si>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</si>
  <si>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</si>
  <si>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18th - 19th May joint assessment of OCHA and UNHCR, population returned to place of origin. Location is closed. Change to Host Families. Source: Programme Unit.</t>
  </si>
  <si>
    <t>31/July/2018: Data Source (UNHCR-LSH)
6/June/2018: Data source ( DRC- NSS)
25/Jul/2016: Added as new camp according to KBC data.</t>
  </si>
  <si>
    <t>2/June/2017: Changed camp status as "Closed" according to UNHCR_Lashio information.
17-01-2017: New added camp. Missing data will be collected from partners and present in next Report.</t>
  </si>
  <si>
    <t>Comments form CCCM</t>
  </si>
  <si>
    <t>New camp June</t>
  </si>
  <si>
    <t>V41</t>
  </si>
  <si>
    <t>in active camps</t>
  </si>
  <si>
    <t>Mee Pho Kone</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</si>
  <si>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</si>
  <si>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 xml:space="preserve">St. Joseph Tanai RC camp </t>
  </si>
  <si>
    <t>Information received from UNHCR PU remote monitoring tool that all the IDPs moved to nearby location ; Yartikaun; camp like setting changed from Opened to Closed on the date of 31 Aust 2018</t>
  </si>
  <si>
    <t>Closed_cccm2018Oct</t>
  </si>
  <si>
    <t>Galeng (Palaung) &amp; Kone Khem</t>
  </si>
  <si>
    <t>MMR015CMP212</t>
  </si>
  <si>
    <t>Galeng</t>
  </si>
  <si>
    <t>Q4_2018</t>
  </si>
  <si>
    <t>new camp added in 1/11/18</t>
  </si>
  <si>
    <t>1/Nov/2018: Changed camp status as "reopen", Data source: NSS Cluster Partners: Reopen as per NSS Cluster Partners confirm that the IDPs are staying in the location during Cluster Meeting. 
Close: Duplicate Camp (MMR015CMP015 - Kone Khem Camp) 21-Jan-14</t>
  </si>
  <si>
    <t>Hu Hku &amp; Ho Hko</t>
  </si>
  <si>
    <t>MMR015CMP250</t>
  </si>
  <si>
    <t>Pang Kai Pang Lawt</t>
  </si>
  <si>
    <t>new cam added in 1/11/2018. opening date is 20/4/2018 at CCCM</t>
  </si>
  <si>
    <t>closed_CCCM2018Oct</t>
  </si>
  <si>
    <t>No agency has visited since Jul/2016, KBC to follow up.
25/Jul/2016: Added as new camp according to KBC data/ all the hh stayed temporarily and returned to VoO in 2016; source of information: cluster meeting 15 Aug 2018. Lashio, by Metta, KBC, KMSS-L</t>
  </si>
  <si>
    <t xml:space="preserve">1/Nov/2018: Changed camp status as "reopen", Data source: NSS Cluster Partners: Reopen as per NSS Cluster Partners confirm that the IDPs are staying in the location during Cluster Meeting. 
Close: Duplicate Camp (MMR015CMP015 - Kone Khem Camp) 21-Jan-14.1/November/2018: Data Source: UNHCR-LSH and Partners
IDPs relocated from  Mai Yu Lay New (Ta'ang) ( MMR015CMP220)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</si>
  <si>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</si>
  <si>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</si>
  <si>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</si>
  <si>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</si>
  <si>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</si>
  <si>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</si>
  <si>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</si>
  <si>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</si>
  <si>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</si>
  <si>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</si>
  <si>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 xml:space="preserve">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</si>
  <si>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</si>
  <si>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</si>
  <si>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</si>
  <si>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</si>
  <si>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31/July /2018: Population update. Data source: KMSS M</t>
  </si>
  <si>
    <t xml:space="preserve">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</si>
  <si>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</si>
  <si>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</si>
  <si>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</si>
  <si>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</si>
  <si>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</si>
  <si>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</si>
  <si>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CDA</t>
  </si>
  <si>
    <t>OXSI (SI)</t>
  </si>
  <si>
    <t>4W Activities (2019)</t>
  </si>
  <si>
    <t>Activity
Measurement</t>
  </si>
  <si>
    <t>Output
Measurement</t>
  </si>
  <si>
    <t>State
(Rakhine, Kachin-Shan, All)</t>
  </si>
  <si>
    <t>Reporting period</t>
  </si>
  <si>
    <t>All</t>
  </si>
  <si>
    <t>WASH project agency</t>
  </si>
  <si>
    <t>Name of WASH program agency (program agency and implementing agency may be the same)</t>
  </si>
  <si>
    <t>WASH implementing agency</t>
  </si>
  <si>
    <t>Name of WASH implementing agency (program agency and implementing agency may be the same)</t>
  </si>
  <si>
    <t>Donors</t>
  </si>
  <si>
    <t>Named from Myanmar national naming conventions</t>
  </si>
  <si>
    <t>Site type (camp or village)</t>
  </si>
  <si>
    <t>The site may be either a CCCM registered camp or a village</t>
  </si>
  <si>
    <t xml:space="preserve">Site name </t>
  </si>
  <si>
    <t>All camp names need to be aligned with CCCM naming conventions</t>
  </si>
  <si>
    <t>Project start date</t>
  </si>
  <si>
    <t>Current project start date</t>
  </si>
  <si>
    <t>Project end date</t>
  </si>
  <si>
    <t>Current project end date</t>
  </si>
  <si>
    <t>Person work days lost due to access restrictions to the site</t>
  </si>
  <si>
    <t>Is there a WASH focal point/team included in the camp management structure?</t>
  </si>
  <si>
    <t>drop down
(Yes, No)</t>
  </si>
  <si>
    <t>Number of men on camp WASH team</t>
  </si>
  <si>
    <t>Number of women on camp WASH team</t>
  </si>
  <si>
    <t>Estimate liters/person/day</t>
  </si>
  <si>
    <t># of public open wells with sealed walls with water flowing/available all day used for drinking/domestic water</t>
  </si>
  <si>
    <t>Aim for dry season is 7.5 liters/person/day minimum</t>
  </si>
  <si>
    <t>Water points fully handed over  (managed by families / small group of families with repairs by WASH/camp committees)</t>
  </si>
  <si>
    <t xml:space="preserve">HRP2: Percentage of targeted women, men, boys and girls benefitting from a functional excreta disposal system, reducing safety/public health/environmental risks
</t>
  </si>
  <si>
    <t>V42</t>
  </si>
  <si>
    <t>Report current number of non-functional latrines (Cluster &amp; Non-Cluster Partner)</t>
  </si>
  <si>
    <t>V43</t>
  </si>
  <si>
    <t>V44</t>
  </si>
  <si>
    <t>V45</t>
  </si>
  <si>
    <t>V46</t>
  </si>
  <si>
    <t>V47</t>
  </si>
  <si>
    <t>V48</t>
  </si>
  <si>
    <t>Provide bins, incinerator, regular collection system and final disposal system</t>
  </si>
  <si>
    <t>V49</t>
  </si>
  <si>
    <t xml:space="preserve">Is the drainage system functional/effective? This means no stagnant water / water with continuous flow. No stagnant water around WASH facilities and preventing access. And no standing water/mosquito breeding areas throughout the camp during the dry season. </t>
  </si>
  <si>
    <t>V50</t>
  </si>
  <si>
    <t>V51</t>
  </si>
  <si>
    <t>V52</t>
  </si>
  <si>
    <t>V53</t>
  </si>
  <si>
    <t>V54</t>
  </si>
  <si>
    <t># handwashing stations constructed</t>
  </si>
  <si>
    <t>V55</t>
  </si>
  <si>
    <t># of communal bathing spaces constructed</t>
  </si>
  <si>
    <t>V56</t>
  </si>
  <si>
    <t># of individual bathing spaces constructed</t>
  </si>
  <si>
    <t>V57</t>
  </si>
  <si>
    <t>Number of male hygiene promoters</t>
  </si>
  <si>
    <t># of female hygiene promoters working during the reporting period per site (camp or village based) that are paid or receive some sort of incentive by the cluster partner.</t>
  </si>
  <si>
    <t>V58</t>
  </si>
  <si>
    <t>Number of female hygiene promoters</t>
  </si>
  <si>
    <t># of male hygiene promoters working during the reporting period per site (camp or village based) that are paid or receive some sort of incentive by the cluster partner.</t>
  </si>
  <si>
    <t>V59</t>
  </si>
  <si>
    <t>Number of households that received standard amount of soap for this quarter</t>
  </si>
  <si>
    <t>V60</t>
  </si>
  <si>
    <t>V61</t>
  </si>
  <si>
    <t>V62</t>
  </si>
  <si>
    <t>V63</t>
  </si>
  <si>
    <r>
      <rPr>
        <b/>
        <sz val="12"/>
        <color rgb="FF2C2C2C"/>
        <rFont val="Gill Sans MT"/>
        <family val="2"/>
      </rPr>
      <t>Camp:</t>
    </r>
    <r>
      <rPr>
        <sz val="12"/>
        <color rgb="FF2C2C2C"/>
        <rFont val="Gill Sans MT"/>
        <family val="2"/>
      </rPr>
      <t xml:space="preserve">Hand dug well </t>
    </r>
    <r>
      <rPr>
        <b/>
        <sz val="12"/>
        <color rgb="FF2C2C2C"/>
        <rFont val="Gill Sans MT"/>
        <family val="2"/>
      </rPr>
      <t>400</t>
    </r>
    <r>
      <rPr>
        <sz val="12"/>
        <color rgb="FF2C2C2C"/>
        <rFont val="Gill Sans MT"/>
        <family val="2"/>
      </rPr>
      <t xml:space="preserve"> PPL, Hand Pump </t>
    </r>
    <r>
      <rPr>
        <b/>
        <sz val="12"/>
        <color rgb="FF2C2C2C"/>
        <rFont val="Gill Sans MT"/>
        <family val="2"/>
      </rPr>
      <t>500</t>
    </r>
    <r>
      <rPr>
        <sz val="12"/>
        <color rgb="FF2C2C2C"/>
        <rFont val="Gill Sans MT"/>
        <family val="2"/>
      </rPr>
      <t xml:space="preserve"> PPL, Tank, Water Boating/Trucking, Distribution System, Pond = 15L/P/D : 8 hr tapstand open, 
</t>
    </r>
    <r>
      <rPr>
        <b/>
        <sz val="12"/>
        <color rgb="FF2C2C2C"/>
        <rFont val="Gill Sans MT"/>
        <family val="2"/>
      </rPr>
      <t>Village:</t>
    </r>
    <r>
      <rPr>
        <sz val="12"/>
        <color rgb="FF2C2C2C"/>
        <rFont val="Gill Sans MT"/>
        <family val="2"/>
      </rPr>
      <t xml:space="preserve"> Hand dug well 250 PPL, Hand Pump 250 PPL,15L/P/D : 8 hr tapstand open</t>
    </r>
  </si>
  <si>
    <t>#_Non-functional latrines</t>
  </si>
  <si>
    <t>#_Operation &amp; maintenance of latrines</t>
  </si>
  <si>
    <t>#_Non Cluster partner latrines</t>
  </si>
  <si>
    <t>#_Latrines desludged during the past quarter</t>
  </si>
  <si>
    <t>#_Cubic meters of desludging in past quarter</t>
  </si>
  <si>
    <t>#_Latrines fully handed over</t>
  </si>
  <si>
    <t>Is there provision of solid waste management equipment (i.e. waste bins, incinerator, community-led waste management system)?</t>
  </si>
  <si>
    <t xml:space="preserve">Is there constructed surface water drainage system?
</t>
  </si>
  <si>
    <t>Is there provision of solid waste management equipment?</t>
  </si>
  <si>
    <t>#_ paid camp based WASH skilled labor</t>
  </si>
  <si>
    <t>#_paid camp based unskilled WASH unskilled labor</t>
  </si>
  <si>
    <t>#_men on camp WASH team</t>
  </si>
  <si>
    <t>#_women on camp WASH team</t>
  </si>
  <si>
    <t>#_Non-functional protected hand dug well</t>
  </si>
  <si>
    <t>#_Operation &amp; Maintenance of hand dug well</t>
  </si>
  <si>
    <t>#_Non-functional tube wells/boreholes/handpumps</t>
  </si>
  <si>
    <t>#_Operation &amp; Maintenance of tube wells/boreholes/handpumps</t>
  </si>
  <si>
    <t>#_Non-Cluster partner water tube-wells/boreholes/handpumps</t>
  </si>
  <si>
    <t>#_Non-functional storage tank gravity fed reticulation system</t>
  </si>
  <si>
    <t>#_Operation &amp; maintenance of storage tank and reticulation system</t>
  </si>
  <si>
    <t>#_Water points fully handed over</t>
  </si>
  <si>
    <t>#_male hygiene promoters</t>
  </si>
  <si>
    <t>#_female hygiene promoters</t>
  </si>
  <si>
    <t>#_households that received standard amount of soap for this quarter</t>
  </si>
  <si>
    <t>#_Hygiene Promotion activities (sessions) in TLS?</t>
  </si>
  <si>
    <t xml:space="preserve">Hygiene
Comments </t>
  </si>
  <si>
    <t>Camp figures is needed to align with CCCM</t>
  </si>
  <si>
    <t>Site information</t>
  </si>
  <si>
    <t>Project Duration</t>
  </si>
  <si>
    <t>WASH Partner &amp; Donor information</t>
  </si>
  <si>
    <t>Total # of Functioning latrine</t>
  </si>
  <si>
    <t># of Functioning latrine</t>
  </si>
  <si>
    <t># people access to continuous sanitation services desluding</t>
  </si>
  <si>
    <t>Number of people with equitable access to continuous sanitation services (desluding)</t>
  </si>
  <si>
    <t>Number of students with equitable access to functioing school latrines</t>
  </si>
  <si>
    <t>အစီရင္ခံစာ ေပးပို႔သည္႔ကာလ</t>
  </si>
  <si>
    <t xml:space="preserve">အဖြဲ႔အစည္းအမည္ </t>
  </si>
  <si>
    <t>စခန္းတြင္သြားေရာက္ ေထာက္ပံ႔ေသာ အဖြဲ႔အစည္းအမည္</t>
  </si>
  <si>
    <t>အလွဴရွင္ အမည္</t>
  </si>
  <si>
    <t xml:space="preserve">ျပည္နယ္ </t>
  </si>
  <si>
    <t>ျမိဳ႔နယ္</t>
  </si>
  <si>
    <t>စခန္း အမ်ိဳးအစား ( ယာယီ စခန္း ၊ ယာယီမဟုတ္ေသာ စခန္း )</t>
  </si>
  <si>
    <t>စခန္းအမည္ ( စခန္းစီမံခန္႔ခြဲေရးေကာ္မတီမွ ေပးေသာ နာမည္ )</t>
  </si>
  <si>
    <t>စီမံကိန္းစတင္သည္႔ေန႔</t>
  </si>
  <si>
    <t>စီမံကိန္း ျပီးဆံုးမည္႔ေန႔</t>
  </si>
  <si>
    <t>စခန္းအတြင္း WASH ႏွင့္ သက္ဆိုင္ေသာ လုပ္ငန္းမ်ားလုပ္ေဆာင္ရန္ အဖြဲ႕အစည္းမွ အခေၾကးေငြျဖင့္ခန္႔ထားေသာ (က်ြမ္းက်င္)၀န္ထမ္း  အေရအတြက္</t>
  </si>
  <si>
    <t>စခန္းအတြင္း အဖြဲ႕အစည္းမွ အခေၾကးေငြျဖင့္ခန္႔ထားေသာ (အေထြေထြလုပ္သား) WASH ၀န္ထမ္း အေရအတြက္</t>
  </si>
  <si>
    <t>စခန္းအတြင္း WASH ႏွင့္ သက္ဆိုင္ေသာ လုပ္ငန္းမ်ားလုပ္ေဆာင္ရန္ အဖြဲ႕အစည္းမွ အခေၾကးေငြျဖင့္ခန္႔ထားေသာ (အေထြေထြလုပ္သား)၀န္ထမ္း  အေရအတြက္</t>
  </si>
  <si>
    <t>သြားလာခြင့္ အကန္႔အသတ္မ်ားေၾကာင့္ လုပ္ငန္း ရပ္တန္႔ေနေသာ ရက္မ်ား</t>
  </si>
  <si>
    <t>သြားလာခြင့္ အကန္႔အသတ္မ်ားေၾကာင့္အလုပ္သမားမ်ား  လုပ္ငန္း ရပ္တန္႔ေနေသာ ရက္မ်ား ( စုစုေပါင္းအလုပ္နားရက္)</t>
  </si>
  <si>
    <t>WASH ေကာ္မတီသည္ စခန္းဧ။္  စီမံခန္႔ခြဲမွု အဖြဲ႔တြင္ပါ၀င္မွုရွိသလား</t>
  </si>
  <si>
    <t>စခန္း ဧ။္ WASH အဖြဲ႔တြင္ ပါ၀င္ေသာ အမ်ိဴးသား ဦးေရ</t>
  </si>
  <si>
    <t>စခန္း ဧ။္ WASH အဖြဲ႔တြင္ ပါ၀င္ေသာ အမ်ိဴးသမီး ဦးေရ</t>
  </si>
  <si>
    <t xml:space="preserve">ေရျပတ္လပ္ေသာလ တြင္ စံခ်ိန္ စံညြန္း ႏွင္႔ အညီ ေထာက္ပံ႔ ေပးခဲ႔ ေသာ ေရ လီတာေပါင္း ( လူတစ္ဦး အတြက္ တစ္ရက္လွ်င္ အနည္းဆံုး ၇.၅ လီတာ ခန္႔ ) </t>
  </si>
  <si>
    <t>e.coli ပိုးရွိ မရွိ စစ္ေဆးထားေသာ္လဲ ေျမေရစစ္အိုးျဖင္႔ မေသာက္သံုးပါ က ကာရံထားေသာ ေရ ကန္ ၊ ေရအိုင္မွေရအား သန္႔ရွင္းေသာ ေသာက္သံုးေရ ဟုမဆိုနိုင္ပါ။</t>
  </si>
  <si>
    <t>ေရႏွင္႔ ပါတ္သက္ျပီး ထပ္မံျဖည္႔စြက္လိုေသာ အေၾကာင္းအရာရွိပါက ျဖည္႔ရန္</t>
  </si>
  <si>
    <t>မိသားစု မ်ားမွ မိမိတို႔ကိုယ္တိုင္ စီမံခန္႔ခြဲ ႏိုင္ေသာ အိမ္သာအျဖစ္ လံုးဝလြဲေျပာင္းျပီးေသာ အိမ္သာ အေရအတြက္</t>
  </si>
  <si>
    <t>ေကာင္းမြန္ေသာ စံမံခန္႔ခြဲမႈရွိေသာ အမိႈက္သိမ္းစနစ္ ရွိပါသလား ( အမိႈက္မီးရွိဳ႕ စက္ ၊ အမိႈက္ကားျဖင္႔ သိမ္းစနစ္ ၊ လူထုမွ ကိုယ္တိုင္သန္႔ရွင္းေရးစနစ္ )</t>
  </si>
  <si>
    <t>ေကာင္းမြန္ေသာ စံမံခန္႔ခြဲမႈရွိေသာ အမိႈက္သိမ္းစနစ္ ရွိပါသလား ( အမိႈက္မီးရွိဳ႕ စက္ ၊ အမိႈက္ကားျဖင္႔ သိမ္းစနစ္ ၊ လူထုမွ အမိႈက္ပံုးမ်ားျဖင္႔  ကိုယ္တိုင္သန္႔ရွင္းေရးစနစ္ )</t>
  </si>
  <si>
    <t>ေကာင္းမြန္ေသာ ေရဆိုးထုတ္ ေျမာင္းစနစ္ ရွိပါသလား ( စခန္းအတြင္းေရအိုင္မ်ားမရွိျခင္း ၊ ျခင္ေပါက္ပြားမႈမရွိျခင္း၊  ေရဆိုးမ်ားပိတ္ဆို႔မႈမရွိဘဲ အၿမဲစီးဆင္းေနေသာ ေရေျမာင္းစနစ္အားဆိုလိုပါသည္။ )</t>
  </si>
  <si>
    <t xml:space="preserve">ကေလးသံုးအိမ္သာ အေရအတြက္ </t>
  </si>
  <si>
    <t>ကေလးသံုး အိမ္သာစုစုေပါင္း ( တံခါး အေရအတြက္အတိုင္း ေကာက္ယူပါမည္)</t>
  </si>
  <si>
    <t>မသန္စြမ္း ႏွင္႔ သက္ၾကီးရြယ္အိုမ်ားအသံုးျပဳႏိုင္ေသာ အိမ္သာ အေရအတြက္</t>
  </si>
  <si>
    <t>မသန္စြမ္း ႏွင္႔ သက္ၾကီးရြယ္အိုမ်ားအသံုးျပဳႏိုင္ေသာ အိမ္သာစုစုေပါင္း (  တံခါး အေရအတြက္အတိုင္း ေကာက္ယူပါမည္)</t>
  </si>
  <si>
    <t>မိလႅာသန္႔ရွင္းႏွင္႔ပါတ္သက္ျပီး ထပ္မံျဖည္႔စြက္လိုေသာ အေၾကာင္းအရာရွိပါက ျဖည္႔ရန္</t>
  </si>
  <si>
    <t>ထပ္မံျဖည္႔စြက္လိုေသာ အေၾကာင္းအရာရွိပါက ျဖည္႔ရန္</t>
  </si>
  <si>
    <t>စခန္းအတြင္းရွိ လက္ေဆးစင္ အေရအတြက္</t>
  </si>
  <si>
    <t>စခန္းအတြင္းရွိအသံုးျပဳရေသာ ( ေရႏွင္႔ ဆပ္ျပာရွိျပီး ပိုက္ေခါင္းမ်ား ေကာင္းေသာ) လက္ေဆးစင္ အေရအတြက္</t>
  </si>
  <si>
    <t>စခန္းအတြင္းရွိ မိသားစုသံုး သီးသန္႔ ေရခ်ိဳးခန္း အေရအတြက္</t>
  </si>
  <si>
    <t>စခန္းအတြင္အမ်ိဳးသမီး အမ်ိဳးသားခြဲထားေသာေကာင္းမြန္ေသာ အမ်ားသံုး ေရခ်ိဳးခန္း အေရအတြက္</t>
  </si>
  <si>
    <t>စခန္းအတြင္အမ်ိဳးသမီး အမ်ိဳးသားခြဲထားေသာ အမ်ားသံုး ေရခ်ိဳးခန္း အေရအတြက္ ( တံခါးမ်ားေကာင္းမြန္ျခင္း ၊ လံုျခံဳစိတ္ခ်မႈ႔ရွိျခင္း ၊ ေရစီးေရလာေကာင္းမြန္ျခင္း )</t>
  </si>
  <si>
    <t>စခန္းအတြင္းရွိ က်န္းမာေရး ၊ သန္႔ရွင္းေရး ျမွင္႔တင္ေရး လုပ္အားေပးဝန္ထမ္း-အမ်ိဳးသမီး  ( အဖြဲ႔အစည္းမ်ားမွ လုပ္အားဂုဏ္ျပဳေငြသို႔မဟုတ္ ၊ အေထာက္အပ႔ံ ရရွိေသာသူ) အေရအတြက္</t>
  </si>
  <si>
    <t>တစ္လလွ်င္ လူတစ္ဦး ရသင္႔ေသာ စံခ်ိန္စံညြန္းအတိုင္း ဆပ္ျပာ ရရွိေသာ အိမ္ေထာင္စု</t>
  </si>
  <si>
    <t>ယာယီစာသင္ေက်ာင္းေဆာင္တြင္ လက္ေဆးရန္လိုအပ္ေသာ ဆပ္ျပာရွိပါသလား ( ရွိ ၊ မရွိ ) သာေျဖရန္</t>
  </si>
  <si>
    <t>တကိုယ္ရည္သန္႔ရွင္းေရးျမွင္႔ တင္ျခင္းလုပ္ငန္းႏွင္႔ပါတ္သက္ျပီးထပ္မံျဖည္႔စြက္လိုပါက ထပ္ထည္႔ရန္</t>
  </si>
  <si>
    <t xml:space="preserve">စခန္းအတြင္းရွိ အဝီစီတြင္း ( တြင္းတိမ္ / တြင္းနက္ ) ႏွင္႔ လက္နိွပ္တံုကင္မ်ား သည္ အျခားေသာ ပုဂၢလိ က အဖြဲ႔အစည္းမ်ားမွ လွဴထားျပီး အစီရင္ခံ သည္႔ စာရင္းတြင္ မပါ ရွိေသာ အေရအတြက္ </t>
  </si>
  <si>
    <t>သဘာဝ ေရစီးဆင္းမႈစနစ္ျဖင္႔ တည္ေဆာက္ထားေသာ ေရသြယ္တန္းမႈစနစ္ ၊ ပိုက္လိုင္း ၊ သိုေလွာင္ကန္ အေရ အတြက္</t>
  </si>
  <si>
    <t xml:space="preserve">ေကာင္းမြန္ေသာ ေရဆိုးထုတ္ ေျမာင္းစနစ္ ရွိပါသလား </t>
  </si>
  <si>
    <t>စခန္းအတြင္းရွိ (အမ်ိဳးသား) က်န္းမာေရး ၊ သန္႔ရွင္းေရး  ျမွင္႔တင္ေရး လုပ္အားေပးဝန္ထမ္း</t>
  </si>
  <si>
    <t>အစီရင္ခံသည္႔ကာလ အတြင္း စခန္းအတြင္းရွိ က်န္းမာေရး ၊ သန္႔ရွင္းေရး ျမွင္႔တင္ေရး လုပ္အားေပးဝန္ထမ္း-အမ်ိဳးသား  ( အဖြဲ႔အစည္းမ်ားမွ လုပ္အားဂုဏ္ျပဳေငြသို႔မဟုတ္ ၊ အေထာက္အပ႔ံ ရရွိေသာသူ) အေရအတြက္</t>
  </si>
  <si>
    <t>စခန္းအတြင္းရွိ (အမ်ိဳးသမီး) က်န္းမာေရး ၊ သန္႔ရွင္းေရး  ျမွင္႔တင္ေရး လုပ္အားေပးဝန္ထမ္း</t>
  </si>
  <si>
    <t>စုစုေပါင္း လူဦးေရ အေရအတြက္</t>
  </si>
  <si>
    <t>စုစုေပါင္းအိမ္ေထာင္စု အေရအတြက္</t>
  </si>
  <si>
    <t>Cubic meters of desludging during reporting period</t>
  </si>
  <si>
    <t># Liters/person/day</t>
  </si>
  <si>
    <t>drop down (Yes,No)</t>
  </si>
  <si>
    <t>Dropdown (Functional,Not_Functional,No,NA)</t>
  </si>
  <si>
    <t>Non-functional protected hand dug well during reporting period</t>
  </si>
  <si>
    <t># of non-functional hand dug wells reported l during reporting period</t>
  </si>
  <si>
    <t>Operation &amp; Maintenance of hand dug well during reporting period</t>
  </si>
  <si>
    <t>Dropdown (Yes,No)</t>
  </si>
  <si>
    <t>အစီရင္ခံစာ ေပးပို႔သည္႔ကာလအတြင္း ေကာင္းမြန္စြာ အသံုးမျပဳႏိုင္ေသာ ဖံုးကာထားသည့္ ေရတြင္း အေရအတြက္</t>
  </si>
  <si>
    <t>အစီရင္ခံစာ ေပးပို႔သည္႔ကာလအတြင္း လက္ယက္ေရတြင္း စီမံခန္႔ခြဲျခင္း ႏွင္႔ ျပဳျပင္ထိမ္းသိမ္းျခင္း</t>
  </si>
  <si>
    <t>အစီရင္ခံစာ ေပးပို႔သည္႔ကာလအတြင္း စခန္းအတြင္း ရွိ္လက္ယက္ေရတြင္း မ်ား  စီမံခန္႔ခြဲျခင္း ႏွင္႔ ျပဳျပင္ထိမ္းသိမ္းျခင္း ျပဳလုပ္ေသာ အေရအတြက္</t>
  </si>
  <si>
    <r>
      <t>အစီရင္ခံစာ ေပးပို႔သည္႔ကာလအတြင္း သဘာ၀ ေရစီးဆင္းမွုစနစ္ျဖင္႔ တည္ေဆာက္ထားျပီး အသံုးျပဳ</t>
    </r>
    <r>
      <rPr>
        <sz val="10"/>
        <rFont val="Zawgyi-One"/>
        <family val="2"/>
      </rPr>
      <t>၍</t>
    </r>
    <r>
      <rPr>
        <sz val="9"/>
        <rFont val="zawgyi1"/>
        <family val="2"/>
      </rPr>
      <t xml:space="preserve"> မရေသာ </t>
    </r>
    <r>
      <rPr>
        <sz val="10"/>
        <rFont val="zawgyi1"/>
        <family val="2"/>
      </rPr>
      <t xml:space="preserve"> ေရသြယ္တန္းမႈ စနစ္ ၊ ပိုက္လိုင္း ၊ သိုေလွာင္ကန္ အေရ အတြက္ </t>
    </r>
  </si>
  <si>
    <r>
      <t xml:space="preserve">အစီရင္ခံစာ ေပးပို႔သည္႔ကာလအတြင္း ျပဳျပင္ထိမ္းသိမ္းမႈ႔ ျပဳလုပ္ေသာ  သဘာဝ ေရစီးဆင္းမႈ႔စနစ္ျဖင္႔ တည္ေဆာက္ထားျပီး </t>
    </r>
    <r>
      <rPr>
        <sz val="9"/>
        <rFont val="zawgyi1"/>
        <family val="2"/>
      </rPr>
      <t xml:space="preserve"> </t>
    </r>
    <r>
      <rPr>
        <sz val="10"/>
        <rFont val="zawgyi1"/>
        <family val="2"/>
      </rPr>
      <t xml:space="preserve"> ေရသြယ္တန္းမႈ႕ စနစ္ ၊ ပိုက္လိုင္း ၊ သိုေလွာင္ကန္ တုိ႔ အေရတြက္</t>
    </r>
  </si>
  <si>
    <t>အစီရင္ခံစာ ေပးပို႔သည္႔ကာလအတြင္း ေရထြက္ပင္ရင္းမွ ေရနမူနာယူျပီး ေရစမ္းသပ္ျခင္း</t>
  </si>
  <si>
    <t>အစီရင္ခံစာ ေပးပို႔သည္႔ကာလအတြင္း ေရထြက္ပင္ရင္းမွ ေရနမူနာယူျပီး ေရစမ္းသပ္ျခင္း ျပဳလုပ္ေသာ နမူအေရအတြက္</t>
  </si>
  <si>
    <t>အစီရင္ခံစာ ေပးပို႔သည္႔ကာလအတြင္း မိသားစုသံုး ေသာက္ေရမွ ေရနမူနာယူျပီး ေရစမ္းသပ္ျခင္း ျပဳလုပ္ျပီးစီးသည္႔ အေရအတြက္</t>
  </si>
  <si>
    <t>အစီရင္ခံစာ ေပးပို႔သည္႔ကာလအတြင္း မိသားစုသံုး ေသာက္ေရမွ ေရနမူနာယူျပီး ေရစမ္းသပ္ျခင္း</t>
  </si>
  <si>
    <t>အစီရင္ခံစာ ေပးပို႔သည္႔ကာလအတြင္း  မိလႅာစုပ္ထုတ္ခဲ႔ေသာ က်င္းအေရအတြက္</t>
  </si>
  <si>
    <t>အစီရင္ခံစာ ေပးပို႔သည္႔ကာလအတြင္း မိလႅာစုပ္ထုတ္ခဲ႔ေသာ က်င္းအေရအတြက္ ( အိမ္သာခန္းအေရအတြက္ ျဖင္႔ေကာက္ယူရန္  )</t>
  </si>
  <si>
    <t>အစီရင္ခံစာ ေပးပို႔သည္႔ကာလအတြင္း မိလႅာစုပ္ထုတ္ခဲ႔ေသာထုထည္ ပမာဏ ( ကုဗ မိတာ) - အလ်ား x အနံ x အျမင္႔  ( ၁၀၀ စီတီမိတာ = ၁ မိတာ ) မိတာျဖင္႔တိုင္းတာရန္</t>
  </si>
  <si>
    <t>အစီရင္ခံစာ ေပးပို႔သည္႔ကာလအတြင္း မိလႅာစုပ္ထုတ္ခဲ႔ေသာထုထည္ ပမာဏ</t>
  </si>
  <si>
    <t>မိသားစုသံုး အိမ္သာအျဖစ္  လံုးဝလြဲေျပာင္းျပီးေသာ အိမ္သာ အေရအတြက္</t>
  </si>
  <si>
    <t>လက္ရွိ ကာရံ ဖံုးအုပ္ထားေသာ ေရကန္၊ ေရအိုင္ အေရအတြက္</t>
  </si>
  <si>
    <r>
      <t>စခန္းအတြင္းရွိ လက္ရွိအိမ္သာအေရအတြင္း  ( ယာယီတိမ္းေရွာင္စခန္း တြင္ အေရးေပၚကာလသံုး ဒီဇိုင္း(သို႔) ယာယီမဟုတ္ေသာ တိ္မ္းေရွာင္စခန္း မ်ားတြင္စံခ်ိန္စံညြန္းႏွင္႔အညီေဆာက္လုပ္ျခင္း ) ႏွင္႔ အသံုးျပဳ</t>
    </r>
    <r>
      <rPr>
        <sz val="10"/>
        <rFont val="Zawgyi-One"/>
        <family val="2"/>
      </rPr>
      <t>၍</t>
    </r>
    <r>
      <rPr>
        <sz val="9"/>
        <rFont val="zawgyi1"/>
        <family val="2"/>
      </rPr>
      <t>ရေသာ အိမ္သာဆိုသည္မွာ ( က်င္း ေကာင္းမြန္ျခင္း၊ မိလႅာမ်ားျပည္႔မေနျခင္း ၊ လံု (၃) လံုႏွင္႔ျပ္ည္႔စံုျခင္း၊ အတြင္း တံခါး ၊ ေသာ႔မ်ား ၊ ၾကမ္းခင္းမ်ား ေကာင္းမြန္ျခင္း) တို႔ႏွင္ျပည္႔စံုရမည္။</t>
    </r>
  </si>
  <si>
    <t>Storage Capacity - meters cube</t>
  </si>
  <si>
    <t>Constructed/Existing protected/fenced ponds</t>
  </si>
  <si>
    <t>Constructed/Existing hand washing stations</t>
  </si>
  <si>
    <t xml:space="preserve">Constructed/Existing individual bathing spaces </t>
  </si>
  <si>
    <t xml:space="preserve">Constructed/Existing communal bathing spaces </t>
  </si>
  <si>
    <t>#_Constructed/Existingwater storage tank with gravity fed reticulation system</t>
  </si>
  <si>
    <t>#_Constructed/Existing protected/fenced ponds</t>
  </si>
  <si>
    <t>#_Constructed/Existing child friendly latrines</t>
  </si>
  <si>
    <t xml:space="preserve">#_Constructed/Existing disabled &amp; elderly friendly latrines </t>
  </si>
  <si>
    <t>#_Constructed/Existing hand washing stations</t>
  </si>
  <si>
    <t xml:space="preserve">#_Constructed/Existing communal bathing spaces </t>
  </si>
  <si>
    <t>Rakhine/Kachin</t>
  </si>
  <si>
    <t>site A</t>
  </si>
  <si>
    <t>auto calculation</t>
  </si>
  <si>
    <t># of hand dug wells that have undergone operation and maintenance work during reporting period</t>
  </si>
  <si>
    <t>Constructed tube wells/boreholes/handpumps by WASH agency</t>
  </si>
  <si>
    <t>ေကာင္းမြန္စြာ အသံုးျပဳႏိုင္ေသာ ဖံုးကာထားသည္ စခန္းအတြင္းရွိ ေရတြင္း အေရအတြက္</t>
  </si>
  <si>
    <t>WASH အဖြဲ႔အစည္းမွ စခန္းေန လူထု အတြက္ လံုေလာက္ေသာ ပမာဏ အား ေန႔စဥ္ ထုတ္ေပးနိုင္ေသာ အသံုးျပဳေနဆဲ အဝီစီတြင္း ( တြင္းတိမ္ / တြင္းနက္ ) ႏွင္႔ လက္ႏိုပ္တံုကင္မ်ား အေရအတြက္</t>
  </si>
  <si>
    <t>ပုဂၢလိက/အျခားအလွဴရွင္မ်ား/အဖြဲ့အစည္းမ်ားမွ လွဴထားေသာ  အဝီစီတြင္း ( တြင္းတိမ္ / တြင္းနက္ ) ႏွင္႔ လက္နိွပ္တံုကင္မ်ား အေရအတြက္</t>
  </si>
  <si>
    <t>Constructed/existing protected hand dug well</t>
  </si>
  <si>
    <t>Constructed water tube-wells/boreholes/handpumps by Non-cluster partners</t>
  </si>
  <si>
    <t xml:space="preserve"># of tube-wells/boreholes/handpumps constructed by non-traditional WASH Cluster partners or partners that have not been reporting to the WASH Cluster </t>
  </si>
  <si>
    <t>Constructed latrines (cluster semi-permanent design for protracted sites; cluster emergency design for new displacement sites) by WASH agency</t>
  </si>
  <si>
    <t xml:space="preserve">Constructed latrines by Non-Cluster partner </t>
  </si>
  <si>
    <t>Report construction of latrines by non-traditional WASH Cluster partners or partners that have not be reporting to the WASH Cluster</t>
  </si>
  <si>
    <t>V64</t>
  </si>
  <si>
    <t>V65</t>
  </si>
  <si>
    <t>Donors should be filled WASH program agency's donor if WASH project agency and WASH implementing agency is different.</t>
  </si>
  <si>
    <t>Non-functional storage tank with gravity fed reticulation system  during reporting period</t>
  </si>
  <si>
    <t>Operation &amp; maintenance of storage tank with gravity fed reticulation system during reporting period</t>
  </si>
  <si>
    <t># of Non-functional storage tank gravity fed reticulation system  during reporting period</t>
  </si>
  <si>
    <t># of water storage tank that have undergone operation and maintenance work  during reporting period</t>
  </si>
  <si>
    <t>Non-Functional hand washing stations during reporting period</t>
  </si>
  <si>
    <t># Non-Functional hand washing stations during reporting period</t>
  </si>
  <si>
    <t>Non-Functional communal bathing spaces during reporting period</t>
  </si>
  <si>
    <t># Non-Functional communal bathing spaces during reporting period</t>
  </si>
  <si>
    <r>
      <t xml:space="preserve">% Latrines requiring  repairs/maintenance
</t>
    </r>
    <r>
      <rPr>
        <b/>
        <sz val="10"/>
        <color rgb="FFFF0000"/>
        <rFont val="Crobel"/>
      </rPr>
      <t>Red &gt;=10%,</t>
    </r>
    <r>
      <rPr>
        <b/>
        <sz val="10"/>
        <color theme="0"/>
        <rFont val="Crobel"/>
      </rPr>
      <t xml:space="preserve">
</t>
    </r>
    <r>
      <rPr>
        <b/>
        <sz val="10"/>
        <color theme="5" tint="-0.249977111117893"/>
        <rFont val="Crobel"/>
      </rPr>
      <t>Orange 0%~9%,</t>
    </r>
    <r>
      <rPr>
        <b/>
        <sz val="10"/>
        <color theme="0"/>
        <rFont val="Crobel"/>
      </rPr>
      <t xml:space="preserve">
</t>
    </r>
    <r>
      <rPr>
        <b/>
        <sz val="10"/>
        <color rgb="FF00B050"/>
        <rFont val="Crobel"/>
      </rPr>
      <t>Green =0%</t>
    </r>
  </si>
  <si>
    <r>
      <t xml:space="preserve">Hygiene Gap %
</t>
    </r>
    <r>
      <rPr>
        <b/>
        <sz val="10"/>
        <color rgb="FFFF0000"/>
        <rFont val="Crobel"/>
      </rPr>
      <t>Red &gt;=30%,</t>
    </r>
    <r>
      <rPr>
        <b/>
        <sz val="10"/>
        <color theme="0"/>
        <rFont val="Crobel"/>
      </rPr>
      <t xml:space="preserve">
</t>
    </r>
    <r>
      <rPr>
        <b/>
        <sz val="10"/>
        <color rgb="FFFFC000"/>
        <rFont val="Crobel"/>
      </rPr>
      <t>Orange 0%~29%,</t>
    </r>
    <r>
      <rPr>
        <b/>
        <sz val="10"/>
        <color theme="0"/>
        <rFont val="Crobel"/>
      </rPr>
      <t xml:space="preserve"> 
</t>
    </r>
    <r>
      <rPr>
        <b/>
        <sz val="10"/>
        <color theme="9" tint="-0.499984740745262"/>
        <rFont val="Crobel"/>
      </rPr>
      <t>Green =0%</t>
    </r>
  </si>
  <si>
    <t>အကယ္၍ V2 ႏွင့္ v3 မတူေနလွ်င္ အလွဴရွင္ အမည္သည္ v2 ၏ အလွဴရွင္ အမည္ျဖစ္သင့္သည္။</t>
  </si>
  <si>
    <t xml:space="preserve">စီမံကိန္းကို ဦးေဆာင္ေသာ အဖြဲ႔အစည္းအမည္ </t>
  </si>
  <si>
    <t>စခန္းတြင္းရွိ စုစုေပါင္းအိမ္ေထာင္စု အေရအတြက္</t>
  </si>
  <si>
    <t>စခန္းတြင္းရွိ  စုစုေပါင္း လူဦးေရ အေရအတြက္</t>
  </si>
  <si>
    <t>WASH အဖြဲ႔သည္ စခန္းစီမံ ခန္႔ခြဲမႈ နွင္႔ ခ်ိတ္ဆက္မႈရွိျပီး သတင္းအခ်က္အလက္မ်ားမ်ွေဝျခင္း (ရွိ ၊ မရွိ)</t>
  </si>
  <si>
    <t>စခန္းအတြင္း WASH အဖြဲ႔တြင္  ပါ၀င္ေသာ အမ်ိဳးသမီးဦးေရ</t>
  </si>
  <si>
    <t>စခန္းအတြင္း WASH အဖြဲ႔တြင္  ပါ၀င္ေသာ အမ်ိဳးသားဦးေရ</t>
  </si>
  <si>
    <t>ေကာင္းမြန္စြာ အသံုးျပဳႏိုင္ေသာ ဖံုးကာထားသည့္ စခန္းအတြင္းရွိ ေရတြင္း အေရအတြက္။ တစ္ေန့လံုး ေသာက္ေရ၊သံူးေရ အျဖစ္ သံုးစြဲလို႔ရသည္။</t>
  </si>
  <si>
    <t>သဘာ၀ ေရစီးဆင္းမွုစနစ္ျဖင္႔ တည္ေဆာက္ထားေသာ ေရသြယ္တန္းမႈစနစ္ ၊ ပိုက္လိုင္း ၊ သိုေလွာင္ကန္ အေရ အတြက္</t>
  </si>
  <si>
    <t>( WASH အဖြဲ႔အစည္းမွ ပံ့ပိုးထားေသာ) စခန္းအတြင္းရွိ  လက္ရွိအိမ္သာအေရအတြင္း ( ယာယီတိမ္းေရွာင္စခန္း တြင္ အေရးေပၚကာလသံုး ဒီဇိုင္း(သို႔) ယာယီမဟုတ္ေသာ တိ္မ္းေရွာင္စခန္း မ်ားတြင္စံခ်ိန္စံညြန္းႏွင္႔အညီေဆာက္လုပ္ျခင္း )</t>
  </si>
  <si>
    <t>WASH အစုအဖြဲ႔သို႔ သတင္းေပးပို႔ရာတြင္ မပါဝင္ေသာ ပုဂၢလိက/အျခားအလွဴရွင္မ်ား/အဖြဲ့အစည္းမ်ားမွ လွဴထားေသာ   အိမ္သာမ်ား အေရအတြက္</t>
  </si>
  <si>
    <t>အစီရင္ခံစာ ေပးပို႔သည္႔ကာလအတြင္း အသံုးျပဳမရေသာ လက္ေဆးစင္ အေရအတြက္</t>
  </si>
  <si>
    <t>အစီရင္ခံစာ ေပးပို႔သည္႔ကာလအတြင္း အသံုးျပဳမရေသာ င္အမ်ိဳးသမီး အမ်ိဳးသားခြဲထားေသာ အမ်ားသံုး ေရခ်ိဳးခန္း အေရအတြက္</t>
  </si>
  <si>
    <t>အစီရင္ခံစာ ေပးပို႔သည္႔ကာလအတြင္း သဘာဝ ေရစီးဆင္းမွုစနစ္ျဖင္႔ တည္ေဆာက္ထားျပီး အသံုးျပဳ၍ မရေသာ  ေရသြယ္တန္းမႈစနစ္ ၊ ပိုက္လိုင္း ၊ သိုေလွာင္ကန္ အေရ အတြက္</t>
  </si>
  <si>
    <t>#_Non-Functional_hand_washing_stations</t>
  </si>
  <si>
    <t xml:space="preserve">#_Constructed/Existing_individual_bathing_spaces </t>
  </si>
  <si>
    <t xml:space="preserve">#_Non-Functional communal_bathing spaces </t>
  </si>
  <si>
    <t>WASH Focal in camp management structure?</t>
  </si>
  <si>
    <t>#_Constructed/existing protected hand dug well</t>
  </si>
  <si>
    <t>#_Constructed/Existing tube wells/boreholes/handpumps_WASH_agency</t>
  </si>
  <si>
    <t>#_Constructed latrines_by_WASHAgencies</t>
  </si>
  <si>
    <t>#of students in TLS (Temporary Learning Space) and CFS (Child Frendly Space)</t>
  </si>
  <si>
    <t>How many camp based skilled WASH labor employed ?
(monthly paid labour)</t>
  </si>
  <si>
    <r>
      <t xml:space="preserve">How many camp based unskilled WASH labor employed ?
(monthly paid labour)
</t>
    </r>
    <r>
      <rPr>
        <b/>
        <u/>
        <sz val="10"/>
        <color rgb="FFFF0000"/>
        <rFont val="Corbel"/>
        <family val="2"/>
      </rPr>
      <t/>
    </r>
  </si>
  <si>
    <t>Number of person days</t>
  </si>
  <si>
    <r>
      <rPr>
        <b/>
        <sz val="10"/>
        <rFont val="Corbel"/>
        <family val="2"/>
      </rPr>
      <t>Example:</t>
    </r>
    <r>
      <rPr>
        <sz val="10"/>
        <rFont val="Corbel"/>
        <family val="2"/>
      </rPr>
      <t xml:space="preserve"> If one paid employee could not access the site for 3 days and one paid employee could not access for 1 day due to access restrictions, total = 4 days lost (not 2 people)</t>
    </r>
  </si>
  <si>
    <t>Request information from CCCM if not available from WASH implementing agency</t>
  </si>
  <si>
    <t>To collect from WASH implementing agency</t>
  </si>
  <si>
    <t>Non-functional tube wells/boreholes/handpumps during reporting period (including non-cluster partners)</t>
  </si>
  <si>
    <t># of non-functional tubewells reported during reporting period including non-cluster partners</t>
  </si>
  <si>
    <t>Operation &amp; Maintenance of tube wells/boreholes/handpumps during reporting period (including non-cluster partners)</t>
  </si>
  <si>
    <t># of tube-wells/boreholes/handpumps that have undergone operation and maintenance work during reporting period including non-cluster partners</t>
  </si>
  <si>
    <t>Constructed/Existing water storage tank with gravity fed reticulation system from spring</t>
  </si>
  <si>
    <t>#cubic meters</t>
  </si>
  <si>
    <t>Estimate liters/person/day (cubic meters)</t>
  </si>
  <si>
    <t>Constructed water distribution system from river</t>
  </si>
  <si>
    <t>A water distribution system constructed from a naturally occuring surface water source. (based on  water flow rate (liter/sec))</t>
  </si>
  <si>
    <t>How many committes/technicians trained and maintaining the water points (ownership by community)?</t>
  </si>
  <si>
    <t># of committes/technicians trained and maintaining the water points (ownership by community)?</t>
  </si>
  <si>
    <t>Indicate the name of Non-Cluster partner who constructed latrines</t>
  </si>
  <si>
    <t>Non-functional latrines during reporting quarter (including Non-Cluster partner)</t>
  </si>
  <si>
    <t>Operation &amp; maintenance of latrines (major repairs/maintenance)  during reporting quarter (including Non-Cluster partner)</t>
  </si>
  <si>
    <t>Major repairs or maintenance include: need for coverage of septic tank, major structural damage with no doors, superstructure/walls, roof, major pipes breakage, steps/access which makes the latrine to be considered a 'non-functional latrine.' (Cluster &amp; Non-Cluster Partner)</t>
  </si>
  <si>
    <t>Latrines desludged during reporting period (including Non-Cluster partner)</t>
  </si>
  <si>
    <t># of latrines desludged during reporting quarter (Count the number of latrine dropholes or doors, not number of septic tanks)  (including Non-Cluster partner)</t>
  </si>
  <si>
    <t>Calculate the cubic meters of sludge removed from latrines during that last quarter (for big septic tanks)</t>
  </si>
  <si>
    <t>Latrines fully handed over (managed by a family or small group of families)</t>
  </si>
  <si>
    <t># of shared latrines accessible to all persons in the family and managed by a family or a small group of families/neighbors. Fully handed over from WASH cluster partner to family/community.</t>
  </si>
  <si>
    <t>Kachin/Shan</t>
  </si>
  <si>
    <t>HHs targeted (i.e. 89% in Rakhine) who received soap at least once in the reporting quarter (Soap means: a pack of soaps as provided in a standard Hygiene Kit )</t>
  </si>
  <si>
    <t>Is soap available for TLS and CFS? (Yes/No)</t>
  </si>
  <si>
    <t>V66</t>
  </si>
  <si>
    <r>
      <t>Provision of Hygiene Promotion activities (</t>
    </r>
    <r>
      <rPr>
        <b/>
        <sz val="10"/>
        <rFont val="Corbel"/>
        <family val="2"/>
      </rPr>
      <t>sessions?</t>
    </r>
    <r>
      <rPr>
        <sz val="10"/>
        <rFont val="Corbel"/>
        <family val="2"/>
      </rPr>
      <t>) in TLS and CFS during the reporting period</t>
    </r>
  </si>
  <si>
    <t># sessions on hygiene promotion are organized with the students and/or support provided to the teachers during the reporting period</t>
  </si>
  <si>
    <t>V67</t>
  </si>
  <si>
    <t>% of students reached by Hygiene Promition activities</t>
  </si>
  <si>
    <t>V68</t>
  </si>
  <si>
    <t>ယာယီ ေက်ာင္းေဆာင္မ်ား နွင့္ ကေလးေပ်ာ္ေနရာမ်ား တြင္တက္ေရာက္ေနေသာ ေက်ာင္းသားဦးေရ</t>
  </si>
  <si>
    <t>WASH အဖြဲ႔အစည္းမွ ပံ့ပိုးထားေသာ အဝီစီတြင္း ( တြင္းတိမ္ / တြင္းနက္ ) ႏွင္႔ လက္နိွပ္တံုကင္မ်ား အေရအတြက္</t>
  </si>
  <si>
    <t>အစီရင္ခံစာ ေပးပို႔သည္႔ကာလအတြင္း  ေကာင္းမြန္စြာ အသံုးမျပဳႏိုင္ေသာ အဝီစီတြင္း ( တြင္းတိမ္ / တြင္းနက္ ) ႏွင္႔  လက္နိွပ္တံုကင္မ်ား အေရအတြက္ (ပုဂၢလိက/အျခားအလွဴရွင္မ်ား/အဖြဲ့အစည္းမ်ားမွ လွဴဒါန္းမွုမ်ားအပါအ၀င္)</t>
  </si>
  <si>
    <t>အစီရင္ခံစာ ေပးပို႔သည္႔ကာလအတြင္း စီမံခန္႔ခြဲျခင္း ႏွင္႔ ျပဳျပင္ထိမ္းသိမ္းျခင္း ျပဳလုပ္ရေသာ အဝီစီတြင္း ( တြင္းတိမ္ / တြင္းနက္ ) ႏွင့္ လက္နိွပ္တံုကင္မ်ား အေရအတြက္ (ပုဂၢလိက/အျခားအလွဴရွင္မ်ား/အဖြဲ့အစည္းမ်ားမွ လွဴဒါန္းမွုမ်ားအပါအ၀င္)</t>
  </si>
  <si>
    <t>အစီရင္ခံစာ ေပးပို႔သည္႔ကာလအတြင္း ျပဳျပင္ထိမ္းသိမ္းမႈ ျပဳလုပ္ျပီးစီးေသာ  (သဘာဝ ေရစီးဆင္းမႈ႔စနစ္ျဖင္႔ တည္ေဆာက္ထားျပီး) ေရသြယ္တန္းမႈ႕ စနစ္ ၊ ပိုက္လိုင္း ၊ သိုေလွာင္ကန္ တုိ႔ အေရတြက္</t>
  </si>
  <si>
    <t>လက္ရွိ တည္ေဆာက္အသံုးျပဳေနေသာ ေရ အရင္းအျမစ္ ( ျမစ္ေခ်ာင္း) မွ ေန႔စဥ္ထုတ္ယူ အသံုးျပဳႏိုင္ေသာ ေရပမာဏ</t>
  </si>
  <si>
    <t>စခန္းတြင္းေနထိုင္သူမ်ားသို႔ လႊဲေျပာင္းေပးျပီးေသာ ေရထြက္ပင္ရင္းေနရာမ်ားအား ျပဳျပင္ထိန္းသိမ္းျခင္း သင္တန္းရရွိျပီးေသာ က်ြမ္းက်င္သူအေရအတြက္</t>
  </si>
  <si>
    <t>စခန္းေန ျပည္သူသို႔ အျပည္မဝ လႊဲေျပာင္းေပးျပီးေသာ ေရထြက္ပင္ရင္းေနရာမ်ား ( စခန္းေနထိုင္သူမ်ားမွ စီမံခန္႔ခြဲၿပီး WASH ေကာ္မတီမွ ျပဳျပင္ထိန္းသိမ္းျခင္း )</t>
  </si>
  <si>
    <t>စခန္းေန ျပည္သူသို႔ အျပည္မဝ   လႊဲေျပာင္းေပးျပီးေသာ ေရထြက္ပင္ရင္းေနရာမ်ား ၏ အေရအတြက္ ( စခန္းေနထိုင္သူမ်ားမွ စီမံခန္႔ခြဲၿပီး WASH ေကာ္မတီမွ ျပဳျပင္ထိန္းသိမ္းျခင္း )</t>
  </si>
  <si>
    <t>ပုဂၢလိက/အျခားအလွဴရွင္မ်ား/အဖြဲ့အစည္းမ်ားမွ လွဴထားေသာ   အိမ္သာအေရအတြက္</t>
  </si>
  <si>
    <r>
      <t>အိမ္သာလွဴထားေသာ ပုဂၢလိက/အျခားအလွဴရွင္မ်ား/အဖြဲ့အစည္းမ်ား</t>
    </r>
    <r>
      <rPr>
        <sz val="10"/>
        <rFont val="zawgyi1"/>
        <family val="2"/>
      </rPr>
      <t>၏</t>
    </r>
    <r>
      <rPr>
        <sz val="10"/>
        <rFont val="Zawgyi-One"/>
        <family val="2"/>
      </rPr>
      <t xml:space="preserve"> အမည္</t>
    </r>
  </si>
  <si>
    <t>အိမ္သာလွဴထားေသာ ပုဂၢလိက/အျခားအလွဴရွင္မ်ား/အဖြဲ့အစည္းမ်ား၏ အမည္</t>
  </si>
  <si>
    <t>အစီရင္ခံစာ ေပးပို႔သည္႔ကာလအတြင္း အသံုးျပဳမရေသာ အိမ္သာမ်ား အေရအတြက္ (ပုဂၢလိက/အျခားအလွဴရွင္မ်ား/အဖြဲ့အစည္းမ်ားမွ လွဴဒါန္းမွုမ်ားအပါအ၀င္)</t>
  </si>
  <si>
    <t>အစီရင္ခံစာ ေပးပို႔သည္႔ကာလအတြင္း အသံုး ျပဳမရေသာ အိမ္သာ အေရအတြက္ (ပုဂၢလိက/အျခားအလွဴရွင္မ်ား/အဖြဲ့အစည္းမ်ားမွ လွဴဒါန္းမွုမ်ားအပါအ၀င္)</t>
  </si>
  <si>
    <t>အစီရင္ခံစာ ေပးပို႔သည္႔ကာလအတြင္း အၾကီးစားျပင္ဆင္ရန္လိုအပ္ေသာ အိမ္သာ ( အသံုးျပဳမရေသာ အေျခအေန) (ပုဂၢလိက/အျခားအလွဴရွင္မ်ား/အဖြဲ့အစည္းမ်ားမွ လွဴဒါန္းမွုမ်ားအပါအ၀င္)</t>
  </si>
  <si>
    <t>အၾကီးစားျပင္ဆင္ရန္လိုအပ္ေသာ အေျခအေန ဆိုသည္မွာ ( မိလႅာက်င္းဖံုး မရွိျခင္း ၊ ပ်က္စီးျခင္း၊ အမိုး အကာ မ်ားပ်က္စီးျခင္း ၊ ၾကမ္းခင္းမ်ားပ်က္စီးျခင္း ၊ အတက္အဆင္းေလွကားထစ္ မရွိျခင္း ပ်က္စီးျခင္း ၊ ပိုက္ ခြက္မ်ား ပ်က္စီးျခင္း ၊ ပိုက္လိုင္းမ်ားပ်က္စီးျခင္းတို႔ပါဝင္သည္။) (ပုဂၢလိက/အျခားအလွဴရွင္မ်ား/အဖြဲ့အစည္းမ်ားမွ လွဴဒါန္းမွုမ်ားအပါအ၀င္)</t>
  </si>
  <si>
    <t>ယာယီစာသင္ေက်ာင္းေဆာင္မ်ား နွင့္ ကေလးေပ်ာ္ေနရာမ်ားတြင္ တကိုယ္ရည္သန္႔ရွင္းေရးပညာေပးအစီအစဥ္  
( အၾကိမ္အေရတြက္ ) သာေျဖရန္</t>
  </si>
  <si>
    <t>တကိုယ္ရည္သန္႔ရွင္းေရးပညာေပးအစီအစဥ္မ်ား ရရွိေသာ ေက်ာင္းသား ရာခိုင္နွိုင္း</t>
  </si>
  <si>
    <t>#_students at TLS_CFS</t>
  </si>
  <si>
    <t>#_committes/technicians trained and maintaining the water points</t>
  </si>
  <si>
    <t>Name of Non-Cluster partner who constructed latrines</t>
  </si>
  <si>
    <t>% of students reached by HP activities</t>
  </si>
  <si>
    <t>% of water sources treated</t>
  </si>
  <si>
    <t>% Household received corrective actions due to contamination</t>
  </si>
  <si>
    <t>Warter quality test done</t>
  </si>
  <si>
    <t>Functional protected hand dug well during reporting period</t>
  </si>
  <si>
    <t>Functional tube wells/boreholes/handpumps during reporting period (including non-cluster partners)</t>
  </si>
  <si>
    <t>Functional storage tank with gravity fed reticulation system  during reporting period</t>
  </si>
  <si>
    <t>Functional protected hand dug well</t>
  </si>
  <si>
    <t>Functional tube wells/boreholes/handpumps (including non-cluster partners)</t>
  </si>
  <si>
    <t>Functional storage tank with gravity fed reticulation system</t>
  </si>
  <si>
    <t xml:space="preserve">
Water boating or water trucking</t>
  </si>
  <si>
    <t>Safe drinking water</t>
  </si>
  <si>
    <t>% Equitable and continuous access to sufficient quantity of domestic water</t>
  </si>
  <si>
    <t># people with equitable and continuous access to sufficient quantity of safe drinking water</t>
  </si>
  <si>
    <t>Number of women, men, boys and girls benefitting from safe/improved drinking water, meeting demand for domestic purposes, at minimum/agreed standards</t>
  </si>
  <si>
    <t># people needs equitable and continuous access to sufficient quantity of safe drinking and domestic water GAP</t>
  </si>
  <si>
    <t>water point gap</t>
  </si>
  <si>
    <r>
      <t>WATER GAP</t>
    </r>
    <r>
      <rPr>
        <b/>
        <sz val="12"/>
        <color rgb="FFFF0000"/>
        <rFont val="Corbel"/>
        <family val="2"/>
      </rPr>
      <t/>
    </r>
  </si>
  <si>
    <t>Number of  targeted women, men, boys and girls benefitting from a functional excreta disposal system, reducing safety/public health/environmental risks</t>
  </si>
  <si>
    <t>HRP2</t>
  </si>
  <si>
    <t># people needs equitable and continuous access to sufficient quantity of safe drinking and domestic water -GAP</t>
  </si>
  <si>
    <t># Functional hand washing stations during reporting period</t>
  </si>
  <si>
    <t>Nb of Functional hand washing stations during reporting period</t>
  </si>
  <si>
    <t>HRP3</t>
  </si>
  <si>
    <t>HRP 3a</t>
  </si>
  <si>
    <t>HRP 3b</t>
  </si>
  <si>
    <t xml:space="preserve"> # of women, men, boys and girls benefitting from timely/adequate/tailored personal hygiene items and receiving appropriate/ community tailored messages that enable health seeking behavior</t>
  </si>
  <si>
    <t xml:space="preserve">Camp: 100HH:1 
Village: 100HH:1
Sphere: 750 grams of soap for bathing per person per quater (11kgs/HH/Qtr - HH=5 People)
Sphere: either absorbent cotton material (4 square metres per year), disposable pads (45 pe rquater) or reusable sanitary pads (six per year), as preferred by women and girls. + extra 750grms soap.
</t>
  </si>
  <si>
    <t># of hand washing stations with soap in TLS</t>
  </si>
  <si>
    <t>Nb of hand washing stations with soap in TLS</t>
  </si>
  <si>
    <t xml:space="preserve"> HRP1</t>
  </si>
  <si>
    <t xml:space="preserve"> HRP2</t>
  </si>
  <si>
    <t xml:space="preserve"> HRP3</t>
  </si>
  <si>
    <t>benefitting from timely/adequate/tailored personal hygiene items and receiving appropriate/ community tailored messages that enable health seeking behavior</t>
  </si>
  <si>
    <t>benefitting from a functional excreta disposal system, reducing safety/public health/environmental risks</t>
  </si>
  <si>
    <t>benefitting from safe/improved drinking water, meeting demand for domestic purposes, at minimum/agreed standards</t>
  </si>
  <si>
    <t>PIN</t>
  </si>
  <si>
    <t>Temporary location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</si>
  <si>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</si>
  <si>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</si>
  <si>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Q1_2019</t>
  </si>
  <si>
    <t>Shan (North) Total</t>
  </si>
  <si>
    <t>Boe Taw monastery</t>
  </si>
  <si>
    <t>Man Li</t>
  </si>
  <si>
    <t>Sasana 2500 monastery</t>
  </si>
  <si>
    <t>OXSI (OXFAM)</t>
  </si>
  <si>
    <t>IDP only</t>
  </si>
  <si>
    <t>Northern Rakhine</t>
  </si>
  <si>
    <t>Central Rakhine</t>
  </si>
  <si>
    <t xml:space="preserve"> # People received regular supply of hygiene items</t>
  </si>
  <si>
    <t># People access to Handwashing Station</t>
  </si>
  <si>
    <t xml:space="preserve"> # People access to Handwashing Station</t>
  </si>
  <si>
    <t xml:space="preserve"> # people reached by regular dedicated hygiene promotion</t>
  </si>
  <si>
    <t>New Temporary Site</t>
  </si>
  <si>
    <t>% Access to unimproved water points</t>
  </si>
  <si>
    <t># Operation &amp; maintenance of latrines</t>
  </si>
  <si>
    <t># Latrines desludged</t>
  </si>
  <si>
    <t># handed over</t>
  </si>
  <si>
    <t>Sum of # Existing functional latrines</t>
  </si>
  <si>
    <t xml:space="preserve">  Total # of latrine</t>
  </si>
  <si>
    <t>Operation &amp; maintenance</t>
  </si>
  <si>
    <t>it is included non-functioning latrines</t>
  </si>
  <si>
    <t>functioning latrines</t>
  </si>
  <si>
    <t># Operation &amp; maintenance</t>
  </si>
  <si>
    <t xml:space="preserve">Count of Is there constructed surface water drainage system?
</t>
  </si>
  <si>
    <t>Count of Is there provision of solid waste management equipment?</t>
  </si>
  <si>
    <r>
      <t>% of Latrine</t>
    </r>
    <r>
      <rPr>
        <b/>
        <sz val="10"/>
        <color theme="5" tint="-0.249977111117893"/>
        <rFont val="Crobel"/>
      </rPr>
      <t xml:space="preserve"> Gap</t>
    </r>
    <r>
      <rPr>
        <b/>
        <sz val="10"/>
        <color theme="0"/>
        <rFont val="Crobel"/>
      </rPr>
      <t xml:space="preserve">
</t>
    </r>
    <r>
      <rPr>
        <b/>
        <sz val="10"/>
        <color rgb="FFFF0000"/>
        <rFont val="Crobel"/>
      </rPr>
      <t>Red &gt;=10%,</t>
    </r>
    <r>
      <rPr>
        <b/>
        <sz val="10"/>
        <color theme="0"/>
        <rFont val="Crobel"/>
      </rPr>
      <t xml:space="preserve">
</t>
    </r>
    <r>
      <rPr>
        <b/>
        <sz val="10"/>
        <color theme="5"/>
        <rFont val="Crobel"/>
      </rPr>
      <t>Orange 0%~9%,</t>
    </r>
    <r>
      <rPr>
        <b/>
        <sz val="10"/>
        <color theme="0"/>
        <rFont val="Crobel"/>
      </rPr>
      <t xml:space="preserve">
</t>
    </r>
    <r>
      <rPr>
        <b/>
        <sz val="10"/>
        <color rgb="FF00B050"/>
        <rFont val="Crobel"/>
      </rPr>
      <t>Green =0%</t>
    </r>
  </si>
  <si>
    <t>% people access to functioning Latrine</t>
  </si>
  <si>
    <t>Closed_cccm2019Apr</t>
  </si>
  <si>
    <t xml:space="preserve">Hka Garan Yang </t>
  </si>
  <si>
    <t>MMR001CMP272</t>
  </si>
  <si>
    <t>KBC-BMO</t>
  </si>
  <si>
    <t>KBC-MYT</t>
  </si>
  <si>
    <t>KBC-NSS</t>
  </si>
  <si>
    <t>Sum of #_households that received standard amount of soap for this quarter</t>
  </si>
  <si>
    <t>Opeing date: 1/6/2017 and updated date in CCCM list: 29/6/2017;not yet updated in Q3 4W. Closed in  31 Aust 2018 in CCCM list but KMSS covered still Q4 2018. in Q1 2019, no report from KMSS</t>
  </si>
  <si>
    <t>KMSS covered till Q4 2018. No report from KMSS in Q1 2019.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</si>
  <si>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NSS WASH Cluster comments:Metta distributed hygiene kit in Apr'17 but no assessment done for other WASH needs. Security concern is high to travel.
SCI covered till Q4 2018. No report from SCI in Q1 2019</t>
  </si>
  <si>
    <t xml:space="preserve"> #_Hygiene Promotion activities (sessions) in TLS?</t>
  </si>
  <si>
    <t xml:space="preserve"> # of hand washing stations with soap in TLS</t>
  </si>
  <si>
    <t># Hygiene Promotion activities (sessions) in TLS</t>
  </si>
  <si>
    <t>Number of people with equitable and continuous access to sufficient quantity of domestic water</t>
  </si>
  <si>
    <t>Number of people with equitable and continuous access to safe sanitation facilities</t>
  </si>
  <si>
    <t>Number of People adopt basic personal and community hygiene practices</t>
  </si>
  <si>
    <t>WFP</t>
  </si>
  <si>
    <t># of People adopt basic personal and community hygiene practices</t>
  </si>
  <si>
    <t># of people access to functioning  sanitation facilities</t>
  </si>
  <si>
    <t># of people Equitable and continuous access to sufficient quantity of domestic water</t>
  </si>
  <si>
    <t>Sites with TLS</t>
  </si>
  <si>
    <t>Chruch</t>
  </si>
  <si>
    <t>remove from db, ipds moved to lawa rc church</t>
  </si>
  <si>
    <t xml:space="preserve">Site_DB: if partners have a new site, this needs to be added/edited here (camp, village). Otherwise, no need for partners input as it's already linked with the core Database. WC IMO updated HHs and Pop figures based on updated CCCM's camp list </t>
  </si>
  <si>
    <t>HRP report: linked with 2019 WASH Cluster HRP report and outcome of quarterly WASH Cluster 4 W</t>
  </si>
  <si>
    <t>(Non-IDP)</t>
  </si>
  <si>
    <t xml:space="preserve"> % Water GAP</t>
  </si>
  <si>
    <t xml:space="preserve"> % Sanitation GAP</t>
  </si>
  <si>
    <t xml:space="preserve"> % Hygiene Gap</t>
  </si>
  <si>
    <t xml:space="preserve">  % Hygiene Gap</t>
  </si>
  <si>
    <t xml:space="preserve"> % Water Coverage</t>
  </si>
  <si>
    <t xml:space="preserve">  % Latrine Coverage</t>
  </si>
  <si>
    <t xml:space="preserve">  % Latrine GAP</t>
  </si>
  <si>
    <t xml:space="preserve"> % Latrine Coverage</t>
  </si>
  <si>
    <t xml:space="preserve">  % Hygiene Coverage</t>
  </si>
  <si>
    <t>WVI</t>
  </si>
  <si>
    <t># Tested</t>
  </si>
  <si>
    <t>No test</t>
  </si>
  <si>
    <t xml:space="preserve"> # Tested</t>
  </si>
  <si>
    <t xml:space="preserve"> # Household received remediation action</t>
  </si>
  <si>
    <t>MMR001CMP273</t>
  </si>
  <si>
    <t>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fled in early of 2012 because of Arm Clashed between KIO and Burmese Millitary.They are still at the forest area of near their origin village as the mobile IDPs until now</t>
  </si>
  <si>
    <t>6-Miles</t>
  </si>
  <si>
    <t>Q2_2019</t>
  </si>
  <si>
    <t>Enai (Man Pyein)</t>
  </si>
  <si>
    <t xml:space="preserve">Htang Nya </t>
  </si>
  <si>
    <t>HPA</t>
  </si>
  <si>
    <t>To be edited</t>
  </si>
  <si>
    <t>Site</t>
  </si>
  <si>
    <t>WATER_17. Water issues/challenges (Community Feedback)</t>
  </si>
  <si>
    <t>General_state</t>
  </si>
  <si>
    <t>Sanitation_23. Sanitation issues/challenges (Community Feedback)</t>
  </si>
  <si>
    <t>Hygiene_29. Hygiene Issues/Challenges (Community Feedback)</t>
  </si>
  <si>
    <t>Hpa Ji Shalat Boarding School ( Daw Hpum Yang)</t>
  </si>
  <si>
    <t>MMR001CMP274</t>
  </si>
  <si>
    <t>Ding Ga Yang</t>
  </si>
  <si>
    <t>Q3_2019</t>
  </si>
  <si>
    <t>31/July/2019: Population update. Data source: UNHCR Bhamo</t>
  </si>
  <si>
    <t>Lwe Mauk Yang Boarding School</t>
  </si>
  <si>
    <t>MMR001CMP275</t>
  </si>
  <si>
    <t>Lwe Mauk Yang</t>
  </si>
  <si>
    <t># of people with disabilities provided with a way of disposing of their faeces in a safe and acceptable way (i.e. container based sanitation with commode chair or specifically adapted toilet).  This should be reported with the total number of disabled people identified in that site.</t>
  </si>
  <si>
    <r>
      <t xml:space="preserve">% of affected people surveyed who report </t>
    </r>
    <r>
      <rPr>
        <b/>
        <u/>
        <sz val="10"/>
        <rFont val="Corbel"/>
        <family val="2"/>
      </rPr>
      <t>feeling satistfied</t>
    </r>
    <r>
      <rPr>
        <sz val="10"/>
        <rFont val="Corbel"/>
        <family val="2"/>
      </rPr>
      <t xml:space="preserve"> with the latrine </t>
    </r>
    <r>
      <rPr>
        <b/>
        <u/>
        <sz val="10"/>
        <rFont val="Corbel"/>
        <family val="2"/>
      </rPr>
      <t xml:space="preserve">design and sanitation service </t>
    </r>
  </si>
  <si>
    <r>
      <t xml:space="preserve">% of affected people surveyed who report </t>
    </r>
    <r>
      <rPr>
        <b/>
        <u/>
        <sz val="10"/>
        <rFont val="Corbel"/>
        <family val="2"/>
      </rPr>
      <t>feeling satistfied</t>
    </r>
    <r>
      <rPr>
        <sz val="10"/>
        <rFont val="Corbel"/>
        <family val="2"/>
      </rPr>
      <t xml:space="preserve"> with the </t>
    </r>
    <r>
      <rPr>
        <b/>
        <u/>
        <sz val="10"/>
        <rFont val="Corbel"/>
        <family val="2"/>
      </rPr>
      <t>water point design</t>
    </r>
    <r>
      <rPr>
        <sz val="10"/>
        <rFont val="Corbel"/>
        <family val="2"/>
      </rPr>
      <t xml:space="preserve"> and </t>
    </r>
    <r>
      <rPr>
        <b/>
        <u/>
        <sz val="10"/>
        <rFont val="Corbel"/>
        <family val="2"/>
      </rPr>
      <t>water service</t>
    </r>
  </si>
  <si>
    <r>
      <t># of affected people surveyed who report</t>
    </r>
    <r>
      <rPr>
        <b/>
        <u/>
        <sz val="10"/>
        <rFont val="Corbel"/>
        <family val="2"/>
      </rPr>
      <t xml:space="preserve"> feeling informe</t>
    </r>
    <r>
      <rPr>
        <sz val="10"/>
        <rFont val="Corbel"/>
        <family val="2"/>
      </rPr>
      <t>d about the different WASH services available to them</t>
    </r>
  </si>
  <si>
    <t>% of complaints received that result in timely, corrective action and feedback to the community</t>
  </si>
  <si>
    <t>V69</t>
  </si>
  <si>
    <t>V70</t>
  </si>
  <si>
    <t>V71</t>
  </si>
  <si>
    <t>V72</t>
  </si>
  <si>
    <t>V73</t>
  </si>
  <si>
    <t>%_of_affected_people_surveyed_who_report_feeling_satistfied_with_the_latrine_design_and_sanitation_service</t>
  </si>
  <si>
    <t>%_of_affected_people_surveyed_who_report_feeling_satistfied_with_the_water_point_design_and_water_service</t>
  </si>
  <si>
    <t>#_of_affected_people_surveyed_who_report_feeling_informed_about_the_different_WASH_services_available_to_them</t>
  </si>
  <si>
    <t>%_of_complaints_received_that_result_in_timely_corrective_action_and_feedback_to_the_community</t>
  </si>
  <si>
    <t>စခန္းတြင္းေနထိုင္ေသာ အထူးဂရုစိုက္မွူ လိုအပ္ေသာ အုပ္စုမွ တစ္ကိုယ္ရည္သန္႔ရွင္းေရးဆိုင္ရာ မ်ား ေကာင္းမြန္စြာအသံုးျပဳနိုင္သူ အေရအတြက္</t>
  </si>
  <si>
    <r>
      <t>စခန္းတြင္းေနထိုင္သူမ်ားမွ WASH အဖြဲ႔မ်ား တည္ေဆာက္ေပးေသာ</t>
    </r>
    <r>
      <rPr>
        <b/>
        <sz val="10"/>
        <color theme="1"/>
        <rFont val="zawgyi1"/>
        <family val="2"/>
      </rPr>
      <t xml:space="preserve"> အိမ္သာပံုစံ မ်ားႏွင္႔ မိလႅာစုပ္ယူ သည္႔ စနစ္မ်ား အေပၚေက်နပ္မွဳ ရွိ ၊ မရွိ</t>
    </r>
    <r>
      <rPr>
        <sz val="10"/>
        <color theme="1"/>
        <rFont val="zawgyi1"/>
        <family val="2"/>
      </rPr>
      <t xml:space="preserve"> သတင္းေပးပို႔နိုင္ျခင္း (ရာခိုင္နွုန္းအားျဖင့္ ေဖာ္ျပပါ)</t>
    </r>
  </si>
  <si>
    <r>
      <t>စခန္းတြင္းေနထိုင္သူမ်ားမွ WASH အဖြဲ႔မ်ား တည္ေဆာက္ေပးေ</t>
    </r>
    <r>
      <rPr>
        <b/>
        <sz val="10"/>
        <color theme="1"/>
        <rFont val="zawgyi1"/>
        <family val="2"/>
      </rPr>
      <t>သာ ေရထြက္ပင္ရင္း မ်ားႏွင္႔ေရသြယ္တန္းစနစ္မ်ား အေပၚေက်နပ္မွဳ ရွိ ၊ မရွိ</t>
    </r>
    <r>
      <rPr>
        <sz val="10"/>
        <color theme="1"/>
        <rFont val="zawgyi1"/>
        <family val="2"/>
      </rPr>
      <t xml:space="preserve"> သတင္းေပးပို႔နိုင္ျခင္း (ရာခိုင္နွုန္းအားျဖင့္ ေဖာ္ျပပါ)</t>
    </r>
  </si>
  <si>
    <t>ေရႏွင္႔ သန္႔ရွင္းေရးဆိုင္ရာ လုပ္ငန္းမ်ား၀န္ေဆာင္မွဳမ်ားအေပၚ ေ၀ဖန္မွူမ်ားေပးပို႔ျခင္း အေပၚ ၌ အခ်ိန္ႏွင္႔တေျပးည္ီ ျပန္ လည္ ေျဖရွင္းမွဳမ်ား ျပဳလုပ္ေပးနိုင္ျခင္း (ရာခိုင္နွုန္းအားျဖင့္ ေဖာ္ျပပါ)</t>
  </si>
  <si>
    <r>
      <t>စခန္းေနထိုင္သူမ်ားမွ မတူညီေသာWASH အဖြဲမ်ားမွ ေရႏွင္႔ သန္႔ရွင္းေရးဆိုင္ရာ လုပ္ငန္းမ်ား ၀န္ေဆာင္မွဳမ်ားအေပၚတြင္</t>
    </r>
    <r>
      <rPr>
        <b/>
        <sz val="10"/>
        <color theme="1"/>
        <rFont val="zawgyi1"/>
        <family val="2"/>
      </rPr>
      <t xml:space="preserve"> ျပန္လည္ေ၀ဖန္မွဳမ်ားေပးပို႔နိုင္ေ</t>
    </r>
    <r>
      <rPr>
        <sz val="10"/>
        <color theme="1"/>
        <rFont val="zawgyi1"/>
        <family val="2"/>
      </rPr>
      <t>သာ လူအေရအတြက္</t>
    </r>
  </si>
  <si>
    <r>
      <t>စခန္းတြင္းေနထိုင္သူမ်ားမွ WASH အဖြဲ႔မ်ား တည္ေဆာက္ေပးေသာ</t>
    </r>
    <r>
      <rPr>
        <b/>
        <sz val="8"/>
        <color theme="1"/>
        <rFont val="zawgyi1"/>
        <family val="2"/>
      </rPr>
      <t xml:space="preserve"> အိမ္သာပံုစံ မ်ားႏွင္႔ မိလႅာစုပ္ယူ သည္႔ စနစ္မ်ား အေပၚေက်နပ္မွဳ ရွိ ၊ မရွိ</t>
    </r>
    <r>
      <rPr>
        <sz val="8"/>
        <color theme="1"/>
        <rFont val="zawgyi1"/>
        <family val="2"/>
      </rPr>
      <t xml:space="preserve"> သတင္းေပးပို႔နိုင္ျခင္း (ရာခိုင္နွုန္းအားျဖင့္ ေဖာ္ျပပါ)</t>
    </r>
  </si>
  <si>
    <r>
      <t>စခန္းတြင္းေနထိုင္သူမ်ားမွ WASH အဖြဲ႔မ်ား တည္ေဆာက္ေပးေ</t>
    </r>
    <r>
      <rPr>
        <b/>
        <sz val="8"/>
        <color theme="1"/>
        <rFont val="zawgyi1"/>
        <family val="2"/>
      </rPr>
      <t>သာ ေရထြက္ပင္ရင္း မ်ားႏွင္႔ေရသြယ္တန္းစနစ္မ်ား အေပၚေက်နပ္မွဳ ရွိ ၊ မရွိ</t>
    </r>
    <r>
      <rPr>
        <sz val="8"/>
        <color theme="1"/>
        <rFont val="zawgyi1"/>
        <family val="2"/>
      </rPr>
      <t xml:space="preserve"> သတင္းေပးပို႔နိုင္ျခင္း (ရာခိုင္နွုန္းအားျဖင့္ ေဖာ္ျပပါ)</t>
    </r>
  </si>
  <si>
    <r>
      <t>စခန္းေနထိုင္သူမ်ားမွ မတူညီေသာWASH အဖြဲမ်ားမွ ေရႏွင္႔ သန္႔ရွင္းေရးဆိုင္ရာ လုပ္ငန္းမ်ား ၀န္ေဆာင္မွဳမ်ားအေပၚတြင္</t>
    </r>
    <r>
      <rPr>
        <b/>
        <sz val="8"/>
        <color theme="1"/>
        <rFont val="zawgyi1"/>
        <family val="2"/>
      </rPr>
      <t xml:space="preserve"> ျပန္လည္ေ၀ဖန္မွဳမ်ားေပးပို႔နိုင္ေ</t>
    </r>
    <r>
      <rPr>
        <sz val="8"/>
        <color theme="1"/>
        <rFont val="zawgyi1"/>
        <family val="2"/>
      </rPr>
      <t>သာ လူအေရအတြက္</t>
    </r>
  </si>
  <si>
    <t>Robert -High school</t>
  </si>
  <si>
    <t>AD 2000 School</t>
  </si>
  <si>
    <t>Yi Ku Man Kan school</t>
  </si>
  <si>
    <t>Pamati Camp</t>
  </si>
  <si>
    <t>Mansan</t>
  </si>
  <si>
    <t>Naunghwe-Naung San Primary School</t>
  </si>
  <si>
    <t>Quarter -7 , Lashio</t>
  </si>
  <si>
    <t xml:space="preserve">Mine Tin </t>
  </si>
  <si>
    <t xml:space="preserve">Mat Chi Nu </t>
  </si>
  <si>
    <t xml:space="preserve">Nam Sa Lap ,Upper Church </t>
  </si>
  <si>
    <t xml:space="preserve">SGZ </t>
  </si>
  <si>
    <t>Za Yan Gyi Monastery</t>
  </si>
  <si>
    <t>Ka Yar Lane , 74 Miles</t>
  </si>
  <si>
    <t>38 Mine ManPying Monastery</t>
  </si>
  <si>
    <t>Kho Long</t>
  </si>
  <si>
    <t>Tang Tan</t>
  </si>
  <si>
    <t>Quarter 2 , Edin</t>
  </si>
  <si>
    <t xml:space="preserve">Quarter 4, Khar Nan </t>
  </si>
  <si>
    <t>Maw Han</t>
  </si>
  <si>
    <t>Column1</t>
  </si>
  <si>
    <t>Column2</t>
  </si>
  <si>
    <t>Sum of #_Non-functional latrines</t>
  </si>
  <si>
    <t>Not_Functioing</t>
  </si>
  <si>
    <t>Not_Functioning</t>
  </si>
  <si>
    <t>AAP</t>
  </si>
  <si>
    <t>Average of %_of_affected_people_surveyed_who_report_feeling_satistfied_with_the_latrine_design_and_sanitation_service</t>
  </si>
  <si>
    <t>Average of %_of_affected_people_surveyed_who_report_feeling_satistfied_with_the_water_point_design_and_water_service</t>
  </si>
  <si>
    <t>Average of %_of_complaints_received_that_result_in_timely_corrective_action_and_feedback_to_the_community</t>
  </si>
  <si>
    <t xml:space="preserve"> % of affected people surveyed who report feeling satistfied with the latrine design and sanitation service</t>
  </si>
  <si>
    <t>% of affected people surveyed who report feeling satistfied with the water point design and water service</t>
  </si>
  <si>
    <t>% of complaints received that result in timely corrective action and feedback to the community</t>
  </si>
  <si>
    <t>Momauk IDP new extension camp (Kye Nan)</t>
  </si>
  <si>
    <t>change name in Q3-2019</t>
  </si>
  <si>
    <t>Sector 5 Pammati Quarter</t>
  </si>
  <si>
    <t>MMR001CMP276</t>
  </si>
  <si>
    <t>30/September/2019: Population update. Data source: KMSS-M ( 4 HHs out 30 have houses in MKN and under assessment process) 
31/July/2019: Population update. Data source: UNHCR Bhamo</t>
  </si>
  <si>
    <t>Pam Ma Ti</t>
  </si>
  <si>
    <t>Q4_2019</t>
  </si>
  <si>
    <t>Momauk IDP new extension camp (Kye Nan) Total</t>
  </si>
  <si>
    <t>Kyauk Taw</t>
  </si>
  <si>
    <t>Pann Ninn</t>
  </si>
  <si>
    <t>Kyaukme Damma Yone</t>
  </si>
  <si>
    <t>%_of_affected_people_surveyed_who_report_feeling_informed_about_the_different_WASH_services_available_to_them2</t>
  </si>
  <si>
    <r>
      <t>% of affected people surveyed who report</t>
    </r>
    <r>
      <rPr>
        <b/>
        <u/>
        <sz val="10"/>
        <rFont val="Corbel"/>
        <family val="2"/>
      </rPr>
      <t xml:space="preserve"> feeling informe</t>
    </r>
    <r>
      <rPr>
        <sz val="10"/>
        <rFont val="Corbel"/>
        <family val="2"/>
      </rPr>
      <t>d about the different WASH services available to them</t>
    </r>
  </si>
  <si>
    <t>Average of %_of_affected_people_surveyed_who_report_feeling_informed_about_the_different_WASH_services_available_to_them2</t>
  </si>
  <si>
    <t>% of affected people surveyed who report feeling informed about the different WASH services available to them</t>
  </si>
  <si>
    <t>Kachin-NGCA 100%</t>
  </si>
  <si>
    <t>Soap</t>
  </si>
  <si>
    <t>Sanitary pad</t>
  </si>
  <si>
    <t>Closed_cccm_2019May</t>
  </si>
  <si>
    <t>Closed</t>
  </si>
  <si>
    <t>Kachin-GCA 25%</t>
  </si>
  <si>
    <t># of Water samples tested for fecal coliform  (@ water source) during reporting period</t>
  </si>
  <si>
    <t>Quarterly</t>
  </si>
  <si>
    <t>Total number of water samples taken from a water source and tested for faecal coliforms during the reporting period (this value should be equal to the number samples that passed + the number that failed)</t>
  </si>
  <si>
    <t># of Water samples which passed the fecal coliform test  (@ water source) during reporting period</t>
  </si>
  <si>
    <t xml:space="preserve">The number of water samples taken from a water source that show less than 10 coliform forming units (CFU) per 100ml </t>
  </si>
  <si>
    <t># of Water samples tested for fecal coliform (@ HH level) during reporting period</t>
  </si>
  <si>
    <t># of Water samples which passed the fecal coliform test (@ HH level) during reporting period</t>
  </si>
  <si>
    <t>Total number of water samples taken from a household drinking water container and tested for faecal coliforms during the reporting period (this value should be equal to the number samples that passed + the number that failed)</t>
  </si>
  <si>
    <t xml:space="preserve">The number of water samples taken from a household drinking water container that show less than 10 coliform forming units (CFU) per 100ml </t>
  </si>
  <si>
    <t># of sanitation facilities (latrines) built/repaired/rehabilitated following risk-sensitive programming and consultation with communities and/or GBV risk-sensitive programming</t>
  </si>
  <si>
    <t># of sanitation facilities (HH sanitation devices) distributed following risk-sensitive programming and consultation with communities and/or GBV risk-sensitive programming</t>
  </si>
  <si>
    <t># of sanitation facilities (bathing spaces) built following risk-sensitive programming and consultation with communities</t>
  </si>
  <si>
    <t>V74</t>
  </si>
  <si>
    <t>V75</t>
  </si>
  <si>
    <t>V76</t>
  </si>
  <si>
    <t>GENERAL</t>
  </si>
  <si>
    <t>WASHinProtection</t>
  </si>
  <si>
    <t xml:space="preserve">အစီရင္ခံစာ ေပးပို႔သည္႔ကာလအတြင္း ေရထြက္ပင္ရင္းအားေရစမ္းသပ္ျပီးေနာက္ မစင္ပိုးမေတြ႔ရွိသည္႔
ေရထြက္ပင္ရင္းအေရအတြက္ </t>
  </si>
  <si>
    <t>အစီရင္ခံစာ ေပးပို႔သည္႔ကာလအတြင္း မိသားစုသံုး ေသာက္ေရမွေရနမူနာယူျပီး ေရစမ္းသပ္ျပီးေနာက္ မစင္ပိုးမေတြ႔ရွိရေသာ အိမ္ေထာင္စုအေရအတြက္</t>
  </si>
  <si>
    <r>
      <t>အစီရင္ခံစာ ေပးပို႔သည္႔ကာလအတြင္း</t>
    </r>
    <r>
      <rPr>
        <sz val="11"/>
        <color theme="1"/>
        <rFont val="Calibri"/>
        <family val="2"/>
      </rPr>
      <t xml:space="preserve"> </t>
    </r>
    <r>
      <rPr>
        <sz val="10"/>
        <color theme="1"/>
        <rFont val="zawgyi1"/>
        <family val="2"/>
      </rPr>
      <t>မိသားစုသံုး ေသာက္ေရမွေရနမူနာယူျပီး ေရစမ္းသပ္ျပီးေနာက္ မစင္ပိုးမေတြ႔ရွိရေသာ အိမ္ေထာင္စုအေရအတြက္</t>
    </r>
  </si>
  <si>
    <t>#_Water sources passed</t>
  </si>
  <si>
    <t>#_Household water samples tested for fecal coliform</t>
  </si>
  <si>
    <t xml:space="preserve">#_Water sources tested for fecal coliform </t>
  </si>
  <si>
    <t>#_Household passed</t>
  </si>
  <si>
    <t>ယာယီ ေက်ာင္းေဆာင္မ်ား ၊ကေလးေပ်ာ္ေနရာမ်ား ႏွင့္ ယာယီက်န္းမာေရးေစာင့္ေရွာက္မွဳ ေဆးခန္းမ်ားတြင္ ရွိေသာ လက္ေဆးစင္ အေရအတြက္</t>
  </si>
  <si>
    <t>ယာယီ ေက်ာင္းေဆာင္မ်ား ၊ကေလးေပ်ာ္ေနရာမ်ား ႏွင့္ ယာယီက်န္းမာေရးေစာင့္ေရွာက္မွဳ ေဆးခန္းမ်ားတြင္  ေဆာက္လုပ္ထားေသာ ေရထြက္ပင္ရင္း ေရသံုးရန္ ေနရာ</t>
  </si>
  <si>
    <t>ယာယီ ေက်ာင္းေဆာင္မ်ား ၊ကေလးေပ်ာ္ေနရာမ်ား ႏွင့္ ယာယီက်န္းမာေရးေစာင့္ေရွာက္မွဳ ေဆးခန္းမ်ားတြင္ ေဆာက္လုပ္ထားေသာ ေရထြက္ပင္ရင္း ေရသံုးရန္ ေနရာ ေဆာက္လုပ္ျပီးစီးသည္႔ အေရအတြက္ (သို႔) ျပဳျပင္ေပးသည္႔ အေရအတြက္</t>
  </si>
  <si>
    <t xml:space="preserve"># of handwashing stations constructed at temporary learing spacse/Child Friendly Spaces/Temporary Health Facilities
</t>
  </si>
  <si>
    <t>Constructed/Existing hand washing stations at TLS /CFS/THF</t>
  </si>
  <si>
    <t>2020 HRP Indicators</t>
  </si>
  <si>
    <t>Number of women, men, boys and girls benefitting from safe/ improved drinking water, meeting demand for domestic purposes, at minimum/agreed standards.</t>
  </si>
  <si>
    <t>Number of women, men, boys and girls benefitting from functional excre-ta disposal system, reducing safety/public health/environmental risks.</t>
  </si>
  <si>
    <t>Number of women, men, boys and girls benefitting from timely/ade-quate/tailored personal hygiene items and receiving appropriate/ community tailored messages that enable health seeking behaviour.</t>
  </si>
  <si>
    <t>Number of vulnerable people that are consulted, and their concerns are addressed, through dignified and inclusive WASH services.</t>
  </si>
  <si>
    <t>Number of women, men, girls and boys accessing WASH services in temporary health facilities and learn-ing spaces which received support from the WASH Cluster.</t>
  </si>
  <si>
    <t>HRP 4</t>
  </si>
  <si>
    <t>HRP 5</t>
  </si>
  <si>
    <t># of sanitation facilities (latrines) built/repaired/rehabilitated following risk-sensitive programming and consultation with communities and/or GBV risk-sensitive programming
# of sanitation facilities (HH sanitation devices) distributed following risk-sensitive programming and consultation with communities and/or GBV risk-sensitive programming
# of sanitation facilities (bathing spaces) built following risk-sensitive programming and consultation with communities</t>
  </si>
  <si>
    <r>
      <t>#</t>
    </r>
    <r>
      <rPr>
        <b/>
        <u/>
        <sz val="10"/>
        <rFont val="Corbel"/>
        <family val="2"/>
      </rPr>
      <t xml:space="preserve"> of persons with disabilities with adapted sanitation option</t>
    </r>
    <r>
      <rPr>
        <b/>
        <sz val="10"/>
        <rFont val="Corbel"/>
        <family val="2"/>
      </rPr>
      <t xml:space="preserve"> </t>
    </r>
  </si>
  <si>
    <t xml:space="preserve">HRP2:Number of women, men, boys and girls benefitting from functional excre-ta disposal system, reducing safety/public health/environmental risks.
</t>
  </si>
  <si>
    <t># Constructed/Existing child friendly latrines</t>
  </si>
  <si>
    <t xml:space="preserve"># Constructed/Existing disabled &amp; elderly friendly latrines </t>
  </si>
  <si>
    <t xml:space="preserve">Camp:20PPL:1
TLS/CFS: 50PPL:1
</t>
  </si>
  <si>
    <t>Number</t>
  </si>
  <si>
    <t>HRP1: Number of women, men, boys and girls benefitting from safe/ improved drinking water, meeting demand for domestic purposes, at minimum/agreed standards.</t>
  </si>
  <si>
    <t>HRP2:Number of women, men, boys and girls benefitting from functional excre-ta disposal system, reducing safety/public health/environmental risks.
HRP5:Number of women, men, girls and boys accessing WASH services in temporary health facilities and learn-ing spaces which received support from the WASH Cluster.</t>
  </si>
  <si>
    <t>HRP3: Number of women, men, boys and girls benefitting from timely/ade-quate/tailored personal hygiene items and receiving appropriate/ community tailored messages that enable health seeking behaviour.</t>
  </si>
  <si>
    <r>
      <t>အိမ္သာလွဴထားေသာ ပုဂၢလိက/အျခားအလွဴရွင္မ်ား/အဖြဲ့အစည္းမ်ား</t>
    </r>
    <r>
      <rPr>
        <sz val="8"/>
        <rFont val="zawgyi1"/>
        <family val="2"/>
      </rPr>
      <t>၏</t>
    </r>
    <r>
      <rPr>
        <sz val="8"/>
        <rFont val="Zawgyi-One"/>
        <family val="2"/>
      </rPr>
      <t xml:space="preserve"> အမည္</t>
    </r>
  </si>
  <si>
    <t>WASH in Protection</t>
  </si>
  <si>
    <t>???</t>
  </si>
  <si>
    <t>HRP1: Number of women, men, boys and girls benefitting from safe/ improved drinking water, meeting demand for domestic purposes, at minimum/agreed standards.
HRP5:Number of women, men, girls and boys accessing WASH services in temporary health facilities and learn-ing spaces which received support from the WASH Cluster.</t>
  </si>
  <si>
    <t>HRP4: Number of vulnerable people that are consulted, and their concerns are addressed, through dignified and inclusive WASH services.</t>
  </si>
  <si>
    <r>
      <rPr>
        <b/>
        <sz val="10"/>
        <rFont val="Corbel"/>
        <family val="2"/>
      </rPr>
      <t xml:space="preserve"># of liters </t>
    </r>
    <r>
      <rPr>
        <sz val="10"/>
        <rFont val="Corbel"/>
        <family val="2"/>
      </rPr>
      <t>of water supplied by existing water boating/trucking over90</t>
    </r>
    <r>
      <rPr>
        <b/>
        <u/>
        <sz val="10"/>
        <rFont val="Corbel"/>
        <family val="2"/>
      </rPr>
      <t xml:space="preserve"> days</t>
    </r>
    <r>
      <rPr>
        <sz val="10"/>
        <rFont val="Corbel"/>
        <family val="2"/>
      </rPr>
      <t xml:space="preserve"> to total</t>
    </r>
    <r>
      <rPr>
        <b/>
        <sz val="10"/>
        <rFont val="Corbel"/>
        <family val="2"/>
      </rPr>
      <t xml:space="preserve"> population</t>
    </r>
    <r>
      <rPr>
        <sz val="10"/>
        <rFont val="Corbel"/>
        <family val="2"/>
      </rPr>
      <t xml:space="preserve"> in the site </t>
    </r>
  </si>
  <si>
    <r>
      <t xml:space="preserve">Constructed water distribution system from river
(minimum volume of water </t>
    </r>
    <r>
      <rPr>
        <b/>
        <sz val="10"/>
        <rFont val="Corbel"/>
        <family val="2"/>
      </rPr>
      <t>(in Liters)</t>
    </r>
    <r>
      <rPr>
        <sz val="10"/>
        <rFont val="Corbel"/>
        <family val="2"/>
      </rPr>
      <t xml:space="preserve">
during the reporting period)</t>
    </r>
  </si>
  <si>
    <t># of functional latrines in TLS/CFS supported by WASH partners during the reporting period</t>
  </si>
  <si>
    <t>Minimum number of functional child-friendly toilets for a Child Friendly Space/Temporary Learning Space (1:30 girls and 1:60 boys in CLS/TLS), THF ???</t>
  </si>
  <si>
    <t># of functional latrines in THF (Temporary Health Facility) supported by WASH partners during the reporting period</t>
  </si>
  <si>
    <t>Minimum number of functional toilets forTemporary Health Facility</t>
  </si>
  <si>
    <t># of affected women and girls receiving a sufficient quantity of sanitary pads from direct distribution or from MHM room facilities during the reporting period</t>
  </si>
  <si>
    <t>Sufficient quantity: At least 15 pads per female of menstruating age per month, distributed at least once every three months (in addition to at least 6 pairs of underwear per year and 250g soap per month per women / girl)</t>
  </si>
  <si>
    <t>V77</t>
  </si>
  <si>
    <t>အစီရင္ခံစာ ေပးပို႔သည္႔ကာလအတြင္း  စခန္းတြင္းေနထိုင္သူမ်ားသို႔ ( ကားျဖင္႔ (သို႔မဟုတ္) ေလွျဖင္႔ ) စုစုေပါင္းေရေပးေ၀မွု ပမာဏ လီတာျဖင့္ျပရန္)</t>
  </si>
  <si>
    <t>လက္ရွိ တည္ေဆာက္အသံုးျပဳေနေသာ ေရ အရင္းအျမစ္ ( ျမစ္ေခ်ာင္း) မွ တဆင္ ့ ေရျဖန္႔ျဖဴးေသာ စနစ္
(အနည္္းဆံုးေရေပးေ၀မွုပမာဏ လီတာျဖင့္ျပရန္)</t>
  </si>
  <si>
    <t>စခန္းတြင္းရွိ ယာယီစာသင္ေက်ာင္းမ်ား ႏွင့္ ကေလးေပ်ာ္ေနရာမ်ားတြင္ WASH အဖြဲ႔မ်ားမွ ပံ့ပိုးေပးထားေသာ ေကာင္းမြန္ေသာအိမ္သာအေရအတြက္</t>
  </si>
  <si>
    <t>စခန္းတြင္းရွိ ယာယီစာသင္ေက်ာင္းမ်ား နွင့္ ကေလးေပ်ာ္ေနရာမ်ားတြင္ WASH အဖြဲ႔မ်ားမွ ပံ့ပိုးေပးထားေသာ ေကာင္းမြန္ေသာအိမ္သာအေရအတြက္(  တံခါး အေရအတြက္အတိုင္း ေကာက္ယူပါမည္)</t>
  </si>
  <si>
    <t>စခန္းတြင္းရွိ  ယာယီက်န္းမာေရးေစာင့္ေရွာက္မွဳ ေဆးခန္းမ်ားတြင္  WASH အဖြဲ႔မ်ားမွ ပံ့ပိုးေပးထားေသာ ေကာင္းမြန္ေသာအိမ္သာအေရအတြက္</t>
  </si>
  <si>
    <t>စခန္းတြင္းရွိ  ယာယီက်န္းမာေရးေစာင့္ေရွာက္မွဳ ေဆးခန္းမ်ားတြင္ WASH အဖြဲ႔မ်ားမွ ပံ့ပိုးေပးထားေသာ ေကာင္းမြန္ေသာအိမ္သာအေရအတြက္(  တံခါး အေရအတြက္အတိုင္း ေကာက္ယူပါမည္)</t>
  </si>
  <si>
    <t>တစ္လလွ်င္ လူတစ္ဦး ရသင္႔ေသာ စံခ်ိန္စံညြန္းအတိုင္း အမ်ိဳးသမီးလစဥ္သံုး ပစၥည္း ရရွိေသာ လူဦးေရ (တိုက္္ရိုက္ ျဖန့္ေ၀မွူ (သို႔) အမ်ိဳးသမီးလစဥ္သံုး ပစၥည္း မ်ား သီးသန္႔ထားရွိေသာ အခန္းမ်ားမွ)</t>
  </si>
  <si>
    <t>V63, 64, 65, 66</t>
  </si>
  <si>
    <t xml:space="preserve"># of male hygiene promoters
# of female hygiene promoters
# of households that received standard amount of soap for this quarter
# of affected women and girls receiving a sufficient quantity of sanitary pads from direct distribution or from MHM room facilities during the reporting period
</t>
  </si>
  <si>
    <t>V75, 76, 77</t>
  </si>
  <si>
    <t>စခန္းတြင္းရွိ ယာယီစာသင္ေက်ာင္းမ်ား နွင့္ ကေလးေပ်ာ္ေနရာမ်ားတြင္ WASH အဖြဲ႔မ်ားမွ ပံ့ပိုးေပးထားေသာ ေကာင္းမြန္ေသာအိမ္သာအေရအတြက္</t>
  </si>
  <si>
    <t>စခန္းတြင္းရွိ  ယာယီက်န္းမာေရးေစာင့္ေရွာက္မွဳ ေဆးခန္းမ်ားတြင္ WASH အဖြဲ႔မ်ားမွ ပံ့ပိုးေပးထားေသာ ေကာင္းမြန္ေသာအိမ္သာအေရအတြက္</t>
  </si>
  <si>
    <t>% of water sources passed</t>
  </si>
  <si>
    <t>% Household passed</t>
  </si>
  <si>
    <t>#_Water_Liters_supplied_by_Water boating or water trucking</t>
  </si>
  <si>
    <t>#_Water_Liters_from_Constructed/Existing water distribution system from river or natural spring</t>
  </si>
  <si>
    <t>Liters_Water boating or water trucking</t>
  </si>
  <si>
    <t>Liters_Constructed water distribution system from river</t>
  </si>
  <si>
    <t># of functional latrines in THF supported by WASH partners during the reporting period2</t>
  </si>
  <si>
    <t>Number of people with equitable access to functioning latrines in THF</t>
  </si>
  <si>
    <t>#_of_persons_with_disabilities_with_adapted_sanitation_option</t>
  </si>
  <si>
    <t># students access to functioning school latrines_HRP5</t>
  </si>
  <si>
    <t># of affected women and girls receiving a sufficient quantity of sanitary pads from direct distribution or from MHM room facilities</t>
  </si>
  <si>
    <t>Number of vulnerable people that are consulted, and their concerns are addressed, through dignified and inclusive WASH service</t>
  </si>
  <si>
    <t>HRP4</t>
  </si>
  <si>
    <t>HRP5</t>
  </si>
  <si>
    <t xml:space="preserve"> HRP4</t>
  </si>
  <si>
    <t xml:space="preserve"> HRP5</t>
  </si>
  <si>
    <t>Kayin</t>
  </si>
  <si>
    <t xml:space="preserve">Sum of #_Water sources tested for fecal coliform </t>
  </si>
  <si>
    <t>Sum of #_Water sources passed</t>
  </si>
  <si>
    <t># Passed</t>
  </si>
  <si>
    <t>Sum of #_Household passed</t>
  </si>
  <si>
    <t>Sum of # of affected women and girls receiving a sufficient quantity of sanitary pads from direct distribution or from MHM room facilities</t>
  </si>
  <si>
    <t>To check</t>
  </si>
  <si>
    <t>V20, 23, 24, 27, 30, 31, 32</t>
  </si>
  <si>
    <t xml:space="preserve"> # students access to functioning school latrines_HRP5</t>
  </si>
  <si>
    <t>Metta, KMSS</t>
  </si>
  <si>
    <t>Gap in WASH covered camps / township</t>
  </si>
  <si>
    <t>Sum of #_Household water samples tested for fecal coliform</t>
  </si>
  <si>
    <t>Gap in WASH covered villages / township</t>
  </si>
  <si>
    <t>Accessed</t>
  </si>
  <si>
    <t>Not-accessed</t>
  </si>
  <si>
    <t xml:space="preserve"> # of hand washing stations with sufficient soap in TLS</t>
  </si>
  <si>
    <t>Sum of # of functional latrines in THF supported by WASH partners during the reporting period2</t>
  </si>
  <si>
    <t xml:space="preserve">Sum of Total PoP </t>
  </si>
  <si>
    <t>Target  HH</t>
  </si>
  <si>
    <t>Target women and girls</t>
  </si>
  <si>
    <t>Community Feedback (Q1-2020) from Cluster Team Monitoring</t>
  </si>
  <si>
    <t>There have no water collection tank for drinking and treatment system.</t>
  </si>
  <si>
    <t>There have one water point (STW) attached with pump to 1500 liter overhead tank. IDP used drinking and domestic water from this STW, that need to do water quality testing.</t>
  </si>
  <si>
    <t>3000 gals Water storage tank (bricks structure) was destroyed and need to repair or replace new one.</t>
  </si>
  <si>
    <t>4000 gals water storage tank (bricks structure) was collapse, need to repair or rebuilt. IDP request to do Hand Dug Well dewatering for adequate water usage in summer.</t>
  </si>
  <si>
    <t>Poor water quality and need HH water filter.</t>
  </si>
  <si>
    <t>There have one water treatment system but not working well.</t>
  </si>
  <si>
    <t>Every water points attached with down-flow sand filter but water still have high iron contamination. Cluster recommended to provide HH water treatment filter.</t>
  </si>
  <si>
    <t>The camp is located in paddy field and water point is flood in rainy season, thus IDP request HH water treatment filter or communal treatment tank. And also this water point attached diesel engine that is frequently maintenance and IDP would like to get new one.</t>
  </si>
  <si>
    <t>Water point is close latrine septic tank, need to water quality testing and making treatment system.</t>
  </si>
  <si>
    <t>Existing one hand dug well was damaged and IDP request to renovate. One overhead tank (2000 liter) timber structure is almost damaged and need to repair urgently.</t>
  </si>
  <si>
    <t>There have no water collection tank for drinking and treatment system, IDP request HH water filter.</t>
  </si>
  <si>
    <t>There have no water treatment system, IDP request HH water treatment filter, one overhead tank for new latrine and bathing room area.</t>
  </si>
  <si>
    <t>Need water quality testing, there have poor water quality and treatment system. IDP spend money 8000 MMK per month for purchasing drinking water. Upgrading overhead water tank (1000 liter-2 drum + 500 liter-1 drum) which is made by timber structure, that's post are almost broken.</t>
  </si>
  <si>
    <t>Water treatment system provided by ICRC but it is not well functioning that cannot remove iron contamination. IDP requested HH wate filter, this is urgent need to provide to protect water-washed disease.</t>
  </si>
  <si>
    <t>There have 3 water system; Hand Dug Well, Spring water and Shallow Tube well. Among them STW is not functioning and need to repair for domestic use.</t>
  </si>
  <si>
    <t>New relocation site (RC camp) have no drinking water point. There have only one unit (HDW), poor water quality and not enough for daily personal usage. IDP purchasing water for drinking and domestic. KMSS have plan for new water point installation on 1st quarter of 2020.</t>
  </si>
  <si>
    <t>7 Water tap stand extended from overhead tank are not functioning. Water point is closed drainage channel thus need to setup water treatment system.</t>
  </si>
  <si>
    <t>There are a lot of water standing around 2 bathing room, that need to make waste water drainage channel or improve bathroom apron.</t>
  </si>
  <si>
    <t>Emergency latrine 6 units are totally destroyed and need to decommission. Bad water standing beside the camp that need drainage channel extend to outside the camp.</t>
  </si>
  <si>
    <t>There are 34 latrine in total, 18 emergency latrine of them were damaged, need to make decommissioning. Need to improve on environmental cleaning.</t>
  </si>
  <si>
    <t>Latrine 3 unit have to repair or replacement.</t>
  </si>
  <si>
    <t>Latrine soak away pits are not functioning and need to upgrade. Latrine area have flood in rainy that the camp located beside creek.</t>
  </si>
  <si>
    <t>IDP received individual latrine. But there have to improve on solid waste management system.</t>
  </si>
  <si>
    <t>There have 11 latrine (4 semi-permanent and 7 emergency), among them 7 emergency latrine are need to decommission (pit full) and replacement new structure.</t>
  </si>
  <si>
    <t>Emergency latrine 4 unit are upgrading. Need bathing room renovation.</t>
  </si>
  <si>
    <t>3 latrine pits are leaking and bad water stand around the latrine, these pits are urgent need to renovate or decommissioning.</t>
  </si>
  <si>
    <t>There have 12 latrine; 4 emergency latrine are destroyed and have to make decommission.</t>
  </si>
  <si>
    <t>Latrine outlet pipe are wrong connection, need to repair.</t>
  </si>
  <si>
    <t>Bad water standing around the latrine and bathing area.</t>
  </si>
  <si>
    <t>4 latrine are constructed two years ago and totally damaged post and walling, that's need to upgrading by urgently.</t>
  </si>
  <si>
    <t>4 unit latrine are destroyed and urgent need to decommissioning. Upgrade pipe line system for Bathing room.</t>
  </si>
  <si>
    <t>10 unit latrine are urgent need to replacement, that bad water overflowing outside of the pit and getting bad smell around the latrine area.</t>
  </si>
  <si>
    <t>Latrine (12 units) is not enough to use and cover for all IDPs family. Inadequate for domestic water (bottom cleaning) supply, thus IDP faced very difficult for latrine use.</t>
  </si>
  <si>
    <t>Waste water pipe line of 8 units latrine are not connected yet (even all structure are completed), so IDP could not use this new latrine.</t>
  </si>
  <si>
    <t>No handwashing station at front of the latrine. Hygiene kit (in kind) received from Metta foundation but it is not enough for next three month.</t>
  </si>
  <si>
    <t>Need: upgrade handwashing station, distribution Hygiene kit (in-kind) and supporting on child hygiene promotion activity</t>
  </si>
  <si>
    <t>IDP request Hygiene awareness sessions, Hygiene kit and handwashing station.</t>
  </si>
  <si>
    <t>IDP who are attending Hygiene awareness sessions received soap once a month.</t>
  </si>
  <si>
    <t>Hygiene items received through hygiene awareness session.</t>
  </si>
  <si>
    <t>Never received Hygiene kit.</t>
  </si>
  <si>
    <t>Hygiene incentive items received from awareness sessions attending. IDP request Hygiene full kit.</t>
  </si>
  <si>
    <t>Hygiene kit distributed last year July, IDP request to get Hygiene full kit.</t>
  </si>
  <si>
    <t>Hygiene item received from awareness session.</t>
  </si>
  <si>
    <t>IDP received soap from KMSS (Hygiene promotion session).</t>
  </si>
  <si>
    <t>Women request sanitary pad and soap distribution on monthly basics.</t>
  </si>
  <si>
    <t>Hygiene items received from attending awareness sessions and Women gathering.</t>
  </si>
  <si>
    <t>IDP did not received Hygiene full kit since three years ago. But they received soap and sanitary pad from attending Hygiene awareness session and peer education session.</t>
  </si>
  <si>
    <t>IDP received hygiene incentive item from attend awareness session. Request Hygiene full kit distribution (Soap, sanitary pad, bucket, tooth paste, tooth brush and cup)</t>
  </si>
  <si>
    <t>IDP would like to request Hygiene full kit. Now they received Hygiene refill kit that is not enough for monthly usage.</t>
  </si>
  <si>
    <t>Hygiene full kit distribution for IDP camp, there have gaps since 2016.</t>
  </si>
  <si>
    <t>Hygiene kit received 5 years ago (2014), IDP request Hygiene full kit.</t>
  </si>
  <si>
    <t>#HH received standard amount of soap</t>
  </si>
  <si>
    <t>#_Water sources tested for fecal coliform</t>
  </si>
  <si>
    <t>Distinct Count of Site Name</t>
  </si>
  <si>
    <t>Du Kahtawng Baptist Total</t>
  </si>
  <si>
    <t>Hkau Shau (BP 12) Total</t>
  </si>
  <si>
    <t>Hlaing Naung Baptist Total</t>
  </si>
  <si>
    <t>Hpare Hkyer - BP6 Total</t>
  </si>
  <si>
    <t>Jan Mai Kawng Baptist Church Total</t>
  </si>
  <si>
    <t>Jaw Masat Camp Total</t>
  </si>
  <si>
    <t>Kyun Taw Baptist Church  Total</t>
  </si>
  <si>
    <t>Laiza Je Yang School Total</t>
  </si>
  <si>
    <t>Le Kone Bethlehem Church Total</t>
  </si>
  <si>
    <t>Le Kone Ziun Baptist Church  Total</t>
  </si>
  <si>
    <t>Ma Hawng Baptist Church Total</t>
  </si>
  <si>
    <t>Mading Baptist Church Total</t>
  </si>
  <si>
    <t>Maina KBC (Bawng Ring) Total</t>
  </si>
  <si>
    <t>Maina Lawang Baptist Church Total</t>
  </si>
  <si>
    <t>Maing Khaung Total</t>
  </si>
  <si>
    <t>Maliyang Baptist Church Total</t>
  </si>
  <si>
    <t>Man Hkring Baptist Church Total</t>
  </si>
  <si>
    <t>Namti Labraw Yang KBC Camp Total</t>
  </si>
  <si>
    <t>Nat Gyi Kone Baptist Church  Total</t>
  </si>
  <si>
    <t>Nawng Ing (Indawgyi) Baptist Church  Total</t>
  </si>
  <si>
    <t>Ndup Yang Total</t>
  </si>
  <si>
    <t>Njang Dung Baptist Church  Total</t>
  </si>
  <si>
    <t>Pajau - Jan Mai Total</t>
  </si>
  <si>
    <t>Pang Hkawn Yang Total</t>
  </si>
  <si>
    <t>Qtr. 2 Myoma Baptist Church Total</t>
  </si>
  <si>
    <t>Salang Yang Total</t>
  </si>
  <si>
    <t>Sar Hmaw - KBC Total</t>
  </si>
  <si>
    <t>Sha-It Yang Total</t>
  </si>
  <si>
    <t>Shar Du Zut KBC church  Total</t>
  </si>
  <si>
    <t>Shatapru Sut Ngai Tawng Total</t>
  </si>
  <si>
    <t>Shing Jai Total</t>
  </si>
  <si>
    <t>Shwe Zet Baptist Church Total</t>
  </si>
  <si>
    <t>Tat Kone Baptist Church Total</t>
  </si>
  <si>
    <t>Tat Kone Galile Baptist Church Total</t>
  </si>
  <si>
    <t>Tat Kone San Pya Baptist Church Total</t>
  </si>
  <si>
    <t>Trinity Camp Total</t>
  </si>
  <si>
    <t>Waimaw Baptist Zonal Office 2 Total</t>
  </si>
  <si>
    <t>AD-2000 Tharthana Compound Total</t>
  </si>
  <si>
    <t>AG Church, Hmaw Si Sa Total</t>
  </si>
  <si>
    <t>AG Church, Maw Wan Total</t>
  </si>
  <si>
    <t>Agritural Compound (KBC) Total</t>
  </si>
  <si>
    <t>Aung Thar Church Total</t>
  </si>
  <si>
    <t>Baptist Church, Hmaw Si Sar(Lon Khin) Total</t>
  </si>
  <si>
    <t>Border Post 8 Total</t>
  </si>
  <si>
    <t>Bum Tsit Pa Total</t>
  </si>
  <si>
    <t>Chin Church, Seik Mu Total</t>
  </si>
  <si>
    <t>Chipwi KBC camp Total</t>
  </si>
  <si>
    <t>Dhama Rakhita, Nyein Chan Tar Yar Ward(Lon Khin) Total</t>
  </si>
  <si>
    <t>Dum Bung  Total</t>
  </si>
  <si>
    <t>Emmanuel AG Church Total</t>
  </si>
  <si>
    <t>Galeng (Palaung) &amp; Kone Khem Total</t>
  </si>
  <si>
    <t>Hka Shi Total</t>
  </si>
  <si>
    <t>Hkat Cho  Total</t>
  </si>
  <si>
    <t>Hpai Kawng Total</t>
  </si>
  <si>
    <t>Hpakant Baptist Church, Nam Ma Hpit Total</t>
  </si>
  <si>
    <t>Hpun Lum Yang  Total</t>
  </si>
  <si>
    <t>Htoi San Church Total</t>
  </si>
  <si>
    <t>Hu Hku &amp; Ho Hko Total</t>
  </si>
  <si>
    <t>IDP Boarding School, A Len Bum Total</t>
  </si>
  <si>
    <t>Jan Mai Kawng Catholic Church Total</t>
  </si>
  <si>
    <t>Je Yang Hka  Total</t>
  </si>
  <si>
    <t>Ka Bu Dam CoC Total</t>
  </si>
  <si>
    <t>Kachin Su Baptist Church (ECCD) Total</t>
  </si>
  <si>
    <t>Karmaing RC Church Total</t>
  </si>
  <si>
    <t>Khar Nan (1) Baptist Church Total</t>
  </si>
  <si>
    <t>Kutkai downtown (KBC Church) Total</t>
  </si>
  <si>
    <t>Kutkai downtown (KBC Church-2) Total</t>
  </si>
  <si>
    <t>Kyu Sot Total</t>
  </si>
  <si>
    <t>Lana Zup Ja Total</t>
  </si>
  <si>
    <t>Lawng Hkang Shait Yang Camp​ ( Lel Pyin)​  Total</t>
  </si>
  <si>
    <t>Lhaovao Baptist Church (LBC) Total</t>
  </si>
  <si>
    <t>Lisu Baptist Church, Maw Shan Vil,. Seik Mu Total</t>
  </si>
  <si>
    <t>Lisu Baptist Church, Maw Wan Ward Total</t>
  </si>
  <si>
    <t>Lisu Boarding-House Total</t>
  </si>
  <si>
    <t>Lisu Church Namtu Total</t>
  </si>
  <si>
    <t>Loi Je Baptist Church Total</t>
  </si>
  <si>
    <t>Loi Je Catholic Church Total</t>
  </si>
  <si>
    <t>Loi Je Lisu Camp Total</t>
  </si>
  <si>
    <t>Lone Khin Catholic Church Total</t>
  </si>
  <si>
    <t>Maga Yang  Total</t>
  </si>
  <si>
    <t>Mai Yu Lay New (Ta'ang) Total</t>
  </si>
  <si>
    <t>Maina AG Church Total</t>
  </si>
  <si>
    <t>Maina Catholic Church (St. Joseph) Total</t>
  </si>
  <si>
    <t>Maing Khaung Catholic Church Total</t>
  </si>
  <si>
    <t>Man Bung Catholic compound Total</t>
  </si>
  <si>
    <t>Man Bung Edin Baptist Church Total</t>
  </si>
  <si>
    <t>Man Kaung/Naung Ti Kyar Village Total</t>
  </si>
  <si>
    <t>Man Loi Total</t>
  </si>
  <si>
    <t>Man Wing Baptist Church Total</t>
  </si>
  <si>
    <t>Man Wing Baptist Church Cultural Compound Total</t>
  </si>
  <si>
    <t>Man Wing Catholic Church Total</t>
  </si>
  <si>
    <t>Man Wing Catholic Church II Total</t>
  </si>
  <si>
    <t>Mandung - Jinghpaw Total</t>
  </si>
  <si>
    <t>Mandung - RC Total</t>
  </si>
  <si>
    <t>Mansi Baptist Church Total</t>
  </si>
  <si>
    <t>Maw Hpawng Hka Nan Baptist Church Total</t>
  </si>
  <si>
    <t>Maw Hpawng Lhaovo Baptist Church Total</t>
  </si>
  <si>
    <t>Maw Wan, Mu-yin Baptist Church Total</t>
  </si>
  <si>
    <t>Mine Yu Lay village ( Old) Total</t>
  </si>
  <si>
    <t>Momauk Baptist Church Total</t>
  </si>
  <si>
    <t>Mung Hawm  Total</t>
  </si>
  <si>
    <t>Muyin church (Aung Yar pre-school compound) Total</t>
  </si>
  <si>
    <t>Nam Hkam - Nay Win Ni (Palawng) Total</t>
  </si>
  <si>
    <t>Nam Hkam (KBC Jaw Wang) Total</t>
  </si>
  <si>
    <t>Nam Hkam (KBC Jaw Wang) II Total</t>
  </si>
  <si>
    <t>Nam Hkam Catholic Church ( St. Thomas I) Total</t>
  </si>
  <si>
    <t>Nam Hpak Ka Mare  Total</t>
  </si>
  <si>
    <t>Nam Hpak Ka Ta'ang ( Aung Tha Pyay) Total</t>
  </si>
  <si>
    <t>Nam Ma Phyit, COC Total</t>
  </si>
  <si>
    <t>Nam Sa Larp Total</t>
  </si>
  <si>
    <t>Nam Tu Baptist Total</t>
  </si>
  <si>
    <t>Nan Kway St. John Catholic Church Total</t>
  </si>
  <si>
    <t>Nant Ma Hpit Catholic Church Total</t>
  </si>
  <si>
    <t>Nawng Hee Village Total</t>
  </si>
  <si>
    <t>New Pang Ku  Total</t>
  </si>
  <si>
    <t>Nhkawng Pa  Total</t>
  </si>
  <si>
    <t>Nyaung Na Pin  Total</t>
  </si>
  <si>
    <t>Pa Dauk Myaing(Pa La Na) Total</t>
  </si>
  <si>
    <t>Pa Dauk Myaing(Pa La Na)-II Total</t>
  </si>
  <si>
    <t>Pa Kahtawng  Total</t>
  </si>
  <si>
    <t>Pan Law Total</t>
  </si>
  <si>
    <t>Phan Khar Kone Total</t>
  </si>
  <si>
    <t>Qtr. 2 Lhaovo Baptist Church Total</t>
  </si>
  <si>
    <t>Rawan Baptist Church, Maw Shan Vil., Seik Mu Total</t>
  </si>
  <si>
    <t>Robert Church Total</t>
  </si>
  <si>
    <t>Sadung Total</t>
  </si>
  <si>
    <t>Seng Ja  Total</t>
  </si>
  <si>
    <t>Shatapru Thida Aye Baptist Church Total</t>
  </si>
  <si>
    <t>Shwe Gu Baptist Church Total</t>
  </si>
  <si>
    <t>Shwe Gu Catholic Church Total</t>
  </si>
  <si>
    <t>St. Joseph Tanai RC camp  Total</t>
  </si>
  <si>
    <t>Tanai CoC Total</t>
  </si>
  <si>
    <t>Tanai KBC Camp Total</t>
  </si>
  <si>
    <t>Tat Kone COC Baptist - Tat Kone Htoi San Total</t>
  </si>
  <si>
    <t>Thargaya Lisu Baptist Church Total</t>
  </si>
  <si>
    <t>Tsan Lun - Namjarap Total</t>
  </si>
  <si>
    <t>Waingmaw AG Church Total</t>
  </si>
  <si>
    <t>Ward 2 Sai Taung Baptist Church, Seik Mu  Total</t>
  </si>
  <si>
    <t>Woi Chyai  Total</t>
  </si>
  <si>
    <t>Woi Chyai (Mong Lai) Total</t>
  </si>
  <si>
    <t>Woi Chyai host families Total</t>
  </si>
  <si>
    <t>Yumar Baptist Church Total</t>
  </si>
  <si>
    <t>Zup Aung Camp Total</t>
  </si>
  <si>
    <t>Hka Garan Yang  Total</t>
  </si>
  <si>
    <t>Htang Nya  Total</t>
  </si>
  <si>
    <t>Enai (Man Pyein) Total</t>
  </si>
  <si>
    <t>Sector 5 Pammati Quarter Total</t>
  </si>
  <si>
    <t># Liters</t>
  </si>
  <si>
    <t>UNICEF, MHF</t>
  </si>
  <si>
    <t># of sites</t>
  </si>
  <si>
    <t># of villages</t>
  </si>
  <si>
    <t xml:space="preserve"> %
Hygiene Gap</t>
  </si>
  <si>
    <t xml:space="preserve"> %
Sanitation GAP</t>
  </si>
  <si>
    <t xml:space="preserve"> % 
Water GAP</t>
  </si>
  <si>
    <t>MMR001CMP277</t>
  </si>
  <si>
    <t>MMR001CMP278</t>
  </si>
  <si>
    <t>MMR015CMP251</t>
  </si>
  <si>
    <t>MMR015CMP252</t>
  </si>
  <si>
    <t>MMR015CMP253</t>
  </si>
  <si>
    <t>MMR015CMP254</t>
  </si>
  <si>
    <t>MMR015CMP255</t>
  </si>
  <si>
    <t>Maina Relocation Site</t>
  </si>
  <si>
    <t xml:space="preserve">Yi Hku Man Hkan </t>
  </si>
  <si>
    <t xml:space="preserve">His Aw (Chyu Fan) </t>
  </si>
  <si>
    <t xml:space="preserve">Shwe Sin (Ward 3) </t>
  </si>
  <si>
    <t>Bang Yang Hka (Mung Ji Pa)</t>
  </si>
  <si>
    <t>Pyi Htaung Su</t>
  </si>
  <si>
    <t xml:space="preserve">Lin Hao chun </t>
  </si>
  <si>
    <t>Camp Like setting</t>
  </si>
  <si>
    <t>IDPs in host</t>
  </si>
  <si>
    <t>Q4_2020</t>
  </si>
  <si>
    <t>Man Hkan Yi Hku</t>
  </si>
  <si>
    <t>Myin Su Shan</t>
  </si>
  <si>
    <t>Man Law (Marn Lor)</t>
  </si>
  <si>
    <t>Shwe Yin See</t>
  </si>
  <si>
    <t xml:space="preserve">Htin Par Keng </t>
  </si>
  <si>
    <t>Hsi Aw (Si Hor)</t>
  </si>
  <si>
    <t>Kywee Shan (Kyi Shan)(ward 3)</t>
  </si>
  <si>
    <t xml:space="preserve">Par Hsin Kyaw </t>
  </si>
  <si>
    <t>Mu Kwar Keng</t>
  </si>
  <si>
    <t xml:space="preserve">Laukkaing </t>
  </si>
  <si>
    <t>Closed_CCCM2020Oct</t>
  </si>
  <si>
    <t>HH</t>
  </si>
  <si>
    <t>Population</t>
  </si>
  <si>
    <t>Sum of # Functional hand washing stations during reporting period</t>
  </si>
  <si>
    <t>Namatee Kan Hla AG</t>
  </si>
  <si>
    <t>Namatee Kan Hla AG Total</t>
  </si>
  <si>
    <t>SI (ECHO)</t>
  </si>
  <si>
    <t>from NSS, to be confirm with KMSS NSS</t>
  </si>
  <si>
    <t xml:space="preserve">Max of Total PoP </t>
  </si>
  <si>
    <t>Max of HRP1</t>
  </si>
  <si>
    <t>Max of HRP2</t>
  </si>
  <si>
    <t>Max of HRP3</t>
  </si>
  <si>
    <t>Max of HRP4</t>
  </si>
  <si>
    <t>Max of HRP5</t>
  </si>
  <si>
    <t>Max of hygiene items</t>
  </si>
  <si>
    <t>Max of # people reached by regular dedicated hygiene promotion_5</t>
  </si>
  <si>
    <t>Max of # People access to Handwashing Station</t>
  </si>
  <si>
    <t>Max of # students access to functioning school latrines_HRP5</t>
  </si>
  <si>
    <t>Max numbers across quarters</t>
  </si>
  <si>
    <t>Kachin-GCA 29%</t>
  </si>
  <si>
    <t>Kachin-NGCA 29%</t>
  </si>
  <si>
    <t>GCA (29% of Total population)</t>
  </si>
  <si>
    <t>NGCA  (29% of Total population)</t>
  </si>
  <si>
    <t>NShan-GCA 29%</t>
  </si>
  <si>
    <t># women and girls received Sanitary pads</t>
  </si>
  <si>
    <t>Disable</t>
  </si>
  <si>
    <t xml:space="preserve">Male 
</t>
  </si>
  <si>
    <t xml:space="preserve">Female 
</t>
  </si>
  <si>
    <t xml:space="preserve"> Children (&lt;18 yrs)
</t>
  </si>
  <si>
    <t>30/Nov/2020:Population update. Data source:Shalom (5 hhs locally integreted at 2 miles and 3 miles Bhamo, other 7 hhs return to VoO to Mansi and 2hh at Nant Laing village Bhamaw in November.)
30/Sept/2020:Population update. Data source:Shalom
31/Aug/2020:Population update. Data source:Shalom
31/July/2020:Population update. Data source:Shalom
30/June/2020:Population update. Data source:Shalom
31/May/2020:Population update. Data source:Shalom
30/April/2020:Population update. Data source:Shalom
30/March/2020:Population update. Data source:Shalom
28/February/2020:Population update. Data source:Shalom
30/January/2020:Population update. Data source:Shalom 
30/December/2019: Population update. Data source:Shalom                                                                                                                                                                                                                                                                                                      29/November/2019: Population update. Data source:Shalom
31/October/2019: Population update. Data source:Shalom
30/September/2019: Population update. Data source:Shalom
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</si>
  <si>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Closed_CCCM2021March</t>
  </si>
  <si>
    <t>MMR001CMP279</t>
  </si>
  <si>
    <t xml:space="preserve">Lahpai </t>
  </si>
  <si>
    <t>Gaw Nan</t>
  </si>
  <si>
    <t>Q1_2021</t>
  </si>
  <si>
    <t xml:space="preserve">These IDPs relocated from BP 6 camp (to further return to their VoO) and currently staying at Gaw Nan village near Sadung Town, in Wai Maw Township and waiting individual shelter and to address other safety and security related challenges at their village of Origin, before returning! 
17 hhs and 83 pps more arrived to the site in Jan 2021. </t>
  </si>
  <si>
    <t>MMR015CMP256</t>
  </si>
  <si>
    <t xml:space="preserve">Hsaik Hkawng </t>
  </si>
  <si>
    <t xml:space="preserve">Hseng Ja </t>
  </si>
  <si>
    <t>30/Nov/2020: Population update. Data source: (DRC) 13 HH/77 PP(35 M, 42 F) are IDP relocated from Pan Tha Pyay and 6 HH/35(20 M, 15 F) PP are new displacement from Manton in last week of April 2020.</t>
  </si>
  <si>
    <t>His Aw (Chyu Fan)  Total</t>
  </si>
  <si>
    <t>Shwe Sin (Ward 3)  Total</t>
  </si>
  <si>
    <t>Target (20:1)</t>
  </si>
  <si>
    <t>Reached</t>
  </si>
  <si>
    <t>Closed_cccm_2021Apr</t>
  </si>
  <si>
    <t>UNICEF, USAID</t>
  </si>
  <si>
    <t>STW</t>
  </si>
  <si>
    <t>Closed_cccm_2021July</t>
  </si>
  <si>
    <t>chruch</t>
  </si>
  <si>
    <t>Trocaire/MHF</t>
  </si>
  <si>
    <t>Shan (South)</t>
  </si>
  <si>
    <t>4W camp</t>
  </si>
  <si>
    <t>3W new displcement</t>
  </si>
  <si>
    <t>CCCM data</t>
  </si>
  <si>
    <t xml:space="preserve">(3 mile) Shwe Pyi Tar </t>
  </si>
  <si>
    <t xml:space="preserve">Bum Ra Yang Camp </t>
  </si>
  <si>
    <t>Mang Nawng Kawng (host)</t>
  </si>
  <si>
    <t>Hat Hlan village (host)</t>
  </si>
  <si>
    <t>Kyaukme Town (host)</t>
  </si>
  <si>
    <t>MMR001CMP281</t>
  </si>
  <si>
    <t xml:space="preserve">Wet Kone </t>
  </si>
  <si>
    <t xml:space="preserve">Shew Pyi Tar/Wet Kone </t>
  </si>
  <si>
    <t>Q4_2021</t>
  </si>
  <si>
    <t>30/Sept/2021: Population update: Data Source: UNHCR: the camp site was officially set up and currently there are 30 pp living at the camp and supporting the shelter construction in the site. There are more IDPs coming from 6 collective site and host community to the camp after finishing the shelter construction. Shalom will support CCCM FP appointments, CCCM kit and  CRC for three months until December. KMSS is implementing emergency shelter construction.</t>
  </si>
  <si>
    <t>MMR001CMP280</t>
  </si>
  <si>
    <t xml:space="preserve">Jing Ma yang </t>
  </si>
  <si>
    <t xml:space="preserve">Bum Yar Yang </t>
  </si>
  <si>
    <t>STW/KMSS-MYT</t>
  </si>
  <si>
    <t>MMR001CMP283</t>
  </si>
  <si>
    <t xml:space="preserve">Sun Long </t>
  </si>
  <si>
    <t xml:space="preserve">Hat Hlan </t>
  </si>
  <si>
    <t>30/Sept/2021: Population update: Data Source: UNHCR-lashio: from Chaung Son village Hsipaw were displaced in Hat Hlan, sun long VT, site on 22 March 2021.</t>
  </si>
  <si>
    <t>MMR001CMP282</t>
  </si>
  <si>
    <t xml:space="preserve">Kyaukme Town </t>
  </si>
  <si>
    <t>Ward (9)</t>
  </si>
  <si>
    <t>30/Sept/2021: Population update: Data Source: UNHCR-lashio: IDPs accommodated first at Aung Mingalar Monestary and gradually and prevalenly moved out in the town area in different wards in Kyaukme.</t>
  </si>
  <si>
    <t>MMR001CMP284</t>
  </si>
  <si>
    <t>Mant Sei</t>
  </si>
  <si>
    <t>Mang Nawng Kawng</t>
  </si>
  <si>
    <t>30/Sept/2021: Population update: Data Source: UNHCR-lashio: These IDPs are from Mant Tawng, Muse, were displaced in Mang Nawng Kawng Village on 30 April 2021.</t>
  </si>
  <si>
    <t>Trocaire/Irish</t>
  </si>
  <si>
    <t>Bum Ra Yang Camp  Total</t>
  </si>
  <si>
    <t>Mang Nawng Kawng (host) Total</t>
  </si>
  <si>
    <t>Kyaukme Town (host) Total</t>
  </si>
  <si>
    <t>Meikswe MM</t>
  </si>
  <si>
    <t>HRP reached</t>
  </si>
  <si>
    <t>amount of MMK/Voucher or Token distributed per HH/Family</t>
  </si>
  <si>
    <t># of Family/HH Reached</t>
  </si>
  <si>
    <t>Date of Cash distribution</t>
  </si>
  <si>
    <t>Cash distributed for which items ( Hygiene kits, Hygiene items, Sanitary pads, Others…..)</t>
  </si>
  <si>
    <t>Date</t>
  </si>
  <si>
    <t>amount_of_MMK/Voucher_or_Token_distributed_per_HH/Family</t>
  </si>
  <si>
    <t>#_of_Family/HH_Reached</t>
  </si>
  <si>
    <t>Date_of_Cash_distribution</t>
  </si>
  <si>
    <t>Cash_distributed_for_which_items</t>
  </si>
  <si>
    <t>V78</t>
  </si>
  <si>
    <t>V79</t>
  </si>
  <si>
    <t>V80</t>
  </si>
  <si>
    <t>CASH</t>
  </si>
  <si>
    <t>V81</t>
  </si>
  <si>
    <t>Mon</t>
  </si>
  <si>
    <t>Ayeyarwady</t>
  </si>
  <si>
    <t>Bago (East)</t>
  </si>
  <si>
    <t>Bago (West)</t>
  </si>
  <si>
    <t>Kayah</t>
  </si>
  <si>
    <t>Magway</t>
  </si>
  <si>
    <t>Mandalay</t>
  </si>
  <si>
    <t>Nay Pyi Taw</t>
  </si>
  <si>
    <t>Sagaing</t>
  </si>
  <si>
    <t>Shan (East)</t>
  </si>
  <si>
    <t>Tanintharyi</t>
  </si>
  <si>
    <t>Yangon</t>
  </si>
  <si>
    <t>Number of women, men, girls and boys accessing WASH services in temporary health facilities which received support from the WASH Cluster.</t>
  </si>
  <si>
    <t>11-11-2021, 07-01-2020</t>
  </si>
  <si>
    <t>Closed_cccm2022Jan</t>
  </si>
  <si>
    <t>Nam Hlaing Extension Ward camp</t>
  </si>
  <si>
    <t xml:space="preserve">Naung Tar Law (Kyet Chan) </t>
  </si>
  <si>
    <t>Waingmaw St.Joseph RC Church</t>
  </si>
  <si>
    <t xml:space="preserve">Waingmaw LBC church </t>
  </si>
  <si>
    <t>Lisu Zonal camp</t>
  </si>
  <si>
    <t>Phaug Nhae Camp</t>
  </si>
  <si>
    <t>Yuu Ka lait Kone Camp</t>
  </si>
  <si>
    <t>Lhaovo Baptist Convention  Old Office Camp</t>
  </si>
  <si>
    <t>Ding Jang Yang (1)</t>
  </si>
  <si>
    <t>Ding Jang Yang (2)</t>
  </si>
  <si>
    <t xml:space="preserve">Naung Pataine/lachid </t>
  </si>
  <si>
    <t>MMR001CMP285</t>
  </si>
  <si>
    <t>MMR001CMP286</t>
  </si>
  <si>
    <t>MMR001CMP287</t>
  </si>
  <si>
    <t>MMR001CMP288</t>
  </si>
  <si>
    <t>MMR001CMP289</t>
  </si>
  <si>
    <t>MMR001CMP290</t>
  </si>
  <si>
    <t>MMR001CMP291</t>
  </si>
  <si>
    <t>MMR001CMP292</t>
  </si>
  <si>
    <t>MMR001CMP293</t>
  </si>
  <si>
    <t>MMR001CMP294</t>
  </si>
  <si>
    <t>MMR001CMP295</t>
  </si>
  <si>
    <t xml:space="preserve">Ding Jang Yang </t>
  </si>
  <si>
    <t>Nam Hlaing extension Ward</t>
  </si>
  <si>
    <t>Naung Tar Law village</t>
  </si>
  <si>
    <t>Ward (2)</t>
  </si>
  <si>
    <t>Ward (3)</t>
  </si>
  <si>
    <t>1.9.2021</t>
  </si>
  <si>
    <t>Q1_2022</t>
  </si>
  <si>
    <t xml:space="preserve">Uncovered  </t>
  </si>
  <si>
    <t xml:space="preserve">31 Jan 2022:(8HH ,34PP) have to be removed from the list, (the camp manager mistakenly keep them in the list even after they left from the camp)  31/Dec/2021: Data Source Shalom (this camp was setting up in November after IDPs were asked to move from school building in Nam Hlaing village, IDPs constrcuted makeshifts by themselves for temporary and KMSS-BMO constucted over 30 unit of emergency makeshift shelters) </t>
  </si>
  <si>
    <t>31/Jan/2022:Population update. Data source: Dai Fin (registered in CCCM list due to unstable safely and security condition in the area, IDPs decided themselves staying at the current site, however, some of the IDPs doing back and forth to their VoO)</t>
  </si>
  <si>
    <t xml:space="preserve">31/Jan/2022:Population update. Data source: Dai Fin (registered in CCCM list due to unstable safely and security condition in the area, IDPs decided themselves staying at the current site) </t>
  </si>
  <si>
    <t>Nam Hlaing Extension Ward camp Total</t>
  </si>
  <si>
    <t>Naung Tar Law (Kyet Chan)  Total</t>
  </si>
  <si>
    <t>Waingmaw St.Joseph RC Church Total</t>
  </si>
  <si>
    <t>Ding Jang Yang (1) Total</t>
  </si>
  <si>
    <t>Ding Jang Yang (2) Total</t>
  </si>
  <si>
    <t>Momauk KBC church Total</t>
  </si>
  <si>
    <t># People access to functional water points or water provision supported by WASH partners in TLS/CFS_HRP5</t>
  </si>
  <si>
    <t># People access to functional water points or water provision supported by WASH partners in THF_HRP6</t>
  </si>
  <si>
    <t>#_Constructed/Existing hand washing stations at TLS/CFS/THF</t>
  </si>
  <si>
    <t># of  functional water points or water provision supported by WASH partners in TLS/CFS with  during the reporting period</t>
  </si>
  <si>
    <t>#_of water points in TLS/CFS</t>
  </si>
  <si>
    <t>#_of water points in THF</t>
  </si>
  <si>
    <t># of  functional water points or water provision supported by WASH partners in THF with  during the reporting period</t>
  </si>
  <si>
    <t>V40a</t>
  </si>
  <si>
    <t>V40b</t>
  </si>
  <si>
    <t>The number of functional and improve water point in child friendly/temporary learning spaces on the premises.
Functional: Is able to provide safe water when needed
Improved: A source that by nature of its design and construction has the potential to deliver safe wate (see: https://www.who.int/water_sanitation_health/monitoring/oms_brochure_core_questionsfinal24608.pdf)</t>
  </si>
  <si>
    <t>The number of functional and improve water point in temporary health facilities on the premises.
Functional: Is able to provide safe water when needed
Improved: A source that by nature of its design and construction has the potential to deliver safe wate (see: https://www.who.int/water_sanitation_health/monitoring/oms_brochure_core_questionsfinal24608.pdf)</t>
  </si>
  <si>
    <t># People access to functioning latrines in THF_HRP6</t>
  </si>
  <si>
    <t>HRP6</t>
  </si>
  <si>
    <r>
      <t xml:space="preserve">Number of women, men, girls and boys accessing WASH services in </t>
    </r>
    <r>
      <rPr>
        <b/>
        <sz val="10"/>
        <rFont val="Corbel"/>
        <family val="2"/>
      </rPr>
      <t>temporary learn-ing spaces</t>
    </r>
    <r>
      <rPr>
        <sz val="10"/>
        <rFont val="Corbel"/>
        <family val="2"/>
      </rPr>
      <t xml:space="preserve"> which received support from the WASH Cluster.</t>
    </r>
  </si>
  <si>
    <r>
      <t xml:space="preserve">Number of women, men, girls and boys accessing WASH services in </t>
    </r>
    <r>
      <rPr>
        <b/>
        <sz val="10"/>
        <rFont val="Corbel"/>
        <family val="2"/>
      </rPr>
      <t>temporary health facilities</t>
    </r>
    <r>
      <rPr>
        <sz val="10"/>
        <rFont val="Corbel"/>
        <family val="2"/>
      </rPr>
      <t xml:space="preserve"> which received support from the WASH Cluster.</t>
    </r>
  </si>
  <si>
    <r>
      <t xml:space="preserve"># People access to functional water points or water provision supported by WASH partners in </t>
    </r>
    <r>
      <rPr>
        <sz val="10"/>
        <color theme="0"/>
        <rFont val="Crobel"/>
      </rPr>
      <t>THF</t>
    </r>
    <r>
      <rPr>
        <b/>
        <sz val="10"/>
        <color theme="0"/>
        <rFont val="Crobel"/>
      </rPr>
      <t xml:space="preserve"> during reporting period</t>
    </r>
  </si>
  <si>
    <r>
      <t xml:space="preserve"># People access to functional water points or water provision supported by WASH partners in </t>
    </r>
    <r>
      <rPr>
        <sz val="10"/>
        <color theme="0"/>
        <rFont val="Crobel"/>
      </rPr>
      <t>TLS/CFS</t>
    </r>
  </si>
  <si>
    <t>Max of HRP6</t>
  </si>
  <si>
    <t xml:space="preserve"> HRP6</t>
  </si>
  <si>
    <t>Max of # People access to water in TLS/CFS_HRP5</t>
  </si>
  <si>
    <t>Max of # People access to water in THF_HRP6</t>
  </si>
  <si>
    <t>Max of # People access to functioning latrines in THF_HRP6</t>
  </si>
  <si>
    <t># People access to water in TLS/CFS_HRP5</t>
  </si>
  <si>
    <t># People access to water in THF_HRP6</t>
  </si>
  <si>
    <t>Other vulnerable crisis-affected people_Reached</t>
  </si>
  <si>
    <t>IDP returnees/ resettled/ locally integrated-Reached</t>
  </si>
  <si>
    <t xml:space="preserve"># male and female reached with critical WASH supplies </t>
  </si>
  <si>
    <t># of people reached with handwashing behaviour change programmes</t>
  </si>
  <si>
    <t xml:space="preserve"> Adult (18-60 yrs)</t>
  </si>
  <si>
    <t xml:space="preserve"> Elderly (&gt;60 yrs)</t>
  </si>
  <si>
    <t>% Female</t>
  </si>
  <si>
    <t>% CHILDREN  (Age 18&lt;)</t>
  </si>
  <si>
    <t xml:space="preserve"> % ADULTS ( Age 18-60)</t>
  </si>
  <si>
    <t>% ELDERS  (Age 60+)</t>
  </si>
  <si>
    <t>% of people with disabilities (Age 5 yrs+)</t>
  </si>
  <si>
    <t>% Male</t>
  </si>
  <si>
    <t>"2022 HPC - baseline PiN and PT" excefile</t>
  </si>
  <si>
    <t xml:space="preserve"># women and girls received Sanitary pads
(29% of total population targeted)
</t>
  </si>
  <si>
    <t>GCA (25% of HH targeted)</t>
  </si>
  <si>
    <t>NGCA (100% HH targeted)</t>
  </si>
  <si>
    <t xml:space="preserve"> # of functioning latrines in TLS/CFS </t>
  </si>
  <si>
    <t># Water points in TLS/CFS</t>
  </si>
  <si>
    <t>Sum of #_of water points in THF</t>
  </si>
  <si>
    <t xml:space="preserve">  functional latrines in TLS/CFS supported by WASH partners during the reporting period</t>
  </si>
  <si>
    <t xml:space="preserve"> #_of water points in TLS/CFS</t>
  </si>
  <si>
    <t># Water points in THF</t>
  </si>
  <si>
    <t># of functional latrines in THF</t>
  </si>
  <si>
    <t>Number of women, men, girls and boys accessing WASH services in temporary learning spaces which received support from the WASH Cluster.</t>
  </si>
  <si>
    <t>IRW</t>
  </si>
  <si>
    <t>4W village</t>
  </si>
  <si>
    <t>3W</t>
  </si>
  <si>
    <t>Meikswe Myanmar</t>
  </si>
  <si>
    <t>TGH-RCDF</t>
  </si>
  <si>
    <t>MA-UK</t>
  </si>
  <si>
    <t>CERA</t>
  </si>
  <si>
    <t>LWF</t>
  </si>
  <si>
    <t>CHRO</t>
  </si>
  <si>
    <t>Acronym</t>
  </si>
  <si>
    <t>reporting</t>
  </si>
  <si>
    <t>PWJ</t>
  </si>
  <si>
    <t>ADRA</t>
  </si>
  <si>
    <t>TWG</t>
  </si>
  <si>
    <t>nRS
(Stateless)</t>
  </si>
  <si>
    <t>nRS
(Others)</t>
  </si>
  <si>
    <t>IDP sites</t>
  </si>
  <si>
    <t>MMR015CMP036</t>
  </si>
  <si>
    <t>MMR015CMP084</t>
  </si>
  <si>
    <t>MMR015CMP062</t>
  </si>
  <si>
    <t>MMR015CMP071</t>
  </si>
  <si>
    <t>MMR015CMP030</t>
  </si>
  <si>
    <t>MMR015CMP068</t>
  </si>
  <si>
    <t>Mong Wee Shan-relocated</t>
  </si>
  <si>
    <t>Hseng Ja-Relocated</t>
  </si>
  <si>
    <t>MMR015CMP063</t>
  </si>
  <si>
    <t>MMR015CMP038</t>
  </si>
  <si>
    <t>MMR015CMP064</t>
  </si>
  <si>
    <t>MMR015CMP045</t>
  </si>
  <si>
    <t>MMR015CMP043</t>
  </si>
  <si>
    <t>MMR015CMP037</t>
  </si>
  <si>
    <t>MMR015CMP067</t>
  </si>
  <si>
    <t>MMR015CMP075</t>
  </si>
  <si>
    <t>MMR015CMP073</t>
  </si>
  <si>
    <t>MMR015CMP072</t>
  </si>
  <si>
    <t>MMR015CMP069</t>
  </si>
  <si>
    <t>MMR015CMP070</t>
  </si>
  <si>
    <t>MMR015CMP027</t>
  </si>
  <si>
    <t>MMR015CMP065</t>
  </si>
  <si>
    <t>MMR015CMP076</t>
  </si>
  <si>
    <t>MMR015CMP042</t>
  </si>
  <si>
    <t>MMR015CMP074</t>
  </si>
  <si>
    <t>MMR015CMP066</t>
  </si>
  <si>
    <t>MMR015CMP050</t>
  </si>
  <si>
    <t>old-Pcode</t>
  </si>
  <si>
    <t>Closed_cccm_2022Apr</t>
  </si>
  <si>
    <t>MMR015CMP077</t>
  </si>
  <si>
    <t>MMR015CMP078</t>
  </si>
  <si>
    <t>MMR015CMP079</t>
  </si>
  <si>
    <t>MMR015CMP080</t>
  </si>
  <si>
    <t>MMR015CMP081</t>
  </si>
  <si>
    <t>MMR015CMP083</t>
  </si>
  <si>
    <t xml:space="preserve">Man Pint community Hall </t>
  </si>
  <si>
    <t>Mong Tin High School</t>
  </si>
  <si>
    <t>Nar Mun Primary School</t>
  </si>
  <si>
    <t>SLCA Building Compound (Kyaukme town)</t>
  </si>
  <si>
    <t>SLCA Building Compound (Moungnawt town)</t>
  </si>
  <si>
    <t xml:space="preserve">Theravada Monastery </t>
  </si>
  <si>
    <t>Pong Long</t>
  </si>
  <si>
    <t>Mong Tin</t>
  </si>
  <si>
    <t xml:space="preserve">Mong Tin </t>
  </si>
  <si>
    <t xml:space="preserve">Hku Mone </t>
  </si>
  <si>
    <t>Mongngawt Town</t>
  </si>
  <si>
    <t>Man Pint</t>
  </si>
  <si>
    <t>Mong Tin Ywar Ma</t>
  </si>
  <si>
    <t xml:space="preserve">Nar Mun </t>
  </si>
  <si>
    <t xml:space="preserve">30 April 2022: population source UNHCR follow up 31.Mar/2022:Population update. Data Source: UNHCR-Lashio: registered in CCCM list as the displacement prolonged due to insecure cirdumstance in the area. </t>
  </si>
  <si>
    <t xml:space="preserve">30 April 2022: population source UNHCR follow up 31.Mar/2022:Population update. Data Source: UNHCR-Lashio: registered in CCCM list as the displacement prolonged due to insecure circumstance in the area. </t>
  </si>
  <si>
    <t xml:space="preserve">31.Mar/2022:Population update. Data Source: UNHCR-Lashio: registered in CCCM list as the displacement prolonged due to insecure cirdumstance in the area. </t>
  </si>
  <si>
    <t>Q2_2022</t>
  </si>
  <si>
    <t>Na ru Kawng (Post 6 camp)</t>
  </si>
  <si>
    <t>Maina Mu-yin  Baptist Church</t>
  </si>
  <si>
    <t xml:space="preserve">30/Apr/2022: The camp is temporarily removed from the camp list, all HH/PP return to their village of Origin for their children's education and Usual LLH, The makeshift shelter will be remain for in case of emergency)
31/Jan/2022:Population update. Data source: Dai Fin (registered in CCCM list due to unstable safely and security condition in the area, IDPs decided themselves staying at the current site) </t>
  </si>
  <si>
    <t xml:space="preserve">30/Apr/2022: (all IDPs HH/pp return to their village of origin to Mading, labang, Tang Bau to continue their usual LLH and children education and The host church have many church activities and request IDPs to return to their village of origin, but the makeshift shelter will be keep in the church till end of Nov 2022 in case of emergency)
31/Jan/2022:Population update. Data source: Dai Fin (registered in CCCM list due to unstable safely and security condition in the area, IDPs decided themselves staying at the current site) </t>
  </si>
  <si>
    <t>30/June/2021:Population update. Data source:KBC-MYT (Putao camp was closed in June 15,2021.(Move to sut Chying village near the zedam 2village ) to resettlement site)
31/May/2021:Population update. Data source:KBC-MYT
30/April/2021:Population update. Data source:KBC-MYT (M-2/F-2 Born)
31/March/2021:Population update. Data source:KBC-MYT
28/Feb/2021:Population update. Data source:KBC-MYT
31/Jan/2021:Population update. Data source:KBC-MYT
31/Dec/2020:Population update. Data source:KBC-MYT
30/Nov/2020:Population update. Data source:KBC-MYT (M-6 and F-1 born /F-3 got married )
30/Sept/2020:Population update. Data source:KBC-MYT (M-1 born)
31/Aug/2020:Population update. Data source:KBC-MYT
31/July/2020:Population update. Data source:KBC-MYT
30/June/2020:Population update. Data source:KBC-MYT (1-M new born)
31/May/2020:Population update. Data source:KBC-MYT
30/April/2020:Population update. Data source:KBC-MYT (2hh increase -(HH extension)
30/March/2020:Population update. Data source:KBC-MYT (4 hhs from Tatkone CoC, 2hhs from host (IDP) registered, 5 hhs extened, 2hhs from host  (IDP but never registered in camp) in March)
28/February/2020:Population update. Data source:KBC-MYT (7hhs come from Host and 3hh are extended.)
30/January/2020: Population update. Data source: KBC-MYT 
30/December/2019: Population update. Data source:KBC-MYT  
29/November/2019: Population update. Data source:KBC-MYT
31/October/2019: Population update. Data source:KBC-MYT30/September/2019: Population update. Data source:KBC-MYT
30/August/2019: Population update. Data source: KBC-MYT
31/July/2019: Population update. Data source: KBC-MYT
( New Born, M-3, F-2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</si>
  <si>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30/April/2020:Population update. Data source:KMSS-Myitkyina
31/March/2020:Population update. Data source:KMSS-Myitkyina
28/Feb/2020:Population update. Data source:KMSS-Myitkyina
31/Dec/2020:Reduced the # of HHs who relocated to Gawnan on December. there are more HHs (extended families in BP6 to be updated in January 2021, after teh site assessment) Data source:KMSS-Myitkyina
31 Oct 2020: 2 HH/ 11 people Increase back from livelihood and new born 30/Sept/2020:Population update. Data source:KMSS-Myitkyina
31/Aug/2020:Population update. Data source: KMSS Myitkyina ((In June 24 hh and 154 moved majorities to Shing Jai camp and othe camps, the total hh was 53 and 335 pp)  One Male new born in Aug)
31/July/2020:Population update. Data source: KMSS Myitkyina
30/June/2020:Population update. Data source: KMSS Myitkyina
31/May/2020:Population update. Data source: KMSS Myitkyina
30/April/2020:Population update. Data source: KMSS Myitkyina
30/March/2020:Population update. Data source: KMSS Myitkyina 
28/February/2020:Population update. Data source:KMSS_Myitkyina
30/January/2020: Population update. Data source: KMSS_Myitkyina
30/December/2019: Population update. Data source: KMSS_Myitkyina 
29/November/2019: Population update. Data source: KMSS_Myitkyina
31/October/2019: Population update. Data source: KMSS_Myitkyina
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</si>
  <si>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Relocated-Individual House</t>
  </si>
  <si>
    <t>No Comment</t>
  </si>
  <si>
    <t>Saint Matthew (Shin ma ti-sitapru) camp</t>
  </si>
  <si>
    <t>Myo Thit -IDP in Host</t>
  </si>
  <si>
    <t xml:space="preserve">Bhamo- IDPs in Host </t>
  </si>
  <si>
    <t>St.Columban lone Khin camp</t>
  </si>
  <si>
    <t>Momauk-IDPs in Host</t>
  </si>
  <si>
    <t>Chipwi Pan Wa  (Host IDP)</t>
  </si>
  <si>
    <t>Man Wing- IDPs in Host</t>
  </si>
  <si>
    <t>Mansi- IDPs in Host</t>
  </si>
  <si>
    <t>Hopin -IDPs in Host</t>
  </si>
  <si>
    <t>Moenyin- IDPs in Host</t>
  </si>
  <si>
    <t>St.Francis RCC 1</t>
  </si>
  <si>
    <t>St.Francis RCC 2</t>
  </si>
  <si>
    <t>(3 mile) Shwe Pyi Tar (SLCA)</t>
  </si>
  <si>
    <t>Bang Yang Hka (Mung Ji Pa)-relocated</t>
  </si>
  <si>
    <t>Galeng Zup Awng ward 5 RC</t>
  </si>
  <si>
    <t>ECHO 2739</t>
  </si>
  <si>
    <t>USAID/HOPE-94</t>
  </si>
  <si>
    <t>MRC</t>
  </si>
  <si>
    <t>World vision</t>
  </si>
  <si>
    <t>Lin Hao chun  Total</t>
  </si>
  <si>
    <t>Pyi Htaung Su Total</t>
  </si>
  <si>
    <t>St.Francis RCC 1 Total</t>
  </si>
  <si>
    <t>St.Francis RCC 2 Total</t>
  </si>
  <si>
    <t>Bang Yang Hka (Mung Ji Pa)-relocated Total</t>
  </si>
  <si>
    <t>Galeng Zup Awng ward 5 RC Total</t>
  </si>
  <si>
    <t>Man Wing- IDPs in Host Total</t>
  </si>
  <si>
    <t>(3 mile) Shwe Pyi Tar (SLCA) Total</t>
  </si>
  <si>
    <t>Bhamo- IDPs in Host  Total</t>
  </si>
  <si>
    <t>St.Columban lone Khin camp Total</t>
  </si>
  <si>
    <t>Mansi- IDPs in Host Total</t>
  </si>
  <si>
    <t>Hopin -IDPs in Host Total</t>
  </si>
  <si>
    <t>Moenyin- IDPs in Host Total</t>
  </si>
  <si>
    <t>Momauk-IDPs in Host Total</t>
  </si>
  <si>
    <t>Myo Thit -IDP in Host Total</t>
  </si>
  <si>
    <t>Saint Matthew (Shin ma ti-sitapru) camp Total</t>
  </si>
  <si>
    <t>Na ru Kawng (Post 6 camp) Total</t>
  </si>
  <si>
    <t>Man Pint community Hall  Total</t>
  </si>
  <si>
    <t>Mong Tin High School Total</t>
  </si>
  <si>
    <t>Nar Mun Primary School Total</t>
  </si>
  <si>
    <t>SLCA Building Compound (Kyaukme town) Total</t>
  </si>
  <si>
    <t>SLCA Building Compound (Moungnawt town) Total</t>
  </si>
  <si>
    <t>Theravada Monastery  Total</t>
  </si>
  <si>
    <t>Hseng Ja-Relocated Total</t>
  </si>
  <si>
    <t>Maina Mu-yin  Baptist Church Total</t>
  </si>
  <si>
    <t>WCM</t>
  </si>
  <si>
    <t>WDC</t>
  </si>
  <si>
    <t>MC</t>
  </si>
  <si>
    <t>KyWO</t>
  </si>
  <si>
    <t>MM</t>
  </si>
  <si>
    <t>NHTYK</t>
  </si>
  <si>
    <t>CIDKP</t>
  </si>
  <si>
    <t>TGH-GJ</t>
  </si>
  <si>
    <t>AYO</t>
  </si>
  <si>
    <t>OXFAM</t>
  </si>
  <si>
    <t>PSSAG</t>
  </si>
  <si>
    <t>SDF</t>
  </si>
  <si>
    <t>TLDA</t>
  </si>
  <si>
    <t>GLAD</t>
  </si>
  <si>
    <t>Type</t>
  </si>
  <si>
    <t>National NGO</t>
  </si>
  <si>
    <t>International NGO</t>
  </si>
  <si>
    <t>WV</t>
  </si>
  <si>
    <t>CSO</t>
  </si>
  <si>
    <t>Red Cross</t>
  </si>
  <si>
    <t>United Nations</t>
  </si>
  <si>
    <t>Count of Acronym</t>
  </si>
  <si>
    <t xml:space="preserve">Shan (South) </t>
  </si>
  <si>
    <t>500:1??</t>
  </si>
  <si>
    <t># of  functional water points or water provision supported by WASH partners in THF with  during the reporting period
# of functional latrines in THF (Temporary Health Facility) supported by WASH partners during the reporting period</t>
  </si>
  <si>
    <t>V40b, V55</t>
  </si>
  <si>
    <t>HRP 6</t>
  </si>
  <si>
    <t xml:space="preserve"># of  functional water points or water provision supported by WASH partners in TLS/CFS with  during the reporting period
# of functional latrines in TLS/CFS supported by WASH partners during the reporting period
</t>
  </si>
  <si>
    <t>V40a, 54</t>
  </si>
  <si>
    <t>Number of women, men, girls and boys accessing WASH services in learn-ing spaces which received support from the WASH Cluster.</t>
  </si>
  <si>
    <t xml:space="preserve"># Constructed latrines (cluster semi-permanent design for protracted sites; cluster emergency design for new displacement sites) by WASH agency
# Constructed latrines by Non-Cluster partner 
# Constructed/Existing child friendly latrines
# of persons with disabilities with adapted sanitation option </t>
  </si>
  <si>
    <t>V42, 43, 52, 56</t>
  </si>
  <si>
    <t xml:space="preserve"># Constructed/Existing protected hand dug well
# Constructed tube wells/boreholes/handpumps by WASH agency
# Constructed water tube-wells/boreholes/handpumps by Non-cluster partners
# Constructed/Existing water storage tank (#cm3) with gravity fed reticulation system from spring
# of liters of water supplied by existing water boating/trucking over90 days to total population in the site 
# Constructed/Existing protected/fenced ponds
# Constructed water distribution system from river
(minimum volume of water (in Liters)
</t>
  </si>
  <si>
    <t>MHF,UNICEF</t>
  </si>
  <si>
    <t>8/6/2021,11-11-2021</t>
  </si>
  <si>
    <t>8/1/2021, 11-11-2021</t>
  </si>
  <si>
    <t>nRS
(IDPs)</t>
  </si>
  <si>
    <t>Swe Tha Har</t>
  </si>
  <si>
    <t>4W Camp</t>
  </si>
  <si>
    <t>SPMO</t>
  </si>
  <si>
    <t>4W Village</t>
  </si>
  <si>
    <t>Metta, GLAD</t>
  </si>
  <si>
    <t>UNICEF, USAID, Christan Aid</t>
  </si>
  <si>
    <t>12-31-2022, 28-2-2022</t>
  </si>
  <si>
    <t>8/5/2022, 12-31-22</t>
  </si>
  <si>
    <t>31-12-22</t>
  </si>
  <si>
    <t>IDP</t>
  </si>
  <si>
    <t>Others</t>
  </si>
  <si>
    <t>Target</t>
  </si>
  <si>
    <t>2023_Q1</t>
  </si>
  <si>
    <t>2023_Q2</t>
  </si>
  <si>
    <t>2023_Q3</t>
  </si>
  <si>
    <t>2023_Q4</t>
  </si>
  <si>
    <t># of affected people have equitable, inclusive and safe access to safe/improved drinking water meeting demand for domestic purposes, at minimum/agreed standards</t>
  </si>
  <si>
    <t># of affected people have equitable, inclusive and safe access to functional excreta disposal systems.</t>
  </si>
  <si>
    <t># of affected people have equitable, inclusive and safe access to hygiene items and community-tailored messages, enabling health seeking behavior.</t>
  </si>
  <si>
    <t># of affected people have access to integrated/mainstreamed WASH services, on the basis of risk-sensitive programming and consultation with communities</t>
  </si>
  <si>
    <t>#of affected people in temporary learning spaces have access to integrated/mainstreamed WASH services.</t>
  </si>
  <si>
    <t># of affected people in temporary health facilities have access to integrated/mainstreamed WASH services.</t>
  </si>
  <si>
    <t xml:space="preserve">Tangyan </t>
  </si>
  <si>
    <t>Lisu Church</t>
  </si>
  <si>
    <t>Chinese Baptist Church Compound(Oak Hpo)</t>
  </si>
  <si>
    <t>Farmland(Kyay Zu Taw)</t>
  </si>
  <si>
    <t>Pong Mun School</t>
  </si>
  <si>
    <t xml:space="preserve">Hka San Baptist church </t>
  </si>
  <si>
    <t xml:space="preserve">Ward 3 </t>
  </si>
  <si>
    <t>Sutaung Taung Chae</t>
  </si>
  <si>
    <t xml:space="preserve">Nbang Yang camp </t>
  </si>
  <si>
    <t xml:space="preserve">Sun Lon monastery </t>
  </si>
  <si>
    <t>Farmland(Kaung Kye Peik)</t>
  </si>
  <si>
    <t>Kaung Nyaung Ywar Thit (Ho Piek gyi)</t>
  </si>
  <si>
    <t>Ward 5 &amp; 9</t>
  </si>
  <si>
    <t xml:space="preserve">Kan Long </t>
  </si>
  <si>
    <t xml:space="preserve">Chicken Farm </t>
  </si>
  <si>
    <t>Rawang Baptist Church</t>
  </si>
  <si>
    <t xml:space="preserve">Sut Ngai yang camp </t>
  </si>
  <si>
    <t>LCC UM Camp Hka Shi</t>
  </si>
  <si>
    <t xml:space="preserve">Wuyan Lisu (KLCC) </t>
  </si>
  <si>
    <t>Sana Lisu Baptist Church (DTC)</t>
  </si>
  <si>
    <t xml:space="preserve">Lisu Ethnic Youth Development Center </t>
  </si>
  <si>
    <t>Mohnyin IDP in host (2)</t>
  </si>
  <si>
    <t>Sadung KBC</t>
  </si>
  <si>
    <t>MMR015CMP085</t>
  </si>
  <si>
    <t>MMR015CMP086</t>
  </si>
  <si>
    <t>MMR015CMP087</t>
  </si>
  <si>
    <t>MMR015CMP088</t>
  </si>
  <si>
    <t>MMR015CMP089</t>
  </si>
  <si>
    <t>MMR015CMP090</t>
  </si>
  <si>
    <t>MMR001CMP296</t>
  </si>
  <si>
    <t>MMR001CMP297</t>
  </si>
  <si>
    <t>MMR015CMP091</t>
  </si>
  <si>
    <t>MMR015CMP092</t>
  </si>
  <si>
    <t>MMR015CMP093</t>
  </si>
  <si>
    <t>MMR015CMP094</t>
  </si>
  <si>
    <t>MMR015CMP095</t>
  </si>
  <si>
    <t>MMR015CMP096</t>
  </si>
  <si>
    <t>MMR001CMP298</t>
  </si>
  <si>
    <t>MMR001CMP299</t>
  </si>
  <si>
    <t>MMR001CMP300</t>
  </si>
  <si>
    <t>MMR001CMP301</t>
  </si>
  <si>
    <t>MMR001CMP302</t>
  </si>
  <si>
    <t>MMR001CMP303</t>
  </si>
  <si>
    <t>MMR001CMP304</t>
  </si>
  <si>
    <t>Monekoe Town</t>
  </si>
  <si>
    <t>Nar Kun Long</t>
  </si>
  <si>
    <t>Sum Kwei</t>
  </si>
  <si>
    <t>Nam Tun</t>
  </si>
  <si>
    <t>MoneKoe Town</t>
  </si>
  <si>
    <t>Mone</t>
  </si>
  <si>
    <t xml:space="preserve">Lashio </t>
  </si>
  <si>
    <t>Ho Piek</t>
  </si>
  <si>
    <t>Tangyan Town</t>
  </si>
  <si>
    <t xml:space="preserve">Man Pyin </t>
  </si>
  <si>
    <t>Hkar Shi</t>
  </si>
  <si>
    <t>Hka Ba Rong</t>
  </si>
  <si>
    <t>Wu Yang</t>
  </si>
  <si>
    <t>Sa Nar</t>
  </si>
  <si>
    <t>Sadung Town</t>
  </si>
  <si>
    <t>Kawng Kaw</t>
  </si>
  <si>
    <t/>
  </si>
  <si>
    <t>Pong Mun</t>
  </si>
  <si>
    <t>Ward 2</t>
  </si>
  <si>
    <t>Ding Jang Yang</t>
  </si>
  <si>
    <t xml:space="preserve">Nbang Yang/Hka Wan Yang </t>
  </si>
  <si>
    <t>Ward -10</t>
  </si>
  <si>
    <t xml:space="preserve">Kaung Kye Piek </t>
  </si>
  <si>
    <t xml:space="preserve">Maw Shan </t>
  </si>
  <si>
    <t>Forest area</t>
  </si>
  <si>
    <t>IDPs in Host</t>
  </si>
  <si>
    <t>not available</t>
  </si>
  <si>
    <t>Q1_2023</t>
  </si>
  <si>
    <t>newly added in 3/24/2023</t>
  </si>
  <si>
    <t>July 31, 2022 : Population update. Data Source : UNHCR - Lashio: The location was registered in CCCM list as the displacement was prolonged due to insecure</t>
  </si>
  <si>
    <t xml:space="preserve">July 31, 2022 : Population update. Data Source : The camp was set up in Feb 2022, displacement families are still not able to return to their village of Origin. </t>
  </si>
  <si>
    <t>July 31, 2022 : Population update. Data Source : The camp was set up in Feb 2022, displacement families are still not able to return to their village of Origin.</t>
  </si>
  <si>
    <t>31/1/2023: population update: 1 HH/12 pp new arrivals
31 July 2022: IDPS from DJY 1 separated to create a new site near the DJY 1 camp</t>
  </si>
  <si>
    <t xml:space="preserve">31 Aug 2022: Based on KMSS-Myitkyina these IDPs were displaced at the current place in 2021 March due to armed conflict between KIA and MAF near Gwi Htau in N-Jang Yang township. KMSS-MYT has done informal need assessment and reponses. </t>
  </si>
  <si>
    <t xml:space="preserve">30.Nov.2022: These IDPs HH came from Than Te, Yey Oo township, Sagaing region, and remain displaced at current site due to no security to return to their VoO. No HH/PP update is available as IDPs staying in low profile. </t>
  </si>
  <si>
    <t xml:space="preserve">30.Nov.2022: Camp/site added in CCCM list, IDPs remain displaced at current site due to no security at their VoO. </t>
  </si>
  <si>
    <t>30.Nov.2022: Site added in CCCM list as protracted camp/site, HH/PP updated by Lashio field office.</t>
  </si>
  <si>
    <t xml:space="preserve">30.Nov-2022: Site added in CCCM list as protracted camp/site, HH/PP updated by UNHCR Myiykyina CCCM Unit. </t>
  </si>
  <si>
    <t>30/Nov/2022: Population updated: (Sited added to the CCCM list as the displacement is prolonged and IDPs need humanitarian assistance, more preside info will be shared after LCD visite the site) : site is 1-2 days from Mohnyin town</t>
  </si>
  <si>
    <t>31/1/2023: Site added in CCCM list as protracted camp/site, HH/PP updated by Daifin</t>
  </si>
  <si>
    <t>28/2/2023: population update by LCD (141 HH/622 pp from Hpakant and Sagaing moved to Mohnyin area)
31/1/2023: Site added in CCCM list as protracted camp/site, HH/PP updated by LCD</t>
  </si>
  <si>
    <t>28/2/2023: Site added in CCCM list as protracted camp/site, HH/PP updated by KBC MYT</t>
  </si>
  <si>
    <t>Uncovered</t>
  </si>
  <si>
    <t>DFSS</t>
  </si>
  <si>
    <t>Temporary closed</t>
  </si>
  <si>
    <t>Closed_cccm_2023Mar</t>
  </si>
  <si>
    <t xml:space="preserve">KBC Church </t>
  </si>
  <si>
    <t>Ward 4</t>
  </si>
  <si>
    <t xml:space="preserve">31.July.2022: Data update: Source-SLCA: 6 HHs increased, 29 pp decreased (need follow up)
31.May.2022:Population update. Data Source: UNHCR-Lashio: The location was registered in CCCM list as the displacement was prolonged due to insecure circumstances in the area. And IDPs are staying at two different places where the Church is taking care of them. </t>
  </si>
  <si>
    <t>Extenshion_camp</t>
  </si>
  <si>
    <t>Phaug Nhae Camp Total</t>
  </si>
  <si>
    <t>Yi Hku Man Hkan  Total</t>
  </si>
  <si>
    <t>Maina Relocation Site Total</t>
  </si>
  <si>
    <t>LCC UM Camp Hka Shi Total</t>
  </si>
  <si>
    <t>Lisu Ethnic Youth Development Center  Total</t>
  </si>
  <si>
    <t>Nbang Yang camp  Total</t>
  </si>
  <si>
    <t>Rawang Baptist Church Total</t>
  </si>
  <si>
    <t>Sut Ngai yang camp  Total</t>
  </si>
  <si>
    <t>Sadung KBC Total</t>
  </si>
  <si>
    <t>Sana Lisu Baptist Church (DTC) Total</t>
  </si>
  <si>
    <t>Sutaung Taung Chae Total</t>
  </si>
  <si>
    <t>Mohnyin IDP in host (2) Total</t>
  </si>
  <si>
    <t>Wuyan Lisu (KLCC)  Total</t>
  </si>
  <si>
    <t>Lisu Church Total</t>
  </si>
  <si>
    <t>Chinese Baptist Church Compound(Oak Hpo) Total</t>
  </si>
  <si>
    <t>Farmland(Kyay Zu Taw) Total</t>
  </si>
  <si>
    <t>Pong Mun School Total</t>
  </si>
  <si>
    <t>Hka San Baptist church  Total</t>
  </si>
  <si>
    <t>Ward 3  Total</t>
  </si>
  <si>
    <t>Sun Lon monastery  Total</t>
  </si>
  <si>
    <t>Farmland(Kaung Kye Peik) Total</t>
  </si>
  <si>
    <t>Kaung Nyaung Ywar Thit (Ho Piek gyi) Total</t>
  </si>
  <si>
    <t>Ward 5 &amp; 9 Total</t>
  </si>
  <si>
    <t>Kan Long  Total</t>
  </si>
  <si>
    <t>Chicken Farm  Total</t>
  </si>
  <si>
    <t>KBC Church  Total</t>
  </si>
  <si>
    <t xml:space="preserve">HRP 2023 Indicators </t>
  </si>
  <si>
    <t>UNICEF, IRC</t>
  </si>
  <si>
    <t>UNICEF, SIDA</t>
  </si>
  <si>
    <t>9/7/2022,</t>
  </si>
  <si>
    <t>UNICEF,SIDA</t>
  </si>
  <si>
    <t>UNICEF,IRC</t>
  </si>
  <si>
    <t>SIDA</t>
  </si>
  <si>
    <t>CARE International in Myanmar</t>
  </si>
  <si>
    <t>Luxemburg MoFA</t>
  </si>
  <si>
    <r>
      <t xml:space="preserve"># of affected people surveyed who report </t>
    </r>
    <r>
      <rPr>
        <b/>
        <u/>
        <sz val="10"/>
        <rFont val="Corbel"/>
        <family val="2"/>
      </rPr>
      <t>feeling satistfied</t>
    </r>
    <r>
      <rPr>
        <sz val="10"/>
        <rFont val="Corbel"/>
        <family val="2"/>
      </rPr>
      <t xml:space="preserve"> with the latrine </t>
    </r>
    <r>
      <rPr>
        <b/>
        <u/>
        <sz val="10"/>
        <rFont val="Corbel"/>
        <family val="2"/>
      </rPr>
      <t xml:space="preserve">design and sanitation service </t>
    </r>
  </si>
  <si>
    <r>
      <t xml:space="preserve"># of affected people surveyed who report </t>
    </r>
    <r>
      <rPr>
        <b/>
        <u/>
        <sz val="10"/>
        <rFont val="Corbel"/>
        <family val="2"/>
      </rPr>
      <t>feeling satistfied</t>
    </r>
    <r>
      <rPr>
        <sz val="10"/>
        <rFont val="Corbel"/>
        <family val="2"/>
      </rPr>
      <t xml:space="preserve"> with the </t>
    </r>
    <r>
      <rPr>
        <b/>
        <u/>
        <sz val="10"/>
        <rFont val="Corbel"/>
        <family val="2"/>
      </rPr>
      <t>water point design</t>
    </r>
    <r>
      <rPr>
        <sz val="10"/>
        <rFont val="Corbel"/>
        <family val="2"/>
      </rPr>
      <t xml:space="preserve"> and </t>
    </r>
    <r>
      <rPr>
        <b/>
        <u/>
        <sz val="10"/>
        <rFont val="Corbel"/>
        <family val="2"/>
      </rPr>
      <t>water service</t>
    </r>
  </si>
  <si>
    <t># complaints received that result in timely, corrective action and feedback to the community</t>
  </si>
  <si>
    <t xml:space="preserve"># of affected people surveyed who report feeling satistfied with the latrine design and sanitation service </t>
  </si>
  <si>
    <t># of affected people surveyed who report feeling satistfied with the water point design and water service</t>
  </si>
  <si>
    <t>(blank)</t>
  </si>
  <si>
    <t>ALARM</t>
  </si>
  <si>
    <t>TEF</t>
  </si>
  <si>
    <t>GN</t>
  </si>
  <si>
    <t>Alinn BLDO</t>
  </si>
  <si>
    <t>Long name</t>
  </si>
  <si>
    <t>MDF</t>
  </si>
  <si>
    <t>TGH</t>
  </si>
  <si>
    <t>AYOSDA</t>
  </si>
  <si>
    <t>STH</t>
  </si>
  <si>
    <t>Guardian Network</t>
  </si>
  <si>
    <t>Alinn LDO</t>
  </si>
  <si>
    <t>WAMM</t>
  </si>
  <si>
    <t>MARC</t>
  </si>
  <si>
    <t>Myanmar Alliance for Rabies Control</t>
  </si>
  <si>
    <t>Advancing Life and Regenerating Mother Land</t>
  </si>
  <si>
    <t>Thabyay Education Foundation</t>
  </si>
  <si>
    <t>Civil Society Organization</t>
  </si>
  <si>
    <t>Unicef</t>
  </si>
  <si>
    <t>Suwannimit</t>
  </si>
  <si>
    <t>MKLDO</t>
  </si>
  <si>
    <t>yes</t>
  </si>
  <si>
    <t>KBC, UNICEF</t>
  </si>
  <si>
    <t>Notcovered</t>
  </si>
  <si>
    <t>reported</t>
  </si>
  <si>
    <t>Hygiene kits</t>
  </si>
  <si>
    <t>13-8-2021, 6-1-2020</t>
  </si>
  <si>
    <t>30-6-2022, 30.4.2021</t>
  </si>
  <si>
    <t>KBC, Metta</t>
  </si>
  <si>
    <t>6/1/2022,(13-8-2021, 6-1-2020)</t>
  </si>
  <si>
    <t>11/30/2022,(30-6-2022, 30.4.2021)</t>
  </si>
  <si>
    <t>ECHO 2739,USAID/HOPE-94</t>
  </si>
  <si>
    <t>MHF,USAID/HOPE-94</t>
  </si>
  <si>
    <t>10/1/2022,(13-8-2021, 6-1-2020)</t>
  </si>
  <si>
    <t>6/30/2023, (30-6-2022, 30.4.2021)</t>
  </si>
  <si>
    <t>SIDA, USAID/HOPE-94</t>
  </si>
  <si>
    <t>METTA</t>
  </si>
  <si>
    <t>Metta Development Foundation</t>
  </si>
  <si>
    <t>Karuna Mission Social Solidarity</t>
  </si>
  <si>
    <t>Ar Yone Oo Social Development Association</t>
  </si>
  <si>
    <t>Care International</t>
  </si>
  <si>
    <t>Chin Human Rights Organization</t>
  </si>
  <si>
    <t>People in Need</t>
  </si>
  <si>
    <t>Save the Children International</t>
  </si>
  <si>
    <t>Triangle Generation Humanitaire</t>
  </si>
  <si>
    <t>United Nations Children's Fund</t>
  </si>
  <si>
    <t>Danish Refugee Council</t>
  </si>
  <si>
    <t>International Rescue Committee</t>
  </si>
  <si>
    <t>Kachin Baptist Convention</t>
  </si>
  <si>
    <t>Nyein (Shalom) Foundation</t>
  </si>
  <si>
    <t>Solidarites International</t>
  </si>
  <si>
    <t>Serve The World</t>
  </si>
  <si>
    <t xml:space="preserve">Wunpawng Ninghtoi </t>
  </si>
  <si>
    <t>Suwannimit Foundation</t>
  </si>
  <si>
    <t>ADRA Myanmar</t>
  </si>
  <si>
    <t>Commitee for Internally Displaced Karen People</t>
  </si>
  <si>
    <t>Mercy Corps</t>
  </si>
  <si>
    <t>Community Development Association</t>
  </si>
  <si>
    <t>Consortium Dutch NGO's</t>
  </si>
  <si>
    <t>Community Empowerment and Resilience Association</t>
  </si>
  <si>
    <t>Lutheran World Federation</t>
  </si>
  <si>
    <t>OXFAM International</t>
  </si>
  <si>
    <t>Relief International</t>
  </si>
  <si>
    <t>Swan Yee Development Foundation</t>
  </si>
  <si>
    <t>Treasure Land Development Association</t>
  </si>
  <si>
    <t>United Nations High Commissioner for Refugees</t>
  </si>
  <si>
    <t>World Food Programme</t>
  </si>
  <si>
    <t>Action Contre la Faim</t>
  </si>
  <si>
    <t>Green Life Alliance for Development, Myanmar Council of Churches</t>
  </si>
  <si>
    <t>Health Poverty Action</t>
  </si>
  <si>
    <t>Mawk Kone Local Development Network</t>
  </si>
  <si>
    <t>WaterAid</t>
  </si>
  <si>
    <t>KBC, KMSS, UNICEF</t>
  </si>
  <si>
    <t>KBC, KMSS, IRC, UNICEF</t>
  </si>
  <si>
    <t>KBC,IRC</t>
  </si>
  <si>
    <t>KBC, IRC</t>
  </si>
  <si>
    <t>KBC, KMSS, METTA, UNICEF</t>
  </si>
  <si>
    <t>KBC, KMSS, METTA, SI, UNICEF</t>
  </si>
  <si>
    <t>KBC, METTA, UNICEF</t>
  </si>
  <si>
    <t>ANCHOR</t>
  </si>
  <si>
    <t>KMSS , SI</t>
  </si>
  <si>
    <t>Shan Culutre camp</t>
  </si>
  <si>
    <t>New Nant  Hlaing camp</t>
  </si>
  <si>
    <t>ရေတွင်းတွင် ထည့်ရန် ရေမော်တာ အသစ်တစ်လုံး လိုအပ်</t>
  </si>
  <si>
    <t>သင်တန်းပို့ချပေးစေလို</t>
  </si>
  <si>
    <t>Nyein (Shalom)</t>
  </si>
  <si>
    <t>Shalom, church</t>
  </si>
  <si>
    <t>hygiene kit Distribution</t>
  </si>
  <si>
    <t>shalom</t>
  </si>
  <si>
    <t>အိမ်သာကျင်းမကြာခန ပိတ်</t>
  </si>
  <si>
    <t>shalom, ICRC</t>
  </si>
  <si>
    <t>New Latrine လိုအပ်</t>
  </si>
  <si>
    <t xml:space="preserve">နွေရာသီရေခမ်း </t>
  </si>
  <si>
    <t xml:space="preserve">need for water taste  </t>
  </si>
  <si>
    <t>မိလ္လာစုပ်ထုတ်ရန် အခက်အခဲဖြစ်</t>
  </si>
  <si>
    <t>Chruch , Shalom</t>
  </si>
  <si>
    <t>45 နှစ်အထက် အမျိုးသမီးများလည်း လစဉ်သုံးပေးစေလို</t>
  </si>
  <si>
    <t xml:space="preserve">new dugwell </t>
  </si>
  <si>
    <t>ရေနုတ်မြှောင်းပြုပြင်ရန်လို</t>
  </si>
  <si>
    <t xml:space="preserve">hygiene kits ကို ၄၅ နှစ်အထက်ပေးစေလို </t>
  </si>
  <si>
    <t>ရေထွက်ပင်ရင်းနောက်တိုးလိုအပ်</t>
  </si>
  <si>
    <t>အိမ်သာပြုပြင်ရန်လိုအပ်</t>
  </si>
  <si>
    <t>ဆက်လက်သင်တန်းပို့ချလှင်ကောင်း</t>
  </si>
  <si>
    <t xml:space="preserve">ရေအရည်သွေးစစ်ဆေးမူပြုလုပ်စေချင်။ </t>
  </si>
  <si>
    <t>၃ လတစ်ကြိမ် Hygiene promotion ပြုလုပ်လျှင်အဆင်ပြေ</t>
  </si>
  <si>
    <t>Hygiene Kits and capacity building training</t>
  </si>
  <si>
    <t>Needed hygiene kits</t>
  </si>
  <si>
    <t>ရေတင်မီးစက်တွင် မီးကြိုးလဲလှယ်ရန်လို</t>
  </si>
  <si>
    <t>အိမ်သာလုံလောက်မှုမရှိ</t>
  </si>
  <si>
    <t>Metta, Shalom</t>
  </si>
  <si>
    <t>USAID/HOPE-94, ANCHOR</t>
  </si>
  <si>
    <t>(13-8-2021, 6-1-2020),1-1-2023</t>
  </si>
  <si>
    <t>(30-6-2022, 30.4.2021),12-31-2023</t>
  </si>
  <si>
    <t>KBC, IRC, Shalom</t>
  </si>
  <si>
    <t>(UNICEF,SIDA), ANCHOR</t>
  </si>
  <si>
    <t>9/7/2022,1-1-2023</t>
  </si>
  <si>
    <t>9/6/2023,12-31-2023</t>
  </si>
  <si>
    <t>KBC, Shalom</t>
  </si>
  <si>
    <t>New Nant  Hlaing camp Total</t>
  </si>
  <si>
    <t>Shan Culutre camp Total</t>
  </si>
  <si>
    <t>KBC, SI, IRC, METTA, SHALOM</t>
  </si>
  <si>
    <t>KBC, UNICEF, SHALOM</t>
  </si>
  <si>
    <t>KBC, KMSS, UNICEF, SHALOM</t>
  </si>
  <si>
    <t>KBC, KMSS, IRC, UNICEF, SHALOM</t>
  </si>
  <si>
    <t>KBC, KMSS, IRC, METTA, UNICEF, WAINGMAW</t>
  </si>
  <si>
    <t># of TLS/CFS/THF with functional water points or water provision supported by WASH partners during the reporting period</t>
  </si>
  <si>
    <t># People access to functional water points or water provision supported by WASH partners in TLS/CFS/THF_HRP5</t>
  </si>
  <si>
    <t>MMR001CMP305</t>
  </si>
  <si>
    <t>Closed_cccm_2023May</t>
  </si>
  <si>
    <t>TemporaryClosed_cccm_2023May</t>
  </si>
  <si>
    <t>cccm_2023May</t>
  </si>
  <si>
    <t>Lashio ward 7 – IDPs in host</t>
  </si>
  <si>
    <t>Lashio ward 9 – IDPs in host</t>
  </si>
  <si>
    <t>Ward 3</t>
  </si>
  <si>
    <t>Mong Paw Building</t>
  </si>
  <si>
    <t>IDP in host community(Mongkoe town)</t>
  </si>
  <si>
    <t>MMR015CMP097</t>
  </si>
  <si>
    <t>MMR015CMP098</t>
  </si>
  <si>
    <t>MMR015CMP099</t>
  </si>
  <si>
    <t>MMR015CMP100</t>
  </si>
  <si>
    <t>MMR015CMP101</t>
  </si>
  <si>
    <t>Lashio town</t>
  </si>
  <si>
    <t>Ward (7)</t>
  </si>
  <si>
    <t>Ward (4)</t>
  </si>
  <si>
    <t>Q2_2023</t>
  </si>
  <si>
    <t>31 May 2023: Site added in CCCM list as protracted camp/site, HH/PP updated by Lashio field office. Actual arrival date: 20 Jul 2022.</t>
  </si>
  <si>
    <t>31 May 2023- from field mission report</t>
  </si>
  <si>
    <t>HH
(Kachin/Shan-CCCM as of May 2023)</t>
  </si>
  <si>
    <t>Pop
(Kachin/Shan-CCCM as of May 2023)</t>
  </si>
  <si>
    <t>Extension of Loi Je Catholic ??</t>
  </si>
  <si>
    <t>resettlement or relocate??</t>
  </si>
  <si>
    <t>Yes. moving to local integration</t>
  </si>
  <si>
    <t>to check CCCM</t>
  </si>
  <si>
    <t>Dagaw Border</t>
  </si>
  <si>
    <t>Sein Lone Shann Border</t>
  </si>
  <si>
    <t>ECHO 2739/ANCHOR</t>
  </si>
  <si>
    <t>Yes, focal is SHALOM till march 2024</t>
  </si>
  <si>
    <t>Yes, Focal is Shalom</t>
  </si>
  <si>
    <t>Yes. Focal is Shalom</t>
  </si>
  <si>
    <t>Yes. Focal is Shalom  Waingmaw Lhavo extenion planned to moved to relocation</t>
  </si>
  <si>
    <t xml:space="preserve">Yes. Focal is Shalom </t>
  </si>
  <si>
    <t>Yes. Focal is Shalom .Planning to relocation</t>
  </si>
  <si>
    <t>Yes. KBC is focal</t>
  </si>
  <si>
    <t>Yes, planning to move to Karmaing KawngRa ward. KBC is focal</t>
  </si>
  <si>
    <t>Yes. KBC is focal .planning to lcoal integration</t>
  </si>
  <si>
    <t>Yes. KBC is focal planning to lcoal integration</t>
  </si>
  <si>
    <t>Yes. Moving to Mohnyin Aung Tha Pyay.still need humanitatian assistance. KBC is focal. Planned to stop in Q3</t>
  </si>
  <si>
    <t>Yes. KBC is focal. Planning to relocation</t>
  </si>
  <si>
    <t>Extension of Je Yang Hka. Handover to KMSS</t>
  </si>
  <si>
    <t xml:space="preserve">Momauk KBC church. Initial KBC </t>
  </si>
  <si>
    <t>Momauk KBC church. KBC is focal</t>
  </si>
  <si>
    <t>Yes. KBC is focal. Je Yang camp</t>
  </si>
  <si>
    <t>Yes. KBC Bhamo is focal. 1, 2 combined</t>
  </si>
  <si>
    <t>Yes. Metta is focal</t>
  </si>
  <si>
    <t>Yes. KBC is initital focal</t>
  </si>
  <si>
    <t>Yes, focal is SHALOM till march 2024. Metta didn't handover this camp. Metta will meet with Shalom</t>
  </si>
  <si>
    <t>Momauk KBC church. Metta is initital focal. KBC is current focal, STW, WC</t>
  </si>
  <si>
    <t>Momauk KBC church. METTA is initital focal.  KBC is focal. STW, WC??</t>
  </si>
  <si>
    <t>KBC, Metta, STW</t>
  </si>
  <si>
    <t>Yes, Metta is focal</t>
  </si>
  <si>
    <t>Metta, STW</t>
  </si>
  <si>
    <t>Momauk KBC church. Metta is focal</t>
  </si>
  <si>
    <t>Yes. Metta Kachin is focal</t>
  </si>
  <si>
    <t>Yes. KMSS focal</t>
  </si>
  <si>
    <t>Yes. KMSS focal Will be closed soon</t>
  </si>
  <si>
    <t>KBC, KMSS</t>
  </si>
  <si>
    <t>Yes. KBC is focal planning to local integration</t>
  </si>
  <si>
    <t>Dagaw Border Total</t>
  </si>
  <si>
    <t>Lashio ward 7 – IDPs in host Total</t>
  </si>
  <si>
    <t>Lashio ward 9 – IDPs in host Total</t>
  </si>
  <si>
    <t>Ward 3 Total</t>
  </si>
  <si>
    <t>Mong Paw Building Total</t>
  </si>
  <si>
    <t>IDP in host community(Mongkoe town) Total</t>
  </si>
  <si>
    <t>Sein Lone Shann Border Total</t>
  </si>
  <si>
    <t>SI, Shalom</t>
  </si>
  <si>
    <t>KBC Total</t>
  </si>
  <si>
    <t>KMSS Total</t>
  </si>
  <si>
    <t>Metta Total</t>
  </si>
  <si>
    <t>Shalom Total</t>
  </si>
  <si>
    <t>SI Total</t>
  </si>
  <si>
    <t>STW Total</t>
  </si>
  <si>
    <t>WPN Total</t>
  </si>
  <si>
    <t>WASH focal agency</t>
  </si>
  <si>
    <t># of sites covered</t>
  </si>
  <si>
    <t>Shalom, STW</t>
  </si>
  <si>
    <t>individual house</t>
  </si>
  <si>
    <t>Metta is focal.</t>
  </si>
  <si>
    <t>MHF, HK. Metta is focal like a new village. No camp setting. Moved to 4W village</t>
  </si>
  <si>
    <t>returned to origin.closed. Changed to village setting</t>
  </si>
  <si>
    <t>No focal. UNICEF is IP. Metta will confirm as focal since MHF area</t>
  </si>
  <si>
    <t>UNICEF, METTA</t>
  </si>
  <si>
    <t>to be confirmed with SCI</t>
  </si>
  <si>
    <t>USAID, UNOPS</t>
  </si>
  <si>
    <t xml:space="preserve"> 13-8-2021, 30-4-2023</t>
  </si>
  <si>
    <t>30-6-2023, 31-12-2023</t>
  </si>
  <si>
    <t>ECHO 2739,USAID, UNOPS, Irish Aid</t>
  </si>
  <si>
    <t xml:space="preserve"> 13-8-2021, 30-4-2023, 1-1-2023</t>
  </si>
  <si>
    <t>30-6-2023,  31-12-2023, 31-12-2023</t>
  </si>
  <si>
    <t>USAID, UNOPS, Irish Aid</t>
  </si>
  <si>
    <t xml:space="preserve"> 13-8-2021,  30-4-2023, 1-1-2023</t>
  </si>
  <si>
    <t>30-6-2023, 31-12-2023, 31-12-2023</t>
  </si>
  <si>
    <t>Metta, Shalom, STW</t>
  </si>
  <si>
    <t>USAID/HOPE-94, ANCHOR, Irish Aid</t>
  </si>
  <si>
    <t xml:space="preserve"> 13-8-2021, 1-5-2023, 30-4-2023, 1-1-2023</t>
  </si>
  <si>
    <t>30-6-2023, 30-4-2024, 31-12-2023, 31-12-2023</t>
  </si>
  <si>
    <t>USAID,UNOPS, Irish Aid</t>
  </si>
  <si>
    <t xml:space="preserve">KBC, Metta, STW </t>
  </si>
  <si>
    <t>ECHO 2739, USAID MHF 24165, UNOPS, Irish Aid</t>
  </si>
  <si>
    <t>MHF 24165, USAID, UNOPS</t>
  </si>
  <si>
    <t>13-8-2021, 1-5-2023, 30-4-2023</t>
  </si>
  <si>
    <t>30-6-2023, 30-4-2024, 31-12-2023</t>
  </si>
  <si>
    <t>ECHO 2739, USAIDMHF 24165, UNOPS, Irish Aid</t>
  </si>
  <si>
    <t>ECHO 2739,USAID, MHF 24165, UNOPS, Irish Aid</t>
  </si>
  <si>
    <t>USAID, MHF 24165, UNOPS, Irish Aid</t>
  </si>
  <si>
    <t>SIDA, USAID, UNOPS</t>
  </si>
  <si>
    <t xml:space="preserve"> 13-8-2021,  30-4-2023</t>
  </si>
  <si>
    <t>USAID,UNOPS</t>
  </si>
  <si>
    <t>30-6-2023,  31-12-2023</t>
  </si>
  <si>
    <t>USAID, MHF 24165, UNOPS</t>
  </si>
  <si>
    <t xml:space="preserve"> 13-8-2021, 1-5-2023, 30-4-2023</t>
  </si>
  <si>
    <t>Yes.same with Lone Khin Catholic Church</t>
  </si>
  <si>
    <t>Yes. KMSS is focal</t>
  </si>
  <si>
    <t>KBC_HDD</t>
  </si>
  <si>
    <t>KBC_HDD,IRC</t>
  </si>
  <si>
    <t>KBC_HDD, IRC</t>
  </si>
  <si>
    <t>KBC, STW</t>
  </si>
  <si>
    <t>Momauk KBC church. Metta is initial focal. KBC is still Q3, Metta, STW, WC. 2 latrines constructed</t>
  </si>
  <si>
    <t>ECHO 2983</t>
  </si>
  <si>
    <t xml:space="preserve">                                                               -  </t>
  </si>
  <si>
    <t>CWF distitribution -27 hh</t>
  </si>
  <si>
    <t>CWF distitribution -12 hh</t>
  </si>
  <si>
    <t>CWF distitribution -61 hh</t>
  </si>
  <si>
    <t>CWF distribution -31 hh</t>
  </si>
  <si>
    <t>CWF distribution -16 hh</t>
  </si>
  <si>
    <t>CWF distribution -21 hh</t>
  </si>
  <si>
    <t>CWF distribution -145 hh</t>
  </si>
  <si>
    <t>CWF distribution -18 hh</t>
  </si>
  <si>
    <t>KBC_HDD/IRC</t>
  </si>
  <si>
    <t>SHALOM</t>
  </si>
  <si>
    <t>ARE</t>
  </si>
  <si>
    <t>YCIBO</t>
  </si>
  <si>
    <t>CFSI</t>
  </si>
  <si>
    <t>ERT</t>
  </si>
  <si>
    <t>MF</t>
  </si>
  <si>
    <t>FLER</t>
  </si>
  <si>
    <t>MRT</t>
  </si>
  <si>
    <t>NRC</t>
  </si>
  <si>
    <t>GSM</t>
  </si>
  <si>
    <t>3W-</t>
  </si>
  <si>
    <t>RfP</t>
  </si>
  <si>
    <t>JRS</t>
  </si>
  <si>
    <t>Shwe Inn Thu</t>
  </si>
  <si>
    <t>PDN</t>
  </si>
  <si>
    <t>YVO</t>
  </si>
  <si>
    <t>SKSHG</t>
  </si>
  <si>
    <t>MHAA</t>
  </si>
  <si>
    <t>Column4</t>
  </si>
  <si>
    <t>added in Q2</t>
  </si>
  <si>
    <t>Community and Family Services International</t>
  </si>
  <si>
    <t>Médecins Sans Frontières - Holland</t>
  </si>
  <si>
    <t>Norwegian Refugee Council</t>
  </si>
  <si>
    <t>Parami Development Network</t>
  </si>
  <si>
    <t>Shwe Kanbawza Self Help Group</t>
  </si>
  <si>
    <t>First Time Emergency Response</t>
  </si>
  <si>
    <t>GSMF</t>
  </si>
  <si>
    <t>Good Shepherd Myanmar Foundation</t>
  </si>
  <si>
    <t>Youth Volunteer Organization</t>
  </si>
  <si>
    <t>Community Based Organization</t>
  </si>
  <si>
    <t>MRF</t>
  </si>
  <si>
    <t>Metta Resource Foundation</t>
  </si>
  <si>
    <t>Arakan response for Emergency</t>
  </si>
  <si>
    <t>Young Capacity Building Organization</t>
  </si>
  <si>
    <t>reported in Q2</t>
  </si>
  <si>
    <t>checking</t>
  </si>
  <si>
    <t>not reported</t>
  </si>
  <si>
    <t>KACHIN STATE (2023 - Qtr 2 - 4W Analysis, as of 30 June 2023)</t>
  </si>
  <si>
    <t>NORTHERN SHAN STATE  (2023 - Qtr 2 - 4W Analysis, as of 30 June 2023)</t>
  </si>
  <si>
    <t>2023-2nd Qtr 4W Camp DASHBOARD</t>
  </si>
  <si>
    <t xml:space="preserve">KMSS, ALinn BLDO </t>
  </si>
  <si>
    <t>Mone Koe</t>
  </si>
  <si>
    <t>CARE, SCI</t>
  </si>
  <si>
    <t>Metta, SCI</t>
  </si>
  <si>
    <t>Covered
(119 camps)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</si>
</sst>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4" formatCode="_(&quot;$&quot;* #,##0.00_);_(&quot;$&quot;* \(#,##0.00\);_(&quot;$&quot;* &quot;-&quot;??_);_(@_)"/>
    <numFmt numFmtId="43" formatCode="_(* #,##0.00_);_(* \(#,##0.00\);_(* &quot;-&quot;??_);_(@_)"/>
    <numFmt numFmtId="164" formatCode="_(* #,##0_);_(* \(#,##0\);_(* &quot;-&quot;??_);_(@_)"/>
    <numFmt numFmtId="165" formatCode="[$-409]d\-mmm\-yy;@"/>
    <numFmt numFmtId="166" formatCode="[$-409]d/mmm/yy;@"/>
    <numFmt numFmtId="167" formatCode="yyyy/mm/dd"/>
    <numFmt numFmtId="168" formatCode="[$-409]d\-mmm\-yyyy;@"/>
    <numFmt numFmtId="169" formatCode="0.0%"/>
  </numFmts>
  <fonts count="189">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font>
    <font>
      <sz val="12"/>
      <color theme="1"/>
      <name val="Times New Roman"/>
      <family val="2"/>
    </font>
    <font>
      <sz val="11"/>
      <color theme="1"/>
      <name val="Calibri"/>
      <family val="2"/>
      <scheme val="minor"/>
    </font>
    <font>
      <b/>
      <sz val="9"/>
      <color indexed="81"/>
      <name val="Tahoma"/>
      <family val="2"/>
    </font>
    <font>
      <sz val="9"/>
      <color indexed="81"/>
      <name val="Tahoma"/>
      <family val="2"/>
    </font>
    <font>
      <b/>
      <sz val="10"/>
      <color rgb="FFFFFFFF"/>
      <name val="Corbel"/>
      <family val="2"/>
    </font>
    <font>
      <sz val="10"/>
      <color rgb="FF2C2C2C"/>
      <name val="Corbel"/>
      <family val="2"/>
    </font>
    <font>
      <b/>
      <sz val="12"/>
      <color theme="1"/>
      <name val="Gill Sans MT"/>
      <family val="2"/>
    </font>
    <font>
      <sz val="12"/>
      <color theme="1"/>
      <name val="Gill Sans MT"/>
      <family val="2"/>
    </font>
    <font>
      <b/>
      <sz val="10"/>
      <color rgb="FF2C2C2C"/>
      <name val="Corbel"/>
      <family val="2"/>
    </font>
    <font>
      <sz val="12"/>
      <color rgb="FF2C2C2C"/>
      <name val="Gill Sans MT"/>
      <family val="2"/>
    </font>
    <font>
      <b/>
      <sz val="11"/>
      <color theme="1"/>
      <name val="Calibri"/>
      <family val="2"/>
      <scheme val="minor"/>
    </font>
    <font>
      <sz val="10"/>
      <color theme="1"/>
      <name val="Corbel"/>
      <family val="2"/>
    </font>
    <font>
      <sz val="10"/>
      <name val="Corbel"/>
      <family val="2"/>
    </font>
    <font>
      <sz val="10"/>
      <color theme="1"/>
      <name val="Calibri"/>
      <family val="2"/>
      <scheme val="minor"/>
    </font>
    <font>
      <b/>
      <sz val="10"/>
      <name val="Corbel"/>
      <family val="2"/>
    </font>
    <font>
      <b/>
      <sz val="14"/>
      <color theme="0"/>
      <name val="Corbel"/>
      <family val="2"/>
    </font>
    <font>
      <sz val="12"/>
      <color theme="1"/>
      <name val="Corbel"/>
      <family val="2"/>
    </font>
    <font>
      <b/>
      <sz val="18"/>
      <color theme="0"/>
      <name val="Calibri"/>
      <family val="2"/>
      <scheme val="minor"/>
    </font>
    <font>
      <sz val="18"/>
      <color theme="0"/>
      <name val="Calibri"/>
      <family val="2"/>
    </font>
    <font>
      <b/>
      <sz val="18"/>
      <color theme="0"/>
      <name val="Calibri"/>
      <family val="2"/>
    </font>
    <font>
      <b/>
      <sz val="12"/>
      <color theme="0"/>
      <name val="Corbel"/>
      <family val="2"/>
    </font>
    <font>
      <sz val="12"/>
      <color theme="0"/>
      <name val="Corbel"/>
      <family val="2"/>
    </font>
    <font>
      <b/>
      <sz val="10"/>
      <color rgb="FFFF0000"/>
      <name val="Corbel"/>
      <family val="2"/>
    </font>
    <font>
      <b/>
      <sz val="11"/>
      <color theme="0"/>
      <name val="Corbel"/>
      <family val="2"/>
    </font>
    <font>
      <b/>
      <sz val="11"/>
      <color rgb="FFFF0000"/>
      <name val="Corbel"/>
      <family val="2"/>
    </font>
    <font>
      <b/>
      <sz val="12"/>
      <color theme="1"/>
      <name val="Times New Roman"/>
      <family val="1"/>
    </font>
    <font>
      <b/>
      <sz val="11"/>
      <color theme="9" tint="-0.499984740745262"/>
      <name val="Corbel"/>
      <family val="2"/>
    </font>
    <font>
      <sz val="10"/>
      <color indexed="8"/>
      <name val="Arial"/>
      <family val="2"/>
    </font>
    <font>
      <sz val="10"/>
      <color rgb="FF2C2C2C"/>
      <name val="Calibri"/>
      <family val="2"/>
      <scheme val="minor"/>
    </font>
    <font>
      <b/>
      <sz val="10"/>
      <color theme="0" tint="-0.249977111117893"/>
      <name val="Corbel"/>
      <family val="2"/>
    </font>
    <font>
      <sz val="10"/>
      <color theme="0" tint="-0.249977111117893"/>
      <name val="Corbel"/>
      <family val="2"/>
    </font>
    <font>
      <sz val="11"/>
      <color rgb="FF006100"/>
      <name val="Calibri"/>
      <family val="2"/>
    </font>
    <font>
      <sz val="11"/>
      <color rgb="FF9C0006"/>
      <name val="Calibri"/>
      <family val="2"/>
    </font>
    <font>
      <b/>
      <sz val="15"/>
      <color theme="0"/>
      <name val="Corbel"/>
      <family val="2"/>
    </font>
    <font>
      <sz val="10"/>
      <color rgb="FFFF0000"/>
      <name val="Corbel"/>
      <family val="2"/>
    </font>
    <font>
      <sz val="9"/>
      <color theme="1"/>
      <name val="Corbel"/>
      <family val="2"/>
    </font>
    <font>
      <sz val="9"/>
      <color rgb="FF2C2C2C"/>
      <name val="Corbel"/>
      <family val="2"/>
    </font>
    <font>
      <sz val="9"/>
      <name val="Corbel"/>
      <family val="2"/>
    </font>
    <font>
      <sz val="12"/>
      <color theme="1"/>
      <name val="Calibri"/>
      <family val="2"/>
      <scheme val="minor"/>
    </font>
    <font>
      <b/>
      <sz val="12"/>
      <color theme="1"/>
      <name val="Calibri"/>
      <family val="2"/>
      <scheme val="minor"/>
    </font>
    <font>
      <b/>
      <sz val="15"/>
      <color theme="3"/>
      <name val="Calibri"/>
      <family val="2"/>
      <scheme val="minor"/>
    </font>
    <font>
      <sz val="14"/>
      <color theme="1"/>
      <name val="Calibri"/>
      <family val="2"/>
      <scheme val="minor"/>
    </font>
    <font>
      <b/>
      <sz val="20"/>
      <color theme="0"/>
      <name val="Corbel"/>
      <family val="2"/>
    </font>
    <font>
      <sz val="10"/>
      <name val="Calibri"/>
      <family val="2"/>
      <scheme val="minor"/>
    </font>
    <font>
      <sz val="12"/>
      <color theme="0"/>
      <name val="Calibri"/>
      <family val="2"/>
      <scheme val="minor"/>
    </font>
    <font>
      <b/>
      <sz val="12"/>
      <color rgb="FF000000"/>
      <name val="Calibri"/>
      <family val="2"/>
      <scheme val="minor"/>
    </font>
    <font>
      <b/>
      <sz val="12"/>
      <color rgb="FFFF0000"/>
      <name val="Calibri"/>
      <family val="2"/>
      <scheme val="minor"/>
    </font>
    <font>
      <b/>
      <sz val="14"/>
      <color theme="1"/>
      <name val="Calibri"/>
      <family val="2"/>
      <scheme val="minor"/>
    </font>
    <font>
      <b/>
      <sz val="20"/>
      <color theme="0"/>
      <name val="Calibri"/>
      <family val="2"/>
      <scheme val="minor"/>
    </font>
    <font>
      <b/>
      <sz val="14"/>
      <color theme="0"/>
      <name val="Calibri"/>
      <family val="2"/>
      <scheme val="minor"/>
    </font>
    <font>
      <b/>
      <sz val="11"/>
      <color theme="0"/>
      <name val="Calibri"/>
      <family val="2"/>
      <scheme val="minor"/>
    </font>
    <font>
      <sz val="11"/>
      <color theme="1"/>
      <name val="Times New Roman"/>
      <family val="2"/>
    </font>
    <font>
      <sz val="11"/>
      <color theme="4" tint="-0.249977111117893"/>
      <name val="Calibri"/>
      <family val="2"/>
      <scheme val="minor"/>
    </font>
    <font>
      <sz val="11"/>
      <color theme="5" tint="-0.249977111117893"/>
      <name val="Calibri"/>
      <family val="2"/>
      <scheme val="minor"/>
    </font>
    <font>
      <sz val="11"/>
      <color theme="0"/>
      <name val="Calibri"/>
      <family val="2"/>
      <scheme val="minor"/>
    </font>
    <font>
      <b/>
      <sz val="10"/>
      <color theme="1"/>
      <name val="Calibri"/>
      <family val="2"/>
      <scheme val="minor"/>
    </font>
    <font>
      <b/>
      <i/>
      <sz val="11"/>
      <color theme="1"/>
      <name val="Calibri"/>
      <family val="2"/>
      <scheme val="minor"/>
    </font>
    <font>
      <b/>
      <sz val="12"/>
      <color theme="0"/>
      <name val="Calibri"/>
      <family val="2"/>
      <scheme val="minor"/>
    </font>
    <font>
      <b/>
      <sz val="12"/>
      <color rgb="FFFF0000"/>
      <name val="Corbel"/>
      <family val="2"/>
    </font>
    <font>
      <b/>
      <sz val="11"/>
      <color theme="5"/>
      <name val="Corbel"/>
      <family val="2"/>
    </font>
    <font>
      <b/>
      <sz val="12"/>
      <color theme="1"/>
      <name val="Times New Roman"/>
      <family val="2"/>
    </font>
    <font>
      <b/>
      <sz val="16"/>
      <color theme="0"/>
      <name val="Calibri"/>
      <family val="2"/>
      <scheme val="minor"/>
    </font>
    <font>
      <sz val="11"/>
      <name val="Calibri"/>
      <family val="2"/>
      <scheme val="minor"/>
    </font>
    <font>
      <b/>
      <i/>
      <u/>
      <sz val="11"/>
      <color theme="1"/>
      <name val="Calibri"/>
      <family val="2"/>
      <scheme val="minor"/>
    </font>
    <font>
      <b/>
      <sz val="10"/>
      <color theme="0"/>
      <name val="Calibri"/>
      <family val="2"/>
      <scheme val="minor"/>
    </font>
    <font>
      <b/>
      <u/>
      <sz val="10"/>
      <color rgb="FFFF0000"/>
      <name val="Corbel"/>
      <family val="2"/>
    </font>
    <font>
      <b/>
      <sz val="12"/>
      <color rgb="FF2C2C2C"/>
      <name val="Gill Sans MT"/>
      <family val="2"/>
    </font>
    <font>
      <sz val="9"/>
      <name val="zawgyi1"/>
      <family val="2"/>
    </font>
    <font>
      <sz val="9"/>
      <color theme="0"/>
      <name val="Corbel"/>
      <family val="2"/>
    </font>
    <font>
      <b/>
      <sz val="12"/>
      <color rgb="FFFFFFFF"/>
      <name val="Corbel"/>
      <family val="2"/>
    </font>
    <font>
      <sz val="10"/>
      <name val="zawgyi1"/>
      <family val="2"/>
    </font>
    <font>
      <sz val="10"/>
      <name val="Zawgyi-One"/>
      <family val="2"/>
    </font>
    <font>
      <sz val="9"/>
      <name val="Zawgyi-One"/>
      <family val="2"/>
    </font>
    <font>
      <b/>
      <sz val="10"/>
      <name val="Zawgyi-One"/>
      <family val="2"/>
    </font>
    <font>
      <sz val="8"/>
      <color theme="1"/>
      <name val="zawgyi1"/>
      <family val="2"/>
    </font>
    <font>
      <b/>
      <sz val="8"/>
      <color theme="0"/>
      <name val="zawgyi1"/>
      <family val="2"/>
    </font>
    <font>
      <b/>
      <sz val="8"/>
      <name val="zawgyi1"/>
      <family val="2"/>
    </font>
    <font>
      <b/>
      <sz val="10"/>
      <name val="Crobel"/>
    </font>
    <font>
      <b/>
      <sz val="10"/>
      <color theme="0"/>
      <name val="Crobel"/>
    </font>
    <font>
      <b/>
      <sz val="10"/>
      <color rgb="FFFF0000"/>
      <name val="Crobel"/>
    </font>
    <font>
      <b/>
      <sz val="10"/>
      <color theme="5" tint="-0.249977111117893"/>
      <name val="Crobel"/>
    </font>
    <font>
      <b/>
      <sz val="10"/>
      <color rgb="FF00B050"/>
      <name val="Crobel"/>
    </font>
    <font>
      <b/>
      <sz val="10"/>
      <color rgb="FFFFC000"/>
      <name val="Crobel"/>
    </font>
    <font>
      <b/>
      <sz val="10"/>
      <color theme="9" tint="-0.499984740745262"/>
      <name val="Crobel"/>
    </font>
    <font>
      <sz val="10"/>
      <color theme="1"/>
      <name val="Crobel"/>
    </font>
    <font>
      <sz val="18"/>
      <name val="Corbel"/>
      <family val="2"/>
    </font>
    <font>
      <sz val="11"/>
      <name val="Calibri"/>
      <family val="2"/>
    </font>
    <font>
      <sz val="18"/>
      <name val="zawgyi1"/>
      <family val="2"/>
    </font>
    <font>
      <sz val="11"/>
      <name val="zawgyi1"/>
      <family val="2"/>
    </font>
    <font>
      <sz val="8"/>
      <name val="Zawgyi-One"/>
      <family val="2"/>
    </font>
    <font>
      <b/>
      <sz val="10"/>
      <color theme="0"/>
      <name val="Corbel"/>
      <family val="2"/>
    </font>
    <font>
      <b/>
      <sz val="10"/>
      <color rgb="FF0070C0"/>
      <name val="Crobel"/>
    </font>
    <font>
      <sz val="12"/>
      <color theme="0"/>
      <name val="Times New Roman"/>
      <family val="2"/>
    </font>
    <font>
      <sz val="12"/>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5"/>
      <name val="Crobel"/>
    </font>
    <font>
      <sz val="11"/>
      <color theme="1"/>
      <name val="Calibri"/>
      <family val="2"/>
      <scheme val="minor"/>
    </font>
    <font>
      <sz val="11"/>
      <color theme="1"/>
      <name val="Calibri"/>
      <family val="2"/>
      <scheme val="minor"/>
    </font>
    <font>
      <sz val="12"/>
      <color theme="1"/>
      <name val="Times New Roman"/>
      <family val="1"/>
    </font>
    <font>
      <sz val="11"/>
      <color theme="1"/>
      <name val="Calibri"/>
      <family val="2"/>
      <scheme val="minor"/>
    </font>
    <font>
      <sz val="11"/>
      <color theme="1"/>
      <name val="Calibri"/>
      <family val="3"/>
      <charset val="134"/>
      <scheme val="minor"/>
    </font>
    <font>
      <b/>
      <sz val="15"/>
      <color theme="3"/>
      <name val="Calibri"/>
      <family val="3"/>
      <charset val="134"/>
      <scheme val="minor"/>
    </font>
    <font>
      <sz val="12"/>
      <color theme="1"/>
      <name val="Times New Roman"/>
      <family val="1"/>
    </font>
    <font>
      <sz val="10"/>
      <color theme="0"/>
      <name val="Corbel"/>
      <family val="2"/>
    </font>
    <font>
      <sz val="12"/>
      <color theme="1"/>
      <name val="Calibri"/>
      <family val="2"/>
      <scheme val="minor"/>
    </font>
    <font>
      <b/>
      <u/>
      <sz val="10"/>
      <name val="Corbel"/>
      <family val="2"/>
    </font>
    <font>
      <sz val="10"/>
      <color theme="1"/>
      <name val="zawgyi1"/>
      <family val="2"/>
    </font>
    <font>
      <b/>
      <sz val="10"/>
      <color theme="1"/>
      <name val="zawgyi1"/>
      <family val="2"/>
    </font>
    <font>
      <b/>
      <sz val="8"/>
      <color theme="1"/>
      <name val="zawgyi1"/>
      <family val="2"/>
    </font>
    <font>
      <sz val="11"/>
      <color theme="1"/>
      <name val="Calibri"/>
      <family val="2"/>
      <scheme val="minor"/>
    </font>
    <font>
      <sz val="11"/>
      <color rgb="FFFF0000"/>
      <name val="Calibri"/>
      <family val="2"/>
      <scheme val="minor"/>
    </font>
    <font>
      <b/>
      <sz val="12"/>
      <name val="Calibri"/>
      <family val="2"/>
      <scheme val="minor"/>
    </font>
    <font>
      <sz val="12"/>
      <color theme="1"/>
      <name val="Calibri"/>
      <family val="2"/>
      <scheme val="minor"/>
    </font>
    <font>
      <sz val="11"/>
      <color theme="1"/>
      <name val="Calibri"/>
      <family val="2"/>
      <scheme val="minor"/>
    </font>
    <font>
      <sz val="8"/>
      <name val="Times New Roman"/>
      <family val="2"/>
    </font>
    <font>
      <sz val="8"/>
      <color rgb="FF2C2C2C"/>
      <name val="zawgyi1"/>
      <family val="2"/>
    </font>
    <font>
      <sz val="8"/>
      <name val="zawgyi1"/>
      <family val="2"/>
    </font>
    <font>
      <b/>
      <sz val="8"/>
      <color rgb="FFFFC000"/>
      <name val="zawgyi1"/>
      <family val="2"/>
    </font>
    <font>
      <i/>
      <sz val="12"/>
      <color theme="1"/>
      <name val="Calibri"/>
      <family val="2"/>
      <scheme val="minor"/>
    </font>
    <font>
      <sz val="11"/>
      <color theme="4" tint="-0.249977111117893"/>
      <name val="Calibri"/>
      <family val="2"/>
      <scheme val="minor"/>
    </font>
    <font>
      <b/>
      <sz val="10"/>
      <color theme="0"/>
      <name val="Calibri"/>
      <family val="2"/>
      <scheme val="minor"/>
    </font>
    <font>
      <sz val="9"/>
      <color theme="1"/>
      <name val="Corbel"/>
      <family val="2"/>
    </font>
    <font>
      <sz val="12"/>
      <color theme="1"/>
      <name val="Calibri"/>
      <family val="2"/>
      <scheme val="minor"/>
    </font>
    <font>
      <sz val="12"/>
      <color theme="0"/>
      <name val="Calibri"/>
      <family val="2"/>
      <scheme val="minor"/>
    </font>
    <font>
      <sz val="12"/>
      <name val="Calibri"/>
      <family val="2"/>
      <scheme val="minor"/>
    </font>
    <font>
      <b/>
      <sz val="12"/>
      <color rgb="FFFF0000"/>
      <name val="Times New Roman"/>
      <family val="2"/>
    </font>
    <font>
      <b/>
      <sz val="12"/>
      <color rgb="FFFF0000"/>
      <name val="Times New Roman"/>
      <family val="1"/>
    </font>
    <font>
      <sz val="12"/>
      <color theme="4" tint="-0.249977111117893"/>
      <name val="Calibri"/>
      <family val="2"/>
      <scheme val="minor"/>
    </font>
    <font>
      <sz val="11"/>
      <color theme="1"/>
      <name val="Calibri"/>
      <family val="2"/>
      <scheme val="minor"/>
    </font>
    <font>
      <b/>
      <sz val="10"/>
      <color theme="0"/>
      <name val="Arial"/>
      <family val="2"/>
    </font>
    <font>
      <sz val="10"/>
      <color theme="1"/>
      <name val="Arial"/>
      <family val="2"/>
    </font>
    <font>
      <b/>
      <sz val="9"/>
      <name val="Corbel"/>
      <family val="2"/>
    </font>
    <font>
      <sz val="10"/>
      <color theme="0"/>
      <name val="Crobel"/>
    </font>
    <font>
      <b/>
      <sz val="12"/>
      <name val="Times New Roman"/>
      <family val="2"/>
    </font>
    <font>
      <sz val="12"/>
      <name val="Times New Roman"/>
      <family val="2"/>
    </font>
    <font>
      <sz val="12"/>
      <name val="Times New Roman"/>
      <family val="1"/>
    </font>
    <font>
      <sz val="12"/>
      <color theme="0"/>
      <name val="Times New Roman"/>
      <family val="1"/>
    </font>
    <font>
      <sz val="11"/>
      <color theme="1"/>
      <name val="Calibri"/>
      <family val="2"/>
      <scheme val="minor"/>
    </font>
    <font>
      <b/>
      <sz val="11"/>
      <color theme="1"/>
      <name val="Calibri"/>
      <family val="2"/>
      <scheme val="minor"/>
    </font>
    <font>
      <sz val="11"/>
      <color theme="4" tint="-0.249977111117893"/>
      <name val="Calibri"/>
      <family val="2"/>
      <scheme val="minor"/>
    </font>
    <font>
      <i/>
      <sz val="12"/>
      <color theme="0"/>
      <name val="Calibri"/>
      <family val="2"/>
      <scheme val="minor"/>
    </font>
    <font>
      <sz val="14"/>
      <name val="Calibri"/>
      <family val="2"/>
      <scheme val="minor"/>
    </font>
    <font>
      <sz val="10"/>
      <color rgb="FF2C2C2C"/>
      <name val="Corbel"/>
      <family val="2"/>
    </font>
    <font>
      <sz val="11"/>
      <color theme="1"/>
      <name val="Calibri"/>
      <family val="2"/>
      <scheme val="minor"/>
    </font>
    <font>
      <b/>
      <sz val="11"/>
      <color theme="1"/>
      <name val="Calibri"/>
      <family val="2"/>
      <scheme val="minor"/>
    </font>
    <font>
      <sz val="11"/>
      <color theme="4" tint="-0.249977111117893"/>
      <name val="Calibri"/>
      <family val="2"/>
      <scheme val="minor"/>
    </font>
    <font>
      <b/>
      <sz val="11"/>
      <color theme="1" tint="0.499984740745262"/>
      <name val="Calibri"/>
      <family val="2"/>
      <scheme val="minor"/>
    </font>
    <font>
      <sz val="11"/>
      <color rgb="FF000000"/>
      <name val="Calibri"/>
      <family val="2"/>
      <scheme val="minor"/>
    </font>
    <font>
      <sz val="10"/>
      <color rgb="FF2C2C2C"/>
      <name val="Corbel"/>
      <family val="2"/>
    </font>
    <font>
      <sz val="12"/>
      <color rgb="FFFF0000"/>
      <name val="Corbel"/>
      <family val="2"/>
    </font>
    <font>
      <sz val="10"/>
      <color rgb="FF2C2C2C"/>
      <name val="Corbel"/>
      <family val="2"/>
    </font>
    <font>
      <sz val="11"/>
      <color theme="4" tint="-0.249977111117893"/>
      <name val="Calibri"/>
      <family val="2"/>
      <scheme val="minor"/>
    </font>
    <font>
      <b/>
      <sz val="11"/>
      <color theme="0"/>
      <name val="Calibri"/>
      <family val="2"/>
    </font>
    <font>
      <sz val="11"/>
      <color rgb="FF0070C0"/>
      <name val="Calibri"/>
      <family val="2"/>
      <scheme val="minor"/>
    </font>
    <font>
      <sz val="10"/>
      <color rgb="FF0070C0"/>
      <name val="Calibri"/>
      <family val="2"/>
    </font>
    <font>
      <sz val="10"/>
      <color rgb="FF0070C0"/>
      <name val="Calibri"/>
      <family val="2"/>
      <scheme val="minor"/>
    </font>
  </fonts>
  <fills count="68">
    <fill>
      <patternFill patternType="none"/>
    </fill>
    <fill>
      <patternFill patternType="gray125"/>
    </fill>
    <fill>
      <patternFill patternType="solid">
        <fgColor rgb="FFFFC000"/>
        <bgColor indexed="64"/>
      </patternFill>
    </fill>
    <fill>
      <patternFill patternType="solid">
        <fgColor rgb="FFFFE8CB"/>
        <bgColor indexed="64"/>
      </patternFill>
    </fill>
    <fill>
      <patternFill patternType="solid">
        <fgColor rgb="FFFFF4E7"/>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0070C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bgColor indexed="64"/>
      </patternFill>
    </fill>
    <fill>
      <patternFill patternType="solid">
        <fgColor theme="2" tint="-0.249977111117893"/>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theme="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3" tint="-0.499984740745262"/>
        <bgColor indexed="64"/>
      </patternFill>
    </fill>
    <fill>
      <patternFill patternType="solid">
        <fgColor rgb="FFD4E8C6"/>
        <bgColor indexed="64"/>
      </patternFill>
    </fill>
    <fill>
      <patternFill patternType="solid">
        <fgColor theme="4" tint="0.79998168889431442"/>
        <bgColor theme="4" tint="0.79998168889431442"/>
      </patternFill>
    </fill>
    <fill>
      <patternFill patternType="solid">
        <fgColor rgb="FFFF0000"/>
        <bgColor indexed="64"/>
      </patternFill>
    </fill>
    <fill>
      <patternFill patternType="solid">
        <fgColor rgb="FF85C2FF"/>
        <bgColor indexed="64"/>
      </patternFill>
    </fill>
    <fill>
      <patternFill patternType="solid">
        <fgColor theme="7" tint="0.39997558519241921"/>
        <bgColor indexed="64"/>
      </patternFill>
    </fill>
    <fill>
      <patternFill patternType="solid">
        <fgColor theme="4"/>
        <bgColor theme="4"/>
      </patternFill>
    </fill>
    <fill>
      <patternFill patternType="solid">
        <fgColor theme="9" tint="-0.499984740745262"/>
        <bgColor indexed="64"/>
      </patternFill>
    </fill>
    <fill>
      <patternFill patternType="solid">
        <fgColor theme="0" tint="-0.34998626667073579"/>
        <bgColor indexed="64"/>
      </patternFill>
    </fill>
    <fill>
      <patternFill patternType="solid">
        <fgColor rgb="FFFF898C"/>
        <bgColor indexed="64"/>
      </patternFill>
    </fill>
    <fill>
      <patternFill patternType="solid">
        <fgColor theme="5" tint="-0.249977111117893"/>
        <bgColor theme="5" tint="-0.249977111117893"/>
      </patternFill>
    </fill>
    <fill>
      <patternFill patternType="solid">
        <fgColor rgb="FF002060"/>
        <bgColor indexed="64"/>
      </patternFill>
    </fill>
    <fill>
      <patternFill patternType="solid">
        <fgColor rgb="FF098A9B"/>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2" tint="-0.89999084444715716"/>
        <bgColor indexed="64"/>
      </patternFill>
    </fill>
    <fill>
      <patternFill patternType="solid">
        <fgColor theme="0" tint="-0.499984740745262"/>
        <bgColor indexed="64"/>
      </patternFill>
    </fill>
    <fill>
      <patternFill patternType="solid">
        <fgColor rgb="FFC6EFCE"/>
        <bgColor indexed="64"/>
      </patternFill>
    </fill>
    <fill>
      <patternFill patternType="solid">
        <fgColor rgb="FFFFC7CE"/>
        <bgColor indexed="64"/>
      </patternFill>
    </fill>
    <fill>
      <patternFill patternType="solid">
        <fgColor rgb="FF0070C0"/>
        <bgColor theme="8" tint="-0.249977111117893"/>
      </patternFill>
    </fill>
    <fill>
      <patternFill patternType="solid">
        <fgColor theme="5" tint="0.39997558519241921"/>
        <bgColor theme="5" tint="0.39997558519241921"/>
      </patternFill>
    </fill>
    <fill>
      <patternFill patternType="solid">
        <fgColor theme="9" tint="-0.249977111117893"/>
        <bgColor theme="6" tint="-0.249977111117893"/>
      </patternFill>
    </fill>
    <fill>
      <patternFill patternType="solid">
        <fgColor theme="9" tint="0.39997558519241921"/>
        <bgColor theme="6" tint="0.39997558519241921"/>
      </patternFill>
    </fill>
    <fill>
      <patternFill patternType="solid">
        <fgColor theme="7" tint="0.59999389629810485"/>
        <bgColor indexed="64"/>
      </patternFill>
    </fill>
    <fill>
      <patternFill patternType="solid">
        <fgColor theme="8" tint="0.39997558519241921"/>
        <bgColor theme="8" tint="0.39997558519241921"/>
      </patternFill>
    </fill>
    <fill>
      <patternFill patternType="solid">
        <fgColor rgb="FFF7FECE"/>
        <bgColor indexed="64"/>
      </patternFill>
    </fill>
    <fill>
      <patternFill patternType="solid">
        <fgColor theme="2" tint="-9.9978637043366805E-2"/>
        <bgColor indexed="64"/>
      </patternFill>
    </fill>
    <fill>
      <patternFill patternType="solid">
        <fgColor rgb="FF7030A0"/>
        <bgColor indexed="64"/>
      </patternFill>
    </fill>
    <fill>
      <patternFill patternType="solid">
        <fgColor theme="4" tint="0.79998168889431442"/>
        <bgColor indexed="65"/>
      </patternFill>
    </fill>
    <fill>
      <patternFill patternType="solid">
        <fgColor rgb="FFDB7B18"/>
        <bgColor indexed="64"/>
      </patternFill>
    </fill>
    <fill>
      <patternFill patternType="solid">
        <fgColor rgb="FF00B0F0"/>
        <bgColor indexed="64"/>
      </patternFill>
    </fill>
    <fill>
      <patternFill patternType="solid">
        <fgColor rgb="FFFFB3B5"/>
        <bgColor indexed="64"/>
      </patternFill>
    </fill>
    <fill>
      <patternFill patternType="solid">
        <fgColor rgb="FFFF0000"/>
        <bgColor theme="4" tint="0.79998168889431442"/>
      </patternFill>
    </fill>
    <fill>
      <patternFill patternType="solid">
        <fgColor rgb="FFFFFF00"/>
        <bgColor rgb="FF000000"/>
      </patternFill>
    </fill>
    <fill>
      <patternFill patternType="solid">
        <fgColor rgb="FF92D050"/>
        <bgColor rgb="FF000000"/>
      </patternFill>
    </fill>
    <fill>
      <patternFill patternType="solid">
        <fgColor theme="0" tint="-0.249977111117893"/>
        <bgColor theme="0" tint="-0.249977111117893"/>
      </patternFill>
    </fill>
    <fill>
      <patternFill patternType="solid">
        <fgColor rgb="FF00B050"/>
        <bgColor indexed="64"/>
      </patternFill>
    </fill>
    <fill>
      <patternFill patternType="solid">
        <fgColor rgb="FFC65911"/>
        <bgColor indexed="64"/>
      </patternFill>
    </fill>
    <fill>
      <patternFill patternType="solid">
        <fgColor rgb="FF375623"/>
        <bgColor indexed="64"/>
      </patternFill>
    </fill>
  </fills>
  <borders count="205">
    <border>
      <left/>
      <right/>
      <top/>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medium">
        <color rgb="FFFFFFFF"/>
      </right>
      <top style="medium">
        <color rgb="FFFFFFFF"/>
      </top>
      <bottom style="medium">
        <color rgb="FFFFFFFF"/>
      </bottom>
      <diagonal/>
    </border>
    <border>
      <left style="medium">
        <color theme="0"/>
      </left>
      <right style="medium">
        <color theme="0"/>
      </right>
      <top style="medium">
        <color theme="0"/>
      </top>
      <bottom style="medium">
        <color theme="0"/>
      </bottom>
      <diagonal/>
    </border>
    <border>
      <left style="medium">
        <color rgb="FFFFFFFF"/>
      </left>
      <right/>
      <top style="medium">
        <color rgb="FFFFFFFF"/>
      </top>
      <bottom style="medium">
        <color rgb="FFFFFFFF"/>
      </bottom>
      <diagonal/>
    </border>
    <border>
      <left style="medium">
        <color rgb="FFFFFFFF"/>
      </left>
      <right style="medium">
        <color rgb="FFFFFFFF"/>
      </right>
      <top style="thick">
        <color rgb="FFFFFFFF"/>
      </top>
      <bottom/>
      <diagonal/>
    </border>
    <border>
      <left style="thin">
        <color indexed="22"/>
      </left>
      <right style="thin">
        <color indexed="22"/>
      </right>
      <top style="thin">
        <color indexed="22"/>
      </top>
      <bottom style="thin">
        <color indexed="22"/>
      </bottom>
      <diagonal/>
    </border>
    <border>
      <left style="medium">
        <color rgb="FFFFFFFF"/>
      </left>
      <right style="medium">
        <color rgb="FFFFFFFF"/>
      </right>
      <top/>
      <bottom/>
      <diagonal/>
    </border>
    <border>
      <left/>
      <right/>
      <top style="thick">
        <color rgb="FFFFFFFF"/>
      </top>
      <bottom/>
      <diagonal/>
    </border>
    <border>
      <left/>
      <right style="medium">
        <color rgb="FFFFFFFF"/>
      </right>
      <top style="thick">
        <color rgb="FFFFFFFF"/>
      </top>
      <bottom/>
      <diagonal/>
    </border>
    <border>
      <left/>
      <right/>
      <top style="thin">
        <color theme="4" tint="0.39997558519241921"/>
      </top>
      <bottom style="thin">
        <color theme="4" tint="0.39997558519241921"/>
      </bottom>
      <diagonal/>
    </border>
    <border>
      <left style="thin">
        <color theme="4"/>
      </left>
      <right style="thin">
        <color theme="4"/>
      </right>
      <top style="thin">
        <color theme="4"/>
      </top>
      <bottom style="thin">
        <color theme="4"/>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thin">
        <color theme="4" tint="0.39997558519241921"/>
      </bottom>
      <diagonal/>
    </border>
    <border>
      <left/>
      <right/>
      <top/>
      <bottom style="thick">
        <color theme="4"/>
      </bottom>
      <diagonal/>
    </border>
    <border>
      <left style="thin">
        <color theme="8"/>
      </left>
      <right style="thin">
        <color theme="8"/>
      </right>
      <top style="thin">
        <color theme="8"/>
      </top>
      <bottom style="thin">
        <color theme="8"/>
      </bottom>
      <diagonal/>
    </border>
    <border>
      <left style="thin">
        <color rgb="FF0070C0"/>
      </left>
      <right style="thin">
        <color rgb="FF0070C0"/>
      </right>
      <top style="thin">
        <color rgb="FF0070C0"/>
      </top>
      <bottom style="thin">
        <color rgb="FF0070C0"/>
      </bottom>
      <diagonal/>
    </border>
    <border>
      <left style="medium">
        <color rgb="FF0070C0"/>
      </left>
      <right style="thin">
        <color rgb="FF0070C0"/>
      </right>
      <top style="medium">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thin">
        <color rgb="FF0070C0"/>
      </top>
      <bottom style="thin">
        <color rgb="FF0070C0"/>
      </bottom>
      <diagonal/>
    </border>
    <border>
      <left/>
      <right/>
      <top/>
      <bottom style="thin">
        <color theme="4"/>
      </bottom>
      <diagonal/>
    </border>
    <border>
      <left style="medium">
        <color theme="4"/>
      </left>
      <right style="thin">
        <color theme="4"/>
      </right>
      <top style="medium">
        <color theme="4"/>
      </top>
      <bottom style="medium">
        <color theme="4"/>
      </bottom>
      <diagonal/>
    </border>
    <border>
      <left style="thin">
        <color theme="4"/>
      </left>
      <right style="thin">
        <color theme="4"/>
      </right>
      <top/>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n">
        <color theme="4" tint="0.59999389629810485"/>
      </left>
      <right style="thin">
        <color theme="4"/>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theme="4" tint="0.39994506668294322"/>
      </left>
      <right style="thin">
        <color theme="4" tint="0.39994506668294322"/>
      </right>
      <top/>
      <bottom/>
      <diagonal/>
    </border>
    <border>
      <left style="thin">
        <color theme="4" tint="0.39994506668294322"/>
      </left>
      <right style="thin">
        <color theme="4"/>
      </right>
      <top/>
      <bottom/>
      <diagonal/>
    </border>
    <border>
      <left style="thin">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top style="thin">
        <color theme="5" tint="0.59996337778862885"/>
      </top>
      <bottom/>
      <diagonal/>
    </border>
    <border>
      <left style="thin">
        <color theme="5"/>
      </left>
      <right style="thin">
        <color theme="5"/>
      </right>
      <top/>
      <bottom/>
      <diagonal/>
    </border>
    <border>
      <left style="thin">
        <color theme="5" tint="0.59996337778862885"/>
      </left>
      <right style="thin">
        <color theme="5" tint="0.59996337778862885"/>
      </right>
      <top style="medium">
        <color theme="5" tint="0.59996337778862885"/>
      </top>
      <bottom style="thin">
        <color theme="5" tint="0.59996337778862885"/>
      </bottom>
      <diagonal/>
    </border>
    <border>
      <left style="thin">
        <color theme="5" tint="0.59996337778862885"/>
      </left>
      <right style="medium">
        <color theme="5" tint="0.59996337778862885"/>
      </right>
      <top style="medium">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style="medium">
        <color theme="5" tint="0.59996337778862885"/>
      </right>
      <top style="thin">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medium">
        <color theme="5" tint="0.59996337778862885"/>
      </right>
      <top style="thin">
        <color theme="5" tint="0.59996337778862885"/>
      </top>
      <bottom style="medium">
        <color theme="5" tint="0.59996337778862885"/>
      </bottom>
      <diagonal/>
    </border>
    <border>
      <left/>
      <right/>
      <top style="thin">
        <color theme="5" tint="0.79998168889431442"/>
      </top>
      <bottom style="thin">
        <color theme="5" tint="0.79998168889431442"/>
      </bottom>
      <diagonal/>
    </border>
    <border>
      <left style="thin">
        <color theme="5"/>
      </left>
      <right style="thin">
        <color theme="5"/>
      </right>
      <top style="thin">
        <color theme="5"/>
      </top>
      <bottom style="thin">
        <color theme="5"/>
      </bottom>
      <diagonal/>
    </border>
    <border>
      <left/>
      <right/>
      <top style="thin">
        <color theme="5" tint="-0.249977111117893"/>
      </top>
      <bottom style="thin">
        <color theme="5" tint="0.79998168889431442"/>
      </bottom>
      <diagonal/>
    </border>
    <border>
      <left/>
      <right/>
      <top style="thin">
        <color theme="5" tint="-0.249977111117893"/>
      </top>
      <bottom style="thin">
        <color theme="5" tint="0.59999389629810485"/>
      </bottom>
      <diagonal/>
    </border>
    <border>
      <left/>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79998168889431442"/>
      </top>
      <bottom style="thin">
        <color theme="5" tint="0.79998168889431442"/>
      </bottom>
      <diagonal/>
    </border>
    <border>
      <left style="thin">
        <color theme="4"/>
      </left>
      <right style="thin">
        <color theme="4"/>
      </right>
      <top/>
      <bottom style="thin">
        <color theme="4"/>
      </bottom>
      <diagonal/>
    </border>
    <border>
      <left/>
      <right style="thin">
        <color theme="4"/>
      </right>
      <top style="double">
        <color theme="4"/>
      </top>
      <bottom/>
      <diagonal/>
    </border>
    <border>
      <left style="thin">
        <color theme="4"/>
      </left>
      <right style="thin">
        <color theme="4"/>
      </right>
      <top style="double">
        <color theme="4"/>
      </top>
      <bottom/>
      <diagonal/>
    </border>
    <border>
      <left/>
      <right/>
      <top style="double">
        <color theme="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medium">
        <color theme="0"/>
      </bottom>
      <diagonal/>
    </border>
    <border>
      <left style="thin">
        <color theme="0" tint="-0.249977111117893"/>
      </left>
      <right/>
      <top style="thin">
        <color theme="0" tint="-0.249977111117893"/>
      </top>
      <bottom style="thin">
        <color theme="0" tint="-0.249977111117893"/>
      </bottom>
      <diagonal/>
    </border>
    <border>
      <left/>
      <right style="medium">
        <color theme="0"/>
      </right>
      <top/>
      <bottom/>
      <diagonal/>
    </border>
    <border>
      <left style="medium">
        <color theme="0"/>
      </left>
      <right style="medium">
        <color theme="0"/>
      </right>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rgb="FFFF0000"/>
      </left>
      <right style="thin">
        <color theme="0"/>
      </right>
      <top style="thin">
        <color theme="0"/>
      </top>
      <bottom style="thin">
        <color theme="0"/>
      </bottom>
      <diagonal/>
    </border>
    <border>
      <left style="thin">
        <color theme="0"/>
      </left>
      <right style="medium">
        <color rgb="FFFF0000"/>
      </right>
      <top style="thin">
        <color theme="0"/>
      </top>
      <bottom style="thin">
        <color theme="0"/>
      </bottom>
      <diagonal/>
    </border>
    <border>
      <left style="medium">
        <color rgb="FFFF0000"/>
      </left>
      <right style="thin">
        <color theme="0"/>
      </right>
      <top style="thin">
        <color theme="0"/>
      </top>
      <bottom style="medium">
        <color rgb="FFFF0000"/>
      </bottom>
      <diagonal/>
    </border>
    <border>
      <left style="thin">
        <color theme="0"/>
      </left>
      <right style="thin">
        <color theme="0"/>
      </right>
      <top style="thin">
        <color theme="0"/>
      </top>
      <bottom style="medium">
        <color rgb="FFFF0000"/>
      </bottom>
      <diagonal/>
    </border>
    <border>
      <left style="thin">
        <color theme="0"/>
      </left>
      <right style="medium">
        <color rgb="FFFF0000"/>
      </right>
      <top style="thin">
        <color theme="0"/>
      </top>
      <bottom style="medium">
        <color rgb="FFFF0000"/>
      </bottom>
      <diagonal/>
    </border>
    <border>
      <left style="thin">
        <color theme="0"/>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medium">
        <color rgb="FFFF0000"/>
      </left>
      <right style="thin">
        <color theme="0"/>
      </right>
      <top style="thin">
        <color theme="0"/>
      </top>
      <bottom/>
      <diagonal/>
    </border>
    <border>
      <left style="medium">
        <color rgb="FFFF0000"/>
      </left>
      <right/>
      <top style="thin">
        <color theme="0"/>
      </top>
      <bottom/>
      <diagonal/>
    </border>
    <border>
      <left/>
      <right style="medium">
        <color rgb="FFFF0000"/>
      </right>
      <top style="thin">
        <color theme="0"/>
      </top>
      <bottom/>
      <diagonal/>
    </border>
    <border>
      <left style="medium">
        <color rgb="FFFF0000"/>
      </left>
      <right/>
      <top/>
      <bottom style="thin">
        <color theme="0"/>
      </bottom>
      <diagonal/>
    </border>
    <border>
      <left/>
      <right style="medium">
        <color rgb="FFFF0000"/>
      </right>
      <top/>
      <bottom style="thin">
        <color theme="0"/>
      </bottom>
      <diagonal/>
    </border>
    <border>
      <left style="thin">
        <color theme="0"/>
      </left>
      <right style="medium">
        <color rgb="FFFF0000"/>
      </right>
      <top style="thin">
        <color theme="0"/>
      </top>
      <bottom/>
      <diagonal/>
    </border>
    <border>
      <left style="thin">
        <color theme="0"/>
      </left>
      <right style="medium">
        <color rgb="FFFF0000"/>
      </right>
      <top/>
      <bottom style="thin">
        <color theme="0"/>
      </bottom>
      <diagonal/>
    </border>
    <border>
      <left/>
      <right/>
      <top style="thin">
        <color theme="0"/>
      </top>
      <bottom/>
      <diagonal/>
    </border>
    <border>
      <left/>
      <right/>
      <top/>
      <bottom style="thin">
        <color theme="0"/>
      </bottom>
      <diagonal/>
    </border>
    <border>
      <left style="medium">
        <color rgb="FFFF0000"/>
      </left>
      <right style="medium">
        <color rgb="FFFF0000"/>
      </right>
      <top style="thin">
        <color theme="0"/>
      </top>
      <bottom style="thin">
        <color theme="0"/>
      </bottom>
      <diagonal/>
    </border>
    <border>
      <left style="medium">
        <color rgb="FFFF0000"/>
      </left>
      <right style="medium">
        <color rgb="FFFF0000"/>
      </right>
      <top style="thin">
        <color theme="0"/>
      </top>
      <bottom style="medium">
        <color rgb="FFFF0000"/>
      </bottom>
      <diagonal/>
    </border>
    <border>
      <left style="thin">
        <color theme="4" tint="0.39994506668294322"/>
      </left>
      <right style="thin">
        <color theme="4" tint="0.39994506668294322"/>
      </right>
      <top style="medium">
        <color theme="4"/>
      </top>
      <bottom style="medium">
        <color theme="4"/>
      </bottom>
      <diagonal/>
    </border>
    <border>
      <left/>
      <right/>
      <top/>
      <bottom style="medium">
        <color theme="4"/>
      </bottom>
      <diagonal/>
    </border>
    <border>
      <left/>
      <right/>
      <top/>
      <bottom style="thin">
        <color theme="8" tint="0.79998168889431442"/>
      </bottom>
      <diagonal/>
    </border>
    <border>
      <left/>
      <right/>
      <top style="thin">
        <color theme="8" tint="0.79998168889431442"/>
      </top>
      <bottom style="thin">
        <color theme="8" tint="0.79998168889431442"/>
      </bottom>
      <diagonal/>
    </border>
    <border>
      <left/>
      <right/>
      <top/>
      <bottom style="thin">
        <color theme="5" tint="0.79998168889431442"/>
      </bottom>
      <diagonal/>
    </border>
    <border>
      <left/>
      <right/>
      <top style="thin">
        <color theme="5" tint="0.79998168889431442"/>
      </top>
      <bottom style="thin">
        <color theme="5" tint="0.39997558519241921"/>
      </bottom>
      <diagonal/>
    </border>
    <border>
      <left/>
      <right/>
      <top style="thin">
        <color theme="5" tint="0.39997558519241921"/>
      </top>
      <bottom style="thin">
        <color theme="5" tint="0.39997558519241921"/>
      </bottom>
      <diagonal/>
    </border>
    <border>
      <left/>
      <right/>
      <top/>
      <bottom style="thin">
        <color theme="6" tint="0.79998168889431442"/>
      </bottom>
      <diagonal/>
    </border>
    <border>
      <left/>
      <right/>
      <top style="thin">
        <color theme="6" tint="0.79998168889431442"/>
      </top>
      <bottom style="thin">
        <color theme="6" tint="0.39997558519241921"/>
      </bottom>
      <diagonal/>
    </border>
    <border>
      <left/>
      <right/>
      <top style="thin">
        <color theme="6" tint="0.79998168889431442"/>
      </top>
      <bottom style="thin">
        <color theme="6" tint="0.79998168889431442"/>
      </bottom>
      <diagonal/>
    </border>
    <border>
      <left/>
      <right/>
      <top style="thin">
        <color theme="8" tint="0.79998168889431442"/>
      </top>
      <bottom style="thin">
        <color theme="8" tint="0.39997558519241921"/>
      </bottom>
      <diagonal/>
    </border>
    <border>
      <left/>
      <right/>
      <top style="thin">
        <color theme="8" tint="0.39997558519241921"/>
      </top>
      <bottom style="thin">
        <color theme="8" tint="0.39997558519241921"/>
      </bottom>
      <diagonal/>
    </border>
    <border>
      <left style="thin">
        <color theme="0" tint="-0.249977111117893"/>
      </left>
      <right style="thin">
        <color theme="0" tint="-0.249977111117893"/>
      </right>
      <top/>
      <bottom/>
      <diagonal/>
    </border>
    <border>
      <left/>
      <right/>
      <top style="thin">
        <color theme="0" tint="-0.249977111117893"/>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top/>
      <bottom/>
      <diagonal/>
    </border>
    <border>
      <left style="medium">
        <color rgb="FF0070C0"/>
      </left>
      <right style="thin">
        <color rgb="FF0070C0"/>
      </right>
      <top style="thin">
        <color rgb="FF0070C0"/>
      </top>
      <bottom/>
      <diagonal/>
    </border>
    <border>
      <left style="medium">
        <color rgb="FF0070C0"/>
      </left>
      <right style="thin">
        <color rgb="FF0070C0"/>
      </right>
      <top/>
      <bottom style="thin">
        <color rgb="FF0070C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70C0"/>
      </left>
      <right/>
      <top style="thin">
        <color rgb="FF0070C0"/>
      </top>
      <bottom style="thin">
        <color rgb="FF0070C0"/>
      </bottom>
      <diagonal/>
    </border>
    <border>
      <left style="medium">
        <color rgb="FF0070C0"/>
      </left>
      <right style="medium">
        <color rgb="FF0070C0"/>
      </right>
      <top style="thin">
        <color rgb="FF0070C0"/>
      </top>
      <bottom style="thin">
        <color rgb="FF0070C0"/>
      </bottom>
      <diagonal/>
    </border>
    <border>
      <left style="medium">
        <color rgb="FF0070C0"/>
      </left>
      <right style="thin">
        <color rgb="FF0070C0"/>
      </right>
      <top/>
      <bottom/>
      <diagonal/>
    </border>
    <border>
      <left style="thin">
        <color indexed="64"/>
      </left>
      <right style="thin">
        <color indexed="64"/>
      </right>
      <top/>
      <bottom/>
      <diagonal/>
    </border>
    <border>
      <left/>
      <right style="thin">
        <color rgb="FF0070C0"/>
      </right>
      <top style="thin">
        <color rgb="FF0070C0"/>
      </top>
      <bottom style="thin">
        <color rgb="FF0070C0"/>
      </bottom>
      <diagonal/>
    </border>
    <border>
      <left/>
      <right style="thin">
        <color rgb="FF0070C0"/>
      </right>
      <top style="thin">
        <color rgb="FF0070C0"/>
      </top>
      <bottom/>
      <diagonal/>
    </border>
    <border>
      <left/>
      <right style="thin">
        <color rgb="FF0070C0"/>
      </right>
      <top/>
      <bottom/>
      <diagonal/>
    </border>
    <border>
      <left/>
      <right style="thin">
        <color rgb="FF0070C0"/>
      </right>
      <top/>
      <bottom style="thin">
        <color indexed="64"/>
      </bottom>
      <diagonal/>
    </border>
    <border>
      <left/>
      <right/>
      <top/>
      <bottom style="thin">
        <color theme="8" tint="0.39997558519241921"/>
      </bottom>
      <diagonal/>
    </border>
    <border>
      <left/>
      <right/>
      <top/>
      <bottom style="thin">
        <color theme="5" tint="0.39997558519241921"/>
      </bottom>
      <diagonal/>
    </border>
    <border>
      <left style="thin">
        <color rgb="FF0070C0"/>
      </left>
      <right/>
      <top style="medium">
        <color rgb="FF0070C0"/>
      </top>
      <bottom style="thin">
        <color rgb="FF0070C0"/>
      </bottom>
      <diagonal/>
    </border>
    <border>
      <left/>
      <right style="medium">
        <color rgb="FF0070C0"/>
      </right>
      <top style="medium">
        <color rgb="FF0070C0"/>
      </top>
      <bottom style="thin">
        <color rgb="FF0070C0"/>
      </bottom>
      <diagonal/>
    </border>
    <border>
      <left/>
      <right style="thin">
        <color theme="4"/>
      </right>
      <top/>
      <bottom/>
      <diagonal/>
    </border>
    <border>
      <left style="double">
        <color rgb="FFFF0000"/>
      </left>
      <right style="medium">
        <color rgb="FF0070C0"/>
      </right>
      <top style="double">
        <color rgb="FFFF0000"/>
      </top>
      <bottom style="thin">
        <color rgb="FF0070C0"/>
      </bottom>
      <diagonal/>
    </border>
    <border>
      <left style="thin">
        <color rgb="FF0070C0"/>
      </left>
      <right style="medium">
        <color rgb="FF0070C0"/>
      </right>
      <top style="double">
        <color rgb="FFFF0000"/>
      </top>
      <bottom style="thin">
        <color rgb="FF0070C0"/>
      </bottom>
      <diagonal/>
    </border>
    <border>
      <left/>
      <right style="double">
        <color rgb="FFFF0000"/>
      </right>
      <top style="double">
        <color rgb="FFFF0000"/>
      </top>
      <bottom style="thin">
        <color rgb="FF0070C0"/>
      </bottom>
      <diagonal/>
    </border>
    <border>
      <left style="double">
        <color rgb="FFFF0000"/>
      </left>
      <right style="medium">
        <color rgb="FF0070C0"/>
      </right>
      <top style="thin">
        <color rgb="FF0070C0"/>
      </top>
      <bottom style="thin">
        <color rgb="FF0070C0"/>
      </bottom>
      <diagonal/>
    </border>
    <border>
      <left style="double">
        <color rgb="FFFF0000"/>
      </left>
      <right style="thin">
        <color rgb="FF0070C0"/>
      </right>
      <top style="thin">
        <color rgb="FF0070C0"/>
      </top>
      <bottom style="thin">
        <color rgb="FF0070C0"/>
      </bottom>
      <diagonal/>
    </border>
    <border>
      <left style="thin">
        <color rgb="FF0070C0"/>
      </left>
      <right style="double">
        <color rgb="FFFF0000"/>
      </right>
      <top style="thin">
        <color rgb="FF0070C0"/>
      </top>
      <bottom style="thin">
        <color rgb="FF0070C0"/>
      </bottom>
      <diagonal/>
    </border>
    <border>
      <left style="medium">
        <color rgb="FFFFFFFF"/>
      </left>
      <right/>
      <top/>
      <bottom/>
      <diagonal/>
    </border>
    <border>
      <left/>
      <right/>
      <top/>
      <bottom style="medium">
        <color rgb="FFFFFFFF"/>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style="thin">
        <color rgb="FFDB7B18"/>
      </right>
      <top style="thin">
        <color rgb="FFDB7B18"/>
      </top>
      <bottom style="thin">
        <color rgb="FFDB7B18"/>
      </bottom>
      <diagonal/>
    </border>
    <border>
      <left style="thin">
        <color rgb="FFDB7B18"/>
      </left>
      <right style="thin">
        <color rgb="FFDB7B18"/>
      </right>
      <top style="thin">
        <color rgb="FFDB7B18"/>
      </top>
      <bottom style="thin">
        <color rgb="FFDB7B18"/>
      </bottom>
      <diagonal/>
    </border>
    <border>
      <left style="thin">
        <color rgb="FFDB7B18"/>
      </left>
      <right style="medium">
        <color indexed="64"/>
      </right>
      <top style="thin">
        <color rgb="FFDB7B18"/>
      </top>
      <bottom style="thin">
        <color rgb="FFDB7B18"/>
      </bottom>
      <diagonal/>
    </border>
    <border>
      <left/>
      <right/>
      <top style="double">
        <color rgb="FFFF0000"/>
      </top>
      <bottom style="thin">
        <color rgb="FF0070C0"/>
      </bottom>
      <diagonal/>
    </border>
    <border>
      <left/>
      <right/>
      <top/>
      <bottom style="double">
        <color rgb="FFFF0000"/>
      </bottom>
      <diagonal/>
    </border>
    <border>
      <left/>
      <right style="medium">
        <color rgb="FF0070C0"/>
      </right>
      <top style="double">
        <color rgb="FFFF0000"/>
      </top>
      <bottom style="thin">
        <color rgb="FF0070C0"/>
      </bottom>
      <diagonal/>
    </border>
    <border>
      <left/>
      <right/>
      <top style="thin">
        <color theme="6"/>
      </top>
      <bottom style="thin">
        <color theme="6"/>
      </bottom>
      <diagonal/>
    </border>
    <border>
      <left/>
      <right style="thin">
        <color theme="6"/>
      </right>
      <top style="thin">
        <color theme="6"/>
      </top>
      <bottom style="thin">
        <color theme="6"/>
      </bottom>
      <diagonal/>
    </border>
    <border>
      <left style="thin">
        <color theme="6"/>
      </left>
      <right/>
      <top style="thin">
        <color theme="6"/>
      </top>
      <bottom style="thin">
        <color theme="6"/>
      </bottom>
      <diagonal/>
    </border>
    <border>
      <left style="thin">
        <color theme="6"/>
      </left>
      <right style="thin">
        <color theme="6"/>
      </right>
      <top style="thin">
        <color theme="6"/>
      </top>
      <bottom style="thin">
        <color theme="6"/>
      </bottom>
      <diagonal/>
    </border>
    <border>
      <left style="medium">
        <color rgb="FF0070C0"/>
      </left>
      <right/>
      <top style="thin">
        <color rgb="FF0070C0"/>
      </top>
      <bottom style="thin">
        <color rgb="FF0070C0"/>
      </bottom>
      <diagonal/>
    </border>
    <border>
      <left style="medium">
        <color rgb="FF0070C0"/>
      </left>
      <right/>
      <top style="medium">
        <color rgb="FF0070C0"/>
      </top>
      <bottom/>
      <diagonal/>
    </border>
    <border>
      <left/>
      <right style="thin">
        <color rgb="FF0070C0"/>
      </right>
      <top style="medium">
        <color rgb="FF0070C0"/>
      </top>
      <bottom/>
      <diagonal/>
    </border>
    <border>
      <left style="thin">
        <color rgb="FF0070C0"/>
      </left>
      <right style="thin">
        <color rgb="FF0070C0"/>
      </right>
      <top style="medium">
        <color rgb="FF0070C0"/>
      </top>
      <bottom/>
      <diagonal/>
    </border>
    <border>
      <left style="thin">
        <color rgb="FF0070C0"/>
      </left>
      <right style="medium">
        <color rgb="FF0070C0"/>
      </right>
      <top style="medium">
        <color rgb="FF0070C0"/>
      </top>
      <bottom/>
      <diagonal/>
    </border>
    <border>
      <left style="double">
        <color rgb="FFFF0000"/>
      </left>
      <right style="thin">
        <color rgb="FF0070C0"/>
      </right>
      <top style="double">
        <color rgb="FFFF0000"/>
      </top>
      <bottom style="thin">
        <color rgb="FF0070C0"/>
      </bottom>
      <diagonal/>
    </border>
    <border>
      <left style="thin">
        <color rgb="FF0070C0"/>
      </left>
      <right style="thin">
        <color rgb="FF0070C0"/>
      </right>
      <top style="double">
        <color rgb="FFFF0000"/>
      </top>
      <bottom style="thin">
        <color rgb="FF0070C0"/>
      </bottom>
      <diagonal/>
    </border>
    <border>
      <left style="thin">
        <color rgb="FF0070C0"/>
      </left>
      <right style="double">
        <color rgb="FFFF0000"/>
      </right>
      <top style="double">
        <color rgb="FFFF0000"/>
      </top>
      <bottom style="thin">
        <color rgb="FF0070C0"/>
      </bottom>
      <diagonal/>
    </border>
    <border>
      <left style="medium">
        <color rgb="FF0070C0"/>
      </left>
      <right style="double">
        <color rgb="FFFF0000"/>
      </right>
      <top style="thin">
        <color rgb="FF0070C0"/>
      </top>
      <bottom style="thin">
        <color rgb="FF0070C0"/>
      </bottom>
      <diagonal/>
    </border>
    <border>
      <left style="thin">
        <color rgb="FF0070C0"/>
      </left>
      <right style="medium">
        <color rgb="FF0070C0"/>
      </right>
      <top style="thin">
        <color rgb="FF0070C0"/>
      </top>
      <bottom style="double">
        <color rgb="FFFF0000"/>
      </bottom>
      <diagonal/>
    </border>
    <border>
      <left style="thin">
        <color rgb="FF0070C0"/>
      </left>
      <right style="double">
        <color rgb="FFFF0000"/>
      </right>
      <top style="thin">
        <color rgb="FF0070C0"/>
      </top>
      <bottom style="double">
        <color rgb="FFFF0000"/>
      </bottom>
      <diagonal/>
    </border>
    <border>
      <left style="thin">
        <color theme="4" tint="0.39994506668294322"/>
      </left>
      <right style="thin">
        <color theme="4"/>
      </right>
      <top/>
      <bottom style="thin">
        <color theme="4"/>
      </bottom>
      <diagonal/>
    </border>
    <border>
      <left style="thin">
        <color theme="4" tint="0.39994506668294322"/>
      </left>
      <right style="thin">
        <color theme="4" tint="0.39994506668294322"/>
      </right>
      <top/>
      <bottom style="thin">
        <color theme="4"/>
      </bottom>
      <diagonal/>
    </border>
    <border>
      <left style="thin">
        <color rgb="FF0070C0"/>
      </left>
      <right style="thin">
        <color rgb="FF0070C0"/>
      </right>
      <top style="thin">
        <color rgb="FF0070C0"/>
      </top>
      <bottom style="double">
        <color rgb="FFFF0000"/>
      </bottom>
      <diagonal/>
    </border>
    <border>
      <left/>
      <right style="medium">
        <color rgb="FF0070C0"/>
      </right>
      <top style="thin">
        <color rgb="FF0070C0"/>
      </top>
      <bottom style="double">
        <color rgb="FFFF0000"/>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style="thin">
        <color theme="4" tint="0.59999389629810485"/>
      </left>
      <right style="thin">
        <color theme="4"/>
      </right>
      <top style="thin">
        <color theme="4" tint="0.59999389629810485"/>
      </top>
      <bottom style="thin">
        <color theme="0"/>
      </bottom>
      <diagonal/>
    </border>
    <border>
      <left/>
      <right style="thin">
        <color rgb="FF0070C0"/>
      </right>
      <top/>
      <bottom style="thin">
        <color rgb="FF0070C0"/>
      </bottom>
      <diagonal/>
    </border>
    <border>
      <left style="thin">
        <color rgb="FF0070C0"/>
      </left>
      <right style="thin">
        <color rgb="FF0070C0"/>
      </right>
      <top/>
      <bottom style="thin">
        <color rgb="FF0070C0"/>
      </bottom>
      <diagonal/>
    </border>
    <border>
      <left style="thin">
        <color rgb="FF0070C0"/>
      </left>
      <right/>
      <top/>
      <bottom style="thin">
        <color rgb="FF0070C0"/>
      </bottom>
      <diagonal/>
    </border>
    <border>
      <left style="thin">
        <color rgb="FF0070C0"/>
      </left>
      <right style="thin">
        <color rgb="FF0070C0"/>
      </right>
      <top style="thin">
        <color rgb="FF0070C0"/>
      </top>
      <bottom/>
      <diagonal/>
    </border>
    <border>
      <left style="double">
        <color rgb="FF0070C0"/>
      </left>
      <right style="thin">
        <color rgb="FF0070C0"/>
      </right>
      <top style="double">
        <color rgb="FF0070C0"/>
      </top>
      <bottom style="thin">
        <color rgb="FF0070C0"/>
      </bottom>
      <diagonal/>
    </border>
    <border>
      <left style="thin">
        <color rgb="FF0070C0"/>
      </left>
      <right style="thin">
        <color rgb="FF0070C0"/>
      </right>
      <top style="double">
        <color rgb="FF0070C0"/>
      </top>
      <bottom style="thin">
        <color rgb="FF0070C0"/>
      </bottom>
      <diagonal/>
    </border>
    <border>
      <left style="thin">
        <color rgb="FF0070C0"/>
      </left>
      <right style="double">
        <color rgb="FF0070C0"/>
      </right>
      <top style="double">
        <color rgb="FF0070C0"/>
      </top>
      <bottom style="thin">
        <color rgb="FF0070C0"/>
      </bottom>
      <diagonal/>
    </border>
    <border>
      <left style="double">
        <color rgb="FF0070C0"/>
      </left>
      <right style="thin">
        <color rgb="FF0070C0"/>
      </right>
      <top style="thin">
        <color rgb="FF0070C0"/>
      </top>
      <bottom style="thin">
        <color rgb="FF0070C0"/>
      </bottom>
      <diagonal/>
    </border>
    <border>
      <left style="thin">
        <color rgb="FF0070C0"/>
      </left>
      <right style="double">
        <color rgb="FF0070C0"/>
      </right>
      <top style="thin">
        <color rgb="FF0070C0"/>
      </top>
      <bottom style="thin">
        <color rgb="FF0070C0"/>
      </bottom>
      <diagonal/>
    </border>
    <border>
      <left style="double">
        <color rgb="FF0070C0"/>
      </left>
      <right style="thin">
        <color rgb="FF0070C0"/>
      </right>
      <top style="thin">
        <color rgb="FF0070C0"/>
      </top>
      <bottom/>
      <diagonal/>
    </border>
    <border>
      <left style="thin">
        <color rgb="FF0070C0"/>
      </left>
      <right style="double">
        <color rgb="FF0070C0"/>
      </right>
      <top style="thin">
        <color rgb="FF0070C0"/>
      </top>
      <bottom/>
      <diagonal/>
    </border>
    <border>
      <left style="thin">
        <color rgb="FF0070C0"/>
      </left>
      <right/>
      <top/>
      <bottom/>
      <diagonal/>
    </border>
    <border>
      <left style="double">
        <color rgb="FF0070C0"/>
      </left>
      <right style="dashed">
        <color rgb="FF0070C0"/>
      </right>
      <top style="double">
        <color rgb="FF0070C0"/>
      </top>
      <bottom style="dashed">
        <color rgb="FF0070C0"/>
      </bottom>
      <diagonal/>
    </border>
    <border>
      <left style="dashed">
        <color rgb="FF0070C0"/>
      </left>
      <right style="dashed">
        <color rgb="FF0070C0"/>
      </right>
      <top style="double">
        <color rgb="FF0070C0"/>
      </top>
      <bottom style="dashed">
        <color rgb="FF0070C0"/>
      </bottom>
      <diagonal/>
    </border>
    <border>
      <left style="dashed">
        <color rgb="FF0070C0"/>
      </left>
      <right style="double">
        <color rgb="FF0070C0"/>
      </right>
      <top style="double">
        <color rgb="FF0070C0"/>
      </top>
      <bottom style="dashed">
        <color rgb="FF0070C0"/>
      </bottom>
      <diagonal/>
    </border>
    <border>
      <left style="double">
        <color rgb="FF0070C0"/>
      </left>
      <right style="dashed">
        <color rgb="FF0070C0"/>
      </right>
      <top style="dashed">
        <color rgb="FF0070C0"/>
      </top>
      <bottom style="dashed">
        <color rgb="FF0070C0"/>
      </bottom>
      <diagonal/>
    </border>
    <border>
      <left style="dashed">
        <color rgb="FF0070C0"/>
      </left>
      <right style="dashed">
        <color rgb="FF0070C0"/>
      </right>
      <top style="dashed">
        <color rgb="FF0070C0"/>
      </top>
      <bottom style="dashed">
        <color rgb="FF0070C0"/>
      </bottom>
      <diagonal/>
    </border>
    <border>
      <left style="dashed">
        <color rgb="FF0070C0"/>
      </left>
      <right style="double">
        <color rgb="FF0070C0"/>
      </right>
      <top style="dashed">
        <color rgb="FF0070C0"/>
      </top>
      <bottom style="dashed">
        <color rgb="FF0070C0"/>
      </bottom>
      <diagonal/>
    </border>
    <border>
      <left style="double">
        <color rgb="FF0070C0"/>
      </left>
      <right style="dashed">
        <color rgb="FF0070C0"/>
      </right>
      <top style="dashed">
        <color rgb="FF0070C0"/>
      </top>
      <bottom style="double">
        <color rgb="FF0070C0"/>
      </bottom>
      <diagonal/>
    </border>
    <border>
      <left style="dashed">
        <color rgb="FF0070C0"/>
      </left>
      <right style="dashed">
        <color rgb="FF0070C0"/>
      </right>
      <top style="dashed">
        <color rgb="FF0070C0"/>
      </top>
      <bottom style="double">
        <color rgb="FF0070C0"/>
      </bottom>
      <diagonal/>
    </border>
    <border>
      <left style="dashed">
        <color rgb="FF0070C0"/>
      </left>
      <right style="double">
        <color rgb="FF0070C0"/>
      </right>
      <top style="dashed">
        <color rgb="FF0070C0"/>
      </top>
      <bottom style="double">
        <color rgb="FF0070C0"/>
      </bottom>
      <diagonal/>
    </border>
    <border>
      <left style="thin">
        <color rgb="FF8EA9DB"/>
      </left>
      <right style="thin">
        <color rgb="FF8EA9DB"/>
      </right>
      <top style="thin">
        <color rgb="FF8EA9DB"/>
      </top>
      <bottom style="thin">
        <color rgb="FF8EA9DB"/>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4" tint="0.59999389629810485"/>
      </left>
      <right/>
      <top style="thin">
        <color theme="4" tint="0.59999389629810485"/>
      </top>
      <bottom style="thin">
        <color theme="4" tint="0.59999389629810485"/>
      </bottom>
      <diagonal/>
    </border>
    <border>
      <left/>
      <right style="thin">
        <color theme="0"/>
      </right>
      <top/>
      <bottom/>
      <diagonal/>
    </border>
    <border>
      <left style="thin">
        <color theme="0"/>
      </left>
      <right/>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4" tint="0.39997558519241921"/>
      </left>
      <right/>
      <top style="thin">
        <color theme="4" tint="0.39997558519241921"/>
      </top>
      <bottom style="thin">
        <color theme="4" tint="0.39997558519241921"/>
      </bottom>
      <diagonal/>
    </border>
    <border>
      <left style="thin">
        <color theme="8"/>
      </left>
      <right style="thin">
        <color theme="4"/>
      </right>
      <top style="double">
        <color theme="4"/>
      </top>
      <bottom style="thin">
        <color theme="8"/>
      </bottom>
      <diagonal/>
    </border>
    <border>
      <left style="thin">
        <color theme="4"/>
      </left>
      <right style="thin">
        <color theme="4"/>
      </right>
      <top style="double">
        <color theme="4"/>
      </top>
      <bottom style="thin">
        <color theme="8"/>
      </bottom>
      <diagonal/>
    </border>
    <border>
      <left style="thin">
        <color theme="8"/>
      </left>
      <right style="thin">
        <color theme="8"/>
      </right>
      <top style="double">
        <color theme="4"/>
      </top>
      <bottom style="thin">
        <color theme="8"/>
      </bottom>
      <diagonal/>
    </border>
    <border>
      <left/>
      <right/>
      <top style="double">
        <color rgb="FF0070C0"/>
      </top>
      <bottom/>
      <diagonal/>
    </border>
  </borders>
  <cellStyleXfs count="145">
    <xf numFmtId="0" fontId="0" fillId="0" borderId="0"/>
    <xf numFmtId="9" fontId="31" fillId="0" borderId="0" applyFont="0" applyFill="0" applyBorder="0" applyAlignment="0" applyProtection="0"/>
    <xf numFmtId="0" fontId="32" fillId="0" borderId="0"/>
    <xf numFmtId="9"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43" fontId="32" fillId="0" borderId="0" applyFont="0" applyFill="0" applyBorder="0" applyAlignment="0" applyProtection="0"/>
    <xf numFmtId="166" fontId="32" fillId="0" borderId="0"/>
    <xf numFmtId="0" fontId="58" fillId="0" borderId="0"/>
    <xf numFmtId="0" fontId="30" fillId="0" borderId="0"/>
    <xf numFmtId="9" fontId="30" fillId="0" borderId="0" applyFont="0" applyFill="0" applyBorder="0" applyAlignment="0" applyProtection="0"/>
    <xf numFmtId="0" fontId="71" fillId="0" borderId="26" applyNumberFormat="0" applyFill="0" applyAlignment="0" applyProtection="0"/>
    <xf numFmtId="0" fontId="28" fillId="0" borderId="0"/>
    <xf numFmtId="0" fontId="28" fillId="0" borderId="0"/>
    <xf numFmtId="9" fontId="28" fillId="0" borderId="0" applyFont="0" applyFill="0" applyBorder="0" applyAlignment="0" applyProtection="0"/>
    <xf numFmtId="43" fontId="28" fillId="0" borderId="0" applyFont="0" applyFill="0" applyBorder="0" applyAlignment="0" applyProtection="0"/>
    <xf numFmtId="166" fontId="28" fillId="0" borderId="0"/>
    <xf numFmtId="0" fontId="29" fillId="0" borderId="0"/>
    <xf numFmtId="9" fontId="29" fillId="0" borderId="0" applyFont="0" applyFill="0" applyBorder="0" applyAlignment="0" applyProtection="0"/>
    <xf numFmtId="0" fontId="58" fillId="0" borderId="0"/>
    <xf numFmtId="0" fontId="31" fillId="0" borderId="0"/>
    <xf numFmtId="0" fontId="62" fillId="24" borderId="0" applyNumberFormat="0" applyBorder="0" applyAlignment="0" applyProtection="0"/>
    <xf numFmtId="0" fontId="63" fillId="25" borderId="0" applyNumberFormat="0" applyBorder="0" applyAlignment="0" applyProtection="0"/>
    <xf numFmtId="0" fontId="27" fillId="0" borderId="0"/>
    <xf numFmtId="9" fontId="27" fillId="0" borderId="0" applyFont="0" applyFill="0" applyBorder="0" applyAlignment="0" applyProtection="0"/>
    <xf numFmtId="43" fontId="27" fillId="0" borderId="0" applyFont="0" applyFill="0" applyBorder="0" applyAlignment="0" applyProtection="0"/>
    <xf numFmtId="166" fontId="27" fillId="0" borderId="0"/>
    <xf numFmtId="0" fontId="27" fillId="0" borderId="0"/>
    <xf numFmtId="0" fontId="27" fillId="0" borderId="0"/>
    <xf numFmtId="9" fontId="27" fillId="0" borderId="0" applyFont="0" applyFill="0" applyBorder="0" applyAlignment="0" applyProtection="0"/>
    <xf numFmtId="43" fontId="27" fillId="0" borderId="0" applyFont="0" applyFill="0" applyBorder="0" applyAlignment="0" applyProtection="0"/>
    <xf numFmtId="166" fontId="27" fillId="0" borderId="0"/>
    <xf numFmtId="0" fontId="23" fillId="0" borderId="0"/>
    <xf numFmtId="9" fontId="23" fillId="0" borderId="0" applyFont="0" applyFill="0" applyBorder="0" applyAlignment="0" applyProtection="0"/>
    <xf numFmtId="43" fontId="23" fillId="0" borderId="0" applyFont="0" applyFill="0" applyBorder="0" applyAlignment="0" applyProtection="0"/>
    <xf numFmtId="166" fontId="23" fillId="0" borderId="0"/>
    <xf numFmtId="0" fontId="23" fillId="0" borderId="0"/>
    <xf numFmtId="0" fontId="23" fillId="0" borderId="0"/>
    <xf numFmtId="9" fontId="23" fillId="0" borderId="0" applyFont="0" applyFill="0" applyBorder="0" applyAlignment="0" applyProtection="0"/>
    <xf numFmtId="43" fontId="23" fillId="0" borderId="0" applyFont="0" applyFill="0" applyBorder="0" applyAlignment="0" applyProtection="0"/>
    <xf numFmtId="166" fontId="23" fillId="0" borderId="0"/>
    <xf numFmtId="0" fontId="131" fillId="0" borderId="0"/>
    <xf numFmtId="43" fontId="135" fillId="0" borderId="0" applyFont="0" applyFill="0" applyBorder="0" applyAlignment="0" applyProtection="0"/>
    <xf numFmtId="9" fontId="132" fillId="0" borderId="0" applyFont="0" applyFill="0" applyBorder="0" applyAlignment="0" applyProtection="0"/>
    <xf numFmtId="9" fontId="135"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0" fontId="132" fillId="0" borderId="0"/>
    <xf numFmtId="43" fontId="135" fillId="0" borderId="0" applyFont="0" applyFill="0" applyBorder="0" applyAlignment="0" applyProtection="0"/>
    <xf numFmtId="43" fontId="132" fillId="0" borderId="0" applyFont="0" applyFill="0" applyBorder="0" applyAlignment="0" applyProtection="0"/>
    <xf numFmtId="0" fontId="132" fillId="0" borderId="0"/>
    <xf numFmtId="166" fontId="132" fillId="0" borderId="0"/>
    <xf numFmtId="166" fontId="132" fillId="0" borderId="0"/>
    <xf numFmtId="0" fontId="62" fillId="46" borderId="0" applyNumberFormat="0" applyBorder="0" applyAlignment="0" applyProtection="0"/>
    <xf numFmtId="0" fontId="63" fillId="47" borderId="0" applyNumberFormat="0" applyBorder="0" applyAlignment="0" applyProtection="0"/>
    <xf numFmtId="43" fontId="133" fillId="0" borderId="0" applyFont="0" applyFill="0" applyBorder="0" applyAlignment="0" applyProtection="0"/>
    <xf numFmtId="43" fontId="132" fillId="0" borderId="0" applyFont="0" applyFill="0" applyBorder="0" applyAlignment="0" applyProtection="0"/>
    <xf numFmtId="0" fontId="132" fillId="0" borderId="0"/>
    <xf numFmtId="43" fontId="132" fillId="0" borderId="0" applyFont="0" applyFill="0" applyBorder="0" applyAlignment="0" applyProtection="0"/>
    <xf numFmtId="0" fontId="134" fillId="0" borderId="26" applyNumberFormat="0" applyFill="0" applyAlignment="0" applyProtection="0"/>
    <xf numFmtId="166" fontId="132" fillId="0" borderId="0"/>
    <xf numFmtId="166" fontId="132" fillId="0" borderId="0"/>
    <xf numFmtId="0" fontId="135" fillId="0" borderId="0"/>
    <xf numFmtId="166" fontId="132" fillId="0" borderId="0"/>
    <xf numFmtId="166"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9" fontId="132" fillId="0" borderId="0" applyFont="0" applyFill="0" applyBorder="0" applyAlignment="0" applyProtection="0"/>
    <xf numFmtId="9" fontId="135"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0" fontId="133" fillId="0" borderId="0"/>
    <xf numFmtId="0" fontId="13" fillId="57" borderId="0" applyNumberFormat="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166"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166"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166"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166"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166"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166" fontId="12" fillId="0" borderId="0"/>
    <xf numFmtId="43" fontId="131" fillId="0" borderId="0" applyFont="0" applyFill="0" applyBorder="0" applyAlignment="0" applyProtection="0"/>
    <xf numFmtId="9" fontId="12" fillId="0" borderId="0" applyFont="0" applyFill="0" applyBorder="0" applyAlignment="0" applyProtection="0"/>
    <xf numFmtId="9" fontId="1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31" fillId="0" borderId="0" applyFont="0" applyFill="0" applyBorder="0" applyAlignment="0" applyProtection="0"/>
    <xf numFmtId="43" fontId="12" fillId="0" borderId="0" applyFont="0" applyFill="0" applyBorder="0" applyAlignment="0" applyProtection="0"/>
    <xf numFmtId="0" fontId="12" fillId="0" borderId="0"/>
    <xf numFmtId="166" fontId="12" fillId="0" borderId="0"/>
    <xf numFmtId="166"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166" fontId="12" fillId="0" borderId="0"/>
    <xf numFmtId="166" fontId="12" fillId="0" borderId="0"/>
    <xf numFmtId="0" fontId="131" fillId="0" borderId="0"/>
    <xf numFmtId="166" fontId="12" fillId="0" borderId="0"/>
    <xf numFmtId="16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3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57" borderId="0" applyNumberFormat="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cellStyleXfs>
  <cellXfs count="1203">
    <xf numFmtId="0" fontId="0" fillId="0" borderId="0" xfId="0"/>
    <xf numFmtId="0" fontId="35" fillId="2" borderId="1" xfId="0" applyFont="1" applyFill="1" applyBorder="1" applyAlignment="1">
      <alignment horizontal="left" vertical="center" readingOrder="1"/>
    </xf>
    <xf numFmtId="0" fontId="35" fillId="5" borderId="2" xfId="0" applyFont="1" applyFill="1" applyBorder="1" applyAlignment="1">
      <alignment horizontal="left" vertical="center" readingOrder="1"/>
    </xf>
    <xf numFmtId="0" fontId="35" fillId="8" borderId="2" xfId="0" applyFont="1" applyFill="1" applyBorder="1" applyAlignment="1">
      <alignment horizontal="left" vertical="center" readingOrder="1"/>
    </xf>
    <xf numFmtId="0" fontId="35" fillId="8" borderId="3" xfId="0" applyFont="1" applyFill="1" applyBorder="1" applyAlignment="1">
      <alignment horizontal="left" vertical="center" readingOrder="1"/>
    </xf>
    <xf numFmtId="0" fontId="35" fillId="9" borderId="2" xfId="0" applyFont="1" applyFill="1" applyBorder="1" applyAlignment="1">
      <alignment horizontal="left" vertical="center" readingOrder="1"/>
    </xf>
    <xf numFmtId="0" fontId="36" fillId="3" borderId="1" xfId="0" applyFont="1" applyFill="1" applyBorder="1" applyAlignment="1">
      <alignment horizontal="left" vertical="center" readingOrder="1"/>
    </xf>
    <xf numFmtId="0" fontId="36" fillId="4" borderId="2" xfId="0" applyFont="1" applyFill="1" applyBorder="1" applyAlignment="1">
      <alignment horizontal="left" vertical="center" readingOrder="1"/>
    </xf>
    <xf numFmtId="0" fontId="36" fillId="3" borderId="2" xfId="0" applyFont="1" applyFill="1" applyBorder="1" applyAlignment="1">
      <alignment horizontal="left" vertical="center" readingOrder="1"/>
    </xf>
    <xf numFmtId="0" fontId="36" fillId="3" borderId="3" xfId="0" applyFont="1" applyFill="1" applyBorder="1" applyAlignment="1">
      <alignment horizontal="left" vertical="center" readingOrder="1"/>
    </xf>
    <xf numFmtId="14" fontId="36" fillId="3" borderId="2" xfId="0" applyNumberFormat="1" applyFont="1" applyFill="1" applyBorder="1" applyAlignment="1">
      <alignment horizontal="left" vertical="center" readingOrder="1"/>
    </xf>
    <xf numFmtId="14" fontId="36" fillId="6" borderId="2" xfId="0" applyNumberFormat="1" applyFont="1" applyFill="1" applyBorder="1" applyAlignment="1">
      <alignment horizontal="left" vertical="center" readingOrder="1"/>
    </xf>
    <xf numFmtId="0" fontId="36" fillId="7" borderId="2" xfId="0" applyFont="1" applyFill="1" applyBorder="1" applyAlignment="1">
      <alignment horizontal="left" vertical="center" readingOrder="1"/>
    </xf>
    <xf numFmtId="0" fontId="39" fillId="7" borderId="2" xfId="0" applyFont="1" applyFill="1" applyBorder="1" applyAlignment="1">
      <alignment horizontal="left" vertical="top" wrapText="1" readingOrder="1"/>
    </xf>
    <xf numFmtId="14" fontId="39" fillId="6" borderId="1" xfId="0" applyNumberFormat="1" applyFont="1" applyFill="1" applyBorder="1" applyAlignment="1">
      <alignment horizontal="left" vertical="top" wrapText="1" readingOrder="1"/>
    </xf>
    <xf numFmtId="9" fontId="36" fillId="3" borderId="2" xfId="1" applyFont="1" applyFill="1" applyBorder="1" applyAlignment="1">
      <alignment horizontal="left" vertical="center" readingOrder="1"/>
    </xf>
    <xf numFmtId="9" fontId="36" fillId="6" borderId="1" xfId="1" applyFont="1" applyFill="1" applyBorder="1" applyAlignment="1">
      <alignment horizontal="left" vertical="top" wrapText="1" readingOrder="1"/>
    </xf>
    <xf numFmtId="0" fontId="44" fillId="0" borderId="0" xfId="0" applyFont="1"/>
    <xf numFmtId="0" fontId="42" fillId="0" borderId="0" xfId="0" applyFont="1"/>
    <xf numFmtId="0" fontId="47" fillId="0" borderId="0" xfId="0" applyFont="1" applyAlignment="1"/>
    <xf numFmtId="0" fontId="47" fillId="0" borderId="0" xfId="0" applyFont="1" applyFill="1" applyAlignment="1"/>
    <xf numFmtId="166" fontId="32" fillId="13" borderId="0" xfId="8" applyFill="1"/>
    <xf numFmtId="166" fontId="32" fillId="13" borderId="0" xfId="8" applyFill="1" applyAlignment="1">
      <alignment horizontal="center" vertical="center"/>
    </xf>
    <xf numFmtId="166" fontId="32" fillId="20" borderId="8" xfId="8" applyFill="1" applyBorder="1"/>
    <xf numFmtId="166" fontId="32" fillId="20" borderId="0" xfId="8" applyFill="1" applyBorder="1"/>
    <xf numFmtId="166" fontId="32" fillId="20" borderId="9" xfId="8" applyFill="1" applyBorder="1"/>
    <xf numFmtId="166" fontId="41" fillId="20" borderId="0" xfId="8" applyFont="1" applyFill="1" applyBorder="1"/>
    <xf numFmtId="166" fontId="32" fillId="20" borderId="10" xfId="8" applyFill="1" applyBorder="1"/>
    <xf numFmtId="166" fontId="32" fillId="20" borderId="11" xfId="8" applyFill="1" applyBorder="1"/>
    <xf numFmtId="166" fontId="32" fillId="20" borderId="12" xfId="8" applyFill="1" applyBorder="1"/>
    <xf numFmtId="0" fontId="36" fillId="0" borderId="0" xfId="0" applyFont="1" applyFill="1" applyBorder="1" applyAlignment="1">
      <alignment horizontal="left" vertical="center" readingOrder="1"/>
    </xf>
    <xf numFmtId="9" fontId="47" fillId="0" borderId="0" xfId="0" applyNumberFormat="1" applyFont="1" applyFill="1" applyAlignment="1"/>
    <xf numFmtId="9" fontId="47" fillId="0" borderId="0" xfId="1" applyFont="1" applyFill="1" applyAlignment="1"/>
    <xf numFmtId="1" fontId="47" fillId="0" borderId="0" xfId="0" applyNumberFormat="1" applyFont="1" applyFill="1" applyAlignment="1"/>
    <xf numFmtId="0" fontId="45" fillId="22" borderId="2" xfId="0" applyNumberFormat="1" applyFont="1" applyFill="1" applyBorder="1" applyAlignment="1">
      <alignment horizontal="left" vertical="center" readingOrder="1"/>
    </xf>
    <xf numFmtId="14" fontId="47" fillId="0" borderId="0" xfId="0" applyNumberFormat="1" applyFont="1" applyFill="1" applyAlignment="1"/>
    <xf numFmtId="0" fontId="47" fillId="0" borderId="0" xfId="0" applyFont="1" applyFill="1" applyAlignment="1">
      <alignment horizontal="left"/>
    </xf>
    <xf numFmtId="1" fontId="47" fillId="0" borderId="0" xfId="1" applyNumberFormat="1" applyFont="1" applyFill="1" applyAlignment="1"/>
    <xf numFmtId="1" fontId="47" fillId="0" borderId="0" xfId="0" applyNumberFormat="1" applyFont="1" applyFill="1" applyAlignment="1">
      <alignment horizontal="left"/>
    </xf>
    <xf numFmtId="0" fontId="45" fillId="22" borderId="13" xfId="0" applyNumberFormat="1" applyFont="1" applyFill="1" applyBorder="1" applyAlignment="1">
      <alignment horizontal="left" vertical="center" readingOrder="1"/>
    </xf>
    <xf numFmtId="0" fontId="36" fillId="3" borderId="0" xfId="0" applyFont="1" applyFill="1" applyBorder="1" applyAlignment="1">
      <alignment horizontal="left" vertical="center" readingOrder="1"/>
    </xf>
    <xf numFmtId="0" fontId="36" fillId="0" borderId="1" xfId="0" applyFont="1" applyFill="1" applyBorder="1" applyAlignment="1">
      <alignment horizontal="left" vertical="center" readingOrder="1"/>
    </xf>
    <xf numFmtId="14" fontId="36" fillId="3" borderId="18" xfId="0" applyNumberFormat="1" applyFont="1" applyFill="1" applyBorder="1" applyAlignment="1">
      <alignment horizontal="left" vertical="center" readingOrder="1"/>
    </xf>
    <xf numFmtId="0" fontId="44" fillId="0" borderId="0" xfId="0" applyNumberFormat="1" applyFont="1"/>
    <xf numFmtId="1" fontId="44" fillId="0" borderId="0" xfId="0" applyNumberFormat="1" applyFont="1"/>
    <xf numFmtId="0" fontId="44" fillId="0" borderId="0" xfId="0" applyFont="1" applyAlignment="1">
      <alignment wrapText="1" readingOrder="1"/>
    </xf>
    <xf numFmtId="0" fontId="36" fillId="7" borderId="0" xfId="0" applyFont="1" applyFill="1" applyBorder="1" applyAlignment="1">
      <alignment horizontal="left" vertical="center" readingOrder="1"/>
    </xf>
    <xf numFmtId="0" fontId="35" fillId="9" borderId="15" xfId="0" applyFont="1" applyFill="1" applyBorder="1" applyAlignment="1">
      <alignment horizontal="left" vertical="center" readingOrder="1"/>
    </xf>
    <xf numFmtId="0" fontId="36" fillId="7" borderId="15" xfId="0" applyFont="1" applyFill="1" applyBorder="1" applyAlignment="1">
      <alignment horizontal="left" vertical="center" readingOrder="1"/>
    </xf>
    <xf numFmtId="0" fontId="60" fillId="2" borderId="1" xfId="0" applyFont="1" applyFill="1" applyBorder="1" applyAlignment="1">
      <alignment horizontal="left" vertical="center" readingOrder="1"/>
    </xf>
    <xf numFmtId="14" fontId="61" fillId="6" borderId="2" xfId="0" applyNumberFormat="1" applyFont="1" applyFill="1" applyBorder="1" applyAlignment="1">
      <alignment horizontal="left" vertical="center" readingOrder="1"/>
    </xf>
    <xf numFmtId="14" fontId="60" fillId="6" borderId="1" xfId="0" applyNumberFormat="1" applyFont="1" applyFill="1" applyBorder="1" applyAlignment="1">
      <alignment horizontal="left" vertical="top" wrapText="1" readingOrder="1"/>
    </xf>
    <xf numFmtId="0" fontId="61" fillId="3" borderId="2" xfId="0" applyFont="1" applyFill="1" applyBorder="1" applyAlignment="1">
      <alignment horizontal="left" vertical="center" readingOrder="1"/>
    </xf>
    <xf numFmtId="0" fontId="61" fillId="7" borderId="2" xfId="0" applyFont="1" applyFill="1" applyBorder="1" applyAlignment="1">
      <alignment horizontal="left" vertical="center" readingOrder="1"/>
    </xf>
    <xf numFmtId="0" fontId="61" fillId="7" borderId="2" xfId="0" applyFont="1" applyFill="1" applyBorder="1" applyAlignment="1">
      <alignment horizontal="left" vertical="top" wrapText="1" readingOrder="1"/>
    </xf>
    <xf numFmtId="0" fontId="36" fillId="3" borderId="16" xfId="0" applyFont="1" applyFill="1" applyBorder="1" applyAlignment="1">
      <alignment horizontal="left" vertical="center" readingOrder="1"/>
    </xf>
    <xf numFmtId="0" fontId="39" fillId="7" borderId="15" xfId="0" applyFont="1" applyFill="1" applyBorder="1" applyAlignment="1">
      <alignment horizontal="left" vertical="top" wrapText="1" readingOrder="1"/>
    </xf>
    <xf numFmtId="0" fontId="36" fillId="3" borderId="15" xfId="0" applyFont="1" applyFill="1" applyBorder="1" applyAlignment="1">
      <alignment horizontal="left" vertical="center" readingOrder="1"/>
    </xf>
    <xf numFmtId="0" fontId="69" fillId="0" borderId="0" xfId="0" applyFont="1"/>
    <xf numFmtId="0" fontId="69" fillId="0" borderId="0" xfId="0" applyFont="1" applyAlignment="1">
      <alignment wrapText="1"/>
    </xf>
    <xf numFmtId="164" fontId="69" fillId="0" borderId="0" xfId="0" applyNumberFormat="1" applyFont="1"/>
    <xf numFmtId="0" fontId="42" fillId="0" borderId="21" xfId="0" applyFont="1" applyFill="1" applyBorder="1"/>
    <xf numFmtId="0" fontId="42" fillId="0" borderId="25" xfId="0" applyFont="1" applyFill="1" applyBorder="1"/>
    <xf numFmtId="0" fontId="42" fillId="0" borderId="23" xfId="0" applyFont="1" applyFill="1" applyBorder="1"/>
    <xf numFmtId="0" fontId="42" fillId="0" borderId="0" xfId="0" applyFont="1" applyBorder="1"/>
    <xf numFmtId="0" fontId="61" fillId="0" borderId="0" xfId="0" applyFont="1"/>
    <xf numFmtId="0" fontId="61" fillId="0" borderId="0" xfId="0" applyFont="1" applyAlignment="1"/>
    <xf numFmtId="0" fontId="44" fillId="0" borderId="0" xfId="0" applyNumberFormat="1" applyFont="1" applyAlignment="1">
      <alignment wrapText="1"/>
    </xf>
    <xf numFmtId="0" fontId="44" fillId="0" borderId="0" xfId="0" applyFont="1" applyFill="1"/>
    <xf numFmtId="14" fontId="51" fillId="16" borderId="0" xfId="0" applyNumberFormat="1" applyFont="1" applyFill="1" applyBorder="1" applyAlignment="1">
      <alignment horizontal="left"/>
    </xf>
    <xf numFmtId="9" fontId="73" fillId="23" borderId="0" xfId="0" applyNumberFormat="1" applyFont="1" applyFill="1" applyBorder="1" applyAlignment="1">
      <alignment vertical="center"/>
    </xf>
    <xf numFmtId="1" fontId="73" fillId="23" borderId="0" xfId="0" applyNumberFormat="1" applyFont="1" applyFill="1" applyBorder="1" applyAlignment="1">
      <alignment vertical="center"/>
    </xf>
    <xf numFmtId="0" fontId="70" fillId="0" borderId="29" xfId="0" applyFont="1" applyBorder="1" applyAlignment="1">
      <alignment horizontal="center" vertical="center"/>
    </xf>
    <xf numFmtId="0" fontId="76" fillId="0" borderId="30" xfId="0" applyFont="1" applyBorder="1" applyAlignment="1">
      <alignment horizontal="center" vertical="center" wrapText="1"/>
    </xf>
    <xf numFmtId="0" fontId="44" fillId="0" borderId="0" xfId="0" applyFont="1" applyFill="1" applyBorder="1" applyAlignment="1">
      <alignment horizontal="left"/>
    </xf>
    <xf numFmtId="0" fontId="75" fillId="8" borderId="22" xfId="0" applyFont="1" applyFill="1" applyBorder="1" applyAlignment="1">
      <alignment horizontal="center" vertical="center" wrapText="1"/>
    </xf>
    <xf numFmtId="0" fontId="75" fillId="36" borderId="22" xfId="0" applyFont="1" applyFill="1" applyBorder="1" applyAlignment="1">
      <alignment horizontal="center" vertical="center" wrapText="1"/>
    </xf>
    <xf numFmtId="0" fontId="0" fillId="0" borderId="22" xfId="0" applyBorder="1"/>
    <xf numFmtId="0" fontId="69" fillId="0" borderId="22" xfId="0" applyFont="1" applyBorder="1"/>
    <xf numFmtId="0" fontId="75" fillId="14" borderId="22" xfId="0" applyFont="1" applyFill="1" applyBorder="1" applyAlignment="1">
      <alignment horizontal="center" vertical="center" wrapText="1"/>
    </xf>
    <xf numFmtId="0" fontId="0" fillId="37" borderId="22" xfId="0" applyFill="1" applyBorder="1"/>
    <xf numFmtId="164" fontId="75" fillId="14" borderId="22" xfId="4" applyNumberFormat="1" applyFont="1" applyFill="1" applyBorder="1" applyAlignment="1">
      <alignment horizontal="right" vertical="center"/>
    </xf>
    <xf numFmtId="164" fontId="75" fillId="8" borderId="22" xfId="4" applyNumberFormat="1" applyFont="1" applyFill="1" applyBorder="1" applyAlignment="1">
      <alignment horizontal="right" vertical="center"/>
    </xf>
    <xf numFmtId="164" fontId="75" fillId="36" borderId="22" xfId="4" applyNumberFormat="1" applyFont="1" applyFill="1" applyBorder="1" applyAlignment="1">
      <alignment horizontal="right" vertical="center"/>
    </xf>
    <xf numFmtId="164" fontId="75" fillId="14" borderId="22" xfId="4" applyNumberFormat="1" applyFont="1" applyFill="1" applyBorder="1" applyAlignment="1">
      <alignment horizontal="center" vertical="center" wrapText="1"/>
    </xf>
    <xf numFmtId="164" fontId="75" fillId="36" borderId="22" xfId="4" applyNumberFormat="1" applyFont="1" applyFill="1" applyBorder="1" applyAlignment="1">
      <alignment horizontal="center" vertical="center" wrapText="1"/>
    </xf>
    <xf numFmtId="166" fontId="28" fillId="20" borderId="0" xfId="8" applyFont="1" applyFill="1" applyBorder="1"/>
    <xf numFmtId="0" fontId="69" fillId="0" borderId="0" xfId="0" applyFont="1" applyAlignment="1">
      <alignment horizontal="center" vertical="center" wrapText="1"/>
    </xf>
    <xf numFmtId="0" fontId="0" fillId="0" borderId="0" xfId="0" applyFill="1"/>
    <xf numFmtId="14" fontId="44" fillId="0" borderId="0" xfId="0" applyNumberFormat="1" applyFont="1"/>
    <xf numFmtId="165" fontId="44" fillId="0" borderId="0" xfId="0" applyNumberFormat="1" applyFont="1"/>
    <xf numFmtId="0" fontId="80" fillId="8" borderId="0" xfId="0" applyFont="1" applyFill="1"/>
    <xf numFmtId="0" fontId="80" fillId="38" borderId="0" xfId="0" applyFont="1" applyFill="1"/>
    <xf numFmtId="0" fontId="28" fillId="0" borderId="0" xfId="0" applyFont="1"/>
    <xf numFmtId="0" fontId="41" fillId="0" borderId="0" xfId="0" applyFont="1"/>
    <xf numFmtId="0" fontId="28" fillId="0" borderId="0" xfId="0" applyFont="1" applyAlignment="1">
      <alignment horizontal="left"/>
    </xf>
    <xf numFmtId="9" fontId="28" fillId="0" borderId="0" xfId="0" applyNumberFormat="1" applyFont="1"/>
    <xf numFmtId="0" fontId="28" fillId="0" borderId="0" xfId="0" applyNumberFormat="1" applyFont="1"/>
    <xf numFmtId="0" fontId="28" fillId="0" borderId="0" xfId="0" applyFont="1" applyAlignment="1">
      <alignment wrapText="1"/>
    </xf>
    <xf numFmtId="164" fontId="28" fillId="0" borderId="0" xfId="0" applyNumberFormat="1" applyFont="1"/>
    <xf numFmtId="0" fontId="82" fillId="0" borderId="0" xfId="0" applyFont="1"/>
    <xf numFmtId="0" fontId="81" fillId="14" borderId="0" xfId="0" applyFont="1" applyFill="1"/>
    <xf numFmtId="1" fontId="28" fillId="0" borderId="0" xfId="0" applyNumberFormat="1" applyFont="1"/>
    <xf numFmtId="0" fontId="28" fillId="0" borderId="0" xfId="0" applyFont="1" applyFill="1"/>
    <xf numFmtId="0" fontId="28" fillId="0" borderId="0" xfId="0" applyFont="1" applyFill="1" applyBorder="1" applyAlignment="1">
      <alignment horizontal="left"/>
    </xf>
    <xf numFmtId="0" fontId="28" fillId="0" borderId="0" xfId="0" applyNumberFormat="1" applyFont="1" applyFill="1" applyBorder="1"/>
    <xf numFmtId="9" fontId="28" fillId="0" borderId="0" xfId="0" applyNumberFormat="1" applyFont="1" applyFill="1"/>
    <xf numFmtId="0" fontId="28" fillId="0" borderId="0" xfId="0" applyNumberFormat="1" applyFont="1" applyFill="1"/>
    <xf numFmtId="0" fontId="28" fillId="17" borderId="27" xfId="0" applyFont="1" applyFill="1" applyBorder="1"/>
    <xf numFmtId="164" fontId="82" fillId="0" borderId="0" xfId="0" applyNumberFormat="1" applyFont="1"/>
    <xf numFmtId="0" fontId="28" fillId="19" borderId="0" xfId="0" applyFont="1" applyFill="1"/>
    <xf numFmtId="1" fontId="28" fillId="0" borderId="0" xfId="4" applyNumberFormat="1" applyFont="1"/>
    <xf numFmtId="0" fontId="28" fillId="34" borderId="0" xfId="0" applyFont="1" applyFill="1"/>
    <xf numFmtId="0" fontId="41" fillId="10" borderId="0" xfId="0" applyFont="1" applyFill="1"/>
    <xf numFmtId="0" fontId="83" fillId="0" borderId="37" xfId="0" applyFont="1" applyBorder="1" applyAlignment="1">
      <alignment horizontal="left"/>
    </xf>
    <xf numFmtId="0" fontId="83" fillId="0" borderId="34" xfId="0" applyFont="1" applyBorder="1" applyAlignment="1">
      <alignment horizontal="left"/>
    </xf>
    <xf numFmtId="0" fontId="80" fillId="8" borderId="0" xfId="0" applyFont="1" applyFill="1" applyAlignment="1">
      <alignment horizontal="left"/>
    </xf>
    <xf numFmtId="9" fontId="80" fillId="8" borderId="0" xfId="0" applyNumberFormat="1" applyFont="1" applyFill="1"/>
    <xf numFmtId="0" fontId="80" fillId="8" borderId="0" xfId="0" applyNumberFormat="1" applyFont="1" applyFill="1"/>
    <xf numFmtId="0" fontId="78" fillId="0" borderId="0" xfId="0" applyFont="1"/>
    <xf numFmtId="0" fontId="72" fillId="0" borderId="0" xfId="0" applyFont="1"/>
    <xf numFmtId="0" fontId="81" fillId="29" borderId="43" xfId="0" applyFont="1" applyFill="1" applyBorder="1" applyAlignment="1">
      <alignment horizontal="left" vertical="center" wrapText="1"/>
    </xf>
    <xf numFmtId="164" fontId="41" fillId="0" borderId="44" xfId="4" applyNumberFormat="1" applyFont="1" applyBorder="1"/>
    <xf numFmtId="164" fontId="41" fillId="0" borderId="45" xfId="4" applyNumberFormat="1" applyFont="1" applyBorder="1"/>
    <xf numFmtId="164" fontId="84" fillId="0" borderId="46" xfId="4" applyNumberFormat="1" applyFont="1" applyBorder="1" applyAlignment="1">
      <alignment horizontal="left" wrapText="1"/>
    </xf>
    <xf numFmtId="164" fontId="84" fillId="0" borderId="41" xfId="4" applyNumberFormat="1" applyFont="1" applyBorder="1" applyAlignment="1">
      <alignment horizontal="left" wrapText="1"/>
    </xf>
    <xf numFmtId="164" fontId="84" fillId="0" borderId="47" xfId="4" applyNumberFormat="1" applyFont="1" applyBorder="1" applyAlignment="1">
      <alignment horizontal="left" wrapText="1"/>
    </xf>
    <xf numFmtId="0" fontId="84" fillId="0" borderId="48" xfId="0" applyFont="1" applyBorder="1" applyAlignment="1">
      <alignment horizontal="left"/>
    </xf>
    <xf numFmtId="0" fontId="84" fillId="0" borderId="49" xfId="0" applyNumberFormat="1" applyFont="1" applyBorder="1"/>
    <xf numFmtId="0" fontId="84" fillId="0" borderId="50" xfId="0" applyNumberFormat="1" applyFont="1" applyBorder="1"/>
    <xf numFmtId="0" fontId="81" fillId="29" borderId="42" xfId="0" applyFont="1" applyFill="1" applyBorder="1"/>
    <xf numFmtId="0" fontId="84" fillId="0" borderId="0" xfId="0" applyFont="1" applyBorder="1" applyAlignment="1">
      <alignment horizontal="left"/>
    </xf>
    <xf numFmtId="0" fontId="84" fillId="0" borderId="0" xfId="0" applyNumberFormat="1" applyFont="1" applyBorder="1"/>
    <xf numFmtId="0" fontId="84" fillId="0" borderId="52" xfId="0" applyFont="1" applyBorder="1"/>
    <xf numFmtId="0" fontId="84" fillId="0" borderId="52" xfId="0" applyFont="1" applyBorder="1" applyAlignment="1">
      <alignment horizontal="left"/>
    </xf>
    <xf numFmtId="0" fontId="84" fillId="0" borderId="52" xfId="0" applyNumberFormat="1" applyFont="1" applyBorder="1"/>
    <xf numFmtId="0" fontId="28" fillId="0" borderId="51" xfId="0" applyFont="1" applyBorder="1" applyAlignment="1">
      <alignment horizontal="left"/>
    </xf>
    <xf numFmtId="0" fontId="28" fillId="0" borderId="51" xfId="0" applyNumberFormat="1" applyFont="1" applyBorder="1"/>
    <xf numFmtId="0" fontId="28" fillId="0" borderId="55" xfId="0" applyFont="1" applyBorder="1" applyAlignment="1">
      <alignment horizontal="left"/>
    </xf>
    <xf numFmtId="0" fontId="28" fillId="0" borderId="55" xfId="0" applyNumberFormat="1" applyFont="1" applyBorder="1"/>
    <xf numFmtId="0" fontId="28" fillId="0" borderId="56" xfId="0" applyNumberFormat="1" applyFont="1" applyBorder="1"/>
    <xf numFmtId="0" fontId="28" fillId="0" borderId="57" xfId="0" applyNumberFormat="1" applyFont="1" applyBorder="1"/>
    <xf numFmtId="0" fontId="85" fillId="39" borderId="53" xfId="0" applyFont="1" applyFill="1" applyBorder="1"/>
    <xf numFmtId="0" fontId="85" fillId="9" borderId="0" xfId="0" applyFont="1" applyFill="1"/>
    <xf numFmtId="0" fontId="81" fillId="32" borderId="0" xfId="0" applyFont="1" applyFill="1"/>
    <xf numFmtId="0" fontId="80" fillId="14" borderId="0" xfId="0" applyFont="1" applyFill="1"/>
    <xf numFmtId="0" fontId="80" fillId="9" borderId="0" xfId="0" applyFont="1" applyFill="1"/>
    <xf numFmtId="0" fontId="78" fillId="34" borderId="0" xfId="0" applyFont="1" applyFill="1"/>
    <xf numFmtId="0" fontId="80" fillId="32" borderId="0" xfId="0" applyFont="1" applyFill="1"/>
    <xf numFmtId="0" fontId="78" fillId="10" borderId="0" xfId="0" applyFont="1" applyFill="1"/>
    <xf numFmtId="0" fontId="87" fillId="0" borderId="0" xfId="0" applyFont="1"/>
    <xf numFmtId="0" fontId="51" fillId="21" borderId="0" xfId="1" applyNumberFormat="1" applyFont="1" applyFill="1" applyBorder="1" applyAlignment="1">
      <alignment horizontal="center"/>
    </xf>
    <xf numFmtId="0" fontId="51" fillId="21" borderId="0" xfId="0" applyNumberFormat="1" applyFont="1" applyFill="1" applyBorder="1" applyAlignment="1">
      <alignment horizontal="center"/>
    </xf>
    <xf numFmtId="0" fontId="69" fillId="0" borderId="0" xfId="0" applyFont="1" applyFill="1"/>
    <xf numFmtId="0" fontId="88" fillId="26" borderId="58" xfId="0" applyFont="1" applyFill="1" applyBorder="1"/>
    <xf numFmtId="0" fontId="80" fillId="41" borderId="0" xfId="0" applyFont="1" applyFill="1" applyAlignment="1">
      <alignment vertical="center"/>
    </xf>
    <xf numFmtId="164" fontId="69" fillId="0" borderId="0" xfId="4" applyNumberFormat="1" applyFont="1"/>
    <xf numFmtId="0" fontId="91" fillId="0" borderId="0" xfId="0" applyFont="1"/>
    <xf numFmtId="164" fontId="75" fillId="8" borderId="22" xfId="4" applyNumberFormat="1" applyFont="1" applyFill="1" applyBorder="1" applyAlignment="1">
      <alignment horizontal="center" vertical="center" wrapText="1"/>
    </xf>
    <xf numFmtId="0" fontId="94" fillId="0" borderId="0" xfId="0" applyFont="1"/>
    <xf numFmtId="49" fontId="93" fillId="0" borderId="0" xfId="20" applyNumberFormat="1" applyFont="1" applyFill="1" applyBorder="1" applyAlignment="1">
      <alignment horizontal="left" vertical="center" wrapText="1"/>
    </xf>
    <xf numFmtId="0" fontId="91" fillId="0" borderId="25" xfId="0" applyFont="1" applyBorder="1"/>
    <xf numFmtId="0" fontId="91" fillId="31" borderId="25" xfId="0" applyFont="1" applyFill="1" applyBorder="1"/>
    <xf numFmtId="0" fontId="42" fillId="0" borderId="0" xfId="21" applyFont="1" applyAlignment="1">
      <alignment horizontal="left" vertical="center"/>
    </xf>
    <xf numFmtId="0" fontId="64" fillId="26" borderId="62" xfId="21" applyFont="1" applyFill="1" applyBorder="1" applyAlignment="1">
      <alignment horizontal="center" vertical="center"/>
    </xf>
    <xf numFmtId="0" fontId="43" fillId="18" borderId="62" xfId="18" applyFont="1" applyFill="1" applyBorder="1" applyAlignment="1">
      <alignment horizontal="left" vertical="center" wrapText="1" readingOrder="1"/>
    </xf>
    <xf numFmtId="1" fontId="43" fillId="18" borderId="62" xfId="18" applyNumberFormat="1" applyFont="1" applyFill="1" applyBorder="1" applyAlignment="1">
      <alignment horizontal="left" vertical="center" wrapText="1" readingOrder="1"/>
    </xf>
    <xf numFmtId="9" fontId="43" fillId="18" borderId="62" xfId="18" applyNumberFormat="1" applyFont="1" applyFill="1" applyBorder="1" applyAlignment="1">
      <alignment horizontal="left" vertical="center" wrapText="1" readingOrder="1"/>
    </xf>
    <xf numFmtId="1" fontId="43" fillId="7" borderId="62" xfId="18" applyNumberFormat="1" applyFont="1" applyFill="1" applyBorder="1" applyAlignment="1">
      <alignment horizontal="left" vertical="center" wrapText="1" readingOrder="1"/>
    </xf>
    <xf numFmtId="0" fontId="31" fillId="0" borderId="0" xfId="21" applyAlignment="1">
      <alignment vertical="top" wrapText="1"/>
    </xf>
    <xf numFmtId="0" fontId="56" fillId="0" borderId="0" xfId="21" applyFont="1" applyAlignment="1">
      <alignment vertical="top" wrapText="1"/>
    </xf>
    <xf numFmtId="0" fontId="31" fillId="0" borderId="0" xfId="21" applyAlignment="1">
      <alignment wrapText="1"/>
    </xf>
    <xf numFmtId="0" fontId="37" fillId="12" borderId="4" xfId="21" applyFont="1" applyFill="1" applyBorder="1" applyAlignment="1">
      <alignment vertical="top" wrapText="1"/>
    </xf>
    <xf numFmtId="0" fontId="40" fillId="10" borderId="4" xfId="21" applyFont="1" applyFill="1" applyBorder="1" applyAlignment="1">
      <alignment horizontal="left" vertical="top" wrapText="1"/>
    </xf>
    <xf numFmtId="0" fontId="40" fillId="10" borderId="4" xfId="21" applyFont="1" applyFill="1" applyBorder="1" applyAlignment="1">
      <alignment horizontal="left" vertical="center" wrapText="1"/>
    </xf>
    <xf numFmtId="0" fontId="38" fillId="7" borderId="4" xfId="21" applyFont="1" applyFill="1" applyBorder="1" applyAlignment="1">
      <alignment vertical="top" wrapText="1"/>
    </xf>
    <xf numFmtId="0" fontId="38" fillId="11" borderId="4" xfId="21" applyFont="1" applyFill="1" applyBorder="1" applyAlignment="1">
      <alignment vertical="top" wrapText="1"/>
    </xf>
    <xf numFmtId="9" fontId="31" fillId="0" borderId="0" xfId="21" applyNumberFormat="1" applyAlignment="1">
      <alignment vertical="top" wrapText="1"/>
    </xf>
    <xf numFmtId="0" fontId="35" fillId="44" borderId="62" xfId="21" applyNumberFormat="1" applyFont="1" applyFill="1" applyBorder="1" applyAlignment="1">
      <alignment horizontal="center" vertical="center"/>
    </xf>
    <xf numFmtId="0" fontId="35" fillId="2" borderId="62" xfId="21" applyNumberFormat="1" applyFont="1" applyFill="1" applyBorder="1" applyAlignment="1">
      <alignment horizontal="center" vertical="center"/>
    </xf>
    <xf numFmtId="0" fontId="35" fillId="37" borderId="62" xfId="21" applyNumberFormat="1" applyFont="1" applyFill="1" applyBorder="1" applyAlignment="1">
      <alignment horizontal="center" vertical="center"/>
    </xf>
    <xf numFmtId="1" fontId="68" fillId="18" borderId="14" xfId="0" applyNumberFormat="1" applyFont="1" applyFill="1" applyBorder="1" applyAlignment="1">
      <alignment horizontal="left" vertical="top" wrapText="1" readingOrder="1"/>
    </xf>
    <xf numFmtId="0" fontId="35" fillId="38" borderId="62" xfId="21" applyNumberFormat="1" applyFont="1" applyFill="1" applyBorder="1" applyAlignment="1">
      <alignment horizontal="center" vertical="center"/>
    </xf>
    <xf numFmtId="0" fontId="68" fillId="27" borderId="62" xfId="21" applyNumberFormat="1" applyFont="1" applyFill="1" applyBorder="1" applyAlignment="1">
      <alignment horizontal="center" vertical="center" wrapText="1"/>
    </xf>
    <xf numFmtId="14" fontId="67" fillId="12" borderId="62" xfId="18" applyNumberFormat="1" applyFont="1" applyFill="1" applyBorder="1" applyAlignment="1">
      <alignment horizontal="center" vertical="center" wrapText="1"/>
    </xf>
    <xf numFmtId="14" fontId="67" fillId="22" borderId="62" xfId="18" applyNumberFormat="1" applyFont="1" applyFill="1" applyBorder="1" applyAlignment="1">
      <alignment horizontal="center" vertical="center" wrapText="1"/>
    </xf>
    <xf numFmtId="1" fontId="66" fillId="7" borderId="62" xfId="18" applyNumberFormat="1" applyFont="1" applyFill="1" applyBorder="1" applyAlignment="1">
      <alignment horizontal="center" vertical="center" wrapText="1"/>
    </xf>
    <xf numFmtId="0" fontId="66" fillId="7" borderId="62" xfId="18" applyFont="1" applyFill="1" applyBorder="1" applyAlignment="1">
      <alignment horizontal="center" vertical="center" wrapText="1"/>
    </xf>
    <xf numFmtId="0" fontId="66" fillId="7" borderId="0" xfId="18" applyFont="1" applyFill="1" applyBorder="1" applyAlignment="1">
      <alignment horizontal="center" vertical="center" wrapText="1"/>
    </xf>
    <xf numFmtId="0" fontId="35" fillId="9" borderId="62" xfId="21" applyNumberFormat="1" applyFont="1" applyFill="1" applyBorder="1" applyAlignment="1">
      <alignment horizontal="center" vertical="center"/>
    </xf>
    <xf numFmtId="14" fontId="36" fillId="17" borderId="62" xfId="18" applyNumberFormat="1" applyFont="1" applyFill="1" applyBorder="1" applyAlignment="1">
      <alignment horizontal="center" vertical="center" wrapText="1" readingOrder="1"/>
    </xf>
    <xf numFmtId="1" fontId="66" fillId="7" borderId="62" xfId="19" applyNumberFormat="1" applyFont="1" applyFill="1" applyBorder="1" applyAlignment="1">
      <alignment horizontal="center" vertical="center" wrapText="1"/>
    </xf>
    <xf numFmtId="1" fontId="68" fillId="7" borderId="62" xfId="18" applyNumberFormat="1" applyFont="1" applyFill="1" applyBorder="1" applyAlignment="1">
      <alignment horizontal="center" vertical="center" wrapText="1"/>
    </xf>
    <xf numFmtId="14" fontId="67" fillId="7" borderId="62" xfId="18" applyNumberFormat="1" applyFont="1" applyFill="1" applyBorder="1" applyAlignment="1">
      <alignment horizontal="center" vertical="center" wrapText="1"/>
    </xf>
    <xf numFmtId="0" fontId="67" fillId="7" borderId="62" xfId="18" applyFont="1" applyFill="1" applyBorder="1" applyAlignment="1">
      <alignment horizontal="center" vertical="center" wrapText="1"/>
    </xf>
    <xf numFmtId="0" fontId="51" fillId="14" borderId="0" xfId="0" applyFont="1" applyFill="1" applyBorder="1" applyAlignment="1"/>
    <xf numFmtId="1" fontId="51" fillId="8" borderId="0" xfId="0" applyNumberFormat="1" applyFont="1" applyFill="1" applyBorder="1" applyAlignment="1"/>
    <xf numFmtId="0" fontId="35" fillId="9" borderId="66" xfId="21" applyNumberFormat="1" applyFont="1" applyFill="1" applyBorder="1" applyAlignment="1">
      <alignment horizontal="center" vertical="center"/>
    </xf>
    <xf numFmtId="0" fontId="35" fillId="14" borderId="65" xfId="21" applyNumberFormat="1" applyFont="1" applyFill="1" applyBorder="1" applyAlignment="1">
      <alignment horizontal="center" vertical="center"/>
    </xf>
    <xf numFmtId="0" fontId="100" fillId="37" borderId="62" xfId="21" applyNumberFormat="1" applyFont="1" applyFill="1" applyBorder="1" applyAlignment="1">
      <alignment horizontal="left" vertical="center"/>
    </xf>
    <xf numFmtId="0" fontId="35" fillId="6" borderId="62" xfId="21" applyNumberFormat="1" applyFont="1" applyFill="1" applyBorder="1" applyAlignment="1">
      <alignment horizontal="center" vertical="center"/>
    </xf>
    <xf numFmtId="0" fontId="100" fillId="6" borderId="62" xfId="21" applyNumberFormat="1" applyFont="1" applyFill="1" applyBorder="1" applyAlignment="1">
      <alignment horizontal="left" vertical="center"/>
    </xf>
    <xf numFmtId="14" fontId="67" fillId="17" borderId="14" xfId="0" applyNumberFormat="1" applyFont="1" applyFill="1" applyBorder="1" applyAlignment="1">
      <alignment horizontal="left" vertical="top" wrapText="1" readingOrder="1"/>
    </xf>
    <xf numFmtId="0" fontId="68" fillId="18" borderId="14" xfId="0" applyFont="1" applyFill="1" applyBorder="1" applyAlignment="1">
      <alignment horizontal="left" vertical="top" wrapText="1" readingOrder="1"/>
    </xf>
    <xf numFmtId="0" fontId="68" fillId="22" borderId="19" xfId="0" applyNumberFormat="1" applyFont="1" applyFill="1" applyBorder="1" applyAlignment="1">
      <alignment horizontal="left" vertical="top" wrapText="1" readingOrder="1"/>
    </xf>
    <xf numFmtId="0" fontId="68" fillId="22" borderId="20" xfId="0" applyNumberFormat="1" applyFont="1" applyFill="1" applyBorder="1" applyAlignment="1">
      <alignment horizontal="left" vertical="top" wrapText="1" readingOrder="1"/>
    </xf>
    <xf numFmtId="0" fontId="68" fillId="22" borderId="2" xfId="0" applyNumberFormat="1" applyFont="1" applyFill="1" applyBorder="1" applyAlignment="1">
      <alignment horizontal="left" vertical="center" wrapText="1" readingOrder="1"/>
    </xf>
    <xf numFmtId="0" fontId="66" fillId="0" borderId="0" xfId="0" applyFont="1" applyAlignment="1">
      <alignment vertical="top" wrapText="1"/>
    </xf>
    <xf numFmtId="0" fontId="101" fillId="18" borderId="62" xfId="18" applyFont="1" applyFill="1" applyBorder="1" applyAlignment="1">
      <alignment horizontal="left" vertical="center" wrapText="1" readingOrder="1"/>
    </xf>
    <xf numFmtId="1" fontId="101" fillId="18" borderId="62" xfId="18" applyNumberFormat="1" applyFont="1" applyFill="1" applyBorder="1" applyAlignment="1">
      <alignment horizontal="left" vertical="center" wrapText="1" readingOrder="1"/>
    </xf>
    <xf numFmtId="0" fontId="102" fillId="18" borderId="62" xfId="18" applyFont="1" applyFill="1" applyBorder="1" applyAlignment="1">
      <alignment horizontal="left" vertical="center" wrapText="1" readingOrder="1"/>
    </xf>
    <xf numFmtId="0" fontId="101" fillId="18" borderId="62" xfId="18" applyFont="1" applyFill="1" applyBorder="1" applyAlignment="1">
      <alignment horizontal="left" vertical="center" wrapText="1"/>
    </xf>
    <xf numFmtId="1" fontId="102" fillId="18" borderId="62" xfId="18" applyNumberFormat="1" applyFont="1" applyFill="1" applyBorder="1" applyAlignment="1">
      <alignment horizontal="left" vertical="center" wrapText="1" readingOrder="1"/>
    </xf>
    <xf numFmtId="1" fontId="102" fillId="7" borderId="62" xfId="18" applyNumberFormat="1" applyFont="1" applyFill="1" applyBorder="1" applyAlignment="1">
      <alignment horizontal="left" vertical="center" wrapText="1" readingOrder="1"/>
    </xf>
    <xf numFmtId="0" fontId="101" fillId="28" borderId="62" xfId="18" applyFont="1" applyFill="1" applyBorder="1" applyAlignment="1">
      <alignment horizontal="left" vertical="center" wrapText="1"/>
    </xf>
    <xf numFmtId="14" fontId="102" fillId="7" borderId="62" xfId="18" applyNumberFormat="1" applyFont="1" applyFill="1" applyBorder="1" applyAlignment="1">
      <alignment horizontal="left" vertical="center" wrapText="1" readingOrder="1"/>
    </xf>
    <xf numFmtId="0" fontId="102" fillId="11" borderId="62" xfId="19" applyNumberFormat="1" applyFont="1" applyFill="1" applyBorder="1" applyAlignment="1">
      <alignment horizontal="left" vertical="center" wrapText="1" readingOrder="1"/>
    </xf>
    <xf numFmtId="1" fontId="102" fillId="11" borderId="62" xfId="18" applyNumberFormat="1" applyFont="1" applyFill="1" applyBorder="1" applyAlignment="1">
      <alignment horizontal="left" vertical="center" wrapText="1" readingOrder="1"/>
    </xf>
    <xf numFmtId="0" fontId="101" fillId="30" borderId="62" xfId="19" applyNumberFormat="1" applyFont="1" applyFill="1" applyBorder="1" applyAlignment="1">
      <alignment horizontal="left" vertical="center" wrapText="1" readingOrder="1"/>
    </xf>
    <xf numFmtId="14" fontId="102" fillId="17" borderId="62" xfId="18" applyNumberFormat="1" applyFont="1" applyFill="1" applyBorder="1" applyAlignment="1">
      <alignment horizontal="left" vertical="center" wrapText="1" readingOrder="1"/>
    </xf>
    <xf numFmtId="0" fontId="104" fillId="16" borderId="62" xfId="18" applyFont="1" applyFill="1" applyBorder="1" applyAlignment="1">
      <alignment horizontal="center" vertical="center" wrapText="1"/>
    </xf>
    <xf numFmtId="0" fontId="107" fillId="22" borderId="13" xfId="0" applyNumberFormat="1" applyFont="1" applyFill="1" applyBorder="1" applyAlignment="1">
      <alignment horizontal="left" vertical="center" wrapText="1" readingOrder="1"/>
    </xf>
    <xf numFmtId="0" fontId="107" fillId="22" borderId="2" xfId="0" applyNumberFormat="1" applyFont="1" applyFill="1" applyBorder="1" applyAlignment="1">
      <alignment horizontal="left" vertical="center" wrapText="1" readingOrder="1"/>
    </xf>
    <xf numFmtId="0" fontId="105" fillId="0" borderId="0" xfId="0" applyFont="1" applyAlignment="1"/>
    <xf numFmtId="14" fontId="43" fillId="18" borderId="62" xfId="18" applyNumberFormat="1" applyFont="1" applyFill="1" applyBorder="1" applyAlignment="1">
      <alignment horizontal="left" vertical="center" wrapText="1" readingOrder="1"/>
    </xf>
    <xf numFmtId="0" fontId="43" fillId="10" borderId="62" xfId="18" applyFont="1" applyFill="1" applyBorder="1" applyAlignment="1">
      <alignment horizontal="left" vertical="center" wrapText="1"/>
    </xf>
    <xf numFmtId="14" fontId="101" fillId="18" borderId="62" xfId="18" applyNumberFormat="1" applyFont="1" applyFill="1" applyBorder="1" applyAlignment="1">
      <alignment horizontal="left" vertical="center" wrapText="1" readingOrder="1"/>
    </xf>
    <xf numFmtId="9" fontId="43" fillId="11" borderId="62" xfId="18" applyNumberFormat="1" applyFont="1" applyFill="1" applyBorder="1" applyAlignment="1">
      <alignment horizontal="left" vertical="center" wrapText="1" readingOrder="1"/>
    </xf>
    <xf numFmtId="1" fontId="43" fillId="18" borderId="62" xfId="19" applyNumberFormat="1" applyFont="1" applyFill="1" applyBorder="1" applyAlignment="1">
      <alignment horizontal="left" vertical="center" wrapText="1" readingOrder="1"/>
    </xf>
    <xf numFmtId="0" fontId="108" fillId="22" borderId="13" xfId="0" applyNumberFormat="1" applyFont="1" applyFill="1" applyBorder="1" applyAlignment="1">
      <alignment horizontal="left" vertical="center" wrapText="1" readingOrder="1"/>
    </xf>
    <xf numFmtId="0" fontId="108" fillId="22" borderId="2" xfId="0" applyNumberFormat="1" applyFont="1" applyFill="1" applyBorder="1" applyAlignment="1">
      <alignment horizontal="left" vertical="center" wrapText="1" readingOrder="1"/>
    </xf>
    <xf numFmtId="0" fontId="115" fillId="0" borderId="0" xfId="0" applyFont="1" applyAlignment="1"/>
    <xf numFmtId="0" fontId="35" fillId="2" borderId="62" xfId="21" applyNumberFormat="1" applyFont="1" applyFill="1" applyBorder="1" applyAlignment="1">
      <alignment horizontal="center" vertical="center" wrapText="1"/>
    </xf>
    <xf numFmtId="0" fontId="35" fillId="6" borderId="62" xfId="21" applyNumberFormat="1" applyFont="1" applyFill="1" applyBorder="1" applyAlignment="1">
      <alignment horizontal="center" vertical="center" wrapText="1"/>
    </xf>
    <xf numFmtId="0" fontId="35" fillId="37" borderId="62" xfId="21" applyNumberFormat="1" applyFont="1" applyFill="1" applyBorder="1" applyAlignment="1">
      <alignment horizontal="center" vertical="center" wrapText="1"/>
    </xf>
    <xf numFmtId="0" fontId="35" fillId="44" borderId="62" xfId="21" applyNumberFormat="1" applyFont="1" applyFill="1" applyBorder="1" applyAlignment="1">
      <alignment horizontal="center" vertical="center" wrapText="1"/>
    </xf>
    <xf numFmtId="0" fontId="35" fillId="14" borderId="65" xfId="21" applyNumberFormat="1" applyFont="1" applyFill="1" applyBorder="1" applyAlignment="1">
      <alignment horizontal="center" vertical="center" wrapText="1"/>
    </xf>
    <xf numFmtId="0" fontId="35" fillId="38" borderId="62" xfId="21" applyNumberFormat="1" applyFont="1" applyFill="1" applyBorder="1" applyAlignment="1">
      <alignment horizontal="center" vertical="center" wrapText="1"/>
    </xf>
    <xf numFmtId="0" fontId="35" fillId="9" borderId="62" xfId="21" applyNumberFormat="1" applyFont="1" applyFill="1" applyBorder="1" applyAlignment="1">
      <alignment horizontal="center" vertical="center" wrapText="1"/>
    </xf>
    <xf numFmtId="0" fontId="45" fillId="22" borderId="13" xfId="0" applyNumberFormat="1" applyFont="1" applyFill="1" applyBorder="1" applyAlignment="1">
      <alignment horizontal="left" vertical="center" wrapText="1" readingOrder="1"/>
    </xf>
    <xf numFmtId="0" fontId="45" fillId="22" borderId="2" xfId="0" applyNumberFormat="1" applyFont="1" applyFill="1" applyBorder="1" applyAlignment="1">
      <alignment horizontal="left" vertical="center" wrapText="1" readingOrder="1"/>
    </xf>
    <xf numFmtId="0" fontId="47" fillId="0" borderId="0" xfId="0" applyFont="1" applyAlignment="1">
      <alignment wrapText="1"/>
    </xf>
    <xf numFmtId="0" fontId="117" fillId="0" borderId="0" xfId="18" applyFont="1" applyAlignment="1">
      <alignment horizontal="left" vertical="center"/>
    </xf>
    <xf numFmtId="0" fontId="43" fillId="0" borderId="0" xfId="21" applyFont="1" applyAlignment="1">
      <alignment horizontal="left" vertical="center"/>
    </xf>
    <xf numFmtId="0" fontId="45" fillId="16" borderId="62" xfId="21" applyFont="1" applyFill="1" applyBorder="1" applyAlignment="1">
      <alignment horizontal="center" vertical="center" wrapText="1"/>
    </xf>
    <xf numFmtId="0" fontId="45" fillId="16" borderId="62" xfId="18" applyFont="1" applyFill="1" applyBorder="1" applyAlignment="1">
      <alignment horizontal="center" vertical="center" wrapText="1"/>
    </xf>
    <xf numFmtId="0" fontId="117" fillId="0" borderId="0" xfId="18" applyFont="1" applyAlignment="1">
      <alignment horizontal="center" vertical="center"/>
    </xf>
    <xf numFmtId="14" fontId="43" fillId="17" borderId="62" xfId="18" applyNumberFormat="1" applyFont="1" applyFill="1" applyBorder="1" applyAlignment="1">
      <alignment horizontal="left" vertical="center" wrapText="1" readingOrder="1"/>
    </xf>
    <xf numFmtId="1" fontId="43" fillId="18" borderId="65" xfId="19" applyNumberFormat="1" applyFont="1" applyFill="1" applyBorder="1" applyAlignment="1">
      <alignment horizontal="left" vertical="center" wrapText="1" readingOrder="1"/>
    </xf>
    <xf numFmtId="0" fontId="43" fillId="18" borderId="65" xfId="18" applyFont="1" applyFill="1" applyBorder="1" applyAlignment="1">
      <alignment horizontal="left" vertical="center" wrapText="1" readingOrder="1"/>
    </xf>
    <xf numFmtId="1" fontId="43" fillId="18" borderId="65" xfId="18" applyNumberFormat="1" applyFont="1" applyFill="1" applyBorder="1" applyAlignment="1">
      <alignment horizontal="left" vertical="center" wrapText="1" readingOrder="1"/>
    </xf>
    <xf numFmtId="0" fontId="43" fillId="10" borderId="65" xfId="18" applyFont="1" applyFill="1" applyBorder="1" applyAlignment="1">
      <alignment horizontal="left" vertical="center" wrapText="1"/>
    </xf>
    <xf numFmtId="0" fontId="43" fillId="28" borderId="62" xfId="18" applyFont="1" applyFill="1" applyBorder="1" applyAlignment="1">
      <alignment horizontal="left" vertical="center" wrapText="1"/>
    </xf>
    <xf numFmtId="1" fontId="43" fillId="7" borderId="62" xfId="19" applyNumberFormat="1" applyFont="1" applyFill="1" applyBorder="1" applyAlignment="1">
      <alignment horizontal="left" vertical="center" wrapText="1" readingOrder="1"/>
    </xf>
    <xf numFmtId="14" fontId="43" fillId="7" borderId="62" xfId="18" applyNumberFormat="1" applyFont="1" applyFill="1" applyBorder="1" applyAlignment="1">
      <alignment horizontal="left" vertical="center" wrapText="1"/>
    </xf>
    <xf numFmtId="14" fontId="43" fillId="7" borderId="62" xfId="18" applyNumberFormat="1" applyFont="1" applyFill="1" applyBorder="1" applyAlignment="1">
      <alignment horizontal="left" vertical="center" wrapText="1" readingOrder="1"/>
    </xf>
    <xf numFmtId="0" fontId="43" fillId="7" borderId="62" xfId="18" applyFont="1" applyFill="1" applyBorder="1" applyAlignment="1">
      <alignment horizontal="left" vertical="center" wrapText="1"/>
    </xf>
    <xf numFmtId="0" fontId="43" fillId="7" borderId="62" xfId="18" applyFont="1" applyFill="1" applyBorder="1" applyAlignment="1">
      <alignment horizontal="left" vertical="center" wrapText="1" readingOrder="1"/>
    </xf>
    <xf numFmtId="0" fontId="43" fillId="11" borderId="62" xfId="19" applyNumberFormat="1" applyFont="1" applyFill="1" applyBorder="1" applyAlignment="1">
      <alignment horizontal="left" vertical="center" wrapText="1" readingOrder="1"/>
    </xf>
    <xf numFmtId="0" fontId="43" fillId="30" borderId="62" xfId="19" applyNumberFormat="1" applyFont="1" applyFill="1" applyBorder="1" applyAlignment="1">
      <alignment horizontal="left" vertical="center" wrapText="1" readingOrder="1"/>
    </xf>
    <xf numFmtId="1" fontId="43" fillId="11" borderId="62" xfId="18" applyNumberFormat="1" applyFont="1" applyFill="1" applyBorder="1" applyAlignment="1">
      <alignment horizontal="left" vertical="center" wrapText="1" readingOrder="1"/>
    </xf>
    <xf numFmtId="0" fontId="43" fillId="30" borderId="62" xfId="18" applyFont="1" applyFill="1" applyBorder="1" applyAlignment="1">
      <alignment horizontal="left" vertical="center" wrapText="1"/>
    </xf>
    <xf numFmtId="9" fontId="43" fillId="11" borderId="65" xfId="18" applyNumberFormat="1" applyFont="1" applyFill="1" applyBorder="1" applyAlignment="1">
      <alignment horizontal="left" vertical="center" wrapText="1" readingOrder="1"/>
    </xf>
    <xf numFmtId="0" fontId="43" fillId="30" borderId="65" xfId="18" applyFont="1" applyFill="1" applyBorder="1" applyAlignment="1">
      <alignment horizontal="left" vertical="center" wrapText="1"/>
    </xf>
    <xf numFmtId="0" fontId="68" fillId="0" borderId="0" xfId="18" applyFont="1" applyAlignment="1">
      <alignment horizontal="left" vertical="center"/>
    </xf>
    <xf numFmtId="0" fontId="43" fillId="0" borderId="0" xfId="18" applyFont="1" applyAlignment="1">
      <alignment horizontal="left" vertical="center"/>
    </xf>
    <xf numFmtId="0" fontId="119" fillId="0" borderId="0" xfId="18" applyFont="1" applyAlignment="1">
      <alignment horizontal="left" vertical="center"/>
    </xf>
    <xf numFmtId="0" fontId="119" fillId="0" borderId="0" xfId="18" applyFont="1" applyAlignment="1">
      <alignment horizontal="center" vertical="center"/>
    </xf>
    <xf numFmtId="0" fontId="103" fillId="0" borderId="0" xfId="18" applyFont="1" applyAlignment="1">
      <alignment horizontal="left" vertical="center"/>
    </xf>
    <xf numFmtId="0" fontId="101" fillId="0" borderId="0" xfId="18" applyFont="1" applyAlignment="1">
      <alignment horizontal="left" vertical="center"/>
    </xf>
    <xf numFmtId="0" fontId="102" fillId="0" borderId="0" xfId="18" applyFont="1" applyAlignment="1">
      <alignment horizontal="left" vertical="center"/>
    </xf>
    <xf numFmtId="0" fontId="35" fillId="9" borderId="0" xfId="21" applyNumberFormat="1" applyFont="1" applyFill="1" applyBorder="1" applyAlignment="1">
      <alignment horizontal="center" vertical="center"/>
    </xf>
    <xf numFmtId="14" fontId="36" fillId="17" borderId="62" xfId="18" applyNumberFormat="1" applyFont="1" applyFill="1" applyBorder="1" applyAlignment="1">
      <alignment horizontal="center" vertical="center" wrapText="1"/>
    </xf>
    <xf numFmtId="14" fontId="36" fillId="7" borderId="62" xfId="18" applyNumberFormat="1" applyFont="1" applyFill="1" applyBorder="1" applyAlignment="1">
      <alignment horizontal="center" vertical="center" wrapText="1"/>
    </xf>
    <xf numFmtId="14" fontId="36" fillId="27" borderId="62" xfId="18" applyNumberFormat="1" applyFont="1" applyFill="1" applyBorder="1" applyAlignment="1">
      <alignment horizontal="center" vertical="center" wrapText="1"/>
    </xf>
    <xf numFmtId="14" fontId="36" fillId="22" borderId="62" xfId="18" applyNumberFormat="1" applyFont="1" applyFill="1" applyBorder="1" applyAlignment="1">
      <alignment horizontal="center" vertical="center" wrapText="1"/>
    </xf>
    <xf numFmtId="14" fontId="36" fillId="17" borderId="67" xfId="18" applyNumberFormat="1" applyFont="1" applyFill="1" applyBorder="1" applyAlignment="1">
      <alignment horizontal="center" vertical="center" wrapText="1"/>
    </xf>
    <xf numFmtId="0" fontId="35" fillId="9" borderId="67" xfId="21" applyNumberFormat="1" applyFont="1" applyFill="1" applyBorder="1" applyAlignment="1">
      <alignment horizontal="center" vertical="center" wrapText="1"/>
    </xf>
    <xf numFmtId="1" fontId="99" fillId="18" borderId="0" xfId="0" applyNumberFormat="1" applyFont="1" applyFill="1" applyBorder="1" applyAlignment="1">
      <alignment vertical="top" wrapText="1"/>
    </xf>
    <xf numFmtId="0" fontId="99" fillId="18" borderId="68" xfId="0" applyFont="1" applyFill="1" applyBorder="1" applyAlignment="1">
      <alignment vertical="top" wrapText="1"/>
    </xf>
    <xf numFmtId="0" fontId="99" fillId="18" borderId="69" xfId="0" applyFont="1" applyFill="1" applyBorder="1" applyAlignment="1">
      <alignment vertical="top" wrapText="1"/>
    </xf>
    <xf numFmtId="1" fontId="109" fillId="18" borderId="72" xfId="0" applyNumberFormat="1" applyFont="1" applyFill="1" applyBorder="1" applyAlignment="1">
      <alignment vertical="top" wrapText="1"/>
    </xf>
    <xf numFmtId="0" fontId="109" fillId="18" borderId="72" xfId="0" applyFont="1" applyFill="1" applyBorder="1" applyAlignment="1">
      <alignment vertical="top" wrapText="1"/>
    </xf>
    <xf numFmtId="0" fontId="121" fillId="5" borderId="72" xfId="0" applyFont="1" applyFill="1" applyBorder="1" applyAlignment="1">
      <alignment horizontal="center" vertical="center" wrapText="1"/>
    </xf>
    <xf numFmtId="1" fontId="109" fillId="18" borderId="73" xfId="0" applyNumberFormat="1" applyFont="1" applyFill="1" applyBorder="1" applyAlignment="1">
      <alignment vertical="top" wrapText="1"/>
    </xf>
    <xf numFmtId="0" fontId="121" fillId="5" borderId="73" xfId="0" applyFont="1" applyFill="1" applyBorder="1" applyAlignment="1">
      <alignment horizontal="center" vertical="center" wrapText="1"/>
    </xf>
    <xf numFmtId="0" fontId="109" fillId="18" borderId="74" xfId="0" applyFont="1" applyFill="1" applyBorder="1" applyAlignment="1">
      <alignment vertical="top" wrapText="1"/>
    </xf>
    <xf numFmtId="1" fontId="109" fillId="18" borderId="75" xfId="0" applyNumberFormat="1" applyFont="1" applyFill="1" applyBorder="1" applyAlignment="1">
      <alignment vertical="top" wrapText="1"/>
    </xf>
    <xf numFmtId="0" fontId="99" fillId="18" borderId="76" xfId="0" applyFont="1" applyFill="1" applyBorder="1" applyAlignment="1">
      <alignment vertical="top" wrapText="1"/>
    </xf>
    <xf numFmtId="0" fontId="99" fillId="18" borderId="77" xfId="0" applyFont="1" applyFill="1" applyBorder="1" applyAlignment="1">
      <alignment vertical="top" wrapText="1"/>
    </xf>
    <xf numFmtId="1" fontId="99" fillId="18" borderId="78" xfId="0" applyNumberFormat="1" applyFont="1" applyFill="1" applyBorder="1" applyAlignment="1">
      <alignment vertical="top" wrapText="1"/>
    </xf>
    <xf numFmtId="0" fontId="121" fillId="5" borderId="79" xfId="0" applyFont="1" applyFill="1" applyBorder="1" applyAlignment="1">
      <alignment horizontal="center" vertical="center" wrapText="1"/>
    </xf>
    <xf numFmtId="0" fontId="99" fillId="18" borderId="70" xfId="0" applyFont="1" applyFill="1" applyBorder="1" applyAlignment="1">
      <alignment vertical="top" wrapText="1"/>
    </xf>
    <xf numFmtId="1" fontId="109" fillId="18" borderId="79" xfId="0" applyNumberFormat="1" applyFont="1" applyFill="1" applyBorder="1" applyAlignment="1">
      <alignment vertical="top" wrapText="1"/>
    </xf>
    <xf numFmtId="1" fontId="122" fillId="18" borderId="72" xfId="0" applyNumberFormat="1" applyFont="1" applyFill="1" applyBorder="1" applyAlignment="1">
      <alignment vertical="top" wrapText="1"/>
    </xf>
    <xf numFmtId="1" fontId="122" fillId="18" borderId="79" xfId="0" applyNumberFormat="1" applyFont="1" applyFill="1" applyBorder="1" applyAlignment="1">
      <alignment vertical="top" wrapText="1"/>
    </xf>
    <xf numFmtId="1" fontId="99" fillId="5" borderId="71" xfId="0" applyNumberFormat="1" applyFont="1" applyFill="1" applyBorder="1" applyAlignment="1">
      <alignment vertical="top" wrapText="1"/>
    </xf>
    <xf numFmtId="0" fontId="46" fillId="5" borderId="72" xfId="0" applyFont="1" applyFill="1" applyBorder="1" applyAlignment="1">
      <alignment vertical="center" wrapText="1"/>
    </xf>
    <xf numFmtId="0" fontId="99" fillId="18" borderId="72" xfId="0" applyFont="1" applyFill="1" applyBorder="1" applyAlignment="1">
      <alignment vertical="top" wrapText="1"/>
    </xf>
    <xf numFmtId="9" fontId="99" fillId="18" borderId="72" xfId="0" applyNumberFormat="1" applyFont="1" applyFill="1" applyBorder="1" applyAlignment="1">
      <alignment vertical="top" wrapText="1"/>
    </xf>
    <xf numFmtId="0" fontId="46" fillId="5" borderId="79" xfId="0" applyFont="1" applyFill="1" applyBorder="1" applyAlignment="1">
      <alignment vertical="center" wrapText="1"/>
    </xf>
    <xf numFmtId="1" fontId="99" fillId="18" borderId="79" xfId="0" applyNumberFormat="1" applyFont="1" applyFill="1" applyBorder="1" applyAlignment="1">
      <alignment vertical="top" wrapText="1"/>
    </xf>
    <xf numFmtId="1" fontId="109" fillId="18" borderId="74" xfId="0" applyNumberFormat="1" applyFont="1" applyFill="1" applyBorder="1" applyAlignment="1">
      <alignment vertical="top" wrapText="1"/>
    </xf>
    <xf numFmtId="0" fontId="46" fillId="5" borderId="74" xfId="0" applyFont="1" applyFill="1" applyBorder="1" applyAlignment="1">
      <alignment vertical="center" wrapText="1"/>
    </xf>
    <xf numFmtId="1" fontId="99" fillId="18" borderId="84" xfId="0" applyNumberFormat="1" applyFont="1" applyFill="1" applyBorder="1" applyAlignment="1">
      <alignment vertical="top" wrapText="1"/>
    </xf>
    <xf numFmtId="0" fontId="109" fillId="18" borderId="75" xfId="0" applyFont="1" applyFill="1" applyBorder="1" applyAlignment="1">
      <alignment vertical="top" wrapText="1"/>
    </xf>
    <xf numFmtId="1" fontId="99" fillId="18" borderId="80" xfId="0" applyNumberFormat="1" applyFont="1" applyFill="1" applyBorder="1" applyAlignment="1">
      <alignment vertical="top" wrapText="1"/>
    </xf>
    <xf numFmtId="0" fontId="109" fillId="6" borderId="72" xfId="0" applyFont="1" applyFill="1" applyBorder="1" applyAlignment="1">
      <alignment vertical="top" wrapText="1"/>
    </xf>
    <xf numFmtId="1" fontId="109" fillId="6" borderId="72" xfId="0" applyNumberFormat="1" applyFont="1" applyFill="1" applyBorder="1" applyAlignment="1">
      <alignment vertical="top" wrapText="1"/>
    </xf>
    <xf numFmtId="1" fontId="111" fillId="6" borderId="72" xfId="0" applyNumberFormat="1" applyFont="1" applyFill="1" applyBorder="1" applyAlignment="1">
      <alignment vertical="top" wrapText="1"/>
    </xf>
    <xf numFmtId="0" fontId="46" fillId="8" borderId="72" xfId="0" applyFont="1" applyFill="1" applyBorder="1" applyAlignment="1">
      <alignment vertical="center" wrapText="1"/>
    </xf>
    <xf numFmtId="1" fontId="46" fillId="8" borderId="72" xfId="0" applyNumberFormat="1" applyFont="1" applyFill="1" applyBorder="1" applyAlignment="1">
      <alignment vertical="center" wrapText="1"/>
    </xf>
    <xf numFmtId="1" fontId="51" fillId="8" borderId="72" xfId="0" applyNumberFormat="1" applyFont="1" applyFill="1" applyBorder="1" applyAlignment="1">
      <alignment vertical="center" wrapText="1"/>
    </xf>
    <xf numFmtId="0" fontId="99" fillId="6" borderId="72" xfId="0" applyFont="1" applyFill="1" applyBorder="1" applyAlignment="1">
      <alignment vertical="top" wrapText="1"/>
    </xf>
    <xf numFmtId="1" fontId="109" fillId="6" borderId="79" xfId="0" applyNumberFormat="1" applyFont="1" applyFill="1" applyBorder="1" applyAlignment="1">
      <alignment vertical="top" wrapText="1"/>
    </xf>
    <xf numFmtId="0" fontId="46" fillId="8" borderId="79" xfId="0" applyFont="1" applyFill="1" applyBorder="1" applyAlignment="1">
      <alignment vertical="center" wrapText="1"/>
    </xf>
    <xf numFmtId="1" fontId="99" fillId="6" borderId="79" xfId="0" applyNumberFormat="1" applyFont="1" applyFill="1" applyBorder="1" applyAlignment="1">
      <alignment vertical="top" wrapText="1"/>
    </xf>
    <xf numFmtId="0" fontId="109" fillId="6" borderId="73" xfId="0" applyFont="1" applyFill="1" applyBorder="1" applyAlignment="1">
      <alignment vertical="top" wrapText="1"/>
    </xf>
    <xf numFmtId="0" fontId="46" fillId="8" borderId="73" xfId="0" applyFont="1" applyFill="1" applyBorder="1" applyAlignment="1">
      <alignment vertical="center" wrapText="1"/>
    </xf>
    <xf numFmtId="0" fontId="99" fillId="6" borderId="73" xfId="0" applyFont="1" applyFill="1" applyBorder="1" applyAlignment="1">
      <alignment vertical="top" wrapText="1"/>
    </xf>
    <xf numFmtId="1" fontId="109" fillId="6" borderId="74" xfId="0" applyNumberFormat="1" applyFont="1" applyFill="1" applyBorder="1" applyAlignment="1">
      <alignment vertical="top" wrapText="1"/>
    </xf>
    <xf numFmtId="0" fontId="109" fillId="6" borderId="75" xfId="0" applyFont="1" applyFill="1" applyBorder="1" applyAlignment="1">
      <alignment vertical="top" wrapText="1"/>
    </xf>
    <xf numFmtId="0" fontId="46" fillId="8" borderId="74" xfId="0" applyFont="1" applyFill="1" applyBorder="1" applyAlignment="1">
      <alignment vertical="center" wrapText="1"/>
    </xf>
    <xf numFmtId="0" fontId="46" fillId="8" borderId="75" xfId="0" applyFont="1" applyFill="1" applyBorder="1" applyAlignment="1">
      <alignment vertical="center" wrapText="1"/>
    </xf>
    <xf numFmtId="1" fontId="99" fillId="6" borderId="76" xfId="0" applyNumberFormat="1" applyFont="1" applyFill="1" applyBorder="1" applyAlignment="1">
      <alignment vertical="top" wrapText="1"/>
    </xf>
    <xf numFmtId="0" fontId="99" fillId="6" borderId="78" xfId="0" applyFont="1" applyFill="1" applyBorder="1" applyAlignment="1">
      <alignment vertical="top" wrapText="1"/>
    </xf>
    <xf numFmtId="1" fontId="109" fillId="9" borderId="72" xfId="0" applyNumberFormat="1" applyFont="1" applyFill="1" applyBorder="1" applyAlignment="1">
      <alignment vertical="top" wrapText="1"/>
    </xf>
    <xf numFmtId="1" fontId="52" fillId="9" borderId="72" xfId="1" applyNumberFormat="1" applyFont="1" applyFill="1" applyBorder="1" applyAlignment="1">
      <alignment vertical="center"/>
    </xf>
    <xf numFmtId="1" fontId="46" fillId="9" borderId="72" xfId="0" applyNumberFormat="1" applyFont="1" applyFill="1" applyBorder="1" applyAlignment="1">
      <alignment vertical="center" wrapText="1"/>
    </xf>
    <xf numFmtId="1" fontId="106" fillId="9" borderId="72" xfId="0" applyNumberFormat="1" applyFont="1" applyFill="1" applyBorder="1" applyAlignment="1">
      <alignment vertical="top" wrapText="1"/>
    </xf>
    <xf numFmtId="1" fontId="106" fillId="9" borderId="72" xfId="0" applyNumberFormat="1" applyFont="1" applyFill="1" applyBorder="1" applyAlignment="1">
      <alignment vertical="top"/>
    </xf>
    <xf numFmtId="1" fontId="52" fillId="9" borderId="72" xfId="1" applyNumberFormat="1" applyFont="1" applyFill="1" applyBorder="1" applyAlignment="1">
      <alignment vertical="center" wrapText="1"/>
    </xf>
    <xf numFmtId="1" fontId="54" fillId="9" borderId="72" xfId="0" applyNumberFormat="1" applyFont="1" applyFill="1" applyBorder="1" applyAlignment="1">
      <alignment horizontal="center" vertical="center" wrapText="1"/>
    </xf>
    <xf numFmtId="1" fontId="99" fillId="9" borderId="72" xfId="0" applyNumberFormat="1" applyFont="1" applyFill="1" applyBorder="1" applyAlignment="1">
      <alignment vertical="top" wrapText="1"/>
    </xf>
    <xf numFmtId="1" fontId="99" fillId="19" borderId="72" xfId="0" applyNumberFormat="1" applyFont="1" applyFill="1" applyBorder="1" applyAlignment="1">
      <alignment vertical="top" wrapText="1"/>
    </xf>
    <xf numFmtId="1" fontId="113" fillId="9" borderId="72" xfId="0" applyNumberFormat="1" applyFont="1" applyFill="1" applyBorder="1" applyAlignment="1">
      <alignment vertical="top" wrapText="1"/>
    </xf>
    <xf numFmtId="9" fontId="109" fillId="9" borderId="79" xfId="1" applyNumberFormat="1" applyFont="1" applyFill="1" applyBorder="1" applyAlignment="1">
      <alignment vertical="top" wrapText="1"/>
    </xf>
    <xf numFmtId="9" fontId="46" fillId="9" borderId="79" xfId="1" applyFont="1" applyFill="1" applyBorder="1" applyAlignment="1">
      <alignment vertical="center" wrapText="1"/>
    </xf>
    <xf numFmtId="9" fontId="106" fillId="9" borderId="79" xfId="1" applyNumberFormat="1" applyFont="1" applyFill="1" applyBorder="1" applyAlignment="1">
      <alignment vertical="top" wrapText="1"/>
    </xf>
    <xf numFmtId="1" fontId="54" fillId="9" borderId="79" xfId="0" applyNumberFormat="1" applyFont="1" applyFill="1" applyBorder="1" applyAlignment="1">
      <alignment horizontal="center" vertical="center" wrapText="1"/>
    </xf>
    <xf numFmtId="1" fontId="99" fillId="19" borderId="79" xfId="0" applyNumberFormat="1" applyFont="1" applyFill="1" applyBorder="1" applyAlignment="1">
      <alignment vertical="top" wrapText="1"/>
    </xf>
    <xf numFmtId="1" fontId="109" fillId="9" borderId="73" xfId="0" applyNumberFormat="1" applyFont="1" applyFill="1" applyBorder="1" applyAlignment="1">
      <alignment vertical="top" wrapText="1"/>
    </xf>
    <xf numFmtId="1" fontId="46" fillId="9" borderId="73" xfId="0" applyNumberFormat="1" applyFont="1" applyFill="1" applyBorder="1" applyAlignment="1">
      <alignment vertical="center" wrapText="1"/>
    </xf>
    <xf numFmtId="1" fontId="106" fillId="9" borderId="73" xfId="0" applyNumberFormat="1" applyFont="1" applyFill="1" applyBorder="1" applyAlignment="1">
      <alignment vertical="top" wrapText="1"/>
    </xf>
    <xf numFmtId="1" fontId="54" fillId="9" borderId="73" xfId="0" applyNumberFormat="1" applyFont="1" applyFill="1" applyBorder="1" applyAlignment="1">
      <alignment horizontal="center" vertical="center" wrapText="1"/>
    </xf>
    <xf numFmtId="1" fontId="99" fillId="19" borderId="73" xfId="0" applyNumberFormat="1" applyFont="1" applyFill="1" applyBorder="1" applyAlignment="1">
      <alignment vertical="top" wrapText="1"/>
    </xf>
    <xf numFmtId="9" fontId="46" fillId="9" borderId="93" xfId="1" applyFont="1" applyFill="1" applyBorder="1" applyAlignment="1">
      <alignment vertical="center" wrapText="1"/>
    </xf>
    <xf numFmtId="9" fontId="106" fillId="9" borderId="93" xfId="1" applyNumberFormat="1" applyFont="1" applyFill="1" applyBorder="1" applyAlignment="1">
      <alignment vertical="top" wrapText="1"/>
    </xf>
    <xf numFmtId="9" fontId="109" fillId="9" borderId="93" xfId="1" applyNumberFormat="1" applyFont="1" applyFill="1" applyBorder="1" applyAlignment="1">
      <alignment vertical="top" wrapText="1"/>
    </xf>
    <xf numFmtId="1" fontId="54" fillId="9" borderId="93" xfId="0" applyNumberFormat="1" applyFont="1" applyFill="1" applyBorder="1" applyAlignment="1">
      <alignment horizontal="center" vertical="center" wrapText="1"/>
    </xf>
    <xf numFmtId="9" fontId="99" fillId="9" borderId="94" xfId="0" applyNumberFormat="1" applyFont="1" applyFill="1" applyBorder="1" applyAlignment="1">
      <alignment vertical="top" wrapText="1"/>
    </xf>
    <xf numFmtId="1" fontId="99" fillId="5" borderId="72" xfId="0" applyNumberFormat="1" applyFont="1" applyFill="1" applyBorder="1" applyAlignment="1">
      <alignment horizontal="center" vertical="center" wrapText="1"/>
    </xf>
    <xf numFmtId="0" fontId="99" fillId="8" borderId="72" xfId="0" applyFont="1" applyFill="1" applyBorder="1" applyAlignment="1">
      <alignment horizontal="center" vertical="center" wrapText="1"/>
    </xf>
    <xf numFmtId="1" fontId="99" fillId="9" borderId="72" xfId="0" applyNumberFormat="1" applyFont="1" applyFill="1" applyBorder="1" applyAlignment="1">
      <alignment horizontal="center" vertical="center" wrapText="1"/>
    </xf>
    <xf numFmtId="0" fontId="69" fillId="45" borderId="0" xfId="0" applyFont="1" applyFill="1"/>
    <xf numFmtId="0" fontId="0" fillId="45" borderId="0" xfId="0" applyFill="1"/>
    <xf numFmtId="0" fontId="48" fillId="45" borderId="0" xfId="0" applyFont="1" applyFill="1"/>
    <xf numFmtId="1" fontId="44" fillId="0" borderId="0" xfId="0" applyNumberFormat="1" applyFont="1" applyFill="1" applyBorder="1" applyAlignment="1">
      <alignment wrapText="1"/>
    </xf>
    <xf numFmtId="0" fontId="44" fillId="0" borderId="0" xfId="0" applyFont="1" applyFill="1" applyAlignment="1">
      <alignment wrapText="1"/>
    </xf>
    <xf numFmtId="0" fontId="44" fillId="0" borderId="0" xfId="0" applyNumberFormat="1" applyFont="1" applyFill="1" applyAlignment="1">
      <alignment wrapText="1"/>
    </xf>
    <xf numFmtId="0" fontId="0" fillId="0" borderId="0" xfId="0"/>
    <xf numFmtId="14" fontId="36" fillId="3" borderId="2" xfId="0" applyNumberFormat="1" applyFont="1" applyFill="1" applyBorder="1" applyAlignment="1">
      <alignment horizontal="left" vertical="center" readingOrder="1"/>
    </xf>
    <xf numFmtId="0" fontId="0" fillId="0" borderId="0" xfId="0" pivotButton="1"/>
    <xf numFmtId="0" fontId="44" fillId="0" borderId="0" xfId="0" applyFont="1" applyFill="1"/>
    <xf numFmtId="0" fontId="0" fillId="0" borderId="0" xfId="0" applyFill="1"/>
    <xf numFmtId="1" fontId="59" fillId="0" borderId="0" xfId="0" applyNumberFormat="1" applyFont="1" applyFill="1" applyBorder="1" applyAlignment="1">
      <alignment horizontal="left" vertical="center" readingOrder="1"/>
    </xf>
    <xf numFmtId="0" fontId="69" fillId="0" borderId="0" xfId="0" pivotButton="1" applyFont="1"/>
    <xf numFmtId="0" fontId="48" fillId="0" borderId="0" xfId="0" applyFont="1" applyFill="1"/>
    <xf numFmtId="0" fontId="69" fillId="0" borderId="0" xfId="0" applyFont="1" applyBorder="1"/>
    <xf numFmtId="0" fontId="123" fillId="26" borderId="0" xfId="0" applyFont="1" applyFill="1"/>
    <xf numFmtId="164" fontId="69" fillId="0" borderId="0" xfId="0" applyNumberFormat="1" applyFont="1" applyFill="1"/>
    <xf numFmtId="1" fontId="99" fillId="19" borderId="0" xfId="0" applyNumberFormat="1" applyFont="1" applyFill="1" applyBorder="1" applyAlignment="1">
      <alignment vertical="top" wrapText="1"/>
    </xf>
    <xf numFmtId="0" fontId="28" fillId="0" borderId="0" xfId="0" pivotButton="1" applyFont="1"/>
    <xf numFmtId="0" fontId="28" fillId="0" borderId="0" xfId="0" pivotButton="1" applyFont="1" applyAlignment="1">
      <alignment wrapText="1"/>
    </xf>
    <xf numFmtId="0" fontId="125" fillId="0" borderId="0" xfId="0" applyFont="1" applyAlignment="1">
      <alignment wrapText="1"/>
    </xf>
    <xf numFmtId="0" fontId="126" fillId="40" borderId="0" xfId="0" applyFont="1" applyFill="1" applyAlignment="1">
      <alignment wrapText="1"/>
    </xf>
    <xf numFmtId="0" fontId="126" fillId="40" borderId="0" xfId="0" applyFont="1" applyFill="1" applyAlignment="1"/>
    <xf numFmtId="0" fontId="26" fillId="0" borderId="0" xfId="0" applyFont="1" applyFill="1"/>
    <xf numFmtId="0" fontId="82" fillId="0" borderId="0" xfId="0" applyFont="1" applyFill="1"/>
    <xf numFmtId="0" fontId="81" fillId="0" borderId="0" xfId="0" applyFont="1" applyFill="1" applyAlignment="1">
      <alignment wrapText="1"/>
    </xf>
    <xf numFmtId="0" fontId="126" fillId="0" borderId="0" xfId="0" applyFont="1" applyFill="1" applyAlignment="1">
      <alignment wrapText="1"/>
    </xf>
    <xf numFmtId="0" fontId="46" fillId="8" borderId="72" xfId="0" applyFont="1" applyFill="1" applyBorder="1" applyAlignment="1">
      <alignment horizontal="center" vertical="center" wrapText="1"/>
    </xf>
    <xf numFmtId="0" fontId="127" fillId="39" borderId="54" xfId="0" applyFont="1" applyFill="1" applyBorder="1"/>
    <xf numFmtId="0" fontId="74" fillId="0" borderId="0" xfId="0" applyFont="1" applyFill="1"/>
    <xf numFmtId="0" fontId="74" fillId="0" borderId="0" xfId="0" applyNumberFormat="1" applyFont="1" applyFill="1" applyBorder="1"/>
    <xf numFmtId="0" fontId="41" fillId="0" borderId="35" xfId="0" applyFont="1" applyBorder="1" applyAlignment="1">
      <alignment horizontal="center" vertical="center" wrapText="1"/>
    </xf>
    <xf numFmtId="0" fontId="41" fillId="0" borderId="36" xfId="0" applyFont="1" applyBorder="1" applyAlignment="1">
      <alignment horizontal="center" vertical="center" wrapText="1"/>
    </xf>
    <xf numFmtId="0" fontId="28" fillId="0" borderId="0" xfId="0" pivotButton="1" applyNumberFormat="1" applyFont="1" applyFill="1" applyBorder="1"/>
    <xf numFmtId="0" fontId="28" fillId="0" borderId="0" xfId="0" applyFont="1" applyAlignment="1">
      <alignment horizontal="center" vertical="center" wrapText="1"/>
    </xf>
    <xf numFmtId="0" fontId="41" fillId="0" borderId="33" xfId="0" applyFont="1" applyBorder="1" applyAlignment="1">
      <alignment horizontal="center" vertical="center" wrapText="1"/>
    </xf>
    <xf numFmtId="0" fontId="82" fillId="0" borderId="0" xfId="0" applyFont="1" applyAlignment="1">
      <alignment horizontal="center" vertical="center" wrapText="1"/>
    </xf>
    <xf numFmtId="14" fontId="36" fillId="3" borderId="0" xfId="0" applyNumberFormat="1" applyFont="1" applyFill="1" applyBorder="1" applyAlignment="1">
      <alignment horizontal="left" vertical="center" readingOrder="1"/>
    </xf>
    <xf numFmtId="1" fontId="44" fillId="0" borderId="23" xfId="0" applyNumberFormat="1" applyFont="1" applyFill="1" applyBorder="1"/>
    <xf numFmtId="0" fontId="87" fillId="0" borderId="0" xfId="0" pivotButton="1" applyFont="1"/>
    <xf numFmtId="1" fontId="54" fillId="9" borderId="0" xfId="0" applyNumberFormat="1" applyFont="1" applyFill="1" applyBorder="1" applyAlignment="1">
      <alignment horizontal="center" vertical="center" wrapText="1"/>
    </xf>
    <xf numFmtId="166" fontId="25" fillId="20" borderId="0" xfId="8" applyFont="1" applyFill="1" applyBorder="1"/>
    <xf numFmtId="0" fontId="129" fillId="0" borderId="0" xfId="0" applyFont="1" applyAlignment="1">
      <alignment horizontal="left"/>
    </xf>
    <xf numFmtId="9" fontId="129" fillId="0" borderId="0" xfId="0" applyNumberFormat="1" applyFont="1"/>
    <xf numFmtId="0" fontId="24" fillId="0" borderId="0" xfId="0" applyFont="1"/>
    <xf numFmtId="0" fontId="24" fillId="0" borderId="0" xfId="0" applyFont="1" applyAlignment="1">
      <alignment horizontal="left"/>
    </xf>
    <xf numFmtId="0" fontId="41" fillId="0" borderId="33" xfId="0" applyFont="1" applyBorder="1" applyAlignment="1">
      <alignment horizontal="left"/>
    </xf>
    <xf numFmtId="0" fontId="41" fillId="0" borderId="35" xfId="0" applyFont="1" applyBorder="1" applyAlignment="1">
      <alignment wrapText="1"/>
    </xf>
    <xf numFmtId="0" fontId="41" fillId="0" borderId="35" xfId="0" applyFont="1" applyBorder="1"/>
    <xf numFmtId="0" fontId="41" fillId="0" borderId="36" xfId="0" applyFont="1" applyBorder="1"/>
    <xf numFmtId="0" fontId="83" fillId="0" borderId="38" xfId="0" applyNumberFormat="1" applyFont="1" applyBorder="1"/>
    <xf numFmtId="0" fontId="83" fillId="0" borderId="39" xfId="0" applyNumberFormat="1" applyFont="1" applyBorder="1"/>
    <xf numFmtId="0" fontId="23" fillId="14" borderId="0" xfId="0" applyFont="1" applyFill="1" applyAlignment="1">
      <alignment horizontal="left"/>
    </xf>
    <xf numFmtId="164" fontId="23" fillId="14" borderId="0" xfId="0" applyNumberFormat="1" applyFont="1" applyFill="1"/>
    <xf numFmtId="9" fontId="23" fillId="14" borderId="0" xfId="0" applyNumberFormat="1" applyFont="1" applyFill="1"/>
    <xf numFmtId="0" fontId="80" fillId="0" borderId="0" xfId="0" applyFont="1" applyFill="1"/>
    <xf numFmtId="0" fontId="81" fillId="0" borderId="0" xfId="0" applyFont="1" applyFill="1"/>
    <xf numFmtId="0" fontId="23" fillId="0" borderId="0" xfId="0" applyFont="1" applyFill="1" applyAlignment="1">
      <alignment horizontal="left"/>
    </xf>
    <xf numFmtId="0" fontId="0" fillId="0" borderId="0" xfId="0" applyNumberFormat="1"/>
    <xf numFmtId="0" fontId="0" fillId="0" borderId="0" xfId="0"/>
    <xf numFmtId="14" fontId="36" fillId="3" borderId="2" xfId="0" applyNumberFormat="1" applyFont="1" applyFill="1" applyBorder="1" applyAlignment="1">
      <alignment horizontal="left" vertical="center" readingOrder="1"/>
    </xf>
    <xf numFmtId="0" fontId="36" fillId="0" borderId="0" xfId="0" applyFont="1" applyFill="1" applyBorder="1" applyAlignment="1">
      <alignment horizontal="left" vertical="center" readingOrder="1"/>
    </xf>
    <xf numFmtId="9" fontId="36" fillId="0" borderId="0" xfId="1" applyFont="1" applyFill="1" applyAlignment="1">
      <alignment horizontal="left" vertical="center" readingOrder="1"/>
    </xf>
    <xf numFmtId="1" fontId="36" fillId="0" borderId="0" xfId="1" applyNumberFormat="1" applyFont="1" applyFill="1" applyAlignment="1">
      <alignment horizontal="left" vertical="center" readingOrder="1"/>
    </xf>
    <xf numFmtId="0" fontId="36" fillId="0" borderId="0" xfId="1" applyNumberFormat="1" applyFont="1" applyFill="1" applyAlignment="1">
      <alignment horizontal="left" vertical="center" readingOrder="1"/>
    </xf>
    <xf numFmtId="0" fontId="0" fillId="0" borderId="0" xfId="0" pivotButton="1"/>
    <xf numFmtId="0" fontId="44" fillId="0" borderId="0" xfId="0" applyFont="1" applyFill="1"/>
    <xf numFmtId="1" fontId="36" fillId="0" borderId="0" xfId="0" applyNumberFormat="1" applyFont="1" applyFill="1" applyAlignment="1">
      <alignment horizontal="left" vertical="center" readingOrder="1"/>
    </xf>
    <xf numFmtId="0" fontId="44" fillId="0" borderId="0" xfId="0" applyFont="1" applyFill="1" applyBorder="1"/>
    <xf numFmtId="0" fontId="74" fillId="0" borderId="0" xfId="0" applyNumberFormat="1" applyFont="1" applyFill="1"/>
    <xf numFmtId="0" fontId="44" fillId="0" borderId="0" xfId="0" applyNumberFormat="1" applyFont="1" applyFill="1"/>
    <xf numFmtId="1" fontId="44" fillId="0" borderId="0" xfId="0" applyNumberFormat="1" applyFont="1" applyFill="1"/>
    <xf numFmtId="0" fontId="44" fillId="0" borderId="0" xfId="0" applyFont="1" applyFill="1" applyAlignment="1">
      <alignment wrapText="1" readingOrder="1"/>
    </xf>
    <xf numFmtId="0" fontId="44" fillId="0" borderId="17" xfId="0" applyFont="1" applyFill="1" applyBorder="1"/>
    <xf numFmtId="0" fontId="44" fillId="0" borderId="0" xfId="0" applyNumberFormat="1" applyFont="1" applyFill="1" applyBorder="1"/>
    <xf numFmtId="1" fontId="44" fillId="0" borderId="0" xfId="0" applyNumberFormat="1" applyFont="1" applyFill="1" applyBorder="1"/>
    <xf numFmtId="0" fontId="44" fillId="0" borderId="0" xfId="0" applyFont="1" applyFill="1" applyBorder="1" applyAlignment="1">
      <alignment wrapText="1" readingOrder="1"/>
    </xf>
    <xf numFmtId="0" fontId="0" fillId="0" borderId="0" xfId="0" applyFill="1"/>
    <xf numFmtId="0" fontId="44" fillId="0" borderId="0" xfId="0" applyNumberFormat="1" applyFont="1" applyFill="1" applyAlignment="1">
      <alignment wrapText="1" readingOrder="1"/>
    </xf>
    <xf numFmtId="0" fontId="44" fillId="0" borderId="0" xfId="0" applyNumberFormat="1" applyFont="1" applyFill="1" applyBorder="1" applyAlignment="1">
      <alignment wrapText="1" readingOrder="1"/>
    </xf>
    <xf numFmtId="0" fontId="59" fillId="0" borderId="0" xfId="0" applyFont="1" applyFill="1" applyBorder="1" applyAlignment="1">
      <alignment horizontal="left" vertical="center" readingOrder="1"/>
    </xf>
    <xf numFmtId="0" fontId="44" fillId="0" borderId="24" xfId="0" applyFont="1" applyFill="1" applyBorder="1"/>
    <xf numFmtId="0" fontId="44" fillId="0" borderId="23" xfId="0" applyFont="1" applyFill="1" applyBorder="1"/>
    <xf numFmtId="165" fontId="44" fillId="0" borderId="0" xfId="0" applyNumberFormat="1" applyFont="1" applyFill="1"/>
    <xf numFmtId="165" fontId="44" fillId="0" borderId="0" xfId="0" applyNumberFormat="1" applyFont="1" applyFill="1" applyBorder="1"/>
    <xf numFmtId="0" fontId="44" fillId="0" borderId="23" xfId="0" applyNumberFormat="1" applyFont="1" applyFill="1" applyBorder="1"/>
    <xf numFmtId="49" fontId="93" fillId="0" borderId="0" xfId="0" applyNumberFormat="1" applyFont="1" applyFill="1" applyBorder="1" applyAlignment="1">
      <alignment horizontal="left" vertical="center"/>
    </xf>
    <xf numFmtId="164" fontId="36" fillId="0" borderId="0" xfId="4" applyNumberFormat="1" applyFont="1" applyFill="1" applyAlignment="1">
      <alignment horizontal="left" vertical="center" readingOrder="1"/>
    </xf>
    <xf numFmtId="0" fontId="83" fillId="0" borderId="40" xfId="0" applyNumberFormat="1" applyFont="1" applyBorder="1"/>
    <xf numFmtId="0" fontId="41" fillId="0" borderId="95" xfId="0" applyNumberFormat="1" applyFont="1" applyBorder="1"/>
    <xf numFmtId="0" fontId="41" fillId="0" borderId="33" xfId="0" applyFont="1" applyBorder="1" applyAlignment="1">
      <alignment wrapText="1"/>
    </xf>
    <xf numFmtId="0" fontId="130" fillId="0" borderId="0" xfId="0" applyFont="1"/>
    <xf numFmtId="1" fontId="44" fillId="42" borderId="0" xfId="0" applyNumberFormat="1" applyFont="1" applyFill="1" applyBorder="1"/>
    <xf numFmtId="0" fontId="0" fillId="0" borderId="0" xfId="0" applyNumberFormat="1" applyFill="1"/>
    <xf numFmtId="0" fontId="36" fillId="0" borderId="23" xfId="42" applyFont="1" applyFill="1" applyBorder="1" applyAlignment="1">
      <alignment horizontal="left" vertical="center" readingOrder="1"/>
    </xf>
    <xf numFmtId="0" fontId="69" fillId="32" borderId="0" xfId="0" applyFont="1" applyFill="1" applyAlignment="1">
      <alignment vertical="center"/>
    </xf>
    <xf numFmtId="0" fontId="21" fillId="0" borderId="0" xfId="0" applyFont="1"/>
    <xf numFmtId="0" fontId="136" fillId="0" borderId="0" xfId="21" applyFont="1" applyAlignment="1">
      <alignment horizontal="left" vertical="center"/>
    </xf>
    <xf numFmtId="0" fontId="136" fillId="43" borderId="62" xfId="21" applyFont="1" applyFill="1" applyBorder="1" applyAlignment="1">
      <alignment horizontal="left" vertical="center"/>
    </xf>
    <xf numFmtId="0" fontId="136" fillId="26" borderId="62" xfId="21" applyFont="1" applyFill="1" applyBorder="1" applyAlignment="1">
      <alignment horizontal="left" vertical="center" wrapText="1"/>
    </xf>
    <xf numFmtId="0" fontId="136" fillId="43" borderId="63" xfId="21" applyFont="1" applyFill="1" applyBorder="1" applyAlignment="1">
      <alignment horizontal="left" vertical="center"/>
    </xf>
    <xf numFmtId="0" fontId="136" fillId="43" borderId="65" xfId="21" applyFont="1" applyFill="1" applyBorder="1" applyAlignment="1">
      <alignment horizontal="left" vertical="center"/>
    </xf>
    <xf numFmtId="0" fontId="137" fillId="0" borderId="0" xfId="0" applyFont="1"/>
    <xf numFmtId="0" fontId="88" fillId="26" borderId="58" xfId="0" applyFont="1" applyFill="1" applyBorder="1" applyAlignment="1">
      <alignment wrapText="1"/>
    </xf>
    <xf numFmtId="0" fontId="69" fillId="0" borderId="0" xfId="0" applyFont="1" applyFill="1" applyBorder="1" applyAlignment="1">
      <alignment wrapText="1"/>
    </xf>
    <xf numFmtId="0" fontId="0" fillId="0" borderId="0" xfId="0" applyAlignment="1">
      <alignment wrapText="1"/>
    </xf>
    <xf numFmtId="0" fontId="0" fillId="0" borderId="22" xfId="0" applyBorder="1" applyAlignment="1">
      <alignment wrapText="1"/>
    </xf>
    <xf numFmtId="0" fontId="69" fillId="0" borderId="22" xfId="0" applyFont="1" applyBorder="1" applyAlignment="1">
      <alignment wrapText="1"/>
    </xf>
    <xf numFmtId="0" fontId="0" fillId="37" borderId="22" xfId="0" applyFill="1" applyBorder="1" applyAlignment="1">
      <alignment wrapText="1"/>
    </xf>
    <xf numFmtId="164" fontId="75" fillId="14" borderId="22" xfId="4" applyNumberFormat="1" applyFont="1" applyFill="1" applyBorder="1" applyAlignment="1">
      <alignment vertical="center" wrapText="1"/>
    </xf>
    <xf numFmtId="9" fontId="82" fillId="0" borderId="0" xfId="1" applyFont="1"/>
    <xf numFmtId="0" fontId="85" fillId="48" borderId="0" xfId="0" applyFont="1" applyFill="1" applyBorder="1" applyAlignment="1">
      <alignment wrapText="1"/>
    </xf>
    <xf numFmtId="0" fontId="85" fillId="48" borderId="97" xfId="0" applyFont="1" applyFill="1" applyBorder="1" applyAlignment="1">
      <alignment wrapText="1"/>
    </xf>
    <xf numFmtId="0" fontId="0" fillId="0" borderId="98" xfId="0" applyFont="1" applyBorder="1" applyAlignment="1">
      <alignment wrapText="1"/>
    </xf>
    <xf numFmtId="0" fontId="85" fillId="39" borderId="99" xfId="0" applyFont="1" applyFill="1" applyBorder="1" applyAlignment="1">
      <alignment wrapText="1"/>
    </xf>
    <xf numFmtId="0" fontId="0" fillId="0" borderId="51" xfId="0" applyFont="1" applyBorder="1" applyAlignment="1">
      <alignment wrapText="1"/>
    </xf>
    <xf numFmtId="0" fontId="85" fillId="50" borderId="102" xfId="0" applyFont="1" applyFill="1" applyBorder="1" applyAlignment="1">
      <alignment wrapText="1"/>
    </xf>
    <xf numFmtId="0" fontId="85" fillId="51" borderId="103" xfId="0" applyFont="1" applyFill="1" applyBorder="1" applyAlignment="1">
      <alignment wrapText="1"/>
    </xf>
    <xf numFmtId="0" fontId="0" fillId="0" borderId="104" xfId="0" applyFont="1" applyBorder="1" applyAlignment="1">
      <alignment horizontal="left" vertical="center" wrapText="1"/>
    </xf>
    <xf numFmtId="0" fontId="74" fillId="42" borderId="0" xfId="0" applyFont="1" applyFill="1"/>
    <xf numFmtId="0" fontId="93" fillId="0" borderId="0" xfId="0" applyFont="1" applyFill="1" applyAlignment="1">
      <alignment horizontal="left" vertical="center" wrapText="1"/>
    </xf>
    <xf numFmtId="1" fontId="74" fillId="0" borderId="0" xfId="0" applyNumberFormat="1" applyFont="1" applyFill="1" applyBorder="1" applyAlignment="1">
      <alignment horizontal="left" vertical="center"/>
    </xf>
    <xf numFmtId="0" fontId="93" fillId="0" borderId="0" xfId="0" applyFont="1" applyFill="1" applyAlignment="1">
      <alignment horizontal="left" vertical="center"/>
    </xf>
    <xf numFmtId="1" fontId="65" fillId="7" borderId="62" xfId="18" applyNumberFormat="1" applyFont="1" applyFill="1" applyBorder="1" applyAlignment="1">
      <alignment horizontal="left" vertical="center" wrapText="1" readingOrder="1"/>
    </xf>
    <xf numFmtId="9" fontId="43" fillId="34" borderId="65" xfId="18" applyNumberFormat="1" applyFont="1" applyFill="1" applyBorder="1" applyAlignment="1">
      <alignment horizontal="left" vertical="center" wrapText="1" readingOrder="1"/>
    </xf>
    <xf numFmtId="9" fontId="43" fillId="52" borderId="65" xfId="18" applyNumberFormat="1" applyFont="1" applyFill="1" applyBorder="1" applyAlignment="1">
      <alignment horizontal="left" vertical="center" wrapText="1" readingOrder="1"/>
    </xf>
    <xf numFmtId="9" fontId="68" fillId="34" borderId="14" xfId="18" applyNumberFormat="1" applyFont="1" applyFill="1" applyBorder="1" applyAlignment="1">
      <alignment horizontal="left" vertical="center" wrapText="1" readingOrder="1"/>
    </xf>
    <xf numFmtId="9" fontId="121" fillId="16" borderId="65" xfId="18" applyNumberFormat="1" applyFont="1" applyFill="1" applyBorder="1" applyAlignment="1">
      <alignment horizontal="center" vertical="center" wrapText="1" readingOrder="1"/>
    </xf>
    <xf numFmtId="9" fontId="139" fillId="34" borderId="65" xfId="18" applyNumberFormat="1" applyFont="1" applyFill="1" applyBorder="1" applyAlignment="1">
      <alignment horizontal="left" vertical="center" wrapText="1" readingOrder="1"/>
    </xf>
    <xf numFmtId="0" fontId="0" fillId="0" borderId="0" xfId="0" applyAlignment="1">
      <alignment horizontal="left"/>
    </xf>
    <xf numFmtId="0" fontId="142" fillId="0" borderId="0" xfId="0" applyFont="1"/>
    <xf numFmtId="0" fontId="143" fillId="0" borderId="0" xfId="0" applyFont="1"/>
    <xf numFmtId="0" fontId="20" fillId="0" borderId="0" xfId="0" applyFont="1"/>
    <xf numFmtId="0" fontId="78" fillId="16" borderId="0" xfId="0" applyFont="1" applyFill="1"/>
    <xf numFmtId="0" fontId="41" fillId="16" borderId="0" xfId="0" applyFont="1" applyFill="1"/>
    <xf numFmtId="0" fontId="19" fillId="0" borderId="0" xfId="0" applyFont="1"/>
    <xf numFmtId="0" fontId="82" fillId="0" borderId="0" xfId="0" pivotButton="1" applyFont="1"/>
    <xf numFmtId="0" fontId="85" fillId="49" borderId="100" xfId="0" applyFont="1" applyFill="1" applyBorder="1"/>
    <xf numFmtId="0" fontId="85" fillId="49" borderId="101" xfId="0" applyFont="1" applyFill="1" applyBorder="1"/>
    <xf numFmtId="0" fontId="85" fillId="39" borderId="99" xfId="0" applyFont="1" applyFill="1" applyBorder="1" applyAlignment="1"/>
    <xf numFmtId="1" fontId="46" fillId="9" borderId="0" xfId="0" applyNumberFormat="1" applyFont="1" applyFill="1" applyBorder="1" applyAlignment="1">
      <alignment vertical="center" wrapText="1"/>
    </xf>
    <xf numFmtId="1" fontId="106" fillId="9" borderId="0" xfId="0" applyNumberFormat="1" applyFont="1" applyFill="1" applyBorder="1" applyAlignment="1">
      <alignment vertical="top" wrapText="1"/>
    </xf>
    <xf numFmtId="0" fontId="145" fillId="0" borderId="0" xfId="0" applyFont="1"/>
    <xf numFmtId="0" fontId="85" fillId="53" borderId="105" xfId="0" applyFont="1" applyFill="1" applyBorder="1"/>
    <xf numFmtId="0" fontId="85" fillId="53" borderId="106" xfId="0" applyFont="1" applyFill="1" applyBorder="1"/>
    <xf numFmtId="0" fontId="146" fillId="0" borderId="0" xfId="0" applyFont="1"/>
    <xf numFmtId="164" fontId="146" fillId="0" borderId="0" xfId="0" applyNumberFormat="1" applyFont="1"/>
    <xf numFmtId="9" fontId="146" fillId="0" borderId="0" xfId="0" applyNumberFormat="1" applyFont="1"/>
    <xf numFmtId="3" fontId="146" fillId="0" borderId="0" xfId="0" applyNumberFormat="1" applyFont="1"/>
    <xf numFmtId="0" fontId="18" fillId="19" borderId="0" xfId="0" applyFont="1" applyFill="1"/>
    <xf numFmtId="0" fontId="18" fillId="0" borderId="0" xfId="0" applyFont="1"/>
    <xf numFmtId="0" fontId="17" fillId="19" borderId="0" xfId="0" applyFont="1" applyFill="1"/>
    <xf numFmtId="0" fontId="45" fillId="42" borderId="0" xfId="21" applyFont="1" applyFill="1" applyAlignment="1">
      <alignment horizontal="left" vertical="center" indent="1" readingOrder="1"/>
    </xf>
    <xf numFmtId="0" fontId="43" fillId="17" borderId="0" xfId="18" applyFont="1" applyFill="1" applyAlignment="1">
      <alignment horizontal="left" vertical="center"/>
    </xf>
    <xf numFmtId="0" fontId="117" fillId="0" borderId="0" xfId="18" applyFont="1" applyAlignment="1">
      <alignment horizontal="left" vertical="center" textRotation="90"/>
    </xf>
    <xf numFmtId="0" fontId="45" fillId="16" borderId="62" xfId="21" applyFont="1" applyFill="1" applyBorder="1" applyAlignment="1">
      <alignment horizontal="center" vertical="center" textRotation="90" wrapText="1"/>
    </xf>
    <xf numFmtId="0" fontId="43" fillId="0" borderId="0" xfId="21" applyFont="1" applyAlignment="1">
      <alignment horizontal="left" vertical="center" textRotation="90"/>
    </xf>
    <xf numFmtId="0" fontId="45" fillId="42" borderId="0" xfId="21" applyFont="1" applyFill="1" applyAlignment="1">
      <alignment horizontal="center" vertical="center" readingOrder="1"/>
    </xf>
    <xf numFmtId="14" fontId="148" fillId="17" borderId="62" xfId="18" applyNumberFormat="1" applyFont="1" applyFill="1" applyBorder="1" applyAlignment="1">
      <alignment horizontal="center" vertical="center" wrapText="1"/>
    </xf>
    <xf numFmtId="14" fontId="148" fillId="7" borderId="62" xfId="18" applyNumberFormat="1" applyFont="1" applyFill="1" applyBorder="1" applyAlignment="1">
      <alignment horizontal="center" vertical="center" wrapText="1"/>
    </xf>
    <xf numFmtId="14" fontId="148" fillId="27" borderId="62" xfId="18" applyNumberFormat="1" applyFont="1" applyFill="1" applyBorder="1" applyAlignment="1">
      <alignment horizontal="center" vertical="center" wrapText="1"/>
    </xf>
    <xf numFmtId="14" fontId="148" fillId="22" borderId="62" xfId="18" applyNumberFormat="1" applyFont="1" applyFill="1" applyBorder="1" applyAlignment="1">
      <alignment horizontal="center" vertical="center" wrapText="1"/>
    </xf>
    <xf numFmtId="14" fontId="148" fillId="17" borderId="67" xfId="18" applyNumberFormat="1" applyFont="1" applyFill="1" applyBorder="1" applyAlignment="1">
      <alignment horizontal="center" vertical="center" wrapText="1"/>
    </xf>
    <xf numFmtId="9" fontId="105" fillId="34" borderId="65" xfId="18" applyNumberFormat="1" applyFont="1" applyFill="1" applyBorder="1" applyAlignment="1">
      <alignment horizontal="center" vertical="center" wrapText="1" readingOrder="1"/>
    </xf>
    <xf numFmtId="9" fontId="43" fillId="42" borderId="65" xfId="18" applyNumberFormat="1" applyFont="1" applyFill="1" applyBorder="1" applyAlignment="1">
      <alignment horizontal="left" vertical="center" wrapText="1" readingOrder="1"/>
    </xf>
    <xf numFmtId="0" fontId="38" fillId="34" borderId="4" xfId="21" applyFont="1" applyFill="1" applyBorder="1" applyAlignment="1">
      <alignment vertical="top" wrapText="1"/>
    </xf>
    <xf numFmtId="0" fontId="38" fillId="42" borderId="4" xfId="21" applyFont="1" applyFill="1" applyBorder="1" applyAlignment="1">
      <alignment vertical="top" wrapText="1"/>
    </xf>
    <xf numFmtId="0" fontId="45" fillId="7" borderId="62" xfId="18" applyFont="1" applyFill="1" applyBorder="1" applyAlignment="1">
      <alignment horizontal="left" vertical="center" wrapText="1" readingOrder="1"/>
    </xf>
    <xf numFmtId="0" fontId="43" fillId="18" borderId="62" xfId="18" applyFont="1" applyFill="1" applyBorder="1" applyAlignment="1">
      <alignment horizontal="center" vertical="center" wrapText="1" readingOrder="1"/>
    </xf>
    <xf numFmtId="1" fontId="43" fillId="18" borderId="62" xfId="18" applyNumberFormat="1" applyFont="1" applyFill="1" applyBorder="1" applyAlignment="1">
      <alignment horizontal="center" vertical="center" wrapText="1" readingOrder="1"/>
    </xf>
    <xf numFmtId="9" fontId="43" fillId="18" borderId="62" xfId="18" applyNumberFormat="1" applyFont="1" applyFill="1" applyBorder="1" applyAlignment="1">
      <alignment horizontal="center" vertical="center" wrapText="1" readingOrder="1"/>
    </xf>
    <xf numFmtId="14" fontId="43" fillId="18" borderId="62" xfId="18" applyNumberFormat="1" applyFont="1" applyFill="1" applyBorder="1" applyAlignment="1">
      <alignment horizontal="center" vertical="center" wrapText="1" readingOrder="1"/>
    </xf>
    <xf numFmtId="1" fontId="43" fillId="7" borderId="62" xfId="18" applyNumberFormat="1" applyFont="1" applyFill="1" applyBorder="1" applyAlignment="1">
      <alignment horizontal="center" vertical="center" wrapText="1" readingOrder="1"/>
    </xf>
    <xf numFmtId="1" fontId="43" fillId="7" borderId="62" xfId="19" applyNumberFormat="1" applyFont="1" applyFill="1" applyBorder="1" applyAlignment="1">
      <alignment horizontal="center" vertical="center" wrapText="1" readingOrder="1"/>
    </xf>
    <xf numFmtId="14" fontId="43" fillId="7" borderId="62" xfId="18" applyNumberFormat="1" applyFont="1" applyFill="1" applyBorder="1" applyAlignment="1">
      <alignment horizontal="center" vertical="center" wrapText="1"/>
    </xf>
    <xf numFmtId="0" fontId="43" fillId="7" borderId="62" xfId="18" applyFont="1" applyFill="1" applyBorder="1" applyAlignment="1">
      <alignment horizontal="center" vertical="center" wrapText="1"/>
    </xf>
    <xf numFmtId="0" fontId="43" fillId="7" borderId="62" xfId="18" applyFont="1" applyFill="1" applyBorder="1" applyAlignment="1">
      <alignment horizontal="center" vertical="center" wrapText="1" readingOrder="1"/>
    </xf>
    <xf numFmtId="0" fontId="45" fillId="7" borderId="62" xfId="18" applyFont="1" applyFill="1" applyBorder="1" applyAlignment="1">
      <alignment horizontal="center" vertical="center" wrapText="1" readingOrder="1"/>
    </xf>
    <xf numFmtId="0" fontId="43" fillId="11" borderId="62" xfId="19" applyNumberFormat="1" applyFont="1" applyFill="1" applyBorder="1" applyAlignment="1">
      <alignment horizontal="center" vertical="center" wrapText="1" readingOrder="1"/>
    </xf>
    <xf numFmtId="1" fontId="43" fillId="11" borderId="62" xfId="18" applyNumberFormat="1" applyFont="1" applyFill="1" applyBorder="1" applyAlignment="1">
      <alignment horizontal="center" vertical="center" wrapText="1" readingOrder="1"/>
    </xf>
    <xf numFmtId="9" fontId="43" fillId="11" borderId="62" xfId="18" applyNumberFormat="1" applyFont="1" applyFill="1" applyBorder="1" applyAlignment="1">
      <alignment horizontal="center" vertical="center" wrapText="1" readingOrder="1"/>
    </xf>
    <xf numFmtId="9" fontId="43" fillId="11" borderId="65" xfId="18" applyNumberFormat="1" applyFont="1" applyFill="1" applyBorder="1" applyAlignment="1">
      <alignment horizontal="center" vertical="center" wrapText="1" readingOrder="1"/>
    </xf>
    <xf numFmtId="9" fontId="43" fillId="34" borderId="65" xfId="18" applyNumberFormat="1" applyFont="1" applyFill="1" applyBorder="1" applyAlignment="1">
      <alignment horizontal="center" vertical="center" wrapText="1" readingOrder="1"/>
    </xf>
    <xf numFmtId="9" fontId="43" fillId="52" borderId="65" xfId="18" applyNumberFormat="1" applyFont="1" applyFill="1" applyBorder="1" applyAlignment="1">
      <alignment horizontal="center" vertical="center" wrapText="1" readingOrder="1"/>
    </xf>
    <xf numFmtId="0" fontId="120" fillId="18" borderId="62" xfId="18" applyFont="1" applyFill="1" applyBorder="1" applyAlignment="1">
      <alignment horizontal="center" vertical="center" wrapText="1" readingOrder="1"/>
    </xf>
    <xf numFmtId="1" fontId="120" fillId="18" borderId="62" xfId="18" applyNumberFormat="1" applyFont="1" applyFill="1" applyBorder="1" applyAlignment="1">
      <alignment horizontal="center" vertical="center" wrapText="1" readingOrder="1"/>
    </xf>
    <xf numFmtId="1" fontId="149" fillId="18" borderId="62" xfId="18" applyNumberFormat="1" applyFont="1" applyFill="1" applyBorder="1" applyAlignment="1">
      <alignment horizontal="center" vertical="center" wrapText="1" readingOrder="1"/>
    </xf>
    <xf numFmtId="1" fontId="120" fillId="7" borderId="62" xfId="18" applyNumberFormat="1" applyFont="1" applyFill="1" applyBorder="1" applyAlignment="1">
      <alignment horizontal="center" vertical="center" wrapText="1" readingOrder="1"/>
    </xf>
    <xf numFmtId="14" fontId="120" fillId="7" borderId="62" xfId="18" applyNumberFormat="1" applyFont="1" applyFill="1" applyBorder="1" applyAlignment="1">
      <alignment horizontal="center" vertical="center" wrapText="1" readingOrder="1"/>
    </xf>
    <xf numFmtId="0" fontId="120" fillId="11" borderId="62" xfId="19" applyNumberFormat="1" applyFont="1" applyFill="1" applyBorder="1" applyAlignment="1">
      <alignment horizontal="center" vertical="center" wrapText="1" readingOrder="1"/>
    </xf>
    <xf numFmtId="1" fontId="120" fillId="11" borderId="62" xfId="18" applyNumberFormat="1" applyFont="1" applyFill="1" applyBorder="1" applyAlignment="1">
      <alignment horizontal="center" vertical="center" wrapText="1" readingOrder="1"/>
    </xf>
    <xf numFmtId="0" fontId="106" fillId="8" borderId="72" xfId="0" applyFont="1" applyFill="1" applyBorder="1" applyAlignment="1">
      <alignment horizontal="center" vertical="center" wrapText="1"/>
    </xf>
    <xf numFmtId="1" fontId="106" fillId="9" borderId="72" xfId="0" applyNumberFormat="1" applyFont="1" applyFill="1" applyBorder="1" applyAlignment="1">
      <alignment horizontal="center" vertical="center"/>
    </xf>
    <xf numFmtId="1" fontId="150" fillId="9" borderId="72" xfId="0" applyNumberFormat="1" applyFont="1" applyFill="1" applyBorder="1" applyAlignment="1">
      <alignment horizontal="center" vertical="center"/>
    </xf>
    <xf numFmtId="0" fontId="46" fillId="8" borderId="79" xfId="0" applyFont="1" applyFill="1" applyBorder="1" applyAlignment="1">
      <alignment horizontal="center" vertical="center" wrapText="1"/>
    </xf>
    <xf numFmtId="0" fontId="45" fillId="2" borderId="62" xfId="21" applyFont="1" applyFill="1" applyBorder="1" applyAlignment="1">
      <alignment horizontal="left" vertical="center" indent="1" readingOrder="1"/>
    </xf>
    <xf numFmtId="0" fontId="43" fillId="0" borderId="62" xfId="18" applyFont="1" applyBorder="1" applyAlignment="1">
      <alignment horizontal="left" vertical="center" wrapText="1"/>
    </xf>
    <xf numFmtId="0" fontId="45" fillId="14" borderId="62" xfId="21" applyFont="1" applyFill="1" applyBorder="1" applyAlignment="1">
      <alignment horizontal="left" vertical="center" indent="1" readingOrder="1"/>
    </xf>
    <xf numFmtId="0" fontId="136" fillId="14" borderId="62" xfId="21" applyFont="1" applyFill="1" applyBorder="1" applyAlignment="1">
      <alignment horizontal="left" vertical="center" wrapText="1"/>
    </xf>
    <xf numFmtId="9" fontId="43" fillId="18" borderId="62" xfId="19" applyFont="1" applyFill="1" applyBorder="1" applyAlignment="1">
      <alignment horizontal="left" vertical="center" wrapText="1" readingOrder="1"/>
    </xf>
    <xf numFmtId="0" fontId="45" fillId="38" borderId="62" xfId="21" applyFont="1" applyFill="1" applyBorder="1" applyAlignment="1">
      <alignment horizontal="left" vertical="center" indent="1" readingOrder="1"/>
    </xf>
    <xf numFmtId="0" fontId="136" fillId="8" borderId="62" xfId="21" applyFont="1" applyFill="1" applyBorder="1" applyAlignment="1">
      <alignment horizontal="left" vertical="center" wrapText="1"/>
    </xf>
    <xf numFmtId="0" fontId="45" fillId="9" borderId="62" xfId="21" applyFont="1" applyFill="1" applyBorder="1" applyAlignment="1">
      <alignment horizontal="left" vertical="center" indent="1" readingOrder="1"/>
    </xf>
    <xf numFmtId="0" fontId="136" fillId="9" borderId="62" xfId="21" applyFont="1" applyFill="1" applyBorder="1" applyAlignment="1">
      <alignment horizontal="left" vertical="center" wrapText="1"/>
    </xf>
    <xf numFmtId="0" fontId="45" fillId="16" borderId="62" xfId="21" applyFont="1" applyFill="1" applyBorder="1" applyAlignment="1">
      <alignment horizontal="left" vertical="center" indent="1" readingOrder="1"/>
    </xf>
    <xf numFmtId="0" fontId="45" fillId="42" borderId="62" xfId="21" applyFont="1" applyFill="1" applyBorder="1" applyAlignment="1">
      <alignment horizontal="left" vertical="center" wrapText="1"/>
    </xf>
    <xf numFmtId="0" fontId="101" fillId="0" borderId="62" xfId="18" applyFont="1" applyBorder="1" applyAlignment="1">
      <alignment horizontal="left" vertical="center" wrapText="1"/>
    </xf>
    <xf numFmtId="0" fontId="43" fillId="18" borderId="62" xfId="18" applyFont="1" applyFill="1" applyBorder="1" applyAlignment="1">
      <alignment horizontal="center" vertical="center" wrapText="1"/>
    </xf>
    <xf numFmtId="1" fontId="51" fillId="8" borderId="79" xfId="0" applyNumberFormat="1" applyFont="1" applyFill="1" applyBorder="1" applyAlignment="1">
      <alignment vertical="center" wrapText="1"/>
    </xf>
    <xf numFmtId="9" fontId="43" fillId="34" borderId="0" xfId="18" applyNumberFormat="1" applyFont="1" applyFill="1" applyAlignment="1">
      <alignment horizontal="center" vertical="center" wrapText="1" readingOrder="1"/>
    </xf>
    <xf numFmtId="9" fontId="136" fillId="16" borderId="0" xfId="18" applyNumberFormat="1" applyFont="1" applyFill="1" applyAlignment="1">
      <alignment horizontal="center" vertical="center" wrapText="1" readingOrder="1"/>
    </xf>
    <xf numFmtId="164" fontId="68" fillId="34" borderId="0" xfId="4" applyNumberFormat="1" applyFont="1" applyFill="1" applyAlignment="1">
      <alignment horizontal="center" vertical="center" wrapText="1" readingOrder="1"/>
    </xf>
    <xf numFmtId="164" fontId="36" fillId="0" borderId="0" xfId="1" applyNumberFormat="1" applyFont="1" applyFill="1" applyAlignment="1">
      <alignment horizontal="left" vertical="center" readingOrder="1"/>
    </xf>
    <xf numFmtId="164" fontId="69" fillId="17" borderId="28" xfId="4" applyNumberFormat="1" applyFont="1" applyFill="1" applyBorder="1" applyAlignment="1">
      <alignment vertical="center" wrapText="1"/>
    </xf>
    <xf numFmtId="164" fontId="69" fillId="17" borderId="117" xfId="4" applyNumberFormat="1" applyFont="1" applyFill="1" applyBorder="1" applyAlignment="1">
      <alignment vertical="center" wrapText="1"/>
    </xf>
    <xf numFmtId="9" fontId="69" fillId="17" borderId="118" xfId="1" applyFont="1" applyFill="1" applyBorder="1" applyAlignment="1">
      <alignment vertical="center" wrapText="1"/>
    </xf>
    <xf numFmtId="0" fontId="124" fillId="2" borderId="22" xfId="0" applyFont="1" applyFill="1" applyBorder="1" applyAlignment="1">
      <alignment horizontal="center" vertical="center" wrapText="1"/>
    </xf>
    <xf numFmtId="0" fontId="124" fillId="42" borderId="22" xfId="0" applyFont="1" applyFill="1" applyBorder="1" applyAlignment="1">
      <alignment horizontal="center" vertical="center" wrapText="1"/>
    </xf>
    <xf numFmtId="164" fontId="69" fillId="16" borderId="22" xfId="4" applyNumberFormat="1" applyFont="1" applyFill="1" applyBorder="1" applyAlignment="1">
      <alignment vertical="center"/>
    </xf>
    <xf numFmtId="164" fontId="0" fillId="16" borderId="22" xfId="4" applyNumberFormat="1" applyFont="1" applyFill="1" applyBorder="1"/>
    <xf numFmtId="164" fontId="69" fillId="42" borderId="22" xfId="4" applyNumberFormat="1" applyFont="1" applyFill="1" applyBorder="1" applyAlignment="1">
      <alignment vertical="center"/>
    </xf>
    <xf numFmtId="164" fontId="0" fillId="16" borderId="22" xfId="4" applyNumberFormat="1" applyFont="1" applyFill="1" applyBorder="1" applyAlignment="1">
      <alignment vertical="center"/>
    </xf>
    <xf numFmtId="164" fontId="0" fillId="42" borderId="22" xfId="4" applyNumberFormat="1" applyFont="1" applyFill="1" applyBorder="1" applyAlignment="1">
      <alignment vertical="center"/>
    </xf>
    <xf numFmtId="164" fontId="0" fillId="16" borderId="22" xfId="4" applyNumberFormat="1" applyFont="1" applyFill="1" applyBorder="1" applyAlignment="1">
      <alignment horizontal="center" vertical="center"/>
    </xf>
    <xf numFmtId="164" fontId="0" fillId="42" borderId="22" xfId="4" applyNumberFormat="1" applyFont="1" applyFill="1" applyBorder="1" applyAlignment="1">
      <alignment horizontal="center" vertical="center"/>
    </xf>
    <xf numFmtId="0" fontId="16" fillId="32" borderId="0" xfId="0" applyFont="1" applyFill="1"/>
    <xf numFmtId="0" fontId="70" fillId="0" borderId="0" xfId="0" applyFont="1"/>
    <xf numFmtId="164" fontId="88" fillId="14" borderId="28" xfId="4" applyNumberFormat="1" applyFont="1" applyFill="1" applyBorder="1" applyAlignment="1">
      <alignment vertical="center" wrapText="1"/>
    </xf>
    <xf numFmtId="164" fontId="88" fillId="14" borderId="28" xfId="4" applyNumberFormat="1" applyFont="1" applyFill="1" applyBorder="1" applyAlignment="1">
      <alignment vertical="center"/>
    </xf>
    <xf numFmtId="164" fontId="69" fillId="10" borderId="28" xfId="4" applyNumberFormat="1" applyFont="1" applyFill="1" applyBorder="1" applyAlignment="1">
      <alignment vertical="center" wrapText="1"/>
    </xf>
    <xf numFmtId="164" fontId="69" fillId="10" borderId="28" xfId="4" applyNumberFormat="1" applyFont="1" applyFill="1" applyBorder="1" applyAlignment="1">
      <alignment vertical="center"/>
    </xf>
    <xf numFmtId="164" fontId="69" fillId="10" borderId="31" xfId="4" applyNumberFormat="1" applyFont="1" applyFill="1" applyBorder="1" applyAlignment="1">
      <alignment vertical="center"/>
    </xf>
    <xf numFmtId="9" fontId="69" fillId="10" borderId="31" xfId="1" applyFont="1" applyFill="1" applyBorder="1" applyAlignment="1">
      <alignment vertical="center"/>
    </xf>
    <xf numFmtId="164" fontId="69" fillId="7" borderId="28" xfId="4" applyNumberFormat="1" applyFont="1" applyFill="1" applyBorder="1" applyAlignment="1">
      <alignment vertical="center" wrapText="1"/>
    </xf>
    <xf numFmtId="164" fontId="69" fillId="7" borderId="28" xfId="4" applyNumberFormat="1" applyFont="1" applyFill="1" applyBorder="1" applyAlignment="1">
      <alignment vertical="center"/>
    </xf>
    <xf numFmtId="9" fontId="69" fillId="7" borderId="31" xfId="1" applyFont="1" applyFill="1" applyBorder="1" applyAlignment="1">
      <alignment vertical="center"/>
    </xf>
    <xf numFmtId="164" fontId="69" fillId="11" borderId="28" xfId="4" applyNumberFormat="1" applyFont="1" applyFill="1" applyBorder="1" applyAlignment="1">
      <alignment vertical="center" wrapText="1"/>
    </xf>
    <xf numFmtId="164" fontId="69" fillId="11" borderId="28" xfId="4" applyNumberFormat="1" applyFont="1" applyFill="1" applyBorder="1" applyAlignment="1">
      <alignment vertical="center"/>
    </xf>
    <xf numFmtId="9" fontId="69" fillId="11" borderId="31" xfId="1" applyFont="1" applyFill="1" applyBorder="1" applyAlignment="1">
      <alignment vertical="center"/>
    </xf>
    <xf numFmtId="9" fontId="88" fillId="14" borderId="31" xfId="1" applyFont="1" applyFill="1" applyBorder="1" applyAlignment="1">
      <alignment vertical="center"/>
    </xf>
    <xf numFmtId="164" fontId="88" fillId="8" borderId="28" xfId="4" applyNumberFormat="1" applyFont="1" applyFill="1" applyBorder="1" applyAlignment="1">
      <alignment vertical="center" wrapText="1"/>
    </xf>
    <xf numFmtId="164" fontId="88" fillId="8" borderId="28" xfId="4" applyNumberFormat="1" applyFont="1" applyFill="1" applyBorder="1" applyAlignment="1">
      <alignment vertical="center"/>
    </xf>
    <xf numFmtId="9" fontId="88" fillId="8" borderId="31" xfId="1" applyFont="1" applyFill="1" applyBorder="1" applyAlignment="1">
      <alignment vertical="center"/>
    </xf>
    <xf numFmtId="164" fontId="88" fillId="8" borderId="31" xfId="4" applyNumberFormat="1" applyFont="1" applyFill="1" applyBorder="1" applyAlignment="1">
      <alignment vertical="center"/>
    </xf>
    <xf numFmtId="0" fontId="151" fillId="0" borderId="0" xfId="0" applyFont="1"/>
    <xf numFmtId="164" fontId="88" fillId="9" borderId="28" xfId="4" applyNumberFormat="1" applyFont="1" applyFill="1" applyBorder="1" applyAlignment="1">
      <alignment vertical="center" wrapText="1"/>
    </xf>
    <xf numFmtId="164" fontId="88" fillId="9" borderId="28" xfId="4" applyNumberFormat="1" applyFont="1" applyFill="1" applyBorder="1" applyAlignment="1">
      <alignment vertical="center"/>
    </xf>
    <xf numFmtId="9" fontId="88" fillId="9" borderId="31" xfId="1" applyFont="1" applyFill="1" applyBorder="1" applyAlignment="1">
      <alignment vertical="center"/>
    </xf>
    <xf numFmtId="164" fontId="88" fillId="9" borderId="31" xfId="4" applyNumberFormat="1" applyFont="1" applyFill="1" applyBorder="1" applyAlignment="1">
      <alignment vertical="center"/>
    </xf>
    <xf numFmtId="164" fontId="70" fillId="42" borderId="28" xfId="4" applyNumberFormat="1" applyFont="1" applyFill="1" applyBorder="1" applyAlignment="1">
      <alignment vertical="center" wrapText="1"/>
    </xf>
    <xf numFmtId="9" fontId="70" fillId="42" borderId="118" xfId="1" applyFont="1" applyFill="1" applyBorder="1" applyAlignment="1">
      <alignment vertical="center" wrapText="1"/>
    </xf>
    <xf numFmtId="164" fontId="70" fillId="42" borderId="118" xfId="4" applyNumberFormat="1" applyFont="1" applyFill="1" applyBorder="1" applyAlignment="1">
      <alignment vertical="center" wrapText="1"/>
    </xf>
    <xf numFmtId="164" fontId="69" fillId="17" borderId="121" xfId="4" applyNumberFormat="1" applyFont="1" applyFill="1" applyBorder="1" applyAlignment="1">
      <alignment vertical="center" wrapText="1"/>
    </xf>
    <xf numFmtId="164" fontId="69" fillId="54" borderId="28" xfId="4" applyNumberFormat="1" applyFont="1" applyFill="1" applyBorder="1" applyAlignment="1">
      <alignment vertical="center" wrapText="1"/>
    </xf>
    <xf numFmtId="164" fontId="69" fillId="54" borderId="117" xfId="4" applyNumberFormat="1" applyFont="1" applyFill="1" applyBorder="1" applyAlignment="1">
      <alignment vertical="center" wrapText="1"/>
    </xf>
    <xf numFmtId="9" fontId="69" fillId="54" borderId="118" xfId="1" applyFont="1" applyFill="1" applyBorder="1" applyAlignment="1">
      <alignment vertical="center" wrapText="1"/>
    </xf>
    <xf numFmtId="0" fontId="15" fillId="17" borderId="27" xfId="0" applyFont="1" applyFill="1" applyBorder="1"/>
    <xf numFmtId="164" fontId="28" fillId="0" borderId="0" xfId="4" applyNumberFormat="1" applyFont="1"/>
    <xf numFmtId="0" fontId="15" fillId="17" borderId="27" xfId="0" applyFont="1" applyFill="1" applyBorder="1" applyAlignment="1">
      <alignment vertical="top"/>
    </xf>
    <xf numFmtId="0" fontId="85" fillId="53" borderId="125" xfId="0" applyFont="1" applyFill="1" applyBorder="1"/>
    <xf numFmtId="0" fontId="85" fillId="49" borderId="126" xfId="0" applyFont="1" applyFill="1" applyBorder="1"/>
    <xf numFmtId="9" fontId="36" fillId="0" borderId="0" xfId="1" applyNumberFormat="1" applyFont="1" applyFill="1" applyAlignment="1">
      <alignment horizontal="left" vertical="center" readingOrder="1"/>
    </xf>
    <xf numFmtId="0" fontId="14" fillId="17" borderId="27" xfId="0" applyFont="1" applyFill="1" applyBorder="1"/>
    <xf numFmtId="0" fontId="76" fillId="13" borderId="127" xfId="0" applyFont="1" applyFill="1" applyBorder="1" applyAlignment="1">
      <alignment horizontal="center" vertical="center" wrapText="1"/>
    </xf>
    <xf numFmtId="164" fontId="69" fillId="10" borderId="117" xfId="4" applyNumberFormat="1" applyFont="1" applyFill="1" applyBorder="1" applyAlignment="1">
      <alignment vertical="center"/>
    </xf>
    <xf numFmtId="164" fontId="69" fillId="7" borderId="117" xfId="4" applyNumberFormat="1" applyFont="1" applyFill="1" applyBorder="1" applyAlignment="1">
      <alignment vertical="center"/>
    </xf>
    <xf numFmtId="164" fontId="69" fillId="11" borderId="117" xfId="4" applyNumberFormat="1" applyFont="1" applyFill="1" applyBorder="1" applyAlignment="1">
      <alignment vertical="center"/>
    </xf>
    <xf numFmtId="164" fontId="70" fillId="42" borderId="117" xfId="4" applyNumberFormat="1" applyFont="1" applyFill="1" applyBorder="1" applyAlignment="1">
      <alignment vertical="center" wrapText="1"/>
    </xf>
    <xf numFmtId="0" fontId="77" fillId="13" borderId="128" xfId="0" applyFont="1" applyFill="1" applyBorder="1" applyAlignment="1">
      <alignment horizontal="center" vertical="center" wrapText="1"/>
    </xf>
    <xf numFmtId="0" fontId="152" fillId="0" borderId="37" xfId="0" applyFont="1" applyBorder="1" applyAlignment="1">
      <alignment horizontal="left"/>
    </xf>
    <xf numFmtId="0" fontId="152" fillId="0" borderId="34" xfId="0" applyFont="1" applyBorder="1" applyAlignment="1">
      <alignment horizontal="left"/>
    </xf>
    <xf numFmtId="0" fontId="152" fillId="0" borderId="129" xfId="0" applyFont="1" applyBorder="1" applyAlignment="1">
      <alignment horizontal="left"/>
    </xf>
    <xf numFmtId="0" fontId="144" fillId="45" borderId="130" xfId="0" applyFont="1" applyFill="1" applyBorder="1" applyAlignment="1">
      <alignment horizontal="center" vertical="center" wrapText="1"/>
    </xf>
    <xf numFmtId="0" fontId="144" fillId="45" borderId="131" xfId="0" applyFont="1" applyFill="1" applyBorder="1" applyAlignment="1">
      <alignment horizontal="center" vertical="center" wrapText="1"/>
    </xf>
    <xf numFmtId="0" fontId="144" fillId="56" borderId="132" xfId="0" applyFont="1" applyFill="1" applyBorder="1" applyAlignment="1">
      <alignment horizontal="center" vertical="center" wrapText="1"/>
    </xf>
    <xf numFmtId="164" fontId="88" fillId="14" borderId="134" xfId="4" applyNumberFormat="1" applyFont="1" applyFill="1" applyBorder="1" applyAlignment="1">
      <alignment vertical="center"/>
    </xf>
    <xf numFmtId="164" fontId="0" fillId="0" borderId="0" xfId="4" applyNumberFormat="1" applyFont="1"/>
    <xf numFmtId="0" fontId="86" fillId="0" borderId="0" xfId="0" applyFont="1"/>
    <xf numFmtId="0" fontId="13" fillId="57" borderId="23" xfId="80" applyBorder="1" applyAlignment="1">
      <alignment horizontal="right" vertical="center"/>
    </xf>
    <xf numFmtId="0" fontId="154" fillId="0" borderId="137" xfId="0" applyFont="1" applyFill="1" applyBorder="1" applyAlignment="1">
      <alignment vertical="top" wrapText="1"/>
    </xf>
    <xf numFmtId="0" fontId="155" fillId="0" borderId="0" xfId="0" applyFont="1" applyFill="1"/>
    <xf numFmtId="164" fontId="156" fillId="0" borderId="0" xfId="0" applyNumberFormat="1" applyFont="1" applyFill="1"/>
    <xf numFmtId="164" fontId="155" fillId="0" borderId="0" xfId="0" applyNumberFormat="1" applyFont="1" applyFill="1"/>
    <xf numFmtId="164" fontId="157" fillId="0" borderId="0" xfId="0" applyNumberFormat="1" applyFont="1" applyFill="1"/>
    <xf numFmtId="0" fontId="0" fillId="0" borderId="0" xfId="0" applyAlignment="1">
      <alignment horizontal="center" vertical="center" wrapText="1"/>
    </xf>
    <xf numFmtId="0" fontId="159" fillId="0" borderId="0" xfId="0" applyFont="1"/>
    <xf numFmtId="164" fontId="159" fillId="0" borderId="0" xfId="0" applyNumberFormat="1" applyFont="1"/>
    <xf numFmtId="164" fontId="158" fillId="0" borderId="0" xfId="4" applyNumberFormat="1" applyFont="1"/>
    <xf numFmtId="164" fontId="77" fillId="0" borderId="0" xfId="4" applyNumberFormat="1" applyFont="1"/>
    <xf numFmtId="164" fontId="159" fillId="0" borderId="0" xfId="0" applyNumberFormat="1" applyFont="1" applyAlignment="1">
      <alignment wrapText="1"/>
    </xf>
    <xf numFmtId="0" fontId="0" fillId="0" borderId="4" xfId="0" applyBorder="1"/>
    <xf numFmtId="164" fontId="158" fillId="0" borderId="4" xfId="4" applyNumberFormat="1" applyFont="1" applyBorder="1"/>
    <xf numFmtId="164" fontId="77" fillId="0" borderId="4" xfId="4" applyNumberFormat="1" applyFont="1" applyBorder="1"/>
    <xf numFmtId="0" fontId="77" fillId="0" borderId="0" xfId="0" applyFont="1" applyBorder="1" applyAlignment="1">
      <alignment horizontal="center" vertical="center" wrapText="1"/>
    </xf>
    <xf numFmtId="0" fontId="0" fillId="0" borderId="0" xfId="0" applyBorder="1"/>
    <xf numFmtId="164" fontId="77" fillId="0" borderId="0" xfId="4" applyNumberFormat="1" applyFont="1" applyBorder="1"/>
    <xf numFmtId="0" fontId="75" fillId="14" borderId="22" xfId="0" applyFont="1" applyFill="1" applyBorder="1" applyAlignment="1">
      <alignment horizontal="center" vertical="center"/>
    </xf>
    <xf numFmtId="0" fontId="75" fillId="8" borderId="22" xfId="0" applyFont="1" applyFill="1" applyBorder="1" applyAlignment="1">
      <alignment horizontal="center" vertical="center"/>
    </xf>
    <xf numFmtId="0" fontId="75" fillId="9" borderId="22" xfId="0" applyFont="1" applyFill="1" applyBorder="1" applyAlignment="1">
      <alignment horizontal="center" vertical="center"/>
    </xf>
    <xf numFmtId="0" fontId="160" fillId="42" borderId="22" xfId="0" applyFont="1" applyFill="1" applyBorder="1" applyAlignment="1">
      <alignment vertical="center"/>
    </xf>
    <xf numFmtId="0" fontId="160" fillId="16" borderId="22" xfId="0" applyFont="1" applyFill="1" applyBorder="1" applyAlignment="1">
      <alignment vertical="center"/>
    </xf>
    <xf numFmtId="0" fontId="124" fillId="12" borderId="22" xfId="0" applyFont="1" applyFill="1" applyBorder="1" applyAlignment="1">
      <alignment horizontal="center" vertical="center" wrapText="1"/>
    </xf>
    <xf numFmtId="0" fontId="160" fillId="0" borderId="22" xfId="0" applyFont="1" applyBorder="1" applyAlignment="1">
      <alignment horizontal="center" vertical="center" wrapText="1"/>
    </xf>
    <xf numFmtId="0" fontId="161" fillId="0" borderId="0" xfId="0" applyFont="1"/>
    <xf numFmtId="0" fontId="11" fillId="19" borderId="0" xfId="0" applyFont="1" applyFill="1"/>
    <xf numFmtId="0" fontId="11" fillId="17" borderId="27" xfId="0" applyFont="1" applyFill="1" applyBorder="1"/>
    <xf numFmtId="164" fontId="69" fillId="7" borderId="31" xfId="4" applyNumberFormat="1" applyFont="1" applyFill="1" applyBorder="1" applyAlignment="1">
      <alignment vertical="center"/>
    </xf>
    <xf numFmtId="9" fontId="162" fillId="58" borderId="138" xfId="1" applyFont="1" applyFill="1" applyBorder="1" applyAlignment="1">
      <alignment horizontal="center" vertical="center" wrapText="1"/>
    </xf>
    <xf numFmtId="9" fontId="162" fillId="58" borderId="139" xfId="1" applyFont="1" applyFill="1" applyBorder="1" applyAlignment="1">
      <alignment horizontal="center" vertical="center" wrapText="1"/>
    </xf>
    <xf numFmtId="169" fontId="162" fillId="58" borderId="140" xfId="1" applyNumberFormat="1" applyFont="1" applyFill="1" applyBorder="1" applyAlignment="1">
      <alignment horizontal="center" vertical="center" wrapText="1"/>
    </xf>
    <xf numFmtId="9" fontId="163" fillId="0" borderId="141" xfId="1" applyFont="1" applyBorder="1" applyAlignment="1">
      <alignment horizontal="center"/>
    </xf>
    <xf numFmtId="9" fontId="163" fillId="0" borderId="142" xfId="1" applyFont="1" applyBorder="1" applyAlignment="1">
      <alignment horizontal="center"/>
    </xf>
    <xf numFmtId="169" fontId="163" fillId="0" borderId="143" xfId="1" applyNumberFormat="1" applyFont="1" applyBorder="1" applyAlignment="1">
      <alignment horizontal="center"/>
    </xf>
    <xf numFmtId="49" fontId="10" fillId="57" borderId="23" xfId="80" applyNumberFormat="1" applyFont="1" applyBorder="1" applyAlignment="1">
      <alignment horizontal="left" vertical="center"/>
    </xf>
    <xf numFmtId="1" fontId="44" fillId="42" borderId="23" xfId="0" applyNumberFormat="1" applyFont="1" applyFill="1" applyBorder="1"/>
    <xf numFmtId="0" fontId="69" fillId="0" borderId="0" xfId="0" applyFont="1" applyAlignment="1"/>
    <xf numFmtId="0" fontId="8" fillId="0" borderId="0" xfId="0" applyFont="1"/>
    <xf numFmtId="0" fontId="95" fillId="35" borderId="28" xfId="0" applyFont="1" applyFill="1" applyBorder="1" applyAlignment="1">
      <alignment horizontal="center" vertical="center" wrapText="1"/>
    </xf>
    <xf numFmtId="0" fontId="81" fillId="35" borderId="28" xfId="0" applyFont="1" applyFill="1" applyBorder="1" applyAlignment="1">
      <alignment horizontal="center" vertical="center" wrapText="1"/>
    </xf>
    <xf numFmtId="0" fontId="153" fillId="35" borderId="28" xfId="0" applyFont="1" applyFill="1" applyBorder="1" applyAlignment="1">
      <alignment horizontal="center" vertical="center" wrapText="1"/>
    </xf>
    <xf numFmtId="0" fontId="93" fillId="0" borderId="0" xfId="0" applyFont="1" applyBorder="1" applyAlignment="1">
      <alignment horizontal="left" vertical="center"/>
    </xf>
    <xf numFmtId="164" fontId="144" fillId="11" borderId="28" xfId="4" applyNumberFormat="1" applyFont="1" applyFill="1" applyBorder="1" applyAlignment="1">
      <alignment vertical="center" wrapText="1"/>
    </xf>
    <xf numFmtId="0" fontId="144" fillId="59" borderId="131" xfId="0" applyFont="1" applyFill="1" applyBorder="1" applyAlignment="1">
      <alignment horizontal="center" vertical="center" wrapText="1"/>
    </xf>
    <xf numFmtId="0" fontId="144" fillId="59" borderId="144" xfId="0" applyFont="1" applyFill="1" applyBorder="1" applyAlignment="1">
      <alignment horizontal="center" vertical="center" wrapText="1"/>
    </xf>
    <xf numFmtId="0" fontId="144" fillId="45" borderId="0" xfId="0" applyFont="1" applyFill="1" applyBorder="1" applyAlignment="1">
      <alignment horizontal="center" vertical="center" wrapText="1"/>
    </xf>
    <xf numFmtId="0" fontId="144" fillId="59" borderId="0" xfId="0" applyFont="1" applyFill="1" applyBorder="1" applyAlignment="1">
      <alignment vertical="center" wrapText="1"/>
    </xf>
    <xf numFmtId="0" fontId="144" fillId="45" borderId="146" xfId="0" applyFont="1" applyFill="1" applyBorder="1" applyAlignment="1">
      <alignment horizontal="center" vertical="center" wrapText="1"/>
    </xf>
    <xf numFmtId="164" fontId="144" fillId="11" borderId="135" xfId="4" applyNumberFormat="1" applyFont="1" applyFill="1" applyBorder="1" applyAlignment="1">
      <alignment vertical="center"/>
    </xf>
    <xf numFmtId="164" fontId="144" fillId="11" borderId="135" xfId="4" applyNumberFormat="1" applyFont="1" applyFill="1" applyBorder="1" applyAlignment="1">
      <alignment vertical="center" wrapText="1"/>
    </xf>
    <xf numFmtId="164" fontId="70" fillId="54" borderId="135" xfId="4" applyNumberFormat="1" applyFont="1" applyFill="1" applyBorder="1" applyAlignment="1">
      <alignment vertical="center" wrapText="1"/>
    </xf>
    <xf numFmtId="164" fontId="88" fillId="14" borderId="135" xfId="4" applyNumberFormat="1" applyFont="1" applyFill="1" applyBorder="1" applyAlignment="1">
      <alignment vertical="center"/>
    </xf>
    <xf numFmtId="164" fontId="88" fillId="8" borderId="135" xfId="4" applyNumberFormat="1" applyFont="1" applyFill="1" applyBorder="1" applyAlignment="1">
      <alignment vertical="center"/>
    </xf>
    <xf numFmtId="9" fontId="69" fillId="0" borderId="0" xfId="1" applyFont="1"/>
    <xf numFmtId="9" fontId="82" fillId="0" borderId="0" xfId="0" applyNumberFormat="1" applyFont="1"/>
    <xf numFmtId="0" fontId="45" fillId="42" borderId="0" xfId="21" applyFont="1" applyFill="1" applyAlignment="1">
      <alignment horizontal="center" vertical="center" readingOrder="1"/>
    </xf>
    <xf numFmtId="0" fontId="45" fillId="38" borderId="0" xfId="0" applyFont="1" applyFill="1" applyAlignment="1">
      <alignment horizontal="center" vertical="center" wrapText="1"/>
    </xf>
    <xf numFmtId="9" fontId="43" fillId="52" borderId="0" xfId="18" applyNumberFormat="1" applyFont="1" applyFill="1" applyAlignment="1">
      <alignment horizontal="center" vertical="center" wrapText="1" readingOrder="1"/>
    </xf>
    <xf numFmtId="0" fontId="45" fillId="60" borderId="147" xfId="0" applyFont="1" applyFill="1" applyBorder="1" applyAlignment="1">
      <alignment vertical="top" wrapText="1"/>
    </xf>
    <xf numFmtId="0" fontId="43" fillId="38" borderId="0" xfId="0" applyFont="1" applyFill="1" applyAlignment="1">
      <alignment horizontal="center" vertical="center" wrapText="1"/>
    </xf>
    <xf numFmtId="168" fontId="36" fillId="0" borderId="0" xfId="4" applyNumberFormat="1" applyFont="1" applyFill="1" applyAlignment="1">
      <alignment horizontal="left" vertical="center" readingOrder="1"/>
    </xf>
    <xf numFmtId="0" fontId="164" fillId="60" borderId="147" xfId="0" applyFont="1" applyFill="1" applyBorder="1" applyAlignment="1">
      <alignment vertical="top" wrapText="1"/>
    </xf>
    <xf numFmtId="0" fontId="43" fillId="60" borderId="147" xfId="0" applyFont="1" applyFill="1" applyBorder="1" applyAlignment="1">
      <alignment vertical="top" wrapText="1"/>
    </xf>
    <xf numFmtId="0" fontId="43" fillId="38" borderId="149" xfId="0" applyFont="1" applyFill="1" applyBorder="1" applyAlignment="1">
      <alignment horizontal="left" vertical="center" wrapText="1"/>
    </xf>
    <xf numFmtId="0" fontId="43" fillId="38" borderId="150" xfId="0" applyFont="1" applyFill="1" applyBorder="1" applyAlignment="1">
      <alignment horizontal="center" vertical="center" wrapText="1"/>
    </xf>
    <xf numFmtId="0" fontId="43" fillId="60" borderId="150" xfId="0" applyFont="1" applyFill="1" applyBorder="1" applyAlignment="1">
      <alignment vertical="top" wrapText="1"/>
    </xf>
    <xf numFmtId="0" fontId="45" fillId="60" borderId="150" xfId="0" applyFont="1" applyFill="1" applyBorder="1" applyAlignment="1">
      <alignment vertical="top" wrapText="1"/>
    </xf>
    <xf numFmtId="164" fontId="144" fillId="11" borderId="134" xfId="4" applyNumberFormat="1" applyFont="1" applyFill="1" applyBorder="1" applyAlignment="1">
      <alignment vertical="center"/>
    </xf>
    <xf numFmtId="164" fontId="144" fillId="11" borderId="28" xfId="4" applyNumberFormat="1" applyFont="1" applyFill="1" applyBorder="1" applyAlignment="1">
      <alignment vertical="center"/>
    </xf>
    <xf numFmtId="0" fontId="144" fillId="45" borderId="145" xfId="0" applyFont="1" applyFill="1" applyBorder="1" applyAlignment="1">
      <alignment vertical="center" wrapText="1"/>
    </xf>
    <xf numFmtId="164" fontId="69" fillId="12" borderId="28" xfId="4" applyNumberFormat="1" applyFont="1" applyFill="1" applyBorder="1" applyAlignment="1">
      <alignment vertical="center" wrapText="1"/>
    </xf>
    <xf numFmtId="164" fontId="69" fillId="12" borderId="28" xfId="4" applyNumberFormat="1" applyFont="1" applyFill="1" applyBorder="1" applyAlignment="1">
      <alignment vertical="center"/>
    </xf>
    <xf numFmtId="164" fontId="69" fillId="12" borderId="117" xfId="4" applyNumberFormat="1" applyFont="1" applyFill="1" applyBorder="1" applyAlignment="1">
      <alignment vertical="center"/>
    </xf>
    <xf numFmtId="9" fontId="69" fillId="12" borderId="31" xfId="1" applyFont="1" applyFill="1" applyBorder="1" applyAlignment="1">
      <alignment vertical="center"/>
    </xf>
    <xf numFmtId="164" fontId="88" fillId="45" borderId="28" xfId="4" applyNumberFormat="1" applyFont="1" applyFill="1" applyBorder="1" applyAlignment="1">
      <alignment vertical="center" wrapText="1"/>
    </xf>
    <xf numFmtId="164" fontId="88" fillId="45" borderId="28" xfId="4" applyNumberFormat="1" applyFont="1" applyFill="1" applyBorder="1" applyAlignment="1">
      <alignment vertical="center"/>
    </xf>
    <xf numFmtId="9" fontId="88" fillId="45" borderId="31" xfId="1" applyFont="1" applyFill="1" applyBorder="1" applyAlignment="1">
      <alignment vertical="center"/>
    </xf>
    <xf numFmtId="164" fontId="88" fillId="45" borderId="31" xfId="4" applyNumberFormat="1" applyFont="1" applyFill="1" applyBorder="1" applyAlignment="1">
      <alignment vertical="center"/>
    </xf>
    <xf numFmtId="9" fontId="69" fillId="0" borderId="0" xfId="1" applyFont="1" applyAlignment="1">
      <alignment horizontal="center" vertical="center" wrapText="1"/>
    </xf>
    <xf numFmtId="164" fontId="69" fillId="0" borderId="0" xfId="1" applyNumberFormat="1" applyFont="1"/>
    <xf numFmtId="164" fontId="70" fillId="12" borderId="135" xfId="4" applyNumberFormat="1" applyFont="1" applyFill="1" applyBorder="1" applyAlignment="1">
      <alignment vertical="center" wrapText="1"/>
    </xf>
    <xf numFmtId="0" fontId="77" fillId="13" borderId="127" xfId="0" applyFont="1" applyFill="1" applyBorder="1" applyAlignment="1">
      <alignment horizontal="center" vertical="center" wrapText="1"/>
    </xf>
    <xf numFmtId="9" fontId="69" fillId="10" borderId="117" xfId="1" applyFont="1" applyFill="1" applyBorder="1" applyAlignment="1">
      <alignment vertical="center"/>
    </xf>
    <xf numFmtId="9" fontId="88" fillId="14" borderId="117" xfId="1" applyFont="1" applyFill="1" applyBorder="1" applyAlignment="1">
      <alignment vertical="center"/>
    </xf>
    <xf numFmtId="9" fontId="69" fillId="7" borderId="117" xfId="1" applyFont="1" applyFill="1" applyBorder="1" applyAlignment="1">
      <alignment vertical="center"/>
    </xf>
    <xf numFmtId="9" fontId="88" fillId="8" borderId="117" xfId="1" applyFont="1" applyFill="1" applyBorder="1" applyAlignment="1">
      <alignment vertical="center"/>
    </xf>
    <xf numFmtId="9" fontId="69" fillId="11" borderId="117" xfId="1" applyFont="1" applyFill="1" applyBorder="1" applyAlignment="1">
      <alignment vertical="center"/>
    </xf>
    <xf numFmtId="9" fontId="88" fillId="9" borderId="117" xfId="1" applyFont="1" applyFill="1" applyBorder="1" applyAlignment="1">
      <alignment vertical="center"/>
    </xf>
    <xf numFmtId="9" fontId="69" fillId="54" borderId="151" xfId="1" applyFont="1" applyFill="1" applyBorder="1" applyAlignment="1">
      <alignment vertical="center" wrapText="1"/>
    </xf>
    <xf numFmtId="9" fontId="70" fillId="42" borderId="151" xfId="1" applyFont="1" applyFill="1" applyBorder="1" applyAlignment="1">
      <alignment vertical="center" wrapText="1"/>
    </xf>
    <xf numFmtId="9" fontId="69" fillId="17" borderId="151" xfId="1" applyFont="1" applyFill="1" applyBorder="1" applyAlignment="1">
      <alignment vertical="center" wrapText="1"/>
    </xf>
    <xf numFmtId="9" fontId="69" fillId="12" borderId="117" xfId="1" applyFont="1" applyFill="1" applyBorder="1" applyAlignment="1">
      <alignment vertical="center"/>
    </xf>
    <xf numFmtId="9" fontId="88" fillId="45" borderId="117" xfId="1" applyFont="1" applyFill="1" applyBorder="1" applyAlignment="1">
      <alignment vertical="center"/>
    </xf>
    <xf numFmtId="0" fontId="76" fillId="33" borderId="156" xfId="0" applyFont="1" applyFill="1" applyBorder="1" applyAlignment="1">
      <alignment horizontal="center" vertical="center" wrapText="1"/>
    </xf>
    <xf numFmtId="0" fontId="76" fillId="33" borderId="157" xfId="0" applyFont="1" applyFill="1" applyBorder="1" applyAlignment="1">
      <alignment horizontal="center" vertical="center" wrapText="1"/>
    </xf>
    <xf numFmtId="0" fontId="76" fillId="33" borderId="131" xfId="0" applyFont="1" applyFill="1" applyBorder="1" applyAlignment="1">
      <alignment horizontal="center" vertical="center" wrapText="1"/>
    </xf>
    <xf numFmtId="0" fontId="77" fillId="13" borderId="158" xfId="0" applyFont="1" applyFill="1" applyBorder="1" applyAlignment="1">
      <alignment horizontal="center" vertical="center" wrapText="1"/>
    </xf>
    <xf numFmtId="164" fontId="69" fillId="10" borderId="133" xfId="4" applyNumberFormat="1" applyFont="1" applyFill="1" applyBorder="1" applyAlignment="1">
      <alignment vertical="center"/>
    </xf>
    <xf numFmtId="164" fontId="69" fillId="10" borderId="135" xfId="4" applyNumberFormat="1" applyFont="1" applyFill="1" applyBorder="1" applyAlignment="1">
      <alignment vertical="center"/>
    </xf>
    <xf numFmtId="164" fontId="69" fillId="7" borderId="133" xfId="4" applyNumberFormat="1" applyFont="1" applyFill="1" applyBorder="1" applyAlignment="1">
      <alignment vertical="center"/>
    </xf>
    <xf numFmtId="164" fontId="124" fillId="7" borderId="135" xfId="4" applyNumberFormat="1" applyFont="1" applyFill="1" applyBorder="1" applyAlignment="1">
      <alignment vertical="center"/>
    </xf>
    <xf numFmtId="164" fontId="88" fillId="8" borderId="133" xfId="4" applyNumberFormat="1" applyFont="1" applyFill="1" applyBorder="1" applyAlignment="1">
      <alignment vertical="center"/>
    </xf>
    <xf numFmtId="164" fontId="144" fillId="11" borderId="134" xfId="4" applyNumberFormat="1" applyFont="1" applyFill="1" applyBorder="1" applyAlignment="1">
      <alignment vertical="center" wrapText="1"/>
    </xf>
    <xf numFmtId="164" fontId="88" fillId="9" borderId="133" xfId="4" applyNumberFormat="1" applyFont="1" applyFill="1" applyBorder="1" applyAlignment="1">
      <alignment vertical="center"/>
    </xf>
    <xf numFmtId="164" fontId="88" fillId="9" borderId="135" xfId="4" applyNumberFormat="1" applyFont="1" applyFill="1" applyBorder="1" applyAlignment="1">
      <alignment vertical="center"/>
    </xf>
    <xf numFmtId="164" fontId="69" fillId="54" borderId="134" xfId="4" applyNumberFormat="1" applyFont="1" applyFill="1" applyBorder="1" applyAlignment="1">
      <alignment vertical="center" wrapText="1"/>
    </xf>
    <xf numFmtId="164" fontId="70" fillId="42" borderId="133" xfId="4" applyNumberFormat="1" applyFont="1" applyFill="1" applyBorder="1" applyAlignment="1">
      <alignment vertical="center" wrapText="1"/>
    </xf>
    <xf numFmtId="164" fontId="70" fillId="42" borderId="159" xfId="4" applyNumberFormat="1" applyFont="1" applyFill="1" applyBorder="1" applyAlignment="1">
      <alignment vertical="center" wrapText="1"/>
    </xf>
    <xf numFmtId="164" fontId="69" fillId="17" borderId="135" xfId="4" applyNumberFormat="1" applyFont="1" applyFill="1" applyBorder="1" applyAlignment="1">
      <alignment vertical="center" wrapText="1"/>
    </xf>
    <xf numFmtId="164" fontId="69" fillId="12" borderId="134" xfId="4" applyNumberFormat="1" applyFont="1" applyFill="1" applyBorder="1" applyAlignment="1">
      <alignment vertical="center" wrapText="1"/>
    </xf>
    <xf numFmtId="164" fontId="88" fillId="45" borderId="133" xfId="4" applyNumberFormat="1" applyFont="1" applyFill="1" applyBorder="1" applyAlignment="1">
      <alignment vertical="center"/>
    </xf>
    <xf numFmtId="164" fontId="88" fillId="45" borderId="135" xfId="4" applyNumberFormat="1" applyFont="1" applyFill="1" applyBorder="1" applyAlignment="1">
      <alignment vertical="center"/>
    </xf>
    <xf numFmtId="164" fontId="88" fillId="45" borderId="160" xfId="4" applyNumberFormat="1" applyFont="1" applyFill="1" applyBorder="1" applyAlignment="1">
      <alignment vertical="center"/>
    </xf>
    <xf numFmtId="164" fontId="88" fillId="45" borderId="161" xfId="4" applyNumberFormat="1" applyFont="1" applyFill="1" applyBorder="1" applyAlignment="1">
      <alignment vertical="center"/>
    </xf>
    <xf numFmtId="43" fontId="44" fillId="0" borderId="0" xfId="0" applyNumberFormat="1" applyFont="1"/>
    <xf numFmtId="0" fontId="28" fillId="17" borderId="27" xfId="0" applyFont="1" applyFill="1" applyBorder="1" applyAlignment="1">
      <alignment vertical="center" wrapText="1"/>
    </xf>
    <xf numFmtId="1" fontId="28" fillId="0" borderId="0" xfId="4" applyNumberFormat="1" applyFont="1" applyAlignment="1">
      <alignment vertical="center" wrapText="1"/>
    </xf>
    <xf numFmtId="0" fontId="28" fillId="0" borderId="0" xfId="0" applyFont="1" applyAlignment="1">
      <alignment vertical="center" wrapText="1"/>
    </xf>
    <xf numFmtId="1" fontId="28" fillId="0" borderId="0" xfId="0" applyNumberFormat="1" applyFont="1" applyAlignment="1">
      <alignment vertical="center" wrapText="1"/>
    </xf>
    <xf numFmtId="164" fontId="28" fillId="0" borderId="0" xfId="4" applyNumberFormat="1" applyFont="1" applyAlignment="1">
      <alignment vertical="center" wrapText="1"/>
    </xf>
    <xf numFmtId="0" fontId="6" fillId="17" borderId="27" xfId="0" applyFont="1" applyFill="1" applyBorder="1" applyAlignment="1">
      <alignment vertical="center" wrapText="1"/>
    </xf>
    <xf numFmtId="0" fontId="6" fillId="19" borderId="0" xfId="0" applyFont="1" applyFill="1"/>
    <xf numFmtId="164" fontId="83" fillId="0" borderId="38" xfId="0" applyNumberFormat="1" applyFont="1" applyBorder="1"/>
    <xf numFmtId="164" fontId="83" fillId="0" borderId="163" xfId="0" applyNumberFormat="1" applyFont="1" applyBorder="1"/>
    <xf numFmtId="164" fontId="83" fillId="0" borderId="162" xfId="0" applyNumberFormat="1" applyFont="1" applyBorder="1"/>
    <xf numFmtId="164" fontId="124" fillId="2" borderId="22" xfId="4" applyNumberFormat="1" applyFont="1" applyFill="1" applyBorder="1" applyAlignment="1">
      <alignment horizontal="center" vertical="center" wrapText="1"/>
    </xf>
    <xf numFmtId="2" fontId="69" fillId="0" borderId="0" xfId="1" applyNumberFormat="1" applyFont="1"/>
    <xf numFmtId="169" fontId="0" fillId="0" borderId="0" xfId="1" applyNumberFormat="1" applyFont="1"/>
    <xf numFmtId="169" fontId="69" fillId="0" borderId="0" xfId="1" applyNumberFormat="1" applyFont="1"/>
    <xf numFmtId="9" fontId="69" fillId="45" borderId="164" xfId="1" applyFont="1" applyFill="1" applyBorder="1" applyAlignment="1">
      <alignment vertical="center"/>
    </xf>
    <xf numFmtId="9" fontId="69" fillId="45" borderId="161" xfId="1" applyFont="1" applyFill="1" applyBorder="1" applyAlignment="1">
      <alignment vertical="center"/>
    </xf>
    <xf numFmtId="164" fontId="88" fillId="45" borderId="165" xfId="4" applyNumberFormat="1" applyFont="1" applyFill="1" applyBorder="1" applyAlignment="1">
      <alignment vertical="center"/>
    </xf>
    <xf numFmtId="0" fontId="36" fillId="0" borderId="0" xfId="42" applyFont="1" applyFill="1" applyBorder="1" applyAlignment="1">
      <alignment horizontal="left" vertical="center" readingOrder="1"/>
    </xf>
    <xf numFmtId="49" fontId="93" fillId="61" borderId="0" xfId="0" applyNumberFormat="1" applyFont="1" applyFill="1" applyBorder="1" applyAlignment="1">
      <alignment horizontal="left" vertical="center"/>
    </xf>
    <xf numFmtId="1" fontId="93" fillId="0" borderId="0" xfId="0" applyNumberFormat="1" applyFont="1" applyBorder="1" applyAlignment="1">
      <alignment horizontal="right" vertical="center"/>
    </xf>
    <xf numFmtId="0" fontId="44" fillId="0" borderId="23" xfId="0" applyNumberFormat="1" applyFont="1" applyFill="1" applyBorder="1" applyAlignment="1">
      <alignment wrapText="1"/>
    </xf>
    <xf numFmtId="9" fontId="76" fillId="0" borderId="154" xfId="1" applyNumberFormat="1" applyFont="1" applyBorder="1" applyAlignment="1">
      <alignment vertical="center" wrapText="1"/>
    </xf>
    <xf numFmtId="9" fontId="76" fillId="0" borderId="155" xfId="1" applyNumberFormat="1" applyFont="1" applyBorder="1" applyAlignment="1">
      <alignment vertical="center" wrapText="1"/>
    </xf>
    <xf numFmtId="9" fontId="0" fillId="0" borderId="0" xfId="1" applyFont="1" applyFill="1"/>
    <xf numFmtId="0" fontId="166" fillId="0" borderId="25" xfId="0" applyFont="1" applyFill="1" applyBorder="1"/>
    <xf numFmtId="0" fontId="168" fillId="0" borderId="0" xfId="0" applyFont="1" applyFill="1" applyBorder="1"/>
    <xf numFmtId="0" fontId="169" fillId="0" borderId="167" xfId="0" applyFont="1" applyFill="1" applyBorder="1"/>
    <xf numFmtId="0" fontId="169" fillId="0" borderId="25" xfId="0" applyFont="1" applyFill="1" applyBorder="1"/>
    <xf numFmtId="0" fontId="169" fillId="0" borderId="168" xfId="0" applyFont="1" applyFill="1" applyBorder="1"/>
    <xf numFmtId="0" fontId="131" fillId="0" borderId="0" xfId="0" applyFont="1" applyFill="1" applyBorder="1"/>
    <xf numFmtId="0" fontId="131" fillId="0" borderId="166" xfId="0" applyFont="1" applyFill="1" applyBorder="1"/>
    <xf numFmtId="0" fontId="167" fillId="0" borderId="0" xfId="0" applyFont="1" applyFill="1" applyAlignment="1">
      <alignment horizontal="left"/>
    </xf>
    <xf numFmtId="0" fontId="170" fillId="0" borderId="0" xfId="0" applyFont="1"/>
    <xf numFmtId="0" fontId="171" fillId="31" borderId="169" xfId="0" applyFont="1" applyFill="1" applyBorder="1" applyAlignment="1">
      <alignment horizontal="left"/>
    </xf>
    <xf numFmtId="0" fontId="172" fillId="0" borderId="39" xfId="0" applyNumberFormat="1" applyFont="1" applyBorder="1"/>
    <xf numFmtId="0" fontId="172" fillId="0" borderId="40" xfId="0" applyNumberFormat="1" applyFont="1" applyBorder="1"/>
    <xf numFmtId="0" fontId="172" fillId="0" borderId="38" xfId="0" applyNumberFormat="1" applyFont="1" applyBorder="1"/>
    <xf numFmtId="0" fontId="70" fillId="0" borderId="0" xfId="0" applyFont="1" applyAlignment="1">
      <alignment wrapText="1"/>
    </xf>
    <xf numFmtId="164" fontId="0" fillId="42" borderId="22" xfId="4" applyNumberFormat="1" applyFont="1" applyFill="1" applyBorder="1" applyAlignment="1">
      <alignment vertical="center" wrapText="1"/>
    </xf>
    <xf numFmtId="164" fontId="75" fillId="36" borderId="22" xfId="4" applyNumberFormat="1" applyFont="1" applyFill="1" applyBorder="1" applyAlignment="1">
      <alignment horizontal="right" vertical="center" wrapText="1"/>
    </xf>
    <xf numFmtId="164" fontId="75" fillId="8" borderId="22" xfId="4" applyNumberFormat="1" applyFont="1" applyFill="1" applyBorder="1" applyAlignment="1">
      <alignment horizontal="right" vertical="center" wrapText="1"/>
    </xf>
    <xf numFmtId="164" fontId="75" fillId="14" borderId="22" xfId="4" applyNumberFormat="1" applyFont="1" applyFill="1" applyBorder="1" applyAlignment="1">
      <alignment horizontal="right" vertical="center" wrapText="1"/>
    </xf>
    <xf numFmtId="164" fontId="88" fillId="45" borderId="121" xfId="4" applyNumberFormat="1" applyFont="1" applyFill="1" applyBorder="1" applyAlignment="1">
      <alignment vertical="center"/>
    </xf>
    <xf numFmtId="0" fontId="131" fillId="0" borderId="0" xfId="0" applyFont="1" applyBorder="1"/>
    <xf numFmtId="0" fontId="131" fillId="0" borderId="0" xfId="0" applyFont="1"/>
    <xf numFmtId="0" fontId="131" fillId="0" borderId="25" xfId="0" applyFont="1" applyBorder="1"/>
    <xf numFmtId="0" fontId="69" fillId="0" borderId="0" xfId="0" applyFont="1" applyAlignment="1">
      <alignment vertical="center"/>
    </xf>
    <xf numFmtId="164" fontId="69" fillId="0" borderId="0" xfId="0" applyNumberFormat="1" applyFont="1" applyAlignment="1">
      <alignment vertical="center"/>
    </xf>
    <xf numFmtId="0" fontId="95" fillId="35" borderId="170" xfId="0" applyFont="1" applyFill="1" applyBorder="1" applyAlignment="1">
      <alignment horizontal="center" vertical="center" wrapText="1"/>
    </xf>
    <xf numFmtId="0" fontId="95" fillId="35" borderId="171" xfId="0" applyFont="1" applyFill="1" applyBorder="1" applyAlignment="1">
      <alignment horizontal="center" vertical="center"/>
    </xf>
    <xf numFmtId="0" fontId="95" fillId="35" borderId="171" xfId="0" applyFont="1" applyFill="1" applyBorder="1" applyAlignment="1">
      <alignment horizontal="center" vertical="center" wrapText="1"/>
    </xf>
    <xf numFmtId="0" fontId="81" fillId="35" borderId="171" xfId="0" applyFont="1" applyFill="1" applyBorder="1" applyAlignment="1">
      <alignment horizontal="center" vertical="center" wrapText="1"/>
    </xf>
    <xf numFmtId="0" fontId="95" fillId="35" borderId="172" xfId="0" applyFont="1" applyFill="1" applyBorder="1" applyAlignment="1">
      <alignment horizontal="center" vertical="center" wrapText="1"/>
    </xf>
    <xf numFmtId="0" fontId="81" fillId="35" borderId="174" xfId="0" applyFont="1" applyFill="1" applyBorder="1" applyAlignment="1">
      <alignment horizontal="center" vertical="center" wrapText="1"/>
    </xf>
    <xf numFmtId="0" fontId="81" fillId="35" borderId="175" xfId="0" applyFont="1" applyFill="1" applyBorder="1" applyAlignment="1">
      <alignment horizontal="center" vertical="center"/>
    </xf>
    <xf numFmtId="0" fontId="81" fillId="35" borderId="175" xfId="0" applyFont="1" applyFill="1" applyBorder="1" applyAlignment="1">
      <alignment horizontal="center" vertical="center" wrapText="1"/>
    </xf>
    <xf numFmtId="0" fontId="81" fillId="35" borderId="176" xfId="0" applyFont="1" applyFill="1" applyBorder="1" applyAlignment="1">
      <alignment horizontal="center" vertical="center" wrapText="1"/>
    </xf>
    <xf numFmtId="164" fontId="88" fillId="14" borderId="117" xfId="4" applyNumberFormat="1" applyFont="1" applyFill="1" applyBorder="1" applyAlignment="1">
      <alignment vertical="center"/>
    </xf>
    <xf numFmtId="164" fontId="88" fillId="8" borderId="117" xfId="4" applyNumberFormat="1" applyFont="1" applyFill="1" applyBorder="1" applyAlignment="1">
      <alignment vertical="center"/>
    </xf>
    <xf numFmtId="164" fontId="88" fillId="9" borderId="117" xfId="4" applyNumberFormat="1" applyFont="1" applyFill="1" applyBorder="1" applyAlignment="1">
      <alignment vertical="center"/>
    </xf>
    <xf numFmtId="164" fontId="88" fillId="45" borderId="117" xfId="4" applyNumberFormat="1" applyFont="1" applyFill="1" applyBorder="1" applyAlignment="1">
      <alignment vertical="center"/>
    </xf>
    <xf numFmtId="164" fontId="88" fillId="14" borderId="121" xfId="4" applyNumberFormat="1" applyFont="1" applyFill="1" applyBorder="1" applyAlignment="1">
      <alignment vertical="center"/>
    </xf>
    <xf numFmtId="164" fontId="88" fillId="8" borderId="121" xfId="4" applyNumberFormat="1" applyFont="1" applyFill="1" applyBorder="1" applyAlignment="1">
      <alignment vertical="center"/>
    </xf>
    <xf numFmtId="164" fontId="88" fillId="9" borderId="121" xfId="4" applyNumberFormat="1" applyFont="1" applyFill="1" applyBorder="1" applyAlignment="1">
      <alignment vertical="center"/>
    </xf>
    <xf numFmtId="164" fontId="144" fillId="12" borderId="121" xfId="4" applyNumberFormat="1" applyFont="1" applyFill="1" applyBorder="1" applyAlignment="1">
      <alignment vertical="center"/>
    </xf>
    <xf numFmtId="0" fontId="144" fillId="45" borderId="181" xfId="0" applyFont="1" applyFill="1" applyBorder="1" applyAlignment="1">
      <alignment vertical="center" wrapText="1"/>
    </xf>
    <xf numFmtId="0" fontId="144" fillId="45" borderId="0" xfId="0" applyFont="1" applyFill="1" applyBorder="1" applyAlignment="1">
      <alignment vertical="center" wrapText="1"/>
    </xf>
    <xf numFmtId="0" fontId="144" fillId="45" borderId="123" xfId="0" applyFont="1" applyFill="1" applyBorder="1" applyAlignment="1">
      <alignment vertical="center" wrapText="1"/>
    </xf>
    <xf numFmtId="0" fontId="144" fillId="45" borderId="182" xfId="0" applyFont="1" applyFill="1" applyBorder="1" applyAlignment="1">
      <alignment horizontal="center" vertical="center" wrapText="1"/>
    </xf>
    <xf numFmtId="0" fontId="144" fillId="45" borderId="183" xfId="0" applyFont="1" applyFill="1" applyBorder="1" applyAlignment="1">
      <alignment horizontal="center" vertical="center" wrapText="1"/>
    </xf>
    <xf numFmtId="0" fontId="144" fillId="45" borderId="184" xfId="0" applyFont="1" applyFill="1" applyBorder="1" applyAlignment="1">
      <alignment horizontal="center" vertical="center" wrapText="1"/>
    </xf>
    <xf numFmtId="164" fontId="144" fillId="10" borderId="185" xfId="4" applyNumberFormat="1" applyFont="1" applyFill="1" applyBorder="1" applyAlignment="1">
      <alignment vertical="center"/>
    </xf>
    <xf numFmtId="164" fontId="144" fillId="10" borderId="186" xfId="4" applyNumberFormat="1" applyFont="1" applyFill="1" applyBorder="1" applyAlignment="1">
      <alignment vertical="center"/>
    </xf>
    <xf numFmtId="164" fontId="144" fillId="10" borderId="187" xfId="4" applyNumberFormat="1" applyFont="1" applyFill="1" applyBorder="1" applyAlignment="1">
      <alignment vertical="center"/>
    </xf>
    <xf numFmtId="164" fontId="144" fillId="10" borderId="186" xfId="4" applyNumberFormat="1" applyFont="1" applyFill="1" applyBorder="1" applyAlignment="1">
      <alignment vertical="center" wrapText="1"/>
    </xf>
    <xf numFmtId="164" fontId="88" fillId="14" borderId="185" xfId="4" applyNumberFormat="1" applyFont="1" applyFill="1" applyBorder="1" applyAlignment="1">
      <alignment vertical="center"/>
    </xf>
    <xf numFmtId="164" fontId="88" fillId="14" borderId="186" xfId="4" applyNumberFormat="1" applyFont="1" applyFill="1" applyBorder="1" applyAlignment="1">
      <alignment vertical="center"/>
    </xf>
    <xf numFmtId="164" fontId="88" fillId="14" borderId="187" xfId="4" applyNumberFormat="1" applyFont="1" applyFill="1" applyBorder="1" applyAlignment="1">
      <alignment vertical="center"/>
    </xf>
    <xf numFmtId="164" fontId="144" fillId="7" borderId="185" xfId="4" applyNumberFormat="1" applyFont="1" applyFill="1" applyBorder="1" applyAlignment="1">
      <alignment vertical="center"/>
    </xf>
    <xf numFmtId="164" fontId="144" fillId="7" borderId="186" xfId="4" applyNumberFormat="1" applyFont="1" applyFill="1" applyBorder="1" applyAlignment="1">
      <alignment vertical="center"/>
    </xf>
    <xf numFmtId="164" fontId="144" fillId="7" borderId="187" xfId="4" applyNumberFormat="1" applyFont="1" applyFill="1" applyBorder="1" applyAlignment="1">
      <alignment vertical="center"/>
    </xf>
    <xf numFmtId="164" fontId="144" fillId="7" borderId="186" xfId="4" applyNumberFormat="1" applyFont="1" applyFill="1" applyBorder="1" applyAlignment="1">
      <alignment vertical="center" wrapText="1"/>
    </xf>
    <xf numFmtId="164" fontId="88" fillId="8" borderId="185" xfId="4" applyNumberFormat="1" applyFont="1" applyFill="1" applyBorder="1" applyAlignment="1">
      <alignment vertical="center"/>
    </xf>
    <xf numFmtId="164" fontId="88" fillId="8" borderId="186" xfId="4" applyNumberFormat="1" applyFont="1" applyFill="1" applyBorder="1" applyAlignment="1">
      <alignment vertical="center"/>
    </xf>
    <xf numFmtId="164" fontId="88" fillId="8" borderId="187" xfId="4" applyNumberFormat="1" applyFont="1" applyFill="1" applyBorder="1" applyAlignment="1">
      <alignment vertical="center"/>
    </xf>
    <xf numFmtId="164" fontId="144" fillId="11" borderId="185" xfId="4" applyNumberFormat="1" applyFont="1" applyFill="1" applyBorder="1" applyAlignment="1">
      <alignment vertical="center"/>
    </xf>
    <xf numFmtId="164" fontId="144" fillId="11" borderId="187" xfId="4" applyNumberFormat="1" applyFont="1" applyFill="1" applyBorder="1" applyAlignment="1">
      <alignment vertical="center"/>
    </xf>
    <xf numFmtId="164" fontId="144" fillId="11" borderId="186" xfId="4" applyNumberFormat="1" applyFont="1" applyFill="1" applyBorder="1" applyAlignment="1">
      <alignment vertical="center"/>
    </xf>
    <xf numFmtId="164" fontId="144" fillId="11" borderId="186" xfId="4" applyNumberFormat="1" applyFont="1" applyFill="1" applyBorder="1" applyAlignment="1">
      <alignment vertical="center" wrapText="1"/>
    </xf>
    <xf numFmtId="164" fontId="144" fillId="11" borderId="187" xfId="4" applyNumberFormat="1" applyFont="1" applyFill="1" applyBorder="1" applyAlignment="1">
      <alignment vertical="center" wrapText="1"/>
    </xf>
    <xf numFmtId="164" fontId="88" fillId="9" borderId="185" xfId="4" applyNumberFormat="1" applyFont="1" applyFill="1" applyBorder="1" applyAlignment="1">
      <alignment vertical="center"/>
    </xf>
    <xf numFmtId="164" fontId="88" fillId="9" borderId="186" xfId="4" applyNumberFormat="1" applyFont="1" applyFill="1" applyBorder="1" applyAlignment="1">
      <alignment vertical="center"/>
    </xf>
    <xf numFmtId="164" fontId="88" fillId="9" borderId="187" xfId="4" applyNumberFormat="1" applyFont="1" applyFill="1" applyBorder="1" applyAlignment="1">
      <alignment vertical="center"/>
    </xf>
    <xf numFmtId="164" fontId="70" fillId="54" borderId="185" xfId="4" applyNumberFormat="1" applyFont="1" applyFill="1" applyBorder="1" applyAlignment="1">
      <alignment vertical="center" wrapText="1"/>
    </xf>
    <xf numFmtId="164" fontId="70" fillId="54" borderId="187" xfId="4" applyNumberFormat="1" applyFont="1" applyFill="1" applyBorder="1" applyAlignment="1">
      <alignment vertical="center" wrapText="1"/>
    </xf>
    <xf numFmtId="164" fontId="70" fillId="54" borderId="186" xfId="4" applyNumberFormat="1" applyFont="1" applyFill="1" applyBorder="1" applyAlignment="1">
      <alignment vertical="center" wrapText="1"/>
    </xf>
    <xf numFmtId="164" fontId="144" fillId="54" borderId="186" xfId="4" applyNumberFormat="1" applyFont="1" applyFill="1" applyBorder="1" applyAlignment="1">
      <alignment vertical="center" wrapText="1"/>
    </xf>
    <xf numFmtId="164" fontId="144" fillId="54" borderId="187" xfId="4" applyNumberFormat="1" applyFont="1" applyFill="1" applyBorder="1" applyAlignment="1">
      <alignment vertical="center" wrapText="1"/>
    </xf>
    <xf numFmtId="164" fontId="144" fillId="54" borderId="185" xfId="4" applyNumberFormat="1" applyFont="1" applyFill="1" applyBorder="1" applyAlignment="1">
      <alignment vertical="center" wrapText="1"/>
    </xf>
    <xf numFmtId="164" fontId="144" fillId="42" borderId="185" xfId="4" applyNumberFormat="1" applyFont="1" applyFill="1" applyBorder="1" applyAlignment="1">
      <alignment vertical="center" wrapText="1"/>
    </xf>
    <xf numFmtId="164" fontId="144" fillId="42" borderId="186" xfId="4" applyNumberFormat="1" applyFont="1" applyFill="1" applyBorder="1" applyAlignment="1">
      <alignment vertical="center" wrapText="1"/>
    </xf>
    <xf numFmtId="164" fontId="144" fillId="42" borderId="187" xfId="4" applyNumberFormat="1" applyFont="1" applyFill="1" applyBorder="1" applyAlignment="1">
      <alignment vertical="center" wrapText="1"/>
    </xf>
    <xf numFmtId="164" fontId="144" fillId="17" borderId="185" xfId="4" applyNumberFormat="1" applyFont="1" applyFill="1" applyBorder="1" applyAlignment="1">
      <alignment vertical="center" wrapText="1"/>
    </xf>
    <xf numFmtId="164" fontId="144" fillId="17" borderId="187" xfId="4" applyNumberFormat="1" applyFont="1" applyFill="1" applyBorder="1" applyAlignment="1">
      <alignment vertical="center" wrapText="1"/>
    </xf>
    <xf numFmtId="164" fontId="144" fillId="17" borderId="186" xfId="4" applyNumberFormat="1" applyFont="1" applyFill="1" applyBorder="1" applyAlignment="1">
      <alignment vertical="center" wrapText="1"/>
    </xf>
    <xf numFmtId="164" fontId="144" fillId="12" borderId="185" xfId="4" applyNumberFormat="1" applyFont="1" applyFill="1" applyBorder="1" applyAlignment="1">
      <alignment vertical="center"/>
    </xf>
    <xf numFmtId="164" fontId="144" fillId="12" borderId="187" xfId="4" applyNumberFormat="1" applyFont="1" applyFill="1" applyBorder="1" applyAlignment="1">
      <alignment vertical="center"/>
    </xf>
    <xf numFmtId="164" fontId="144" fillId="12" borderId="186" xfId="4" applyNumberFormat="1" applyFont="1" applyFill="1" applyBorder="1" applyAlignment="1">
      <alignment vertical="center"/>
    </xf>
    <xf numFmtId="164" fontId="144" fillId="12" borderId="186" xfId="4" applyNumberFormat="1" applyFont="1" applyFill="1" applyBorder="1" applyAlignment="1">
      <alignment vertical="center" wrapText="1"/>
    </xf>
    <xf numFmtId="164" fontId="144" fillId="12" borderId="187" xfId="4" applyNumberFormat="1" applyFont="1" applyFill="1" applyBorder="1" applyAlignment="1">
      <alignment vertical="center" wrapText="1"/>
    </xf>
    <xf numFmtId="164" fontId="88" fillId="45" borderId="185" xfId="4" applyNumberFormat="1" applyFont="1" applyFill="1" applyBorder="1" applyAlignment="1">
      <alignment vertical="center"/>
    </xf>
    <xf numFmtId="164" fontId="88" fillId="45" borderId="186" xfId="4" applyNumberFormat="1" applyFont="1" applyFill="1" applyBorder="1" applyAlignment="1">
      <alignment vertical="center"/>
    </xf>
    <xf numFmtId="164" fontId="88" fillId="45" borderId="187" xfId="4" applyNumberFormat="1" applyFont="1" applyFill="1" applyBorder="1" applyAlignment="1">
      <alignment vertical="center"/>
    </xf>
    <xf numFmtId="164" fontId="88" fillId="45" borderId="188" xfId="4" applyNumberFormat="1" applyFont="1" applyFill="1" applyBorder="1" applyAlignment="1">
      <alignment vertical="center"/>
    </xf>
    <xf numFmtId="164" fontId="88" fillId="45" borderId="189" xfId="4" applyNumberFormat="1" applyFont="1" applyFill="1" applyBorder="1" applyAlignment="1">
      <alignment vertical="center"/>
    </xf>
    <xf numFmtId="164" fontId="88" fillId="45" borderId="190" xfId="4" applyNumberFormat="1" applyFont="1" applyFill="1" applyBorder="1" applyAlignment="1">
      <alignment vertical="center"/>
    </xf>
    <xf numFmtId="0" fontId="144" fillId="59" borderId="181" xfId="0" applyFont="1" applyFill="1" applyBorder="1" applyAlignment="1">
      <alignment vertical="center" wrapText="1"/>
    </xf>
    <xf numFmtId="0" fontId="144" fillId="59" borderId="182" xfId="0" applyFont="1" applyFill="1" applyBorder="1" applyAlignment="1">
      <alignment horizontal="center" vertical="center" wrapText="1"/>
    </xf>
    <xf numFmtId="0" fontId="144" fillId="59" borderId="184" xfId="0" applyFont="1" applyFill="1" applyBorder="1" applyAlignment="1">
      <alignment horizontal="center" vertical="center" wrapText="1"/>
    </xf>
    <xf numFmtId="164" fontId="144" fillId="11" borderId="185" xfId="4" applyNumberFormat="1" applyFont="1" applyFill="1" applyBorder="1" applyAlignment="1">
      <alignment vertical="center" wrapText="1"/>
    </xf>
    <xf numFmtId="164" fontId="144" fillId="12" borderId="185" xfId="4" applyNumberFormat="1" applyFont="1" applyFill="1" applyBorder="1" applyAlignment="1">
      <alignment vertical="center" wrapText="1"/>
    </xf>
    <xf numFmtId="164" fontId="144" fillId="55" borderId="121" xfId="4" applyNumberFormat="1" applyFont="1" applyFill="1" applyBorder="1" applyAlignment="1">
      <alignment vertical="center"/>
    </xf>
    <xf numFmtId="164" fontId="144" fillId="42" borderId="121" xfId="4" applyNumberFormat="1" applyFont="1" applyFill="1" applyBorder="1" applyAlignment="1">
      <alignment vertical="center"/>
    </xf>
    <xf numFmtId="0" fontId="144" fillId="56" borderId="182" xfId="0" applyFont="1" applyFill="1" applyBorder="1" applyAlignment="1">
      <alignment horizontal="center" vertical="center" wrapText="1"/>
    </xf>
    <xf numFmtId="0" fontId="144" fillId="56" borderId="183" xfId="0" applyFont="1" applyFill="1" applyBorder="1" applyAlignment="1">
      <alignment horizontal="center" vertical="center" wrapText="1"/>
    </xf>
    <xf numFmtId="0" fontId="144" fillId="56" borderId="184" xfId="0" applyFont="1" applyFill="1" applyBorder="1" applyAlignment="1">
      <alignment horizontal="center" vertical="center" wrapText="1"/>
    </xf>
    <xf numFmtId="164" fontId="88" fillId="16" borderId="185" xfId="4" applyNumberFormat="1" applyFont="1" applyFill="1" applyBorder="1" applyAlignment="1">
      <alignment vertical="center" wrapText="1"/>
    </xf>
    <xf numFmtId="164" fontId="88" fillId="16" borderId="186" xfId="4" applyNumberFormat="1" applyFont="1" applyFill="1" applyBorder="1" applyAlignment="1">
      <alignment vertical="center" wrapText="1"/>
    </xf>
    <xf numFmtId="164" fontId="88" fillId="16" borderId="187" xfId="4" applyNumberFormat="1" applyFont="1" applyFill="1" applyBorder="1" applyAlignment="1">
      <alignment vertical="center" wrapText="1"/>
    </xf>
    <xf numFmtId="164" fontId="88" fillId="16" borderId="121" xfId="4" applyNumberFormat="1" applyFont="1" applyFill="1" applyBorder="1" applyAlignment="1">
      <alignment vertical="center" wrapText="1"/>
    </xf>
    <xf numFmtId="164" fontId="88" fillId="16" borderId="28" xfId="4" applyNumberFormat="1" applyFont="1" applyFill="1" applyBorder="1" applyAlignment="1">
      <alignment vertical="center" wrapText="1"/>
    </xf>
    <xf numFmtId="164" fontId="88" fillId="16" borderId="117" xfId="4" applyNumberFormat="1" applyFont="1" applyFill="1" applyBorder="1" applyAlignment="1">
      <alignment vertical="center" wrapText="1"/>
    </xf>
    <xf numFmtId="9" fontId="88" fillId="16" borderId="118" xfId="1" applyFont="1" applyFill="1" applyBorder="1" applyAlignment="1">
      <alignment vertical="center" wrapText="1"/>
    </xf>
    <xf numFmtId="9" fontId="88" fillId="16" borderId="151" xfId="1" applyFont="1" applyFill="1" applyBorder="1" applyAlignment="1">
      <alignment vertical="center" wrapText="1"/>
    </xf>
    <xf numFmtId="164" fontId="88" fillId="16" borderId="133" xfId="4" applyNumberFormat="1" applyFont="1" applyFill="1" applyBorder="1" applyAlignment="1">
      <alignment vertical="center" wrapText="1"/>
    </xf>
    <xf numFmtId="164" fontId="88" fillId="16" borderId="118" xfId="4" applyNumberFormat="1" applyFont="1" applyFill="1" applyBorder="1" applyAlignment="1">
      <alignment vertical="center" wrapText="1"/>
    </xf>
    <xf numFmtId="164" fontId="88" fillId="16" borderId="159" xfId="4" applyNumberFormat="1" applyFont="1" applyFill="1" applyBorder="1" applyAlignment="1">
      <alignment vertical="center" wrapText="1"/>
    </xf>
    <xf numFmtId="0" fontId="75" fillId="0" borderId="0" xfId="0" applyFont="1"/>
    <xf numFmtId="0" fontId="173" fillId="0" borderId="0" xfId="0" applyFont="1"/>
    <xf numFmtId="0" fontId="88" fillId="0" borderId="0" xfId="0" applyFont="1"/>
    <xf numFmtId="164" fontId="144" fillId="10" borderId="28" xfId="4" applyNumberFormat="1" applyFont="1" applyFill="1" applyBorder="1" applyAlignment="1">
      <alignment vertical="center"/>
    </xf>
    <xf numFmtId="164" fontId="144" fillId="7" borderId="28" xfId="4" applyNumberFormat="1" applyFont="1" applyFill="1" applyBorder="1" applyAlignment="1">
      <alignment vertical="center"/>
    </xf>
    <xf numFmtId="164" fontId="70" fillId="54" borderId="28" xfId="4" applyNumberFormat="1" applyFont="1" applyFill="1" applyBorder="1" applyAlignment="1">
      <alignment vertical="center" wrapText="1"/>
    </xf>
    <xf numFmtId="164" fontId="144" fillId="12" borderId="28" xfId="4" applyNumberFormat="1" applyFont="1" applyFill="1" applyBorder="1" applyAlignment="1">
      <alignment vertical="center"/>
    </xf>
    <xf numFmtId="164" fontId="77" fillId="0" borderId="0" xfId="0" applyNumberFormat="1" applyFont="1"/>
    <xf numFmtId="9" fontId="77" fillId="0" borderId="0" xfId="1" applyFont="1"/>
    <xf numFmtId="164" fontId="69" fillId="0" borderId="0" xfId="0" applyNumberFormat="1" applyFont="1" applyAlignment="1">
      <alignment horizontal="left"/>
    </xf>
    <xf numFmtId="9" fontId="174" fillId="0" borderId="0" xfId="1" applyFont="1" applyFill="1" applyAlignment="1">
      <alignment horizontal="left" vertical="center"/>
    </xf>
    <xf numFmtId="164" fontId="72" fillId="0" borderId="0" xfId="0" applyNumberFormat="1" applyFont="1" applyFill="1" applyAlignment="1">
      <alignment vertical="center"/>
    </xf>
    <xf numFmtId="164" fontId="69" fillId="17" borderId="134" xfId="4" applyNumberFormat="1" applyFont="1" applyFill="1" applyBorder="1" applyAlignment="1">
      <alignment vertical="center" wrapText="1"/>
    </xf>
    <xf numFmtId="43" fontId="69" fillId="0" borderId="0" xfId="0" applyNumberFormat="1" applyFont="1"/>
    <xf numFmtId="0" fontId="44" fillId="0" borderId="21" xfId="0" applyFont="1" applyFill="1" applyBorder="1"/>
    <xf numFmtId="167" fontId="175" fillId="0" borderId="0" xfId="0" applyNumberFormat="1" applyFont="1" applyFill="1" applyAlignment="1">
      <alignment horizontal="left" vertical="center" readingOrder="1"/>
    </xf>
    <xf numFmtId="0" fontId="175" fillId="0" borderId="0" xfId="0" applyFont="1" applyFill="1" applyAlignment="1">
      <alignment horizontal="left" vertical="center" readingOrder="1"/>
    </xf>
    <xf numFmtId="0" fontId="175" fillId="0" borderId="0" xfId="1" applyNumberFormat="1" applyFont="1" applyFill="1" applyAlignment="1">
      <alignment horizontal="left" vertical="center" readingOrder="1"/>
    </xf>
    <xf numFmtId="164" fontId="175" fillId="0" borderId="0" xfId="4" applyNumberFormat="1" applyFont="1" applyFill="1" applyAlignment="1">
      <alignment horizontal="left" vertical="center" readingOrder="1"/>
    </xf>
    <xf numFmtId="168" fontId="175" fillId="0" borderId="0" xfId="0" applyNumberFormat="1" applyFont="1" applyFill="1" applyAlignment="1">
      <alignment horizontal="left" vertical="center" readingOrder="1"/>
    </xf>
    <xf numFmtId="165" fontId="175" fillId="0" borderId="0" xfId="0" applyNumberFormat="1" applyFont="1" applyFill="1" applyAlignment="1">
      <alignment horizontal="left" vertical="center" readingOrder="1"/>
    </xf>
    <xf numFmtId="1" fontId="175" fillId="0" borderId="0" xfId="0" applyNumberFormat="1" applyFont="1" applyFill="1" applyAlignment="1">
      <alignment horizontal="left" vertical="center" readingOrder="1"/>
    </xf>
    <xf numFmtId="0" fontId="175" fillId="0" borderId="0" xfId="0" applyNumberFormat="1" applyFont="1" applyFill="1" applyAlignment="1">
      <alignment horizontal="left" vertical="center" readingOrder="1"/>
    </xf>
    <xf numFmtId="9" fontId="175" fillId="0" borderId="0" xfId="1" applyFont="1" applyFill="1" applyAlignment="1">
      <alignment horizontal="left" vertical="center" readingOrder="1"/>
    </xf>
    <xf numFmtId="1" fontId="175" fillId="0" borderId="0" xfId="1" applyNumberFormat="1" applyFont="1" applyFill="1" applyAlignment="1">
      <alignment horizontal="left" vertical="center" readingOrder="1"/>
    </xf>
    <xf numFmtId="9" fontId="175" fillId="0" borderId="0" xfId="1" applyNumberFormat="1" applyFont="1" applyFill="1" applyAlignment="1">
      <alignment horizontal="left" vertical="center" readingOrder="1"/>
    </xf>
    <xf numFmtId="9" fontId="175" fillId="0" borderId="0" xfId="0" applyNumberFormat="1" applyFont="1" applyFill="1" applyAlignment="1">
      <alignment horizontal="left" vertical="center" readingOrder="1"/>
    </xf>
    <xf numFmtId="1" fontId="175" fillId="0" borderId="0" xfId="4" applyNumberFormat="1" applyFont="1" applyFill="1" applyAlignment="1">
      <alignment horizontal="left" vertical="center" readingOrder="1"/>
    </xf>
    <xf numFmtId="0" fontId="117" fillId="62" borderId="0" xfId="0" applyFont="1" applyFill="1" applyBorder="1"/>
    <xf numFmtId="0" fontId="36" fillId="0" borderId="0" xfId="79" applyFont="1" applyFill="1" applyBorder="1" applyAlignment="1">
      <alignment horizontal="left" vertical="center" readingOrder="1"/>
    </xf>
    <xf numFmtId="0" fontId="9" fillId="57" borderId="0" xfId="80" applyFont="1" applyBorder="1" applyAlignment="1">
      <alignment horizontal="left" vertical="center"/>
    </xf>
    <xf numFmtId="0" fontId="44" fillId="0" borderId="0" xfId="0" applyNumberFormat="1" applyFont="1" applyFill="1" applyBorder="1" applyAlignment="1">
      <alignment wrapText="1"/>
    </xf>
    <xf numFmtId="0" fontId="44" fillId="31" borderId="0" xfId="0" applyFont="1" applyFill="1" applyBorder="1"/>
    <xf numFmtId="164" fontId="77" fillId="12" borderId="185" xfId="4" applyNumberFormat="1" applyFont="1" applyFill="1" applyBorder="1" applyAlignment="1">
      <alignment vertical="center"/>
    </xf>
    <xf numFmtId="164" fontId="77" fillId="12" borderId="185" xfId="4" applyNumberFormat="1" applyFont="1" applyFill="1" applyBorder="1" applyAlignment="1">
      <alignment vertical="center" wrapText="1"/>
    </xf>
    <xf numFmtId="164" fontId="77" fillId="7" borderId="185" xfId="4" applyNumberFormat="1" applyFont="1" applyFill="1" applyBorder="1" applyAlignment="1">
      <alignment vertical="center"/>
    </xf>
    <xf numFmtId="9" fontId="121" fillId="16" borderId="0" xfId="18" applyNumberFormat="1" applyFont="1" applyFill="1" applyBorder="1" applyAlignment="1">
      <alignment horizontal="center" vertical="center" wrapText="1" readingOrder="1"/>
    </xf>
    <xf numFmtId="9" fontId="68" fillId="34" borderId="0" xfId="18" applyNumberFormat="1" applyFont="1" applyFill="1" applyBorder="1" applyAlignment="1">
      <alignment horizontal="left" vertical="center" wrapText="1" readingOrder="1"/>
    </xf>
    <xf numFmtId="9" fontId="69" fillId="0" borderId="0" xfId="0" applyNumberFormat="1" applyFont="1"/>
    <xf numFmtId="0" fontId="176" fillId="0" borderId="0" xfId="0" applyNumberFormat="1" applyFont="1"/>
    <xf numFmtId="0" fontId="176" fillId="0" borderId="0" xfId="0" applyFont="1" applyAlignment="1">
      <alignment horizontal="left" indent="1"/>
    </xf>
    <xf numFmtId="0" fontId="178" fillId="0" borderId="34" xfId="0" applyFont="1" applyBorder="1" applyAlignment="1">
      <alignment horizontal="left" indent="1"/>
    </xf>
    <xf numFmtId="0" fontId="4" fillId="0" borderId="0" xfId="0" applyFont="1"/>
    <xf numFmtId="0" fontId="152" fillId="0" borderId="195" xfId="0" applyFont="1" applyBorder="1" applyAlignment="1">
      <alignment horizontal="left"/>
    </xf>
    <xf numFmtId="0" fontId="152" fillId="0" borderId="0" xfId="0" applyFont="1" applyBorder="1" applyAlignment="1">
      <alignment horizontal="left"/>
    </xf>
    <xf numFmtId="9" fontId="69" fillId="0" borderId="0" xfId="1" applyFont="1" applyAlignment="1">
      <alignment vertical="center"/>
    </xf>
    <xf numFmtId="0" fontId="179" fillId="64" borderId="83" xfId="0" applyFont="1" applyFill="1" applyBorder="1"/>
    <xf numFmtId="0" fontId="179" fillId="64" borderId="199" xfId="0" applyFont="1" applyFill="1" applyBorder="1"/>
    <xf numFmtId="0" fontId="177" fillId="64" borderId="196" xfId="0" applyFont="1" applyFill="1" applyBorder="1"/>
    <xf numFmtId="0" fontId="179" fillId="64" borderId="198" xfId="0" applyFont="1" applyFill="1" applyBorder="1"/>
    <xf numFmtId="0" fontId="179" fillId="64" borderId="82" xfId="0" applyFont="1" applyFill="1" applyBorder="1"/>
    <xf numFmtId="0" fontId="179" fillId="64" borderId="197" xfId="0" applyFont="1" applyFill="1" applyBorder="1"/>
    <xf numFmtId="0" fontId="36" fillId="52" borderId="0" xfId="1" applyNumberFormat="1" applyFont="1" applyFill="1" applyAlignment="1">
      <alignment horizontal="left" vertical="center" readingOrder="1"/>
    </xf>
    <xf numFmtId="0" fontId="36" fillId="0" borderId="0" xfId="0" applyFont="1" applyFill="1" applyAlignment="1">
      <alignment horizontal="left" vertical="center" readingOrder="1"/>
    </xf>
    <xf numFmtId="0" fontId="3" fillId="0" borderId="0" xfId="0" applyFont="1"/>
    <xf numFmtId="0" fontId="3" fillId="0" borderId="0" xfId="0" applyNumberFormat="1" applyFont="1"/>
    <xf numFmtId="0" fontId="180" fillId="0" borderId="0" xfId="0" applyFont="1"/>
    <xf numFmtId="0" fontId="3" fillId="0" borderId="0" xfId="0" applyFont="1" applyBorder="1"/>
    <xf numFmtId="0" fontId="3" fillId="0" borderId="0" xfId="0" applyNumberFormat="1" applyFont="1" applyBorder="1"/>
    <xf numFmtId="0" fontId="3" fillId="0" borderId="25" xfId="0" applyFont="1" applyBorder="1"/>
    <xf numFmtId="0" fontId="3" fillId="63" borderId="0" xfId="0" applyFont="1" applyFill="1"/>
    <xf numFmtId="167" fontId="36" fillId="0" borderId="0" xfId="0" applyNumberFormat="1" applyFont="1" applyFill="1" applyAlignment="1">
      <alignment horizontal="left" vertical="center" readingOrder="1"/>
    </xf>
    <xf numFmtId="1" fontId="99" fillId="18" borderId="0" xfId="0" applyNumberFormat="1" applyFont="1" applyFill="1" applyAlignment="1">
      <alignment vertical="top" wrapText="1"/>
    </xf>
    <xf numFmtId="168" fontId="36" fillId="0" borderId="0" xfId="0" applyNumberFormat="1" applyFont="1" applyFill="1" applyAlignment="1">
      <alignment horizontal="left" vertical="center" readingOrder="1"/>
    </xf>
    <xf numFmtId="165" fontId="36" fillId="0" borderId="0" xfId="0" applyNumberFormat="1" applyFont="1" applyFill="1" applyAlignment="1">
      <alignment horizontal="left" vertical="center" readingOrder="1"/>
    </xf>
    <xf numFmtId="0" fontId="36" fillId="0" borderId="0" xfId="0" applyNumberFormat="1" applyFont="1" applyFill="1" applyAlignment="1">
      <alignment horizontal="left" vertical="center" readingOrder="1"/>
    </xf>
    <xf numFmtId="9" fontId="36" fillId="0" borderId="0" xfId="0" applyNumberFormat="1" applyFont="1" applyFill="1" applyAlignment="1">
      <alignment horizontal="left" vertical="center" readingOrder="1"/>
    </xf>
    <xf numFmtId="1" fontId="36" fillId="0" borderId="0" xfId="4" applyNumberFormat="1" applyFont="1" applyFill="1" applyAlignment="1">
      <alignment horizontal="left" vertical="center" readingOrder="1"/>
    </xf>
    <xf numFmtId="0" fontId="181" fillId="0" borderId="0" xfId="1" applyNumberFormat="1" applyFont="1" applyFill="1" applyAlignment="1">
      <alignment horizontal="left" vertical="center" readingOrder="1"/>
    </xf>
    <xf numFmtId="164" fontId="181" fillId="0" borderId="0" xfId="4" applyNumberFormat="1" applyFont="1" applyFill="1" applyAlignment="1">
      <alignment horizontal="left" vertical="center" readingOrder="1"/>
    </xf>
    <xf numFmtId="168" fontId="181" fillId="0" borderId="0" xfId="0" applyNumberFormat="1" applyFont="1" applyFill="1" applyAlignment="1">
      <alignment horizontal="left" vertical="center" readingOrder="1"/>
    </xf>
    <xf numFmtId="165" fontId="181" fillId="0" borderId="0" xfId="0" applyNumberFormat="1" applyFont="1" applyFill="1" applyAlignment="1">
      <alignment horizontal="left" vertical="center" readingOrder="1"/>
    </xf>
    <xf numFmtId="1" fontId="181" fillId="0" borderId="0" xfId="0" applyNumberFormat="1" applyFont="1" applyFill="1" applyAlignment="1">
      <alignment horizontal="left" vertical="center" readingOrder="1"/>
    </xf>
    <xf numFmtId="0" fontId="181" fillId="0" borderId="0" xfId="0" applyNumberFormat="1" applyFont="1" applyFill="1" applyAlignment="1">
      <alignment horizontal="left" vertical="center" readingOrder="1"/>
    </xf>
    <xf numFmtId="9" fontId="181" fillId="0" borderId="0" xfId="1" applyFont="1" applyFill="1" applyAlignment="1">
      <alignment horizontal="left" vertical="center" readingOrder="1"/>
    </xf>
    <xf numFmtId="1" fontId="181" fillId="0" borderId="0" xfId="1" applyNumberFormat="1" applyFont="1" applyFill="1" applyAlignment="1">
      <alignment horizontal="left" vertical="center" readingOrder="1"/>
    </xf>
    <xf numFmtId="9" fontId="181" fillId="0" borderId="0" xfId="1" applyNumberFormat="1" applyFont="1" applyFill="1" applyAlignment="1">
      <alignment horizontal="left" vertical="center" readingOrder="1"/>
    </xf>
    <xf numFmtId="9" fontId="181" fillId="0" borderId="0" xfId="0" applyNumberFormat="1" applyFont="1" applyFill="1" applyAlignment="1">
      <alignment horizontal="left" vertical="center" readingOrder="1"/>
    </xf>
    <xf numFmtId="1" fontId="181" fillId="0" borderId="0" xfId="4" applyNumberFormat="1" applyFont="1" applyFill="1" applyAlignment="1">
      <alignment horizontal="left" vertical="center" readingOrder="1"/>
    </xf>
    <xf numFmtId="168" fontId="36" fillId="0" borderId="0" xfId="0" applyNumberFormat="1" applyFont="1" applyAlignment="1">
      <alignment horizontal="left" vertical="center" readingOrder="1"/>
    </xf>
    <xf numFmtId="165" fontId="36" fillId="0" borderId="0" xfId="0" applyNumberFormat="1" applyFont="1" applyAlignment="1">
      <alignment horizontal="left" vertical="center" readingOrder="1"/>
    </xf>
    <xf numFmtId="0" fontId="9" fillId="57" borderId="23" xfId="80" applyFont="1" applyBorder="1" applyAlignment="1">
      <alignment horizontal="left" vertical="center"/>
    </xf>
    <xf numFmtId="49" fontId="5" fillId="57" borderId="0" xfId="80" applyNumberFormat="1" applyFont="1" applyBorder="1" applyAlignment="1">
      <alignment horizontal="left" vertical="center"/>
    </xf>
    <xf numFmtId="0" fontId="44" fillId="0" borderId="191" xfId="0" applyFont="1" applyFill="1" applyBorder="1"/>
    <xf numFmtId="1" fontId="93" fillId="0" borderId="23" xfId="0" applyNumberFormat="1" applyFont="1" applyBorder="1" applyAlignment="1">
      <alignment horizontal="right" vertical="center"/>
    </xf>
    <xf numFmtId="0" fontId="93" fillId="0" borderId="23" xfId="0" applyFont="1" applyBorder="1" applyAlignment="1">
      <alignment horizontal="left" vertical="center" wrapText="1"/>
    </xf>
    <xf numFmtId="164" fontId="181" fillId="65" borderId="0" xfId="4" applyNumberFormat="1" applyFont="1" applyFill="1" applyAlignment="1">
      <alignment horizontal="left" vertical="center" readingOrder="1"/>
    </xf>
    <xf numFmtId="0" fontId="36" fillId="0" borderId="0" xfId="0" applyFont="1" applyAlignment="1">
      <alignment horizontal="left" vertical="center" readingOrder="1"/>
    </xf>
    <xf numFmtId="164" fontId="65" fillId="0" borderId="0" xfId="4" applyNumberFormat="1" applyFont="1" applyFill="1" applyAlignment="1">
      <alignment horizontal="left" vertical="center" readingOrder="1"/>
    </xf>
    <xf numFmtId="0" fontId="182" fillId="0" borderId="0" xfId="0" applyFont="1" applyFill="1" applyAlignment="1"/>
    <xf numFmtId="0" fontId="183" fillId="0" borderId="0" xfId="1" applyNumberFormat="1" applyFont="1" applyFill="1" applyAlignment="1">
      <alignment horizontal="left" vertical="center" readingOrder="1"/>
    </xf>
    <xf numFmtId="164" fontId="183" fillId="0" borderId="0" xfId="4" applyNumberFormat="1" applyFont="1" applyFill="1" applyAlignment="1">
      <alignment horizontal="left" vertical="center" readingOrder="1"/>
    </xf>
    <xf numFmtId="168" fontId="183" fillId="0" borderId="0" xfId="0" applyNumberFormat="1" applyFont="1" applyFill="1" applyAlignment="1">
      <alignment horizontal="left" vertical="center" readingOrder="1"/>
    </xf>
    <xf numFmtId="165" fontId="183" fillId="0" borderId="0" xfId="0" applyNumberFormat="1" applyFont="1" applyFill="1" applyAlignment="1">
      <alignment horizontal="left" vertical="center" readingOrder="1"/>
    </xf>
    <xf numFmtId="1" fontId="183" fillId="0" borderId="0" xfId="0" applyNumberFormat="1" applyFont="1" applyFill="1" applyAlignment="1">
      <alignment horizontal="left" vertical="center" readingOrder="1"/>
    </xf>
    <xf numFmtId="0" fontId="183" fillId="0" borderId="0" xfId="0" applyNumberFormat="1" applyFont="1" applyFill="1" applyAlignment="1">
      <alignment horizontal="left" vertical="center" readingOrder="1"/>
    </xf>
    <xf numFmtId="9" fontId="183" fillId="0" borderId="0" xfId="1" applyFont="1" applyFill="1" applyAlignment="1">
      <alignment horizontal="left" vertical="center" readingOrder="1"/>
    </xf>
    <xf numFmtId="1" fontId="183" fillId="0" borderId="0" xfId="1" applyNumberFormat="1" applyFont="1" applyFill="1" applyAlignment="1">
      <alignment horizontal="left" vertical="center" readingOrder="1"/>
    </xf>
    <xf numFmtId="9" fontId="183" fillId="0" borderId="0" xfId="1" applyNumberFormat="1" applyFont="1" applyFill="1" applyAlignment="1">
      <alignment horizontal="left" vertical="center" readingOrder="1"/>
    </xf>
    <xf numFmtId="9" fontId="183" fillId="0" borderId="0" xfId="0" applyNumberFormat="1" applyFont="1" applyFill="1" applyAlignment="1">
      <alignment horizontal="left" vertical="center" readingOrder="1"/>
    </xf>
    <xf numFmtId="1" fontId="183" fillId="0" borderId="0" xfId="4" applyNumberFormat="1" applyFont="1" applyFill="1" applyAlignment="1">
      <alignment horizontal="left" vertical="center" readingOrder="1"/>
    </xf>
    <xf numFmtId="0" fontId="91" fillId="31" borderId="200" xfId="0" applyFont="1" applyFill="1" applyBorder="1"/>
    <xf numFmtId="0" fontId="0" fillId="31" borderId="21" xfId="0" applyFont="1" applyFill="1" applyBorder="1"/>
    <xf numFmtId="0" fontId="91" fillId="0" borderId="200" xfId="0" applyFont="1" applyBorder="1"/>
    <xf numFmtId="0" fontId="0" fillId="0" borderId="21" xfId="0" applyFont="1" applyBorder="1"/>
    <xf numFmtId="0" fontId="91" fillId="2" borderId="0" xfId="0" applyFont="1" applyFill="1"/>
    <xf numFmtId="0" fontId="0" fillId="2" borderId="0" xfId="0" applyFill="1"/>
    <xf numFmtId="0" fontId="91" fillId="2" borderId="25" xfId="0" applyFont="1" applyFill="1" applyBorder="1"/>
    <xf numFmtId="0" fontId="91" fillId="2" borderId="0" xfId="0" applyFont="1" applyFill="1" applyBorder="1"/>
    <xf numFmtId="0" fontId="91" fillId="0" borderId="0" xfId="0" applyFont="1" applyBorder="1"/>
    <xf numFmtId="0" fontId="0" fillId="2" borderId="0" xfId="0" applyFill="1" applyBorder="1"/>
    <xf numFmtId="0" fontId="2" fillId="0" borderId="0" xfId="0" applyFont="1"/>
    <xf numFmtId="0" fontId="2" fillId="0" borderId="0" xfId="0" applyNumberFormat="1" applyFont="1"/>
    <xf numFmtId="0" fontId="2" fillId="0" borderId="25" xfId="0" applyFont="1" applyBorder="1"/>
    <xf numFmtId="0" fontId="45" fillId="22" borderId="0" xfId="0" applyNumberFormat="1" applyFont="1" applyFill="1" applyBorder="1" applyAlignment="1">
      <alignment horizontal="left" vertical="center" readingOrder="1"/>
    </xf>
    <xf numFmtId="0" fontId="107" fillId="22" borderId="0" xfId="0" applyNumberFormat="1" applyFont="1" applyFill="1" applyBorder="1" applyAlignment="1">
      <alignment horizontal="left" vertical="center" wrapText="1" readingOrder="1"/>
    </xf>
    <xf numFmtId="0" fontId="108" fillId="22" borderId="0" xfId="0" applyNumberFormat="1" applyFont="1" applyFill="1" applyBorder="1" applyAlignment="1">
      <alignment horizontal="left" vertical="center" wrapText="1" readingOrder="1"/>
    </xf>
    <xf numFmtId="0" fontId="45" fillId="22" borderId="136" xfId="0" applyNumberFormat="1" applyFont="1" applyFill="1" applyBorder="1" applyAlignment="1">
      <alignment horizontal="left" vertical="center" wrapText="1" readingOrder="1"/>
    </xf>
    <xf numFmtId="0" fontId="68" fillId="22" borderId="137" xfId="0" applyNumberFormat="1" applyFont="1" applyFill="1" applyBorder="1" applyAlignment="1">
      <alignment horizontal="left" vertical="center" wrapText="1" readingOrder="1"/>
    </xf>
    <xf numFmtId="167" fontId="181" fillId="0" borderId="0" xfId="0" applyNumberFormat="1" applyFont="1" applyFill="1" applyAlignment="1">
      <alignment horizontal="left" vertical="center" readingOrder="1"/>
    </xf>
    <xf numFmtId="0" fontId="181" fillId="0" borderId="0" xfId="0" applyFont="1" applyFill="1" applyAlignment="1">
      <alignment horizontal="left" vertical="center" readingOrder="1"/>
    </xf>
    <xf numFmtId="164" fontId="77" fillId="12" borderId="186" xfId="4" applyNumberFormat="1" applyFont="1" applyFill="1" applyBorder="1" applyAlignment="1">
      <alignment vertical="center" wrapText="1"/>
    </xf>
    <xf numFmtId="0" fontId="81" fillId="14" borderId="59" xfId="0" applyFont="1" applyFill="1" applyBorder="1" applyAlignment="1">
      <alignment horizontal="left" vertical="center"/>
    </xf>
    <xf numFmtId="0" fontId="81" fillId="14" borderId="60" xfId="0" applyFont="1" applyFill="1" applyBorder="1" applyAlignment="1">
      <alignment vertical="center"/>
    </xf>
    <xf numFmtId="164" fontId="81" fillId="14" borderId="61" xfId="4" applyNumberFormat="1" applyFont="1" applyFill="1" applyBorder="1" applyAlignment="1">
      <alignment vertical="center"/>
    </xf>
    <xf numFmtId="9" fontId="81" fillId="14" borderId="61" xfId="0" applyNumberFormat="1" applyFont="1" applyFill="1" applyBorder="1" applyAlignment="1">
      <alignment horizontal="center" vertical="center"/>
    </xf>
    <xf numFmtId="9" fontId="185" fillId="14" borderId="61" xfId="0" applyNumberFormat="1" applyFont="1" applyFill="1" applyBorder="1" applyAlignment="1">
      <alignment horizontal="center" vertical="center"/>
    </xf>
    <xf numFmtId="0" fontId="81" fillId="14" borderId="201" xfId="0" applyFont="1" applyFill="1" applyBorder="1" applyAlignment="1">
      <alignment horizontal="left" vertical="center"/>
    </xf>
    <xf numFmtId="0" fontId="81" fillId="14" borderId="202" xfId="0" applyFont="1" applyFill="1" applyBorder="1" applyAlignment="1">
      <alignment vertical="center"/>
    </xf>
    <xf numFmtId="164" fontId="81" fillId="14" borderId="203" xfId="4" applyNumberFormat="1" applyFont="1" applyFill="1" applyBorder="1" applyAlignment="1">
      <alignment vertical="center"/>
    </xf>
    <xf numFmtId="9" fontId="81" fillId="14" borderId="203" xfId="0" applyNumberFormat="1" applyFont="1" applyFill="1" applyBorder="1" applyAlignment="1">
      <alignment horizontal="center" vertical="center"/>
    </xf>
    <xf numFmtId="9" fontId="185" fillId="14" borderId="203" xfId="0" applyNumberFormat="1" applyFont="1" applyFill="1" applyBorder="1" applyAlignment="1">
      <alignment horizontal="center" vertical="center"/>
    </xf>
    <xf numFmtId="0" fontId="186" fillId="0" borderId="0" xfId="0" applyFont="1" applyFill="1" applyBorder="1" applyAlignment="1">
      <alignment horizontal="left" vertical="center"/>
    </xf>
    <xf numFmtId="0" fontId="186" fillId="0" borderId="0" xfId="0" applyFont="1" applyFill="1" applyBorder="1" applyAlignment="1">
      <alignment horizontal="left" vertical="center" wrapText="1"/>
    </xf>
    <xf numFmtId="164" fontId="186" fillId="0" borderId="0" xfId="4" applyNumberFormat="1" applyFont="1" applyFill="1" applyAlignment="1">
      <alignment horizontal="center" vertical="center"/>
    </xf>
    <xf numFmtId="164" fontId="186" fillId="0" borderId="0" xfId="4" applyNumberFormat="1" applyFont="1" applyFill="1" applyBorder="1" applyAlignment="1">
      <alignment horizontal="center" vertical="center"/>
    </xf>
    <xf numFmtId="9" fontId="186" fillId="0" borderId="0" xfId="0" applyNumberFormat="1" applyFont="1" applyFill="1" applyBorder="1" applyAlignment="1">
      <alignment horizontal="center" vertical="center"/>
    </xf>
    <xf numFmtId="9" fontId="187" fillId="0" borderId="0" xfId="0" applyNumberFormat="1" applyFont="1" applyFill="1" applyBorder="1" applyAlignment="1">
      <alignment horizontal="center" vertical="center"/>
    </xf>
    <xf numFmtId="164" fontId="188" fillId="0" borderId="0" xfId="4" applyNumberFormat="1" applyFont="1" applyFill="1" applyAlignment="1">
      <alignment horizontal="center" vertical="center"/>
    </xf>
    <xf numFmtId="164" fontId="186" fillId="0" borderId="0" xfId="4" applyNumberFormat="1" applyFont="1" applyFill="1" applyBorder="1" applyAlignment="1">
      <alignment vertical="center"/>
    </xf>
    <xf numFmtId="9" fontId="186" fillId="0" borderId="0" xfId="0" applyNumberFormat="1" applyFont="1" applyFill="1" applyBorder="1" applyAlignment="1">
      <alignment horizontal="center"/>
    </xf>
    <xf numFmtId="9" fontId="187" fillId="0" borderId="0" xfId="0" applyNumberFormat="1" applyFont="1" applyFill="1" applyBorder="1" applyAlignment="1">
      <alignment horizontal="center"/>
    </xf>
    <xf numFmtId="0" fontId="184" fillId="0" borderId="37" xfId="0" applyFont="1" applyBorder="1" applyAlignment="1">
      <alignment vertical="center"/>
    </xf>
    <xf numFmtId="0" fontId="184" fillId="0" borderId="38" xfId="0" applyFont="1" applyBorder="1" applyAlignment="1">
      <alignment vertical="center"/>
    </xf>
    <xf numFmtId="164" fontId="184" fillId="0" borderId="38" xfId="0" applyNumberFormat="1" applyFont="1" applyBorder="1" applyAlignment="1">
      <alignment vertical="center"/>
    </xf>
    <xf numFmtId="0" fontId="184" fillId="0" borderId="34" xfId="0" applyFont="1" applyBorder="1" applyAlignment="1">
      <alignment vertical="center"/>
    </xf>
    <xf numFmtId="0" fontId="184" fillId="0" borderId="39" xfId="0" applyFont="1" applyBorder="1" applyAlignment="1">
      <alignment vertical="center"/>
    </xf>
    <xf numFmtId="164" fontId="184" fillId="0" borderId="39" xfId="0" applyNumberFormat="1" applyFont="1" applyBorder="1" applyAlignment="1">
      <alignment vertical="center"/>
    </xf>
    <xf numFmtId="9" fontId="184" fillId="0" borderId="38" xfId="0" applyNumberFormat="1" applyFont="1" applyBorder="1" applyAlignment="1">
      <alignment horizontal="center" vertical="center"/>
    </xf>
    <xf numFmtId="9" fontId="184" fillId="0" borderId="39" xfId="0" applyNumberFormat="1" applyFont="1" applyBorder="1" applyAlignment="1">
      <alignment horizontal="center" vertical="center"/>
    </xf>
    <xf numFmtId="0" fontId="6" fillId="0" borderId="204" xfId="0" applyFont="1" applyFill="1" applyBorder="1" applyAlignment="1">
      <alignment horizontal="left" vertical="center"/>
    </xf>
    <xf numFmtId="0" fontId="6" fillId="0" borderId="204" xfId="0" applyNumberFormat="1" applyFont="1" applyFill="1" applyBorder="1" applyAlignment="1">
      <alignment vertical="center"/>
    </xf>
    <xf numFmtId="0" fontId="6" fillId="0" borderId="204" xfId="4" applyNumberFormat="1" applyFont="1" applyFill="1" applyBorder="1" applyAlignment="1">
      <alignment vertical="center"/>
    </xf>
    <xf numFmtId="164" fontId="6" fillId="0" borderId="204" xfId="4" applyNumberFormat="1" applyFont="1" applyFill="1" applyBorder="1" applyAlignment="1">
      <alignment vertical="center"/>
    </xf>
    <xf numFmtId="9" fontId="6" fillId="0" borderId="204" xfId="0" applyNumberFormat="1" applyFont="1" applyFill="1" applyBorder="1" applyAlignment="1">
      <alignment horizontal="center" vertical="center"/>
    </xf>
    <xf numFmtId="0" fontId="6" fillId="0" borderId="204" xfId="0" applyFont="1" applyFill="1" applyBorder="1" applyAlignment="1">
      <alignment horizontal="center" vertical="center"/>
    </xf>
    <xf numFmtId="0" fontId="95" fillId="35" borderId="175" xfId="0" applyFont="1" applyFill="1" applyBorder="1" applyAlignment="1">
      <alignment horizontal="center" vertical="center" wrapText="1"/>
    </xf>
    <xf numFmtId="0" fontId="186" fillId="0" borderId="177" xfId="0" applyFont="1" applyFill="1" applyBorder="1" applyAlignment="1">
      <alignment horizontal="left" vertical="center"/>
    </xf>
    <xf numFmtId="0" fontId="186" fillId="0" borderId="28" xfId="0" applyFont="1" applyFill="1" applyBorder="1" applyAlignment="1">
      <alignment horizontal="left" vertical="center"/>
    </xf>
    <xf numFmtId="0" fontId="186" fillId="0" borderId="28" xfId="4" applyNumberFormat="1" applyFont="1" applyFill="1" applyBorder="1" applyAlignment="1">
      <alignment vertical="center"/>
    </xf>
    <xf numFmtId="164" fontId="186" fillId="0" borderId="28" xfId="4" applyNumberFormat="1" applyFont="1" applyFill="1" applyBorder="1" applyAlignment="1">
      <alignment vertical="center"/>
    </xf>
    <xf numFmtId="9" fontId="186" fillId="0" borderId="28" xfId="0" applyNumberFormat="1" applyFont="1" applyFill="1" applyBorder="1" applyAlignment="1">
      <alignment horizontal="center" vertical="center"/>
    </xf>
    <xf numFmtId="9" fontId="186" fillId="0" borderId="178" xfId="0" applyNumberFormat="1" applyFont="1" applyFill="1" applyBorder="1" applyAlignment="1">
      <alignment horizontal="center" vertical="center"/>
    </xf>
    <xf numFmtId="0" fontId="186" fillId="0" borderId="192" xfId="0" applyFont="1" applyFill="1" applyBorder="1" applyAlignment="1">
      <alignment horizontal="left" vertical="center"/>
    </xf>
    <xf numFmtId="0" fontId="186" fillId="0" borderId="193" xfId="4" applyNumberFormat="1" applyFont="1" applyFill="1" applyBorder="1" applyAlignment="1">
      <alignment vertical="center"/>
    </xf>
    <xf numFmtId="164" fontId="186" fillId="0" borderId="193" xfId="4" applyNumberFormat="1" applyFont="1" applyFill="1" applyBorder="1" applyAlignment="1">
      <alignment vertical="center"/>
    </xf>
    <xf numFmtId="9" fontId="186" fillId="0" borderId="193" xfId="0" applyNumberFormat="1" applyFont="1" applyFill="1" applyBorder="1" applyAlignment="1">
      <alignment horizontal="center" vertical="center"/>
    </xf>
    <xf numFmtId="9" fontId="186" fillId="0" borderId="194" xfId="0" applyNumberFormat="1" applyFont="1" applyFill="1" applyBorder="1" applyAlignment="1">
      <alignment horizontal="center" vertical="center"/>
    </xf>
    <xf numFmtId="0" fontId="186" fillId="0" borderId="179" xfId="0" applyFont="1" applyFill="1" applyBorder="1" applyAlignment="1">
      <alignment horizontal="left" vertical="center"/>
    </xf>
    <xf numFmtId="0" fontId="186" fillId="0" borderId="173" xfId="0" applyFont="1" applyFill="1" applyBorder="1" applyAlignment="1">
      <alignment horizontal="left" vertical="center"/>
    </xf>
    <xf numFmtId="0" fontId="186" fillId="0" borderId="173" xfId="4" applyNumberFormat="1" applyFont="1" applyFill="1" applyBorder="1" applyAlignment="1">
      <alignment vertical="center"/>
    </xf>
    <xf numFmtId="164" fontId="186" fillId="0" borderId="173" xfId="4" applyNumberFormat="1" applyFont="1" applyFill="1" applyBorder="1" applyAlignment="1">
      <alignment vertical="center"/>
    </xf>
    <xf numFmtId="9" fontId="186" fillId="0" borderId="173" xfId="0" applyNumberFormat="1" applyFont="1" applyFill="1" applyBorder="1" applyAlignment="1">
      <alignment horizontal="center" vertical="center"/>
    </xf>
    <xf numFmtId="9" fontId="186" fillId="0" borderId="180" xfId="0" applyNumberFormat="1" applyFont="1" applyFill="1" applyBorder="1" applyAlignment="1">
      <alignment horizontal="center" vertical="center"/>
    </xf>
    <xf numFmtId="0" fontId="186" fillId="0" borderId="121" xfId="0" applyFont="1" applyFill="1" applyBorder="1"/>
    <xf numFmtId="0" fontId="186" fillId="0" borderId="28" xfId="0" applyFont="1" applyFill="1" applyBorder="1"/>
    <xf numFmtId="164" fontId="186" fillId="0" borderId="28" xfId="0" applyNumberFormat="1" applyFont="1" applyFill="1" applyBorder="1"/>
    <xf numFmtId="164" fontId="186" fillId="0" borderId="28" xfId="4" applyNumberFormat="1" applyFont="1" applyFill="1" applyBorder="1"/>
    <xf numFmtId="9" fontId="186" fillId="0" borderId="117" xfId="0" applyNumberFormat="1" applyFont="1" applyFill="1" applyBorder="1" applyAlignment="1">
      <alignment horizontal="center" vertical="center"/>
    </xf>
    <xf numFmtId="1" fontId="186" fillId="0" borderId="28" xfId="4" applyNumberFormat="1" applyFont="1" applyFill="1" applyBorder="1"/>
    <xf numFmtId="167" fontId="183" fillId="0" borderId="0" xfId="0" applyNumberFormat="1" applyFont="1" applyFill="1" applyAlignment="1">
      <alignment horizontal="left" vertical="center" readingOrder="1"/>
    </xf>
    <xf numFmtId="0" fontId="183" fillId="0" borderId="0" xfId="0" applyFont="1" applyFill="1" applyAlignment="1">
      <alignment horizontal="left" vertical="center" readingOrder="1"/>
    </xf>
    <xf numFmtId="164" fontId="0" fillId="0" borderId="0" xfId="0" applyNumberFormat="1"/>
    <xf numFmtId="0" fontId="69" fillId="0" borderId="0" xfId="0" applyNumberFormat="1" applyFont="1"/>
    <xf numFmtId="164" fontId="75" fillId="14" borderId="0" xfId="0" applyNumberFormat="1" applyFont="1" applyFill="1"/>
    <xf numFmtId="164" fontId="75" fillId="8" borderId="0" xfId="0" applyNumberFormat="1" applyFont="1" applyFill="1"/>
    <xf numFmtId="164" fontId="75" fillId="9" borderId="0" xfId="0" applyNumberFormat="1" applyFont="1" applyFill="1"/>
    <xf numFmtId="164" fontId="75" fillId="26" borderId="0" xfId="0" applyNumberFormat="1" applyFont="1" applyFill="1"/>
    <xf numFmtId="0" fontId="75" fillId="26" borderId="0" xfId="0" applyFont="1" applyFill="1" applyAlignment="1">
      <alignment horizontal="center" vertical="center" wrapText="1"/>
    </xf>
    <xf numFmtId="0" fontId="75" fillId="14" borderId="0" xfId="0" applyFont="1" applyFill="1" applyAlignment="1">
      <alignment horizontal="center" vertical="center"/>
    </xf>
    <xf numFmtId="0" fontId="75" fillId="8" borderId="0" xfId="0" applyFont="1" applyFill="1" applyAlignment="1">
      <alignment horizontal="center" vertical="center"/>
    </xf>
    <xf numFmtId="0" fontId="75" fillId="9" borderId="0" xfId="0" applyFont="1" applyFill="1" applyAlignment="1">
      <alignment horizontal="center" vertical="center"/>
    </xf>
    <xf numFmtId="0" fontId="75" fillId="9" borderId="0" xfId="0" applyFont="1" applyFill="1" applyAlignment="1">
      <alignment horizontal="center" vertical="center" wrapText="1"/>
    </xf>
    <xf numFmtId="164" fontId="124" fillId="12" borderId="0" xfId="0" applyNumberFormat="1" applyFont="1" applyFill="1"/>
    <xf numFmtId="0" fontId="124" fillId="12" borderId="0" xfId="0" applyFont="1" applyFill="1" applyAlignment="1">
      <alignment horizontal="center" vertical="center" wrapText="1"/>
    </xf>
    <xf numFmtId="164" fontId="69" fillId="42" borderId="0" xfId="0" applyNumberFormat="1" applyFont="1" applyFill="1"/>
    <xf numFmtId="164" fontId="69" fillId="16" borderId="0" xfId="0" applyNumberFormat="1" applyFont="1" applyFill="1"/>
    <xf numFmtId="0" fontId="69" fillId="42" borderId="0" xfId="0" applyFont="1" applyFill="1" applyAlignment="1">
      <alignment vertical="center"/>
    </xf>
    <xf numFmtId="0" fontId="69" fillId="16" borderId="0" xfId="0" applyFont="1" applyFill="1" applyAlignment="1">
      <alignment vertical="center"/>
    </xf>
    <xf numFmtId="0" fontId="75" fillId="14" borderId="0" xfId="0" applyFont="1" applyFill="1" applyAlignment="1">
      <alignment horizontal="center" vertical="center" wrapText="1"/>
    </xf>
    <xf numFmtId="0" fontId="75" fillId="8" borderId="0" xfId="0" applyFont="1" applyFill="1" applyAlignment="1">
      <alignment horizontal="center" vertical="center" wrapText="1"/>
    </xf>
    <xf numFmtId="0" fontId="69" fillId="42" borderId="0" xfId="0" applyFont="1" applyFill="1" applyAlignment="1">
      <alignment horizontal="center" vertical="center" wrapText="1"/>
    </xf>
    <xf numFmtId="0" fontId="69" fillId="16" borderId="0" xfId="0" applyFont="1" applyFill="1" applyAlignment="1">
      <alignment horizontal="center" vertical="center" wrapText="1"/>
    </xf>
    <xf numFmtId="164" fontId="124" fillId="12" borderId="0" xfId="0" applyNumberFormat="1" applyFont="1" applyFill="1" applyAlignment="1">
      <alignment wrapText="1"/>
    </xf>
    <xf numFmtId="164" fontId="69" fillId="0" borderId="0" xfId="0" applyNumberFormat="1" applyFont="1" applyAlignment="1">
      <alignment wrapText="1"/>
    </xf>
    <xf numFmtId="0" fontId="124" fillId="0" borderId="0" xfId="0" applyFont="1" applyFill="1" applyAlignment="1">
      <alignment horizontal="center" vertical="center" wrapText="1"/>
    </xf>
    <xf numFmtId="0" fontId="1" fillId="0" borderId="0" xfId="0" pivotButton="1" applyFont="1"/>
    <xf numFmtId="0" fontId="1" fillId="0" borderId="0" xfId="0" applyFont="1"/>
    <xf numFmtId="0" fontId="1" fillId="0" borderId="0" xfId="0" applyFont="1" applyAlignment="1">
      <alignment horizontal="left"/>
    </xf>
    <xf numFmtId="9" fontId="1" fillId="0" borderId="0" xfId="0" applyNumberFormat="1" applyFont="1"/>
    <xf numFmtId="0" fontId="1" fillId="0" borderId="0" xfId="0" pivotButton="1" applyFont="1" applyAlignment="1">
      <alignment wrapText="1"/>
    </xf>
    <xf numFmtId="0" fontId="1" fillId="0" borderId="0" xfId="0" pivotButton="1" applyFont="1" applyAlignment="1">
      <alignment horizontal="center" vertical="center" wrapText="1"/>
    </xf>
    <xf numFmtId="0" fontId="81" fillId="40" borderId="0" xfId="0" applyFont="1" applyFill="1" applyAlignment="1"/>
    <xf numFmtId="0" fontId="81" fillId="40" borderId="0" xfId="0" applyFont="1" applyFill="1"/>
    <xf numFmtId="0" fontId="1" fillId="0" borderId="0" xfId="0" applyNumberFormat="1" applyFont="1"/>
    <xf numFmtId="0" fontId="81" fillId="29" borderId="0" xfId="0" applyFont="1" applyFill="1"/>
    <xf numFmtId="164" fontId="1" fillId="0" borderId="0" xfId="0" applyNumberFormat="1" applyFont="1"/>
    <xf numFmtId="3" fontId="1" fillId="0" borderId="0" xfId="0" applyNumberFormat="1" applyFont="1"/>
    <xf numFmtId="0" fontId="1" fillId="0" borderId="0" xfId="0" applyFont="1" applyAlignment="1">
      <alignment wrapText="1"/>
    </xf>
    <xf numFmtId="0" fontId="1" fillId="0" borderId="0" xfId="0" applyFont="1" applyAlignment="1">
      <alignment horizontal="left" indent="1"/>
    </xf>
    <xf numFmtId="0" fontId="81" fillId="29" borderId="0" xfId="0" applyFont="1" applyFill="1" applyAlignment="1">
      <alignment horizontal="left" vertical="center" wrapText="1"/>
    </xf>
    <xf numFmtId="0" fontId="81" fillId="40" borderId="0" xfId="0" applyFont="1" applyFill="1" applyAlignment="1">
      <alignment wrapText="1"/>
    </xf>
    <xf numFmtId="0" fontId="1" fillId="0" borderId="0" xfId="0" applyFont="1" applyAlignment="1">
      <alignment horizontal="center" vertical="center" wrapText="1"/>
    </xf>
    <xf numFmtId="0" fontId="69" fillId="0" borderId="0" xfId="0" pivotButton="1" applyFont="1" applyAlignment="1">
      <alignment horizontal="center" vertical="center" wrapText="1"/>
    </xf>
    <xf numFmtId="166" fontId="48" fillId="15" borderId="5" xfId="8" applyFont="1" applyFill="1" applyBorder="1" applyAlignment="1">
      <alignment horizontal="center" vertical="center"/>
    </xf>
    <xf numFmtId="166" fontId="48" fillId="15" borderId="6" xfId="8" applyFont="1" applyFill="1" applyBorder="1" applyAlignment="1">
      <alignment horizontal="center" vertical="center"/>
    </xf>
    <xf numFmtId="166" fontId="48" fillId="15" borderId="7" xfId="8" applyFont="1" applyFill="1" applyBorder="1" applyAlignment="1">
      <alignment horizontal="center" vertical="center"/>
    </xf>
    <xf numFmtId="166" fontId="25" fillId="20" borderId="0" xfId="8" applyFont="1" applyFill="1" applyBorder="1" applyAlignment="1">
      <alignment horizontal="left" wrapText="1"/>
    </xf>
    <xf numFmtId="166" fontId="32" fillId="20" borderId="0" xfId="8" applyFill="1" applyBorder="1" applyAlignment="1">
      <alignment horizontal="left" wrapText="1"/>
    </xf>
    <xf numFmtId="166" fontId="32" fillId="20" borderId="9" xfId="8" applyFill="1" applyBorder="1" applyAlignment="1">
      <alignment horizontal="left" wrapText="1"/>
    </xf>
    <xf numFmtId="0" fontId="47" fillId="0" borderId="136" xfId="0" applyFont="1" applyBorder="1" applyAlignment="1">
      <alignment horizontal="center" vertical="center" wrapText="1"/>
    </xf>
    <xf numFmtId="0" fontId="47" fillId="0" borderId="0" xfId="0" applyFont="1" applyAlignment="1">
      <alignment horizontal="center" vertical="center" wrapText="1"/>
    </xf>
    <xf numFmtId="0" fontId="46" fillId="5" borderId="79" xfId="0" applyFont="1" applyFill="1" applyBorder="1" applyAlignment="1">
      <alignment horizontal="center" vertical="center" wrapText="1"/>
    </xf>
    <xf numFmtId="0" fontId="46" fillId="5" borderId="74" xfId="0" applyFont="1" applyFill="1" applyBorder="1" applyAlignment="1">
      <alignment horizontal="center" vertical="center" wrapText="1"/>
    </xf>
    <xf numFmtId="0" fontId="46" fillId="5" borderId="72" xfId="0" applyFont="1" applyFill="1" applyBorder="1" applyAlignment="1">
      <alignment horizontal="center" vertical="center" wrapText="1"/>
    </xf>
    <xf numFmtId="0" fontId="46" fillId="5" borderId="75" xfId="0" applyFont="1" applyFill="1" applyBorder="1" applyAlignment="1">
      <alignment horizontal="center" vertical="center" wrapText="1"/>
    </xf>
    <xf numFmtId="0" fontId="46" fillId="8" borderId="73" xfId="0" applyFont="1" applyFill="1" applyBorder="1" applyAlignment="1">
      <alignment horizontal="center" vertical="center" wrapText="1"/>
    </xf>
    <xf numFmtId="0" fontId="46" fillId="8" borderId="79" xfId="0" applyFont="1" applyFill="1" applyBorder="1" applyAlignment="1">
      <alignment horizontal="center" vertical="center" wrapText="1"/>
    </xf>
    <xf numFmtId="0" fontId="46" fillId="8" borderId="85" xfId="0" applyFont="1" applyFill="1" applyBorder="1" applyAlignment="1">
      <alignment horizontal="center" vertical="center" wrapText="1"/>
    </xf>
    <xf numFmtId="0" fontId="46" fillId="8" borderId="86" xfId="0" applyFont="1" applyFill="1" applyBorder="1" applyAlignment="1">
      <alignment horizontal="center" vertical="center" wrapText="1"/>
    </xf>
    <xf numFmtId="0" fontId="46" fillId="8" borderId="87" xfId="0" applyFont="1" applyFill="1" applyBorder="1" applyAlignment="1">
      <alignment horizontal="center" vertical="center" wrapText="1"/>
    </xf>
    <xf numFmtId="0" fontId="46" fillId="8" borderId="88" xfId="0" applyFont="1" applyFill="1" applyBorder="1" applyAlignment="1">
      <alignment horizontal="center" vertical="center" wrapText="1"/>
    </xf>
    <xf numFmtId="0" fontId="46" fillId="5" borderId="85" xfId="0" applyFont="1" applyFill="1" applyBorder="1" applyAlignment="1">
      <alignment horizontal="center" vertical="center"/>
    </xf>
    <xf numFmtId="0" fontId="46" fillId="5" borderId="91" xfId="0" applyFont="1" applyFill="1" applyBorder="1" applyAlignment="1">
      <alignment horizontal="center" vertical="center"/>
    </xf>
    <xf numFmtId="0" fontId="46" fillId="5" borderId="87" xfId="0" applyFont="1" applyFill="1" applyBorder="1" applyAlignment="1">
      <alignment horizontal="center" vertical="center"/>
    </xf>
    <xf numFmtId="0" fontId="46" fillId="5" borderId="92" xfId="0" applyFont="1" applyFill="1" applyBorder="1" applyAlignment="1">
      <alignment horizontal="center" vertical="center"/>
    </xf>
    <xf numFmtId="0" fontId="46" fillId="5" borderId="89" xfId="0" applyFont="1" applyFill="1" applyBorder="1" applyAlignment="1">
      <alignment horizontal="center" vertical="center"/>
    </xf>
    <xf numFmtId="0" fontId="46" fillId="5" borderId="90" xfId="0" applyFont="1" applyFill="1" applyBorder="1" applyAlignment="1">
      <alignment horizontal="center" vertical="center"/>
    </xf>
    <xf numFmtId="0" fontId="46" fillId="8" borderId="72" xfId="0" applyFont="1" applyFill="1" applyBorder="1" applyAlignment="1">
      <alignment horizontal="center" vertical="center" wrapText="1"/>
    </xf>
    <xf numFmtId="0" fontId="46" fillId="5" borderId="85" xfId="0" applyFont="1" applyFill="1" applyBorder="1" applyAlignment="1">
      <alignment horizontal="center" vertical="center" wrapText="1"/>
    </xf>
    <xf numFmtId="0" fontId="46" fillId="5" borderId="86" xfId="0" applyFont="1" applyFill="1" applyBorder="1" applyAlignment="1">
      <alignment horizontal="center" vertical="center" wrapText="1"/>
    </xf>
    <xf numFmtId="0" fontId="46" fillId="5" borderId="87" xfId="0" applyFont="1" applyFill="1" applyBorder="1" applyAlignment="1">
      <alignment horizontal="center" vertical="center" wrapText="1"/>
    </xf>
    <xf numFmtId="0" fontId="46" fillId="5" borderId="88" xfId="0" applyFont="1" applyFill="1" applyBorder="1" applyAlignment="1">
      <alignment horizontal="center" vertical="center" wrapText="1"/>
    </xf>
    <xf numFmtId="0" fontId="35" fillId="44" borderId="67" xfId="21" applyNumberFormat="1" applyFont="1" applyFill="1" applyBorder="1" applyAlignment="1">
      <alignment horizontal="center" vertical="center"/>
    </xf>
    <xf numFmtId="0" fontId="35" fillId="44" borderId="64" xfId="21" applyNumberFormat="1" applyFont="1" applyFill="1" applyBorder="1" applyAlignment="1">
      <alignment horizontal="center" vertical="center"/>
    </xf>
    <xf numFmtId="0" fontId="46" fillId="5" borderId="74" xfId="0" applyFont="1" applyFill="1" applyBorder="1" applyAlignment="1">
      <alignment horizontal="center" vertical="center"/>
    </xf>
    <xf numFmtId="0" fontId="46" fillId="5" borderId="72" xfId="0" applyFont="1" applyFill="1" applyBorder="1" applyAlignment="1">
      <alignment horizontal="center" vertical="center"/>
    </xf>
    <xf numFmtId="0" fontId="46" fillId="5" borderId="75" xfId="0" applyFont="1" applyFill="1" applyBorder="1" applyAlignment="1">
      <alignment horizontal="center" vertical="center"/>
    </xf>
    <xf numFmtId="0" fontId="46" fillId="5" borderId="73" xfId="0" applyFont="1" applyFill="1" applyBorder="1" applyAlignment="1">
      <alignment horizontal="center" vertical="center"/>
    </xf>
    <xf numFmtId="0" fontId="46" fillId="5" borderId="80" xfId="0" applyFont="1" applyFill="1" applyBorder="1" applyAlignment="1">
      <alignment horizontal="center" vertical="center" wrapText="1"/>
    </xf>
    <xf numFmtId="0" fontId="46" fillId="5" borderId="81" xfId="0" applyFont="1" applyFill="1" applyBorder="1" applyAlignment="1">
      <alignment horizontal="center" vertical="center" wrapText="1"/>
    </xf>
    <xf numFmtId="0" fontId="46" fillId="5" borderId="82" xfId="0" applyFont="1" applyFill="1" applyBorder="1" applyAlignment="1">
      <alignment horizontal="center" vertical="center" wrapText="1"/>
    </xf>
    <xf numFmtId="0" fontId="46" fillId="5" borderId="83" xfId="0" applyFont="1" applyFill="1" applyBorder="1" applyAlignment="1">
      <alignment horizontal="center" vertical="center" wrapText="1"/>
    </xf>
    <xf numFmtId="9" fontId="121" fillId="16" borderId="109" xfId="18" applyNumberFormat="1" applyFont="1" applyFill="1" applyBorder="1" applyAlignment="1">
      <alignment horizontal="center" vertical="center" wrapText="1" readingOrder="1"/>
    </xf>
    <xf numFmtId="9" fontId="121" fillId="16" borderId="110" xfId="18" applyNumberFormat="1" applyFont="1" applyFill="1" applyBorder="1" applyAlignment="1">
      <alignment horizontal="center" vertical="center" wrapText="1" readingOrder="1"/>
    </xf>
    <xf numFmtId="9" fontId="121" fillId="16" borderId="111" xfId="18" applyNumberFormat="1" applyFont="1" applyFill="1" applyBorder="1" applyAlignment="1">
      <alignment horizontal="center" vertical="center" wrapText="1" readingOrder="1"/>
    </xf>
    <xf numFmtId="0" fontId="45" fillId="42" borderId="112" xfId="21" applyFont="1" applyFill="1" applyBorder="1" applyAlignment="1">
      <alignment horizontal="center" vertical="center" readingOrder="1"/>
    </xf>
    <xf numFmtId="0" fontId="45" fillId="42" borderId="0" xfId="21" applyFont="1" applyFill="1" applyAlignment="1">
      <alignment horizontal="center" vertical="center" readingOrder="1"/>
    </xf>
    <xf numFmtId="0" fontId="45" fillId="38" borderId="148" xfId="0" applyFont="1" applyFill="1" applyBorder="1" applyAlignment="1">
      <alignment horizontal="center" vertical="center" textRotation="90" wrapText="1"/>
    </xf>
    <xf numFmtId="0" fontId="45" fillId="42" borderId="108" xfId="21" applyFont="1" applyFill="1" applyBorder="1" applyAlignment="1">
      <alignment horizontal="center" vertical="center" textRotation="90" readingOrder="1"/>
    </xf>
    <xf numFmtId="0" fontId="45" fillId="42" borderId="0" xfId="21" applyFont="1" applyFill="1" applyAlignment="1">
      <alignment horizontal="center" vertical="center" textRotation="90" readingOrder="1"/>
    </xf>
    <xf numFmtId="0" fontId="116" fillId="0" borderId="0" xfId="18" applyFont="1" applyAlignment="1">
      <alignment horizontal="left" vertical="center"/>
    </xf>
    <xf numFmtId="0" fontId="45" fillId="2" borderId="63" xfId="21" applyFont="1" applyFill="1" applyBorder="1" applyAlignment="1">
      <alignment horizontal="center" vertical="center" textRotation="90" readingOrder="1"/>
    </xf>
    <xf numFmtId="0" fontId="45" fillId="2" borderId="107" xfId="21" applyFont="1" applyFill="1" applyBorder="1" applyAlignment="1">
      <alignment horizontal="center" vertical="center" textRotation="90" readingOrder="1"/>
    </xf>
    <xf numFmtId="0" fontId="45" fillId="2" borderId="65" xfId="21" applyFont="1" applyFill="1" applyBorder="1" applyAlignment="1">
      <alignment horizontal="center" vertical="center" textRotation="90" readingOrder="1"/>
    </xf>
    <xf numFmtId="0" fontId="45" fillId="14" borderId="63" xfId="21" applyFont="1" applyFill="1" applyBorder="1" applyAlignment="1">
      <alignment horizontal="center" vertical="center" textRotation="90" readingOrder="1"/>
    </xf>
    <xf numFmtId="0" fontId="45" fillId="14" borderId="107" xfId="21" applyFont="1" applyFill="1" applyBorder="1" applyAlignment="1">
      <alignment horizontal="center" vertical="center" textRotation="90" readingOrder="1"/>
    </xf>
    <xf numFmtId="0" fontId="45" fillId="14" borderId="65" xfId="21" applyFont="1" applyFill="1" applyBorder="1" applyAlignment="1">
      <alignment horizontal="center" vertical="center" textRotation="90" readingOrder="1"/>
    </xf>
    <xf numFmtId="0" fontId="45" fillId="38" borderId="63" xfId="21" applyFont="1" applyFill="1" applyBorder="1" applyAlignment="1">
      <alignment horizontal="center" vertical="center" textRotation="90" readingOrder="1"/>
    </xf>
    <xf numFmtId="0" fontId="45" fillId="38" borderId="107" xfId="21" applyFont="1" applyFill="1" applyBorder="1" applyAlignment="1">
      <alignment horizontal="center" vertical="center" textRotation="90" readingOrder="1"/>
    </xf>
    <xf numFmtId="0" fontId="45" fillId="38" borderId="65" xfId="21" applyFont="1" applyFill="1" applyBorder="1" applyAlignment="1">
      <alignment horizontal="center" vertical="center" textRotation="90" readingOrder="1"/>
    </xf>
    <xf numFmtId="0" fontId="45" fillId="9" borderId="63" xfId="21" applyFont="1" applyFill="1" applyBorder="1" applyAlignment="1">
      <alignment horizontal="center" vertical="center" textRotation="90" readingOrder="1"/>
    </xf>
    <xf numFmtId="0" fontId="45" fillId="9" borderId="107" xfId="21" applyFont="1" applyFill="1" applyBorder="1" applyAlignment="1">
      <alignment horizontal="center" vertical="center" textRotation="90" readingOrder="1"/>
    </xf>
    <xf numFmtId="0" fontId="45" fillId="9" borderId="65" xfId="21" applyFont="1" applyFill="1" applyBorder="1" applyAlignment="1">
      <alignment horizontal="center" vertical="center" textRotation="90" readingOrder="1"/>
    </xf>
    <xf numFmtId="0" fontId="45" fillId="16" borderId="63" xfId="21" applyFont="1" applyFill="1" applyBorder="1" applyAlignment="1">
      <alignment horizontal="center" vertical="center" textRotation="90" readingOrder="1"/>
    </xf>
    <xf numFmtId="0" fontId="45" fillId="16" borderId="107" xfId="21" applyFont="1" applyFill="1" applyBorder="1" applyAlignment="1">
      <alignment horizontal="center" vertical="center" textRotation="90" readingOrder="1"/>
    </xf>
    <xf numFmtId="0" fontId="45" fillId="16" borderId="65" xfId="21" applyFont="1" applyFill="1" applyBorder="1" applyAlignment="1">
      <alignment horizontal="center" vertical="center" textRotation="90" readingOrder="1"/>
    </xf>
    <xf numFmtId="0" fontId="45" fillId="38" borderId="150" xfId="0" applyFont="1" applyFill="1" applyBorder="1" applyAlignment="1">
      <alignment horizontal="center" vertical="center" textRotation="90" wrapText="1"/>
    </xf>
    <xf numFmtId="0" fontId="118" fillId="0" borderId="0" xfId="18" applyFont="1" applyAlignment="1">
      <alignment horizontal="left" vertical="center"/>
    </xf>
    <xf numFmtId="0" fontId="76" fillId="0" borderId="152" xfId="0" applyFont="1" applyBorder="1" applyAlignment="1">
      <alignment horizontal="center" vertical="center" wrapText="1"/>
    </xf>
    <xf numFmtId="0" fontId="76" fillId="0" borderId="153" xfId="0" applyFont="1" applyBorder="1" applyAlignment="1">
      <alignment horizontal="center" vertical="center" wrapText="1"/>
    </xf>
    <xf numFmtId="0" fontId="77" fillId="0" borderId="115" xfId="0" applyFont="1" applyBorder="1" applyAlignment="1">
      <alignment horizontal="center" vertical="center" wrapText="1"/>
    </xf>
    <xf numFmtId="0" fontId="77" fillId="0" borderId="116" xfId="0" applyFont="1" applyBorder="1" applyAlignment="1">
      <alignment horizontal="center" vertical="center" wrapText="1"/>
    </xf>
    <xf numFmtId="0" fontId="75" fillId="14" borderId="113" xfId="0" applyFont="1" applyFill="1" applyBorder="1" applyAlignment="1">
      <alignment horizontal="center" vertical="center" wrapText="1"/>
    </xf>
    <xf numFmtId="0" fontId="75" fillId="14" borderId="119" xfId="0" applyFont="1" applyFill="1" applyBorder="1" applyAlignment="1">
      <alignment horizontal="center" vertical="center" wrapText="1"/>
    </xf>
    <xf numFmtId="0" fontId="75" fillId="14" borderId="114" xfId="0" applyFont="1" applyFill="1" applyBorder="1" applyAlignment="1">
      <alignment horizontal="center" vertical="center" wrapText="1"/>
    </xf>
    <xf numFmtId="0" fontId="69" fillId="0" borderId="0" xfId="0" applyFont="1" applyBorder="1" applyAlignment="1">
      <alignment horizontal="center"/>
    </xf>
    <xf numFmtId="0" fontId="69" fillId="0" borderId="32" xfId="0" applyFont="1" applyBorder="1" applyAlignment="1">
      <alignment horizontal="center"/>
    </xf>
    <xf numFmtId="0" fontId="38" fillId="16" borderId="4" xfId="21" applyFont="1" applyFill="1" applyBorder="1" applyAlignment="1">
      <alignment horizontal="center" vertical="center" wrapText="1"/>
    </xf>
    <xf numFmtId="0" fontId="75" fillId="45" borderId="122" xfId="0" applyFont="1" applyFill="1" applyBorder="1" applyAlignment="1">
      <alignment horizontal="center" vertical="center" wrapText="1"/>
    </xf>
    <xf numFmtId="0" fontId="75" fillId="45" borderId="123" xfId="0" applyFont="1" applyFill="1" applyBorder="1" applyAlignment="1">
      <alignment horizontal="center" vertical="center" wrapText="1"/>
    </xf>
    <xf numFmtId="0" fontId="75" fillId="45" borderId="124" xfId="0" applyFont="1" applyFill="1" applyBorder="1" applyAlignment="1">
      <alignment horizontal="center" vertical="center" wrapText="1"/>
    </xf>
    <xf numFmtId="0" fontId="38" fillId="42" borderId="115" xfId="21" applyFont="1" applyFill="1" applyBorder="1" applyAlignment="1">
      <alignment horizontal="center" vertical="center" wrapText="1"/>
    </xf>
    <xf numFmtId="0" fontId="38" fillId="42" borderId="120" xfId="21" applyFont="1" applyFill="1" applyBorder="1" applyAlignment="1">
      <alignment horizontal="center" vertical="center" wrapText="1"/>
    </xf>
    <xf numFmtId="0" fontId="38" fillId="42" borderId="116" xfId="21" applyFont="1" applyFill="1" applyBorder="1" applyAlignment="1">
      <alignment horizontal="center" vertical="center" wrapText="1"/>
    </xf>
    <xf numFmtId="0" fontId="75" fillId="67" borderId="122" xfId="0" applyFont="1" applyFill="1" applyBorder="1" applyAlignment="1">
      <alignment horizontal="center" vertical="center" wrapText="1"/>
    </xf>
    <xf numFmtId="0" fontId="75" fillId="67" borderId="123" xfId="0" applyFont="1" applyFill="1" applyBorder="1" applyAlignment="1">
      <alignment horizontal="center" vertical="center" wrapText="1"/>
    </xf>
    <xf numFmtId="0" fontId="75" fillId="67" borderId="124" xfId="0" applyFont="1" applyFill="1" applyBorder="1" applyAlignment="1">
      <alignment horizontal="center" vertical="center" wrapText="1"/>
    </xf>
    <xf numFmtId="0" fontId="75" fillId="66" borderId="113" xfId="0" applyFont="1" applyFill="1" applyBorder="1" applyAlignment="1">
      <alignment horizontal="center" vertical="center" wrapText="1"/>
    </xf>
    <xf numFmtId="0" fontId="75" fillId="66" borderId="119" xfId="0" applyFont="1" applyFill="1" applyBorder="1" applyAlignment="1">
      <alignment horizontal="center" vertical="center" wrapText="1"/>
    </xf>
    <xf numFmtId="0" fontId="75" fillId="66" borderId="114" xfId="0" applyFont="1" applyFill="1" applyBorder="1" applyAlignment="1">
      <alignment horizontal="center" vertical="center" wrapText="1"/>
    </xf>
    <xf numFmtId="0" fontId="23" fillId="0" borderId="0" xfId="0" applyFont="1" applyAlignment="1">
      <alignment horizontal="center"/>
    </xf>
    <xf numFmtId="0" fontId="28" fillId="0" borderId="0" xfId="0" applyFont="1" applyAlignment="1">
      <alignment horizontal="center"/>
    </xf>
    <xf numFmtId="0" fontId="22" fillId="0" borderId="96" xfId="0" applyFont="1" applyBorder="1" applyAlignment="1">
      <alignment horizontal="center"/>
    </xf>
    <xf numFmtId="0" fontId="28" fillId="0" borderId="96" xfId="0" applyFont="1" applyBorder="1" applyAlignment="1">
      <alignment horizontal="center"/>
    </xf>
    <xf numFmtId="0" fontId="92" fillId="41" borderId="0" xfId="0" applyFont="1" applyFill="1" applyAlignment="1">
      <alignment horizontal="center" vertical="center"/>
    </xf>
    <xf numFmtId="0" fontId="80" fillId="26" borderId="0" xfId="0" applyFont="1" applyFill="1" applyAlignment="1">
      <alignment horizontal="center" vertical="center" wrapText="1"/>
    </xf>
    <xf numFmtId="164" fontId="79" fillId="15" borderId="0" xfId="4" applyNumberFormat="1" applyFont="1" applyFill="1" applyAlignment="1">
      <alignment horizontal="center" vertical="center" wrapText="1"/>
    </xf>
  </cellXfs>
  <cellStyles count="145">
    <cellStyle name="20% - Accent1" xfId="80" builtinId="30"/>
    <cellStyle name="20% - Accent1 2" xfId="140" xr:uid="{B490BE49-AD5C-4126-AD8A-5C1543AEBB76}"/>
    <cellStyle name="Bad 2" xfId="23" xr:uid="{00000000-0005-0000-0000-000000000000}"/>
    <cellStyle name="Bad 2 2" xfId="56" xr:uid="{00000000-0005-0000-0000-00003C000000}"/>
    <cellStyle name="Comma" xfId="4" builtinId="3"/>
    <cellStyle name="Comma 2" xfId="7" xr:uid="{00000000-0005-0000-0000-000002000000}"/>
    <cellStyle name="Comma 2 2" xfId="16" xr:uid="{00000000-0005-0000-0000-000003000000}"/>
    <cellStyle name="Comma 2 2 2" xfId="31" xr:uid="{00000000-0005-0000-0000-000003000000}"/>
    <cellStyle name="Comma 2 2 2 2" xfId="48" xr:uid="{00000000-0005-0000-0000-000014000000}"/>
    <cellStyle name="Comma 2 2 2 2 2" xfId="113" xr:uid="{57F9FD4F-C2CE-471B-85AA-8D74E5C3A409}"/>
    <cellStyle name="Comma 2 2 2 3" xfId="97" xr:uid="{CB89F8A7-D9E0-4349-9E02-6C03D67A8FA8}"/>
    <cellStyle name="Comma 2 2 3" xfId="40" xr:uid="{00000000-0005-0000-0000-000003000000}"/>
    <cellStyle name="Comma 2 2 3 2" xfId="51" xr:uid="{00000000-0005-0000-0000-00001F000000}"/>
    <cellStyle name="Comma 2 2 3 2 2" xfId="116" xr:uid="{4BB1A080-227B-41BF-93A2-B9320B2C1CF9}"/>
    <cellStyle name="Comma 2 2 3 3" xfId="106" xr:uid="{704546F9-1387-4160-9C51-D6854149F41D}"/>
    <cellStyle name="Comma 2 2 4" xfId="58" xr:uid="{00000000-0005-0000-0000-00003E000000}"/>
    <cellStyle name="Comma 2 2 4 2" xfId="120" xr:uid="{1C7594AD-09D7-4193-B7C0-C694E3265C91}"/>
    <cellStyle name="Comma 2 2 5" xfId="88" xr:uid="{59E3C9B4-CD5C-4B76-BC7B-EA94E2A9C3AE}"/>
    <cellStyle name="Comma 2 3" xfId="26" xr:uid="{00000000-0005-0000-0000-000002000000}"/>
    <cellStyle name="Comma 2 3 2" xfId="46" xr:uid="{00000000-0005-0000-0000-00000E000000}"/>
    <cellStyle name="Comma 2 3 2 2" xfId="111" xr:uid="{CC61F93B-680D-42AD-8765-6B7A1ABEA53B}"/>
    <cellStyle name="Comma 2 3 3" xfId="92" xr:uid="{E4302EEA-E4DC-4A3F-9F71-F41A49C774DF}"/>
    <cellStyle name="Comma 2 4" xfId="35" xr:uid="{00000000-0005-0000-0000-000001000000}"/>
    <cellStyle name="Comma 2 4 2" xfId="60" xr:uid="{00000000-0005-0000-0000-000040000000}"/>
    <cellStyle name="Comma 2 4 2 2" xfId="122" xr:uid="{974F39D7-0353-4C31-AAC7-1A20D3E3DFFA}"/>
    <cellStyle name="Comma 2 4 3" xfId="101" xr:uid="{C45408F6-EC26-4605-9A4C-996C7BCE689F}"/>
    <cellStyle name="Comma 2 5" xfId="47" xr:uid="{00000000-0005-0000-0000-000011000000}"/>
    <cellStyle name="Comma 2 5 2" xfId="112" xr:uid="{FAB957B3-FD0E-475C-982E-C3BFEAEB17B3}"/>
    <cellStyle name="Comma 2 6" xfId="83" xr:uid="{F97A1E7F-7767-4857-874C-B0AF638786C9}"/>
    <cellStyle name="Comma 3" xfId="43" xr:uid="{00000000-0005-0000-0000-000058000000}"/>
    <cellStyle name="Comma 3 2" xfId="108" xr:uid="{1BB44DCD-7D33-46F1-A79F-AAE17842018B}"/>
    <cellStyle name="Comma 4" xfId="5" xr:uid="{00000000-0005-0000-0000-000004000000}"/>
    <cellStyle name="Comma 4 2" xfId="50" xr:uid="{00000000-0005-0000-0000-00001C000000}"/>
    <cellStyle name="Comma 4 2 2" xfId="115" xr:uid="{6BEEC0EA-8725-487D-8571-8B4F02CFBAB9}"/>
    <cellStyle name="Comma 5" xfId="144" xr:uid="{7FB21548-766E-45E5-81D5-3BE96843685D}"/>
    <cellStyle name="Currency 2" xfId="143" xr:uid="{2DFFC304-68C9-404F-B900-66654532EBAA}"/>
    <cellStyle name="Good 2" xfId="22" xr:uid="{00000000-0005-0000-0000-000005000000}"/>
    <cellStyle name="Good 2 2" xfId="55" xr:uid="{00000000-0005-0000-0000-00003A000000}"/>
    <cellStyle name="Heading 1 2" xfId="12" xr:uid="{00000000-0005-0000-0000-000006000000}"/>
    <cellStyle name="Heading 1 2 2" xfId="61" xr:uid="{00000000-0005-0000-0000-000041000000}"/>
    <cellStyle name="Normal" xfId="0" builtinId="0"/>
    <cellStyle name="Normal 2" xfId="8" xr:uid="{00000000-0005-0000-0000-000008000000}"/>
    <cellStyle name="Normal 2 2" xfId="13" xr:uid="{00000000-0005-0000-0000-000009000000}"/>
    <cellStyle name="Normal 2 2 2" xfId="28" xr:uid="{00000000-0005-0000-0000-000009000000}"/>
    <cellStyle name="Normal 2 2 2 2" xfId="59" xr:uid="{00000000-0005-0000-0000-00003F000000}"/>
    <cellStyle name="Normal 2 2 2 2 2" xfId="121" xr:uid="{33934AB4-6900-4496-96F4-70AC14946F0A}"/>
    <cellStyle name="Normal 2 2 2 3" xfId="94" xr:uid="{9CE9BCFF-154B-49EE-BFC9-9FA6C67BEB73}"/>
    <cellStyle name="Normal 2 2 3" xfId="37" xr:uid="{00000000-0005-0000-0000-00001F000000}"/>
    <cellStyle name="Normal 2 2 3 2" xfId="49" xr:uid="{00000000-0005-0000-0000-000017000000}"/>
    <cellStyle name="Normal 2 2 3 2 2" xfId="114" xr:uid="{E75890A6-B0BB-44E7-AAB4-2F86540C9070}"/>
    <cellStyle name="Normal 2 2 3 3" xfId="103" xr:uid="{8CBED9B1-321A-4738-9258-C17B83FD4270}"/>
    <cellStyle name="Normal 2 2 4" xfId="52" xr:uid="{00000000-0005-0000-0000-000021000000}"/>
    <cellStyle name="Normal 2 2 4 2" xfId="117" xr:uid="{A36540CB-A95E-4D98-9B0B-8ABF5E9ED017}"/>
    <cellStyle name="Normal 2 2 5" xfId="85" xr:uid="{8CFE22E8-C7B9-4162-801A-A519AD95C7D2}"/>
    <cellStyle name="Normal 2 3" xfId="17" xr:uid="{00000000-0005-0000-0000-00000A000000}"/>
    <cellStyle name="Normal 2 3 2" xfId="32" xr:uid="{00000000-0005-0000-0000-00000A000000}"/>
    <cellStyle name="Normal 2 3 2 2" xfId="53" xr:uid="{00000000-0005-0000-0000-00002C000000}"/>
    <cellStyle name="Normal 2 3 2 2 2" xfId="118" xr:uid="{CAD2CFC8-4480-4605-8512-E69FBDDFB3EB}"/>
    <cellStyle name="Normal 2 3 2 3" xfId="98" xr:uid="{443C0551-EC0B-4C83-86D0-4444A12E1B1C}"/>
    <cellStyle name="Normal 2 3 3" xfId="41" xr:uid="{00000000-0005-0000-0000-000020000000}"/>
    <cellStyle name="Normal 2 3 3 2" xfId="63" xr:uid="{00000000-0005-0000-0000-000043000000}"/>
    <cellStyle name="Normal 2 3 3 2 2" xfId="124" xr:uid="{59EC2101-EACF-4362-A30F-8A98674F2529}"/>
    <cellStyle name="Normal 2 3 3 3" xfId="107" xr:uid="{579E8BAE-9D1D-4F02-B9F7-7BE6748D87F2}"/>
    <cellStyle name="Normal 2 3 4" xfId="62" xr:uid="{00000000-0005-0000-0000-000042000000}"/>
    <cellStyle name="Normal 2 3 4 2" xfId="123" xr:uid="{BF5F6A8A-8736-4C5A-8549-3531C6797252}"/>
    <cellStyle name="Normal 2 3 5" xfId="89" xr:uid="{1C975370-F3E4-42B6-A881-E4512D44B15B}"/>
    <cellStyle name="Normal 2 4" xfId="21" xr:uid="{00000000-0005-0000-0000-00000B000000}"/>
    <cellStyle name="Normal 2 4 2" xfId="64" xr:uid="{00000000-0005-0000-0000-000044000000}"/>
    <cellStyle name="Normal 2 4 2 2" xfId="125" xr:uid="{3726D794-64AA-46DD-A6E1-E66D48C691E2}"/>
    <cellStyle name="Normal 2 5" xfId="27" xr:uid="{00000000-0005-0000-0000-000008000000}"/>
    <cellStyle name="Normal 2 5 2" xfId="65" xr:uid="{00000000-0005-0000-0000-000045000000}"/>
    <cellStyle name="Normal 2 5 2 2" xfId="126" xr:uid="{ACEE3486-C2F5-4026-B594-E2D004EF89AA}"/>
    <cellStyle name="Normal 2 5 3" xfId="93" xr:uid="{A210B21A-FA10-458A-9381-98458C652EE5}"/>
    <cellStyle name="Normal 2 6" xfId="36" xr:uid="{00000000-0005-0000-0000-000005000000}"/>
    <cellStyle name="Normal 2 6 2" xfId="66" xr:uid="{00000000-0005-0000-0000-000046000000}"/>
    <cellStyle name="Normal 2 6 2 2" xfId="127" xr:uid="{90D191FC-121D-42C1-8833-A6D9AC775992}"/>
    <cellStyle name="Normal 2 6 3" xfId="102" xr:uid="{CE50BC16-625D-4F0F-8268-A756A77753B9}"/>
    <cellStyle name="Normal 2 7" xfId="54" xr:uid="{00000000-0005-0000-0000-000033000000}"/>
    <cellStyle name="Normal 2 7 2" xfId="119" xr:uid="{F6FECD52-C60D-4FF0-BEDF-2F888B19AAB8}"/>
    <cellStyle name="Normal 2 8" xfId="84" xr:uid="{5C5DC6ED-4CB5-4AEE-8999-A05F6EDFF38A}"/>
    <cellStyle name="Normal 3" xfId="10" xr:uid="{00000000-0005-0000-0000-00000C000000}"/>
    <cellStyle name="Normal 3 2" xfId="18" xr:uid="{00000000-0005-0000-0000-00000D000000}"/>
    <cellStyle name="Normal 4" xfId="2" xr:uid="{00000000-0005-0000-0000-00000E000000}"/>
    <cellStyle name="Normal 4 2" xfId="14" xr:uid="{00000000-0005-0000-0000-00000F000000}"/>
    <cellStyle name="Normal 4 2 2" xfId="29" xr:uid="{00000000-0005-0000-0000-00000F000000}"/>
    <cellStyle name="Normal 4 2 2 2" xfId="69" xr:uid="{00000000-0005-0000-0000-00004B000000}"/>
    <cellStyle name="Normal 4 2 2 2 2" xfId="130" xr:uid="{E2ACB85C-4414-4D46-88CE-E4E6DBB2C6D4}"/>
    <cellStyle name="Normal 4 2 2 3" xfId="95" xr:uid="{E1F4ECEE-5661-4442-AD4C-6694AE6534D0}"/>
    <cellStyle name="Normal 4 2 3" xfId="38" xr:uid="{00000000-0005-0000-0000-000025000000}"/>
    <cellStyle name="Normal 4 2 3 2" xfId="70" xr:uid="{00000000-0005-0000-0000-00004C000000}"/>
    <cellStyle name="Normal 4 2 3 2 2" xfId="131" xr:uid="{99BAFC7A-5ACA-47C4-88C7-366F54392871}"/>
    <cellStyle name="Normal 4 2 3 3" xfId="104" xr:uid="{8E963DF1-4861-47DB-AB21-F924774C7E97}"/>
    <cellStyle name="Normal 4 2 4" xfId="68" xr:uid="{00000000-0005-0000-0000-00004A000000}"/>
    <cellStyle name="Normal 4 2 4 2" xfId="129" xr:uid="{6E1DE146-8569-402C-8F17-E15C3FA61AFB}"/>
    <cellStyle name="Normal 4 2 5" xfId="86" xr:uid="{AD9D6F0B-6142-4128-9355-2A51DE56684F}"/>
    <cellStyle name="Normal 4 3" xfId="24" xr:uid="{00000000-0005-0000-0000-00000E000000}"/>
    <cellStyle name="Normal 4 3 2" xfId="71" xr:uid="{00000000-0005-0000-0000-00004D000000}"/>
    <cellStyle name="Normal 4 3 2 2" xfId="132" xr:uid="{B8AB876D-41DC-4086-91A8-E0393F022C58}"/>
    <cellStyle name="Normal 4 3 3" xfId="90" xr:uid="{E74C908C-9C1D-4E7E-A0C7-F4D372FD592C}"/>
    <cellStyle name="Normal 4 4" xfId="33" xr:uid="{00000000-0005-0000-0000-000006000000}"/>
    <cellStyle name="Normal 4 4 2" xfId="72" xr:uid="{00000000-0005-0000-0000-00004E000000}"/>
    <cellStyle name="Normal 4 4 2 2" xfId="133" xr:uid="{1175A1C2-5F27-44EF-8E25-2BC3ED8EDECB}"/>
    <cellStyle name="Normal 4 4 3" xfId="99" xr:uid="{CB72B3DA-63EC-46D3-9CC3-333555F670C9}"/>
    <cellStyle name="Normal 4 5" xfId="67" xr:uid="{00000000-0005-0000-0000-000049000000}"/>
    <cellStyle name="Normal 4 5 2" xfId="128" xr:uid="{BD483519-F13B-44D7-ABAB-4844E43974A9}"/>
    <cellStyle name="Normal 4 6" xfId="81" xr:uid="{5E122B7C-F10C-4D11-888C-2B491059E25C}"/>
    <cellStyle name="Normal 5" xfId="42" xr:uid="{00000000-0005-0000-0000-000062000000}"/>
    <cellStyle name="Normal 6" xfId="141" xr:uid="{9B0E6D57-9917-4640-92C3-AA9393F4237D}"/>
    <cellStyle name="Normal_Sheet3_1" xfId="20" xr:uid="{00000000-0005-0000-0000-000011000000}"/>
    <cellStyle name="Normal_Township" xfId="9" xr:uid="{00000000-0005-0000-0000-000012000000}"/>
    <cellStyle name="Percent" xfId="1" builtinId="5"/>
    <cellStyle name="Percent 2" xfId="3" xr:uid="{00000000-0005-0000-0000-000014000000}"/>
    <cellStyle name="Percent 2 2" xfId="6" xr:uid="{00000000-0005-0000-0000-000015000000}"/>
    <cellStyle name="Percent 2 2 2" xfId="74" xr:uid="{00000000-0005-0000-0000-000053000000}"/>
    <cellStyle name="Percent 2 2 2 2" xfId="135" xr:uid="{E0223DB7-594F-457C-8A83-86E30EC8AFAF}"/>
    <cellStyle name="Percent 2 3" xfId="15" xr:uid="{00000000-0005-0000-0000-000016000000}"/>
    <cellStyle name="Percent 2 3 2" xfId="30" xr:uid="{00000000-0005-0000-0000-000016000000}"/>
    <cellStyle name="Percent 2 3 2 2" xfId="76" xr:uid="{00000000-0005-0000-0000-000055000000}"/>
    <cellStyle name="Percent 2 3 2 2 2" xfId="137" xr:uid="{4220C140-9489-4651-9232-528DB3711A2C}"/>
    <cellStyle name="Percent 2 3 2 3" xfId="96" xr:uid="{9481DD10-F119-407B-8E22-ECC7BAC44AB5}"/>
    <cellStyle name="Percent 2 3 3" xfId="39" xr:uid="{00000000-0005-0000-0000-00002C000000}"/>
    <cellStyle name="Percent 2 3 3 2" xfId="77" xr:uid="{00000000-0005-0000-0000-000056000000}"/>
    <cellStyle name="Percent 2 3 3 2 2" xfId="138" xr:uid="{C39D7C6E-B8BF-4D51-A5F7-E1E456EA13C5}"/>
    <cellStyle name="Percent 2 3 3 3" xfId="105" xr:uid="{9074F0BA-69CD-4B33-9CF3-D19E48700397}"/>
    <cellStyle name="Percent 2 3 4" xfId="75" xr:uid="{00000000-0005-0000-0000-000054000000}"/>
    <cellStyle name="Percent 2 3 4 2" xfId="136" xr:uid="{9BF6BEE2-77B3-4026-8A73-6E88F33510F5}"/>
    <cellStyle name="Percent 2 3 5" xfId="87" xr:uid="{D7B5473F-7834-4911-A629-DE9D37CFC1E0}"/>
    <cellStyle name="Percent 2 4" xfId="25" xr:uid="{00000000-0005-0000-0000-000014000000}"/>
    <cellStyle name="Percent 2 4 2" xfId="78" xr:uid="{00000000-0005-0000-0000-000057000000}"/>
    <cellStyle name="Percent 2 4 2 2" xfId="139" xr:uid="{51BC2321-42BB-49C5-8A9E-603BE56C0020}"/>
    <cellStyle name="Percent 2 4 3" xfId="91" xr:uid="{99056B64-3B42-4702-B17C-1C699F2D3B7B}"/>
    <cellStyle name="Percent 2 5" xfId="34" xr:uid="{00000000-0005-0000-0000-000008000000}"/>
    <cellStyle name="Percent 2 5 2" xfId="44" xr:uid="{00000000-0005-0000-0000-00000B000000}"/>
    <cellStyle name="Percent 2 5 2 2" xfId="109" xr:uid="{F80D1310-BCA1-4E23-9AEC-87B66DE5F322}"/>
    <cellStyle name="Percent 2 5 3" xfId="100" xr:uid="{ABC1F253-CDD5-4DEC-8471-E945F90FDF6F}"/>
    <cellStyle name="Percent 2 6" xfId="73" xr:uid="{00000000-0005-0000-0000-000052000000}"/>
    <cellStyle name="Percent 2 6 2" xfId="134" xr:uid="{CAA637E1-4094-4F1A-AF55-AE6DF3240674}"/>
    <cellStyle name="Percent 2 7" xfId="82" xr:uid="{C37DDD9A-239F-4981-A8A5-162E075D44D4}"/>
    <cellStyle name="Percent 3" xfId="11" xr:uid="{00000000-0005-0000-0000-000017000000}"/>
    <cellStyle name="Percent 3 2" xfId="19" xr:uid="{00000000-0005-0000-0000-000018000000}"/>
    <cellStyle name="Percent 4" xfId="45" xr:uid="{00000000-0005-0000-0000-000073000000}"/>
    <cellStyle name="Percent 4 2" xfId="110" xr:uid="{BD8C62F9-1AE1-4C43-9D0D-A65C218FC891}"/>
    <cellStyle name="Percent 5" xfId="142" xr:uid="{C39961BD-C969-44BB-B849-0ECE56343370}"/>
    <cellStyle name="千位分隔 3" xfId="57" xr:uid="{00000000-0005-0000-0000-00003D000000}"/>
    <cellStyle name="常规 2" xfId="79" xr:uid="{00000000-0005-0000-0000-00005A000000}"/>
  </cellStyles>
  <dxfs count="1297">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dxf>
    <dxf>
      <border outline="0">
        <bottom style="thin">
          <color theme="4" tint="0.39997558519241921"/>
        </bottom>
      </border>
    </dxf>
    <dxf>
      <font>
        <b val="0"/>
        <i val="0"/>
        <strike val="0"/>
        <condense val="0"/>
        <extend val="0"/>
        <outline val="0"/>
        <shadow val="0"/>
        <u val="none"/>
        <vertAlign val="baseline"/>
        <sz val="10"/>
        <color theme="1"/>
        <name val="Corbel"/>
        <scheme val="none"/>
      </font>
      <fill>
        <patternFill patternType="none">
          <fgColor indexed="64"/>
          <bgColor indexed="65"/>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b val="0"/>
        <strike val="0"/>
        <outline val="0"/>
        <shadow val="0"/>
        <u val="none"/>
        <vertAlign val="baseline"/>
        <sz val="11"/>
        <color auto="1"/>
        <name val="Calibri"/>
        <family val="2"/>
        <scheme val="minor"/>
      </font>
      <alignment horizontal="center" vertical="center" textRotation="0" wrapText="0" indent="0" justifyLastLine="0" shrinkToFit="0" readingOrder="0"/>
      <border diagonalUp="0" diagonalDown="0">
        <left style="thin">
          <color rgb="FF0070C0"/>
        </left>
        <right/>
        <top style="thin">
          <color rgb="FF0070C0"/>
        </top>
        <bottom style="thin">
          <color rgb="FF0070C0"/>
        </bottom>
        <vertical style="thin">
          <color rgb="FF0070C0"/>
        </vertical>
        <horizontal style="thin">
          <color rgb="FF0070C0"/>
        </horizontal>
      </border>
    </dxf>
    <dxf>
      <font>
        <b val="0"/>
        <strike val="0"/>
        <outline val="0"/>
        <shadow val="0"/>
        <u val="none"/>
        <vertAlign val="baseline"/>
        <sz val="11"/>
        <color auto="1"/>
        <name val="Calibri"/>
        <family val="2"/>
        <scheme val="minor"/>
      </font>
      <alignment horizontal="center" vertical="center" textRotation="0" wrapText="0" indent="0" justifyLastLine="0" shrinkToFit="0" readingOrder="0"/>
      <border diagonalUp="0" diagonalDown="0">
        <left style="thin">
          <color rgb="FF0070C0"/>
        </left>
        <right style="thin">
          <color rgb="FF0070C0"/>
        </right>
        <top style="thin">
          <color rgb="FF0070C0"/>
        </top>
        <bottom style="thin">
          <color rgb="FF0070C0"/>
        </bottom>
        <vertical style="thin">
          <color rgb="FF0070C0"/>
        </vertical>
        <horizontal style="thin">
          <color rgb="FF0070C0"/>
        </horizontal>
      </border>
    </dxf>
    <dxf>
      <font>
        <b val="0"/>
        <strike val="0"/>
        <outline val="0"/>
        <shadow val="0"/>
        <u val="none"/>
        <vertAlign val="baseline"/>
        <sz val="11"/>
        <color auto="1"/>
        <name val="Calibri"/>
        <family val="2"/>
        <scheme val="minor"/>
      </font>
      <alignment horizontal="center" vertical="center" textRotation="0" wrapText="0" indent="0" justifyLastLine="0" shrinkToFit="0" readingOrder="0"/>
      <border diagonalUp="0" diagonalDown="0">
        <left style="thin">
          <color rgb="FF0070C0"/>
        </left>
        <right style="thin">
          <color rgb="FF0070C0"/>
        </right>
        <top style="thin">
          <color rgb="FF0070C0"/>
        </top>
        <bottom style="thin">
          <color rgb="FF0070C0"/>
        </bottom>
        <vertical style="thin">
          <color rgb="FF0070C0"/>
        </vertical>
        <horizontal style="thin">
          <color rgb="FF0070C0"/>
        </horizontal>
      </border>
    </dxf>
    <dxf>
      <font>
        <b val="0"/>
        <strike val="0"/>
        <outline val="0"/>
        <shadow val="0"/>
        <u val="none"/>
        <vertAlign val="baseline"/>
        <sz val="11"/>
        <color auto="1"/>
        <name val="Calibri"/>
        <family val="2"/>
        <scheme val="minor"/>
      </font>
      <numFmt numFmtId="1" formatCode="0"/>
      <border diagonalUp="0" diagonalDown="0">
        <left style="thin">
          <color rgb="FF0070C0"/>
        </left>
        <right style="thin">
          <color rgb="FF0070C0"/>
        </right>
        <top style="thin">
          <color rgb="FF0070C0"/>
        </top>
        <bottom style="thin">
          <color rgb="FF0070C0"/>
        </bottom>
        <vertical style="thin">
          <color rgb="FF0070C0"/>
        </vertical>
        <horizontal style="thin">
          <color rgb="FF0070C0"/>
        </horizontal>
      </border>
    </dxf>
    <dxf>
      <font>
        <b val="0"/>
        <strike val="0"/>
        <outline val="0"/>
        <shadow val="0"/>
        <u val="none"/>
        <vertAlign val="baseline"/>
        <sz val="11"/>
        <color auto="1"/>
        <name val="Calibri"/>
        <family val="2"/>
        <scheme val="minor"/>
      </font>
      <border diagonalUp="0" diagonalDown="0">
        <left style="thin">
          <color rgb="FF0070C0"/>
        </left>
        <right style="thin">
          <color rgb="FF0070C0"/>
        </right>
        <top style="thin">
          <color rgb="FF0070C0"/>
        </top>
        <bottom style="thin">
          <color rgb="FF0070C0"/>
        </bottom>
        <vertical style="thin">
          <color rgb="FF0070C0"/>
        </vertical>
        <horizontal style="thin">
          <color rgb="FF0070C0"/>
        </horizontal>
      </border>
    </dxf>
    <dxf>
      <font>
        <b val="0"/>
        <strike val="0"/>
        <outline val="0"/>
        <shadow val="0"/>
        <u val="none"/>
        <vertAlign val="baseline"/>
        <sz val="11"/>
        <color auto="1"/>
        <name val="Calibri"/>
        <family val="2"/>
        <scheme val="minor"/>
      </font>
      <border diagonalUp="0" diagonalDown="0">
        <left style="thin">
          <color rgb="FF0070C0"/>
        </left>
        <right style="thin">
          <color rgb="FF0070C0"/>
        </right>
        <top style="thin">
          <color rgb="FF0070C0"/>
        </top>
        <bottom style="thin">
          <color rgb="FF0070C0"/>
        </bottom>
        <vertical style="thin">
          <color rgb="FF0070C0"/>
        </vertical>
        <horizontal style="thin">
          <color rgb="FF0070C0"/>
        </horizontal>
      </border>
    </dxf>
    <dxf>
      <font>
        <b val="0"/>
        <strike val="0"/>
        <outline val="0"/>
        <shadow val="0"/>
        <u val="none"/>
        <vertAlign val="baseline"/>
        <sz val="11"/>
        <color auto="1"/>
        <name val="Calibri"/>
        <family val="2"/>
        <scheme val="minor"/>
      </font>
      <fill>
        <patternFill patternType="none">
          <fgColor indexed="64"/>
          <bgColor indexed="65"/>
        </patternFill>
      </fill>
      <border diagonalUp="0" diagonalDown="0">
        <left/>
        <right style="thin">
          <color rgb="FF0070C0"/>
        </right>
        <top style="thin">
          <color rgb="FF0070C0"/>
        </top>
        <bottom style="thin">
          <color rgb="FF0070C0"/>
        </bottom>
        <vertical style="thin">
          <color rgb="FF0070C0"/>
        </vertical>
        <horizontal style="thin">
          <color rgb="FF0070C0"/>
        </horizontal>
      </border>
    </dxf>
    <dxf>
      <border>
        <top style="thin">
          <color rgb="FF0070C0"/>
        </top>
      </border>
    </dxf>
    <dxf>
      <border diagonalUp="0" diagonalDown="0">
        <left style="double">
          <color rgb="FF0070C0"/>
        </left>
        <right style="double">
          <color rgb="FF0070C0"/>
        </right>
        <top style="double">
          <color rgb="FF0070C0"/>
        </top>
        <bottom style="double">
          <color rgb="FF0070C0"/>
        </bottom>
      </border>
    </dxf>
    <dxf>
      <font>
        <b val="0"/>
        <strike val="0"/>
        <outline val="0"/>
        <shadow val="0"/>
        <u val="none"/>
        <vertAlign val="baseline"/>
        <sz val="11"/>
        <color auto="1"/>
        <name val="Calibri"/>
        <family val="2"/>
        <scheme val="minor"/>
      </font>
    </dxf>
    <dxf>
      <border>
        <bottom style="thin">
          <color rgb="FF0070C0"/>
        </bottom>
      </border>
    </dxf>
    <dxf>
      <font>
        <b/>
        <i val="0"/>
        <strike val="0"/>
        <condense val="0"/>
        <extend val="0"/>
        <outline val="0"/>
        <shadow val="0"/>
        <u val="none"/>
        <vertAlign val="baseline"/>
        <sz val="10"/>
        <color theme="0"/>
        <name val="Calibri"/>
        <family val="2"/>
        <scheme val="minor"/>
      </font>
      <fill>
        <patternFill patternType="solid">
          <fgColor theme="4"/>
          <bgColor theme="4"/>
        </patternFill>
      </fill>
      <alignment horizontal="center" vertical="center" textRotation="0" wrapText="1" indent="0" justifyLastLine="0" shrinkToFit="0" readingOrder="0"/>
      <border diagonalUp="0" diagonalDown="0">
        <left style="thin">
          <color rgb="FF0070C0"/>
        </left>
        <right style="thin">
          <color rgb="FF0070C0"/>
        </right>
        <top/>
        <bottom/>
        <vertical style="thin">
          <color rgb="FF0070C0"/>
        </vertical>
        <horizontal style="thin">
          <color rgb="FF0070C0"/>
        </horizontal>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theme="0" tint="-0.24994659260841701"/>
        </left>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Calibri"/>
        <scheme val="minor"/>
      </font>
      <numFmt numFmtId="164" formatCode="_(* #,##0_);_(* \(#,##0\);_(* &quot;-&quot;??_);_(@_)"/>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top style="thin">
          <color theme="0" tint="-0.24994659260841701"/>
        </top>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vertical="center" textRotation="0" wrapText="0" indent="0" justifyLastLine="0" shrinkToFit="0" readingOrder="0"/>
    </dxf>
    <dxf>
      <border>
        <bottom style="thin">
          <color theme="0" tint="-0.2499465926084170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center" textRotation="0" wrapText="1" indent="0" justifyLastLine="0" shrinkToFit="0" readingOrder="0"/>
      <border diagonalUp="0" diagonalDown="0">
        <left style="thin">
          <color theme="0" tint="-0.24994659260841701"/>
        </left>
        <right style="thin">
          <color theme="0" tint="-0.24994659260841701"/>
        </right>
        <top/>
        <bottom/>
        <vertical style="thin">
          <color theme="0" tint="-0.24994659260841701"/>
        </vertical>
        <horizontal style="thin">
          <color theme="0" tint="-0.24994659260841701"/>
        </horizontal>
      </border>
    </dxf>
    <dxf>
      <border diagonalUp="0" diagonalDown="0">
        <left style="thin">
          <color rgb="FF000000"/>
        </left>
        <right style="thin">
          <color rgb="FF000000"/>
        </right>
        <top/>
        <bottom/>
        <vertical style="thin">
          <color rgb="FF000000"/>
        </vertical>
        <horizontal style="thin">
          <color rgb="FF000000"/>
        </horizontal>
      </border>
    </dxf>
    <dxf>
      <font>
        <b val="0"/>
        <i val="0"/>
        <strike val="0"/>
        <condense val="0"/>
        <extend val="0"/>
        <outline val="0"/>
        <shadow val="0"/>
        <u val="none"/>
        <vertAlign val="baseline"/>
        <sz val="10"/>
        <color rgb="FF000000"/>
        <name val="Calibri"/>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_(* #,##0_);_(* \(#,##0\);_(* &quot;-&quot;??_);_(@_)"/>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family val="2"/>
        <scheme val="minor"/>
      </font>
      <numFmt numFmtId="164" formatCode="_(* #,##0_);_(* \(#,##0\);_(* &quot;-&quot;??_);_(@_)"/>
      <alignment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border diagonalUp="0" diagonalDown="0">
        <left style="thin">
          <color rgb="FF000000"/>
        </left>
        <right style="thin">
          <color rgb="FF000000"/>
        </right>
        <top/>
        <bottom/>
        <vertical style="thin">
          <color rgb="FF000000"/>
        </vertical>
        <horizontal style="thin">
          <color rgb="FF000000"/>
        </horizontal>
      </border>
    </dxf>
    <dxf>
      <font>
        <b val="0"/>
        <i val="0"/>
        <strike val="0"/>
        <condense val="0"/>
        <extend val="0"/>
        <outline val="0"/>
        <shadow val="0"/>
        <u val="none"/>
        <vertAlign val="baseline"/>
        <sz val="10"/>
        <color rgb="FF000000"/>
        <name val="Calibri"/>
        <scheme val="none"/>
      </font>
    </dxf>
    <dxf>
      <border outline="0">
        <bottom style="thin">
          <color rgb="FF0070C0"/>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rgb="FF0070C0"/>
        </left>
        <right style="thin">
          <color rgb="FF0070C0"/>
        </right>
        <top/>
        <bottom/>
      </border>
    </dxf>
    <dxf>
      <numFmt numFmtId="0" formatCode="General"/>
    </dxf>
    <dxf>
      <numFmt numFmtId="0" formatCode="General"/>
    </dxf>
    <dxf>
      <font>
        <b val="0"/>
        <strike val="0"/>
        <outline val="0"/>
        <shadow val="0"/>
        <u val="none"/>
        <vertAlign val="baseline"/>
        <sz val="1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strike val="0"/>
        <outline val="0"/>
        <shadow val="0"/>
        <u val="none"/>
        <vertAlign val="baseline"/>
        <sz val="11"/>
        <name val="Calibri"/>
        <family val="2"/>
        <scheme val="minor"/>
      </font>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2"/>
        <color theme="1"/>
        <name val="Times New Roman"/>
        <family val="2"/>
        <scheme val="none"/>
      </font>
    </dxf>
    <dxf>
      <font>
        <b/>
        <i val="0"/>
        <strike val="0"/>
        <condense val="0"/>
        <extend val="0"/>
        <outline val="0"/>
        <shadow val="0"/>
        <u val="none"/>
        <vertAlign val="baseline"/>
        <sz val="12"/>
        <color theme="1"/>
        <name val="Times New Roman"/>
        <family val="2"/>
        <scheme val="none"/>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family val="1"/>
      </font>
      <fill>
        <patternFill patternType="none">
          <fgColor indexed="64"/>
          <bgColor auto="1"/>
        </patternFill>
      </fill>
    </dxf>
    <dxf>
      <font>
        <b val="0"/>
        <family val="1"/>
      </font>
      <fill>
        <patternFill patternType="none">
          <fgColor indexed="64"/>
          <bgColor auto="1"/>
        </patternFill>
      </fill>
    </dxf>
    <dxf>
      <font>
        <b val="0"/>
        <i val="0"/>
        <strike val="0"/>
        <outline val="0"/>
        <shadow val="0"/>
        <u val="none"/>
        <vertAlign val="baseline"/>
        <sz val="12"/>
        <color auto="1"/>
        <name val="Times New Roman"/>
        <family val="1"/>
        <scheme val="none"/>
      </font>
      <fill>
        <patternFill patternType="none">
          <fgColor indexed="64"/>
          <bgColor auto="1"/>
        </patternFill>
      </fill>
    </dxf>
    <dxf>
      <border outline="0">
        <top style="thin">
          <color rgb="FF9BC2E6"/>
        </top>
      </border>
    </dxf>
    <dxf>
      <border outline="0">
        <bottom style="thin">
          <color rgb="FF9BC2E6"/>
        </bottom>
      </border>
    </dxf>
    <dxf>
      <font>
        <b val="0"/>
        <i val="0"/>
        <strike val="0"/>
        <condense val="0"/>
        <extend val="0"/>
        <outline val="0"/>
        <shadow val="0"/>
        <u val="none"/>
        <vertAlign val="baseline"/>
        <sz val="12"/>
        <color theme="0"/>
        <name val="Times New Roman"/>
        <family val="1"/>
        <scheme val="none"/>
      </font>
      <fill>
        <patternFill patternType="none">
          <fgColor indexed="64"/>
          <bgColor auto="1"/>
        </patternFill>
      </fill>
    </dxf>
    <dxf>
      <font>
        <strike val="0"/>
        <outline val="0"/>
        <shadow val="0"/>
        <u val="none"/>
        <vertAlign val="baseline"/>
        <sz val="12"/>
        <color auto="1"/>
        <name val="Times New Roman"/>
        <family val="2"/>
        <scheme val="none"/>
      </font>
      <numFmt numFmtId="0" formatCode="General"/>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auto="1"/>
        <name val="Times New Roman"/>
        <family val="2"/>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auto="1"/>
        <name val="Times New Roman"/>
        <family val="2"/>
        <scheme val="none"/>
      </font>
      <fill>
        <patternFill patternType="none">
          <fgColor rgb="FF000000"/>
          <bgColor auto="1"/>
        </patternFill>
      </fill>
      <alignment horizontal="left" vertical="bottom" textRotation="0" wrapText="0" indent="0" justifyLastLine="0" shrinkToFit="0" readingOrder="0"/>
    </dxf>
    <dxf>
      <border outline="0">
        <bottom style="thin">
          <color rgb="FF9BC2E6"/>
        </bottom>
      </border>
    </dxf>
    <dxf>
      <font>
        <b/>
        <i val="0"/>
        <strike val="0"/>
        <condense val="0"/>
        <extend val="0"/>
        <outline val="0"/>
        <shadow val="0"/>
        <u val="none"/>
        <vertAlign val="baseline"/>
        <sz val="12"/>
        <color auto="1"/>
        <name val="Times New Roman"/>
        <family val="2"/>
        <scheme val="none"/>
      </font>
      <fill>
        <patternFill patternType="none">
          <fgColor indexed="64"/>
          <bgColor auto="1"/>
        </patternFill>
      </fill>
    </dxf>
    <dxf>
      <font>
        <b val="0"/>
        <strike val="0"/>
        <outline val="0"/>
        <shadow val="0"/>
        <u val="none"/>
        <vertAlign val="baseline"/>
        <sz val="1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strike val="0"/>
        <outline val="0"/>
        <shadow val="0"/>
        <u val="none"/>
        <vertAlign val="baseline"/>
        <sz val="11"/>
        <name val="Calibri"/>
        <family val="2"/>
        <scheme val="minor"/>
      </font>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2"/>
        <color theme="1"/>
        <name val="Times New Roman"/>
        <family val="2"/>
        <scheme val="none"/>
      </font>
    </dxf>
    <dxf>
      <font>
        <b/>
        <i val="0"/>
        <strike val="0"/>
        <condense val="0"/>
        <extend val="0"/>
        <outline val="0"/>
        <shadow val="0"/>
        <u val="none"/>
        <vertAlign val="baseline"/>
        <sz val="12"/>
        <color theme="1"/>
        <name val="Times New Roman"/>
        <family val="2"/>
        <scheme val="none"/>
      </font>
    </dxf>
    <dxf>
      <font>
        <b/>
        <i val="0"/>
        <strike val="0"/>
        <condense val="0"/>
        <extend val="0"/>
        <outline val="0"/>
        <shadow val="0"/>
        <u val="none"/>
        <vertAlign val="baseline"/>
        <sz val="12"/>
        <color theme="1"/>
        <name val="Times New Roman"/>
        <family val="2"/>
        <scheme val="none"/>
      </font>
    </dxf>
    <dxf>
      <font>
        <b/>
        <i val="0"/>
        <strike val="0"/>
        <condense val="0"/>
        <extend val="0"/>
        <outline val="0"/>
        <shadow val="0"/>
        <u val="none"/>
        <vertAlign val="baseline"/>
        <sz val="12"/>
        <color theme="1"/>
        <name val="Times New Roman"/>
        <family val="2"/>
        <scheme val="none"/>
      </font>
    </dxf>
    <dxf>
      <font>
        <b/>
        <i val="0"/>
        <strike val="0"/>
        <condense val="0"/>
        <extend val="0"/>
        <outline val="0"/>
        <shadow val="0"/>
        <u val="none"/>
        <vertAlign val="baseline"/>
        <sz val="12"/>
        <color theme="1"/>
        <name val="Times New Roman"/>
        <family val="2"/>
        <scheme val="none"/>
      </font>
    </dxf>
    <dxf>
      <border outline="0">
        <bottom style="thin">
          <color theme="4" tint="0.39997558519241921"/>
        </bottom>
      </border>
    </dxf>
    <dxf>
      <font>
        <b/>
        <i val="0"/>
        <strike val="0"/>
        <condense val="0"/>
        <extend val="0"/>
        <outline val="0"/>
        <shadow val="0"/>
        <u val="none"/>
        <vertAlign val="baseline"/>
        <sz val="12"/>
        <color theme="1"/>
        <name val="Times New Roman"/>
        <family val="2"/>
        <scheme val="none"/>
      </font>
      <fill>
        <patternFill patternType="solid">
          <fgColor theme="4" tint="0.79998168889431442"/>
          <bgColor theme="4" tint="0.79998168889431442"/>
        </patternFill>
      </fill>
    </dxf>
    <dxf>
      <font>
        <sz val="11"/>
      </font>
    </dxf>
    <dxf>
      <font>
        <sz val="11"/>
      </font>
    </dxf>
    <dxf>
      <font>
        <sz val="11"/>
      </font>
    </dxf>
    <dxf>
      <font>
        <sz val="11"/>
      </font>
    </dxf>
    <dxf>
      <font>
        <sz val="11"/>
      </font>
    </dxf>
    <dxf>
      <font>
        <sz val="11"/>
      </font>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alignment wrapText="1"/>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alignment wrapText="1"/>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color theme="0"/>
      </font>
    </dxf>
    <dxf>
      <fill>
        <patternFill patternType="solid">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alignment wrapText="1"/>
    </dxf>
    <dxf>
      <font>
        <sz val="10"/>
      </font>
    </dxf>
    <dxf>
      <font>
        <sz val="10"/>
      </font>
    </dxf>
    <dxf>
      <font>
        <name val="Calibri"/>
        <scheme val="minor"/>
      </font>
    </dxf>
    <dxf>
      <font>
        <name val="Calibri"/>
        <scheme val="minor"/>
      </font>
    </dxf>
    <dxf>
      <font>
        <name val="Calibri"/>
        <scheme val="minor"/>
      </font>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numFmt numFmtId="3" formatCode="#,##0"/>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b/>
        <color theme="0"/>
      </font>
      <fill>
        <patternFill patternType="solid">
          <fgColor indexed="64"/>
          <bgColor theme="3" tint="-0.499984740745262"/>
        </patternFill>
      </fill>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9"/>
      </font>
    </dxf>
    <dxf>
      <font>
        <name val="Calibri"/>
        <scheme val="minor"/>
      </font>
    </dxf>
    <dxf>
      <font>
        <name val="Calibri"/>
        <scheme val="minor"/>
      </font>
    </dxf>
    <dxf>
      <font>
        <name val="Calibri"/>
        <scheme val="minor"/>
      </font>
    </dxf>
    <dxf>
      <font>
        <name val="Calibri"/>
        <scheme val="minor"/>
      </font>
    </dxf>
    <dxf>
      <alignment wrapText="1"/>
    </dxf>
    <dxf>
      <numFmt numFmtId="13" formatCode="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numFmt numFmtId="164" formatCode="_(* #,##0_);_(* \(#,##0\);_(* &quot;-&quot;??_);_(@_)"/>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numFmt numFmtId="13" formatCode="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9"/>
      </font>
    </dxf>
    <dxf>
      <font>
        <name val="Calibri"/>
        <scheme val="minor"/>
      </font>
    </dxf>
    <dxf>
      <font>
        <name val="Calibri"/>
        <scheme val="minor"/>
      </font>
    </dxf>
    <dxf>
      <font>
        <name val="Calibri"/>
        <scheme val="minor"/>
      </font>
    </dxf>
    <dxf>
      <font>
        <name val="Calibri"/>
        <scheme val="minor"/>
      </font>
    </dxf>
    <dxf>
      <alignment wrapText="1"/>
    </dxf>
    <dxf>
      <font>
        <color theme="0"/>
      </font>
    </dxf>
    <dxf>
      <fill>
        <patternFill patternType="solid">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1"/>
      </font>
    </dxf>
    <dxf>
      <font>
        <sz val="11"/>
      </font>
    </dxf>
    <dxf>
      <font>
        <sz val="11"/>
      </font>
    </dxf>
    <dxf>
      <font>
        <sz val="11"/>
      </font>
    </dxf>
    <dxf>
      <font>
        <sz val="11"/>
      </font>
    </dxf>
    <dxf>
      <font>
        <sz val="11"/>
      </font>
    </dxf>
    <dxf>
      <numFmt numFmtId="3" formatCode="#,##0"/>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alignment wrapText="1"/>
    </dxf>
    <dxf>
      <font>
        <sz val="10"/>
      </font>
    </dxf>
    <dxf>
      <font>
        <sz val="10"/>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horizontal="center"/>
    </dxf>
    <dxf>
      <alignment horizontal="center"/>
    </dxf>
    <dxf>
      <alignment vertical="center"/>
    </dxf>
    <dxf>
      <alignment vertical="center"/>
    </dxf>
    <dxf>
      <alignment wrapText="1"/>
    </dxf>
    <dxf>
      <alignment wrapText="1"/>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numFmt numFmtId="13" formatCode="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numFmt numFmtId="164" formatCode="_(* #,##0_);_(* \(#,##0\);_(* &quot;-&quot;??_);_(@_)"/>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sz val="11"/>
      </font>
    </dxf>
    <dxf>
      <font>
        <sz val="11"/>
      </font>
    </dxf>
    <dxf>
      <font>
        <b/>
        <sz val="11"/>
        <color theme="0"/>
      </font>
      <fill>
        <patternFill patternType="solid">
          <fgColor indexed="64"/>
          <bgColor theme="4" tint="-0.499984740745262"/>
        </patternFill>
      </fill>
      <alignment horizontal="center" vertical="center"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alignment wrapText="1"/>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alignment horizontal="center" vertical="center" wrapText="1"/>
    </dxf>
    <dxf>
      <alignment horizontal="center" vertical="center" wrapText="1"/>
    </dxf>
    <dxf>
      <alignment horizontal="center" vertical="center" wrapText="1"/>
    </dxf>
    <dxf>
      <alignment horizontal="center" vertical="center" wrapText="1"/>
    </dxf>
    <dxf>
      <fill>
        <patternFill patternType="solid">
          <bgColor theme="7" tint="-0.249977111117893"/>
        </patternFill>
      </fill>
    </dxf>
    <dxf>
      <alignment wrapText="1"/>
    </dxf>
    <dxf>
      <alignment wrapText="1"/>
    </dxf>
    <dxf>
      <alignment horizontal="center"/>
    </dxf>
    <dxf>
      <alignment vertical="center"/>
    </dxf>
    <dxf>
      <alignment wrapText="1"/>
    </dxf>
    <dxf>
      <fill>
        <patternFill>
          <bgColor rgb="FF85C2FF"/>
        </patternFill>
      </fill>
    </dxf>
    <dxf>
      <fill>
        <patternFill patternType="solid">
          <bgColor theme="7" tint="-0.249977111117893"/>
        </patternFill>
      </fill>
    </dxf>
    <dxf>
      <fill>
        <patternFill patternType="solid">
          <bgColor theme="7" tint="-0.249977111117893"/>
        </patternFill>
      </fill>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alignment horizontal="center" vertical="center" wrapText="1"/>
    </dxf>
    <dxf>
      <fill>
        <patternFill patternType="none">
          <fgColor indexed="64"/>
          <bgColor indexed="65"/>
        </patternFill>
      </fill>
    </dxf>
    <dxf>
      <font>
        <color auto="1"/>
      </font>
      <fill>
        <patternFill patternType="solid">
          <fgColor indexed="64"/>
          <bgColor theme="0" tint="-0.249977111117893"/>
        </patternFill>
      </fill>
      <alignment horizontal="center" vertical="center" wrapText="1"/>
    </dxf>
    <dxf>
      <alignment horizontal="center" vertical="center" wrapText="1"/>
    </dxf>
    <dxf>
      <alignment horizontal="center" vertical="center" wrapText="1"/>
    </dxf>
    <dxf>
      <fill>
        <patternFill patternType="solid">
          <bgColor theme="7" tint="-0.249977111117893"/>
        </patternFill>
      </fill>
    </dxf>
    <dxf>
      <alignment horizontal="center"/>
    </dxf>
    <dxf>
      <alignment vertical="center"/>
    </dxf>
    <dxf>
      <alignment wrapText="1"/>
    </dxf>
    <dxf>
      <fill>
        <patternFill>
          <bgColor rgb="FF85C2FF"/>
        </patternFill>
      </fill>
    </dxf>
    <dxf>
      <fill>
        <patternFill patternType="solid">
          <bgColor theme="7" tint="-0.249977111117893"/>
        </patternFill>
      </fill>
    </dxf>
    <dxf>
      <fill>
        <patternFill patternType="solid">
          <bgColor theme="7" tint="-0.249977111117893"/>
        </patternFill>
      </fill>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b val="0"/>
        <i val="0"/>
        <strike val="0"/>
        <condense val="0"/>
        <extend val="0"/>
        <outline val="0"/>
        <shadow val="0"/>
        <u val="none"/>
        <vertAlign val="baseline"/>
        <sz val="12"/>
        <color theme="1"/>
        <name val="Calibri"/>
        <family val="2"/>
        <scheme val="minor"/>
      </font>
      <numFmt numFmtId="164" formatCode="_(* #,##0_);_(* \(#,##0\);_(* &quot;-&quot;??_);_(@_)"/>
    </dxf>
    <dxf>
      <font>
        <b val="0"/>
        <i val="0"/>
        <strike val="0"/>
        <condense val="0"/>
        <extend val="0"/>
        <outline val="0"/>
        <shadow val="0"/>
        <u val="none"/>
        <vertAlign val="baseline"/>
        <sz val="12"/>
        <color theme="1"/>
        <name val="Calibri"/>
        <family val="2"/>
        <scheme val="minor"/>
      </font>
      <numFmt numFmtId="164" formatCode="_(* #,##0_);_(* \(#,##0\);_(* &quot;-&quot;??_);_(@_)"/>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numFmt numFmtId="1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dxf>
    <dxf>
      <fill>
        <patternFill>
          <bgColor rgb="FF85C2FF"/>
        </patternFill>
      </fill>
    </dxf>
    <dxf>
      <alignment horizontal="center"/>
    </dxf>
    <dxf>
      <alignment vertical="center"/>
    </dxf>
    <dxf>
      <alignment wrapText="1"/>
    </dxf>
    <dxf>
      <alignment vertical="center"/>
    </dxf>
    <dxf>
      <fill>
        <patternFill patternType="solid">
          <bgColor theme="7" tint="-0.249977111117893"/>
        </patternFill>
      </fill>
    </dxf>
    <dxf>
      <fill>
        <patternFill patternType="solid">
          <bgColor theme="7" tint="-0.249977111117893"/>
        </patternFill>
      </fill>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dxf>
    <dxf>
      <font>
        <sz val="10"/>
        <name val="Calibri"/>
        <family val="2"/>
        <scheme val="minor"/>
      </font>
      <numFmt numFmtId="0" formatCode="General"/>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alignment horizontal="general" vertical="bottom" textRotation="0" wrapText="1" indent="0" justifyLastLine="0" shrinkToFit="0" readingOrder="1"/>
    </dxf>
    <dxf>
      <font>
        <strike val="0"/>
        <outline val="0"/>
        <shadow val="0"/>
        <u val="none"/>
        <vertAlign val="baseline"/>
        <sz val="10"/>
        <name val="Calibri"/>
        <family val="2"/>
        <scheme val="minor"/>
      </font>
      <numFmt numFmtId="165" formatCode="[$-409]d\-mmm\-yy;@"/>
      <fill>
        <patternFill patternType="none">
          <fgColor indexed="64"/>
          <bgColor indexed="65"/>
        </patternFill>
      </fill>
    </dxf>
    <dxf>
      <font>
        <strike val="0"/>
        <outline val="0"/>
        <shadow val="0"/>
        <u val="none"/>
        <vertAlign val="baseline"/>
        <sz val="10"/>
        <name val="Calibri"/>
        <family val="2"/>
        <scheme val="minor"/>
      </font>
      <numFmt numFmtId="0" formatCode="General"/>
      <fill>
        <patternFill patternType="none">
          <fgColor indexed="64"/>
          <bgColor indexed="65"/>
        </patternFill>
      </fill>
    </dxf>
    <dxf>
      <font>
        <strike val="0"/>
        <outline val="0"/>
        <shadow val="0"/>
        <u val="none"/>
        <vertAlign val="baseline"/>
        <sz val="10"/>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1"/>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dxf>
    <dxf>
      <font>
        <strike val="0"/>
        <outline val="0"/>
        <shadow val="0"/>
        <u val="none"/>
        <vertAlign val="baseline"/>
        <sz val="10"/>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dxf>
    <dxf>
      <font>
        <strike val="0"/>
        <outline val="0"/>
        <shadow val="0"/>
        <u val="none"/>
        <vertAlign val="baseline"/>
        <sz val="10"/>
        <name val="Calibri"/>
        <family val="2"/>
        <scheme val="minor"/>
      </font>
      <numFmt numFmtId="1" formatCode="0"/>
      <fill>
        <patternFill patternType="none">
          <fgColor indexed="64"/>
          <bgColor indexed="65"/>
        </patternFill>
      </fill>
      <border diagonalUp="0" diagonalDown="0">
        <left/>
        <right/>
        <top style="thin">
          <color theme="4" tint="0.39997558519241921"/>
        </top>
        <bottom/>
        <vertical/>
        <horizontal/>
      </border>
    </dxf>
    <dxf>
      <font>
        <strike val="0"/>
        <outline val="0"/>
        <shadow val="0"/>
        <u val="none"/>
        <vertAlign val="baseline"/>
        <sz val="10"/>
        <name val="Calibri"/>
        <family val="2"/>
        <scheme val="minor"/>
      </font>
      <numFmt numFmtId="0" formatCode="General"/>
      <fill>
        <patternFill patternType="none">
          <fgColor indexed="64"/>
          <bgColor indexed="65"/>
        </patternFill>
      </fill>
      <border diagonalUp="0" diagonalDown="0">
        <left/>
        <right/>
        <top style="thin">
          <color theme="4" tint="0.39997558519241921"/>
        </top>
        <bottom/>
        <vertical/>
        <horizontal/>
      </border>
    </dxf>
    <dxf>
      <font>
        <strike val="0"/>
        <outline val="0"/>
        <shadow val="0"/>
        <u val="none"/>
        <vertAlign val="baseline"/>
        <sz val="10"/>
        <name val="Calibri"/>
        <family val="2"/>
        <scheme val="minor"/>
      </font>
      <numFmt numFmtId="1" formatCode="0"/>
      <fill>
        <patternFill patternType="none">
          <fgColor indexed="64"/>
          <bgColor indexed="65"/>
        </patternFill>
      </fill>
    </dxf>
    <dxf>
      <font>
        <strike val="0"/>
        <outline val="0"/>
        <shadow val="0"/>
        <u val="none"/>
        <vertAlign val="baseline"/>
        <sz val="10"/>
        <name val="Calibri"/>
        <scheme val="minor"/>
      </font>
    </dxf>
    <dxf>
      <font>
        <color rgb="FF9C0006"/>
      </font>
      <fill>
        <patternFill>
          <bgColor rgb="FFFFC7CE"/>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8" formatCode="[$-409]d\-mmm\-yy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8" formatCode="[$-409]d\-mmm\-yyyy;@"/>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border outline="0">
        <left style="medium">
          <color rgb="FFFFFFFF"/>
        </left>
      </border>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border outline="0">
        <bottom style="medium">
          <color rgb="FFFFFFFF"/>
        </bottom>
      </border>
    </dxf>
    <dxf>
      <font>
        <b val="0"/>
        <strike val="0"/>
        <outline val="0"/>
        <shadow val="0"/>
        <u val="none"/>
        <vertAlign val="baseline"/>
        <sz val="9"/>
        <name val="Corbel"/>
        <scheme val="none"/>
      </font>
      <fill>
        <patternFill patternType="none">
          <fgColor indexed="64"/>
          <bgColor auto="1"/>
        </patternFill>
      </fill>
      <alignment textRotation="0" wrapText="1" indent="0" justifyLastLine="0" shrinkToFit="0"/>
    </dxf>
    <dxf>
      <font>
        <color rgb="FF9C0006"/>
      </font>
      <fill>
        <patternFill>
          <bgColor rgb="FFFFC7CE"/>
        </patternFill>
      </fill>
    </dxf>
    <dxf>
      <font>
        <color rgb="FF9C0006"/>
      </font>
      <fill>
        <patternFill>
          <bgColor rgb="FFFFC7CE"/>
        </patternFill>
      </fill>
    </dxf>
    <dxf>
      <fill>
        <patternFill>
          <bgColor theme="4" tint="-0.24994659260841701"/>
        </patternFill>
      </fill>
    </dxf>
    <dxf>
      <fill>
        <patternFill>
          <bgColor rgb="FFCEFD95"/>
        </patternFill>
      </fill>
    </dxf>
    <dxf>
      <fill>
        <patternFill>
          <bgColor theme="4" tint="0.59996337778862885"/>
        </patternFill>
      </fill>
    </dxf>
    <dxf>
      <fill>
        <patternFill>
          <bgColor rgb="FFE1F3F2"/>
        </patternFill>
      </fill>
    </dxf>
    <dxf>
      <fill>
        <patternFill>
          <bgColor rgb="FFEAFFC1"/>
        </patternFill>
      </fill>
    </dxf>
    <dxf>
      <fill>
        <patternFill>
          <bgColor rgb="FFFCFCD0"/>
        </patternFill>
      </fill>
    </dxf>
    <dxf>
      <fill>
        <patternFill>
          <bgColor theme="7" tint="0.79998168889431442"/>
        </patternFill>
      </fill>
    </dxf>
    <dxf>
      <fill>
        <patternFill>
          <bgColor theme="4" tint="0.79998168889431442"/>
        </patternFill>
      </fill>
      <border>
        <left style="thin">
          <color theme="8"/>
        </left>
        <right style="thin">
          <color theme="8"/>
        </right>
        <top style="thin">
          <color theme="8"/>
        </top>
        <bottom style="thin">
          <color theme="8"/>
        </bottom>
        <vertical style="thin">
          <color theme="8"/>
        </vertical>
        <horizontal style="thin">
          <color theme="8"/>
        </horizontal>
      </border>
    </dxf>
    <dxf>
      <border>
        <vertical style="thin">
          <color auto="1"/>
        </vertical>
        <horizontal style="thin">
          <color auto="1"/>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color theme="4" tint="-0.249977111117893"/>
      </font>
    </dxf>
    <dxf>
      <font>
        <color theme="4" tint="-0.249977111117893"/>
      </font>
    </dxf>
    <dxf>
      <font>
        <color theme="4" tint="-0.249977111117893"/>
      </font>
    </dxf>
    <dxf>
      <font>
        <color theme="4" tint="-0.249977111117893"/>
      </font>
    </dxf>
    <dxf>
      <fill>
        <patternFill patternType="solid">
          <fgColor theme="4" tint="0.79998168889431442"/>
          <bgColor theme="4" tint="0.79998168889431442"/>
        </patternFill>
      </fill>
    </dxf>
    <dxf>
      <fill>
        <patternFill patternType="solid">
          <fgColor theme="4" tint="0.79998168889431442"/>
          <bgColor theme="4" tint="0.79998168889431442"/>
        </patternFill>
      </fill>
      <border>
        <top style="thin">
          <color theme="1" tint="0.499984740745262"/>
        </top>
        <bottom style="thin">
          <color theme="1" tint="0.499984740745262"/>
        </bottom>
      </border>
    </dxf>
    <dxf>
      <font>
        <color theme="4" tint="-0.249977111117893"/>
      </font>
    </dxf>
    <dxf>
      <font>
        <color theme="4" tint="-0.249977111117893"/>
      </font>
      <border>
        <top style="thin">
          <color theme="4"/>
        </top>
      </border>
    </dxf>
    <dxf>
      <font>
        <color theme="4" tint="-0.249977111117893"/>
      </font>
      <border>
        <bottom style="thin">
          <color theme="4"/>
        </bottom>
      </border>
    </dxf>
    <dxf>
      <font>
        <color theme="4" tint="-0.249977111117893"/>
      </font>
      <border>
        <left style="thin">
          <color theme="4"/>
        </left>
        <right style="thin">
          <color theme="4"/>
        </right>
        <top style="thin">
          <color theme="4"/>
        </top>
        <bottom style="thin">
          <color theme="4"/>
        </bottom>
        <vertical style="thin">
          <color theme="4"/>
        </vertical>
      </border>
    </dxf>
    <dxf>
      <font>
        <b/>
        <color theme="1"/>
      </font>
    </dxf>
    <dxf>
      <font>
        <b/>
        <color theme="1"/>
      </font>
      <fill>
        <patternFill patternType="solid">
          <fgColor theme="9" tint="0.79998168889431442"/>
          <bgColor theme="9" tint="0.79998168889431442"/>
        </patternFill>
      </fill>
      <border>
        <bottom style="thin">
          <color theme="0"/>
        </bottom>
      </border>
    </dxf>
    <dxf>
      <border>
        <top style="thin">
          <color theme="9" tint="0.79998168889431442"/>
        </top>
      </border>
    </dxf>
    <dxf>
      <border>
        <top style="thin">
          <color theme="9" tint="0.79998168889431442"/>
        </top>
      </border>
    </dxf>
    <dxf>
      <font>
        <b/>
        <color theme="1"/>
      </font>
    </dxf>
    <dxf>
      <font>
        <b/>
        <color theme="1"/>
      </font>
      <fill>
        <patternFill patternType="solid">
          <fgColor theme="9" tint="0.79998168889431442"/>
          <bgColor theme="9" tint="0.79998168889431442"/>
        </patternFill>
      </fill>
      <border>
        <top style="thin">
          <color theme="9" tint="0.59999389629810485"/>
        </top>
        <bottom style="thin">
          <color theme="9" tint="0.59999389629810485"/>
        </bottom>
      </border>
    </dxf>
    <dxf>
      <border>
        <left style="thin">
          <color theme="9"/>
        </left>
        <right style="thin">
          <color theme="9"/>
        </right>
        <top style="thin">
          <color theme="9"/>
        </top>
        <bottom style="thin">
          <color theme="9"/>
        </bottom>
      </border>
    </dxf>
    <dxf>
      <border>
        <left style="thin">
          <color theme="9" tint="0.59999389629810485"/>
        </left>
        <right style="thin">
          <color theme="9" tint="0.59999389629810485"/>
        </right>
        <top style="thin">
          <color theme="9" tint="0.59999389629810485"/>
        </top>
        <bottom style="thin">
          <color theme="9" tint="0.59999389629810485"/>
        </bottom>
      </border>
    </dxf>
    <dxf>
      <border>
        <right style="thin">
          <color theme="9"/>
        </right>
      </border>
    </dxf>
    <dxf>
      <font>
        <b/>
        <color theme="1"/>
      </font>
      <border>
        <left style="medium">
          <color theme="9"/>
        </left>
        <right style="medium">
          <color theme="9"/>
        </right>
        <top style="medium">
          <color theme="9"/>
        </top>
        <bottom style="medium">
          <color theme="9"/>
        </bottom>
      </border>
    </dxf>
    <dxf>
      <font>
        <b/>
        <color theme="1"/>
      </font>
      <border>
        <left style="medium">
          <color theme="9"/>
        </left>
        <right style="medium">
          <color theme="9"/>
        </right>
        <top style="medium">
          <color theme="9"/>
        </top>
        <bottom style="medium">
          <color theme="9"/>
        </bottom>
        <horizontal style="thin">
          <color theme="0"/>
        </horizontal>
      </border>
    </dxf>
    <dxf>
      <font>
        <color theme="9" tint="-0.249977111117893"/>
      </font>
      <border>
        <vertical style="thin">
          <color theme="9" tint="0.59996337778862885"/>
        </vertical>
        <horizontal style="thin">
          <color theme="9" tint="0.59996337778862885"/>
        </horizontal>
      </border>
    </dxf>
    <dxf>
      <font>
        <b/>
        <color theme="1"/>
      </font>
    </dxf>
    <dxf>
      <font>
        <b/>
        <color theme="1"/>
      </font>
      <fill>
        <patternFill patternType="solid">
          <fgColor theme="5" tint="0.79998168889431442"/>
          <bgColor theme="5" tint="0.79998168889431442"/>
        </patternFill>
      </fill>
      <border>
        <bottom style="thin">
          <color theme="0"/>
        </bottom>
      </border>
    </dxf>
    <dxf>
      <border>
        <top style="thin">
          <color theme="5" tint="0.79998168889431442"/>
        </top>
      </border>
    </dxf>
    <dxf>
      <border>
        <top style="thin">
          <color theme="5" tint="0.79998168889431442"/>
        </top>
      </border>
    </dxf>
    <dxf>
      <font>
        <b/>
        <color theme="1"/>
      </font>
    </dxf>
    <dxf>
      <font>
        <b/>
        <color theme="1"/>
      </font>
      <fill>
        <patternFill patternType="solid">
          <fgColor theme="5" tint="0.79998168889431442"/>
          <bgColor theme="5" tint="0.79998168889431442"/>
        </patternFill>
      </fill>
      <border>
        <top style="thin">
          <color theme="5" tint="0.59999389629810485"/>
        </top>
        <bottom style="thin">
          <color theme="5" tint="0.59999389629810485"/>
        </bottom>
      </border>
    </dxf>
    <dxf>
      <border>
        <left style="thin">
          <color theme="5"/>
        </left>
        <right style="thin">
          <color theme="5"/>
        </right>
        <top style="thin">
          <color theme="5"/>
        </top>
        <bottom style="thin">
          <color theme="5"/>
        </bottom>
      </border>
    </dxf>
    <dxf>
      <border>
        <left style="thin">
          <color theme="5" tint="0.59999389629810485"/>
        </left>
        <right style="thin">
          <color theme="5" tint="0.59999389629810485"/>
        </right>
        <top style="thin">
          <color theme="5" tint="0.59999389629810485"/>
        </top>
        <bottom style="thin">
          <color theme="5" tint="0.59999389629810485"/>
        </bottom>
      </border>
    </dxf>
    <dxf>
      <border>
        <right style="thin">
          <color theme="5"/>
        </right>
      </border>
    </dxf>
    <dxf>
      <font>
        <b/>
        <color theme="1"/>
      </font>
      <border>
        <left style="medium">
          <color theme="5"/>
        </left>
        <right style="medium">
          <color theme="5"/>
        </right>
        <top style="medium">
          <color theme="5"/>
        </top>
        <bottom style="medium">
          <color theme="5"/>
        </bottom>
      </border>
    </dxf>
    <dxf>
      <font>
        <b/>
        <color theme="1"/>
      </font>
      <border>
        <left style="medium">
          <color theme="5"/>
        </left>
        <right style="medium">
          <color theme="5"/>
        </right>
        <top style="medium">
          <color theme="5"/>
        </top>
        <bottom style="medium">
          <color theme="5"/>
        </bottom>
        <horizontal style="thin">
          <color theme="0"/>
        </horizontal>
      </border>
    </dxf>
    <dxf>
      <font>
        <color theme="5" tint="-0.249977111117893"/>
      </font>
      <border>
        <vertical style="thin">
          <color theme="5" tint="0.59996337778862885"/>
        </vertical>
        <horizontal style="thin">
          <color theme="5" tint="0.59996337778862885"/>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sz val="8"/>
        <name val="Gill Sans MT"/>
        <scheme val="none"/>
      </font>
    </dxf>
    <dxf>
      <font>
        <b/>
        <color theme="1"/>
      </font>
      <border>
        <bottom style="thin">
          <color theme="4"/>
        </bottom>
        <vertical/>
        <horizontal/>
      </border>
    </dxf>
    <dxf>
      <font>
        <color theme="1"/>
        <name val="Gill Sans MT"/>
        <scheme val="none"/>
      </font>
      <border>
        <left/>
        <right/>
        <top/>
        <bottom/>
        <vertical/>
        <horizontal/>
      </border>
    </dxf>
  </dxfs>
  <tableStyles count="10" defaultTableStyle="TableStyleMedium2" defaultPivotStyle="PivotStyleLight16">
    <tableStyle name="4W" pivot="0" table="0" count="10" xr9:uid="{00000000-0011-0000-FFFF-FFFF00000000}">
      <tableStyleElement type="wholeTable" dxfId="1296"/>
      <tableStyleElement type="headerRow" dxfId="1295"/>
    </tableStyle>
    <tableStyle name="4W Style" pivot="0" table="0" count="1" xr9:uid="{00000000-0011-0000-FFFF-FFFF01000000}">
      <tableStyleElement type="wholeTable" dxfId="1294"/>
    </tableStyle>
    <tableStyle name="CUSTOM" table="0" count="13" xr9:uid="{00000000-0011-0000-FFFF-FFFF02000000}">
      <tableStyleElement type="wholeTable" dxfId="1293"/>
      <tableStyleElement type="headerRow" dxfId="1292"/>
      <tableStyleElement type="totalRow" dxfId="1291"/>
      <tableStyleElement type="firstColumn" dxfId="1290"/>
      <tableStyleElement type="firstRowStripe" dxfId="1289"/>
      <tableStyleElement type="secondRowStripe" dxfId="1288"/>
      <tableStyleElement type="firstColumnStripe" dxfId="1287"/>
      <tableStyleElement type="firstSubtotalRow" dxfId="1286"/>
      <tableStyleElement type="secondSubtotalRow" dxfId="1285"/>
      <tableStyleElement type="secondColumnSubheading" dxfId="1284"/>
      <tableStyleElement type="thirdColumnSubheading" dxfId="1283"/>
      <tableStyleElement type="firstRowSubheading" dxfId="1282"/>
      <tableStyleElement type="secondRowSubheading" dxfId="1281"/>
    </tableStyle>
    <tableStyle name="PivotStyleLight10 2" table="0" count="12" xr9:uid="{00000000-0011-0000-FFFF-FFFF03000000}">
      <tableStyleElement type="wholeTable" dxfId="1280"/>
      <tableStyleElement type="headerRow" dxfId="1279"/>
      <tableStyleElement type="totalRow" dxfId="1278"/>
      <tableStyleElement type="firstColumn" dxfId="1277"/>
      <tableStyleElement type="firstRowStripe" dxfId="1276"/>
      <tableStyleElement type="firstColumnStripe" dxfId="1275"/>
      <tableStyleElement type="firstSubtotalRow" dxfId="1274"/>
      <tableStyleElement type="secondSubtotalRow" dxfId="1273"/>
      <tableStyleElement type="secondColumnSubheading" dxfId="1272"/>
      <tableStyleElement type="thirdColumnSubheading" dxfId="1271"/>
      <tableStyleElement type="firstRowSubheading" dxfId="1270"/>
      <tableStyleElement type="secondRowSubheading" dxfId="1269"/>
    </tableStyle>
    <tableStyle name="PivotStyleLight14 2" table="0" count="12" xr9:uid="{00000000-0011-0000-FFFF-FFFF04000000}">
      <tableStyleElement type="wholeTable" dxfId="1268"/>
      <tableStyleElement type="headerRow" dxfId="1267"/>
      <tableStyleElement type="totalRow" dxfId="1266"/>
      <tableStyleElement type="firstColumn" dxfId="1265"/>
      <tableStyleElement type="firstRowStripe" dxfId="1264"/>
      <tableStyleElement type="firstColumnStripe" dxfId="1263"/>
      <tableStyleElement type="firstSubtotalRow" dxfId="1262"/>
      <tableStyleElement type="secondSubtotalRow" dxfId="1261"/>
      <tableStyleElement type="secondColumnSubheading" dxfId="1260"/>
      <tableStyleElement type="thirdColumnSubheading" dxfId="1259"/>
      <tableStyleElement type="firstRowSubheading" dxfId="1258"/>
      <tableStyleElement type="secondRowSubheading" dxfId="1257"/>
    </tableStyle>
    <tableStyle name="PivotStyleLight23 2" table="0" count="10" xr9:uid="{00000000-0011-0000-FFFF-FFFF05000000}">
      <tableStyleElement type="wholeTable" dxfId="1256"/>
      <tableStyleElement type="headerRow" dxfId="1255"/>
      <tableStyleElement type="totalRow" dxfId="1254"/>
      <tableStyleElement type="firstColumn" dxfId="1253"/>
      <tableStyleElement type="firstRowStripe" dxfId="1252"/>
      <tableStyleElement type="firstColumnStripe" dxfId="1251"/>
      <tableStyleElement type="firstSubtotalColumn" dxfId="1250"/>
      <tableStyleElement type="firstSubtotalRow" dxfId="1249"/>
      <tableStyleElement type="secondSubtotalRow" dxfId="1248"/>
      <tableStyleElement type="pageFieldLabels" dxfId="1247"/>
    </tableStyle>
    <tableStyle name="PivotStyleLight9 2" table="0" count="13" xr9:uid="{00000000-0011-0000-FFFF-FFFF06000000}">
      <tableStyleElement type="wholeTable" dxfId="1246"/>
      <tableStyleElement type="headerRow" dxfId="1245"/>
      <tableStyleElement type="totalRow" dxfId="1244"/>
      <tableStyleElement type="firstColumn" dxfId="1243"/>
      <tableStyleElement type="firstRowStripe" dxfId="1242"/>
      <tableStyleElement type="secondRowStripe" dxfId="1241"/>
      <tableStyleElement type="firstColumnStripe" dxfId="1240"/>
      <tableStyleElement type="firstSubtotalRow" dxfId="1239"/>
      <tableStyleElement type="secondSubtotalRow" dxfId="1238"/>
      <tableStyleElement type="secondColumnSubheading" dxfId="1237"/>
      <tableStyleElement type="thirdColumnSubheading" dxfId="1236"/>
      <tableStyleElement type="firstRowSubheading" dxfId="1235"/>
      <tableStyleElement type="secondRowSubheading" dxfId="1234"/>
    </tableStyle>
    <tableStyle name="PivotTable Style 1" table="0" count="1" xr9:uid="{00000000-0011-0000-FFFF-FFFF07000000}">
      <tableStyleElement type="wholeTable" dxfId="1233"/>
    </tableStyle>
    <tableStyle name="PivotTable Style a" table="0" count="7" xr9:uid="{00000000-0011-0000-FFFF-FFFF08000000}">
      <tableStyleElement type="wholeTable" dxfId="1232"/>
      <tableStyleElement type="headerRow" dxfId="1231"/>
      <tableStyleElement type="totalRow" dxfId="1230"/>
      <tableStyleElement type="firstColumn" dxfId="1229"/>
      <tableStyleElement type="secondSubtotalRow" dxfId="1228"/>
      <tableStyleElement type="firstRowSubheading" dxfId="1227"/>
      <tableStyleElement type="secondRowSubheading" dxfId="1226"/>
    </tableStyle>
    <tableStyle name="Slicer Style 1" pivot="0" table="0" count="5" xr9:uid="{00000000-0011-0000-FFFF-FFFF09000000}">
      <tableStyleElement type="wholeTable" dxfId="1225"/>
    </tableStyle>
  </tableStyles>
  <colors>
    <mruColors>
      <color rgb="FF375623"/>
      <color rgb="FFC65911"/>
      <color rgb="FFBF9000"/>
      <color rgb="FFFFFF00"/>
      <color rgb="FF7F6000"/>
      <color rgb="FF000000"/>
      <color rgb="FFFF898C"/>
      <color rgb="FFF7FECE"/>
      <color rgb="FF85C2FF"/>
      <color rgb="FF44546A"/>
    </mruColors>
  </colors>
  <extLst>
    <ext xmlns:x14="http://schemas.microsoft.com/office/spreadsheetml/2009/9/main" uri="{46F421CA-312F-682f-3DD2-61675219B42D}">
      <x14:dxfs count="12">
        <dxf>
          <fill>
            <patternFill>
              <bgColor theme="7"/>
            </patternFill>
          </fill>
        </dxf>
        <dxf>
          <fill>
            <patternFill>
              <bgColor theme="7" tint="0.39994506668294322"/>
            </patternFill>
          </fill>
        </dxf>
        <dxf>
          <fill>
            <patternFill>
              <bgColor rgb="FF92D050"/>
            </patternFill>
          </fill>
        </dxf>
        <dxf>
          <fill>
            <patternFill>
              <bgColor theme="4" tint="0.39994506668294322"/>
            </patternFill>
          </fill>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4W">
        <x14:slicerStyle name="4W">
          <x14:slicerStyleElements>
            <x14:slicerStyleElement type="unselectedItemWithData" dxfId="11"/>
            <x14:slicerStyleElement type="unselectedItemWithNoData" dxfId="10"/>
            <x14:slicerStyleElement type="selectedItemWithData" dxfId="9"/>
            <x14:slicerStyleElement type="selectedItemWithNoData" dxfId="8"/>
            <x14:slicerStyleElement type="hoveredUnselectedItemWithData" dxfId="7"/>
            <x14:slicerStyleElement type="hoveredSelectedItemWithData" dxfId="6"/>
            <x14:slicerStyleElement type="hoveredUnselectedItemWithNoData" dxfId="5"/>
            <x14:slicerStyleElement type="hoveredSelectedItemWithNoData" dxfId="4"/>
          </x14:slicerStyleElements>
        </x14:slicerStyle>
        <x14:slicerStyle name="4W Style"/>
        <x14:slicerStyle name="Slicer Style 1">
          <x14:slicerStyleElements>
            <x14:slicerStyleElement type="unselectedItemWithData" dxfId="3"/>
            <x14:slicerStyleElement type="selectedItemWithData" dxfId="2"/>
            <x14:slicerStyleElement type="hoveredUnselectedItemWithData" dxfId="1"/>
            <x14:slicerStyleElement type="hovered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microsoft.com/office/2007/relationships/slicerCache" Target="slicerCaches/slicerCache3.xml"/><Relationship Id="rId21" Type="http://schemas.openxmlformats.org/officeDocument/2006/relationships/worksheet" Target="worksheets/sheet21.xml"/><Relationship Id="rId34" Type="http://schemas.openxmlformats.org/officeDocument/2006/relationships/pivotCacheDefinition" Target="pivotCache/pivotCacheDefinition5.xml"/><Relationship Id="rId42" Type="http://schemas.microsoft.com/office/2007/relationships/slicerCache" Target="slicerCaches/slicerCache6.xml"/><Relationship Id="rId47" Type="http://schemas.microsoft.com/office/2007/relationships/slicerCache" Target="slicerCaches/slicerCache11.xml"/><Relationship Id="rId50" Type="http://schemas.microsoft.com/office/2007/relationships/slicerCache" Target="slicerCaches/slicerCache14.xml"/><Relationship Id="rId55" Type="http://schemas.microsoft.com/office/2007/relationships/slicerCache" Target="slicerCaches/slicerCache19.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7.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pivotCacheDefinition" Target="pivotCache/pivotCacheDefinition3.xml"/><Relationship Id="rId37" Type="http://schemas.microsoft.com/office/2007/relationships/slicerCache" Target="slicerCaches/slicerCache1.xml"/><Relationship Id="rId40" Type="http://schemas.microsoft.com/office/2007/relationships/slicerCache" Target="slicerCaches/slicerCache4.xml"/><Relationship Id="rId45" Type="http://schemas.microsoft.com/office/2007/relationships/slicerCache" Target="slicerCaches/slicerCache9.xml"/><Relationship Id="rId53" Type="http://schemas.microsoft.com/office/2007/relationships/slicerCache" Target="slicerCaches/slicerCache17.xml"/><Relationship Id="rId58" Type="http://schemas.openxmlformats.org/officeDocument/2006/relationships/connections" Target="connections.xml"/><Relationship Id="rId5" Type="http://schemas.openxmlformats.org/officeDocument/2006/relationships/worksheet" Target="worksheets/sheet5.xml"/><Relationship Id="rId61" Type="http://schemas.openxmlformats.org/officeDocument/2006/relationships/sheetMetadata" Target="metadata.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pivotCacheDefinition" Target="pivotCache/pivotCacheDefinition1.xml"/><Relationship Id="rId35" Type="http://schemas.openxmlformats.org/officeDocument/2006/relationships/pivotCacheDefinition" Target="pivotCache/pivotCacheDefinition6.xml"/><Relationship Id="rId43" Type="http://schemas.microsoft.com/office/2007/relationships/slicerCache" Target="slicerCaches/slicerCache7.xml"/><Relationship Id="rId48" Type="http://schemas.microsoft.com/office/2007/relationships/slicerCache" Target="slicerCaches/slicerCache12.xml"/><Relationship Id="rId56" Type="http://schemas.microsoft.com/office/2007/relationships/slicerCache" Target="slicerCaches/slicerCache20.xml"/><Relationship Id="rId8" Type="http://schemas.openxmlformats.org/officeDocument/2006/relationships/worksheet" Target="worksheets/sheet8.xml"/><Relationship Id="rId51" Type="http://schemas.microsoft.com/office/2007/relationships/slicerCache" Target="slicerCaches/slicerCache1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pivotCacheDefinition" Target="pivotCache/pivotCacheDefinition4.xml"/><Relationship Id="rId38" Type="http://schemas.microsoft.com/office/2007/relationships/slicerCache" Target="slicerCaches/slicerCache2.xml"/><Relationship Id="rId46" Type="http://schemas.microsoft.com/office/2007/relationships/slicerCache" Target="slicerCaches/slicerCache10.xml"/><Relationship Id="rId59" Type="http://schemas.openxmlformats.org/officeDocument/2006/relationships/styles" Target="styles.xml"/><Relationship Id="rId20" Type="http://schemas.openxmlformats.org/officeDocument/2006/relationships/worksheet" Target="worksheets/sheet20.xml"/><Relationship Id="rId41" Type="http://schemas.microsoft.com/office/2007/relationships/slicerCache" Target="slicerCaches/slicerCache5.xml"/><Relationship Id="rId54" Type="http://schemas.microsoft.com/office/2007/relationships/slicerCache" Target="slicerCaches/slicerCache18.xml"/><Relationship Id="rId62"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pivotCacheDefinition" Target="pivotCache/pivotCacheDefinition7.xml"/><Relationship Id="rId49" Type="http://schemas.microsoft.com/office/2007/relationships/slicerCache" Target="slicerCaches/slicerCache13.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pivotCacheDefinition" Target="pivotCache/pivotCacheDefinition2.xml"/><Relationship Id="rId44" Type="http://schemas.microsoft.com/office/2007/relationships/slicerCache" Target="slicerCaches/slicerCache8.xml"/><Relationship Id="rId52" Type="http://schemas.microsoft.com/office/2007/relationships/slicerCache" Target="slicerCaches/slicerCache16.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99.xml"/><Relationship Id="rId1" Type="http://schemas.microsoft.com/office/2011/relationships/chartStyle" Target="style99.xml"/></Relationships>
</file>

<file path=xl/charts/_rels/chart101.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2.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7.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8.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9.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1.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2.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3.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4.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5.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6.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96.xml"/><Relationship Id="rId1" Type="http://schemas.microsoft.com/office/2011/relationships/chartStyle" Target="style96.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97.xml"/><Relationship Id="rId1" Type="http://schemas.microsoft.com/office/2011/relationships/chartStyle" Target="style97.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8.xml"/><Relationship Id="rId1" Type="http://schemas.microsoft.com/office/2011/relationships/chartStyle" Target="style9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[20230728_Myanmar_WASH_4W_2023_Q2_KachinShan_camp_Consolidate.xlsx]Sheet1!PivotTable1</c:name>
    <c:fmtId val="1"/>
  </c:pivotSource>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en-US"/>
              <a:t># of sites covered</a:t>
            </a:r>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n-US"/>
        </a:p>
      </c:txPr>
    </c:title>
    <c:autoTitleDeleted val="0"/>
    <c:pivotFmts>
      <c:pivotFmt>
        <c:idx val="0"/>
        <c:spPr>
          <a:solidFill>
            <a:schemeClr val="accent1">
              <a:alpha val="7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Sheet1!$C$5</c:f>
              <c:strCache>
                <c:ptCount val="1"/>
                <c:pt idx="0">
                  <c:v>Total</c:v>
                </c:pt>
              </c:strCache>
            </c:strRef>
          </c:tx>
          <c:spPr>
            <a:solidFill>
              <a:schemeClr val="accent1">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Sheet1!$A$6:$B$38</c:f>
              <c:multiLvlStrCache>
                <c:ptCount val="25"/>
                <c:lvl>
                  <c:pt idx="0">
                    <c:v>Mansi</c:v>
                  </c:pt>
                  <c:pt idx="1">
                    <c:v>Momauk</c:v>
                  </c:pt>
                  <c:pt idx="2">
                    <c:v>Hpakant</c:v>
                  </c:pt>
                  <c:pt idx="3">
                    <c:v>Mansi</c:v>
                  </c:pt>
                  <c:pt idx="4">
                    <c:v>Mogaung</c:v>
                  </c:pt>
                  <c:pt idx="5">
                    <c:v>Momauk</c:v>
                  </c:pt>
                  <c:pt idx="6">
                    <c:v>Myitkyina</c:v>
                  </c:pt>
                  <c:pt idx="7">
                    <c:v>Tanai</c:v>
                  </c:pt>
                  <c:pt idx="8">
                    <c:v>Waingmaw</c:v>
                  </c:pt>
                  <c:pt idx="9">
                    <c:v>Bhamo</c:v>
                  </c:pt>
                  <c:pt idx="10">
                    <c:v>Mansi</c:v>
                  </c:pt>
                  <c:pt idx="11">
                    <c:v>Momauk</c:v>
                  </c:pt>
                  <c:pt idx="12">
                    <c:v>Shwegu</c:v>
                  </c:pt>
                  <c:pt idx="13">
                    <c:v>Waingmaw</c:v>
                  </c:pt>
                  <c:pt idx="14">
                    <c:v>Bhamo</c:v>
                  </c:pt>
                  <c:pt idx="15">
                    <c:v>Chipwi</c:v>
                  </c:pt>
                  <c:pt idx="16">
                    <c:v>Hpakant</c:v>
                  </c:pt>
                  <c:pt idx="17">
                    <c:v>Myitkyina</c:v>
                  </c:pt>
                  <c:pt idx="18">
                    <c:v>Waingmaw</c:v>
                  </c:pt>
                  <c:pt idx="19">
                    <c:v>Bhamo</c:v>
                  </c:pt>
                  <c:pt idx="20">
                    <c:v>Momauk</c:v>
                  </c:pt>
                  <c:pt idx="21">
                    <c:v>Injangyang</c:v>
                  </c:pt>
                  <c:pt idx="22">
                    <c:v>Waingmaw</c:v>
                  </c:pt>
                  <c:pt idx="23">
                    <c:v>Mansi</c:v>
                  </c:pt>
                  <c:pt idx="24">
                    <c:v>Momauk</c:v>
                  </c:pt>
                </c:lvl>
                <c:lvl>
                  <c:pt idx="0">
                    <c:v>KBC</c:v>
                  </c:pt>
                  <c:pt idx="2">
                    <c:v>KMSS</c:v>
                  </c:pt>
                  <c:pt idx="9">
                    <c:v>Metta</c:v>
                  </c:pt>
                  <c:pt idx="14">
                    <c:v>Shalom</c:v>
                  </c:pt>
                  <c:pt idx="19">
                    <c:v>SI</c:v>
                  </c:pt>
                  <c:pt idx="21">
                    <c:v>STW</c:v>
                  </c:pt>
                  <c:pt idx="23">
                    <c:v>WPN</c:v>
                  </c:pt>
                </c:lvl>
              </c:multiLvlStrCache>
            </c:multiLvlStrRef>
          </c:cat>
          <c:val>
            <c:numRef>
              <c:f>Sheet1!$C$6:$C$38</c:f>
              <c:numCache>
                <c:formatCode>General</c:formatCode>
                <c:ptCount val="25"/>
                <c:pt idx="0">
                  <c:v>1</c:v>
                </c:pt>
                <c:pt idx="1">
                  <c:v>9</c:v>
                </c:pt>
                <c:pt idx="2">
                  <c:v>2</c:v>
                </c:pt>
                <c:pt idx="3">
                  <c:v>6</c:v>
                </c:pt>
                <c:pt idx="4">
                  <c:v>2</c:v>
                </c:pt>
                <c:pt idx="5">
                  <c:v>1</c:v>
                </c:pt>
                <c:pt idx="6">
                  <c:v>6</c:v>
                </c:pt>
                <c:pt idx="7">
                  <c:v>2</c:v>
                </c:pt>
                <c:pt idx="8">
                  <c:v>2</c:v>
                </c:pt>
                <c:pt idx="9">
                  <c:v>4</c:v>
                </c:pt>
                <c:pt idx="10">
                  <c:v>1</c:v>
                </c:pt>
                <c:pt idx="11">
                  <c:v>2</c:v>
                </c:pt>
                <c:pt idx="12">
                  <c:v>2</c:v>
                </c:pt>
                <c:pt idx="13">
                  <c:v>4</c:v>
                </c:pt>
                <c:pt idx="14">
                  <c:v>1</c:v>
                </c:pt>
                <c:pt idx="15">
                  <c:v>2</c:v>
                </c:pt>
                <c:pt idx="16">
                  <c:v>10</c:v>
                </c:pt>
                <c:pt idx="17">
                  <c:v>5</c:v>
                </c:pt>
                <c:pt idx="18">
                  <c:v>6</c:v>
                </c:pt>
                <c:pt idx="19">
                  <c:v>3</c:v>
                </c:pt>
                <c:pt idx="20">
                  <c:v>5</c:v>
                </c:pt>
                <c:pt idx="21">
                  <c:v>1</c:v>
                </c:pt>
                <c:pt idx="22">
                  <c:v>1</c:v>
                </c:pt>
                <c:pt idx="23">
                  <c:v>2</c:v>
                </c:pt>
                <c:pt idx="24">
                  <c:v>4</c:v>
                </c:pt>
              </c:numCache>
            </c:numRef>
          </c:val>
          <c:extLst>
            <c:ext xmlns:c16="http://schemas.microsoft.com/office/drawing/2014/chart" uri="{C3380CC4-5D6E-409C-BE32-E72D297353CC}">
              <c16:uniqueId val="{00000000-6310-4E5E-B554-74D92042AE71}"/>
            </c:ext>
          </c:extLst>
        </c:ser>
        <c:dLbls>
          <c:showLegendKey val="0"/>
          <c:showVal val="0"/>
          <c:showCatName val="0"/>
          <c:showSerName val="0"/>
          <c:showPercent val="0"/>
          <c:showBubbleSize val="0"/>
        </c:dLbls>
        <c:gapWidth val="80"/>
        <c:overlap val="25"/>
        <c:axId val="1199918336"/>
        <c:axId val="1199909600"/>
      </c:barChart>
      <c:catAx>
        <c:axId val="1199918336"/>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n-US"/>
          </a:p>
        </c:txPr>
        <c:crossAx val="1199909600"/>
        <c:crosses val="autoZero"/>
        <c:auto val="1"/>
        <c:lblAlgn val="ctr"/>
        <c:lblOffset val="100"/>
        <c:noMultiLvlLbl val="0"/>
      </c:catAx>
      <c:valAx>
        <c:axId val="1199909600"/>
        <c:scaling>
          <c:orientation val="minMax"/>
        </c:scaling>
        <c:delete val="0"/>
        <c:axPos val="l"/>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n-US"/>
          </a:p>
        </c:txPr>
        <c:crossAx val="11999183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Shan (South) Number of ppl Covered against 2022 HRP targets</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HRP!$S$242</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53B3-4201-AFAE-57734679A4AA}"/>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10-E6BB-4C63-8A4B-BE61E132D17B}"/>
              </c:ext>
            </c:extLst>
          </c:dPt>
          <c:dPt>
            <c:idx val="5"/>
            <c:invertIfNegative val="0"/>
            <c:bubble3D val="0"/>
            <c:spPr>
              <a:solidFill>
                <a:srgbClr val="0070C0"/>
              </a:solidFill>
              <a:ln>
                <a:noFill/>
              </a:ln>
              <a:effectLst/>
            </c:spPr>
            <c:extLst>
              <c:ext xmlns:c16="http://schemas.microsoft.com/office/drawing/2014/chart" uri="{C3380CC4-5D6E-409C-BE32-E72D297353CC}">
                <c16:uniqueId val="{0000000F-E6BB-4C63-8A4B-BE61E132D17B}"/>
              </c:ext>
            </c:extLst>
          </c:dPt>
          <c:dLbls>
            <c:dLbl>
              <c:idx val="5"/>
              <c:layout>
                <c:manualLayout>
                  <c:x val="3.655861705027115E-2"/>
                  <c:y val="-1.717120429184296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6BB-4C63-8A4B-BE61E132D17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HRP!$Q$243:$Q$248</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HRP!$S$243:$S$248</c:f>
              <c:numCache>
                <c:formatCode>_(* #,##0_);_(* \(#,##0\);_(* "-"??_);_(@_)</c:formatCode>
                <c:ptCount val="6"/>
                <c:pt idx="0">
                  <c:v>0</c:v>
                </c:pt>
                <c:pt idx="1">
                  <c:v>0</c:v>
                </c:pt>
                <c:pt idx="2">
                  <c:v>0</c:v>
                </c:pt>
                <c:pt idx="3">
                  <c:v>18239.333333333332</c:v>
                </c:pt>
                <c:pt idx="4">
                  <c:v>5114</c:v>
                </c:pt>
                <c:pt idx="5">
                  <c:v>9565</c:v>
                </c:pt>
              </c:numCache>
            </c:numRef>
          </c:val>
          <c:extLst>
            <c:ext xmlns:c16="http://schemas.microsoft.com/office/drawing/2014/chart" uri="{C3380CC4-5D6E-409C-BE32-E72D297353CC}">
              <c16:uniqueId val="{00000000-53B3-4201-AFAE-57734679A4AA}"/>
            </c:ext>
          </c:extLst>
        </c:ser>
        <c:ser>
          <c:idx val="1"/>
          <c:order val="1"/>
          <c:tx>
            <c:strRef>
              <c:f>HRP!$T$242</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53B3-4201-AFAE-57734679A4AA}"/>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8-53B3-4201-AFAE-57734679A4AA}"/>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7-53B3-4201-AFAE-57734679A4AA}"/>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6-53B3-4201-AFAE-57734679A4AA}"/>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53B3-4201-AFAE-57734679A4AA}"/>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3-53B3-4201-AFAE-57734679A4A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HRP!$Q$243:$Q$248</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HRP!$T$243:$T$248</c:f>
              <c:numCache>
                <c:formatCode>_(* #,##0_);_(* \(#,##0\);_(* "-"??_);_(@_)</c:formatCode>
                <c:ptCount val="6"/>
                <c:pt idx="0">
                  <c:v>3121.8</c:v>
                </c:pt>
                <c:pt idx="1">
                  <c:v>4994.88</c:v>
                </c:pt>
                <c:pt idx="2">
                  <c:v>8527.9650678466642</c:v>
                </c:pt>
                <c:pt idx="3">
                  <c:v>89883.968023599955</c:v>
                </c:pt>
                <c:pt idx="4">
                  <c:v>39810.190407079979</c:v>
                </c:pt>
                <c:pt idx="5">
                  <c:v>43310.330678466635</c:v>
                </c:pt>
              </c:numCache>
            </c:numRef>
          </c:val>
          <c:extLst>
            <c:ext xmlns:c16="http://schemas.microsoft.com/office/drawing/2014/chart" uri="{C3380CC4-5D6E-409C-BE32-E72D297353CC}">
              <c16:uniqueId val="{00000001-53B3-4201-AFAE-57734679A4AA}"/>
            </c:ext>
          </c:extLst>
        </c:ser>
        <c:dLbls>
          <c:dLblPos val="ctr"/>
          <c:showLegendKey val="0"/>
          <c:showVal val="1"/>
          <c:showCatName val="0"/>
          <c:showSerName val="0"/>
          <c:showPercent val="0"/>
          <c:showBubbleSize val="0"/>
        </c:dLbls>
        <c:gapWidth val="50"/>
        <c:overlap val="100"/>
        <c:axId val="1616662543"/>
        <c:axId val="1616664623"/>
      </c:barChart>
      <c:catAx>
        <c:axId val="1616662543"/>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1616664623"/>
        <c:crosses val="autoZero"/>
        <c:auto val="1"/>
        <c:lblAlgn val="ctr"/>
        <c:lblOffset val="100"/>
        <c:noMultiLvlLbl val="0"/>
      </c:catAx>
      <c:valAx>
        <c:axId val="1616664623"/>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166625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[20230728_Myanmar_WASH_4W_2023_Q2_KachinShan_camp_Consolidate.xlsx]Quarterly Dashboard!PivotTable1</c:name>
    <c:fmtId val="1"/>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b="1" i="0" baseline="0">
                <a:effectLst/>
              </a:rPr>
              <a:t>Qtr Dashboard</a:t>
            </a:r>
            <a:endParaRPr lang="en-US" sz="1800" b="1">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spPr>
          <a:solidFill>
            <a:schemeClr val="tx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spPr>
          <a:solidFill>
            <a:srgbClr val="0070C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1612781656401217"/>
          <c:y val="0.11493115019255251"/>
          <c:w val="0.62188569619991574"/>
          <c:h val="0.82620867752909466"/>
        </c:manualLayout>
      </c:layout>
      <c:barChart>
        <c:barDir val="bar"/>
        <c:grouping val="clustered"/>
        <c:varyColors val="0"/>
        <c:ser>
          <c:idx val="0"/>
          <c:order val="0"/>
          <c:tx>
            <c:strRef>
              <c:f>'Quarterly Dashboard'!$C$29</c:f>
              <c:strCache>
                <c:ptCount val="1"/>
                <c:pt idx="0">
                  <c:v>Total Population</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Dashboard'!$A$30:$B$57</c:f>
              <c:multiLvlStrCache>
                <c:ptCount val="25"/>
                <c:lvl>
                  <c:pt idx="0">
                    <c:v>Bhamo</c:v>
                  </c:pt>
                  <c:pt idx="1">
                    <c:v>Chipwi</c:v>
                  </c:pt>
                  <c:pt idx="2">
                    <c:v>Hpakant</c:v>
                  </c:pt>
                  <c:pt idx="3">
                    <c:v>Mansi</c:v>
                  </c:pt>
                  <c:pt idx="4">
                    <c:v>Mogaung</c:v>
                  </c:pt>
                  <c:pt idx="5">
                    <c:v>Mohnyin</c:v>
                  </c:pt>
                  <c:pt idx="6">
                    <c:v>Momauk</c:v>
                  </c:pt>
                  <c:pt idx="7">
                    <c:v>Myitkyina</c:v>
                  </c:pt>
                  <c:pt idx="8">
                    <c:v>Shwegu</c:v>
                  </c:pt>
                  <c:pt idx="9">
                    <c:v>Sumprabum</c:v>
                  </c:pt>
                  <c:pt idx="10">
                    <c:v>Tanai</c:v>
                  </c:pt>
                  <c:pt idx="11">
                    <c:v>Waingmaw</c:v>
                  </c:pt>
                  <c:pt idx="12">
                    <c:v>Injangyang</c:v>
                  </c:pt>
                  <c:pt idx="13">
                    <c:v>Hseni</c:v>
                  </c:pt>
                  <c:pt idx="14">
                    <c:v>Hsipaw</c:v>
                  </c:pt>
                  <c:pt idx="15">
                    <c:v>Kutkai</c:v>
                  </c:pt>
                  <c:pt idx="16">
                    <c:v>Lashio</c:v>
                  </c:pt>
                  <c:pt idx="17">
                    <c:v>Manton</c:v>
                  </c:pt>
                  <c:pt idx="18">
                    <c:v>Muse</c:v>
                  </c:pt>
                  <c:pt idx="19">
                    <c:v>Namhkan</c:v>
                  </c:pt>
                  <c:pt idx="20">
                    <c:v>Namtu</c:v>
                  </c:pt>
                  <c:pt idx="21">
                    <c:v>Laukkaing (Kokang SAZ)</c:v>
                  </c:pt>
                  <c:pt idx="22">
                    <c:v>Kyaukme</c:v>
                  </c:pt>
                  <c:pt idx="23">
                    <c:v>Tangyan </c:v>
                  </c:pt>
                  <c:pt idx="24">
                    <c:v>Tangyan</c:v>
                  </c:pt>
                </c:lvl>
                <c:lvl>
                  <c:pt idx="0">
                    <c:v>Kachin</c:v>
                  </c:pt>
                  <c:pt idx="13">
                    <c:v>Shan (North)</c:v>
                  </c:pt>
                </c:lvl>
              </c:multiLvlStrCache>
            </c:multiLvlStrRef>
          </c:cat>
          <c:val>
            <c:numRef>
              <c:f>'Quarterly Dashboard'!$C$30:$C$57</c:f>
              <c:numCache>
                <c:formatCode>General</c:formatCode>
                <c:ptCount val="25"/>
                <c:pt idx="0">
                  <c:v>14497</c:v>
                </c:pt>
                <c:pt idx="1">
                  <c:v>5342</c:v>
                </c:pt>
                <c:pt idx="2">
                  <c:v>8006</c:v>
                </c:pt>
                <c:pt idx="3">
                  <c:v>26699</c:v>
                </c:pt>
                <c:pt idx="4">
                  <c:v>3100</c:v>
                </c:pt>
                <c:pt idx="5">
                  <c:v>6335</c:v>
                </c:pt>
                <c:pt idx="6">
                  <c:v>54322</c:v>
                </c:pt>
                <c:pt idx="7">
                  <c:v>20027</c:v>
                </c:pt>
                <c:pt idx="8">
                  <c:v>3758</c:v>
                </c:pt>
                <c:pt idx="9">
                  <c:v>2132</c:v>
                </c:pt>
                <c:pt idx="10">
                  <c:v>2292</c:v>
                </c:pt>
                <c:pt idx="11">
                  <c:v>59737</c:v>
                </c:pt>
                <c:pt idx="12">
                  <c:v>1406</c:v>
                </c:pt>
                <c:pt idx="13">
                  <c:v>802</c:v>
                </c:pt>
                <c:pt idx="14">
                  <c:v>240</c:v>
                </c:pt>
                <c:pt idx="15">
                  <c:v>9324</c:v>
                </c:pt>
                <c:pt idx="16">
                  <c:v>2634</c:v>
                </c:pt>
                <c:pt idx="17">
                  <c:v>282</c:v>
                </c:pt>
                <c:pt idx="18">
                  <c:v>4287</c:v>
                </c:pt>
                <c:pt idx="19">
                  <c:v>1895</c:v>
                </c:pt>
                <c:pt idx="20">
                  <c:v>615</c:v>
                </c:pt>
                <c:pt idx="21">
                  <c:v>10566</c:v>
                </c:pt>
                <c:pt idx="22">
                  <c:v>1437</c:v>
                </c:pt>
                <c:pt idx="23">
                  <c:v>157</c:v>
                </c:pt>
                <c:pt idx="24">
                  <c:v>157</c:v>
                </c:pt>
              </c:numCache>
            </c:numRef>
          </c:val>
          <c:extLst>
            <c:ext xmlns:c16="http://schemas.microsoft.com/office/drawing/2014/chart" uri="{C3380CC4-5D6E-409C-BE32-E72D297353CC}">
              <c16:uniqueId val="{00000000-FD4A-40E3-B1F6-9704B8EB76ED}"/>
            </c:ext>
          </c:extLst>
        </c:ser>
        <c:ser>
          <c:idx val="1"/>
          <c:order val="1"/>
          <c:tx>
            <c:strRef>
              <c:f>'Quarterly Dashboard'!$D$29</c:f>
              <c:strCache>
                <c:ptCount val="1"/>
                <c:pt idx="0">
                  <c:v>Number of People adopt basic personal and community hygiene practices</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Dashboard'!$A$30:$B$57</c:f>
              <c:multiLvlStrCache>
                <c:ptCount val="25"/>
                <c:lvl>
                  <c:pt idx="0">
                    <c:v>Bhamo</c:v>
                  </c:pt>
                  <c:pt idx="1">
                    <c:v>Chipwi</c:v>
                  </c:pt>
                  <c:pt idx="2">
                    <c:v>Hpakant</c:v>
                  </c:pt>
                  <c:pt idx="3">
                    <c:v>Mansi</c:v>
                  </c:pt>
                  <c:pt idx="4">
                    <c:v>Mogaung</c:v>
                  </c:pt>
                  <c:pt idx="5">
                    <c:v>Mohnyin</c:v>
                  </c:pt>
                  <c:pt idx="6">
                    <c:v>Momauk</c:v>
                  </c:pt>
                  <c:pt idx="7">
                    <c:v>Myitkyina</c:v>
                  </c:pt>
                  <c:pt idx="8">
                    <c:v>Shwegu</c:v>
                  </c:pt>
                  <c:pt idx="9">
                    <c:v>Sumprabum</c:v>
                  </c:pt>
                  <c:pt idx="10">
                    <c:v>Tanai</c:v>
                  </c:pt>
                  <c:pt idx="11">
                    <c:v>Waingmaw</c:v>
                  </c:pt>
                  <c:pt idx="12">
                    <c:v>Injangyang</c:v>
                  </c:pt>
                  <c:pt idx="13">
                    <c:v>Hseni</c:v>
                  </c:pt>
                  <c:pt idx="14">
                    <c:v>Hsipaw</c:v>
                  </c:pt>
                  <c:pt idx="15">
                    <c:v>Kutkai</c:v>
                  </c:pt>
                  <c:pt idx="16">
                    <c:v>Lashio</c:v>
                  </c:pt>
                  <c:pt idx="17">
                    <c:v>Manton</c:v>
                  </c:pt>
                  <c:pt idx="18">
                    <c:v>Muse</c:v>
                  </c:pt>
                  <c:pt idx="19">
                    <c:v>Namhkan</c:v>
                  </c:pt>
                  <c:pt idx="20">
                    <c:v>Namtu</c:v>
                  </c:pt>
                  <c:pt idx="21">
                    <c:v>Laukkaing (Kokang SAZ)</c:v>
                  </c:pt>
                  <c:pt idx="22">
                    <c:v>Kyaukme</c:v>
                  </c:pt>
                  <c:pt idx="23">
                    <c:v>Tangyan </c:v>
                  </c:pt>
                  <c:pt idx="24">
                    <c:v>Tangyan</c:v>
                  </c:pt>
                </c:lvl>
                <c:lvl>
                  <c:pt idx="0">
                    <c:v>Kachin</c:v>
                  </c:pt>
                  <c:pt idx="13">
                    <c:v>Shan (North)</c:v>
                  </c:pt>
                </c:lvl>
              </c:multiLvlStrCache>
            </c:multiLvlStrRef>
          </c:cat>
          <c:val>
            <c:numRef>
              <c:f>'Quarterly Dashboard'!$D$30:$D$57</c:f>
              <c:numCache>
                <c:formatCode>General</c:formatCode>
                <c:ptCount val="25"/>
                <c:pt idx="0">
                  <c:v>10826</c:v>
                </c:pt>
                <c:pt idx="1">
                  <c:v>4270</c:v>
                </c:pt>
                <c:pt idx="2">
                  <c:v>6809</c:v>
                </c:pt>
                <c:pt idx="3">
                  <c:v>15379</c:v>
                </c:pt>
                <c:pt idx="4">
                  <c:v>2694</c:v>
                </c:pt>
                <c:pt idx="5">
                  <c:v>58</c:v>
                </c:pt>
                <c:pt idx="6">
                  <c:v>36539</c:v>
                </c:pt>
                <c:pt idx="7">
                  <c:v>13249</c:v>
                </c:pt>
                <c:pt idx="8">
                  <c:v>695</c:v>
                </c:pt>
                <c:pt idx="9">
                  <c:v>1426</c:v>
                </c:pt>
                <c:pt idx="10">
                  <c:v>1623</c:v>
                </c:pt>
                <c:pt idx="11">
                  <c:v>34230</c:v>
                </c:pt>
                <c:pt idx="12">
                  <c:v>1182</c:v>
                </c:pt>
                <c:pt idx="13">
                  <c:v>802</c:v>
                </c:pt>
                <c:pt idx="14">
                  <c:v>90</c:v>
                </c:pt>
                <c:pt idx="15">
                  <c:v>7362</c:v>
                </c:pt>
                <c:pt idx="16">
                  <c:v>0</c:v>
                </c:pt>
                <c:pt idx="17">
                  <c:v>282</c:v>
                </c:pt>
                <c:pt idx="18">
                  <c:v>0</c:v>
                </c:pt>
                <c:pt idx="19">
                  <c:v>1249</c:v>
                </c:pt>
                <c:pt idx="20">
                  <c:v>538</c:v>
                </c:pt>
                <c:pt idx="21">
                  <c:v>0</c:v>
                </c:pt>
                <c:pt idx="22">
                  <c:v>0</c:v>
                </c:pt>
                <c:pt idx="23">
                  <c:v>0</c:v>
                </c:pt>
                <c:pt idx="24">
                  <c:v>0</c:v>
                </c:pt>
              </c:numCache>
            </c:numRef>
          </c:val>
          <c:extLst>
            <c:ext xmlns:c16="http://schemas.microsoft.com/office/drawing/2014/chart" uri="{C3380CC4-5D6E-409C-BE32-E72D297353CC}">
              <c16:uniqueId val="{00000000-186D-464E-B4E5-625EB4D2527A}"/>
            </c:ext>
          </c:extLst>
        </c:ser>
        <c:ser>
          <c:idx val="2"/>
          <c:order val="2"/>
          <c:tx>
            <c:strRef>
              <c:f>'Quarterly Dashboard'!$E$29</c:f>
              <c:strCache>
                <c:ptCount val="1"/>
                <c:pt idx="0">
                  <c:v>Number of people with equitable and continuous access to safe sanitation facilities</c:v>
                </c:pt>
              </c:strCache>
            </c:strRef>
          </c:tx>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Dashboard'!$A$30:$B$57</c:f>
              <c:multiLvlStrCache>
                <c:ptCount val="25"/>
                <c:lvl>
                  <c:pt idx="0">
                    <c:v>Bhamo</c:v>
                  </c:pt>
                  <c:pt idx="1">
                    <c:v>Chipwi</c:v>
                  </c:pt>
                  <c:pt idx="2">
                    <c:v>Hpakant</c:v>
                  </c:pt>
                  <c:pt idx="3">
                    <c:v>Mansi</c:v>
                  </c:pt>
                  <c:pt idx="4">
                    <c:v>Mogaung</c:v>
                  </c:pt>
                  <c:pt idx="5">
                    <c:v>Mohnyin</c:v>
                  </c:pt>
                  <c:pt idx="6">
                    <c:v>Momauk</c:v>
                  </c:pt>
                  <c:pt idx="7">
                    <c:v>Myitkyina</c:v>
                  </c:pt>
                  <c:pt idx="8">
                    <c:v>Shwegu</c:v>
                  </c:pt>
                  <c:pt idx="9">
                    <c:v>Sumprabum</c:v>
                  </c:pt>
                  <c:pt idx="10">
                    <c:v>Tanai</c:v>
                  </c:pt>
                  <c:pt idx="11">
                    <c:v>Waingmaw</c:v>
                  </c:pt>
                  <c:pt idx="12">
                    <c:v>Injangyang</c:v>
                  </c:pt>
                  <c:pt idx="13">
                    <c:v>Hseni</c:v>
                  </c:pt>
                  <c:pt idx="14">
                    <c:v>Hsipaw</c:v>
                  </c:pt>
                  <c:pt idx="15">
                    <c:v>Kutkai</c:v>
                  </c:pt>
                  <c:pt idx="16">
                    <c:v>Lashio</c:v>
                  </c:pt>
                  <c:pt idx="17">
                    <c:v>Manton</c:v>
                  </c:pt>
                  <c:pt idx="18">
                    <c:v>Muse</c:v>
                  </c:pt>
                  <c:pt idx="19">
                    <c:v>Namhkan</c:v>
                  </c:pt>
                  <c:pt idx="20">
                    <c:v>Namtu</c:v>
                  </c:pt>
                  <c:pt idx="21">
                    <c:v>Laukkaing (Kokang SAZ)</c:v>
                  </c:pt>
                  <c:pt idx="22">
                    <c:v>Kyaukme</c:v>
                  </c:pt>
                  <c:pt idx="23">
                    <c:v>Tangyan </c:v>
                  </c:pt>
                  <c:pt idx="24">
                    <c:v>Tangyan</c:v>
                  </c:pt>
                </c:lvl>
                <c:lvl>
                  <c:pt idx="0">
                    <c:v>Kachin</c:v>
                  </c:pt>
                  <c:pt idx="13">
                    <c:v>Shan (North)</c:v>
                  </c:pt>
                </c:lvl>
              </c:multiLvlStrCache>
            </c:multiLvlStrRef>
          </c:cat>
          <c:val>
            <c:numRef>
              <c:f>'Quarterly Dashboard'!$E$30:$E$57</c:f>
              <c:numCache>
                <c:formatCode>General</c:formatCode>
                <c:ptCount val="25"/>
                <c:pt idx="0">
                  <c:v>10586</c:v>
                </c:pt>
                <c:pt idx="1">
                  <c:v>3489</c:v>
                </c:pt>
                <c:pt idx="2">
                  <c:v>5854</c:v>
                </c:pt>
                <c:pt idx="3">
                  <c:v>23426</c:v>
                </c:pt>
                <c:pt idx="4">
                  <c:v>2532</c:v>
                </c:pt>
                <c:pt idx="5">
                  <c:v>158</c:v>
                </c:pt>
                <c:pt idx="6">
                  <c:v>42740</c:v>
                </c:pt>
                <c:pt idx="7">
                  <c:v>15230</c:v>
                </c:pt>
                <c:pt idx="8">
                  <c:v>1112</c:v>
                </c:pt>
                <c:pt idx="9">
                  <c:v>1961</c:v>
                </c:pt>
                <c:pt idx="10">
                  <c:v>753</c:v>
                </c:pt>
                <c:pt idx="11">
                  <c:v>37760</c:v>
                </c:pt>
                <c:pt idx="12">
                  <c:v>1182</c:v>
                </c:pt>
                <c:pt idx="13">
                  <c:v>802</c:v>
                </c:pt>
                <c:pt idx="14">
                  <c:v>0</c:v>
                </c:pt>
                <c:pt idx="15">
                  <c:v>9014</c:v>
                </c:pt>
                <c:pt idx="16">
                  <c:v>103</c:v>
                </c:pt>
                <c:pt idx="17">
                  <c:v>282</c:v>
                </c:pt>
                <c:pt idx="18">
                  <c:v>0</c:v>
                </c:pt>
                <c:pt idx="19">
                  <c:v>1649</c:v>
                </c:pt>
                <c:pt idx="20">
                  <c:v>615</c:v>
                </c:pt>
                <c:pt idx="21">
                  <c:v>1200</c:v>
                </c:pt>
                <c:pt idx="22">
                  <c:v>429</c:v>
                </c:pt>
                <c:pt idx="23">
                  <c:v>0</c:v>
                </c:pt>
                <c:pt idx="24">
                  <c:v>0</c:v>
                </c:pt>
              </c:numCache>
            </c:numRef>
          </c:val>
          <c:extLst>
            <c:ext xmlns:c16="http://schemas.microsoft.com/office/drawing/2014/chart" uri="{C3380CC4-5D6E-409C-BE32-E72D297353CC}">
              <c16:uniqueId val="{00000001-186D-464E-B4E5-625EB4D2527A}"/>
            </c:ext>
          </c:extLst>
        </c:ser>
        <c:ser>
          <c:idx val="3"/>
          <c:order val="3"/>
          <c:tx>
            <c:strRef>
              <c:f>'Quarterly Dashboard'!$F$29</c:f>
              <c:strCache>
                <c:ptCount val="1"/>
                <c:pt idx="0">
                  <c:v>Number of people with equitable and continuous access to sufficient quantity of domestic water</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Dashboard'!$A$30:$B$57</c:f>
              <c:multiLvlStrCache>
                <c:ptCount val="25"/>
                <c:lvl>
                  <c:pt idx="0">
                    <c:v>Bhamo</c:v>
                  </c:pt>
                  <c:pt idx="1">
                    <c:v>Chipwi</c:v>
                  </c:pt>
                  <c:pt idx="2">
                    <c:v>Hpakant</c:v>
                  </c:pt>
                  <c:pt idx="3">
                    <c:v>Mansi</c:v>
                  </c:pt>
                  <c:pt idx="4">
                    <c:v>Mogaung</c:v>
                  </c:pt>
                  <c:pt idx="5">
                    <c:v>Mohnyin</c:v>
                  </c:pt>
                  <c:pt idx="6">
                    <c:v>Momauk</c:v>
                  </c:pt>
                  <c:pt idx="7">
                    <c:v>Myitkyina</c:v>
                  </c:pt>
                  <c:pt idx="8">
                    <c:v>Shwegu</c:v>
                  </c:pt>
                  <c:pt idx="9">
                    <c:v>Sumprabum</c:v>
                  </c:pt>
                  <c:pt idx="10">
                    <c:v>Tanai</c:v>
                  </c:pt>
                  <c:pt idx="11">
                    <c:v>Waingmaw</c:v>
                  </c:pt>
                  <c:pt idx="12">
                    <c:v>Injangyang</c:v>
                  </c:pt>
                  <c:pt idx="13">
                    <c:v>Hseni</c:v>
                  </c:pt>
                  <c:pt idx="14">
                    <c:v>Hsipaw</c:v>
                  </c:pt>
                  <c:pt idx="15">
                    <c:v>Kutkai</c:v>
                  </c:pt>
                  <c:pt idx="16">
                    <c:v>Lashio</c:v>
                  </c:pt>
                  <c:pt idx="17">
                    <c:v>Manton</c:v>
                  </c:pt>
                  <c:pt idx="18">
                    <c:v>Muse</c:v>
                  </c:pt>
                  <c:pt idx="19">
                    <c:v>Namhkan</c:v>
                  </c:pt>
                  <c:pt idx="20">
                    <c:v>Namtu</c:v>
                  </c:pt>
                  <c:pt idx="21">
                    <c:v>Laukkaing (Kokang SAZ)</c:v>
                  </c:pt>
                  <c:pt idx="22">
                    <c:v>Kyaukme</c:v>
                  </c:pt>
                  <c:pt idx="23">
                    <c:v>Tangyan </c:v>
                  </c:pt>
                  <c:pt idx="24">
                    <c:v>Tangyan</c:v>
                  </c:pt>
                </c:lvl>
                <c:lvl>
                  <c:pt idx="0">
                    <c:v>Kachin</c:v>
                  </c:pt>
                  <c:pt idx="13">
                    <c:v>Shan (North)</c:v>
                  </c:pt>
                </c:lvl>
              </c:multiLvlStrCache>
            </c:multiLvlStrRef>
          </c:cat>
          <c:val>
            <c:numRef>
              <c:f>'Quarterly Dashboard'!$F$30:$F$57</c:f>
              <c:numCache>
                <c:formatCode>General</c:formatCode>
                <c:ptCount val="25"/>
                <c:pt idx="0">
                  <c:v>11977</c:v>
                </c:pt>
                <c:pt idx="1">
                  <c:v>3311.3333333333335</c:v>
                </c:pt>
                <c:pt idx="2">
                  <c:v>7342</c:v>
                </c:pt>
                <c:pt idx="3">
                  <c:v>21447.666666666668</c:v>
                </c:pt>
                <c:pt idx="4">
                  <c:v>3068</c:v>
                </c:pt>
                <c:pt idx="5">
                  <c:v>185</c:v>
                </c:pt>
                <c:pt idx="6">
                  <c:v>26408</c:v>
                </c:pt>
                <c:pt idx="7">
                  <c:v>20027</c:v>
                </c:pt>
                <c:pt idx="8">
                  <c:v>3758</c:v>
                </c:pt>
                <c:pt idx="9">
                  <c:v>1961</c:v>
                </c:pt>
                <c:pt idx="10">
                  <c:v>2292</c:v>
                </c:pt>
                <c:pt idx="11">
                  <c:v>24080.670370370372</c:v>
                </c:pt>
                <c:pt idx="12">
                  <c:v>1182</c:v>
                </c:pt>
                <c:pt idx="13">
                  <c:v>802</c:v>
                </c:pt>
                <c:pt idx="14">
                  <c:v>0</c:v>
                </c:pt>
                <c:pt idx="15">
                  <c:v>8738.6666666666679</c:v>
                </c:pt>
                <c:pt idx="16">
                  <c:v>236.33333333333337</c:v>
                </c:pt>
                <c:pt idx="17">
                  <c:v>282</c:v>
                </c:pt>
                <c:pt idx="18">
                  <c:v>2474</c:v>
                </c:pt>
                <c:pt idx="19">
                  <c:v>1895</c:v>
                </c:pt>
                <c:pt idx="20">
                  <c:v>615</c:v>
                </c:pt>
                <c:pt idx="21">
                  <c:v>3200</c:v>
                </c:pt>
                <c:pt idx="22">
                  <c:v>231</c:v>
                </c:pt>
                <c:pt idx="23">
                  <c:v>0</c:v>
                </c:pt>
                <c:pt idx="24">
                  <c:v>0</c:v>
                </c:pt>
              </c:numCache>
            </c:numRef>
          </c:val>
          <c:extLst>
            <c:ext xmlns:c16="http://schemas.microsoft.com/office/drawing/2014/chart" uri="{C3380CC4-5D6E-409C-BE32-E72D297353CC}">
              <c16:uniqueId val="{00000002-186D-464E-B4E5-625EB4D2527A}"/>
            </c:ext>
          </c:extLst>
        </c:ser>
        <c:dLbls>
          <c:showLegendKey val="0"/>
          <c:showVal val="0"/>
          <c:showCatName val="0"/>
          <c:showSerName val="0"/>
          <c:showPercent val="0"/>
          <c:showBubbleSize val="0"/>
        </c:dLbls>
        <c:gapWidth val="100"/>
        <c:axId val="415868040"/>
        <c:axId val="415868432"/>
      </c:barChart>
      <c:catAx>
        <c:axId val="415868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432"/>
        <c:crosses val="autoZero"/>
        <c:auto val="1"/>
        <c:lblAlgn val="ctr"/>
        <c:lblOffset val="100"/>
        <c:noMultiLvlLbl val="0"/>
      </c:catAx>
      <c:valAx>
        <c:axId val="41586843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Nb of People</a:t>
                </a:r>
              </a:p>
            </c:rich>
          </c:tx>
          <c:layout>
            <c:manualLayout>
              <c:xMode val="edge"/>
              <c:yMode val="edge"/>
              <c:x val="0.91412593207319459"/>
              <c:y val="0.9647028148317734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040"/>
        <c:crosses val="autoZero"/>
        <c:crossBetween val="between"/>
      </c:valAx>
      <c:spPr>
        <a:noFill/>
        <a:ln>
          <a:noFill/>
        </a:ln>
        <a:effectLst/>
      </c:spPr>
    </c:plotArea>
    <c:legend>
      <c:legendPos val="r"/>
      <c:layout>
        <c:manualLayout>
          <c:xMode val="edge"/>
          <c:yMode val="edge"/>
          <c:x val="0.7635998223399264"/>
          <c:y val="0.2294476557200536"/>
          <c:w val="0.23640020279019566"/>
          <c:h val="0.4500836725721571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5C2FF"/>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[20230728_Myanmar_WASH_4W_2023_Q2_KachinShan_camp_Consolidate.xlsx]By Camps!PivotTable1</c:name>
    <c:fmtId val="4"/>
  </c:pivotSource>
  <c:chart>
    <c:title>
      <c:tx>
        <c:strRef>
          <c:f>'By Camps'!$B$34</c:f>
          <c:strCache>
            <c:ptCount val="1"/>
            <c:pt idx="0">
              <c:v>2023_Q2</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n-US"/>
        </a:p>
      </c:txPr>
    </c:title>
    <c:autoTitleDeleted val="0"/>
    <c:pivotFmts>
      <c:pivotFmt>
        <c:idx val="0"/>
      </c:pivotFmt>
      <c:pivotFmt>
        <c:idx val="1"/>
      </c:pivotFmt>
      <c:pivotFmt>
        <c:idx val="2"/>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a:ln>
            <a:noFill/>
          </a:ln>
          <a:effectLst/>
        </c:spPr>
        <c:marker>
          <c:symbol val="none"/>
        </c:marker>
      </c:pivotFmt>
      <c:pivotFmt>
        <c:idx val="4"/>
        <c:spPr>
          <a:solidFill>
            <a:schemeClr val="accent2">
              <a:lumMod val="75000"/>
            </a:schemeClr>
          </a:solidFill>
          <a:ln>
            <a:noFill/>
          </a:ln>
          <a:effectLst/>
        </c:spPr>
        <c:marker>
          <c:symbol val="none"/>
        </c:marker>
      </c:pivotFmt>
      <c:pivotFmt>
        <c:idx val="5"/>
        <c:spPr>
          <a:solidFill>
            <a:srgbClr val="0070C0"/>
          </a:solidFill>
          <a:ln>
            <a:noFill/>
          </a:ln>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7"/>
        <c:spPr>
          <a:solidFill>
            <a:schemeClr val="accent6">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2539750826490748"/>
          <c:y val="0.11493115019255251"/>
          <c:w val="0.61261601843615388"/>
          <c:h val="0.82620867752909466"/>
        </c:manualLayout>
      </c:layout>
      <c:barChart>
        <c:barDir val="bar"/>
        <c:grouping val="clustered"/>
        <c:varyColors val="0"/>
        <c:ser>
          <c:idx val="0"/>
          <c:order val="0"/>
          <c:tx>
            <c:strRef>
              <c:f>'By Camps'!$B$34</c:f>
              <c:strCache>
                <c:ptCount val="1"/>
                <c:pt idx="0">
                  <c:v>Total Population</c:v>
                </c:pt>
              </c:strCache>
            </c:strRef>
          </c:tx>
          <c:spPr>
            <a:solidFill>
              <a:schemeClr val="tx1"/>
            </a:solidFill>
            <a:ln>
              <a:noFill/>
            </a:ln>
            <a:effectLst/>
          </c:spPr>
          <c:invertIfNegative val="0"/>
          <c:cat>
            <c:strRef>
              <c:f>'By Camps'!$B$34</c:f>
              <c:strCache>
                <c:ptCount val="188"/>
                <c:pt idx="0">
                  <c:v>AD-2000 Tharthana Compound</c:v>
                </c:pt>
                <c:pt idx="1">
                  <c:v>AG Church, Hmaw Si Sa</c:v>
                </c:pt>
                <c:pt idx="2">
                  <c:v>AG Church, Maw Wan</c:v>
                </c:pt>
                <c:pt idx="3">
                  <c:v>Agritural Compound (KBC)</c:v>
                </c:pt>
                <c:pt idx="4">
                  <c:v>Aung Thar Church</c:v>
                </c:pt>
                <c:pt idx="5">
                  <c:v>Baptist Church, Hmaw Si Sar(Lon Khin)</c:v>
                </c:pt>
                <c:pt idx="6">
                  <c:v>Border Post 8</c:v>
                </c:pt>
                <c:pt idx="7">
                  <c:v>Bum Tsit Pa</c:v>
                </c:pt>
                <c:pt idx="8">
                  <c:v>Chipwi KBC camp</c:v>
                </c:pt>
                <c:pt idx="9">
                  <c:v>Dhama Rakhita, Nyein Chan Tar Yar Ward(Lon Khin)</c:v>
                </c:pt>
                <c:pt idx="10">
                  <c:v>Dum Bung </c:v>
                </c:pt>
                <c:pt idx="11">
                  <c:v>Hka Shi</c:v>
                </c:pt>
                <c:pt idx="12">
                  <c:v>Hkat Cho </c:v>
                </c:pt>
                <c:pt idx="13">
                  <c:v>Hkau Shau (BP 12)</c:v>
                </c:pt>
                <c:pt idx="14">
                  <c:v>Hlaing Naung Baptist</c:v>
                </c:pt>
                <c:pt idx="15">
                  <c:v>Hpai Kawng</c:v>
                </c:pt>
                <c:pt idx="16">
                  <c:v>Hpakant Baptist Church, Nam Ma Hpit</c:v>
                </c:pt>
                <c:pt idx="17">
                  <c:v>Hpare Hkyer - BP6</c:v>
                </c:pt>
                <c:pt idx="18">
                  <c:v>Hpun Lum Yang </c:v>
                </c:pt>
                <c:pt idx="19">
                  <c:v>Htoi San Church</c:v>
                </c:pt>
                <c:pt idx="20">
                  <c:v>IDP Boarding School, A Len Bum</c:v>
                </c:pt>
                <c:pt idx="21">
                  <c:v>Jan Mai Kawng Baptist Church</c:v>
                </c:pt>
                <c:pt idx="22">
                  <c:v>Jan Mai Kawng Catholic Church</c:v>
                </c:pt>
                <c:pt idx="23">
                  <c:v>Je Yang Hka </c:v>
                </c:pt>
                <c:pt idx="24">
                  <c:v>Kachin Su Baptist Church (ECCD)</c:v>
                </c:pt>
                <c:pt idx="25">
                  <c:v>Khar Nan (1) Baptist Church</c:v>
                </c:pt>
                <c:pt idx="26">
                  <c:v>Kutkai downtown (KBC Church)</c:v>
                </c:pt>
                <c:pt idx="27">
                  <c:v>Kutkai downtown (KBC Church-2)</c:v>
                </c:pt>
                <c:pt idx="28">
                  <c:v>Kyun Taw Baptist Church </c:v>
                </c:pt>
                <c:pt idx="29">
                  <c:v>Laiza Je Yang School</c:v>
                </c:pt>
                <c:pt idx="30">
                  <c:v>Lana Zup Ja</c:v>
                </c:pt>
                <c:pt idx="31">
                  <c:v>Lawng Hkang Shait Yang Camp​ ( Lel Pyin)​ </c:v>
                </c:pt>
                <c:pt idx="32">
                  <c:v>Le Kone Bethlehem Church</c:v>
                </c:pt>
                <c:pt idx="33">
                  <c:v>Le Kone Ziun Baptist Church </c:v>
                </c:pt>
                <c:pt idx="34">
                  <c:v>Lhaovao Baptist Church (LBC)</c:v>
                </c:pt>
                <c:pt idx="35">
                  <c:v>Lisu Baptist Church, Maw Shan Vil,. Seik Mu</c:v>
                </c:pt>
                <c:pt idx="36">
                  <c:v>Lisu Baptist Church, Maw Wan Ward</c:v>
                </c:pt>
                <c:pt idx="37">
                  <c:v>Lisu Boarding-House</c:v>
                </c:pt>
                <c:pt idx="38">
                  <c:v>Loi Je Baptist Church</c:v>
                </c:pt>
                <c:pt idx="39">
                  <c:v>Loi Je Catholic Church</c:v>
                </c:pt>
                <c:pt idx="40">
                  <c:v>Loi Je Lisu Camp</c:v>
                </c:pt>
                <c:pt idx="41">
                  <c:v>Mading Baptist Church</c:v>
                </c:pt>
                <c:pt idx="42">
                  <c:v>Maga Yang </c:v>
                </c:pt>
                <c:pt idx="43">
                  <c:v>Maina AG Church</c:v>
                </c:pt>
                <c:pt idx="44">
                  <c:v>Maina Catholic Church (St. Joseph)</c:v>
                </c:pt>
                <c:pt idx="45">
                  <c:v>Maina KBC (Bawng Ring)</c:v>
                </c:pt>
                <c:pt idx="46">
                  <c:v>Maina Lawang Baptist Church</c:v>
                </c:pt>
                <c:pt idx="47">
                  <c:v>Maing Khaung</c:v>
                </c:pt>
                <c:pt idx="48">
                  <c:v>Maing Khaung Catholic Church</c:v>
                </c:pt>
                <c:pt idx="49">
                  <c:v>Maliyang Baptist Church</c:v>
                </c:pt>
                <c:pt idx="50">
                  <c:v>Man Bung Catholic compound</c:v>
                </c:pt>
                <c:pt idx="51">
                  <c:v>Man Bung Edin Baptist Church</c:v>
                </c:pt>
                <c:pt idx="52">
                  <c:v>Man Hkring Baptist Church</c:v>
                </c:pt>
                <c:pt idx="53">
                  <c:v>Man Kaung/Naung Ti Kyar Village</c:v>
                </c:pt>
                <c:pt idx="54">
                  <c:v>Man Wing Baptist Church</c:v>
                </c:pt>
                <c:pt idx="55">
                  <c:v>Man Wing Baptist Church Cultural Compound</c:v>
                </c:pt>
                <c:pt idx="56">
                  <c:v>Man Wing Catholic Church</c:v>
                </c:pt>
                <c:pt idx="57">
                  <c:v>Man Wing Catholic Church II</c:v>
                </c:pt>
                <c:pt idx="58">
                  <c:v>Mansi Baptist Church</c:v>
                </c:pt>
                <c:pt idx="59">
                  <c:v>Maw Hpawng Hka Nan Baptist Church</c:v>
                </c:pt>
                <c:pt idx="60">
                  <c:v>Maw Hpawng Lhaovo Baptist Church</c:v>
                </c:pt>
                <c:pt idx="61">
                  <c:v>Maw Wan, Mu-yin Baptist Church</c:v>
                </c:pt>
                <c:pt idx="62">
                  <c:v>Momauk Baptist Church</c:v>
                </c:pt>
                <c:pt idx="63">
                  <c:v>Mung Hawm </c:v>
                </c:pt>
                <c:pt idx="64">
                  <c:v>Muyin church (Aung Yar pre-school compound)</c:v>
                </c:pt>
                <c:pt idx="65">
                  <c:v>Nam Hkam - Nay Win Ni (Palawng)</c:v>
                </c:pt>
                <c:pt idx="66">
                  <c:v>Nam Hkam (KBC Jaw Wang)</c:v>
                </c:pt>
                <c:pt idx="67">
                  <c:v>Nam Hkam Catholic Church ( St. Thomas I)</c:v>
                </c:pt>
                <c:pt idx="68">
                  <c:v>Nam Hpak Ka Mare </c:v>
                </c:pt>
                <c:pt idx="69">
                  <c:v>Nam Ma Phyit, COC</c:v>
                </c:pt>
                <c:pt idx="70">
                  <c:v>Nam Sa Larp</c:v>
                </c:pt>
                <c:pt idx="71">
                  <c:v>Nan Kway St. John Catholic Church</c:v>
                </c:pt>
                <c:pt idx="72">
                  <c:v>Nant Ma Hpit Catholic Church</c:v>
                </c:pt>
                <c:pt idx="73">
                  <c:v>Nat Gyi Kone Baptist Church </c:v>
                </c:pt>
                <c:pt idx="74">
                  <c:v>Nawng Ing (Indawgyi) Baptist Church </c:v>
                </c:pt>
                <c:pt idx="75">
                  <c:v>Ndup Yang</c:v>
                </c:pt>
                <c:pt idx="76">
                  <c:v>New Pang Ku </c:v>
                </c:pt>
                <c:pt idx="77">
                  <c:v>Nhkawng Pa </c:v>
                </c:pt>
                <c:pt idx="78">
                  <c:v>Njang Dung Baptist Church </c:v>
                </c:pt>
                <c:pt idx="79">
                  <c:v>Nyaung Na Pin </c:v>
                </c:pt>
                <c:pt idx="80">
                  <c:v>Pa Dauk Myaing(Pa La Na)</c:v>
                </c:pt>
                <c:pt idx="81">
                  <c:v>Pa Kahtawng </c:v>
                </c:pt>
                <c:pt idx="82">
                  <c:v>Pajau - Jan Mai</c:v>
                </c:pt>
                <c:pt idx="83">
                  <c:v>Pan Law</c:v>
                </c:pt>
                <c:pt idx="84">
                  <c:v>Phan Khar Kone</c:v>
                </c:pt>
                <c:pt idx="85">
                  <c:v>Qtr. 2 Lhaovo Baptist Church</c:v>
                </c:pt>
                <c:pt idx="86">
                  <c:v>Qtr. 2 Myoma Baptist Church</c:v>
                </c:pt>
                <c:pt idx="87">
                  <c:v>Rawan Baptist Church, Maw Shan Vil., Seik Mu</c:v>
                </c:pt>
                <c:pt idx="88">
                  <c:v>Robert Church</c:v>
                </c:pt>
                <c:pt idx="89">
                  <c:v>Salang Yang</c:v>
                </c:pt>
                <c:pt idx="90">
                  <c:v>Sar Hmaw - KBC</c:v>
                </c:pt>
                <c:pt idx="91">
                  <c:v>Seng Ja </c:v>
                </c:pt>
                <c:pt idx="92">
                  <c:v>Sha-It Yang</c:v>
                </c:pt>
                <c:pt idx="93">
                  <c:v>Shatapru Sut Ngai Tawng</c:v>
                </c:pt>
                <c:pt idx="94">
                  <c:v>Shatapru Thida Aye Baptist Church</c:v>
                </c:pt>
                <c:pt idx="95">
                  <c:v>Shing Jai</c:v>
                </c:pt>
                <c:pt idx="96">
                  <c:v>Shwe Gu Baptist Church</c:v>
                </c:pt>
                <c:pt idx="97">
                  <c:v>Shwe Gu Catholic Church</c:v>
                </c:pt>
                <c:pt idx="98">
                  <c:v>Shwe Zet Baptist Church</c:v>
                </c:pt>
                <c:pt idx="99">
                  <c:v>Tanai CoC</c:v>
                </c:pt>
                <c:pt idx="100">
                  <c:v>Tat Kone Baptist Church</c:v>
                </c:pt>
                <c:pt idx="101">
                  <c:v>Tat Kone COC Baptist - Tat Kone Htoi San</c:v>
                </c:pt>
                <c:pt idx="102">
                  <c:v>Tat Kone Galile Baptist Church</c:v>
                </c:pt>
                <c:pt idx="103">
                  <c:v>Tat Kone San Pya Baptist Church</c:v>
                </c:pt>
                <c:pt idx="104">
                  <c:v>Thargaya Lisu Baptist Church</c:v>
                </c:pt>
                <c:pt idx="105">
                  <c:v>Tsan Lun - Namjarap</c:v>
                </c:pt>
                <c:pt idx="106">
                  <c:v>Waingmaw AG Church</c:v>
                </c:pt>
                <c:pt idx="107">
                  <c:v>Woi Chyai </c:v>
                </c:pt>
                <c:pt idx="108">
                  <c:v>Woi Chyai (Mong Lai)</c:v>
                </c:pt>
                <c:pt idx="109">
                  <c:v>Woi Chyai host families</c:v>
                </c:pt>
                <c:pt idx="110">
                  <c:v>Zup Aung Camp</c:v>
                </c:pt>
                <c:pt idx="111">
                  <c:v>Sadung</c:v>
                </c:pt>
                <c:pt idx="112">
                  <c:v>Ka Bu Dam CoC</c:v>
                </c:pt>
                <c:pt idx="113">
                  <c:v>Pang Hkawn Yang</c:v>
                </c:pt>
                <c:pt idx="114">
                  <c:v>Ma Hawng Baptist Church</c:v>
                </c:pt>
                <c:pt idx="115">
                  <c:v>Tanai KBC Camp</c:v>
                </c:pt>
                <c:pt idx="116">
                  <c:v>Nam Hpak Ka Ta'ang ( Aung Tha Pyay)</c:v>
                </c:pt>
                <c:pt idx="117">
                  <c:v>Mai Yu Lay New (Ta'ang)</c:v>
                </c:pt>
                <c:pt idx="118">
                  <c:v>Mine Yu Lay village ( Old)</c:v>
                </c:pt>
                <c:pt idx="119">
                  <c:v>Namti Labraw Yang KBC Camp</c:v>
                </c:pt>
                <c:pt idx="120">
                  <c:v>Trinity Camp</c:v>
                </c:pt>
                <c:pt idx="121">
                  <c:v>Jaw Masat Camp</c:v>
                </c:pt>
                <c:pt idx="122">
                  <c:v>Waimaw Baptist Zonal Office 2</c:v>
                </c:pt>
                <c:pt idx="123">
                  <c:v>Pa Dauk Myaing(Pa La Na)-II</c:v>
                </c:pt>
                <c:pt idx="124">
                  <c:v>St. Joseph Tanai RC camp </c:v>
                </c:pt>
                <c:pt idx="125">
                  <c:v>Galeng (Palaung) &amp; Kone Khem</c:v>
                </c:pt>
                <c:pt idx="126">
                  <c:v>Hu Hku &amp; Ho Hko</c:v>
                </c:pt>
                <c:pt idx="127">
                  <c:v>Htang Nya </c:v>
                </c:pt>
                <c:pt idx="128">
                  <c:v>Momauk IDP new extension camp (Kye Nan)</c:v>
                </c:pt>
                <c:pt idx="129">
                  <c:v>Sector 5 Pammati Quarter</c:v>
                </c:pt>
                <c:pt idx="130">
                  <c:v>His Aw (Chyu Fan) </c:v>
                </c:pt>
                <c:pt idx="131">
                  <c:v>Shwe Sin (Ward 3) </c:v>
                </c:pt>
                <c:pt idx="132">
                  <c:v>Bum Ra Yang Camp </c:v>
                </c:pt>
                <c:pt idx="133">
                  <c:v>Kyaukme Town (host)</c:v>
                </c:pt>
                <c:pt idx="134">
                  <c:v>Nam Hlaing Extension Ward camp</c:v>
                </c:pt>
                <c:pt idx="135">
                  <c:v>Naung Tar Law (Kyet Chan) </c:v>
                </c:pt>
                <c:pt idx="136">
                  <c:v>Waingmaw St.Joseph RC Church</c:v>
                </c:pt>
                <c:pt idx="137">
                  <c:v>Phaug Nhae Camp</c:v>
                </c:pt>
                <c:pt idx="138">
                  <c:v>Ding Jang Yang (1)</c:v>
                </c:pt>
                <c:pt idx="139">
                  <c:v>Ding Jang Yang (2)</c:v>
                </c:pt>
                <c:pt idx="140">
                  <c:v>Yi Hku Man Hkan </c:v>
                </c:pt>
                <c:pt idx="141">
                  <c:v>Lin Hao chun </c:v>
                </c:pt>
                <c:pt idx="142">
                  <c:v>Pyi Htaung Su</c:v>
                </c:pt>
                <c:pt idx="143">
                  <c:v>St.Francis RCC 1</c:v>
                </c:pt>
                <c:pt idx="144">
                  <c:v>St.Francis RCC 2</c:v>
                </c:pt>
                <c:pt idx="145">
                  <c:v>Bang Yang Hka (Mung Ji Pa)-relocated</c:v>
                </c:pt>
                <c:pt idx="146">
                  <c:v>Galeng Zup Awng ward 5 RC</c:v>
                </c:pt>
                <c:pt idx="147">
                  <c:v>Man Wing- IDPs in Host</c:v>
                </c:pt>
                <c:pt idx="148">
                  <c:v>(3 mile) Shwe Pyi Tar (SLCA)</c:v>
                </c:pt>
                <c:pt idx="149">
                  <c:v>Bhamo- IDPs in Host </c:v>
                </c:pt>
                <c:pt idx="150">
                  <c:v>St.Columban lone Khin camp</c:v>
                </c:pt>
                <c:pt idx="151">
                  <c:v>Mansi- IDPs in Host</c:v>
                </c:pt>
                <c:pt idx="152">
                  <c:v>Hopin -IDPs in Host</c:v>
                </c:pt>
                <c:pt idx="153">
                  <c:v>Moenyin- IDPs in Host</c:v>
                </c:pt>
                <c:pt idx="154">
                  <c:v>Momauk-IDPs in Host</c:v>
                </c:pt>
                <c:pt idx="155">
                  <c:v>Myo Thit -IDP in Host</c:v>
                </c:pt>
                <c:pt idx="156">
                  <c:v>Saint Matthew (Shin ma ti-sitapru) camp</c:v>
                </c:pt>
                <c:pt idx="157">
                  <c:v>Man Pint community Hall </c:v>
                </c:pt>
                <c:pt idx="158">
                  <c:v>Mong Tin High School</c:v>
                </c:pt>
                <c:pt idx="159">
                  <c:v>Nar Mun Primary School</c:v>
                </c:pt>
                <c:pt idx="160">
                  <c:v>SLCA Building Compound (Moungnawt town)</c:v>
                </c:pt>
                <c:pt idx="161">
                  <c:v>Maina Mu-yin  Baptist Church</c:v>
                </c:pt>
                <c:pt idx="162">
                  <c:v>LCC UM Camp Hka Shi</c:v>
                </c:pt>
                <c:pt idx="163">
                  <c:v>Lisu Ethnic Youth Development Center </c:v>
                </c:pt>
                <c:pt idx="164">
                  <c:v>Nbang Yang camp </c:v>
                </c:pt>
                <c:pt idx="165">
                  <c:v>Rawang Baptist Church</c:v>
                </c:pt>
                <c:pt idx="166">
                  <c:v>Sut Ngai yang camp </c:v>
                </c:pt>
                <c:pt idx="167">
                  <c:v>Sadung KBC</c:v>
                </c:pt>
                <c:pt idx="168">
                  <c:v>Sana Lisu Baptist Church (DTC)</c:v>
                </c:pt>
                <c:pt idx="169">
                  <c:v>Sutaung Taung Chae</c:v>
                </c:pt>
                <c:pt idx="170">
                  <c:v>Mohnyin IDP in host (2)</c:v>
                </c:pt>
                <c:pt idx="171">
                  <c:v>Chinese Baptist Church Compound(Oak Hpo)</c:v>
                </c:pt>
                <c:pt idx="172">
                  <c:v>Farmland(Kyay Zu Taw)</c:v>
                </c:pt>
                <c:pt idx="173">
                  <c:v>Pong Mun School</c:v>
                </c:pt>
                <c:pt idx="174">
                  <c:v>Hka San Baptist church </c:v>
                </c:pt>
                <c:pt idx="175">
                  <c:v>Sun Lon monastery </c:v>
                </c:pt>
                <c:pt idx="176">
                  <c:v>Farmland(Kaung Kye Peik)</c:v>
                </c:pt>
                <c:pt idx="177">
                  <c:v>Kaung Nyaung Ywar Thit (Ho Piek gyi)</c:v>
                </c:pt>
                <c:pt idx="178">
                  <c:v>Ward 5 &amp; 9</c:v>
                </c:pt>
                <c:pt idx="179">
                  <c:v>Kan Long </c:v>
                </c:pt>
                <c:pt idx="180">
                  <c:v>Chicken Farm </c:v>
                </c:pt>
                <c:pt idx="181">
                  <c:v>Dagaw Border</c:v>
                </c:pt>
                <c:pt idx="182">
                  <c:v>Lashio ward 7 – IDPs in host</c:v>
                </c:pt>
                <c:pt idx="183">
                  <c:v>Lashio ward 9 – IDPs in host</c:v>
                </c:pt>
                <c:pt idx="184">
                  <c:v>Ward 3</c:v>
                </c:pt>
                <c:pt idx="185">
                  <c:v>Mong Paw Building</c:v>
                </c:pt>
                <c:pt idx="186">
                  <c:v>IDP in host community(Mongkoe town)</c:v>
                </c:pt>
                <c:pt idx="187">
                  <c:v>Sein Lone Shann Border</c:v>
                </c:pt>
              </c:strCache>
            </c:strRef>
          </c:cat>
          <c:val>
            <c:numRef>
              <c:f>'By Camps'!$B$34</c:f>
              <c:numCache>
                <c:formatCode>General</c:formatCode>
                <c:ptCount val="188"/>
                <c:pt idx="0">
                  <c:v>715</c:v>
                </c:pt>
                <c:pt idx="1">
                  <c:v>446</c:v>
                </c:pt>
                <c:pt idx="2">
                  <c:v>70</c:v>
                </c:pt>
                <c:pt idx="3">
                  <c:v>502</c:v>
                </c:pt>
                <c:pt idx="4">
                  <c:v>222</c:v>
                </c:pt>
                <c:pt idx="5">
                  <c:v>249</c:v>
                </c:pt>
                <c:pt idx="6">
                  <c:v>258</c:v>
                </c:pt>
                <c:pt idx="7">
                  <c:v>1900</c:v>
                </c:pt>
                <c:pt idx="8">
                  <c:v>704</c:v>
                </c:pt>
                <c:pt idx="9">
                  <c:v>451</c:v>
                </c:pt>
                <c:pt idx="10">
                  <c:v>404</c:v>
                </c:pt>
                <c:pt idx="11">
                  <c:v>381</c:v>
                </c:pt>
                <c:pt idx="12">
                  <c:v>298</c:v>
                </c:pt>
                <c:pt idx="13">
                  <c:v>896</c:v>
                </c:pt>
                <c:pt idx="14">
                  <c:v>126</c:v>
                </c:pt>
                <c:pt idx="15">
                  <c:v>1414</c:v>
                </c:pt>
                <c:pt idx="16">
                  <c:v>471</c:v>
                </c:pt>
                <c:pt idx="17">
                  <c:v>1089</c:v>
                </c:pt>
                <c:pt idx="18">
                  <c:v>3545</c:v>
                </c:pt>
                <c:pt idx="19">
                  <c:v>226</c:v>
                </c:pt>
                <c:pt idx="20">
                  <c:v>2322</c:v>
                </c:pt>
                <c:pt idx="21">
                  <c:v>742</c:v>
                </c:pt>
                <c:pt idx="22">
                  <c:v>278</c:v>
                </c:pt>
                <c:pt idx="23">
                  <c:v>8225</c:v>
                </c:pt>
                <c:pt idx="24">
                  <c:v>57</c:v>
                </c:pt>
                <c:pt idx="25">
                  <c:v>263</c:v>
                </c:pt>
                <c:pt idx="26">
                  <c:v>244</c:v>
                </c:pt>
                <c:pt idx="27">
                  <c:v>180</c:v>
                </c:pt>
                <c:pt idx="28">
                  <c:v>77</c:v>
                </c:pt>
                <c:pt idx="29">
                  <c:v>2199</c:v>
                </c:pt>
                <c:pt idx="30">
                  <c:v>2503</c:v>
                </c:pt>
                <c:pt idx="31">
                  <c:v>634</c:v>
                </c:pt>
                <c:pt idx="32">
                  <c:v>564</c:v>
                </c:pt>
                <c:pt idx="33">
                  <c:v>572</c:v>
                </c:pt>
                <c:pt idx="34">
                  <c:v>885</c:v>
                </c:pt>
                <c:pt idx="35">
                  <c:v>107</c:v>
                </c:pt>
                <c:pt idx="36">
                  <c:v>56</c:v>
                </c:pt>
                <c:pt idx="37">
                  <c:v>774</c:v>
                </c:pt>
                <c:pt idx="38">
                  <c:v>255</c:v>
                </c:pt>
                <c:pt idx="39">
                  <c:v>426</c:v>
                </c:pt>
                <c:pt idx="40">
                  <c:v>1422</c:v>
                </c:pt>
                <c:pt idx="41">
                  <c:v>114</c:v>
                </c:pt>
                <c:pt idx="42">
                  <c:v>1442</c:v>
                </c:pt>
                <c:pt idx="43">
                  <c:v>2139</c:v>
                </c:pt>
                <c:pt idx="44">
                  <c:v>1235</c:v>
                </c:pt>
                <c:pt idx="45">
                  <c:v>1702</c:v>
                </c:pt>
                <c:pt idx="46">
                  <c:v>215</c:v>
                </c:pt>
                <c:pt idx="47">
                  <c:v>1517</c:v>
                </c:pt>
                <c:pt idx="48">
                  <c:v>791</c:v>
                </c:pt>
                <c:pt idx="49">
                  <c:v>166</c:v>
                </c:pt>
                <c:pt idx="50">
                  <c:v>741</c:v>
                </c:pt>
                <c:pt idx="51">
                  <c:v>512</c:v>
                </c:pt>
                <c:pt idx="52">
                  <c:v>328</c:v>
                </c:pt>
                <c:pt idx="53">
                  <c:v>120</c:v>
                </c:pt>
                <c:pt idx="54">
                  <c:v>708</c:v>
                </c:pt>
                <c:pt idx="55">
                  <c:v>618</c:v>
                </c:pt>
                <c:pt idx="56">
                  <c:v>2725</c:v>
                </c:pt>
                <c:pt idx="57">
                  <c:v>857</c:v>
                </c:pt>
                <c:pt idx="58">
                  <c:v>789</c:v>
                </c:pt>
                <c:pt idx="59">
                  <c:v>82</c:v>
                </c:pt>
                <c:pt idx="60">
                  <c:v>78</c:v>
                </c:pt>
                <c:pt idx="61">
                  <c:v>15</c:v>
                </c:pt>
                <c:pt idx="62">
                  <c:v>424</c:v>
                </c:pt>
                <c:pt idx="63">
                  <c:v>176</c:v>
                </c:pt>
                <c:pt idx="64">
                  <c:v>105</c:v>
                </c:pt>
                <c:pt idx="65">
                  <c:v>396</c:v>
                </c:pt>
                <c:pt idx="66">
                  <c:v>323</c:v>
                </c:pt>
                <c:pt idx="67">
                  <c:v>213</c:v>
                </c:pt>
                <c:pt idx="68">
                  <c:v>250</c:v>
                </c:pt>
                <c:pt idx="69">
                  <c:v>24</c:v>
                </c:pt>
                <c:pt idx="70">
                  <c:v>206</c:v>
                </c:pt>
                <c:pt idx="71">
                  <c:v>274</c:v>
                </c:pt>
                <c:pt idx="72">
                  <c:v>227</c:v>
                </c:pt>
                <c:pt idx="73">
                  <c:v>49</c:v>
                </c:pt>
                <c:pt idx="74">
                  <c:v>58</c:v>
                </c:pt>
                <c:pt idx="75">
                  <c:v>584</c:v>
                </c:pt>
                <c:pt idx="76">
                  <c:v>664</c:v>
                </c:pt>
                <c:pt idx="77">
                  <c:v>1570</c:v>
                </c:pt>
                <c:pt idx="78">
                  <c:v>320</c:v>
                </c:pt>
                <c:pt idx="79">
                  <c:v>297</c:v>
                </c:pt>
                <c:pt idx="80">
                  <c:v>959</c:v>
                </c:pt>
                <c:pt idx="81">
                  <c:v>3682</c:v>
                </c:pt>
                <c:pt idx="82">
                  <c:v>973</c:v>
                </c:pt>
                <c:pt idx="83">
                  <c:v>221</c:v>
                </c:pt>
                <c:pt idx="84">
                  <c:v>334</c:v>
                </c:pt>
                <c:pt idx="85">
                  <c:v>298</c:v>
                </c:pt>
                <c:pt idx="86">
                  <c:v>279</c:v>
                </c:pt>
                <c:pt idx="87">
                  <c:v>72</c:v>
                </c:pt>
                <c:pt idx="88">
                  <c:v>3451</c:v>
                </c:pt>
                <c:pt idx="89">
                  <c:v>342</c:v>
                </c:pt>
                <c:pt idx="90">
                  <c:v>141</c:v>
                </c:pt>
                <c:pt idx="91">
                  <c:v>266</c:v>
                </c:pt>
                <c:pt idx="92">
                  <c:v>1463</c:v>
                </c:pt>
                <c:pt idx="93">
                  <c:v>120</c:v>
                </c:pt>
                <c:pt idx="94">
                  <c:v>101</c:v>
                </c:pt>
                <c:pt idx="95">
                  <c:v>984</c:v>
                </c:pt>
                <c:pt idx="96">
                  <c:v>300</c:v>
                </c:pt>
                <c:pt idx="97">
                  <c:v>182</c:v>
                </c:pt>
                <c:pt idx="98">
                  <c:v>432</c:v>
                </c:pt>
                <c:pt idx="99">
                  <c:v>174</c:v>
                </c:pt>
                <c:pt idx="100">
                  <c:v>207</c:v>
                </c:pt>
                <c:pt idx="101">
                  <c:v>268</c:v>
                </c:pt>
                <c:pt idx="102">
                  <c:v>121</c:v>
                </c:pt>
                <c:pt idx="103">
                  <c:v>62</c:v>
                </c:pt>
                <c:pt idx="104">
                  <c:v>186</c:v>
                </c:pt>
                <c:pt idx="105">
                  <c:v>195</c:v>
                </c:pt>
                <c:pt idx="106">
                  <c:v>319</c:v>
                </c:pt>
                <c:pt idx="107">
                  <c:v>7394</c:v>
                </c:pt>
                <c:pt idx="108">
                  <c:v>709</c:v>
                </c:pt>
                <c:pt idx="109">
                  <c:v>2550</c:v>
                </c:pt>
                <c:pt idx="110">
                  <c:v>1101</c:v>
                </c:pt>
                <c:pt idx="111">
                  <c:v>247</c:v>
                </c:pt>
                <c:pt idx="112">
                  <c:v>64</c:v>
                </c:pt>
                <c:pt idx="113">
                  <c:v>1397</c:v>
                </c:pt>
                <c:pt idx="114">
                  <c:v>74</c:v>
                </c:pt>
                <c:pt idx="115">
                  <c:v>275</c:v>
                </c:pt>
                <c:pt idx="116">
                  <c:v>158</c:v>
                </c:pt>
                <c:pt idx="117">
                  <c:v>502</c:v>
                </c:pt>
                <c:pt idx="118">
                  <c:v>251</c:v>
                </c:pt>
                <c:pt idx="119">
                  <c:v>325</c:v>
                </c:pt>
                <c:pt idx="120">
                  <c:v>1148</c:v>
                </c:pt>
                <c:pt idx="121">
                  <c:v>686</c:v>
                </c:pt>
                <c:pt idx="122">
                  <c:v>267</c:v>
                </c:pt>
                <c:pt idx="123">
                  <c:v>1215</c:v>
                </c:pt>
                <c:pt idx="124">
                  <c:v>628</c:v>
                </c:pt>
                <c:pt idx="125">
                  <c:v>439</c:v>
                </c:pt>
                <c:pt idx="126">
                  <c:v>130</c:v>
                </c:pt>
                <c:pt idx="127">
                  <c:v>32</c:v>
                </c:pt>
                <c:pt idx="128">
                  <c:v>203</c:v>
                </c:pt>
                <c:pt idx="129">
                  <c:v>127</c:v>
                </c:pt>
                <c:pt idx="130">
                  <c:v>1674</c:v>
                </c:pt>
                <c:pt idx="131">
                  <c:v>170</c:v>
                </c:pt>
                <c:pt idx="132">
                  <c:v>591</c:v>
                </c:pt>
                <c:pt idx="133">
                  <c:v>504</c:v>
                </c:pt>
                <c:pt idx="134">
                  <c:v>160</c:v>
                </c:pt>
                <c:pt idx="135">
                  <c:v>80</c:v>
                </c:pt>
                <c:pt idx="136">
                  <c:v>139</c:v>
                </c:pt>
                <c:pt idx="137">
                  <c:v>294</c:v>
                </c:pt>
                <c:pt idx="138">
                  <c:v>240</c:v>
                </c:pt>
                <c:pt idx="139">
                  <c:v>189</c:v>
                </c:pt>
                <c:pt idx="140">
                  <c:v>450</c:v>
                </c:pt>
                <c:pt idx="141">
                  <c:v>653</c:v>
                </c:pt>
                <c:pt idx="142">
                  <c:v>2786</c:v>
                </c:pt>
                <c:pt idx="143">
                  <c:v>276</c:v>
                </c:pt>
                <c:pt idx="144">
                  <c:v>440</c:v>
                </c:pt>
                <c:pt idx="145">
                  <c:v>162</c:v>
                </c:pt>
                <c:pt idx="146">
                  <c:v>132</c:v>
                </c:pt>
                <c:pt idx="147">
                  <c:v>544</c:v>
                </c:pt>
                <c:pt idx="148">
                  <c:v>324</c:v>
                </c:pt>
                <c:pt idx="149">
                  <c:v>906</c:v>
                </c:pt>
                <c:pt idx="150">
                  <c:v>466</c:v>
                </c:pt>
                <c:pt idx="151">
                  <c:v>308</c:v>
                </c:pt>
                <c:pt idx="152">
                  <c:v>126</c:v>
                </c:pt>
                <c:pt idx="153">
                  <c:v>71</c:v>
                </c:pt>
                <c:pt idx="154">
                  <c:v>1067</c:v>
                </c:pt>
                <c:pt idx="155">
                  <c:v>101</c:v>
                </c:pt>
                <c:pt idx="156">
                  <c:v>94</c:v>
                </c:pt>
                <c:pt idx="157">
                  <c:v>40</c:v>
                </c:pt>
                <c:pt idx="158">
                  <c:v>28</c:v>
                </c:pt>
                <c:pt idx="159">
                  <c:v>31</c:v>
                </c:pt>
                <c:pt idx="160">
                  <c:v>26</c:v>
                </c:pt>
                <c:pt idx="161">
                  <c:v>221</c:v>
                </c:pt>
                <c:pt idx="162">
                  <c:v>115</c:v>
                </c:pt>
                <c:pt idx="163">
                  <c:v>130</c:v>
                </c:pt>
                <c:pt idx="164">
                  <c:v>112</c:v>
                </c:pt>
                <c:pt idx="165">
                  <c:v>54</c:v>
                </c:pt>
                <c:pt idx="166">
                  <c:v>479</c:v>
                </c:pt>
                <c:pt idx="167">
                  <c:v>318</c:v>
                </c:pt>
                <c:pt idx="168">
                  <c:v>178</c:v>
                </c:pt>
                <c:pt idx="169">
                  <c:v>157</c:v>
                </c:pt>
                <c:pt idx="170">
                  <c:v>2399</c:v>
                </c:pt>
                <c:pt idx="171">
                  <c:v>82</c:v>
                </c:pt>
                <c:pt idx="172">
                  <c:v>135</c:v>
                </c:pt>
                <c:pt idx="173">
                  <c:v>123</c:v>
                </c:pt>
                <c:pt idx="174">
                  <c:v>37</c:v>
                </c:pt>
                <c:pt idx="175">
                  <c:v>144</c:v>
                </c:pt>
                <c:pt idx="176">
                  <c:v>61</c:v>
                </c:pt>
                <c:pt idx="177">
                  <c:v>469</c:v>
                </c:pt>
                <c:pt idx="178">
                  <c:v>157</c:v>
                </c:pt>
                <c:pt idx="179">
                  <c:v>92</c:v>
                </c:pt>
                <c:pt idx="180">
                  <c:v>30</c:v>
                </c:pt>
                <c:pt idx="182">
                  <c:v>145</c:v>
                </c:pt>
                <c:pt idx="183">
                  <c:v>114</c:v>
                </c:pt>
                <c:pt idx="184">
                  <c:v>127</c:v>
                </c:pt>
                <c:pt idx="185">
                  <c:v>136</c:v>
                </c:pt>
                <c:pt idx="186">
                  <c:v>362</c:v>
                </c:pt>
              </c:numCache>
            </c:numRef>
          </c:val>
          <c:extLst>
            <c:ext xmlns:c16="http://schemas.microsoft.com/office/drawing/2014/chart" uri="{C3380CC4-5D6E-409C-BE32-E72D297353CC}">
              <c16:uniqueId val="{00000000-92B1-419D-9658-6A092474F164}"/>
            </c:ext>
          </c:extLst>
        </c:ser>
        <c:ser>
          <c:idx val="1"/>
          <c:order val="1"/>
          <c:tx>
            <c:strRef>
              <c:f>'By Camps'!$B$34</c:f>
              <c:strCache>
                <c:ptCount val="1"/>
                <c:pt idx="0">
                  <c:v># of People adopt basic personal and community hygiene practices</c:v>
                </c:pt>
              </c:strCache>
            </c:strRef>
          </c:tx>
          <c:spPr>
            <a:solidFill>
              <a:schemeClr val="accent6">
                <a:lumMod val="50000"/>
              </a:schemeClr>
            </a:solidFill>
            <a:ln>
              <a:noFill/>
            </a:ln>
            <a:effectLst/>
          </c:spPr>
          <c:invertIfNegative val="0"/>
          <c:cat>
            <c:strRef>
              <c:f>'By Camps'!$B$34</c:f>
              <c:strCache>
                <c:ptCount val="188"/>
                <c:pt idx="0">
                  <c:v>AD-2000 Tharthana Compound</c:v>
                </c:pt>
                <c:pt idx="1">
                  <c:v>AG Church, Hmaw Si Sa</c:v>
                </c:pt>
                <c:pt idx="2">
                  <c:v>AG Church, Maw Wan</c:v>
                </c:pt>
                <c:pt idx="3">
                  <c:v>Agritural Compound (KBC)</c:v>
                </c:pt>
                <c:pt idx="4">
                  <c:v>Aung Thar Church</c:v>
                </c:pt>
                <c:pt idx="5">
                  <c:v>Baptist Church, Hmaw Si Sar(Lon Khin)</c:v>
                </c:pt>
                <c:pt idx="6">
                  <c:v>Border Post 8</c:v>
                </c:pt>
                <c:pt idx="7">
                  <c:v>Bum Tsit Pa</c:v>
                </c:pt>
                <c:pt idx="8">
                  <c:v>Chipwi KBC camp</c:v>
                </c:pt>
                <c:pt idx="9">
                  <c:v>Dhama Rakhita, Nyein Chan Tar Yar Ward(Lon Khin)</c:v>
                </c:pt>
                <c:pt idx="10">
                  <c:v>Dum Bung </c:v>
                </c:pt>
                <c:pt idx="11">
                  <c:v>Hka Shi</c:v>
                </c:pt>
                <c:pt idx="12">
                  <c:v>Hkat Cho </c:v>
                </c:pt>
                <c:pt idx="13">
                  <c:v>Hkau Shau (BP 12)</c:v>
                </c:pt>
                <c:pt idx="14">
                  <c:v>Hlaing Naung Baptist</c:v>
                </c:pt>
                <c:pt idx="15">
                  <c:v>Hpai Kawng</c:v>
                </c:pt>
                <c:pt idx="16">
                  <c:v>Hpakant Baptist Church, Nam Ma Hpit</c:v>
                </c:pt>
                <c:pt idx="17">
                  <c:v>Hpare Hkyer - BP6</c:v>
                </c:pt>
                <c:pt idx="18">
                  <c:v>Hpun Lum Yang </c:v>
                </c:pt>
                <c:pt idx="19">
                  <c:v>Htoi San Church</c:v>
                </c:pt>
                <c:pt idx="20">
                  <c:v>IDP Boarding School, A Len Bum</c:v>
                </c:pt>
                <c:pt idx="21">
                  <c:v>Jan Mai Kawng Baptist Church</c:v>
                </c:pt>
                <c:pt idx="22">
                  <c:v>Jan Mai Kawng Catholic Church</c:v>
                </c:pt>
                <c:pt idx="23">
                  <c:v>Je Yang Hka </c:v>
                </c:pt>
                <c:pt idx="24">
                  <c:v>Kachin Su Baptist Church (ECCD)</c:v>
                </c:pt>
                <c:pt idx="25">
                  <c:v>Khar Nan (1) Baptist Church</c:v>
                </c:pt>
                <c:pt idx="26">
                  <c:v>Kutkai downtown (KBC Church)</c:v>
                </c:pt>
                <c:pt idx="27">
                  <c:v>Kutkai downtown (KBC Church-2)</c:v>
                </c:pt>
                <c:pt idx="28">
                  <c:v>Kyun Taw Baptist Church </c:v>
                </c:pt>
                <c:pt idx="29">
                  <c:v>Laiza Je Yang School</c:v>
                </c:pt>
                <c:pt idx="30">
                  <c:v>Lana Zup Ja</c:v>
                </c:pt>
                <c:pt idx="31">
                  <c:v>Lawng Hkang Shait Yang Camp​ ( Lel Pyin)​ </c:v>
                </c:pt>
                <c:pt idx="32">
                  <c:v>Le Kone Bethlehem Church</c:v>
                </c:pt>
                <c:pt idx="33">
                  <c:v>Le Kone Ziun Baptist Church </c:v>
                </c:pt>
                <c:pt idx="34">
                  <c:v>Lhaovao Baptist Church (LBC)</c:v>
                </c:pt>
                <c:pt idx="35">
                  <c:v>Lisu Baptist Church, Maw Shan Vil,. Seik Mu</c:v>
                </c:pt>
                <c:pt idx="36">
                  <c:v>Lisu Baptist Church, Maw Wan Ward</c:v>
                </c:pt>
                <c:pt idx="37">
                  <c:v>Lisu Boarding-House</c:v>
                </c:pt>
                <c:pt idx="38">
                  <c:v>Loi Je Baptist Church</c:v>
                </c:pt>
                <c:pt idx="39">
                  <c:v>Loi Je Catholic Church</c:v>
                </c:pt>
                <c:pt idx="40">
                  <c:v>Loi Je Lisu Camp</c:v>
                </c:pt>
                <c:pt idx="41">
                  <c:v>Mading Baptist Church</c:v>
                </c:pt>
                <c:pt idx="42">
                  <c:v>Maga Yang </c:v>
                </c:pt>
                <c:pt idx="43">
                  <c:v>Maina AG Church</c:v>
                </c:pt>
                <c:pt idx="44">
                  <c:v>Maina Catholic Church (St. Joseph)</c:v>
                </c:pt>
                <c:pt idx="45">
                  <c:v>Maina KBC (Bawng Ring)</c:v>
                </c:pt>
                <c:pt idx="46">
                  <c:v>Maina Lawang Baptist Church</c:v>
                </c:pt>
                <c:pt idx="47">
                  <c:v>Maing Khaung</c:v>
                </c:pt>
                <c:pt idx="48">
                  <c:v>Maing Khaung Catholic Church</c:v>
                </c:pt>
                <c:pt idx="49">
                  <c:v>Maliyang Baptist Church</c:v>
                </c:pt>
                <c:pt idx="50">
                  <c:v>Man Bung Catholic compound</c:v>
                </c:pt>
                <c:pt idx="51">
                  <c:v>Man Bung Edin Baptist Church</c:v>
                </c:pt>
                <c:pt idx="52">
                  <c:v>Man Hkring Baptist Church</c:v>
                </c:pt>
                <c:pt idx="53">
                  <c:v>Man Kaung/Naung Ti Kyar Village</c:v>
                </c:pt>
                <c:pt idx="54">
                  <c:v>Man Wing Baptist Church</c:v>
                </c:pt>
                <c:pt idx="55">
                  <c:v>Man Wing Baptist Church Cultural Compound</c:v>
                </c:pt>
                <c:pt idx="56">
                  <c:v>Man Wing Catholic Church</c:v>
                </c:pt>
                <c:pt idx="57">
                  <c:v>Man Wing Catholic Church II</c:v>
                </c:pt>
                <c:pt idx="58">
                  <c:v>Mansi Baptist Church</c:v>
                </c:pt>
                <c:pt idx="59">
                  <c:v>Maw Hpawng Hka Nan Baptist Church</c:v>
                </c:pt>
                <c:pt idx="60">
                  <c:v>Maw Hpawng Lhaovo Baptist Church</c:v>
                </c:pt>
                <c:pt idx="61">
                  <c:v>Maw Wan, Mu-yin Baptist Church</c:v>
                </c:pt>
                <c:pt idx="62">
                  <c:v>Momauk Baptist Church</c:v>
                </c:pt>
                <c:pt idx="63">
                  <c:v>Mung Hawm </c:v>
                </c:pt>
                <c:pt idx="64">
                  <c:v>Muyin church (Aung Yar pre-school compound)</c:v>
                </c:pt>
                <c:pt idx="65">
                  <c:v>Nam Hkam - Nay Win Ni (Palawng)</c:v>
                </c:pt>
                <c:pt idx="66">
                  <c:v>Nam Hkam (KBC Jaw Wang)</c:v>
                </c:pt>
                <c:pt idx="67">
                  <c:v>Nam Hkam Catholic Church ( St. Thomas I)</c:v>
                </c:pt>
                <c:pt idx="68">
                  <c:v>Nam Hpak Ka Mare </c:v>
                </c:pt>
                <c:pt idx="69">
                  <c:v>Nam Ma Phyit, COC</c:v>
                </c:pt>
                <c:pt idx="70">
                  <c:v>Nam Sa Larp</c:v>
                </c:pt>
                <c:pt idx="71">
                  <c:v>Nan Kway St. John Catholic Church</c:v>
                </c:pt>
                <c:pt idx="72">
                  <c:v>Nant Ma Hpit Catholic Church</c:v>
                </c:pt>
                <c:pt idx="73">
                  <c:v>Nat Gyi Kone Baptist Church </c:v>
                </c:pt>
                <c:pt idx="74">
                  <c:v>Nawng Ing (Indawgyi) Baptist Church </c:v>
                </c:pt>
                <c:pt idx="75">
                  <c:v>Ndup Yang</c:v>
                </c:pt>
                <c:pt idx="76">
                  <c:v>New Pang Ku </c:v>
                </c:pt>
                <c:pt idx="77">
                  <c:v>Nhkawng Pa </c:v>
                </c:pt>
                <c:pt idx="78">
                  <c:v>Njang Dung Baptist Church </c:v>
                </c:pt>
                <c:pt idx="79">
                  <c:v>Nyaung Na Pin </c:v>
                </c:pt>
                <c:pt idx="80">
                  <c:v>Pa Dauk Myaing(Pa La Na)</c:v>
                </c:pt>
                <c:pt idx="81">
                  <c:v>Pa Kahtawng </c:v>
                </c:pt>
                <c:pt idx="82">
                  <c:v>Pajau - Jan Mai</c:v>
                </c:pt>
                <c:pt idx="83">
                  <c:v>Pan Law</c:v>
                </c:pt>
                <c:pt idx="84">
                  <c:v>Phan Khar Kone</c:v>
                </c:pt>
                <c:pt idx="85">
                  <c:v>Qtr. 2 Lhaovo Baptist Church</c:v>
                </c:pt>
                <c:pt idx="86">
                  <c:v>Qtr. 2 Myoma Baptist Church</c:v>
                </c:pt>
                <c:pt idx="87">
                  <c:v>Rawan Baptist Church, Maw Shan Vil., Seik Mu</c:v>
                </c:pt>
                <c:pt idx="88">
                  <c:v>Robert Church</c:v>
                </c:pt>
                <c:pt idx="89">
                  <c:v>Salang Yang</c:v>
                </c:pt>
                <c:pt idx="90">
                  <c:v>Sar Hmaw - KBC</c:v>
                </c:pt>
                <c:pt idx="91">
                  <c:v>Seng Ja </c:v>
                </c:pt>
                <c:pt idx="92">
                  <c:v>Sha-It Yang</c:v>
                </c:pt>
                <c:pt idx="93">
                  <c:v>Shatapru Sut Ngai Tawng</c:v>
                </c:pt>
                <c:pt idx="94">
                  <c:v>Shatapru Thida Aye Baptist Church</c:v>
                </c:pt>
                <c:pt idx="95">
                  <c:v>Shing Jai</c:v>
                </c:pt>
                <c:pt idx="96">
                  <c:v>Shwe Gu Baptist Church</c:v>
                </c:pt>
                <c:pt idx="97">
                  <c:v>Shwe Gu Catholic Church</c:v>
                </c:pt>
                <c:pt idx="98">
                  <c:v>Shwe Zet Baptist Church</c:v>
                </c:pt>
                <c:pt idx="99">
                  <c:v>Tanai CoC</c:v>
                </c:pt>
                <c:pt idx="100">
                  <c:v>Tat Kone Baptist Church</c:v>
                </c:pt>
                <c:pt idx="101">
                  <c:v>Tat Kone COC Baptist - Tat Kone Htoi San</c:v>
                </c:pt>
                <c:pt idx="102">
                  <c:v>Tat Kone Galile Baptist Church</c:v>
                </c:pt>
                <c:pt idx="103">
                  <c:v>Tat Kone San Pya Baptist Church</c:v>
                </c:pt>
                <c:pt idx="104">
                  <c:v>Thargaya Lisu Baptist Church</c:v>
                </c:pt>
                <c:pt idx="105">
                  <c:v>Tsan Lun - Namjarap</c:v>
                </c:pt>
                <c:pt idx="106">
                  <c:v>Waingmaw AG Church</c:v>
                </c:pt>
                <c:pt idx="107">
                  <c:v>Woi Chyai </c:v>
                </c:pt>
                <c:pt idx="108">
                  <c:v>Woi Chyai (Mong Lai)</c:v>
                </c:pt>
                <c:pt idx="109">
                  <c:v>Woi Chyai host families</c:v>
                </c:pt>
                <c:pt idx="110">
                  <c:v>Zup Aung Camp</c:v>
                </c:pt>
                <c:pt idx="111">
                  <c:v>Sadung</c:v>
                </c:pt>
                <c:pt idx="112">
                  <c:v>Ka Bu Dam CoC</c:v>
                </c:pt>
                <c:pt idx="113">
                  <c:v>Pang Hkawn Yang</c:v>
                </c:pt>
                <c:pt idx="114">
                  <c:v>Ma Hawng Baptist Church</c:v>
                </c:pt>
                <c:pt idx="115">
                  <c:v>Tanai KBC Camp</c:v>
                </c:pt>
                <c:pt idx="116">
                  <c:v>Nam Hpak Ka Ta'ang ( Aung Tha Pyay)</c:v>
                </c:pt>
                <c:pt idx="117">
                  <c:v>Mai Yu Lay New (Ta'ang)</c:v>
                </c:pt>
                <c:pt idx="118">
                  <c:v>Mine Yu Lay village ( Old)</c:v>
                </c:pt>
                <c:pt idx="119">
                  <c:v>Namti Labraw Yang KBC Camp</c:v>
                </c:pt>
                <c:pt idx="120">
                  <c:v>Trinity Camp</c:v>
                </c:pt>
                <c:pt idx="121">
                  <c:v>Jaw Masat Camp</c:v>
                </c:pt>
                <c:pt idx="122">
                  <c:v>Waimaw Baptist Zonal Office 2</c:v>
                </c:pt>
                <c:pt idx="123">
                  <c:v>Pa Dauk Myaing(Pa La Na)-II</c:v>
                </c:pt>
                <c:pt idx="124">
                  <c:v>St. Joseph Tanai RC camp </c:v>
                </c:pt>
                <c:pt idx="125">
                  <c:v>Galeng (Palaung) &amp; Kone Khem</c:v>
                </c:pt>
                <c:pt idx="126">
                  <c:v>Hu Hku &amp; Ho Hko</c:v>
                </c:pt>
                <c:pt idx="127">
                  <c:v>Htang Nya </c:v>
                </c:pt>
                <c:pt idx="128">
                  <c:v>Momauk IDP new extension camp (Kye Nan)</c:v>
                </c:pt>
                <c:pt idx="129">
                  <c:v>Sector 5 Pammati Quarter</c:v>
                </c:pt>
                <c:pt idx="130">
                  <c:v>His Aw (Chyu Fan) </c:v>
                </c:pt>
                <c:pt idx="131">
                  <c:v>Shwe Sin (Ward 3) </c:v>
                </c:pt>
                <c:pt idx="132">
                  <c:v>Bum Ra Yang Camp </c:v>
                </c:pt>
                <c:pt idx="133">
                  <c:v>Kyaukme Town (host)</c:v>
                </c:pt>
                <c:pt idx="134">
                  <c:v>Nam Hlaing Extension Ward camp</c:v>
                </c:pt>
                <c:pt idx="135">
                  <c:v>Naung Tar Law (Kyet Chan) </c:v>
                </c:pt>
                <c:pt idx="136">
                  <c:v>Waingmaw St.Joseph RC Church</c:v>
                </c:pt>
                <c:pt idx="137">
                  <c:v>Phaug Nhae Camp</c:v>
                </c:pt>
                <c:pt idx="138">
                  <c:v>Ding Jang Yang (1)</c:v>
                </c:pt>
                <c:pt idx="139">
                  <c:v>Ding Jang Yang (2)</c:v>
                </c:pt>
                <c:pt idx="140">
                  <c:v>Yi Hku Man Hkan </c:v>
                </c:pt>
                <c:pt idx="141">
                  <c:v>Lin Hao chun </c:v>
                </c:pt>
                <c:pt idx="142">
                  <c:v>Pyi Htaung Su</c:v>
                </c:pt>
                <c:pt idx="143">
                  <c:v>St.Francis RCC 1</c:v>
                </c:pt>
                <c:pt idx="144">
                  <c:v>St.Francis RCC 2</c:v>
                </c:pt>
                <c:pt idx="145">
                  <c:v>Bang Yang Hka (Mung Ji Pa)-relocated</c:v>
                </c:pt>
                <c:pt idx="146">
                  <c:v>Galeng Zup Awng ward 5 RC</c:v>
                </c:pt>
                <c:pt idx="147">
                  <c:v>Man Wing- IDPs in Host</c:v>
                </c:pt>
                <c:pt idx="148">
                  <c:v>(3 mile) Shwe Pyi Tar (SLCA)</c:v>
                </c:pt>
                <c:pt idx="149">
                  <c:v>Bhamo- IDPs in Host </c:v>
                </c:pt>
                <c:pt idx="150">
                  <c:v>St.Columban lone Khin camp</c:v>
                </c:pt>
                <c:pt idx="151">
                  <c:v>Mansi- IDPs in Host</c:v>
                </c:pt>
                <c:pt idx="152">
                  <c:v>Hopin -IDPs in Host</c:v>
                </c:pt>
                <c:pt idx="153">
                  <c:v>Moenyin- IDPs in Host</c:v>
                </c:pt>
                <c:pt idx="154">
                  <c:v>Momauk-IDPs in Host</c:v>
                </c:pt>
                <c:pt idx="155">
                  <c:v>Myo Thit -IDP in Host</c:v>
                </c:pt>
                <c:pt idx="156">
                  <c:v>Saint Matthew (Shin ma ti-sitapru) camp</c:v>
                </c:pt>
                <c:pt idx="157">
                  <c:v>Man Pint community Hall </c:v>
                </c:pt>
                <c:pt idx="158">
                  <c:v>Mong Tin High School</c:v>
                </c:pt>
                <c:pt idx="159">
                  <c:v>Nar Mun Primary School</c:v>
                </c:pt>
                <c:pt idx="160">
                  <c:v>SLCA Building Compound (Moungnawt town)</c:v>
                </c:pt>
                <c:pt idx="161">
                  <c:v>Maina Mu-yin  Baptist Church</c:v>
                </c:pt>
                <c:pt idx="162">
                  <c:v>LCC UM Camp Hka Shi</c:v>
                </c:pt>
                <c:pt idx="163">
                  <c:v>Lisu Ethnic Youth Development Center </c:v>
                </c:pt>
                <c:pt idx="164">
                  <c:v>Nbang Yang camp </c:v>
                </c:pt>
                <c:pt idx="165">
                  <c:v>Rawang Baptist Church</c:v>
                </c:pt>
                <c:pt idx="166">
                  <c:v>Sut Ngai yang camp </c:v>
                </c:pt>
                <c:pt idx="167">
                  <c:v>Sadung KBC</c:v>
                </c:pt>
                <c:pt idx="168">
                  <c:v>Sana Lisu Baptist Church (DTC)</c:v>
                </c:pt>
                <c:pt idx="169">
                  <c:v>Sutaung Taung Chae</c:v>
                </c:pt>
                <c:pt idx="170">
                  <c:v>Mohnyin IDP in host (2)</c:v>
                </c:pt>
                <c:pt idx="171">
                  <c:v>Chinese Baptist Church Compound(Oak Hpo)</c:v>
                </c:pt>
                <c:pt idx="172">
                  <c:v>Farmland(Kyay Zu Taw)</c:v>
                </c:pt>
                <c:pt idx="173">
                  <c:v>Pong Mun School</c:v>
                </c:pt>
                <c:pt idx="174">
                  <c:v>Hka San Baptist church </c:v>
                </c:pt>
                <c:pt idx="175">
                  <c:v>Sun Lon monastery </c:v>
                </c:pt>
                <c:pt idx="176">
                  <c:v>Farmland(Kaung Kye Peik)</c:v>
                </c:pt>
                <c:pt idx="177">
                  <c:v>Kaung Nyaung Ywar Thit (Ho Piek gyi)</c:v>
                </c:pt>
                <c:pt idx="178">
                  <c:v>Ward 5 &amp; 9</c:v>
                </c:pt>
                <c:pt idx="179">
                  <c:v>Kan Long </c:v>
                </c:pt>
                <c:pt idx="180">
                  <c:v>Chicken Farm </c:v>
                </c:pt>
                <c:pt idx="181">
                  <c:v>Dagaw Border</c:v>
                </c:pt>
                <c:pt idx="182">
                  <c:v>Lashio ward 7 – IDPs in host</c:v>
                </c:pt>
                <c:pt idx="183">
                  <c:v>Lashio ward 9 – IDPs in host</c:v>
                </c:pt>
                <c:pt idx="184">
                  <c:v>Ward 3</c:v>
                </c:pt>
                <c:pt idx="185">
                  <c:v>Mong Paw Building</c:v>
                </c:pt>
                <c:pt idx="186">
                  <c:v>IDP in host community(Mongkoe town)</c:v>
                </c:pt>
                <c:pt idx="187">
                  <c:v>Sein Lone Shann Border</c:v>
                </c:pt>
              </c:strCache>
            </c:strRef>
          </c:cat>
          <c:val>
            <c:numRef>
              <c:f>'By Camps'!$B$34</c:f>
              <c:numCache>
                <c:formatCode>General</c:formatCode>
                <c:ptCount val="188"/>
                <c:pt idx="0">
                  <c:v>715</c:v>
                </c:pt>
                <c:pt idx="1">
                  <c:v>446</c:v>
                </c:pt>
                <c:pt idx="2">
                  <c:v>70</c:v>
                </c:pt>
                <c:pt idx="3">
                  <c:v>0</c:v>
                </c:pt>
                <c:pt idx="4">
                  <c:v>0</c:v>
                </c:pt>
                <c:pt idx="5">
                  <c:v>249</c:v>
                </c:pt>
                <c:pt idx="6">
                  <c:v>258</c:v>
                </c:pt>
                <c:pt idx="7">
                  <c:v>1900</c:v>
                </c:pt>
                <c:pt idx="8">
                  <c:v>500</c:v>
                </c:pt>
                <c:pt idx="9">
                  <c:v>451</c:v>
                </c:pt>
                <c:pt idx="10">
                  <c:v>404</c:v>
                </c:pt>
                <c:pt idx="11">
                  <c:v>381</c:v>
                </c:pt>
                <c:pt idx="12">
                  <c:v>298</c:v>
                </c:pt>
                <c:pt idx="13">
                  <c:v>896</c:v>
                </c:pt>
                <c:pt idx="14">
                  <c:v>126</c:v>
                </c:pt>
                <c:pt idx="15">
                  <c:v>0</c:v>
                </c:pt>
                <c:pt idx="16">
                  <c:v>471</c:v>
                </c:pt>
                <c:pt idx="17">
                  <c:v>500</c:v>
                </c:pt>
                <c:pt idx="18">
                  <c:v>0</c:v>
                </c:pt>
                <c:pt idx="19">
                  <c:v>200</c:v>
                </c:pt>
                <c:pt idx="20">
                  <c:v>0</c:v>
                </c:pt>
                <c:pt idx="21">
                  <c:v>742</c:v>
                </c:pt>
                <c:pt idx="22">
                  <c:v>278</c:v>
                </c:pt>
                <c:pt idx="23">
                  <c:v>7000</c:v>
                </c:pt>
                <c:pt idx="24">
                  <c:v>0</c:v>
                </c:pt>
                <c:pt idx="25">
                  <c:v>0</c:v>
                </c:pt>
                <c:pt idx="26">
                  <c:v>244</c:v>
                </c:pt>
                <c:pt idx="27">
                  <c:v>180</c:v>
                </c:pt>
                <c:pt idx="28">
                  <c:v>77</c:v>
                </c:pt>
                <c:pt idx="29">
                  <c:v>0</c:v>
                </c:pt>
                <c:pt idx="30">
                  <c:v>2503</c:v>
                </c:pt>
                <c:pt idx="31">
                  <c:v>634</c:v>
                </c:pt>
                <c:pt idx="32">
                  <c:v>564</c:v>
                </c:pt>
                <c:pt idx="33">
                  <c:v>572</c:v>
                </c:pt>
                <c:pt idx="34">
                  <c:v>885</c:v>
                </c:pt>
                <c:pt idx="35">
                  <c:v>107</c:v>
                </c:pt>
                <c:pt idx="36">
                  <c:v>56</c:v>
                </c:pt>
                <c:pt idx="37">
                  <c:v>774</c:v>
                </c:pt>
                <c:pt idx="38">
                  <c:v>255</c:v>
                </c:pt>
                <c:pt idx="39">
                  <c:v>426</c:v>
                </c:pt>
                <c:pt idx="40">
                  <c:v>1422</c:v>
                </c:pt>
                <c:pt idx="41">
                  <c:v>114</c:v>
                </c:pt>
                <c:pt idx="42">
                  <c:v>1442</c:v>
                </c:pt>
                <c:pt idx="43">
                  <c:v>500</c:v>
                </c:pt>
                <c:pt idx="44">
                  <c:v>1000</c:v>
                </c:pt>
                <c:pt idx="45">
                  <c:v>1702</c:v>
                </c:pt>
                <c:pt idx="46">
                  <c:v>215</c:v>
                </c:pt>
                <c:pt idx="47">
                  <c:v>1517</c:v>
                </c:pt>
                <c:pt idx="48">
                  <c:v>0</c:v>
                </c:pt>
                <c:pt idx="49">
                  <c:v>166</c:v>
                </c:pt>
                <c:pt idx="50">
                  <c:v>0</c:v>
                </c:pt>
                <c:pt idx="51">
                  <c:v>512</c:v>
                </c:pt>
                <c:pt idx="52">
                  <c:v>328</c:v>
                </c:pt>
                <c:pt idx="53">
                  <c:v>45</c:v>
                </c:pt>
                <c:pt idx="54">
                  <c:v>0</c:v>
                </c:pt>
                <c:pt idx="55">
                  <c:v>0</c:v>
                </c:pt>
                <c:pt idx="56">
                  <c:v>0</c:v>
                </c:pt>
                <c:pt idx="57">
                  <c:v>0</c:v>
                </c:pt>
                <c:pt idx="58">
                  <c:v>570</c:v>
                </c:pt>
                <c:pt idx="59">
                  <c:v>82</c:v>
                </c:pt>
                <c:pt idx="60">
                  <c:v>78</c:v>
                </c:pt>
                <c:pt idx="61">
                  <c:v>0</c:v>
                </c:pt>
                <c:pt idx="62">
                  <c:v>424</c:v>
                </c:pt>
                <c:pt idx="63">
                  <c:v>176</c:v>
                </c:pt>
                <c:pt idx="64">
                  <c:v>0</c:v>
                </c:pt>
                <c:pt idx="65">
                  <c:v>396</c:v>
                </c:pt>
                <c:pt idx="66">
                  <c:v>0</c:v>
                </c:pt>
                <c:pt idx="67">
                  <c:v>213</c:v>
                </c:pt>
                <c:pt idx="68">
                  <c:v>250</c:v>
                </c:pt>
                <c:pt idx="69">
                  <c:v>24</c:v>
                </c:pt>
                <c:pt idx="70">
                  <c:v>206</c:v>
                </c:pt>
                <c:pt idx="71">
                  <c:v>274</c:v>
                </c:pt>
                <c:pt idx="72">
                  <c:v>227</c:v>
                </c:pt>
                <c:pt idx="73">
                  <c:v>49</c:v>
                </c:pt>
                <c:pt idx="74">
                  <c:v>58</c:v>
                </c:pt>
                <c:pt idx="75">
                  <c:v>584</c:v>
                </c:pt>
                <c:pt idx="76">
                  <c:v>500</c:v>
                </c:pt>
                <c:pt idx="77">
                  <c:v>1570</c:v>
                </c:pt>
                <c:pt idx="78">
                  <c:v>320</c:v>
                </c:pt>
                <c:pt idx="79">
                  <c:v>297</c:v>
                </c:pt>
                <c:pt idx="80">
                  <c:v>959</c:v>
                </c:pt>
                <c:pt idx="81">
                  <c:v>3000</c:v>
                </c:pt>
                <c:pt idx="82">
                  <c:v>973</c:v>
                </c:pt>
                <c:pt idx="83">
                  <c:v>221</c:v>
                </c:pt>
                <c:pt idx="84">
                  <c:v>290</c:v>
                </c:pt>
                <c:pt idx="85">
                  <c:v>298</c:v>
                </c:pt>
                <c:pt idx="86">
                  <c:v>279</c:v>
                </c:pt>
                <c:pt idx="87">
                  <c:v>72</c:v>
                </c:pt>
                <c:pt idx="88">
                  <c:v>3451</c:v>
                </c:pt>
                <c:pt idx="89">
                  <c:v>342</c:v>
                </c:pt>
                <c:pt idx="90">
                  <c:v>141</c:v>
                </c:pt>
                <c:pt idx="91">
                  <c:v>266</c:v>
                </c:pt>
                <c:pt idx="92">
                  <c:v>1463</c:v>
                </c:pt>
                <c:pt idx="93">
                  <c:v>120</c:v>
                </c:pt>
                <c:pt idx="94">
                  <c:v>101</c:v>
                </c:pt>
                <c:pt idx="95">
                  <c:v>984</c:v>
                </c:pt>
                <c:pt idx="96">
                  <c:v>230</c:v>
                </c:pt>
                <c:pt idx="97">
                  <c:v>165</c:v>
                </c:pt>
                <c:pt idx="98">
                  <c:v>432</c:v>
                </c:pt>
                <c:pt idx="99">
                  <c:v>174</c:v>
                </c:pt>
                <c:pt idx="100">
                  <c:v>207</c:v>
                </c:pt>
                <c:pt idx="101">
                  <c:v>268</c:v>
                </c:pt>
                <c:pt idx="102">
                  <c:v>0</c:v>
                </c:pt>
                <c:pt idx="103">
                  <c:v>0</c:v>
                </c:pt>
                <c:pt idx="104">
                  <c:v>186</c:v>
                </c:pt>
                <c:pt idx="105">
                  <c:v>195</c:v>
                </c:pt>
                <c:pt idx="106">
                  <c:v>319</c:v>
                </c:pt>
                <c:pt idx="107">
                  <c:v>7394</c:v>
                </c:pt>
                <c:pt idx="108">
                  <c:v>0</c:v>
                </c:pt>
                <c:pt idx="109">
                  <c:v>0</c:v>
                </c:pt>
                <c:pt idx="110">
                  <c:v>500</c:v>
                </c:pt>
                <c:pt idx="111">
                  <c:v>0</c:v>
                </c:pt>
                <c:pt idx="112">
                  <c:v>64</c:v>
                </c:pt>
                <c:pt idx="113">
                  <c:v>0</c:v>
                </c:pt>
                <c:pt idx="114">
                  <c:v>74</c:v>
                </c:pt>
                <c:pt idx="115">
                  <c:v>275</c:v>
                </c:pt>
                <c:pt idx="116">
                  <c:v>158</c:v>
                </c:pt>
                <c:pt idx="117">
                  <c:v>500</c:v>
                </c:pt>
                <c:pt idx="118">
                  <c:v>251</c:v>
                </c:pt>
                <c:pt idx="119">
                  <c:v>325</c:v>
                </c:pt>
                <c:pt idx="120">
                  <c:v>500</c:v>
                </c:pt>
                <c:pt idx="121">
                  <c:v>686</c:v>
                </c:pt>
                <c:pt idx="122">
                  <c:v>267</c:v>
                </c:pt>
                <c:pt idx="123">
                  <c:v>500</c:v>
                </c:pt>
                <c:pt idx="124">
                  <c:v>500</c:v>
                </c:pt>
                <c:pt idx="125">
                  <c:v>439</c:v>
                </c:pt>
                <c:pt idx="126">
                  <c:v>130</c:v>
                </c:pt>
                <c:pt idx="127">
                  <c:v>32</c:v>
                </c:pt>
                <c:pt idx="128">
                  <c:v>203</c:v>
                </c:pt>
                <c:pt idx="129">
                  <c:v>127</c:v>
                </c:pt>
                <c:pt idx="130">
                  <c:v>0</c:v>
                </c:pt>
                <c:pt idx="131">
                  <c:v>0</c:v>
                </c:pt>
                <c:pt idx="132">
                  <c:v>591</c:v>
                </c:pt>
                <c:pt idx="133">
                  <c:v>0</c:v>
                </c:pt>
                <c:pt idx="134">
                  <c:v>160</c:v>
                </c:pt>
                <c:pt idx="135">
                  <c:v>0</c:v>
                </c:pt>
                <c:pt idx="136">
                  <c:v>0</c:v>
                </c:pt>
                <c:pt idx="137">
                  <c:v>0</c:v>
                </c:pt>
                <c:pt idx="138">
                  <c:v>0</c:v>
                </c:pt>
                <c:pt idx="139">
                  <c:v>0</c:v>
                </c:pt>
                <c:pt idx="140">
                  <c:v>0</c:v>
                </c:pt>
                <c:pt idx="141">
                  <c:v>0</c:v>
                </c:pt>
                <c:pt idx="142">
                  <c:v>0</c:v>
                </c:pt>
                <c:pt idx="143">
                  <c:v>276</c:v>
                </c:pt>
                <c:pt idx="144">
                  <c:v>440</c:v>
                </c:pt>
                <c:pt idx="145">
                  <c:v>0</c:v>
                </c:pt>
                <c:pt idx="146">
                  <c:v>132</c:v>
                </c:pt>
                <c:pt idx="147">
                  <c:v>0</c:v>
                </c:pt>
                <c:pt idx="148">
                  <c:v>324</c:v>
                </c:pt>
                <c:pt idx="149">
                  <c:v>0</c:v>
                </c:pt>
                <c:pt idx="150">
                  <c:v>466</c:v>
                </c:pt>
                <c:pt idx="151">
                  <c:v>0</c:v>
                </c:pt>
                <c:pt idx="152">
                  <c:v>0</c:v>
                </c:pt>
                <c:pt idx="153">
                  <c:v>0</c:v>
                </c:pt>
                <c:pt idx="154">
                  <c:v>0</c:v>
                </c:pt>
                <c:pt idx="155">
                  <c:v>0</c:v>
                </c:pt>
                <c:pt idx="156">
                  <c:v>94</c:v>
                </c:pt>
                <c:pt idx="157">
                  <c:v>0</c:v>
                </c:pt>
                <c:pt idx="158">
                  <c:v>0</c:v>
                </c:pt>
                <c:pt idx="159">
                  <c:v>0</c:v>
                </c:pt>
                <c:pt idx="160">
                  <c:v>0</c:v>
                </c:pt>
                <c:pt idx="161">
                  <c:v>221</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numCache>
            </c:numRef>
          </c:val>
          <c:extLst>
            <c:ext xmlns:c16="http://schemas.microsoft.com/office/drawing/2014/chart" uri="{C3380CC4-5D6E-409C-BE32-E72D297353CC}">
              <c16:uniqueId val="{00000001-AA6C-47F1-9AB0-98C69D3B90AD}"/>
            </c:ext>
          </c:extLst>
        </c:ser>
        <c:ser>
          <c:idx val="2"/>
          <c:order val="2"/>
          <c:tx>
            <c:strRef>
              <c:f>'By Camps'!$B$34</c:f>
              <c:strCache>
                <c:ptCount val="1"/>
                <c:pt idx="0">
                  <c:v># of people access to functioning  sanitation facilities</c:v>
                </c:pt>
              </c:strCache>
            </c:strRef>
          </c:tx>
          <c:spPr>
            <a:solidFill>
              <a:schemeClr val="accent2">
                <a:lumMod val="75000"/>
              </a:schemeClr>
            </a:solidFill>
            <a:ln>
              <a:noFill/>
            </a:ln>
            <a:effectLst/>
          </c:spPr>
          <c:invertIfNegative val="0"/>
          <c:cat>
            <c:strRef>
              <c:f>'By Camps'!$B$34</c:f>
              <c:strCache>
                <c:ptCount val="188"/>
                <c:pt idx="0">
                  <c:v>AD-2000 Tharthana Compound</c:v>
                </c:pt>
                <c:pt idx="1">
                  <c:v>AG Church, Hmaw Si Sa</c:v>
                </c:pt>
                <c:pt idx="2">
                  <c:v>AG Church, Maw Wan</c:v>
                </c:pt>
                <c:pt idx="3">
                  <c:v>Agritural Compound (KBC)</c:v>
                </c:pt>
                <c:pt idx="4">
                  <c:v>Aung Thar Church</c:v>
                </c:pt>
                <c:pt idx="5">
                  <c:v>Baptist Church, Hmaw Si Sar(Lon Khin)</c:v>
                </c:pt>
                <c:pt idx="6">
                  <c:v>Border Post 8</c:v>
                </c:pt>
                <c:pt idx="7">
                  <c:v>Bum Tsit Pa</c:v>
                </c:pt>
                <c:pt idx="8">
                  <c:v>Chipwi KBC camp</c:v>
                </c:pt>
                <c:pt idx="9">
                  <c:v>Dhama Rakhita, Nyein Chan Tar Yar Ward(Lon Khin)</c:v>
                </c:pt>
                <c:pt idx="10">
                  <c:v>Dum Bung </c:v>
                </c:pt>
                <c:pt idx="11">
                  <c:v>Hka Shi</c:v>
                </c:pt>
                <c:pt idx="12">
                  <c:v>Hkat Cho </c:v>
                </c:pt>
                <c:pt idx="13">
                  <c:v>Hkau Shau (BP 12)</c:v>
                </c:pt>
                <c:pt idx="14">
                  <c:v>Hlaing Naung Baptist</c:v>
                </c:pt>
                <c:pt idx="15">
                  <c:v>Hpai Kawng</c:v>
                </c:pt>
                <c:pt idx="16">
                  <c:v>Hpakant Baptist Church, Nam Ma Hpit</c:v>
                </c:pt>
                <c:pt idx="17">
                  <c:v>Hpare Hkyer - BP6</c:v>
                </c:pt>
                <c:pt idx="18">
                  <c:v>Hpun Lum Yang </c:v>
                </c:pt>
                <c:pt idx="19">
                  <c:v>Htoi San Church</c:v>
                </c:pt>
                <c:pt idx="20">
                  <c:v>IDP Boarding School, A Len Bum</c:v>
                </c:pt>
                <c:pt idx="21">
                  <c:v>Jan Mai Kawng Baptist Church</c:v>
                </c:pt>
                <c:pt idx="22">
                  <c:v>Jan Mai Kawng Catholic Church</c:v>
                </c:pt>
                <c:pt idx="23">
                  <c:v>Je Yang Hka </c:v>
                </c:pt>
                <c:pt idx="24">
                  <c:v>Kachin Su Baptist Church (ECCD)</c:v>
                </c:pt>
                <c:pt idx="25">
                  <c:v>Khar Nan (1) Baptist Church</c:v>
                </c:pt>
                <c:pt idx="26">
                  <c:v>Kutkai downtown (KBC Church)</c:v>
                </c:pt>
                <c:pt idx="27">
                  <c:v>Kutkai downtown (KBC Church-2)</c:v>
                </c:pt>
                <c:pt idx="28">
                  <c:v>Kyun Taw Baptist Church </c:v>
                </c:pt>
                <c:pt idx="29">
                  <c:v>Laiza Je Yang School</c:v>
                </c:pt>
                <c:pt idx="30">
                  <c:v>Lana Zup Ja</c:v>
                </c:pt>
                <c:pt idx="31">
                  <c:v>Lawng Hkang Shait Yang Camp​ ( Lel Pyin)​ </c:v>
                </c:pt>
                <c:pt idx="32">
                  <c:v>Le Kone Bethlehem Church</c:v>
                </c:pt>
                <c:pt idx="33">
                  <c:v>Le Kone Ziun Baptist Church </c:v>
                </c:pt>
                <c:pt idx="34">
                  <c:v>Lhaovao Baptist Church (LBC)</c:v>
                </c:pt>
                <c:pt idx="35">
                  <c:v>Lisu Baptist Church, Maw Shan Vil,. Seik Mu</c:v>
                </c:pt>
                <c:pt idx="36">
                  <c:v>Lisu Baptist Church, Maw Wan Ward</c:v>
                </c:pt>
                <c:pt idx="37">
                  <c:v>Lisu Boarding-House</c:v>
                </c:pt>
                <c:pt idx="38">
                  <c:v>Loi Je Baptist Church</c:v>
                </c:pt>
                <c:pt idx="39">
                  <c:v>Loi Je Catholic Church</c:v>
                </c:pt>
                <c:pt idx="40">
                  <c:v>Loi Je Lisu Camp</c:v>
                </c:pt>
                <c:pt idx="41">
                  <c:v>Mading Baptist Church</c:v>
                </c:pt>
                <c:pt idx="42">
                  <c:v>Maga Yang </c:v>
                </c:pt>
                <c:pt idx="43">
                  <c:v>Maina AG Church</c:v>
                </c:pt>
                <c:pt idx="44">
                  <c:v>Maina Catholic Church (St. Joseph)</c:v>
                </c:pt>
                <c:pt idx="45">
                  <c:v>Maina KBC (Bawng Ring)</c:v>
                </c:pt>
                <c:pt idx="46">
                  <c:v>Maina Lawang Baptist Church</c:v>
                </c:pt>
                <c:pt idx="47">
                  <c:v>Maing Khaung</c:v>
                </c:pt>
                <c:pt idx="48">
                  <c:v>Maing Khaung Catholic Church</c:v>
                </c:pt>
                <c:pt idx="49">
                  <c:v>Maliyang Baptist Church</c:v>
                </c:pt>
                <c:pt idx="50">
                  <c:v>Man Bung Catholic compound</c:v>
                </c:pt>
                <c:pt idx="51">
                  <c:v>Man Bung Edin Baptist Church</c:v>
                </c:pt>
                <c:pt idx="52">
                  <c:v>Man Hkring Baptist Church</c:v>
                </c:pt>
                <c:pt idx="53">
                  <c:v>Man Kaung/Naung Ti Kyar Village</c:v>
                </c:pt>
                <c:pt idx="54">
                  <c:v>Man Wing Baptist Church</c:v>
                </c:pt>
                <c:pt idx="55">
                  <c:v>Man Wing Baptist Church Cultural Compound</c:v>
                </c:pt>
                <c:pt idx="56">
                  <c:v>Man Wing Catholic Church</c:v>
                </c:pt>
                <c:pt idx="57">
                  <c:v>Man Wing Catholic Church II</c:v>
                </c:pt>
                <c:pt idx="58">
                  <c:v>Mansi Baptist Church</c:v>
                </c:pt>
                <c:pt idx="59">
                  <c:v>Maw Hpawng Hka Nan Baptist Church</c:v>
                </c:pt>
                <c:pt idx="60">
                  <c:v>Maw Hpawng Lhaovo Baptist Church</c:v>
                </c:pt>
                <c:pt idx="61">
                  <c:v>Maw Wan, Mu-yin Baptist Church</c:v>
                </c:pt>
                <c:pt idx="62">
                  <c:v>Momauk Baptist Church</c:v>
                </c:pt>
                <c:pt idx="63">
                  <c:v>Mung Hawm </c:v>
                </c:pt>
                <c:pt idx="64">
                  <c:v>Muyin church (Aung Yar pre-school compound)</c:v>
                </c:pt>
                <c:pt idx="65">
                  <c:v>Nam Hkam - Nay Win Ni (Palawng)</c:v>
                </c:pt>
                <c:pt idx="66">
                  <c:v>Nam Hkam (KBC Jaw Wang)</c:v>
                </c:pt>
                <c:pt idx="67">
                  <c:v>Nam Hkam Catholic Church ( St. Thomas I)</c:v>
                </c:pt>
                <c:pt idx="68">
                  <c:v>Nam Hpak Ka Mare </c:v>
                </c:pt>
                <c:pt idx="69">
                  <c:v>Nam Ma Phyit, COC</c:v>
                </c:pt>
                <c:pt idx="70">
                  <c:v>Nam Sa Larp</c:v>
                </c:pt>
                <c:pt idx="71">
                  <c:v>Nan Kway St. John Catholic Church</c:v>
                </c:pt>
                <c:pt idx="72">
                  <c:v>Nant Ma Hpit Catholic Church</c:v>
                </c:pt>
                <c:pt idx="73">
                  <c:v>Nat Gyi Kone Baptist Church </c:v>
                </c:pt>
                <c:pt idx="74">
                  <c:v>Nawng Ing (Indawgyi) Baptist Church </c:v>
                </c:pt>
                <c:pt idx="75">
                  <c:v>Ndup Yang</c:v>
                </c:pt>
                <c:pt idx="76">
                  <c:v>New Pang Ku </c:v>
                </c:pt>
                <c:pt idx="77">
                  <c:v>Nhkawng Pa </c:v>
                </c:pt>
                <c:pt idx="78">
                  <c:v>Njang Dung Baptist Church </c:v>
                </c:pt>
                <c:pt idx="79">
                  <c:v>Nyaung Na Pin </c:v>
                </c:pt>
                <c:pt idx="80">
                  <c:v>Pa Dauk Myaing(Pa La Na)</c:v>
                </c:pt>
                <c:pt idx="81">
                  <c:v>Pa Kahtawng </c:v>
                </c:pt>
                <c:pt idx="82">
                  <c:v>Pajau - Jan Mai</c:v>
                </c:pt>
                <c:pt idx="83">
                  <c:v>Pan Law</c:v>
                </c:pt>
                <c:pt idx="84">
                  <c:v>Phan Khar Kone</c:v>
                </c:pt>
                <c:pt idx="85">
                  <c:v>Qtr. 2 Lhaovo Baptist Church</c:v>
                </c:pt>
                <c:pt idx="86">
                  <c:v>Qtr. 2 Myoma Baptist Church</c:v>
                </c:pt>
                <c:pt idx="87">
                  <c:v>Rawan Baptist Church, Maw Shan Vil., Seik Mu</c:v>
                </c:pt>
                <c:pt idx="88">
                  <c:v>Robert Church</c:v>
                </c:pt>
                <c:pt idx="89">
                  <c:v>Salang Yang</c:v>
                </c:pt>
                <c:pt idx="90">
                  <c:v>Sar Hmaw - KBC</c:v>
                </c:pt>
                <c:pt idx="91">
                  <c:v>Seng Ja </c:v>
                </c:pt>
                <c:pt idx="92">
                  <c:v>Sha-It Yang</c:v>
                </c:pt>
                <c:pt idx="93">
                  <c:v>Shatapru Sut Ngai Tawng</c:v>
                </c:pt>
                <c:pt idx="94">
                  <c:v>Shatapru Thida Aye Baptist Church</c:v>
                </c:pt>
                <c:pt idx="95">
                  <c:v>Shing Jai</c:v>
                </c:pt>
                <c:pt idx="96">
                  <c:v>Shwe Gu Baptist Church</c:v>
                </c:pt>
                <c:pt idx="97">
                  <c:v>Shwe Gu Catholic Church</c:v>
                </c:pt>
                <c:pt idx="98">
                  <c:v>Shwe Zet Baptist Church</c:v>
                </c:pt>
                <c:pt idx="99">
                  <c:v>Tanai CoC</c:v>
                </c:pt>
                <c:pt idx="100">
                  <c:v>Tat Kone Baptist Church</c:v>
                </c:pt>
                <c:pt idx="101">
                  <c:v>Tat Kone COC Baptist - Tat Kone Htoi San</c:v>
                </c:pt>
                <c:pt idx="102">
                  <c:v>Tat Kone Galile Baptist Church</c:v>
                </c:pt>
                <c:pt idx="103">
                  <c:v>Tat Kone San Pya Baptist Church</c:v>
                </c:pt>
                <c:pt idx="104">
                  <c:v>Thargaya Lisu Baptist Church</c:v>
                </c:pt>
                <c:pt idx="105">
                  <c:v>Tsan Lun - Namjarap</c:v>
                </c:pt>
                <c:pt idx="106">
                  <c:v>Waingmaw AG Church</c:v>
                </c:pt>
                <c:pt idx="107">
                  <c:v>Woi Chyai </c:v>
                </c:pt>
                <c:pt idx="108">
                  <c:v>Woi Chyai (Mong Lai)</c:v>
                </c:pt>
                <c:pt idx="109">
                  <c:v>Woi Chyai host families</c:v>
                </c:pt>
                <c:pt idx="110">
                  <c:v>Zup Aung Camp</c:v>
                </c:pt>
                <c:pt idx="111">
                  <c:v>Sadung</c:v>
                </c:pt>
                <c:pt idx="112">
                  <c:v>Ka Bu Dam CoC</c:v>
                </c:pt>
                <c:pt idx="113">
                  <c:v>Pang Hkawn Yang</c:v>
                </c:pt>
                <c:pt idx="114">
                  <c:v>Ma Hawng Baptist Church</c:v>
                </c:pt>
                <c:pt idx="115">
                  <c:v>Tanai KBC Camp</c:v>
                </c:pt>
                <c:pt idx="116">
                  <c:v>Nam Hpak Ka Ta'ang ( Aung Tha Pyay)</c:v>
                </c:pt>
                <c:pt idx="117">
                  <c:v>Mai Yu Lay New (Ta'ang)</c:v>
                </c:pt>
                <c:pt idx="118">
                  <c:v>Mine Yu Lay village ( Old)</c:v>
                </c:pt>
                <c:pt idx="119">
                  <c:v>Namti Labraw Yang KBC Camp</c:v>
                </c:pt>
                <c:pt idx="120">
                  <c:v>Trinity Camp</c:v>
                </c:pt>
                <c:pt idx="121">
                  <c:v>Jaw Masat Camp</c:v>
                </c:pt>
                <c:pt idx="122">
                  <c:v>Waimaw Baptist Zonal Office 2</c:v>
                </c:pt>
                <c:pt idx="123">
                  <c:v>Pa Dauk Myaing(Pa La Na)-II</c:v>
                </c:pt>
                <c:pt idx="124">
                  <c:v>St. Joseph Tanai RC camp </c:v>
                </c:pt>
                <c:pt idx="125">
                  <c:v>Galeng (Palaung) &amp; Kone Khem</c:v>
                </c:pt>
                <c:pt idx="126">
                  <c:v>Hu Hku &amp; Ho Hko</c:v>
                </c:pt>
                <c:pt idx="127">
                  <c:v>Htang Nya </c:v>
                </c:pt>
                <c:pt idx="128">
                  <c:v>Momauk IDP new extension camp (Kye Nan)</c:v>
                </c:pt>
                <c:pt idx="129">
                  <c:v>Sector 5 Pammati Quarter</c:v>
                </c:pt>
                <c:pt idx="130">
                  <c:v>His Aw (Chyu Fan) </c:v>
                </c:pt>
                <c:pt idx="131">
                  <c:v>Shwe Sin (Ward 3) </c:v>
                </c:pt>
                <c:pt idx="132">
                  <c:v>Bum Ra Yang Camp </c:v>
                </c:pt>
                <c:pt idx="133">
                  <c:v>Kyaukme Town (host)</c:v>
                </c:pt>
                <c:pt idx="134">
                  <c:v>Nam Hlaing Extension Ward camp</c:v>
                </c:pt>
                <c:pt idx="135">
                  <c:v>Naung Tar Law (Kyet Chan) </c:v>
                </c:pt>
                <c:pt idx="136">
                  <c:v>Waingmaw St.Joseph RC Church</c:v>
                </c:pt>
                <c:pt idx="137">
                  <c:v>Phaug Nhae Camp</c:v>
                </c:pt>
                <c:pt idx="138">
                  <c:v>Ding Jang Yang (1)</c:v>
                </c:pt>
                <c:pt idx="139">
                  <c:v>Ding Jang Yang (2)</c:v>
                </c:pt>
                <c:pt idx="140">
                  <c:v>Yi Hku Man Hkan </c:v>
                </c:pt>
                <c:pt idx="141">
                  <c:v>Lin Hao chun </c:v>
                </c:pt>
                <c:pt idx="142">
                  <c:v>Pyi Htaung Su</c:v>
                </c:pt>
                <c:pt idx="143">
                  <c:v>St.Francis RCC 1</c:v>
                </c:pt>
                <c:pt idx="144">
                  <c:v>St.Francis RCC 2</c:v>
                </c:pt>
                <c:pt idx="145">
                  <c:v>Bang Yang Hka (Mung Ji Pa)-relocated</c:v>
                </c:pt>
                <c:pt idx="146">
                  <c:v>Galeng Zup Awng ward 5 RC</c:v>
                </c:pt>
                <c:pt idx="147">
                  <c:v>Man Wing- IDPs in Host</c:v>
                </c:pt>
                <c:pt idx="148">
                  <c:v>(3 mile) Shwe Pyi Tar (SLCA)</c:v>
                </c:pt>
                <c:pt idx="149">
                  <c:v>Bhamo- IDPs in Host </c:v>
                </c:pt>
                <c:pt idx="150">
                  <c:v>St.Columban lone Khin camp</c:v>
                </c:pt>
                <c:pt idx="151">
                  <c:v>Mansi- IDPs in Host</c:v>
                </c:pt>
                <c:pt idx="152">
                  <c:v>Hopin -IDPs in Host</c:v>
                </c:pt>
                <c:pt idx="153">
                  <c:v>Moenyin- IDPs in Host</c:v>
                </c:pt>
                <c:pt idx="154">
                  <c:v>Momauk-IDPs in Host</c:v>
                </c:pt>
                <c:pt idx="155">
                  <c:v>Myo Thit -IDP in Host</c:v>
                </c:pt>
                <c:pt idx="156">
                  <c:v>Saint Matthew (Shin ma ti-sitapru) camp</c:v>
                </c:pt>
                <c:pt idx="157">
                  <c:v>Man Pint community Hall </c:v>
                </c:pt>
                <c:pt idx="158">
                  <c:v>Mong Tin High School</c:v>
                </c:pt>
                <c:pt idx="159">
                  <c:v>Nar Mun Primary School</c:v>
                </c:pt>
                <c:pt idx="160">
                  <c:v>SLCA Building Compound (Moungnawt town)</c:v>
                </c:pt>
                <c:pt idx="161">
                  <c:v>Maina Mu-yin  Baptist Church</c:v>
                </c:pt>
                <c:pt idx="162">
                  <c:v>LCC UM Camp Hka Shi</c:v>
                </c:pt>
                <c:pt idx="163">
                  <c:v>Lisu Ethnic Youth Development Center </c:v>
                </c:pt>
                <c:pt idx="164">
                  <c:v>Nbang Yang camp </c:v>
                </c:pt>
                <c:pt idx="165">
                  <c:v>Rawang Baptist Church</c:v>
                </c:pt>
                <c:pt idx="166">
                  <c:v>Sut Ngai yang camp </c:v>
                </c:pt>
                <c:pt idx="167">
                  <c:v>Sadung KBC</c:v>
                </c:pt>
                <c:pt idx="168">
                  <c:v>Sana Lisu Baptist Church (DTC)</c:v>
                </c:pt>
                <c:pt idx="169">
                  <c:v>Sutaung Taung Chae</c:v>
                </c:pt>
                <c:pt idx="170">
                  <c:v>Mohnyin IDP in host (2)</c:v>
                </c:pt>
                <c:pt idx="171">
                  <c:v>Chinese Baptist Church Compound(Oak Hpo)</c:v>
                </c:pt>
                <c:pt idx="172">
                  <c:v>Farmland(Kyay Zu Taw)</c:v>
                </c:pt>
                <c:pt idx="173">
                  <c:v>Pong Mun School</c:v>
                </c:pt>
                <c:pt idx="174">
                  <c:v>Hka San Baptist church </c:v>
                </c:pt>
                <c:pt idx="175">
                  <c:v>Sun Lon monastery </c:v>
                </c:pt>
                <c:pt idx="176">
                  <c:v>Farmland(Kaung Kye Peik)</c:v>
                </c:pt>
                <c:pt idx="177">
                  <c:v>Kaung Nyaung Ywar Thit (Ho Piek gyi)</c:v>
                </c:pt>
                <c:pt idx="178">
                  <c:v>Ward 5 &amp; 9</c:v>
                </c:pt>
                <c:pt idx="179">
                  <c:v>Kan Long </c:v>
                </c:pt>
                <c:pt idx="180">
                  <c:v>Chicken Farm </c:v>
                </c:pt>
                <c:pt idx="181">
                  <c:v>Dagaw Border</c:v>
                </c:pt>
                <c:pt idx="182">
                  <c:v>Lashio ward 7 – IDPs in host</c:v>
                </c:pt>
                <c:pt idx="183">
                  <c:v>Lashio ward 9 – IDPs in host</c:v>
                </c:pt>
                <c:pt idx="184">
                  <c:v>Ward 3</c:v>
                </c:pt>
                <c:pt idx="185">
                  <c:v>Mong Paw Building</c:v>
                </c:pt>
                <c:pt idx="186">
                  <c:v>IDP in host community(Mongkoe town)</c:v>
                </c:pt>
                <c:pt idx="187">
                  <c:v>Sein Lone Shann Border</c:v>
                </c:pt>
              </c:strCache>
            </c:strRef>
          </c:cat>
          <c:val>
            <c:numRef>
              <c:f>'By Camps'!$B$34</c:f>
              <c:numCache>
                <c:formatCode>General</c:formatCode>
                <c:ptCount val="188"/>
                <c:pt idx="0">
                  <c:v>715</c:v>
                </c:pt>
                <c:pt idx="1">
                  <c:v>368</c:v>
                </c:pt>
                <c:pt idx="2">
                  <c:v>60</c:v>
                </c:pt>
                <c:pt idx="3">
                  <c:v>502</c:v>
                </c:pt>
                <c:pt idx="4">
                  <c:v>40</c:v>
                </c:pt>
                <c:pt idx="5">
                  <c:v>200</c:v>
                </c:pt>
                <c:pt idx="6">
                  <c:v>258</c:v>
                </c:pt>
                <c:pt idx="7">
                  <c:v>1900</c:v>
                </c:pt>
                <c:pt idx="8">
                  <c:v>280</c:v>
                </c:pt>
                <c:pt idx="9">
                  <c:v>443</c:v>
                </c:pt>
                <c:pt idx="10">
                  <c:v>400</c:v>
                </c:pt>
                <c:pt idx="11">
                  <c:v>164</c:v>
                </c:pt>
                <c:pt idx="12">
                  <c:v>40</c:v>
                </c:pt>
                <c:pt idx="13">
                  <c:v>896</c:v>
                </c:pt>
                <c:pt idx="14">
                  <c:v>80</c:v>
                </c:pt>
                <c:pt idx="15">
                  <c:v>0</c:v>
                </c:pt>
                <c:pt idx="16">
                  <c:v>280</c:v>
                </c:pt>
                <c:pt idx="17">
                  <c:v>1089</c:v>
                </c:pt>
                <c:pt idx="18">
                  <c:v>3545</c:v>
                </c:pt>
                <c:pt idx="19">
                  <c:v>220</c:v>
                </c:pt>
                <c:pt idx="20">
                  <c:v>2200</c:v>
                </c:pt>
                <c:pt idx="21">
                  <c:v>742</c:v>
                </c:pt>
                <c:pt idx="22">
                  <c:v>278</c:v>
                </c:pt>
                <c:pt idx="23">
                  <c:v>8225</c:v>
                </c:pt>
                <c:pt idx="24">
                  <c:v>57</c:v>
                </c:pt>
                <c:pt idx="25">
                  <c:v>100</c:v>
                </c:pt>
                <c:pt idx="26">
                  <c:v>240</c:v>
                </c:pt>
                <c:pt idx="27">
                  <c:v>180</c:v>
                </c:pt>
                <c:pt idx="28">
                  <c:v>77</c:v>
                </c:pt>
                <c:pt idx="29">
                  <c:v>0</c:v>
                </c:pt>
                <c:pt idx="30">
                  <c:v>2503</c:v>
                </c:pt>
                <c:pt idx="31">
                  <c:v>586</c:v>
                </c:pt>
                <c:pt idx="32">
                  <c:v>280</c:v>
                </c:pt>
                <c:pt idx="33">
                  <c:v>560</c:v>
                </c:pt>
                <c:pt idx="34">
                  <c:v>600</c:v>
                </c:pt>
                <c:pt idx="35">
                  <c:v>107</c:v>
                </c:pt>
                <c:pt idx="36">
                  <c:v>40</c:v>
                </c:pt>
                <c:pt idx="37">
                  <c:v>460</c:v>
                </c:pt>
                <c:pt idx="38">
                  <c:v>182</c:v>
                </c:pt>
                <c:pt idx="39">
                  <c:v>126</c:v>
                </c:pt>
                <c:pt idx="40">
                  <c:v>803</c:v>
                </c:pt>
                <c:pt idx="41">
                  <c:v>60</c:v>
                </c:pt>
                <c:pt idx="42">
                  <c:v>1442</c:v>
                </c:pt>
                <c:pt idx="43">
                  <c:v>560</c:v>
                </c:pt>
                <c:pt idx="44">
                  <c:v>1235</c:v>
                </c:pt>
                <c:pt idx="45">
                  <c:v>1702</c:v>
                </c:pt>
                <c:pt idx="46">
                  <c:v>100</c:v>
                </c:pt>
                <c:pt idx="47">
                  <c:v>1517</c:v>
                </c:pt>
                <c:pt idx="48">
                  <c:v>791</c:v>
                </c:pt>
                <c:pt idx="49">
                  <c:v>80</c:v>
                </c:pt>
                <c:pt idx="50">
                  <c:v>741</c:v>
                </c:pt>
                <c:pt idx="51">
                  <c:v>512</c:v>
                </c:pt>
                <c:pt idx="52">
                  <c:v>328</c:v>
                </c:pt>
                <c:pt idx="53">
                  <c:v>0</c:v>
                </c:pt>
                <c:pt idx="54">
                  <c:v>366</c:v>
                </c:pt>
                <c:pt idx="55">
                  <c:v>586</c:v>
                </c:pt>
                <c:pt idx="56">
                  <c:v>2725</c:v>
                </c:pt>
                <c:pt idx="57">
                  <c:v>857</c:v>
                </c:pt>
                <c:pt idx="58">
                  <c:v>789</c:v>
                </c:pt>
                <c:pt idx="59">
                  <c:v>82</c:v>
                </c:pt>
                <c:pt idx="60">
                  <c:v>78</c:v>
                </c:pt>
                <c:pt idx="61">
                  <c:v>0</c:v>
                </c:pt>
                <c:pt idx="62">
                  <c:v>80</c:v>
                </c:pt>
                <c:pt idx="63">
                  <c:v>176</c:v>
                </c:pt>
                <c:pt idx="64">
                  <c:v>0</c:v>
                </c:pt>
                <c:pt idx="65">
                  <c:v>396</c:v>
                </c:pt>
                <c:pt idx="66">
                  <c:v>200</c:v>
                </c:pt>
                <c:pt idx="67">
                  <c:v>213</c:v>
                </c:pt>
                <c:pt idx="68">
                  <c:v>250</c:v>
                </c:pt>
                <c:pt idx="69">
                  <c:v>24</c:v>
                </c:pt>
                <c:pt idx="70">
                  <c:v>206</c:v>
                </c:pt>
                <c:pt idx="71">
                  <c:v>274</c:v>
                </c:pt>
                <c:pt idx="72">
                  <c:v>227</c:v>
                </c:pt>
                <c:pt idx="73">
                  <c:v>40</c:v>
                </c:pt>
                <c:pt idx="74">
                  <c:v>58</c:v>
                </c:pt>
                <c:pt idx="75">
                  <c:v>584</c:v>
                </c:pt>
                <c:pt idx="76">
                  <c:v>525</c:v>
                </c:pt>
                <c:pt idx="77">
                  <c:v>1570</c:v>
                </c:pt>
                <c:pt idx="78">
                  <c:v>300</c:v>
                </c:pt>
                <c:pt idx="79">
                  <c:v>263</c:v>
                </c:pt>
                <c:pt idx="80">
                  <c:v>660</c:v>
                </c:pt>
                <c:pt idx="81">
                  <c:v>3040</c:v>
                </c:pt>
                <c:pt idx="82">
                  <c:v>750</c:v>
                </c:pt>
                <c:pt idx="83">
                  <c:v>221</c:v>
                </c:pt>
                <c:pt idx="84">
                  <c:v>334</c:v>
                </c:pt>
                <c:pt idx="85">
                  <c:v>298</c:v>
                </c:pt>
                <c:pt idx="86">
                  <c:v>279</c:v>
                </c:pt>
                <c:pt idx="87">
                  <c:v>40</c:v>
                </c:pt>
                <c:pt idx="88">
                  <c:v>2983</c:v>
                </c:pt>
                <c:pt idx="89">
                  <c:v>342</c:v>
                </c:pt>
                <c:pt idx="90">
                  <c:v>141</c:v>
                </c:pt>
                <c:pt idx="91">
                  <c:v>266</c:v>
                </c:pt>
                <c:pt idx="92">
                  <c:v>1463</c:v>
                </c:pt>
                <c:pt idx="93">
                  <c:v>120</c:v>
                </c:pt>
                <c:pt idx="94">
                  <c:v>100</c:v>
                </c:pt>
                <c:pt idx="95">
                  <c:v>984</c:v>
                </c:pt>
                <c:pt idx="96">
                  <c:v>264</c:v>
                </c:pt>
                <c:pt idx="97">
                  <c:v>182</c:v>
                </c:pt>
                <c:pt idx="98">
                  <c:v>200</c:v>
                </c:pt>
                <c:pt idx="99">
                  <c:v>40</c:v>
                </c:pt>
                <c:pt idx="100">
                  <c:v>207</c:v>
                </c:pt>
                <c:pt idx="101">
                  <c:v>268</c:v>
                </c:pt>
                <c:pt idx="102">
                  <c:v>100</c:v>
                </c:pt>
                <c:pt idx="103">
                  <c:v>62</c:v>
                </c:pt>
                <c:pt idx="104">
                  <c:v>120</c:v>
                </c:pt>
                <c:pt idx="105">
                  <c:v>195</c:v>
                </c:pt>
                <c:pt idx="106">
                  <c:v>180</c:v>
                </c:pt>
                <c:pt idx="107">
                  <c:v>5340</c:v>
                </c:pt>
                <c:pt idx="108">
                  <c:v>0</c:v>
                </c:pt>
                <c:pt idx="109">
                  <c:v>0</c:v>
                </c:pt>
                <c:pt idx="110">
                  <c:v>1101</c:v>
                </c:pt>
                <c:pt idx="111">
                  <c:v>0</c:v>
                </c:pt>
                <c:pt idx="112">
                  <c:v>64</c:v>
                </c:pt>
                <c:pt idx="113">
                  <c:v>100</c:v>
                </c:pt>
                <c:pt idx="114">
                  <c:v>60</c:v>
                </c:pt>
                <c:pt idx="115">
                  <c:v>220</c:v>
                </c:pt>
                <c:pt idx="116">
                  <c:v>158</c:v>
                </c:pt>
                <c:pt idx="117">
                  <c:v>502</c:v>
                </c:pt>
                <c:pt idx="118">
                  <c:v>251</c:v>
                </c:pt>
                <c:pt idx="119">
                  <c:v>325</c:v>
                </c:pt>
                <c:pt idx="120">
                  <c:v>560</c:v>
                </c:pt>
                <c:pt idx="121">
                  <c:v>560</c:v>
                </c:pt>
                <c:pt idx="122">
                  <c:v>160</c:v>
                </c:pt>
                <c:pt idx="123">
                  <c:v>1215</c:v>
                </c:pt>
                <c:pt idx="124">
                  <c:v>20</c:v>
                </c:pt>
                <c:pt idx="125">
                  <c:v>439</c:v>
                </c:pt>
                <c:pt idx="126">
                  <c:v>130</c:v>
                </c:pt>
                <c:pt idx="127">
                  <c:v>32</c:v>
                </c:pt>
                <c:pt idx="128">
                  <c:v>144</c:v>
                </c:pt>
                <c:pt idx="129">
                  <c:v>120</c:v>
                </c:pt>
                <c:pt idx="130">
                  <c:v>600</c:v>
                </c:pt>
                <c:pt idx="131">
                  <c:v>0</c:v>
                </c:pt>
                <c:pt idx="132">
                  <c:v>591</c:v>
                </c:pt>
                <c:pt idx="133">
                  <c:v>0</c:v>
                </c:pt>
                <c:pt idx="134">
                  <c:v>160</c:v>
                </c:pt>
                <c:pt idx="135">
                  <c:v>0</c:v>
                </c:pt>
                <c:pt idx="136">
                  <c:v>0</c:v>
                </c:pt>
                <c:pt idx="137">
                  <c:v>0</c:v>
                </c:pt>
                <c:pt idx="138">
                  <c:v>0</c:v>
                </c:pt>
                <c:pt idx="139">
                  <c:v>0</c:v>
                </c:pt>
                <c:pt idx="140">
                  <c:v>0</c:v>
                </c:pt>
                <c:pt idx="141">
                  <c:v>0</c:v>
                </c:pt>
                <c:pt idx="142">
                  <c:v>0</c:v>
                </c:pt>
                <c:pt idx="143">
                  <c:v>276</c:v>
                </c:pt>
                <c:pt idx="144">
                  <c:v>280</c:v>
                </c:pt>
                <c:pt idx="145">
                  <c:v>162</c:v>
                </c:pt>
                <c:pt idx="146">
                  <c:v>132</c:v>
                </c:pt>
                <c:pt idx="147">
                  <c:v>0</c:v>
                </c:pt>
                <c:pt idx="148">
                  <c:v>144</c:v>
                </c:pt>
                <c:pt idx="149">
                  <c:v>0</c:v>
                </c:pt>
                <c:pt idx="150">
                  <c:v>240</c:v>
                </c:pt>
                <c:pt idx="151">
                  <c:v>0</c:v>
                </c:pt>
                <c:pt idx="152">
                  <c:v>0</c:v>
                </c:pt>
                <c:pt idx="153">
                  <c:v>0</c:v>
                </c:pt>
                <c:pt idx="154">
                  <c:v>0</c:v>
                </c:pt>
                <c:pt idx="155">
                  <c:v>0</c:v>
                </c:pt>
                <c:pt idx="156">
                  <c:v>94</c:v>
                </c:pt>
                <c:pt idx="157">
                  <c:v>40</c:v>
                </c:pt>
                <c:pt idx="158">
                  <c:v>28</c:v>
                </c:pt>
                <c:pt idx="159">
                  <c:v>31</c:v>
                </c:pt>
                <c:pt idx="160">
                  <c:v>26</c:v>
                </c:pt>
                <c:pt idx="161">
                  <c:v>160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numCache>
            </c:numRef>
          </c:val>
          <c:extLst>
            <c:ext xmlns:c16="http://schemas.microsoft.com/office/drawing/2014/chart" uri="{C3380CC4-5D6E-409C-BE32-E72D297353CC}">
              <c16:uniqueId val="{00000002-AA6C-47F1-9AB0-98C69D3B90AD}"/>
            </c:ext>
          </c:extLst>
        </c:ser>
        <c:ser>
          <c:idx val="3"/>
          <c:order val="3"/>
          <c:tx>
            <c:strRef>
              <c:f>'By Camps'!$B$34</c:f>
              <c:strCache>
                <c:ptCount val="1"/>
                <c:pt idx="0">
                  <c:v># of people Equitable and continuous access to sufficient quantity of domestic water</c:v>
                </c:pt>
              </c:strCache>
            </c:strRef>
          </c:tx>
          <c:spPr>
            <a:solidFill>
              <a:srgbClr val="0070C0"/>
            </a:solidFill>
            <a:ln>
              <a:noFill/>
            </a:ln>
            <a:effectLst/>
          </c:spPr>
          <c:invertIfNegative val="0"/>
          <c:cat>
            <c:strRef>
              <c:f>'By Camps'!$B$34</c:f>
              <c:strCache>
                <c:ptCount val="188"/>
                <c:pt idx="0">
                  <c:v>AD-2000 Tharthana Compound</c:v>
                </c:pt>
                <c:pt idx="1">
                  <c:v>AG Church, Hmaw Si Sa</c:v>
                </c:pt>
                <c:pt idx="2">
                  <c:v>AG Church, Maw Wan</c:v>
                </c:pt>
                <c:pt idx="3">
                  <c:v>Agritural Compound (KBC)</c:v>
                </c:pt>
                <c:pt idx="4">
                  <c:v>Aung Thar Church</c:v>
                </c:pt>
                <c:pt idx="5">
                  <c:v>Baptist Church, Hmaw Si Sar(Lon Khin)</c:v>
                </c:pt>
                <c:pt idx="6">
                  <c:v>Border Post 8</c:v>
                </c:pt>
                <c:pt idx="7">
                  <c:v>Bum Tsit Pa</c:v>
                </c:pt>
                <c:pt idx="8">
                  <c:v>Chipwi KBC camp</c:v>
                </c:pt>
                <c:pt idx="9">
                  <c:v>Dhama Rakhita, Nyein Chan Tar Yar Ward(Lon Khin)</c:v>
                </c:pt>
                <c:pt idx="10">
                  <c:v>Dum Bung </c:v>
                </c:pt>
                <c:pt idx="11">
                  <c:v>Hka Shi</c:v>
                </c:pt>
                <c:pt idx="12">
                  <c:v>Hkat Cho </c:v>
                </c:pt>
                <c:pt idx="13">
                  <c:v>Hkau Shau (BP 12)</c:v>
                </c:pt>
                <c:pt idx="14">
                  <c:v>Hlaing Naung Baptist</c:v>
                </c:pt>
                <c:pt idx="15">
                  <c:v>Hpai Kawng</c:v>
                </c:pt>
                <c:pt idx="16">
                  <c:v>Hpakant Baptist Church, Nam Ma Hpit</c:v>
                </c:pt>
                <c:pt idx="17">
                  <c:v>Hpare Hkyer - BP6</c:v>
                </c:pt>
                <c:pt idx="18">
                  <c:v>Hpun Lum Yang </c:v>
                </c:pt>
                <c:pt idx="19">
                  <c:v>Htoi San Church</c:v>
                </c:pt>
                <c:pt idx="20">
                  <c:v>IDP Boarding School, A Len Bum</c:v>
                </c:pt>
                <c:pt idx="21">
                  <c:v>Jan Mai Kawng Baptist Church</c:v>
                </c:pt>
                <c:pt idx="22">
                  <c:v>Jan Mai Kawng Catholic Church</c:v>
                </c:pt>
                <c:pt idx="23">
                  <c:v>Je Yang Hka </c:v>
                </c:pt>
                <c:pt idx="24">
                  <c:v>Kachin Su Baptist Church (ECCD)</c:v>
                </c:pt>
                <c:pt idx="25">
                  <c:v>Khar Nan (1) Baptist Church</c:v>
                </c:pt>
                <c:pt idx="26">
                  <c:v>Kutkai downtown (KBC Church)</c:v>
                </c:pt>
                <c:pt idx="27">
                  <c:v>Kutkai downtown (KBC Church-2)</c:v>
                </c:pt>
                <c:pt idx="28">
                  <c:v>Kyun Taw Baptist Church </c:v>
                </c:pt>
                <c:pt idx="29">
                  <c:v>Laiza Je Yang School</c:v>
                </c:pt>
                <c:pt idx="30">
                  <c:v>Lana Zup Ja</c:v>
                </c:pt>
                <c:pt idx="31">
                  <c:v>Lawng Hkang Shait Yang Camp​ ( Lel Pyin)​ </c:v>
                </c:pt>
                <c:pt idx="32">
                  <c:v>Le Kone Bethlehem Church</c:v>
                </c:pt>
                <c:pt idx="33">
                  <c:v>Le Kone Ziun Baptist Church </c:v>
                </c:pt>
                <c:pt idx="34">
                  <c:v>Lhaovao Baptist Church (LBC)</c:v>
                </c:pt>
                <c:pt idx="35">
                  <c:v>Lisu Baptist Church, Maw Shan Vil,. Seik Mu</c:v>
                </c:pt>
                <c:pt idx="36">
                  <c:v>Lisu Baptist Church, Maw Wan Ward</c:v>
                </c:pt>
                <c:pt idx="37">
                  <c:v>Lisu Boarding-House</c:v>
                </c:pt>
                <c:pt idx="38">
                  <c:v>Loi Je Baptist Church</c:v>
                </c:pt>
                <c:pt idx="39">
                  <c:v>Loi Je Catholic Church</c:v>
                </c:pt>
                <c:pt idx="40">
                  <c:v>Loi Je Lisu Camp</c:v>
                </c:pt>
                <c:pt idx="41">
                  <c:v>Mading Baptist Church</c:v>
                </c:pt>
                <c:pt idx="42">
                  <c:v>Maga Yang </c:v>
                </c:pt>
                <c:pt idx="43">
                  <c:v>Maina AG Church</c:v>
                </c:pt>
                <c:pt idx="44">
                  <c:v>Maina Catholic Church (St. Joseph)</c:v>
                </c:pt>
                <c:pt idx="45">
                  <c:v>Maina KBC (Bawng Ring)</c:v>
                </c:pt>
                <c:pt idx="46">
                  <c:v>Maina Lawang Baptist Church</c:v>
                </c:pt>
                <c:pt idx="47">
                  <c:v>Maing Khaung</c:v>
                </c:pt>
                <c:pt idx="48">
                  <c:v>Maing Khaung Catholic Church</c:v>
                </c:pt>
                <c:pt idx="49">
                  <c:v>Maliyang Baptist Church</c:v>
                </c:pt>
                <c:pt idx="50">
                  <c:v>Man Bung Catholic compound</c:v>
                </c:pt>
                <c:pt idx="51">
                  <c:v>Man Bung Edin Baptist Church</c:v>
                </c:pt>
                <c:pt idx="52">
                  <c:v>Man Hkring Baptist Church</c:v>
                </c:pt>
                <c:pt idx="53">
                  <c:v>Man Kaung/Naung Ti Kyar Village</c:v>
                </c:pt>
                <c:pt idx="54">
                  <c:v>Man Wing Baptist Church</c:v>
                </c:pt>
                <c:pt idx="55">
                  <c:v>Man Wing Baptist Church Cultural Compound</c:v>
                </c:pt>
                <c:pt idx="56">
                  <c:v>Man Wing Catholic Church</c:v>
                </c:pt>
                <c:pt idx="57">
                  <c:v>Man Wing Catholic Church II</c:v>
                </c:pt>
                <c:pt idx="58">
                  <c:v>Mansi Baptist Church</c:v>
                </c:pt>
                <c:pt idx="59">
                  <c:v>Maw Hpawng Hka Nan Baptist Church</c:v>
                </c:pt>
                <c:pt idx="60">
                  <c:v>Maw Hpawng Lhaovo Baptist Church</c:v>
                </c:pt>
                <c:pt idx="61">
                  <c:v>Maw Wan, Mu-yin Baptist Church</c:v>
                </c:pt>
                <c:pt idx="62">
                  <c:v>Momauk Baptist Church</c:v>
                </c:pt>
                <c:pt idx="63">
                  <c:v>Mung Hawm </c:v>
                </c:pt>
                <c:pt idx="64">
                  <c:v>Muyin church (Aung Yar pre-school compound)</c:v>
                </c:pt>
                <c:pt idx="65">
                  <c:v>Nam Hkam - Nay Win Ni (Palawng)</c:v>
                </c:pt>
                <c:pt idx="66">
                  <c:v>Nam Hkam (KBC Jaw Wang)</c:v>
                </c:pt>
                <c:pt idx="67">
                  <c:v>Nam Hkam Catholic Church ( St. Thomas I)</c:v>
                </c:pt>
                <c:pt idx="68">
                  <c:v>Nam Hpak Ka Mare </c:v>
                </c:pt>
                <c:pt idx="69">
                  <c:v>Nam Ma Phyit, COC</c:v>
                </c:pt>
                <c:pt idx="70">
                  <c:v>Nam Sa Larp</c:v>
                </c:pt>
                <c:pt idx="71">
                  <c:v>Nan Kway St. John Catholic Church</c:v>
                </c:pt>
                <c:pt idx="72">
                  <c:v>Nant Ma Hpit Catholic Church</c:v>
                </c:pt>
                <c:pt idx="73">
                  <c:v>Nat Gyi Kone Baptist Church </c:v>
                </c:pt>
                <c:pt idx="74">
                  <c:v>Nawng Ing (Indawgyi) Baptist Church </c:v>
                </c:pt>
                <c:pt idx="75">
                  <c:v>Ndup Yang</c:v>
                </c:pt>
                <c:pt idx="76">
                  <c:v>New Pang Ku </c:v>
                </c:pt>
                <c:pt idx="77">
                  <c:v>Nhkawng Pa </c:v>
                </c:pt>
                <c:pt idx="78">
                  <c:v>Njang Dung Baptist Church </c:v>
                </c:pt>
                <c:pt idx="79">
                  <c:v>Nyaung Na Pin </c:v>
                </c:pt>
                <c:pt idx="80">
                  <c:v>Pa Dauk Myaing(Pa La Na)</c:v>
                </c:pt>
                <c:pt idx="81">
                  <c:v>Pa Kahtawng </c:v>
                </c:pt>
                <c:pt idx="82">
                  <c:v>Pajau - Jan Mai</c:v>
                </c:pt>
                <c:pt idx="83">
                  <c:v>Pan Law</c:v>
                </c:pt>
                <c:pt idx="84">
                  <c:v>Phan Khar Kone</c:v>
                </c:pt>
                <c:pt idx="85">
                  <c:v>Qtr. 2 Lhaovo Baptist Church</c:v>
                </c:pt>
                <c:pt idx="86">
                  <c:v>Qtr. 2 Myoma Baptist Church</c:v>
                </c:pt>
                <c:pt idx="87">
                  <c:v>Rawan Baptist Church, Maw Shan Vil., Seik Mu</c:v>
                </c:pt>
                <c:pt idx="88">
                  <c:v>Robert Church</c:v>
                </c:pt>
                <c:pt idx="89">
                  <c:v>Salang Yang</c:v>
                </c:pt>
                <c:pt idx="90">
                  <c:v>Sar Hmaw - KBC</c:v>
                </c:pt>
                <c:pt idx="91">
                  <c:v>Seng Ja </c:v>
                </c:pt>
                <c:pt idx="92">
                  <c:v>Sha-It Yang</c:v>
                </c:pt>
                <c:pt idx="93">
                  <c:v>Shatapru Sut Ngai Tawng</c:v>
                </c:pt>
                <c:pt idx="94">
                  <c:v>Shatapru Thida Aye Baptist Church</c:v>
                </c:pt>
                <c:pt idx="95">
                  <c:v>Shing Jai</c:v>
                </c:pt>
                <c:pt idx="96">
                  <c:v>Shwe Gu Baptist Church</c:v>
                </c:pt>
                <c:pt idx="97">
                  <c:v>Shwe Gu Catholic Church</c:v>
                </c:pt>
                <c:pt idx="98">
                  <c:v>Shwe Zet Baptist Church</c:v>
                </c:pt>
                <c:pt idx="99">
                  <c:v>Tanai CoC</c:v>
                </c:pt>
                <c:pt idx="100">
                  <c:v>Tat Kone Baptist Church</c:v>
                </c:pt>
                <c:pt idx="101">
                  <c:v>Tat Kone COC Baptist - Tat Kone Htoi San</c:v>
                </c:pt>
                <c:pt idx="102">
                  <c:v>Tat Kone Galile Baptist Church</c:v>
                </c:pt>
                <c:pt idx="103">
                  <c:v>Tat Kone San Pya Baptist Church</c:v>
                </c:pt>
                <c:pt idx="104">
                  <c:v>Thargaya Lisu Baptist Church</c:v>
                </c:pt>
                <c:pt idx="105">
                  <c:v>Tsan Lun - Namjarap</c:v>
                </c:pt>
                <c:pt idx="106">
                  <c:v>Waingmaw AG Church</c:v>
                </c:pt>
                <c:pt idx="107">
                  <c:v>Woi Chyai </c:v>
                </c:pt>
                <c:pt idx="108">
                  <c:v>Woi Chyai (Mong Lai)</c:v>
                </c:pt>
                <c:pt idx="109">
                  <c:v>Woi Chyai host families</c:v>
                </c:pt>
                <c:pt idx="110">
                  <c:v>Zup Aung Camp</c:v>
                </c:pt>
                <c:pt idx="111">
                  <c:v>Sadung</c:v>
                </c:pt>
                <c:pt idx="112">
                  <c:v>Ka Bu Dam CoC</c:v>
                </c:pt>
                <c:pt idx="113">
                  <c:v>Pang Hkawn Yang</c:v>
                </c:pt>
                <c:pt idx="114">
                  <c:v>Ma Hawng Baptist Church</c:v>
                </c:pt>
                <c:pt idx="115">
                  <c:v>Tanai KBC Camp</c:v>
                </c:pt>
                <c:pt idx="116">
                  <c:v>Nam Hpak Ka Ta'ang ( Aung Tha Pyay)</c:v>
                </c:pt>
                <c:pt idx="117">
                  <c:v>Mai Yu Lay New (Ta'ang)</c:v>
                </c:pt>
                <c:pt idx="118">
                  <c:v>Mine Yu Lay village ( Old)</c:v>
                </c:pt>
                <c:pt idx="119">
                  <c:v>Namti Labraw Yang KBC Camp</c:v>
                </c:pt>
                <c:pt idx="120">
                  <c:v>Trinity Camp</c:v>
                </c:pt>
                <c:pt idx="121">
                  <c:v>Jaw Masat Camp</c:v>
                </c:pt>
                <c:pt idx="122">
                  <c:v>Waimaw Baptist Zonal Office 2</c:v>
                </c:pt>
                <c:pt idx="123">
                  <c:v>Pa Dauk Myaing(Pa La Na)-II</c:v>
                </c:pt>
                <c:pt idx="124">
                  <c:v>St. Joseph Tanai RC camp </c:v>
                </c:pt>
                <c:pt idx="125">
                  <c:v>Galeng (Palaung) &amp; Kone Khem</c:v>
                </c:pt>
                <c:pt idx="126">
                  <c:v>Hu Hku &amp; Ho Hko</c:v>
                </c:pt>
                <c:pt idx="127">
                  <c:v>Htang Nya </c:v>
                </c:pt>
                <c:pt idx="128">
                  <c:v>Momauk IDP new extension camp (Kye Nan)</c:v>
                </c:pt>
                <c:pt idx="129">
                  <c:v>Sector 5 Pammati Quarter</c:v>
                </c:pt>
                <c:pt idx="130">
                  <c:v>His Aw (Chyu Fan) </c:v>
                </c:pt>
                <c:pt idx="131">
                  <c:v>Shwe Sin (Ward 3) </c:v>
                </c:pt>
                <c:pt idx="132">
                  <c:v>Bum Ra Yang Camp </c:v>
                </c:pt>
                <c:pt idx="133">
                  <c:v>Kyaukme Town (host)</c:v>
                </c:pt>
                <c:pt idx="134">
                  <c:v>Nam Hlaing Extension Ward camp</c:v>
                </c:pt>
                <c:pt idx="135">
                  <c:v>Naung Tar Law (Kyet Chan) </c:v>
                </c:pt>
                <c:pt idx="136">
                  <c:v>Waingmaw St.Joseph RC Church</c:v>
                </c:pt>
                <c:pt idx="137">
                  <c:v>Phaug Nhae Camp</c:v>
                </c:pt>
                <c:pt idx="138">
                  <c:v>Ding Jang Yang (1)</c:v>
                </c:pt>
                <c:pt idx="139">
                  <c:v>Ding Jang Yang (2)</c:v>
                </c:pt>
                <c:pt idx="140">
                  <c:v>Yi Hku Man Hkan </c:v>
                </c:pt>
                <c:pt idx="141">
                  <c:v>Lin Hao chun </c:v>
                </c:pt>
                <c:pt idx="142">
                  <c:v>Pyi Htaung Su</c:v>
                </c:pt>
                <c:pt idx="143">
                  <c:v>St.Francis RCC 1</c:v>
                </c:pt>
                <c:pt idx="144">
                  <c:v>St.Francis RCC 2</c:v>
                </c:pt>
                <c:pt idx="145">
                  <c:v>Bang Yang Hka (Mung Ji Pa)-relocated</c:v>
                </c:pt>
                <c:pt idx="146">
                  <c:v>Galeng Zup Awng ward 5 RC</c:v>
                </c:pt>
                <c:pt idx="147">
                  <c:v>Man Wing- IDPs in Host</c:v>
                </c:pt>
                <c:pt idx="148">
                  <c:v>(3 mile) Shwe Pyi Tar (SLCA)</c:v>
                </c:pt>
                <c:pt idx="149">
                  <c:v>Bhamo- IDPs in Host </c:v>
                </c:pt>
                <c:pt idx="150">
                  <c:v>St.Columban lone Khin camp</c:v>
                </c:pt>
                <c:pt idx="151">
                  <c:v>Mansi- IDPs in Host</c:v>
                </c:pt>
                <c:pt idx="152">
                  <c:v>Hopin -IDPs in Host</c:v>
                </c:pt>
                <c:pt idx="153">
                  <c:v>Moenyin- IDPs in Host</c:v>
                </c:pt>
                <c:pt idx="154">
                  <c:v>Momauk-IDPs in Host</c:v>
                </c:pt>
                <c:pt idx="155">
                  <c:v>Myo Thit -IDP in Host</c:v>
                </c:pt>
                <c:pt idx="156">
                  <c:v>Saint Matthew (Shin ma ti-sitapru) camp</c:v>
                </c:pt>
                <c:pt idx="157">
                  <c:v>Man Pint community Hall </c:v>
                </c:pt>
                <c:pt idx="158">
                  <c:v>Mong Tin High School</c:v>
                </c:pt>
                <c:pt idx="159">
                  <c:v>Nar Mun Primary School</c:v>
                </c:pt>
                <c:pt idx="160">
                  <c:v>SLCA Building Compound (Moungnawt town)</c:v>
                </c:pt>
                <c:pt idx="161">
                  <c:v>Maina Mu-yin  Baptist Church</c:v>
                </c:pt>
                <c:pt idx="162">
                  <c:v>LCC UM Camp Hka Shi</c:v>
                </c:pt>
                <c:pt idx="163">
                  <c:v>Lisu Ethnic Youth Development Center </c:v>
                </c:pt>
                <c:pt idx="164">
                  <c:v>Nbang Yang camp </c:v>
                </c:pt>
                <c:pt idx="165">
                  <c:v>Rawang Baptist Church</c:v>
                </c:pt>
                <c:pt idx="166">
                  <c:v>Sut Ngai yang camp </c:v>
                </c:pt>
                <c:pt idx="167">
                  <c:v>Sadung KBC</c:v>
                </c:pt>
                <c:pt idx="168">
                  <c:v>Sana Lisu Baptist Church (DTC)</c:v>
                </c:pt>
                <c:pt idx="169">
                  <c:v>Sutaung Taung Chae</c:v>
                </c:pt>
                <c:pt idx="170">
                  <c:v>Mohnyin IDP in host (2)</c:v>
                </c:pt>
                <c:pt idx="171">
                  <c:v>Chinese Baptist Church Compound(Oak Hpo)</c:v>
                </c:pt>
                <c:pt idx="172">
                  <c:v>Farmland(Kyay Zu Taw)</c:v>
                </c:pt>
                <c:pt idx="173">
                  <c:v>Pong Mun School</c:v>
                </c:pt>
                <c:pt idx="174">
                  <c:v>Hka San Baptist church </c:v>
                </c:pt>
                <c:pt idx="175">
                  <c:v>Sun Lon monastery </c:v>
                </c:pt>
                <c:pt idx="176">
                  <c:v>Farmland(Kaung Kye Peik)</c:v>
                </c:pt>
                <c:pt idx="177">
                  <c:v>Kaung Nyaung Ywar Thit (Ho Piek gyi)</c:v>
                </c:pt>
                <c:pt idx="178">
                  <c:v>Ward 5 &amp; 9</c:v>
                </c:pt>
                <c:pt idx="179">
                  <c:v>Kan Long </c:v>
                </c:pt>
                <c:pt idx="180">
                  <c:v>Chicken Farm </c:v>
                </c:pt>
                <c:pt idx="181">
                  <c:v>Dagaw Border</c:v>
                </c:pt>
                <c:pt idx="182">
                  <c:v>Lashio ward 7 – IDPs in host</c:v>
                </c:pt>
                <c:pt idx="183">
                  <c:v>Lashio ward 9 – IDPs in host</c:v>
                </c:pt>
                <c:pt idx="184">
                  <c:v>Ward 3</c:v>
                </c:pt>
                <c:pt idx="185">
                  <c:v>Mong Paw Building</c:v>
                </c:pt>
                <c:pt idx="186">
                  <c:v>IDP in host community(Mongkoe town)</c:v>
                </c:pt>
                <c:pt idx="187">
                  <c:v>Sein Lone Shann Border</c:v>
                </c:pt>
              </c:strCache>
            </c:strRef>
          </c:cat>
          <c:val>
            <c:numRef>
              <c:f>'By Camps'!$B$34</c:f>
              <c:numCache>
                <c:formatCode>General</c:formatCode>
                <c:ptCount val="188"/>
                <c:pt idx="0">
                  <c:v>715</c:v>
                </c:pt>
                <c:pt idx="1">
                  <c:v>446</c:v>
                </c:pt>
                <c:pt idx="2">
                  <c:v>70</c:v>
                </c:pt>
                <c:pt idx="3">
                  <c:v>502</c:v>
                </c:pt>
                <c:pt idx="4">
                  <c:v>222</c:v>
                </c:pt>
                <c:pt idx="5">
                  <c:v>249</c:v>
                </c:pt>
                <c:pt idx="6">
                  <c:v>258</c:v>
                </c:pt>
                <c:pt idx="7">
                  <c:v>1900</c:v>
                </c:pt>
                <c:pt idx="8">
                  <c:v>704</c:v>
                </c:pt>
                <c:pt idx="9">
                  <c:v>451</c:v>
                </c:pt>
                <c:pt idx="10">
                  <c:v>404</c:v>
                </c:pt>
                <c:pt idx="11">
                  <c:v>381</c:v>
                </c:pt>
                <c:pt idx="12">
                  <c:v>0</c:v>
                </c:pt>
                <c:pt idx="13">
                  <c:v>66.666666666666671</c:v>
                </c:pt>
                <c:pt idx="14">
                  <c:v>126</c:v>
                </c:pt>
                <c:pt idx="15">
                  <c:v>1200</c:v>
                </c:pt>
                <c:pt idx="16">
                  <c:v>471</c:v>
                </c:pt>
                <c:pt idx="17">
                  <c:v>133.33333333333334</c:v>
                </c:pt>
                <c:pt idx="18">
                  <c:v>1933.3333333333335</c:v>
                </c:pt>
                <c:pt idx="19">
                  <c:v>226</c:v>
                </c:pt>
                <c:pt idx="20">
                  <c:v>533.33333333333337</c:v>
                </c:pt>
                <c:pt idx="21">
                  <c:v>742</c:v>
                </c:pt>
                <c:pt idx="22">
                  <c:v>278</c:v>
                </c:pt>
                <c:pt idx="23">
                  <c:v>2883.3333333333335</c:v>
                </c:pt>
                <c:pt idx="24">
                  <c:v>57</c:v>
                </c:pt>
                <c:pt idx="25">
                  <c:v>263</c:v>
                </c:pt>
                <c:pt idx="26">
                  <c:v>244</c:v>
                </c:pt>
                <c:pt idx="27">
                  <c:v>180</c:v>
                </c:pt>
                <c:pt idx="28">
                  <c:v>77</c:v>
                </c:pt>
                <c:pt idx="29">
                  <c:v>500</c:v>
                </c:pt>
                <c:pt idx="30">
                  <c:v>1850</c:v>
                </c:pt>
                <c:pt idx="31">
                  <c:v>634</c:v>
                </c:pt>
                <c:pt idx="32">
                  <c:v>564</c:v>
                </c:pt>
                <c:pt idx="33">
                  <c:v>572</c:v>
                </c:pt>
                <c:pt idx="34">
                  <c:v>885</c:v>
                </c:pt>
                <c:pt idx="35">
                  <c:v>107</c:v>
                </c:pt>
                <c:pt idx="36">
                  <c:v>56</c:v>
                </c:pt>
                <c:pt idx="37">
                  <c:v>774</c:v>
                </c:pt>
                <c:pt idx="38">
                  <c:v>255</c:v>
                </c:pt>
                <c:pt idx="39">
                  <c:v>426</c:v>
                </c:pt>
                <c:pt idx="40">
                  <c:v>1422</c:v>
                </c:pt>
                <c:pt idx="41">
                  <c:v>114</c:v>
                </c:pt>
                <c:pt idx="42">
                  <c:v>533.33333333333337</c:v>
                </c:pt>
                <c:pt idx="43">
                  <c:v>1900</c:v>
                </c:pt>
                <c:pt idx="44">
                  <c:v>1235</c:v>
                </c:pt>
                <c:pt idx="45">
                  <c:v>1702</c:v>
                </c:pt>
                <c:pt idx="46">
                  <c:v>215</c:v>
                </c:pt>
                <c:pt idx="47">
                  <c:v>899.99999999999989</c:v>
                </c:pt>
                <c:pt idx="48">
                  <c:v>791</c:v>
                </c:pt>
                <c:pt idx="49">
                  <c:v>166</c:v>
                </c:pt>
                <c:pt idx="50">
                  <c:v>741</c:v>
                </c:pt>
                <c:pt idx="51">
                  <c:v>512</c:v>
                </c:pt>
                <c:pt idx="52">
                  <c:v>328</c:v>
                </c:pt>
                <c:pt idx="53">
                  <c:v>0</c:v>
                </c:pt>
                <c:pt idx="54">
                  <c:v>500.00000000000006</c:v>
                </c:pt>
                <c:pt idx="55">
                  <c:v>618</c:v>
                </c:pt>
                <c:pt idx="56">
                  <c:v>2725</c:v>
                </c:pt>
                <c:pt idx="57">
                  <c:v>857</c:v>
                </c:pt>
                <c:pt idx="58">
                  <c:v>789</c:v>
                </c:pt>
                <c:pt idx="59">
                  <c:v>82</c:v>
                </c:pt>
                <c:pt idx="60">
                  <c:v>78</c:v>
                </c:pt>
                <c:pt idx="61">
                  <c:v>15</c:v>
                </c:pt>
                <c:pt idx="62">
                  <c:v>424</c:v>
                </c:pt>
                <c:pt idx="63">
                  <c:v>176</c:v>
                </c:pt>
                <c:pt idx="64">
                  <c:v>105</c:v>
                </c:pt>
                <c:pt idx="65">
                  <c:v>396</c:v>
                </c:pt>
                <c:pt idx="66">
                  <c:v>323</c:v>
                </c:pt>
                <c:pt idx="67">
                  <c:v>213</c:v>
                </c:pt>
                <c:pt idx="68">
                  <c:v>250</c:v>
                </c:pt>
                <c:pt idx="69">
                  <c:v>24</c:v>
                </c:pt>
                <c:pt idx="70">
                  <c:v>206</c:v>
                </c:pt>
                <c:pt idx="71">
                  <c:v>274</c:v>
                </c:pt>
                <c:pt idx="72">
                  <c:v>227</c:v>
                </c:pt>
                <c:pt idx="73">
                  <c:v>49</c:v>
                </c:pt>
                <c:pt idx="74">
                  <c:v>58</c:v>
                </c:pt>
                <c:pt idx="75">
                  <c:v>584</c:v>
                </c:pt>
                <c:pt idx="76">
                  <c:v>533.33333333333337</c:v>
                </c:pt>
                <c:pt idx="77">
                  <c:v>1500</c:v>
                </c:pt>
                <c:pt idx="78">
                  <c:v>320</c:v>
                </c:pt>
                <c:pt idx="79">
                  <c:v>297</c:v>
                </c:pt>
                <c:pt idx="80">
                  <c:v>959</c:v>
                </c:pt>
                <c:pt idx="81">
                  <c:v>250</c:v>
                </c:pt>
                <c:pt idx="82">
                  <c:v>133.33333333333334</c:v>
                </c:pt>
                <c:pt idx="83">
                  <c:v>221</c:v>
                </c:pt>
                <c:pt idx="84">
                  <c:v>334</c:v>
                </c:pt>
                <c:pt idx="85">
                  <c:v>298</c:v>
                </c:pt>
                <c:pt idx="86">
                  <c:v>279</c:v>
                </c:pt>
                <c:pt idx="87">
                  <c:v>72</c:v>
                </c:pt>
                <c:pt idx="88">
                  <c:v>3451</c:v>
                </c:pt>
                <c:pt idx="89">
                  <c:v>342</c:v>
                </c:pt>
                <c:pt idx="90">
                  <c:v>141</c:v>
                </c:pt>
                <c:pt idx="91">
                  <c:v>266</c:v>
                </c:pt>
                <c:pt idx="92">
                  <c:v>266.67037037037039</c:v>
                </c:pt>
                <c:pt idx="93">
                  <c:v>120</c:v>
                </c:pt>
                <c:pt idx="94">
                  <c:v>101</c:v>
                </c:pt>
                <c:pt idx="95">
                  <c:v>200</c:v>
                </c:pt>
                <c:pt idx="96">
                  <c:v>300</c:v>
                </c:pt>
                <c:pt idx="97">
                  <c:v>182</c:v>
                </c:pt>
                <c:pt idx="98">
                  <c:v>432</c:v>
                </c:pt>
                <c:pt idx="99">
                  <c:v>174</c:v>
                </c:pt>
                <c:pt idx="100">
                  <c:v>207</c:v>
                </c:pt>
                <c:pt idx="101">
                  <c:v>268</c:v>
                </c:pt>
                <c:pt idx="102">
                  <c:v>121</c:v>
                </c:pt>
                <c:pt idx="103">
                  <c:v>62</c:v>
                </c:pt>
                <c:pt idx="104">
                  <c:v>186</c:v>
                </c:pt>
                <c:pt idx="105">
                  <c:v>195</c:v>
                </c:pt>
                <c:pt idx="106">
                  <c:v>319</c:v>
                </c:pt>
                <c:pt idx="107">
                  <c:v>733.33333333333337</c:v>
                </c:pt>
                <c:pt idx="108">
                  <c:v>66.666666666666671</c:v>
                </c:pt>
                <c:pt idx="109">
                  <c:v>0</c:v>
                </c:pt>
                <c:pt idx="110">
                  <c:v>1101</c:v>
                </c:pt>
                <c:pt idx="111">
                  <c:v>0</c:v>
                </c:pt>
                <c:pt idx="112">
                  <c:v>64</c:v>
                </c:pt>
                <c:pt idx="113">
                  <c:v>1397</c:v>
                </c:pt>
                <c:pt idx="114">
                  <c:v>74</c:v>
                </c:pt>
                <c:pt idx="115">
                  <c:v>275</c:v>
                </c:pt>
                <c:pt idx="116">
                  <c:v>158</c:v>
                </c:pt>
                <c:pt idx="117">
                  <c:v>502</c:v>
                </c:pt>
                <c:pt idx="118">
                  <c:v>251</c:v>
                </c:pt>
                <c:pt idx="119">
                  <c:v>325</c:v>
                </c:pt>
                <c:pt idx="120">
                  <c:v>1148</c:v>
                </c:pt>
                <c:pt idx="121">
                  <c:v>686</c:v>
                </c:pt>
                <c:pt idx="122">
                  <c:v>267</c:v>
                </c:pt>
                <c:pt idx="123">
                  <c:v>1215</c:v>
                </c:pt>
                <c:pt idx="124">
                  <c:v>628</c:v>
                </c:pt>
                <c:pt idx="125">
                  <c:v>439</c:v>
                </c:pt>
                <c:pt idx="126">
                  <c:v>130</c:v>
                </c:pt>
                <c:pt idx="127">
                  <c:v>32</c:v>
                </c:pt>
                <c:pt idx="128">
                  <c:v>203</c:v>
                </c:pt>
                <c:pt idx="129">
                  <c:v>127</c:v>
                </c:pt>
                <c:pt idx="130">
                  <c:v>1600</c:v>
                </c:pt>
                <c:pt idx="131">
                  <c:v>0</c:v>
                </c:pt>
                <c:pt idx="132">
                  <c:v>591</c:v>
                </c:pt>
                <c:pt idx="133">
                  <c:v>0</c:v>
                </c:pt>
                <c:pt idx="134">
                  <c:v>160</c:v>
                </c:pt>
                <c:pt idx="135">
                  <c:v>0</c:v>
                </c:pt>
                <c:pt idx="136">
                  <c:v>0</c:v>
                </c:pt>
                <c:pt idx="137">
                  <c:v>0</c:v>
                </c:pt>
                <c:pt idx="138">
                  <c:v>0</c:v>
                </c:pt>
                <c:pt idx="139">
                  <c:v>0</c:v>
                </c:pt>
                <c:pt idx="140">
                  <c:v>0</c:v>
                </c:pt>
                <c:pt idx="141">
                  <c:v>0</c:v>
                </c:pt>
                <c:pt idx="142">
                  <c:v>0</c:v>
                </c:pt>
                <c:pt idx="143">
                  <c:v>276</c:v>
                </c:pt>
                <c:pt idx="144">
                  <c:v>440</c:v>
                </c:pt>
                <c:pt idx="145">
                  <c:v>0</c:v>
                </c:pt>
                <c:pt idx="146">
                  <c:v>132</c:v>
                </c:pt>
                <c:pt idx="147">
                  <c:v>544</c:v>
                </c:pt>
                <c:pt idx="148">
                  <c:v>0</c:v>
                </c:pt>
                <c:pt idx="149">
                  <c:v>0</c:v>
                </c:pt>
                <c:pt idx="150">
                  <c:v>466</c:v>
                </c:pt>
                <c:pt idx="151">
                  <c:v>0</c:v>
                </c:pt>
                <c:pt idx="152">
                  <c:v>0</c:v>
                </c:pt>
                <c:pt idx="153">
                  <c:v>0</c:v>
                </c:pt>
                <c:pt idx="154">
                  <c:v>0</c:v>
                </c:pt>
                <c:pt idx="155">
                  <c:v>0</c:v>
                </c:pt>
                <c:pt idx="156">
                  <c:v>94</c:v>
                </c:pt>
                <c:pt idx="157">
                  <c:v>0</c:v>
                </c:pt>
                <c:pt idx="158">
                  <c:v>0</c:v>
                </c:pt>
                <c:pt idx="159">
                  <c:v>0</c:v>
                </c:pt>
                <c:pt idx="160">
                  <c:v>26</c:v>
                </c:pt>
                <c:pt idx="161">
                  <c:v>221</c:v>
                </c:pt>
                <c:pt idx="162">
                  <c:v>0</c:v>
                </c:pt>
                <c:pt idx="163">
                  <c:v>0</c:v>
                </c:pt>
                <c:pt idx="164">
                  <c:v>0</c:v>
                </c:pt>
                <c:pt idx="165">
                  <c:v>0</c:v>
                </c:pt>
                <c:pt idx="166">
                  <c:v>0</c:v>
                </c:pt>
                <c:pt idx="167">
                  <c:v>0</c:v>
                </c:pt>
                <c:pt idx="168">
                  <c:v>0</c:v>
                </c:pt>
                <c:pt idx="169">
                  <c:v>0</c:v>
                </c:pt>
                <c:pt idx="170">
                  <c:v>0</c:v>
                </c:pt>
                <c:pt idx="171">
                  <c:v>0</c:v>
                </c:pt>
                <c:pt idx="172">
                  <c:v>0</c:v>
                </c:pt>
                <c:pt idx="173">
                  <c:v>0</c:v>
                </c:pt>
                <c:pt idx="174">
                  <c:v>37</c:v>
                </c:pt>
                <c:pt idx="175">
                  <c:v>0</c:v>
                </c:pt>
                <c:pt idx="176">
                  <c:v>0</c:v>
                </c:pt>
                <c:pt idx="177">
                  <c:v>66.666666666666671</c:v>
                </c:pt>
                <c:pt idx="178">
                  <c:v>0</c:v>
                </c:pt>
                <c:pt idx="179">
                  <c:v>0</c:v>
                </c:pt>
                <c:pt idx="180">
                  <c:v>0</c:v>
                </c:pt>
                <c:pt idx="181">
                  <c:v>0</c:v>
                </c:pt>
                <c:pt idx="182">
                  <c:v>0</c:v>
                </c:pt>
                <c:pt idx="183">
                  <c:v>0</c:v>
                </c:pt>
                <c:pt idx="184">
                  <c:v>0</c:v>
                </c:pt>
                <c:pt idx="185">
                  <c:v>0</c:v>
                </c:pt>
                <c:pt idx="186">
                  <c:v>0</c:v>
                </c:pt>
                <c:pt idx="187">
                  <c:v>0</c:v>
                </c:pt>
              </c:numCache>
            </c:numRef>
          </c:val>
          <c:extLst>
            <c:ext xmlns:c16="http://schemas.microsoft.com/office/drawing/2014/chart" uri="{C3380CC4-5D6E-409C-BE32-E72D297353CC}">
              <c16:uniqueId val="{00000003-AA6C-47F1-9AB0-98C69D3B90AD}"/>
            </c:ext>
          </c:extLst>
        </c:ser>
        <c:dLbls>
          <c:showLegendKey val="0"/>
          <c:showVal val="0"/>
          <c:showCatName val="0"/>
          <c:showSerName val="0"/>
          <c:showPercent val="0"/>
          <c:showBubbleSize val="0"/>
        </c:dLbls>
        <c:gapWidth val="100"/>
        <c:axId val="354334472"/>
        <c:axId val="354340352"/>
      </c:barChart>
      <c:catAx>
        <c:axId val="3543344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40352"/>
        <c:crosses val="autoZero"/>
        <c:auto val="1"/>
        <c:lblAlgn val="ctr"/>
        <c:lblOffset val="100"/>
        <c:noMultiLvlLbl val="0"/>
      </c:catAx>
      <c:valAx>
        <c:axId val="35434035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r>
                  <a:rPr lang="en-US"/>
                  <a:t>Nb of People</a:t>
                </a:r>
              </a:p>
            </c:rich>
          </c:tx>
          <c:layout>
            <c:manualLayout>
              <c:xMode val="edge"/>
              <c:yMode val="edge"/>
              <c:x val="0.8665541111587558"/>
              <c:y val="0.9546071163545147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34472"/>
        <c:crosses val="autoZero"/>
        <c:crossBetween val="between"/>
      </c:valAx>
      <c:spPr>
        <a:noFill/>
        <a:ln>
          <a:noFill/>
        </a:ln>
        <a:effectLst/>
      </c:spPr>
    </c:plotArea>
    <c:legend>
      <c:legendPos val="r"/>
      <c:layout>
        <c:manualLayout>
          <c:xMode val="edge"/>
          <c:yMode val="edge"/>
          <c:x val="0.83852548601251686"/>
          <c:y val="0.10672598109416435"/>
          <c:w val="0.16147453061974054"/>
          <c:h val="0.5937796084335710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lt1"/>
    </a:solidFill>
    <a:ln w="12700" cap="flat" cmpd="sng" algn="ctr">
      <a:solidFill>
        <a:schemeClr val="accent1"/>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[20230728_Myanmar_WASH_4W_2023_Q2_KachinShan_camp_Consolidate.xlsx]Tracking Dashboard!PivotTable1</c:name>
    <c:fmtId val="3"/>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a:t>Tracking Quarterly Achievement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pivotFmt>
      <c:pivotFmt>
        <c:idx val="5"/>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813904458850057"/>
          <c:y val="6.1073498743170695E-2"/>
          <c:w val="0.62467518940594613"/>
          <c:h val="0.90227339407347507"/>
        </c:manualLayout>
      </c:layout>
      <c:barChart>
        <c:barDir val="bar"/>
        <c:grouping val="clustered"/>
        <c:varyColors val="0"/>
        <c:ser>
          <c:idx val="0"/>
          <c:order val="0"/>
          <c:tx>
            <c:strRef>
              <c:f>'Tracking Dashboard'!$N$4</c:f>
              <c:strCache>
                <c:ptCount val="1"/>
                <c:pt idx="0">
                  <c:v># of People adopt basic personal and community hygiene practices</c:v>
                </c:pt>
              </c:strCache>
            </c:strRef>
          </c:tx>
          <c:spPr>
            <a:solidFill>
              <a:schemeClr val="accent6">
                <a:lumMod val="75000"/>
              </a:schemeClr>
            </a:solidFill>
            <a:ln>
              <a:noFill/>
            </a:ln>
            <a:effectLst/>
          </c:spPr>
          <c:invertIfNegative val="0"/>
          <c:cat>
            <c:multiLvlStrRef>
              <c:f>'Tracking Dashboard'!$L$5:$M$626</c:f>
              <c:multiLvlStrCache>
                <c:ptCount val="401"/>
                <c:lvl>
                  <c:pt idx="0">
                    <c:v>2023_Q1</c:v>
                  </c:pt>
                  <c:pt idx="1">
                    <c:v>2023_Q2</c:v>
                  </c:pt>
                  <c:pt idx="2">
                    <c:v>2023_Q1</c:v>
                  </c:pt>
                  <c:pt idx="3">
                    <c:v>2023_Q2</c:v>
                  </c:pt>
                  <c:pt idx="4">
                    <c:v>2023_Q1</c:v>
                  </c:pt>
                  <c:pt idx="5">
                    <c:v>2023_Q2</c:v>
                  </c:pt>
                  <c:pt idx="6">
                    <c:v>2023_Q1</c:v>
                  </c:pt>
                  <c:pt idx="7">
                    <c:v>2023_Q2</c:v>
                  </c:pt>
                  <c:pt idx="8">
                    <c:v>2023_Q1</c:v>
                  </c:pt>
                  <c:pt idx="9">
                    <c:v>2023_Q2</c:v>
                  </c:pt>
                  <c:pt idx="10">
                    <c:v>2023_Q1</c:v>
                  </c:pt>
                  <c:pt idx="11">
                    <c:v>2023_Q2</c:v>
                  </c:pt>
                  <c:pt idx="12">
                    <c:v>2023_Q1</c:v>
                  </c:pt>
                  <c:pt idx="13">
                    <c:v>2023_Q2</c:v>
                  </c:pt>
                  <c:pt idx="14">
                    <c:v>2023_Q1</c:v>
                  </c:pt>
                  <c:pt idx="15">
                    <c:v>2023_Q2</c:v>
                  </c:pt>
                  <c:pt idx="16">
                    <c:v>2023_Q1</c:v>
                  </c:pt>
                  <c:pt idx="17">
                    <c:v>2023_Q1</c:v>
                  </c:pt>
                  <c:pt idx="18">
                    <c:v>2023_Q2</c:v>
                  </c:pt>
                  <c:pt idx="19">
                    <c:v>2023_Q1</c:v>
                  </c:pt>
                  <c:pt idx="20">
                    <c:v>2023_Q2</c:v>
                  </c:pt>
                  <c:pt idx="21">
                    <c:v>2023_Q1</c:v>
                  </c:pt>
                  <c:pt idx="22">
                    <c:v>2023_Q1</c:v>
                  </c:pt>
                  <c:pt idx="23">
                    <c:v>2023_Q2</c:v>
                  </c:pt>
                  <c:pt idx="24">
                    <c:v>2023_Q1</c:v>
                  </c:pt>
                  <c:pt idx="25">
                    <c:v>2023_Q1</c:v>
                  </c:pt>
                  <c:pt idx="26">
                    <c:v>2023_Q2</c:v>
                  </c:pt>
                  <c:pt idx="27">
                    <c:v>2023_Q1</c:v>
                  </c:pt>
                  <c:pt idx="28">
                    <c:v>2023_Q2</c:v>
                  </c:pt>
                  <c:pt idx="29">
                    <c:v>2023_Q1</c:v>
                  </c:pt>
                  <c:pt idx="30">
                    <c:v>2023_Q2</c:v>
                  </c:pt>
                  <c:pt idx="31">
                    <c:v>2023_Q1</c:v>
                  </c:pt>
                  <c:pt idx="32">
                    <c:v>2023_Q2</c:v>
                  </c:pt>
                  <c:pt idx="33">
                    <c:v>2023_Q1</c:v>
                  </c:pt>
                  <c:pt idx="34">
                    <c:v>2023_Q2</c:v>
                  </c:pt>
                  <c:pt idx="35">
                    <c:v>2023_Q1</c:v>
                  </c:pt>
                  <c:pt idx="36">
                    <c:v>2023_Q2</c:v>
                  </c:pt>
                  <c:pt idx="37">
                    <c:v>2023_Q1</c:v>
                  </c:pt>
                  <c:pt idx="38">
                    <c:v>2023_Q2</c:v>
                  </c:pt>
                  <c:pt idx="39">
                    <c:v>2023_Q1</c:v>
                  </c:pt>
                  <c:pt idx="40">
                    <c:v>2023_Q2</c:v>
                  </c:pt>
                  <c:pt idx="41">
                    <c:v>2023_Q1</c:v>
                  </c:pt>
                  <c:pt idx="42">
                    <c:v>2023_Q2</c:v>
                  </c:pt>
                  <c:pt idx="43">
                    <c:v>2023_Q1</c:v>
                  </c:pt>
                  <c:pt idx="44">
                    <c:v>2023_Q2</c:v>
                  </c:pt>
                  <c:pt idx="45">
                    <c:v>2023_Q1</c:v>
                  </c:pt>
                  <c:pt idx="46">
                    <c:v>2023_Q2</c:v>
                  </c:pt>
                  <c:pt idx="47">
                    <c:v>2023_Q1</c:v>
                  </c:pt>
                  <c:pt idx="48">
                    <c:v>2023_Q2</c:v>
                  </c:pt>
                  <c:pt idx="49">
                    <c:v>2023_Q1</c:v>
                  </c:pt>
                  <c:pt idx="50">
                    <c:v>2023_Q2</c:v>
                  </c:pt>
                  <c:pt idx="51">
                    <c:v>2023_Q1</c:v>
                  </c:pt>
                  <c:pt idx="52">
                    <c:v>2023_Q2</c:v>
                  </c:pt>
                  <c:pt idx="53">
                    <c:v>2023_Q1</c:v>
                  </c:pt>
                  <c:pt idx="54">
                    <c:v>2023_Q2</c:v>
                  </c:pt>
                  <c:pt idx="55">
                    <c:v>2023_Q1</c:v>
                  </c:pt>
                  <c:pt idx="56">
                    <c:v>2023_Q2</c:v>
                  </c:pt>
                  <c:pt idx="57">
                    <c:v>2023_Q1</c:v>
                  </c:pt>
                  <c:pt idx="58">
                    <c:v>2023_Q2</c:v>
                  </c:pt>
                  <c:pt idx="59">
                    <c:v>2023_Q1</c:v>
                  </c:pt>
                  <c:pt idx="60">
                    <c:v>2023_Q2</c:v>
                  </c:pt>
                  <c:pt idx="61">
                    <c:v>2023_Q1</c:v>
                  </c:pt>
                  <c:pt idx="62">
                    <c:v>2023_Q1</c:v>
                  </c:pt>
                  <c:pt idx="63">
                    <c:v>2023_Q2</c:v>
                  </c:pt>
                  <c:pt idx="64">
                    <c:v>2023_Q1</c:v>
                  </c:pt>
                  <c:pt idx="65">
                    <c:v>2023_Q2</c:v>
                  </c:pt>
                  <c:pt idx="66">
                    <c:v>2023_Q1</c:v>
                  </c:pt>
                  <c:pt idx="67">
                    <c:v>2023_Q2</c:v>
                  </c:pt>
                  <c:pt idx="68">
                    <c:v>2023_Q1</c:v>
                  </c:pt>
                  <c:pt idx="69">
                    <c:v>2023_Q1</c:v>
                  </c:pt>
                  <c:pt idx="70">
                    <c:v>2023_Q2</c:v>
                  </c:pt>
                  <c:pt idx="71">
                    <c:v>2023_Q1</c:v>
                  </c:pt>
                  <c:pt idx="72">
                    <c:v>2023_Q2</c:v>
                  </c:pt>
                  <c:pt idx="73">
                    <c:v>2023_Q1</c:v>
                  </c:pt>
                  <c:pt idx="74">
                    <c:v>2023_Q2</c:v>
                  </c:pt>
                  <c:pt idx="75">
                    <c:v>2023_Q1</c:v>
                  </c:pt>
                  <c:pt idx="76">
                    <c:v>2023_Q2</c:v>
                  </c:pt>
                  <c:pt idx="77">
                    <c:v>2023_Q1</c:v>
                  </c:pt>
                  <c:pt idx="78">
                    <c:v>2023_Q2</c:v>
                  </c:pt>
                  <c:pt idx="79">
                    <c:v>2023_Q1</c:v>
                  </c:pt>
                  <c:pt idx="80">
                    <c:v>2023_Q2</c:v>
                  </c:pt>
                  <c:pt idx="81">
                    <c:v>2023_Q1</c:v>
                  </c:pt>
                  <c:pt idx="82">
                    <c:v>2023_Q2</c:v>
                  </c:pt>
                  <c:pt idx="83">
                    <c:v>2023_Q1</c:v>
                  </c:pt>
                  <c:pt idx="84">
                    <c:v>2023_Q2</c:v>
                  </c:pt>
                  <c:pt idx="85">
                    <c:v>2023_Q1</c:v>
                  </c:pt>
                  <c:pt idx="86">
                    <c:v>2023_Q2</c:v>
                  </c:pt>
                  <c:pt idx="87">
                    <c:v>2023_Q1</c:v>
                  </c:pt>
                  <c:pt idx="88">
                    <c:v>2023_Q2</c:v>
                  </c:pt>
                  <c:pt idx="89">
                    <c:v>2023_Q1</c:v>
                  </c:pt>
                  <c:pt idx="90">
                    <c:v>2023_Q1</c:v>
                  </c:pt>
                  <c:pt idx="91">
                    <c:v>2023_Q2</c:v>
                  </c:pt>
                  <c:pt idx="92">
                    <c:v>2023_Q1</c:v>
                  </c:pt>
                  <c:pt idx="93">
                    <c:v>2023_Q2</c:v>
                  </c:pt>
                  <c:pt idx="94">
                    <c:v>2023_Q1</c:v>
                  </c:pt>
                  <c:pt idx="95">
                    <c:v>2023_Q2</c:v>
                  </c:pt>
                  <c:pt idx="96">
                    <c:v>2023_Q1</c:v>
                  </c:pt>
                  <c:pt idx="97">
                    <c:v>2023_Q1</c:v>
                  </c:pt>
                  <c:pt idx="98">
                    <c:v>2023_Q2</c:v>
                  </c:pt>
                  <c:pt idx="99">
                    <c:v>2023_Q1</c:v>
                  </c:pt>
                  <c:pt idx="100">
                    <c:v>2023_Q2</c:v>
                  </c:pt>
                  <c:pt idx="101">
                    <c:v>2023_Q1</c:v>
                  </c:pt>
                  <c:pt idx="102">
                    <c:v>2023_Q2</c:v>
                  </c:pt>
                  <c:pt idx="103">
                    <c:v>2023_Q1</c:v>
                  </c:pt>
                  <c:pt idx="104">
                    <c:v>2023_Q2</c:v>
                  </c:pt>
                  <c:pt idx="105">
                    <c:v>2023_Q1</c:v>
                  </c:pt>
                  <c:pt idx="106">
                    <c:v>2023_Q2</c:v>
                  </c:pt>
                  <c:pt idx="107">
                    <c:v>2023_Q1</c:v>
                  </c:pt>
                  <c:pt idx="108">
                    <c:v>2023_Q2</c:v>
                  </c:pt>
                  <c:pt idx="109">
                    <c:v>2023_Q1</c:v>
                  </c:pt>
                  <c:pt idx="110">
                    <c:v>2023_Q2</c:v>
                  </c:pt>
                  <c:pt idx="111">
                    <c:v>2023_Q1</c:v>
                  </c:pt>
                  <c:pt idx="112">
                    <c:v>2023_Q2</c:v>
                  </c:pt>
                  <c:pt idx="113">
                    <c:v>2023_Q1</c:v>
                  </c:pt>
                  <c:pt idx="114">
                    <c:v>2023_Q2</c:v>
                  </c:pt>
                  <c:pt idx="115">
                    <c:v>2023_Q1</c:v>
                  </c:pt>
                  <c:pt idx="116">
                    <c:v>2023_Q2</c:v>
                  </c:pt>
                  <c:pt idx="117">
                    <c:v>2023_Q1</c:v>
                  </c:pt>
                  <c:pt idx="118">
                    <c:v>2023_Q2</c:v>
                  </c:pt>
                  <c:pt idx="119">
                    <c:v>2023_Q1</c:v>
                  </c:pt>
                  <c:pt idx="120">
                    <c:v>2023_Q2</c:v>
                  </c:pt>
                  <c:pt idx="121">
                    <c:v>2023_Q1</c:v>
                  </c:pt>
                  <c:pt idx="122">
                    <c:v>2023_Q2</c:v>
                  </c:pt>
                  <c:pt idx="123">
                    <c:v>2023_Q1</c:v>
                  </c:pt>
                  <c:pt idx="124">
                    <c:v>2023_Q2</c:v>
                  </c:pt>
                  <c:pt idx="125">
                    <c:v>2023_Q1</c:v>
                  </c:pt>
                  <c:pt idx="126">
                    <c:v>2023_Q2</c:v>
                  </c:pt>
                  <c:pt idx="127">
                    <c:v>2023_Q1</c:v>
                  </c:pt>
                  <c:pt idx="128">
                    <c:v>2023_Q1</c:v>
                  </c:pt>
                  <c:pt idx="129">
                    <c:v>2023_Q2</c:v>
                  </c:pt>
                  <c:pt idx="130">
                    <c:v>2023_Q1</c:v>
                  </c:pt>
                  <c:pt idx="131">
                    <c:v>2023_Q2</c:v>
                  </c:pt>
                  <c:pt idx="132">
                    <c:v>2023_Q1</c:v>
                  </c:pt>
                  <c:pt idx="133">
                    <c:v>2023_Q2</c:v>
                  </c:pt>
                  <c:pt idx="134">
                    <c:v>2023_Q1</c:v>
                  </c:pt>
                  <c:pt idx="135">
                    <c:v>2023_Q2</c:v>
                  </c:pt>
                  <c:pt idx="136">
                    <c:v>2023_Q1</c:v>
                  </c:pt>
                  <c:pt idx="137">
                    <c:v>2023_Q1</c:v>
                  </c:pt>
                  <c:pt idx="138">
                    <c:v>2023_Q1</c:v>
                  </c:pt>
                  <c:pt idx="139">
                    <c:v>2023_Q2</c:v>
                  </c:pt>
                  <c:pt idx="140">
                    <c:v>2023_Q1</c:v>
                  </c:pt>
                  <c:pt idx="141">
                    <c:v>2023_Q2</c:v>
                  </c:pt>
                  <c:pt idx="142">
                    <c:v>2023_Q1</c:v>
                  </c:pt>
                  <c:pt idx="143">
                    <c:v>2023_Q2</c:v>
                  </c:pt>
                  <c:pt idx="144">
                    <c:v>2023_Q1</c:v>
                  </c:pt>
                  <c:pt idx="145">
                    <c:v>2023_Q2</c:v>
                  </c:pt>
                  <c:pt idx="146">
                    <c:v>2023_Q1</c:v>
                  </c:pt>
                  <c:pt idx="147">
                    <c:v>2023_Q2</c:v>
                  </c:pt>
                  <c:pt idx="148">
                    <c:v>2023_Q1</c:v>
                  </c:pt>
                  <c:pt idx="149">
                    <c:v>2023_Q2</c:v>
                  </c:pt>
                  <c:pt idx="150">
                    <c:v>2023_Q1</c:v>
                  </c:pt>
                  <c:pt idx="151">
                    <c:v>2023_Q2</c:v>
                  </c:pt>
                  <c:pt idx="152">
                    <c:v>2023_Q1</c:v>
                  </c:pt>
                  <c:pt idx="153">
                    <c:v>2023_Q2</c:v>
                  </c:pt>
                  <c:pt idx="154">
                    <c:v>2023_Q1</c:v>
                  </c:pt>
                  <c:pt idx="155">
                    <c:v>2023_Q2</c:v>
                  </c:pt>
                  <c:pt idx="156">
                    <c:v>2023_Q1</c:v>
                  </c:pt>
                  <c:pt idx="157">
                    <c:v>2023_Q2</c:v>
                  </c:pt>
                  <c:pt idx="158">
                    <c:v>2023_Q1</c:v>
                  </c:pt>
                  <c:pt idx="159">
                    <c:v>2023_Q1</c:v>
                  </c:pt>
                  <c:pt idx="160">
                    <c:v>2023_Q2</c:v>
                  </c:pt>
                  <c:pt idx="161">
                    <c:v>2023_Q1</c:v>
                  </c:pt>
                  <c:pt idx="162">
                    <c:v>2023_Q2</c:v>
                  </c:pt>
                  <c:pt idx="163">
                    <c:v>2023_Q1</c:v>
                  </c:pt>
                  <c:pt idx="164">
                    <c:v>2023_Q2</c:v>
                  </c:pt>
                  <c:pt idx="165">
                    <c:v>2023_Q1</c:v>
                  </c:pt>
                  <c:pt idx="166">
                    <c:v>2023_Q2</c:v>
                  </c:pt>
                  <c:pt idx="167">
                    <c:v>2023_Q1</c:v>
                  </c:pt>
                  <c:pt idx="168">
                    <c:v>2023_Q2</c:v>
                  </c:pt>
                  <c:pt idx="169">
                    <c:v>2023_Q1</c:v>
                  </c:pt>
                  <c:pt idx="170">
                    <c:v>2023_Q1</c:v>
                  </c:pt>
                  <c:pt idx="171">
                    <c:v>2023_Q2</c:v>
                  </c:pt>
                  <c:pt idx="172">
                    <c:v>2023_Q1</c:v>
                  </c:pt>
                  <c:pt idx="173">
                    <c:v>2023_Q2</c:v>
                  </c:pt>
                  <c:pt idx="174">
                    <c:v>2023_Q1</c:v>
                  </c:pt>
                  <c:pt idx="175">
                    <c:v>2023_Q2</c:v>
                  </c:pt>
                  <c:pt idx="176">
                    <c:v>2023_Q1</c:v>
                  </c:pt>
                  <c:pt idx="177">
                    <c:v>2023_Q2</c:v>
                  </c:pt>
                  <c:pt idx="178">
                    <c:v>2023_Q1</c:v>
                  </c:pt>
                  <c:pt idx="179">
                    <c:v>2023_Q1</c:v>
                  </c:pt>
                  <c:pt idx="180">
                    <c:v>2023_Q2</c:v>
                  </c:pt>
                  <c:pt idx="181">
                    <c:v>2023_Q1</c:v>
                  </c:pt>
                  <c:pt idx="182">
                    <c:v>2023_Q2</c:v>
                  </c:pt>
                  <c:pt idx="183">
                    <c:v>2023_Q1</c:v>
                  </c:pt>
                  <c:pt idx="184">
                    <c:v>2023_Q2</c:v>
                  </c:pt>
                  <c:pt idx="185">
                    <c:v>2023_Q1</c:v>
                  </c:pt>
                  <c:pt idx="186">
                    <c:v>2023_Q2</c:v>
                  </c:pt>
                  <c:pt idx="187">
                    <c:v>2023_Q1</c:v>
                  </c:pt>
                  <c:pt idx="188">
                    <c:v>2023_Q2</c:v>
                  </c:pt>
                  <c:pt idx="189">
                    <c:v>2023_Q1</c:v>
                  </c:pt>
                  <c:pt idx="190">
                    <c:v>2023_Q2</c:v>
                  </c:pt>
                  <c:pt idx="191">
                    <c:v>2023_Q1</c:v>
                  </c:pt>
                  <c:pt idx="192">
                    <c:v>2023_Q2</c:v>
                  </c:pt>
                  <c:pt idx="193">
                    <c:v>2023_Q1</c:v>
                  </c:pt>
                  <c:pt idx="194">
                    <c:v>2023_Q2</c:v>
                  </c:pt>
                  <c:pt idx="195">
                    <c:v>2023_Q1</c:v>
                  </c:pt>
                  <c:pt idx="196">
                    <c:v>2023_Q2</c:v>
                  </c:pt>
                  <c:pt idx="197">
                    <c:v>2023_Q1</c:v>
                  </c:pt>
                  <c:pt idx="198">
                    <c:v>2023_Q2</c:v>
                  </c:pt>
                  <c:pt idx="199">
                    <c:v>2023_Q1</c:v>
                  </c:pt>
                  <c:pt idx="200">
                    <c:v>2023_Q2</c:v>
                  </c:pt>
                  <c:pt idx="201">
                    <c:v>2023_Q1</c:v>
                  </c:pt>
                  <c:pt idx="202">
                    <c:v>2023_Q2</c:v>
                  </c:pt>
                  <c:pt idx="203">
                    <c:v>2023_Q1</c:v>
                  </c:pt>
                  <c:pt idx="204">
                    <c:v>2023_Q2</c:v>
                  </c:pt>
                  <c:pt idx="205">
                    <c:v>2023_Q1</c:v>
                  </c:pt>
                  <c:pt idx="206">
                    <c:v>2023_Q2</c:v>
                  </c:pt>
                  <c:pt idx="207">
                    <c:v>2023_Q1</c:v>
                  </c:pt>
                  <c:pt idx="208">
                    <c:v>2023_Q2</c:v>
                  </c:pt>
                  <c:pt idx="209">
                    <c:v>2023_Q1</c:v>
                  </c:pt>
                  <c:pt idx="210">
                    <c:v>2023_Q2</c:v>
                  </c:pt>
                  <c:pt idx="211">
                    <c:v>2023_Q1</c:v>
                  </c:pt>
                  <c:pt idx="212">
                    <c:v>2023_Q2</c:v>
                  </c:pt>
                  <c:pt idx="213">
                    <c:v>2023_Q1</c:v>
                  </c:pt>
                  <c:pt idx="214">
                    <c:v>2023_Q2</c:v>
                  </c:pt>
                  <c:pt idx="215">
                    <c:v>2023_Q1</c:v>
                  </c:pt>
                  <c:pt idx="216">
                    <c:v>2023_Q2</c:v>
                  </c:pt>
                  <c:pt idx="217">
                    <c:v>2023_Q1</c:v>
                  </c:pt>
                  <c:pt idx="218">
                    <c:v>2023_Q2</c:v>
                  </c:pt>
                  <c:pt idx="219">
                    <c:v>2023_Q1</c:v>
                  </c:pt>
                  <c:pt idx="220">
                    <c:v>2023_Q2</c:v>
                  </c:pt>
                  <c:pt idx="221">
                    <c:v>2023_Q1</c:v>
                  </c:pt>
                  <c:pt idx="222">
                    <c:v>2023_Q2</c:v>
                  </c:pt>
                  <c:pt idx="223">
                    <c:v>2023_Q1</c:v>
                  </c:pt>
                  <c:pt idx="224">
                    <c:v>2023_Q1</c:v>
                  </c:pt>
                  <c:pt idx="225">
                    <c:v>2023_Q2</c:v>
                  </c:pt>
                  <c:pt idx="226">
                    <c:v>2023_Q1</c:v>
                  </c:pt>
                  <c:pt idx="227">
                    <c:v>2023_Q2</c:v>
                  </c:pt>
                  <c:pt idx="228">
                    <c:v>2023_Q1</c:v>
                  </c:pt>
                  <c:pt idx="229">
                    <c:v>2023_Q2</c:v>
                  </c:pt>
                  <c:pt idx="230">
                    <c:v>2023_Q1</c:v>
                  </c:pt>
                  <c:pt idx="231">
                    <c:v>2023_Q2</c:v>
                  </c:pt>
                  <c:pt idx="232">
                    <c:v>2023_Q1</c:v>
                  </c:pt>
                  <c:pt idx="233">
                    <c:v>2023_Q2</c:v>
                  </c:pt>
                  <c:pt idx="234">
                    <c:v>2023_Q1</c:v>
                  </c:pt>
                  <c:pt idx="235">
                    <c:v>2023_Q2</c:v>
                  </c:pt>
                  <c:pt idx="236">
                    <c:v>2023_Q1</c:v>
                  </c:pt>
                  <c:pt idx="237">
                    <c:v>2023_Q2</c:v>
                  </c:pt>
                  <c:pt idx="238">
                    <c:v>2023_Q1</c:v>
                  </c:pt>
                  <c:pt idx="239">
                    <c:v>2023_Q2</c:v>
                  </c:pt>
                  <c:pt idx="240">
                    <c:v>2023_Q1</c:v>
                  </c:pt>
                  <c:pt idx="241">
                    <c:v>2023_Q2</c:v>
                  </c:pt>
                  <c:pt idx="242">
                    <c:v>2023_Q1</c:v>
                  </c:pt>
                  <c:pt idx="243">
                    <c:v>2023_Q2</c:v>
                  </c:pt>
                  <c:pt idx="244">
                    <c:v>2023_Q1</c:v>
                  </c:pt>
                  <c:pt idx="245">
                    <c:v>2023_Q2</c:v>
                  </c:pt>
                  <c:pt idx="246">
                    <c:v>2023_Q1</c:v>
                  </c:pt>
                  <c:pt idx="247">
                    <c:v>2023_Q2</c:v>
                  </c:pt>
                  <c:pt idx="248">
                    <c:v>2023_Q1</c:v>
                  </c:pt>
                  <c:pt idx="249">
                    <c:v>2023_Q2</c:v>
                  </c:pt>
                  <c:pt idx="250">
                    <c:v>2023_Q1</c:v>
                  </c:pt>
                  <c:pt idx="251">
                    <c:v>2023_Q2</c:v>
                  </c:pt>
                  <c:pt idx="252">
                    <c:v>2023_Q1</c:v>
                  </c:pt>
                  <c:pt idx="253">
                    <c:v>2023_Q2</c:v>
                  </c:pt>
                  <c:pt idx="254">
                    <c:v>2023_Q1</c:v>
                  </c:pt>
                  <c:pt idx="255">
                    <c:v>2023_Q2</c:v>
                  </c:pt>
                  <c:pt idx="256">
                    <c:v>2023_Q1</c:v>
                  </c:pt>
                  <c:pt idx="257">
                    <c:v>2023_Q2</c:v>
                  </c:pt>
                  <c:pt idx="258">
                    <c:v>2023_Q1</c:v>
                  </c:pt>
                  <c:pt idx="259">
                    <c:v>2023_Q2</c:v>
                  </c:pt>
                  <c:pt idx="260">
                    <c:v>2023_Q1</c:v>
                  </c:pt>
                  <c:pt idx="261">
                    <c:v>2023_Q1</c:v>
                  </c:pt>
                  <c:pt idx="262">
                    <c:v>2023_Q2</c:v>
                  </c:pt>
                  <c:pt idx="263">
                    <c:v>2023_Q1</c:v>
                  </c:pt>
                  <c:pt idx="264">
                    <c:v>2023_Q2</c:v>
                  </c:pt>
                  <c:pt idx="265">
                    <c:v>2023_Q1</c:v>
                  </c:pt>
                  <c:pt idx="266">
                    <c:v>2023_Q2</c:v>
                  </c:pt>
                  <c:pt idx="267">
                    <c:v>2023_Q1</c:v>
                  </c:pt>
                  <c:pt idx="268">
                    <c:v>2023_Q1</c:v>
                  </c:pt>
                  <c:pt idx="269">
                    <c:v>2023_Q2</c:v>
                  </c:pt>
                  <c:pt idx="270">
                    <c:v>2023_Q1</c:v>
                  </c:pt>
                  <c:pt idx="271">
                    <c:v>2023_Q1</c:v>
                  </c:pt>
                  <c:pt idx="272">
                    <c:v>2023_Q2</c:v>
                  </c:pt>
                  <c:pt idx="273">
                    <c:v>2023_Q1</c:v>
                  </c:pt>
                  <c:pt idx="274">
                    <c:v>2023_Q1</c:v>
                  </c:pt>
                  <c:pt idx="275">
                    <c:v>2023_Q2</c:v>
                  </c:pt>
                  <c:pt idx="276">
                    <c:v>2023_Q1</c:v>
                  </c:pt>
                  <c:pt idx="277">
                    <c:v>2023_Q2</c:v>
                  </c:pt>
                  <c:pt idx="278">
                    <c:v>2023_Q1</c:v>
                  </c:pt>
                  <c:pt idx="279">
                    <c:v>2023_Q1</c:v>
                  </c:pt>
                  <c:pt idx="280">
                    <c:v>2023_Q2</c:v>
                  </c:pt>
                  <c:pt idx="281">
                    <c:v>2023_Q1</c:v>
                  </c:pt>
                  <c:pt idx="282">
                    <c:v>2023_Q2</c:v>
                  </c:pt>
                  <c:pt idx="283">
                    <c:v>2023_Q1</c:v>
                  </c:pt>
                  <c:pt idx="284">
                    <c:v>2023_Q2</c:v>
                  </c:pt>
                  <c:pt idx="285">
                    <c:v>2023_Q1</c:v>
                  </c:pt>
                  <c:pt idx="286">
                    <c:v>2023_Q1</c:v>
                  </c:pt>
                  <c:pt idx="287">
                    <c:v>2023_Q2</c:v>
                  </c:pt>
                  <c:pt idx="288">
                    <c:v>2023_Q1</c:v>
                  </c:pt>
                  <c:pt idx="289">
                    <c:v>2023_Q2</c:v>
                  </c:pt>
                  <c:pt idx="290">
                    <c:v>2023_Q1</c:v>
                  </c:pt>
                  <c:pt idx="291">
                    <c:v>2023_Q2</c:v>
                  </c:pt>
                  <c:pt idx="292">
                    <c:v>2023_Q1</c:v>
                  </c:pt>
                  <c:pt idx="293">
                    <c:v>2023_Q2</c:v>
                  </c:pt>
                  <c:pt idx="294">
                    <c:v>2023_Q1</c:v>
                  </c:pt>
                  <c:pt idx="295">
                    <c:v>2023_Q2</c:v>
                  </c:pt>
                  <c:pt idx="296">
                    <c:v>2023_Q1</c:v>
                  </c:pt>
                  <c:pt idx="297">
                    <c:v>2023_Q2</c:v>
                  </c:pt>
                  <c:pt idx="298">
                    <c:v>2023_Q1</c:v>
                  </c:pt>
                  <c:pt idx="299">
                    <c:v>2023_Q2</c:v>
                  </c:pt>
                  <c:pt idx="300">
                    <c:v>2023_Q1</c:v>
                  </c:pt>
                  <c:pt idx="301">
                    <c:v>2023_Q2</c:v>
                  </c:pt>
                  <c:pt idx="302">
                    <c:v>2023_Q1</c:v>
                  </c:pt>
                  <c:pt idx="303">
                    <c:v>2023_Q1</c:v>
                  </c:pt>
                  <c:pt idx="304">
                    <c:v>2023_Q2</c:v>
                  </c:pt>
                  <c:pt idx="305">
                    <c:v>2023_Q1</c:v>
                  </c:pt>
                  <c:pt idx="306">
                    <c:v>2023_Q2</c:v>
                  </c:pt>
                  <c:pt idx="307">
                    <c:v>2023_Q1</c:v>
                  </c:pt>
                  <c:pt idx="308">
                    <c:v>2023_Q1</c:v>
                  </c:pt>
                  <c:pt idx="309">
                    <c:v>2023_Q2</c:v>
                  </c:pt>
                  <c:pt idx="310">
                    <c:v>2023_Q1</c:v>
                  </c:pt>
                  <c:pt idx="311">
                    <c:v>2023_Q2</c:v>
                  </c:pt>
                  <c:pt idx="312">
                    <c:v>2023_Q1</c:v>
                  </c:pt>
                  <c:pt idx="313">
                    <c:v>2023_Q2</c:v>
                  </c:pt>
                  <c:pt idx="314">
                    <c:v>2023_Q1</c:v>
                  </c:pt>
                  <c:pt idx="315">
                    <c:v>2023_Q2</c:v>
                  </c:pt>
                  <c:pt idx="316">
                    <c:v>2023_Q1</c:v>
                  </c:pt>
                  <c:pt idx="317">
                    <c:v>2023_Q2</c:v>
                  </c:pt>
                  <c:pt idx="318">
                    <c:v>2023_Q1</c:v>
                  </c:pt>
                  <c:pt idx="319">
                    <c:v>2023_Q2</c:v>
                  </c:pt>
                  <c:pt idx="320">
                    <c:v>2023_Q1</c:v>
                  </c:pt>
                  <c:pt idx="321">
                    <c:v>2023_Q2</c:v>
                  </c:pt>
                  <c:pt idx="322">
                    <c:v>2023_Q1</c:v>
                  </c:pt>
                  <c:pt idx="323">
                    <c:v>2023_Q2</c:v>
                  </c:pt>
                  <c:pt idx="324">
                    <c:v>2023_Q1</c:v>
                  </c:pt>
                  <c:pt idx="325">
                    <c:v>2023_Q2</c:v>
                  </c:pt>
                  <c:pt idx="326">
                    <c:v>2023_Q1</c:v>
                  </c:pt>
                  <c:pt idx="327">
                    <c:v>2023_Q2</c:v>
                  </c:pt>
                  <c:pt idx="328">
                    <c:v>2023_Q1</c:v>
                  </c:pt>
                  <c:pt idx="329">
                    <c:v>2023_Q2</c:v>
                  </c:pt>
                  <c:pt idx="330">
                    <c:v>2023_Q1</c:v>
                  </c:pt>
                  <c:pt idx="331">
                    <c:v>2023_Q2</c:v>
                  </c:pt>
                  <c:pt idx="332">
                    <c:v>2023_Q1</c:v>
                  </c:pt>
                  <c:pt idx="333">
                    <c:v>2023_Q2</c:v>
                  </c:pt>
                  <c:pt idx="334">
                    <c:v>2023_Q1</c:v>
                  </c:pt>
                  <c:pt idx="335">
                    <c:v>2023_Q2</c:v>
                  </c:pt>
                  <c:pt idx="336">
                    <c:v>2023_Q1</c:v>
                  </c:pt>
                  <c:pt idx="337">
                    <c:v>2023_Q1</c:v>
                  </c:pt>
                  <c:pt idx="338">
                    <c:v>2023_Q2</c:v>
                  </c:pt>
                  <c:pt idx="339">
                    <c:v>2023_Q1</c:v>
                  </c:pt>
                  <c:pt idx="340">
                    <c:v>2023_Q2</c:v>
                  </c:pt>
                  <c:pt idx="341">
                    <c:v>2023_Q1</c:v>
                  </c:pt>
                  <c:pt idx="342">
                    <c:v>2023_Q2</c:v>
                  </c:pt>
                  <c:pt idx="343">
                    <c:v>2023_Q1</c:v>
                  </c:pt>
                  <c:pt idx="344">
                    <c:v>2023_Q1</c:v>
                  </c:pt>
                  <c:pt idx="345">
                    <c:v>2023_Q2</c:v>
                  </c:pt>
                  <c:pt idx="346">
                    <c:v>2023_Q1</c:v>
                  </c:pt>
                  <c:pt idx="347">
                    <c:v>2023_Q1</c:v>
                  </c:pt>
                  <c:pt idx="348">
                    <c:v>2023_Q1</c:v>
                  </c:pt>
                  <c:pt idx="349">
                    <c:v>2023_Q2</c:v>
                  </c:pt>
                  <c:pt idx="350">
                    <c:v>2023_Q1</c:v>
                  </c:pt>
                  <c:pt idx="351">
                    <c:v>2023_Q2</c:v>
                  </c:pt>
                  <c:pt idx="352">
                    <c:v>2023_Q1</c:v>
                  </c:pt>
                  <c:pt idx="353">
                    <c:v>2023_Q2</c:v>
                  </c:pt>
                  <c:pt idx="354">
                    <c:v>2023_Q1</c:v>
                  </c:pt>
                  <c:pt idx="355">
                    <c:v>2023_Q2</c:v>
                  </c:pt>
                  <c:pt idx="356">
                    <c:v>2023_Q1</c:v>
                  </c:pt>
                  <c:pt idx="357">
                    <c:v>2023_Q2</c:v>
                  </c:pt>
                  <c:pt idx="358">
                    <c:v>2023_Q1</c:v>
                  </c:pt>
                  <c:pt idx="359">
                    <c:v>2023_Q2</c:v>
                  </c:pt>
                  <c:pt idx="360">
                    <c:v>2023_Q1</c:v>
                  </c:pt>
                  <c:pt idx="361">
                    <c:v>2023_Q2</c:v>
                  </c:pt>
                  <c:pt idx="362">
                    <c:v>2023_Q1</c:v>
                  </c:pt>
                  <c:pt idx="363">
                    <c:v>2023_Q2</c:v>
                  </c:pt>
                  <c:pt idx="364">
                    <c:v>2023_Q1</c:v>
                  </c:pt>
                  <c:pt idx="365">
                    <c:v>2023_Q2</c:v>
                  </c:pt>
                  <c:pt idx="366">
                    <c:v>2023_Q1</c:v>
                  </c:pt>
                  <c:pt idx="367">
                    <c:v>2023_Q2</c:v>
                  </c:pt>
                  <c:pt idx="368">
                    <c:v>2023_Q1</c:v>
                  </c:pt>
                  <c:pt idx="369">
                    <c:v>2023_Q1</c:v>
                  </c:pt>
                  <c:pt idx="370">
                    <c:v>2023_Q1</c:v>
                  </c:pt>
                  <c:pt idx="371">
                    <c:v>2023_Q2</c:v>
                  </c:pt>
                  <c:pt idx="372">
                    <c:v>2023_Q1</c:v>
                  </c:pt>
                  <c:pt idx="373">
                    <c:v>2023_Q2</c:v>
                  </c:pt>
                  <c:pt idx="374">
                    <c:v>2023_Q1</c:v>
                  </c:pt>
                  <c:pt idx="375">
                    <c:v>2023_Q2</c:v>
                  </c:pt>
                  <c:pt idx="376">
                    <c:v>2023_Q1</c:v>
                  </c:pt>
                  <c:pt idx="377">
                    <c:v>2023_Q2</c:v>
                  </c:pt>
                  <c:pt idx="378">
                    <c:v>2023_Q1</c:v>
                  </c:pt>
                  <c:pt idx="379">
                    <c:v>2023_Q1</c:v>
                  </c:pt>
                  <c:pt idx="380">
                    <c:v>2023_Q2</c:v>
                  </c:pt>
                  <c:pt idx="381">
                    <c:v>2023_Q1</c:v>
                  </c:pt>
                  <c:pt idx="382">
                    <c:v>2023_Q2</c:v>
                  </c:pt>
                  <c:pt idx="383">
                    <c:v>2023_Q1</c:v>
                  </c:pt>
                  <c:pt idx="384">
                    <c:v>2023_Q2</c:v>
                  </c:pt>
                  <c:pt idx="385">
                    <c:v>2023_Q1</c:v>
                  </c:pt>
                  <c:pt idx="386">
                    <c:v>2023_Q2</c:v>
                  </c:pt>
                  <c:pt idx="387">
                    <c:v>2023_Q1</c:v>
                  </c:pt>
                  <c:pt idx="388">
                    <c:v>2023_Q2</c:v>
                  </c:pt>
                  <c:pt idx="389">
                    <c:v>2023_Q1</c:v>
                  </c:pt>
                  <c:pt idx="390">
                    <c:v>2023_Q2</c:v>
                  </c:pt>
                  <c:pt idx="391">
                    <c:v>2023_Q1</c:v>
                  </c:pt>
                  <c:pt idx="392">
                    <c:v>2023_Q1</c:v>
                  </c:pt>
                  <c:pt idx="393">
                    <c:v>2023_Q1</c:v>
                  </c:pt>
                  <c:pt idx="394">
                    <c:v>2023_Q2</c:v>
                  </c:pt>
                  <c:pt idx="395">
                    <c:v>2023_Q2</c:v>
                  </c:pt>
                  <c:pt idx="396">
                    <c:v>2023_Q2</c:v>
                  </c:pt>
                  <c:pt idx="397">
                    <c:v>2023_Q2</c:v>
                  </c:pt>
                  <c:pt idx="398">
                    <c:v>2023_Q2</c:v>
                  </c:pt>
                  <c:pt idx="399">
                    <c:v>2023_Q2</c:v>
                  </c:pt>
                  <c:pt idx="400">
                    <c:v>2023_Q2</c:v>
                  </c:pt>
                </c:lvl>
                <c:lvl>
                  <c:pt idx="0">
                    <c:v>AD-2000 Tharthana Compound</c:v>
                  </c:pt>
                  <c:pt idx="2">
                    <c:v>AG Church, Hmaw Si Sa</c:v>
                  </c:pt>
                  <c:pt idx="4">
                    <c:v>AG Church, Maw Wan</c:v>
                  </c:pt>
                  <c:pt idx="6">
                    <c:v>Agritural Compound (KBC)</c:v>
                  </c:pt>
                  <c:pt idx="8">
                    <c:v>Aung Thar Church</c:v>
                  </c:pt>
                  <c:pt idx="10">
                    <c:v>Baptist Church, Hmaw Si Sar(Lon Khin)</c:v>
                  </c:pt>
                  <c:pt idx="12">
                    <c:v>Border Post 8</c:v>
                  </c:pt>
                  <c:pt idx="14">
                    <c:v>Bum Tsit Pa</c:v>
                  </c:pt>
                  <c:pt idx="16">
                    <c:v>Chin Church, Seik Mu</c:v>
                  </c:pt>
                  <c:pt idx="17">
                    <c:v>Chipwi KBC camp</c:v>
                  </c:pt>
                  <c:pt idx="19">
                    <c:v>Dhama Rakhita, Nyein Chan Tar Yar Ward(Lon Khin)</c:v>
                  </c:pt>
                  <c:pt idx="21">
                    <c:v>Du Kahtawng Baptist</c:v>
                  </c:pt>
                  <c:pt idx="22">
                    <c:v>Dum Bung </c:v>
                  </c:pt>
                  <c:pt idx="24">
                    <c:v>Emmanuel AG Church</c:v>
                  </c:pt>
                  <c:pt idx="25">
                    <c:v>Galeng (Palaung) &amp; Kone Khem</c:v>
                  </c:pt>
                  <c:pt idx="27">
                    <c:v>Hka Shi</c:v>
                  </c:pt>
                  <c:pt idx="29">
                    <c:v>Hkat Cho </c:v>
                  </c:pt>
                  <c:pt idx="31">
                    <c:v>Hkau Shau (BP 12)</c:v>
                  </c:pt>
                  <c:pt idx="33">
                    <c:v>Hlaing Naung Baptist</c:v>
                  </c:pt>
                  <c:pt idx="35">
                    <c:v>Hpai Kawng</c:v>
                  </c:pt>
                  <c:pt idx="37">
                    <c:v>Hpakant Baptist Church, Nam Ma Hpit</c:v>
                  </c:pt>
                  <c:pt idx="39">
                    <c:v>Hpare Hkyer - BP6</c:v>
                  </c:pt>
                  <c:pt idx="41">
                    <c:v>Hpun Lum Yang </c:v>
                  </c:pt>
                  <c:pt idx="43">
                    <c:v>Htoi San Church</c:v>
                  </c:pt>
                  <c:pt idx="45">
                    <c:v>Hu Hku &amp; Ho Hko</c:v>
                  </c:pt>
                  <c:pt idx="47">
                    <c:v>IDP Boarding School, A Len Bum</c:v>
                  </c:pt>
                  <c:pt idx="49">
                    <c:v>Jan Mai Kawng Baptist Church</c:v>
                  </c:pt>
                  <c:pt idx="51">
                    <c:v>Jan Mai Kawng Catholic Church</c:v>
                  </c:pt>
                  <c:pt idx="53">
                    <c:v>Jaw Masat Camp</c:v>
                  </c:pt>
                  <c:pt idx="55">
                    <c:v>Je Yang Hka </c:v>
                  </c:pt>
                  <c:pt idx="57">
                    <c:v>Ka Bu Dam CoC</c:v>
                  </c:pt>
                  <c:pt idx="59">
                    <c:v>Kachin Su Baptist Church (ECCD)</c:v>
                  </c:pt>
                  <c:pt idx="61">
                    <c:v>Karmaing RC Church</c:v>
                  </c:pt>
                  <c:pt idx="62">
                    <c:v>Khar Nan (1) Baptist Church</c:v>
                  </c:pt>
                  <c:pt idx="64">
                    <c:v>Kutkai downtown (KBC Church)</c:v>
                  </c:pt>
                  <c:pt idx="66">
                    <c:v>Kutkai downtown (KBC Church-2)</c:v>
                  </c:pt>
                  <c:pt idx="68">
                    <c:v>Kyu Sot</c:v>
                  </c:pt>
                  <c:pt idx="69">
                    <c:v>Kyun Taw Baptist Church </c:v>
                  </c:pt>
                  <c:pt idx="71">
                    <c:v>Laiza Je Yang School</c:v>
                  </c:pt>
                  <c:pt idx="73">
                    <c:v>Lana Zup Ja</c:v>
                  </c:pt>
                  <c:pt idx="75">
                    <c:v>Lawng Hkang Shait Yang Camp​ ( Lel Pyin)​ </c:v>
                  </c:pt>
                  <c:pt idx="77">
                    <c:v>Le Kone Bethlehem Church</c:v>
                  </c:pt>
                  <c:pt idx="79">
                    <c:v>Le Kone Ziun Baptist Church </c:v>
                  </c:pt>
                  <c:pt idx="81">
                    <c:v>Lhaovao Baptist Church (LBC)</c:v>
                  </c:pt>
                  <c:pt idx="83">
                    <c:v>Lisu Baptist Church, Maw Shan Vil,. Seik Mu</c:v>
                  </c:pt>
                  <c:pt idx="85">
                    <c:v>Lisu Baptist Church, Maw Wan Ward</c:v>
                  </c:pt>
                  <c:pt idx="87">
                    <c:v>Lisu Boarding-House</c:v>
                  </c:pt>
                  <c:pt idx="89">
                    <c:v>Lisu Church Namtu</c:v>
                  </c:pt>
                  <c:pt idx="90">
                    <c:v>Loi Je Baptist Church</c:v>
                  </c:pt>
                  <c:pt idx="92">
                    <c:v>Loi Je Catholic Church</c:v>
                  </c:pt>
                  <c:pt idx="94">
                    <c:v>Loi Je Lisu Camp</c:v>
                  </c:pt>
                  <c:pt idx="96">
                    <c:v>Lone Khin Catholic Church</c:v>
                  </c:pt>
                  <c:pt idx="97">
                    <c:v>Ma Hawng Baptist Church</c:v>
                  </c:pt>
                  <c:pt idx="99">
                    <c:v>Mading Baptist Church</c:v>
                  </c:pt>
                  <c:pt idx="101">
                    <c:v>Maga Yang </c:v>
                  </c:pt>
                  <c:pt idx="103">
                    <c:v>Mai Yu Lay New (Ta'ang)</c:v>
                  </c:pt>
                  <c:pt idx="105">
                    <c:v>Maina AG Church</c:v>
                  </c:pt>
                  <c:pt idx="107">
                    <c:v>Maina Catholic Church (St. Joseph)</c:v>
                  </c:pt>
                  <c:pt idx="109">
                    <c:v>Maina KBC (Bawng Ring)</c:v>
                  </c:pt>
                  <c:pt idx="111">
                    <c:v>Maina Lawang Baptist Church</c:v>
                  </c:pt>
                  <c:pt idx="113">
                    <c:v>Maing Khaung</c:v>
                  </c:pt>
                  <c:pt idx="115">
                    <c:v>Maing Khaung Catholic Church</c:v>
                  </c:pt>
                  <c:pt idx="117">
                    <c:v>Maliyang Baptist Church</c:v>
                  </c:pt>
                  <c:pt idx="119">
                    <c:v>Man Bung Catholic compound</c:v>
                  </c:pt>
                  <c:pt idx="121">
                    <c:v>Man Bung Edin Baptist Church</c:v>
                  </c:pt>
                  <c:pt idx="123">
                    <c:v>Man Hkring Baptist Church</c:v>
                  </c:pt>
                  <c:pt idx="125">
                    <c:v>Man Kaung/Naung Ti Kyar Village</c:v>
                  </c:pt>
                  <c:pt idx="127">
                    <c:v>Man Loi</c:v>
                  </c:pt>
                  <c:pt idx="128">
                    <c:v>Man Wing Baptist Church</c:v>
                  </c:pt>
                  <c:pt idx="130">
                    <c:v>Man Wing Baptist Church Cultural Compound</c:v>
                  </c:pt>
                  <c:pt idx="132">
                    <c:v>Man Wing Catholic Church</c:v>
                  </c:pt>
                  <c:pt idx="134">
                    <c:v>Man Wing Catholic Church II</c:v>
                  </c:pt>
                  <c:pt idx="136">
                    <c:v>Mandung - Jinghpaw</c:v>
                  </c:pt>
                  <c:pt idx="137">
                    <c:v>Mandung - RC</c:v>
                  </c:pt>
                  <c:pt idx="138">
                    <c:v>Mansi Baptist Church</c:v>
                  </c:pt>
                  <c:pt idx="140">
                    <c:v>Maw Hpawng Hka Nan Baptist Church</c:v>
                  </c:pt>
                  <c:pt idx="142">
                    <c:v>Maw Hpawng Lhaovo Baptist Church</c:v>
                  </c:pt>
                  <c:pt idx="144">
                    <c:v>Maw Wan, Mu-yin Baptist Church</c:v>
                  </c:pt>
                  <c:pt idx="146">
                    <c:v>Mine Yu Lay village ( Old)</c:v>
                  </c:pt>
                  <c:pt idx="148">
                    <c:v>Momauk Baptist Church</c:v>
                  </c:pt>
                  <c:pt idx="150">
                    <c:v>Mung Hawm </c:v>
                  </c:pt>
                  <c:pt idx="152">
                    <c:v>Muyin church (Aung Yar pre-school compound)</c:v>
                  </c:pt>
                  <c:pt idx="154">
                    <c:v>Nam Hkam - Nay Win Ni (Palawng)</c:v>
                  </c:pt>
                  <c:pt idx="156">
                    <c:v>Nam Hkam (KBC Jaw Wang)</c:v>
                  </c:pt>
                  <c:pt idx="158">
                    <c:v>Nam Hkam (KBC Jaw Wang) II</c:v>
                  </c:pt>
                  <c:pt idx="159">
                    <c:v>Nam Hkam Catholic Church ( St. Thomas I)</c:v>
                  </c:pt>
                  <c:pt idx="161">
                    <c:v>Nam Hpak Ka Mare </c:v>
                  </c:pt>
                  <c:pt idx="163">
                    <c:v>Nam Hpak Ka Ta'ang ( Aung Tha Pyay)</c:v>
                  </c:pt>
                  <c:pt idx="165">
                    <c:v>Nam Ma Phyit, COC</c:v>
                  </c:pt>
                  <c:pt idx="167">
                    <c:v>Nam Sa Larp</c:v>
                  </c:pt>
                  <c:pt idx="169">
                    <c:v>Nam Tu Baptist</c:v>
                  </c:pt>
                  <c:pt idx="170">
                    <c:v>Namti Labraw Yang KBC Camp</c:v>
                  </c:pt>
                  <c:pt idx="172">
                    <c:v>Nan Kway St. John Catholic Church</c:v>
                  </c:pt>
                  <c:pt idx="174">
                    <c:v>Nant Ma Hpit Catholic Church</c:v>
                  </c:pt>
                  <c:pt idx="176">
                    <c:v>Nat Gyi Kone Baptist Church </c:v>
                  </c:pt>
                  <c:pt idx="178">
                    <c:v>Nawng Hee Village</c:v>
                  </c:pt>
                  <c:pt idx="179">
                    <c:v>Nawng Ing (Indawgyi) Baptist Church </c:v>
                  </c:pt>
                  <c:pt idx="181">
                    <c:v>Ndup Yang</c:v>
                  </c:pt>
                  <c:pt idx="183">
                    <c:v>New Pang Ku </c:v>
                  </c:pt>
                  <c:pt idx="185">
                    <c:v>Nhkawng Pa </c:v>
                  </c:pt>
                  <c:pt idx="187">
                    <c:v>Njang Dung Baptist Church </c:v>
                  </c:pt>
                  <c:pt idx="189">
                    <c:v>Nyaung Na Pin </c:v>
                  </c:pt>
                  <c:pt idx="191">
                    <c:v>Pa Dauk Myaing(Pa La Na)</c:v>
                  </c:pt>
                  <c:pt idx="193">
                    <c:v>Pa Dauk Myaing(Pa La Na)-II</c:v>
                  </c:pt>
                  <c:pt idx="195">
                    <c:v>Pa Kahtawng </c:v>
                  </c:pt>
                  <c:pt idx="197">
                    <c:v>Pajau - Jan Mai</c:v>
                  </c:pt>
                  <c:pt idx="199">
                    <c:v>Pan Law</c:v>
                  </c:pt>
                  <c:pt idx="201">
                    <c:v>Pang Hkawn Yang</c:v>
                  </c:pt>
                  <c:pt idx="203">
                    <c:v>Phan Khar Kone</c:v>
                  </c:pt>
                  <c:pt idx="205">
                    <c:v>Qtr. 2 Lhaovo Baptist Church</c:v>
                  </c:pt>
                  <c:pt idx="207">
                    <c:v>Qtr. 2 Myoma Baptist Church</c:v>
                  </c:pt>
                  <c:pt idx="209">
                    <c:v>Rawan Baptist Church, Maw Shan Vil., Seik Mu</c:v>
                  </c:pt>
                  <c:pt idx="211">
                    <c:v>Robert Church</c:v>
                  </c:pt>
                  <c:pt idx="213">
                    <c:v>Sadung</c:v>
                  </c:pt>
                  <c:pt idx="215">
                    <c:v>Salang Yang</c:v>
                  </c:pt>
                  <c:pt idx="217">
                    <c:v>Sar Hmaw - KBC</c:v>
                  </c:pt>
                  <c:pt idx="219">
                    <c:v>Seng Ja </c:v>
                  </c:pt>
                  <c:pt idx="221">
                    <c:v>Sha-It Yang</c:v>
                  </c:pt>
                  <c:pt idx="223">
                    <c:v>Shar Du Zut KBC church </c:v>
                  </c:pt>
                  <c:pt idx="224">
                    <c:v>Shatapru Sut Ngai Tawng</c:v>
                  </c:pt>
                  <c:pt idx="226">
                    <c:v>Shatapru Thida Aye Baptist Church</c:v>
                  </c:pt>
                  <c:pt idx="228">
                    <c:v>Shing Jai</c:v>
                  </c:pt>
                  <c:pt idx="230">
                    <c:v>Shwe Gu Baptist Church</c:v>
                  </c:pt>
                  <c:pt idx="232">
                    <c:v>Shwe Gu Catholic Church</c:v>
                  </c:pt>
                  <c:pt idx="234">
                    <c:v>Shwe Zet Baptist Church</c:v>
                  </c:pt>
                  <c:pt idx="236">
                    <c:v>St. Joseph Tanai RC camp </c:v>
                  </c:pt>
                  <c:pt idx="238">
                    <c:v>Tanai CoC</c:v>
                  </c:pt>
                  <c:pt idx="240">
                    <c:v>Tanai KBC Camp</c:v>
                  </c:pt>
                  <c:pt idx="242">
                    <c:v>Tat Kone Baptist Church</c:v>
                  </c:pt>
                  <c:pt idx="244">
                    <c:v>Tat Kone COC Baptist - Tat Kone Htoi San</c:v>
                  </c:pt>
                  <c:pt idx="246">
                    <c:v>Tat Kone Galile Baptist Church</c:v>
                  </c:pt>
                  <c:pt idx="248">
                    <c:v>Tat Kone San Pya Baptist Church</c:v>
                  </c:pt>
                  <c:pt idx="250">
                    <c:v>Thargaya Lisu Baptist Church</c:v>
                  </c:pt>
                  <c:pt idx="252">
                    <c:v>Trinity Camp</c:v>
                  </c:pt>
                  <c:pt idx="254">
                    <c:v>Tsan Lun - Namjarap</c:v>
                  </c:pt>
                  <c:pt idx="256">
                    <c:v>Waimaw Baptist Zonal Office 2</c:v>
                  </c:pt>
                  <c:pt idx="258">
                    <c:v>Waingmaw AG Church</c:v>
                  </c:pt>
                  <c:pt idx="260">
                    <c:v>Ward 2 Sai Taung Baptist Church, Seik Mu </c:v>
                  </c:pt>
                  <c:pt idx="261">
                    <c:v>Woi Chyai </c:v>
                  </c:pt>
                  <c:pt idx="263">
                    <c:v>Woi Chyai (Mong Lai)</c:v>
                  </c:pt>
                  <c:pt idx="265">
                    <c:v>Woi Chyai host families</c:v>
                  </c:pt>
                  <c:pt idx="267">
                    <c:v>Yumar Baptist Church</c:v>
                  </c:pt>
                  <c:pt idx="268">
                    <c:v>Zup Aung Camp</c:v>
                  </c:pt>
                  <c:pt idx="270">
                    <c:v>Hka Garan Yang </c:v>
                  </c:pt>
                  <c:pt idx="271">
                    <c:v>Htang Nya </c:v>
                  </c:pt>
                  <c:pt idx="273">
                    <c:v>Enai (Man Pyein)</c:v>
                  </c:pt>
                  <c:pt idx="274">
                    <c:v>Momauk IDP new extension camp (Kye Nan)</c:v>
                  </c:pt>
                  <c:pt idx="276">
                    <c:v>Sector 5 Pammati Quarter</c:v>
                  </c:pt>
                  <c:pt idx="278">
                    <c:v>Namatee Kan Hla AG</c:v>
                  </c:pt>
                  <c:pt idx="279">
                    <c:v>His Aw (Chyu Fan) </c:v>
                  </c:pt>
                  <c:pt idx="281">
                    <c:v>Shwe Sin (Ward 3) </c:v>
                  </c:pt>
                  <c:pt idx="283">
                    <c:v>Bum Ra Yang Camp </c:v>
                  </c:pt>
                  <c:pt idx="285">
                    <c:v>Mang Nawng Kawng (host)</c:v>
                  </c:pt>
                  <c:pt idx="286">
                    <c:v>Kyaukme Town (host)</c:v>
                  </c:pt>
                  <c:pt idx="288">
                    <c:v>Nam Hlaing Extension Ward camp</c:v>
                  </c:pt>
                  <c:pt idx="290">
                    <c:v>Naung Tar Law (Kyet Chan) </c:v>
                  </c:pt>
                  <c:pt idx="292">
                    <c:v>Waingmaw St.Joseph RC Church</c:v>
                  </c:pt>
                  <c:pt idx="294">
                    <c:v>Phaug Nhae Camp</c:v>
                  </c:pt>
                  <c:pt idx="296">
                    <c:v>Ding Jang Yang (1)</c:v>
                  </c:pt>
                  <c:pt idx="298">
                    <c:v>Ding Jang Yang (2)</c:v>
                  </c:pt>
                  <c:pt idx="300">
                    <c:v>Yi Hku Man Hkan </c:v>
                  </c:pt>
                  <c:pt idx="302">
                    <c:v>Maina Relocation Site</c:v>
                  </c:pt>
                  <c:pt idx="303">
                    <c:v>Lin Hao chun </c:v>
                  </c:pt>
                  <c:pt idx="305">
                    <c:v>Pyi Htaung Su</c:v>
                  </c:pt>
                  <c:pt idx="307">
                    <c:v>Momauk KBC church</c:v>
                  </c:pt>
                  <c:pt idx="308">
                    <c:v>St.Francis RCC 1</c:v>
                  </c:pt>
                  <c:pt idx="310">
                    <c:v>St.Francis RCC 2</c:v>
                  </c:pt>
                  <c:pt idx="312">
                    <c:v>Bang Yang Hka (Mung Ji Pa)-relocated</c:v>
                  </c:pt>
                  <c:pt idx="314">
                    <c:v>Galeng Zup Awng ward 5 RC</c:v>
                  </c:pt>
                  <c:pt idx="316">
                    <c:v>Man Wing- IDPs in Host</c:v>
                  </c:pt>
                  <c:pt idx="318">
                    <c:v>(3 mile) Shwe Pyi Tar (SLCA)</c:v>
                  </c:pt>
                  <c:pt idx="320">
                    <c:v>Bhamo- IDPs in Host </c:v>
                  </c:pt>
                  <c:pt idx="322">
                    <c:v>St.Columban lone Khin camp</c:v>
                  </c:pt>
                  <c:pt idx="324">
                    <c:v>Mansi- IDPs in Host</c:v>
                  </c:pt>
                  <c:pt idx="326">
                    <c:v>Hopin -IDPs in Host</c:v>
                  </c:pt>
                  <c:pt idx="328">
                    <c:v>Moenyin- IDPs in Host</c:v>
                  </c:pt>
                  <c:pt idx="330">
                    <c:v>Momauk-IDPs in Host</c:v>
                  </c:pt>
                  <c:pt idx="332">
                    <c:v>Myo Thit -IDP in Host</c:v>
                  </c:pt>
                  <c:pt idx="334">
                    <c:v>Saint Matthew (Shin ma ti-sitapru) camp</c:v>
                  </c:pt>
                  <c:pt idx="336">
                    <c:v>Na ru Kawng (Post 6 camp)</c:v>
                  </c:pt>
                  <c:pt idx="337">
                    <c:v>Man Pint community Hall </c:v>
                  </c:pt>
                  <c:pt idx="339">
                    <c:v>Mong Tin High School</c:v>
                  </c:pt>
                  <c:pt idx="341">
                    <c:v>Nar Mun Primary School</c:v>
                  </c:pt>
                  <c:pt idx="343">
                    <c:v>SLCA Building Compound (Kyaukme town)</c:v>
                  </c:pt>
                  <c:pt idx="344">
                    <c:v>SLCA Building Compound (Moungnawt town)</c:v>
                  </c:pt>
                  <c:pt idx="346">
                    <c:v>Theravada Monastery </c:v>
                  </c:pt>
                  <c:pt idx="347">
                    <c:v>Hseng Ja-Relocated</c:v>
                  </c:pt>
                  <c:pt idx="348">
                    <c:v>Maina Mu-yin  Baptist Church</c:v>
                  </c:pt>
                  <c:pt idx="350">
                    <c:v>LCC UM Camp Hka Shi</c:v>
                  </c:pt>
                  <c:pt idx="352">
                    <c:v>Lisu Ethnic Youth Development Center </c:v>
                  </c:pt>
                  <c:pt idx="354">
                    <c:v>Nbang Yang camp </c:v>
                  </c:pt>
                  <c:pt idx="356">
                    <c:v>Rawang Baptist Church</c:v>
                  </c:pt>
                  <c:pt idx="358">
                    <c:v>Sut Ngai yang camp </c:v>
                  </c:pt>
                  <c:pt idx="360">
                    <c:v>Sadung KBC</c:v>
                  </c:pt>
                  <c:pt idx="362">
                    <c:v>Sana Lisu Baptist Church (DTC)</c:v>
                  </c:pt>
                  <c:pt idx="364">
                    <c:v>Sutaung Taung Chae</c:v>
                  </c:pt>
                  <c:pt idx="366">
                    <c:v>Mohnyin IDP in host (2)</c:v>
                  </c:pt>
                  <c:pt idx="368">
                    <c:v>Wuyan Lisu (KLCC) </c:v>
                  </c:pt>
                  <c:pt idx="369">
                    <c:v>Lisu Church</c:v>
                  </c:pt>
                  <c:pt idx="370">
                    <c:v>Chinese Baptist Church Compound(Oak Hpo)</c:v>
                  </c:pt>
                  <c:pt idx="372">
                    <c:v>Farmland(Kyay Zu Taw)</c:v>
                  </c:pt>
                  <c:pt idx="374">
                    <c:v>Pong Mun School</c:v>
                  </c:pt>
                  <c:pt idx="376">
                    <c:v>Hka San Baptist church </c:v>
                  </c:pt>
                  <c:pt idx="378">
                    <c:v>Ward 3 </c:v>
                  </c:pt>
                  <c:pt idx="379">
                    <c:v>Sun Lon monastery </c:v>
                  </c:pt>
                  <c:pt idx="381">
                    <c:v>Farmland(Kaung Kye Peik)</c:v>
                  </c:pt>
                  <c:pt idx="383">
                    <c:v>Kaung Nyaung Ywar Thit (Ho Piek gyi)</c:v>
                  </c:pt>
                  <c:pt idx="385">
                    <c:v>Ward 5 &amp; 9</c:v>
                  </c:pt>
                  <c:pt idx="387">
                    <c:v>Kan Long </c:v>
                  </c:pt>
                  <c:pt idx="389">
                    <c:v>Chicken Farm </c:v>
                  </c:pt>
                  <c:pt idx="391">
                    <c:v>KBC Church </c:v>
                  </c:pt>
                  <c:pt idx="392">
                    <c:v>New Nant  Hlaing camp</c:v>
                  </c:pt>
                  <c:pt idx="393">
                    <c:v>Shan Culutre camp</c:v>
                  </c:pt>
                  <c:pt idx="394">
                    <c:v>Dagaw Border</c:v>
                  </c:pt>
                  <c:pt idx="395">
                    <c:v>Lashio ward 7 – IDPs in host</c:v>
                  </c:pt>
                  <c:pt idx="396">
                    <c:v>Lashio ward 9 – IDPs in host</c:v>
                  </c:pt>
                  <c:pt idx="397">
                    <c:v>Ward 3</c:v>
                  </c:pt>
                  <c:pt idx="398">
                    <c:v>Mong Paw Building</c:v>
                  </c:pt>
                  <c:pt idx="399">
                    <c:v>IDP in host community(Mongkoe town)</c:v>
                  </c:pt>
                  <c:pt idx="400">
                    <c:v>Sein Lone Shann Border</c:v>
                  </c:pt>
                </c:lvl>
              </c:multiLvlStrCache>
            </c:multiLvlStrRef>
          </c:cat>
          <c:val>
            <c:numRef>
              <c:f>'Tracking Dashboard'!$N$5:$N$626</c:f>
              <c:numCache>
                <c:formatCode>General</c:formatCode>
                <c:ptCount val="401"/>
                <c:pt idx="0">
                  <c:v>715</c:v>
                </c:pt>
                <c:pt idx="1">
                  <c:v>715</c:v>
                </c:pt>
                <c:pt idx="2">
                  <c:v>446</c:v>
                </c:pt>
                <c:pt idx="3">
                  <c:v>446</c:v>
                </c:pt>
                <c:pt idx="4">
                  <c:v>70</c:v>
                </c:pt>
                <c:pt idx="5">
                  <c:v>70</c:v>
                </c:pt>
                <c:pt idx="6">
                  <c:v>0</c:v>
                </c:pt>
                <c:pt idx="7">
                  <c:v>0</c:v>
                </c:pt>
                <c:pt idx="8">
                  <c:v>0</c:v>
                </c:pt>
                <c:pt idx="9">
                  <c:v>0</c:v>
                </c:pt>
                <c:pt idx="10">
                  <c:v>249</c:v>
                </c:pt>
                <c:pt idx="11">
                  <c:v>249</c:v>
                </c:pt>
                <c:pt idx="12">
                  <c:v>405</c:v>
                </c:pt>
                <c:pt idx="13">
                  <c:v>258</c:v>
                </c:pt>
                <c:pt idx="14">
                  <c:v>1900</c:v>
                </c:pt>
                <c:pt idx="15">
                  <c:v>1900</c:v>
                </c:pt>
                <c:pt idx="16">
                  <c:v>24</c:v>
                </c:pt>
                <c:pt idx="17">
                  <c:v>500</c:v>
                </c:pt>
                <c:pt idx="18">
                  <c:v>500</c:v>
                </c:pt>
                <c:pt idx="19">
                  <c:v>451</c:v>
                </c:pt>
                <c:pt idx="20">
                  <c:v>451</c:v>
                </c:pt>
                <c:pt idx="21">
                  <c:v>198</c:v>
                </c:pt>
                <c:pt idx="22">
                  <c:v>404</c:v>
                </c:pt>
                <c:pt idx="23">
                  <c:v>404</c:v>
                </c:pt>
                <c:pt idx="24">
                  <c:v>0</c:v>
                </c:pt>
                <c:pt idx="25">
                  <c:v>439</c:v>
                </c:pt>
                <c:pt idx="26">
                  <c:v>439</c:v>
                </c:pt>
                <c:pt idx="27">
                  <c:v>381</c:v>
                </c:pt>
                <c:pt idx="28">
                  <c:v>381</c:v>
                </c:pt>
                <c:pt idx="29">
                  <c:v>298</c:v>
                </c:pt>
                <c:pt idx="30">
                  <c:v>298</c:v>
                </c:pt>
                <c:pt idx="31">
                  <c:v>856</c:v>
                </c:pt>
                <c:pt idx="32">
                  <c:v>896</c:v>
                </c:pt>
                <c:pt idx="33">
                  <c:v>0</c:v>
                </c:pt>
                <c:pt idx="34">
                  <c:v>126</c:v>
                </c:pt>
                <c:pt idx="35">
                  <c:v>0</c:v>
                </c:pt>
                <c:pt idx="36">
                  <c:v>0</c:v>
                </c:pt>
                <c:pt idx="37">
                  <c:v>471</c:v>
                </c:pt>
                <c:pt idx="38">
                  <c:v>471</c:v>
                </c:pt>
                <c:pt idx="39">
                  <c:v>1000</c:v>
                </c:pt>
                <c:pt idx="40">
                  <c:v>500</c:v>
                </c:pt>
                <c:pt idx="41">
                  <c:v>3405</c:v>
                </c:pt>
                <c:pt idx="42">
                  <c:v>0</c:v>
                </c:pt>
                <c:pt idx="43">
                  <c:v>0</c:v>
                </c:pt>
                <c:pt idx="44">
                  <c:v>200</c:v>
                </c:pt>
                <c:pt idx="45">
                  <c:v>130</c:v>
                </c:pt>
                <c:pt idx="46">
                  <c:v>130</c:v>
                </c:pt>
                <c:pt idx="47">
                  <c:v>0</c:v>
                </c:pt>
                <c:pt idx="48">
                  <c:v>0</c:v>
                </c:pt>
                <c:pt idx="49">
                  <c:v>500</c:v>
                </c:pt>
                <c:pt idx="50">
                  <c:v>742</c:v>
                </c:pt>
                <c:pt idx="51">
                  <c:v>278</c:v>
                </c:pt>
                <c:pt idx="52">
                  <c:v>278</c:v>
                </c:pt>
                <c:pt idx="53">
                  <c:v>500</c:v>
                </c:pt>
                <c:pt idx="54">
                  <c:v>686</c:v>
                </c:pt>
                <c:pt idx="55">
                  <c:v>7000</c:v>
                </c:pt>
                <c:pt idx="56">
                  <c:v>7000</c:v>
                </c:pt>
                <c:pt idx="57">
                  <c:v>62</c:v>
                </c:pt>
                <c:pt idx="58">
                  <c:v>64</c:v>
                </c:pt>
                <c:pt idx="59">
                  <c:v>0</c:v>
                </c:pt>
                <c:pt idx="60">
                  <c:v>0</c:v>
                </c:pt>
                <c:pt idx="61">
                  <c:v>52</c:v>
                </c:pt>
                <c:pt idx="62">
                  <c:v>0</c:v>
                </c:pt>
                <c:pt idx="63">
                  <c:v>0</c:v>
                </c:pt>
                <c:pt idx="64">
                  <c:v>244</c:v>
                </c:pt>
                <c:pt idx="65">
                  <c:v>244</c:v>
                </c:pt>
                <c:pt idx="66">
                  <c:v>180</c:v>
                </c:pt>
                <c:pt idx="67">
                  <c:v>180</c:v>
                </c:pt>
                <c:pt idx="68">
                  <c:v>270</c:v>
                </c:pt>
                <c:pt idx="69">
                  <c:v>0</c:v>
                </c:pt>
                <c:pt idx="70">
                  <c:v>77</c:v>
                </c:pt>
                <c:pt idx="71">
                  <c:v>0</c:v>
                </c:pt>
                <c:pt idx="72">
                  <c:v>0</c:v>
                </c:pt>
                <c:pt idx="73">
                  <c:v>2503</c:v>
                </c:pt>
                <c:pt idx="74">
                  <c:v>2503</c:v>
                </c:pt>
                <c:pt idx="75">
                  <c:v>634</c:v>
                </c:pt>
                <c:pt idx="76">
                  <c:v>634</c:v>
                </c:pt>
                <c:pt idx="77">
                  <c:v>0</c:v>
                </c:pt>
                <c:pt idx="78">
                  <c:v>564</c:v>
                </c:pt>
                <c:pt idx="79">
                  <c:v>0</c:v>
                </c:pt>
                <c:pt idx="80">
                  <c:v>572</c:v>
                </c:pt>
                <c:pt idx="81">
                  <c:v>885</c:v>
                </c:pt>
                <c:pt idx="82">
                  <c:v>885</c:v>
                </c:pt>
                <c:pt idx="83">
                  <c:v>107</c:v>
                </c:pt>
                <c:pt idx="84">
                  <c:v>107</c:v>
                </c:pt>
                <c:pt idx="85">
                  <c:v>56</c:v>
                </c:pt>
                <c:pt idx="86">
                  <c:v>56</c:v>
                </c:pt>
                <c:pt idx="87">
                  <c:v>500</c:v>
                </c:pt>
                <c:pt idx="88">
                  <c:v>774</c:v>
                </c:pt>
                <c:pt idx="89">
                  <c:v>127</c:v>
                </c:pt>
                <c:pt idx="90">
                  <c:v>255</c:v>
                </c:pt>
                <c:pt idx="91">
                  <c:v>255</c:v>
                </c:pt>
                <c:pt idx="92">
                  <c:v>426</c:v>
                </c:pt>
                <c:pt idx="93">
                  <c:v>426</c:v>
                </c:pt>
                <c:pt idx="94">
                  <c:v>1422</c:v>
                </c:pt>
                <c:pt idx="95">
                  <c:v>1422</c:v>
                </c:pt>
                <c:pt idx="96">
                  <c:v>460</c:v>
                </c:pt>
                <c:pt idx="97">
                  <c:v>0</c:v>
                </c:pt>
                <c:pt idx="98">
                  <c:v>74</c:v>
                </c:pt>
                <c:pt idx="99">
                  <c:v>140</c:v>
                </c:pt>
                <c:pt idx="100">
                  <c:v>114</c:v>
                </c:pt>
                <c:pt idx="101">
                  <c:v>1342</c:v>
                </c:pt>
                <c:pt idx="102">
                  <c:v>1442</c:v>
                </c:pt>
                <c:pt idx="103">
                  <c:v>500</c:v>
                </c:pt>
                <c:pt idx="104">
                  <c:v>500</c:v>
                </c:pt>
                <c:pt idx="105">
                  <c:v>500</c:v>
                </c:pt>
                <c:pt idx="106">
                  <c:v>500</c:v>
                </c:pt>
                <c:pt idx="107">
                  <c:v>1000</c:v>
                </c:pt>
                <c:pt idx="108">
                  <c:v>1000</c:v>
                </c:pt>
                <c:pt idx="109">
                  <c:v>2973</c:v>
                </c:pt>
                <c:pt idx="110">
                  <c:v>1702</c:v>
                </c:pt>
                <c:pt idx="111">
                  <c:v>198</c:v>
                </c:pt>
                <c:pt idx="112">
                  <c:v>215</c:v>
                </c:pt>
                <c:pt idx="113">
                  <c:v>1517</c:v>
                </c:pt>
                <c:pt idx="114">
                  <c:v>1517</c:v>
                </c:pt>
                <c:pt idx="115">
                  <c:v>694</c:v>
                </c:pt>
                <c:pt idx="116">
                  <c:v>0</c:v>
                </c:pt>
                <c:pt idx="117">
                  <c:v>0</c:v>
                </c:pt>
                <c:pt idx="118">
                  <c:v>166</c:v>
                </c:pt>
                <c:pt idx="119">
                  <c:v>0</c:v>
                </c:pt>
                <c:pt idx="120">
                  <c:v>0</c:v>
                </c:pt>
                <c:pt idx="121">
                  <c:v>512</c:v>
                </c:pt>
                <c:pt idx="122">
                  <c:v>512</c:v>
                </c:pt>
                <c:pt idx="123">
                  <c:v>0</c:v>
                </c:pt>
                <c:pt idx="124">
                  <c:v>328</c:v>
                </c:pt>
                <c:pt idx="125">
                  <c:v>45</c:v>
                </c:pt>
                <c:pt idx="126">
                  <c:v>45</c:v>
                </c:pt>
                <c:pt idx="127">
                  <c:v>0</c:v>
                </c:pt>
                <c:pt idx="128">
                  <c:v>500</c:v>
                </c:pt>
                <c:pt idx="129">
                  <c:v>0</c:v>
                </c:pt>
                <c:pt idx="130">
                  <c:v>538</c:v>
                </c:pt>
                <c:pt idx="131">
                  <c:v>0</c:v>
                </c:pt>
                <c:pt idx="132">
                  <c:v>500</c:v>
                </c:pt>
                <c:pt idx="133">
                  <c:v>0</c:v>
                </c:pt>
                <c:pt idx="134">
                  <c:v>737</c:v>
                </c:pt>
                <c:pt idx="135">
                  <c:v>0</c:v>
                </c:pt>
                <c:pt idx="136">
                  <c:v>125</c:v>
                </c:pt>
                <c:pt idx="137">
                  <c:v>157</c:v>
                </c:pt>
                <c:pt idx="138">
                  <c:v>0</c:v>
                </c:pt>
                <c:pt idx="139">
                  <c:v>570</c:v>
                </c:pt>
                <c:pt idx="140">
                  <c:v>82</c:v>
                </c:pt>
                <c:pt idx="141">
                  <c:v>82</c:v>
                </c:pt>
                <c:pt idx="142">
                  <c:v>78</c:v>
                </c:pt>
                <c:pt idx="143">
                  <c:v>78</c:v>
                </c:pt>
                <c:pt idx="144">
                  <c:v>0</c:v>
                </c:pt>
                <c:pt idx="145">
                  <c:v>0</c:v>
                </c:pt>
                <c:pt idx="146">
                  <c:v>251</c:v>
                </c:pt>
                <c:pt idx="147">
                  <c:v>251</c:v>
                </c:pt>
                <c:pt idx="148">
                  <c:v>0</c:v>
                </c:pt>
                <c:pt idx="149">
                  <c:v>424</c:v>
                </c:pt>
                <c:pt idx="150">
                  <c:v>176</c:v>
                </c:pt>
                <c:pt idx="151">
                  <c:v>176</c:v>
                </c:pt>
                <c:pt idx="152">
                  <c:v>0</c:v>
                </c:pt>
                <c:pt idx="153">
                  <c:v>0</c:v>
                </c:pt>
                <c:pt idx="154">
                  <c:v>396</c:v>
                </c:pt>
                <c:pt idx="155">
                  <c:v>396</c:v>
                </c:pt>
                <c:pt idx="156">
                  <c:v>0</c:v>
                </c:pt>
                <c:pt idx="157">
                  <c:v>0</c:v>
                </c:pt>
                <c:pt idx="158">
                  <c:v>31</c:v>
                </c:pt>
                <c:pt idx="159">
                  <c:v>213</c:v>
                </c:pt>
                <c:pt idx="160">
                  <c:v>213</c:v>
                </c:pt>
                <c:pt idx="161">
                  <c:v>250</c:v>
                </c:pt>
                <c:pt idx="162">
                  <c:v>250</c:v>
                </c:pt>
                <c:pt idx="163">
                  <c:v>158</c:v>
                </c:pt>
                <c:pt idx="164">
                  <c:v>158</c:v>
                </c:pt>
                <c:pt idx="165">
                  <c:v>24</c:v>
                </c:pt>
                <c:pt idx="166">
                  <c:v>24</c:v>
                </c:pt>
                <c:pt idx="167">
                  <c:v>206</c:v>
                </c:pt>
                <c:pt idx="168">
                  <c:v>206</c:v>
                </c:pt>
                <c:pt idx="169">
                  <c:v>141</c:v>
                </c:pt>
                <c:pt idx="170">
                  <c:v>607</c:v>
                </c:pt>
                <c:pt idx="171">
                  <c:v>325</c:v>
                </c:pt>
                <c:pt idx="172">
                  <c:v>274</c:v>
                </c:pt>
                <c:pt idx="173">
                  <c:v>274</c:v>
                </c:pt>
                <c:pt idx="174">
                  <c:v>228</c:v>
                </c:pt>
                <c:pt idx="175">
                  <c:v>227</c:v>
                </c:pt>
                <c:pt idx="176">
                  <c:v>0</c:v>
                </c:pt>
                <c:pt idx="177">
                  <c:v>49</c:v>
                </c:pt>
                <c:pt idx="178">
                  <c:v>86</c:v>
                </c:pt>
                <c:pt idx="179">
                  <c:v>0</c:v>
                </c:pt>
                <c:pt idx="180">
                  <c:v>58</c:v>
                </c:pt>
                <c:pt idx="181">
                  <c:v>500</c:v>
                </c:pt>
                <c:pt idx="182">
                  <c:v>584</c:v>
                </c:pt>
                <c:pt idx="183">
                  <c:v>500</c:v>
                </c:pt>
                <c:pt idx="184">
                  <c:v>500</c:v>
                </c:pt>
                <c:pt idx="185">
                  <c:v>1570</c:v>
                </c:pt>
                <c:pt idx="186">
                  <c:v>1570</c:v>
                </c:pt>
                <c:pt idx="187">
                  <c:v>0</c:v>
                </c:pt>
                <c:pt idx="188">
                  <c:v>320</c:v>
                </c:pt>
                <c:pt idx="189">
                  <c:v>297</c:v>
                </c:pt>
                <c:pt idx="190">
                  <c:v>297</c:v>
                </c:pt>
                <c:pt idx="191">
                  <c:v>948</c:v>
                </c:pt>
                <c:pt idx="192">
                  <c:v>959</c:v>
                </c:pt>
                <c:pt idx="193">
                  <c:v>500</c:v>
                </c:pt>
                <c:pt idx="194">
                  <c:v>500</c:v>
                </c:pt>
                <c:pt idx="195">
                  <c:v>3000</c:v>
                </c:pt>
                <c:pt idx="196">
                  <c:v>3000</c:v>
                </c:pt>
                <c:pt idx="197">
                  <c:v>1059</c:v>
                </c:pt>
                <c:pt idx="198">
                  <c:v>973</c:v>
                </c:pt>
                <c:pt idx="199">
                  <c:v>221</c:v>
                </c:pt>
                <c:pt idx="200">
                  <c:v>221</c:v>
                </c:pt>
                <c:pt idx="201">
                  <c:v>0</c:v>
                </c:pt>
                <c:pt idx="202">
                  <c:v>0</c:v>
                </c:pt>
                <c:pt idx="203">
                  <c:v>0</c:v>
                </c:pt>
                <c:pt idx="204">
                  <c:v>290</c:v>
                </c:pt>
                <c:pt idx="205">
                  <c:v>298</c:v>
                </c:pt>
                <c:pt idx="206">
                  <c:v>298</c:v>
                </c:pt>
                <c:pt idx="207">
                  <c:v>193</c:v>
                </c:pt>
                <c:pt idx="208">
                  <c:v>279</c:v>
                </c:pt>
                <c:pt idx="209">
                  <c:v>72</c:v>
                </c:pt>
                <c:pt idx="210">
                  <c:v>72</c:v>
                </c:pt>
                <c:pt idx="211">
                  <c:v>3000</c:v>
                </c:pt>
                <c:pt idx="212">
                  <c:v>3451</c:v>
                </c:pt>
                <c:pt idx="213">
                  <c:v>0</c:v>
                </c:pt>
                <c:pt idx="214">
                  <c:v>0</c:v>
                </c:pt>
                <c:pt idx="215">
                  <c:v>0</c:v>
                </c:pt>
                <c:pt idx="216">
                  <c:v>342</c:v>
                </c:pt>
                <c:pt idx="217">
                  <c:v>0</c:v>
                </c:pt>
                <c:pt idx="218">
                  <c:v>141</c:v>
                </c:pt>
                <c:pt idx="219">
                  <c:v>266</c:v>
                </c:pt>
                <c:pt idx="220">
                  <c:v>266</c:v>
                </c:pt>
                <c:pt idx="221">
                  <c:v>1438</c:v>
                </c:pt>
                <c:pt idx="222">
                  <c:v>1463</c:v>
                </c:pt>
                <c:pt idx="223">
                  <c:v>0</c:v>
                </c:pt>
                <c:pt idx="224">
                  <c:v>500</c:v>
                </c:pt>
                <c:pt idx="225">
                  <c:v>120</c:v>
                </c:pt>
                <c:pt idx="226">
                  <c:v>101</c:v>
                </c:pt>
                <c:pt idx="227">
                  <c:v>101</c:v>
                </c:pt>
                <c:pt idx="228">
                  <c:v>1050</c:v>
                </c:pt>
                <c:pt idx="229">
                  <c:v>984</c:v>
                </c:pt>
                <c:pt idx="230">
                  <c:v>300</c:v>
                </c:pt>
                <c:pt idx="231">
                  <c:v>230</c:v>
                </c:pt>
                <c:pt idx="232">
                  <c:v>0</c:v>
                </c:pt>
                <c:pt idx="233">
                  <c:v>165</c:v>
                </c:pt>
                <c:pt idx="234">
                  <c:v>0</c:v>
                </c:pt>
                <c:pt idx="235">
                  <c:v>432</c:v>
                </c:pt>
                <c:pt idx="236">
                  <c:v>500</c:v>
                </c:pt>
                <c:pt idx="237">
                  <c:v>500</c:v>
                </c:pt>
                <c:pt idx="238">
                  <c:v>174</c:v>
                </c:pt>
                <c:pt idx="239">
                  <c:v>174</c:v>
                </c:pt>
                <c:pt idx="240">
                  <c:v>0</c:v>
                </c:pt>
                <c:pt idx="241">
                  <c:v>275</c:v>
                </c:pt>
                <c:pt idx="242">
                  <c:v>500</c:v>
                </c:pt>
                <c:pt idx="243">
                  <c:v>207</c:v>
                </c:pt>
                <c:pt idx="244">
                  <c:v>268</c:v>
                </c:pt>
                <c:pt idx="245">
                  <c:v>268</c:v>
                </c:pt>
                <c:pt idx="246">
                  <c:v>0</c:v>
                </c:pt>
                <c:pt idx="247">
                  <c:v>0</c:v>
                </c:pt>
                <c:pt idx="248">
                  <c:v>0</c:v>
                </c:pt>
                <c:pt idx="249">
                  <c:v>0</c:v>
                </c:pt>
                <c:pt idx="250">
                  <c:v>186</c:v>
                </c:pt>
                <c:pt idx="251">
                  <c:v>186</c:v>
                </c:pt>
                <c:pt idx="252">
                  <c:v>500</c:v>
                </c:pt>
                <c:pt idx="253">
                  <c:v>500</c:v>
                </c:pt>
                <c:pt idx="254">
                  <c:v>195</c:v>
                </c:pt>
                <c:pt idx="255">
                  <c:v>195</c:v>
                </c:pt>
                <c:pt idx="256">
                  <c:v>253</c:v>
                </c:pt>
                <c:pt idx="257">
                  <c:v>267</c:v>
                </c:pt>
                <c:pt idx="258">
                  <c:v>319</c:v>
                </c:pt>
                <c:pt idx="259">
                  <c:v>319</c:v>
                </c:pt>
                <c:pt idx="260">
                  <c:v>0</c:v>
                </c:pt>
                <c:pt idx="261">
                  <c:v>1500</c:v>
                </c:pt>
                <c:pt idx="262">
                  <c:v>7394</c:v>
                </c:pt>
                <c:pt idx="263">
                  <c:v>0</c:v>
                </c:pt>
                <c:pt idx="264">
                  <c:v>0</c:v>
                </c:pt>
                <c:pt idx="265">
                  <c:v>0</c:v>
                </c:pt>
                <c:pt idx="266">
                  <c:v>0</c:v>
                </c:pt>
                <c:pt idx="267">
                  <c:v>66</c:v>
                </c:pt>
                <c:pt idx="268">
                  <c:v>500</c:v>
                </c:pt>
                <c:pt idx="269">
                  <c:v>500</c:v>
                </c:pt>
                <c:pt idx="270">
                  <c:v>0</c:v>
                </c:pt>
                <c:pt idx="271">
                  <c:v>32</c:v>
                </c:pt>
                <c:pt idx="272">
                  <c:v>32</c:v>
                </c:pt>
                <c:pt idx="273">
                  <c:v>0</c:v>
                </c:pt>
                <c:pt idx="274">
                  <c:v>203</c:v>
                </c:pt>
                <c:pt idx="275">
                  <c:v>203</c:v>
                </c:pt>
                <c:pt idx="276">
                  <c:v>404</c:v>
                </c:pt>
                <c:pt idx="277">
                  <c:v>127</c:v>
                </c:pt>
                <c:pt idx="278">
                  <c:v>0</c:v>
                </c:pt>
                <c:pt idx="279">
                  <c:v>0</c:v>
                </c:pt>
                <c:pt idx="280">
                  <c:v>0</c:v>
                </c:pt>
                <c:pt idx="281">
                  <c:v>0</c:v>
                </c:pt>
                <c:pt idx="282">
                  <c:v>0</c:v>
                </c:pt>
                <c:pt idx="283">
                  <c:v>591</c:v>
                </c:pt>
                <c:pt idx="284">
                  <c:v>591</c:v>
                </c:pt>
                <c:pt idx="285">
                  <c:v>0</c:v>
                </c:pt>
                <c:pt idx="286">
                  <c:v>0</c:v>
                </c:pt>
                <c:pt idx="287">
                  <c:v>0</c:v>
                </c:pt>
                <c:pt idx="288">
                  <c:v>160</c:v>
                </c:pt>
                <c:pt idx="289">
                  <c:v>160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1936</c:v>
                </c:pt>
                <c:pt idx="308">
                  <c:v>275</c:v>
                </c:pt>
                <c:pt idx="309">
                  <c:v>276</c:v>
                </c:pt>
                <c:pt idx="310">
                  <c:v>430</c:v>
                </c:pt>
                <c:pt idx="311">
                  <c:v>440</c:v>
                </c:pt>
                <c:pt idx="312">
                  <c:v>0</c:v>
                </c:pt>
                <c:pt idx="313">
                  <c:v>0</c:v>
                </c:pt>
                <c:pt idx="314">
                  <c:v>132</c:v>
                </c:pt>
                <c:pt idx="315">
                  <c:v>132</c:v>
                </c:pt>
                <c:pt idx="316">
                  <c:v>0</c:v>
                </c:pt>
                <c:pt idx="317">
                  <c:v>0</c:v>
                </c:pt>
                <c:pt idx="318">
                  <c:v>0</c:v>
                </c:pt>
                <c:pt idx="319">
                  <c:v>324</c:v>
                </c:pt>
                <c:pt idx="320">
                  <c:v>0</c:v>
                </c:pt>
                <c:pt idx="321">
                  <c:v>0</c:v>
                </c:pt>
                <c:pt idx="322">
                  <c:v>0</c:v>
                </c:pt>
                <c:pt idx="323">
                  <c:v>466</c:v>
                </c:pt>
                <c:pt idx="324">
                  <c:v>0</c:v>
                </c:pt>
                <c:pt idx="325">
                  <c:v>0</c:v>
                </c:pt>
                <c:pt idx="326">
                  <c:v>0</c:v>
                </c:pt>
                <c:pt idx="327">
                  <c:v>0</c:v>
                </c:pt>
                <c:pt idx="328">
                  <c:v>0</c:v>
                </c:pt>
                <c:pt idx="329">
                  <c:v>0</c:v>
                </c:pt>
                <c:pt idx="330">
                  <c:v>0</c:v>
                </c:pt>
                <c:pt idx="331">
                  <c:v>0</c:v>
                </c:pt>
                <c:pt idx="332">
                  <c:v>0</c:v>
                </c:pt>
                <c:pt idx="333">
                  <c:v>0</c:v>
                </c:pt>
                <c:pt idx="334">
                  <c:v>94</c:v>
                </c:pt>
                <c:pt idx="335">
                  <c:v>94</c:v>
                </c:pt>
                <c:pt idx="336">
                  <c:v>344</c:v>
                </c:pt>
                <c:pt idx="337">
                  <c:v>0</c:v>
                </c:pt>
                <c:pt idx="338">
                  <c:v>0</c:v>
                </c:pt>
                <c:pt idx="339">
                  <c:v>0</c:v>
                </c:pt>
                <c:pt idx="340">
                  <c:v>0</c:v>
                </c:pt>
                <c:pt idx="341">
                  <c:v>0</c:v>
                </c:pt>
                <c:pt idx="342">
                  <c:v>0</c:v>
                </c:pt>
                <c:pt idx="343">
                  <c:v>0</c:v>
                </c:pt>
                <c:pt idx="344">
                  <c:v>0</c:v>
                </c:pt>
                <c:pt idx="345">
                  <c:v>0</c:v>
                </c:pt>
                <c:pt idx="346">
                  <c:v>0</c:v>
                </c:pt>
                <c:pt idx="347">
                  <c:v>0</c:v>
                </c:pt>
                <c:pt idx="348">
                  <c:v>221</c:v>
                </c:pt>
                <c:pt idx="349">
                  <c:v>221</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213</c:v>
                </c:pt>
                <c:pt idx="393">
                  <c:v>324</c:v>
                </c:pt>
                <c:pt idx="394">
                  <c:v>0</c:v>
                </c:pt>
                <c:pt idx="395">
                  <c:v>0</c:v>
                </c:pt>
                <c:pt idx="396">
                  <c:v>0</c:v>
                </c:pt>
                <c:pt idx="397">
                  <c:v>0</c:v>
                </c:pt>
                <c:pt idx="398">
                  <c:v>0</c:v>
                </c:pt>
                <c:pt idx="399">
                  <c:v>0</c:v>
                </c:pt>
                <c:pt idx="400">
                  <c:v>0</c:v>
                </c:pt>
              </c:numCache>
            </c:numRef>
          </c:val>
          <c:extLst>
            <c:ext xmlns:c16="http://schemas.microsoft.com/office/drawing/2014/chart" uri="{C3380CC4-5D6E-409C-BE32-E72D297353CC}">
              <c16:uniqueId val="{00000000-FFE7-4630-AA87-8BB156FFBC38}"/>
            </c:ext>
          </c:extLst>
        </c:ser>
        <c:ser>
          <c:idx val="1"/>
          <c:order val="1"/>
          <c:tx>
            <c:strRef>
              <c:f>'Tracking Dashboard'!$O$4</c:f>
              <c:strCache>
                <c:ptCount val="1"/>
                <c:pt idx="0">
                  <c:v># of people access to functioning  sanitation facilities</c:v>
                </c:pt>
              </c:strCache>
            </c:strRef>
          </c:tx>
          <c:spPr>
            <a:solidFill>
              <a:schemeClr val="accent2">
                <a:lumMod val="75000"/>
              </a:schemeClr>
            </a:solidFill>
            <a:ln>
              <a:noFill/>
            </a:ln>
            <a:effectLst/>
          </c:spPr>
          <c:invertIfNegative val="0"/>
          <c:cat>
            <c:multiLvlStrRef>
              <c:f>'Tracking Dashboard'!$L$5:$M$626</c:f>
              <c:multiLvlStrCache>
                <c:ptCount val="401"/>
                <c:lvl>
                  <c:pt idx="0">
                    <c:v>2023_Q1</c:v>
                  </c:pt>
                  <c:pt idx="1">
                    <c:v>2023_Q2</c:v>
                  </c:pt>
                  <c:pt idx="2">
                    <c:v>2023_Q1</c:v>
                  </c:pt>
                  <c:pt idx="3">
                    <c:v>2023_Q2</c:v>
                  </c:pt>
                  <c:pt idx="4">
                    <c:v>2023_Q1</c:v>
                  </c:pt>
                  <c:pt idx="5">
                    <c:v>2023_Q2</c:v>
                  </c:pt>
                  <c:pt idx="6">
                    <c:v>2023_Q1</c:v>
                  </c:pt>
                  <c:pt idx="7">
                    <c:v>2023_Q2</c:v>
                  </c:pt>
                  <c:pt idx="8">
                    <c:v>2023_Q1</c:v>
                  </c:pt>
                  <c:pt idx="9">
                    <c:v>2023_Q2</c:v>
                  </c:pt>
                  <c:pt idx="10">
                    <c:v>2023_Q1</c:v>
                  </c:pt>
                  <c:pt idx="11">
                    <c:v>2023_Q2</c:v>
                  </c:pt>
                  <c:pt idx="12">
                    <c:v>2023_Q1</c:v>
                  </c:pt>
                  <c:pt idx="13">
                    <c:v>2023_Q2</c:v>
                  </c:pt>
                  <c:pt idx="14">
                    <c:v>2023_Q1</c:v>
                  </c:pt>
                  <c:pt idx="15">
                    <c:v>2023_Q2</c:v>
                  </c:pt>
                  <c:pt idx="16">
                    <c:v>2023_Q1</c:v>
                  </c:pt>
                  <c:pt idx="17">
                    <c:v>2023_Q1</c:v>
                  </c:pt>
                  <c:pt idx="18">
                    <c:v>2023_Q2</c:v>
                  </c:pt>
                  <c:pt idx="19">
                    <c:v>2023_Q1</c:v>
                  </c:pt>
                  <c:pt idx="20">
                    <c:v>2023_Q2</c:v>
                  </c:pt>
                  <c:pt idx="21">
                    <c:v>2023_Q1</c:v>
                  </c:pt>
                  <c:pt idx="22">
                    <c:v>2023_Q1</c:v>
                  </c:pt>
                  <c:pt idx="23">
                    <c:v>2023_Q2</c:v>
                  </c:pt>
                  <c:pt idx="24">
                    <c:v>2023_Q1</c:v>
                  </c:pt>
                  <c:pt idx="25">
                    <c:v>2023_Q1</c:v>
                  </c:pt>
                  <c:pt idx="26">
                    <c:v>2023_Q2</c:v>
                  </c:pt>
                  <c:pt idx="27">
                    <c:v>2023_Q1</c:v>
                  </c:pt>
                  <c:pt idx="28">
                    <c:v>2023_Q2</c:v>
                  </c:pt>
                  <c:pt idx="29">
                    <c:v>2023_Q1</c:v>
                  </c:pt>
                  <c:pt idx="30">
                    <c:v>2023_Q2</c:v>
                  </c:pt>
                  <c:pt idx="31">
                    <c:v>2023_Q1</c:v>
                  </c:pt>
                  <c:pt idx="32">
                    <c:v>2023_Q2</c:v>
                  </c:pt>
                  <c:pt idx="33">
                    <c:v>2023_Q1</c:v>
                  </c:pt>
                  <c:pt idx="34">
                    <c:v>2023_Q2</c:v>
                  </c:pt>
                  <c:pt idx="35">
                    <c:v>2023_Q1</c:v>
                  </c:pt>
                  <c:pt idx="36">
                    <c:v>2023_Q2</c:v>
                  </c:pt>
                  <c:pt idx="37">
                    <c:v>2023_Q1</c:v>
                  </c:pt>
                  <c:pt idx="38">
                    <c:v>2023_Q2</c:v>
                  </c:pt>
                  <c:pt idx="39">
                    <c:v>2023_Q1</c:v>
                  </c:pt>
                  <c:pt idx="40">
                    <c:v>2023_Q2</c:v>
                  </c:pt>
                  <c:pt idx="41">
                    <c:v>2023_Q1</c:v>
                  </c:pt>
                  <c:pt idx="42">
                    <c:v>2023_Q2</c:v>
                  </c:pt>
                  <c:pt idx="43">
                    <c:v>2023_Q1</c:v>
                  </c:pt>
                  <c:pt idx="44">
                    <c:v>2023_Q2</c:v>
                  </c:pt>
                  <c:pt idx="45">
                    <c:v>2023_Q1</c:v>
                  </c:pt>
                  <c:pt idx="46">
                    <c:v>2023_Q2</c:v>
                  </c:pt>
                  <c:pt idx="47">
                    <c:v>2023_Q1</c:v>
                  </c:pt>
                  <c:pt idx="48">
                    <c:v>2023_Q2</c:v>
                  </c:pt>
                  <c:pt idx="49">
                    <c:v>2023_Q1</c:v>
                  </c:pt>
                  <c:pt idx="50">
                    <c:v>2023_Q2</c:v>
                  </c:pt>
                  <c:pt idx="51">
                    <c:v>2023_Q1</c:v>
                  </c:pt>
                  <c:pt idx="52">
                    <c:v>2023_Q2</c:v>
                  </c:pt>
                  <c:pt idx="53">
                    <c:v>2023_Q1</c:v>
                  </c:pt>
                  <c:pt idx="54">
                    <c:v>2023_Q2</c:v>
                  </c:pt>
                  <c:pt idx="55">
                    <c:v>2023_Q1</c:v>
                  </c:pt>
                  <c:pt idx="56">
                    <c:v>2023_Q2</c:v>
                  </c:pt>
                  <c:pt idx="57">
                    <c:v>2023_Q1</c:v>
                  </c:pt>
                  <c:pt idx="58">
                    <c:v>2023_Q2</c:v>
                  </c:pt>
                  <c:pt idx="59">
                    <c:v>2023_Q1</c:v>
                  </c:pt>
                  <c:pt idx="60">
                    <c:v>2023_Q2</c:v>
                  </c:pt>
                  <c:pt idx="61">
                    <c:v>2023_Q1</c:v>
                  </c:pt>
                  <c:pt idx="62">
                    <c:v>2023_Q1</c:v>
                  </c:pt>
                  <c:pt idx="63">
                    <c:v>2023_Q2</c:v>
                  </c:pt>
                  <c:pt idx="64">
                    <c:v>2023_Q1</c:v>
                  </c:pt>
                  <c:pt idx="65">
                    <c:v>2023_Q2</c:v>
                  </c:pt>
                  <c:pt idx="66">
                    <c:v>2023_Q1</c:v>
                  </c:pt>
                  <c:pt idx="67">
                    <c:v>2023_Q2</c:v>
                  </c:pt>
                  <c:pt idx="68">
                    <c:v>2023_Q1</c:v>
                  </c:pt>
                  <c:pt idx="69">
                    <c:v>2023_Q1</c:v>
                  </c:pt>
                  <c:pt idx="70">
                    <c:v>2023_Q2</c:v>
                  </c:pt>
                  <c:pt idx="71">
                    <c:v>2023_Q1</c:v>
                  </c:pt>
                  <c:pt idx="72">
                    <c:v>2023_Q2</c:v>
                  </c:pt>
                  <c:pt idx="73">
                    <c:v>2023_Q1</c:v>
                  </c:pt>
                  <c:pt idx="74">
                    <c:v>2023_Q2</c:v>
                  </c:pt>
                  <c:pt idx="75">
                    <c:v>2023_Q1</c:v>
                  </c:pt>
                  <c:pt idx="76">
                    <c:v>2023_Q2</c:v>
                  </c:pt>
                  <c:pt idx="77">
                    <c:v>2023_Q1</c:v>
                  </c:pt>
                  <c:pt idx="78">
                    <c:v>2023_Q2</c:v>
                  </c:pt>
                  <c:pt idx="79">
                    <c:v>2023_Q1</c:v>
                  </c:pt>
                  <c:pt idx="80">
                    <c:v>2023_Q2</c:v>
                  </c:pt>
                  <c:pt idx="81">
                    <c:v>2023_Q1</c:v>
                  </c:pt>
                  <c:pt idx="82">
                    <c:v>2023_Q2</c:v>
                  </c:pt>
                  <c:pt idx="83">
                    <c:v>2023_Q1</c:v>
                  </c:pt>
                  <c:pt idx="84">
                    <c:v>2023_Q2</c:v>
                  </c:pt>
                  <c:pt idx="85">
                    <c:v>2023_Q1</c:v>
                  </c:pt>
                  <c:pt idx="86">
                    <c:v>2023_Q2</c:v>
                  </c:pt>
                  <c:pt idx="87">
                    <c:v>2023_Q1</c:v>
                  </c:pt>
                  <c:pt idx="88">
                    <c:v>2023_Q2</c:v>
                  </c:pt>
                  <c:pt idx="89">
                    <c:v>2023_Q1</c:v>
                  </c:pt>
                  <c:pt idx="90">
                    <c:v>2023_Q1</c:v>
                  </c:pt>
                  <c:pt idx="91">
                    <c:v>2023_Q2</c:v>
                  </c:pt>
                  <c:pt idx="92">
                    <c:v>2023_Q1</c:v>
                  </c:pt>
                  <c:pt idx="93">
                    <c:v>2023_Q2</c:v>
                  </c:pt>
                  <c:pt idx="94">
                    <c:v>2023_Q1</c:v>
                  </c:pt>
                  <c:pt idx="95">
                    <c:v>2023_Q2</c:v>
                  </c:pt>
                  <c:pt idx="96">
                    <c:v>2023_Q1</c:v>
                  </c:pt>
                  <c:pt idx="97">
                    <c:v>2023_Q1</c:v>
                  </c:pt>
                  <c:pt idx="98">
                    <c:v>2023_Q2</c:v>
                  </c:pt>
                  <c:pt idx="99">
                    <c:v>2023_Q1</c:v>
                  </c:pt>
                  <c:pt idx="100">
                    <c:v>2023_Q2</c:v>
                  </c:pt>
                  <c:pt idx="101">
                    <c:v>2023_Q1</c:v>
                  </c:pt>
                  <c:pt idx="102">
                    <c:v>2023_Q2</c:v>
                  </c:pt>
                  <c:pt idx="103">
                    <c:v>2023_Q1</c:v>
                  </c:pt>
                  <c:pt idx="104">
                    <c:v>2023_Q2</c:v>
                  </c:pt>
                  <c:pt idx="105">
                    <c:v>2023_Q1</c:v>
                  </c:pt>
                  <c:pt idx="106">
                    <c:v>2023_Q2</c:v>
                  </c:pt>
                  <c:pt idx="107">
                    <c:v>2023_Q1</c:v>
                  </c:pt>
                  <c:pt idx="108">
                    <c:v>2023_Q2</c:v>
                  </c:pt>
                  <c:pt idx="109">
                    <c:v>2023_Q1</c:v>
                  </c:pt>
                  <c:pt idx="110">
                    <c:v>2023_Q2</c:v>
                  </c:pt>
                  <c:pt idx="111">
                    <c:v>2023_Q1</c:v>
                  </c:pt>
                  <c:pt idx="112">
                    <c:v>2023_Q2</c:v>
                  </c:pt>
                  <c:pt idx="113">
                    <c:v>2023_Q1</c:v>
                  </c:pt>
                  <c:pt idx="114">
                    <c:v>2023_Q2</c:v>
                  </c:pt>
                  <c:pt idx="115">
                    <c:v>2023_Q1</c:v>
                  </c:pt>
                  <c:pt idx="116">
                    <c:v>2023_Q2</c:v>
                  </c:pt>
                  <c:pt idx="117">
                    <c:v>2023_Q1</c:v>
                  </c:pt>
                  <c:pt idx="118">
                    <c:v>2023_Q2</c:v>
                  </c:pt>
                  <c:pt idx="119">
                    <c:v>2023_Q1</c:v>
                  </c:pt>
                  <c:pt idx="120">
                    <c:v>2023_Q2</c:v>
                  </c:pt>
                  <c:pt idx="121">
                    <c:v>2023_Q1</c:v>
                  </c:pt>
                  <c:pt idx="122">
                    <c:v>2023_Q2</c:v>
                  </c:pt>
                  <c:pt idx="123">
                    <c:v>2023_Q1</c:v>
                  </c:pt>
                  <c:pt idx="124">
                    <c:v>2023_Q2</c:v>
                  </c:pt>
                  <c:pt idx="125">
                    <c:v>2023_Q1</c:v>
                  </c:pt>
                  <c:pt idx="126">
                    <c:v>2023_Q2</c:v>
                  </c:pt>
                  <c:pt idx="127">
                    <c:v>2023_Q1</c:v>
                  </c:pt>
                  <c:pt idx="128">
                    <c:v>2023_Q1</c:v>
                  </c:pt>
                  <c:pt idx="129">
                    <c:v>2023_Q2</c:v>
                  </c:pt>
                  <c:pt idx="130">
                    <c:v>2023_Q1</c:v>
                  </c:pt>
                  <c:pt idx="131">
                    <c:v>2023_Q2</c:v>
                  </c:pt>
                  <c:pt idx="132">
                    <c:v>2023_Q1</c:v>
                  </c:pt>
                  <c:pt idx="133">
                    <c:v>2023_Q2</c:v>
                  </c:pt>
                  <c:pt idx="134">
                    <c:v>2023_Q1</c:v>
                  </c:pt>
                  <c:pt idx="135">
                    <c:v>2023_Q2</c:v>
                  </c:pt>
                  <c:pt idx="136">
                    <c:v>2023_Q1</c:v>
                  </c:pt>
                  <c:pt idx="137">
                    <c:v>2023_Q1</c:v>
                  </c:pt>
                  <c:pt idx="138">
                    <c:v>2023_Q1</c:v>
                  </c:pt>
                  <c:pt idx="139">
                    <c:v>2023_Q2</c:v>
                  </c:pt>
                  <c:pt idx="140">
                    <c:v>2023_Q1</c:v>
                  </c:pt>
                  <c:pt idx="141">
                    <c:v>2023_Q2</c:v>
                  </c:pt>
                  <c:pt idx="142">
                    <c:v>2023_Q1</c:v>
                  </c:pt>
                  <c:pt idx="143">
                    <c:v>2023_Q2</c:v>
                  </c:pt>
                  <c:pt idx="144">
                    <c:v>2023_Q1</c:v>
                  </c:pt>
                  <c:pt idx="145">
                    <c:v>2023_Q2</c:v>
                  </c:pt>
                  <c:pt idx="146">
                    <c:v>2023_Q1</c:v>
                  </c:pt>
                  <c:pt idx="147">
                    <c:v>2023_Q2</c:v>
                  </c:pt>
                  <c:pt idx="148">
                    <c:v>2023_Q1</c:v>
                  </c:pt>
                  <c:pt idx="149">
                    <c:v>2023_Q2</c:v>
                  </c:pt>
                  <c:pt idx="150">
                    <c:v>2023_Q1</c:v>
                  </c:pt>
                  <c:pt idx="151">
                    <c:v>2023_Q2</c:v>
                  </c:pt>
                  <c:pt idx="152">
                    <c:v>2023_Q1</c:v>
                  </c:pt>
                  <c:pt idx="153">
                    <c:v>2023_Q2</c:v>
                  </c:pt>
                  <c:pt idx="154">
                    <c:v>2023_Q1</c:v>
                  </c:pt>
                  <c:pt idx="155">
                    <c:v>2023_Q2</c:v>
                  </c:pt>
                  <c:pt idx="156">
                    <c:v>2023_Q1</c:v>
                  </c:pt>
                  <c:pt idx="157">
                    <c:v>2023_Q2</c:v>
                  </c:pt>
                  <c:pt idx="158">
                    <c:v>2023_Q1</c:v>
                  </c:pt>
                  <c:pt idx="159">
                    <c:v>2023_Q1</c:v>
                  </c:pt>
                  <c:pt idx="160">
                    <c:v>2023_Q2</c:v>
                  </c:pt>
                  <c:pt idx="161">
                    <c:v>2023_Q1</c:v>
                  </c:pt>
                  <c:pt idx="162">
                    <c:v>2023_Q2</c:v>
                  </c:pt>
                  <c:pt idx="163">
                    <c:v>2023_Q1</c:v>
                  </c:pt>
                  <c:pt idx="164">
                    <c:v>2023_Q2</c:v>
                  </c:pt>
                  <c:pt idx="165">
                    <c:v>2023_Q1</c:v>
                  </c:pt>
                  <c:pt idx="166">
                    <c:v>2023_Q2</c:v>
                  </c:pt>
                  <c:pt idx="167">
                    <c:v>2023_Q1</c:v>
                  </c:pt>
                  <c:pt idx="168">
                    <c:v>2023_Q2</c:v>
                  </c:pt>
                  <c:pt idx="169">
                    <c:v>2023_Q1</c:v>
                  </c:pt>
                  <c:pt idx="170">
                    <c:v>2023_Q1</c:v>
                  </c:pt>
                  <c:pt idx="171">
                    <c:v>2023_Q2</c:v>
                  </c:pt>
                  <c:pt idx="172">
                    <c:v>2023_Q1</c:v>
                  </c:pt>
                  <c:pt idx="173">
                    <c:v>2023_Q2</c:v>
                  </c:pt>
                  <c:pt idx="174">
                    <c:v>2023_Q1</c:v>
                  </c:pt>
                  <c:pt idx="175">
                    <c:v>2023_Q2</c:v>
                  </c:pt>
                  <c:pt idx="176">
                    <c:v>2023_Q1</c:v>
                  </c:pt>
                  <c:pt idx="177">
                    <c:v>2023_Q2</c:v>
                  </c:pt>
                  <c:pt idx="178">
                    <c:v>2023_Q1</c:v>
                  </c:pt>
                  <c:pt idx="179">
                    <c:v>2023_Q1</c:v>
                  </c:pt>
                  <c:pt idx="180">
                    <c:v>2023_Q2</c:v>
                  </c:pt>
                  <c:pt idx="181">
                    <c:v>2023_Q1</c:v>
                  </c:pt>
                  <c:pt idx="182">
                    <c:v>2023_Q2</c:v>
                  </c:pt>
                  <c:pt idx="183">
                    <c:v>2023_Q1</c:v>
                  </c:pt>
                  <c:pt idx="184">
                    <c:v>2023_Q2</c:v>
                  </c:pt>
                  <c:pt idx="185">
                    <c:v>2023_Q1</c:v>
                  </c:pt>
                  <c:pt idx="186">
                    <c:v>2023_Q2</c:v>
                  </c:pt>
                  <c:pt idx="187">
                    <c:v>2023_Q1</c:v>
                  </c:pt>
                  <c:pt idx="188">
                    <c:v>2023_Q2</c:v>
                  </c:pt>
                  <c:pt idx="189">
                    <c:v>2023_Q1</c:v>
                  </c:pt>
                  <c:pt idx="190">
                    <c:v>2023_Q2</c:v>
                  </c:pt>
                  <c:pt idx="191">
                    <c:v>2023_Q1</c:v>
                  </c:pt>
                  <c:pt idx="192">
                    <c:v>2023_Q2</c:v>
                  </c:pt>
                  <c:pt idx="193">
                    <c:v>2023_Q1</c:v>
                  </c:pt>
                  <c:pt idx="194">
                    <c:v>2023_Q2</c:v>
                  </c:pt>
                  <c:pt idx="195">
                    <c:v>2023_Q1</c:v>
                  </c:pt>
                  <c:pt idx="196">
                    <c:v>2023_Q2</c:v>
                  </c:pt>
                  <c:pt idx="197">
                    <c:v>2023_Q1</c:v>
                  </c:pt>
                  <c:pt idx="198">
                    <c:v>2023_Q2</c:v>
                  </c:pt>
                  <c:pt idx="199">
                    <c:v>2023_Q1</c:v>
                  </c:pt>
                  <c:pt idx="200">
                    <c:v>2023_Q2</c:v>
                  </c:pt>
                  <c:pt idx="201">
                    <c:v>2023_Q1</c:v>
                  </c:pt>
                  <c:pt idx="202">
                    <c:v>2023_Q2</c:v>
                  </c:pt>
                  <c:pt idx="203">
                    <c:v>2023_Q1</c:v>
                  </c:pt>
                  <c:pt idx="204">
                    <c:v>2023_Q2</c:v>
                  </c:pt>
                  <c:pt idx="205">
                    <c:v>2023_Q1</c:v>
                  </c:pt>
                  <c:pt idx="206">
                    <c:v>2023_Q2</c:v>
                  </c:pt>
                  <c:pt idx="207">
                    <c:v>2023_Q1</c:v>
                  </c:pt>
                  <c:pt idx="208">
                    <c:v>2023_Q2</c:v>
                  </c:pt>
                  <c:pt idx="209">
                    <c:v>2023_Q1</c:v>
                  </c:pt>
                  <c:pt idx="210">
                    <c:v>2023_Q2</c:v>
                  </c:pt>
                  <c:pt idx="211">
                    <c:v>2023_Q1</c:v>
                  </c:pt>
                  <c:pt idx="212">
                    <c:v>2023_Q2</c:v>
                  </c:pt>
                  <c:pt idx="213">
                    <c:v>2023_Q1</c:v>
                  </c:pt>
                  <c:pt idx="214">
                    <c:v>2023_Q2</c:v>
                  </c:pt>
                  <c:pt idx="215">
                    <c:v>2023_Q1</c:v>
                  </c:pt>
                  <c:pt idx="216">
                    <c:v>2023_Q2</c:v>
                  </c:pt>
                  <c:pt idx="217">
                    <c:v>2023_Q1</c:v>
                  </c:pt>
                  <c:pt idx="218">
                    <c:v>2023_Q2</c:v>
                  </c:pt>
                  <c:pt idx="219">
                    <c:v>2023_Q1</c:v>
                  </c:pt>
                  <c:pt idx="220">
                    <c:v>2023_Q2</c:v>
                  </c:pt>
                  <c:pt idx="221">
                    <c:v>2023_Q1</c:v>
                  </c:pt>
                  <c:pt idx="222">
                    <c:v>2023_Q2</c:v>
                  </c:pt>
                  <c:pt idx="223">
                    <c:v>2023_Q1</c:v>
                  </c:pt>
                  <c:pt idx="224">
                    <c:v>2023_Q1</c:v>
                  </c:pt>
                  <c:pt idx="225">
                    <c:v>2023_Q2</c:v>
                  </c:pt>
                  <c:pt idx="226">
                    <c:v>2023_Q1</c:v>
                  </c:pt>
                  <c:pt idx="227">
                    <c:v>2023_Q2</c:v>
                  </c:pt>
                  <c:pt idx="228">
                    <c:v>2023_Q1</c:v>
                  </c:pt>
                  <c:pt idx="229">
                    <c:v>2023_Q2</c:v>
                  </c:pt>
                  <c:pt idx="230">
                    <c:v>2023_Q1</c:v>
                  </c:pt>
                  <c:pt idx="231">
                    <c:v>2023_Q2</c:v>
                  </c:pt>
                  <c:pt idx="232">
                    <c:v>2023_Q1</c:v>
                  </c:pt>
                  <c:pt idx="233">
                    <c:v>2023_Q2</c:v>
                  </c:pt>
                  <c:pt idx="234">
                    <c:v>2023_Q1</c:v>
                  </c:pt>
                  <c:pt idx="235">
                    <c:v>2023_Q2</c:v>
                  </c:pt>
                  <c:pt idx="236">
                    <c:v>2023_Q1</c:v>
                  </c:pt>
                  <c:pt idx="237">
                    <c:v>2023_Q2</c:v>
                  </c:pt>
                  <c:pt idx="238">
                    <c:v>2023_Q1</c:v>
                  </c:pt>
                  <c:pt idx="239">
                    <c:v>2023_Q2</c:v>
                  </c:pt>
                  <c:pt idx="240">
                    <c:v>2023_Q1</c:v>
                  </c:pt>
                  <c:pt idx="241">
                    <c:v>2023_Q2</c:v>
                  </c:pt>
                  <c:pt idx="242">
                    <c:v>2023_Q1</c:v>
                  </c:pt>
                  <c:pt idx="243">
                    <c:v>2023_Q2</c:v>
                  </c:pt>
                  <c:pt idx="244">
                    <c:v>2023_Q1</c:v>
                  </c:pt>
                  <c:pt idx="245">
                    <c:v>2023_Q2</c:v>
                  </c:pt>
                  <c:pt idx="246">
                    <c:v>2023_Q1</c:v>
                  </c:pt>
                  <c:pt idx="247">
                    <c:v>2023_Q2</c:v>
                  </c:pt>
                  <c:pt idx="248">
                    <c:v>2023_Q1</c:v>
                  </c:pt>
                  <c:pt idx="249">
                    <c:v>2023_Q2</c:v>
                  </c:pt>
                  <c:pt idx="250">
                    <c:v>2023_Q1</c:v>
                  </c:pt>
                  <c:pt idx="251">
                    <c:v>2023_Q2</c:v>
                  </c:pt>
                  <c:pt idx="252">
                    <c:v>2023_Q1</c:v>
                  </c:pt>
                  <c:pt idx="253">
                    <c:v>2023_Q2</c:v>
                  </c:pt>
                  <c:pt idx="254">
                    <c:v>2023_Q1</c:v>
                  </c:pt>
                  <c:pt idx="255">
                    <c:v>2023_Q2</c:v>
                  </c:pt>
                  <c:pt idx="256">
                    <c:v>2023_Q1</c:v>
                  </c:pt>
                  <c:pt idx="257">
                    <c:v>2023_Q2</c:v>
                  </c:pt>
                  <c:pt idx="258">
                    <c:v>2023_Q1</c:v>
                  </c:pt>
                  <c:pt idx="259">
                    <c:v>2023_Q2</c:v>
                  </c:pt>
                  <c:pt idx="260">
                    <c:v>2023_Q1</c:v>
                  </c:pt>
                  <c:pt idx="261">
                    <c:v>2023_Q1</c:v>
                  </c:pt>
                  <c:pt idx="262">
                    <c:v>2023_Q2</c:v>
                  </c:pt>
                  <c:pt idx="263">
                    <c:v>2023_Q1</c:v>
                  </c:pt>
                  <c:pt idx="264">
                    <c:v>2023_Q2</c:v>
                  </c:pt>
                  <c:pt idx="265">
                    <c:v>2023_Q1</c:v>
                  </c:pt>
                  <c:pt idx="266">
                    <c:v>2023_Q2</c:v>
                  </c:pt>
                  <c:pt idx="267">
                    <c:v>2023_Q1</c:v>
                  </c:pt>
                  <c:pt idx="268">
                    <c:v>2023_Q1</c:v>
                  </c:pt>
                  <c:pt idx="269">
                    <c:v>2023_Q2</c:v>
                  </c:pt>
                  <c:pt idx="270">
                    <c:v>2023_Q1</c:v>
                  </c:pt>
                  <c:pt idx="271">
                    <c:v>2023_Q1</c:v>
                  </c:pt>
                  <c:pt idx="272">
                    <c:v>2023_Q2</c:v>
                  </c:pt>
                  <c:pt idx="273">
                    <c:v>2023_Q1</c:v>
                  </c:pt>
                  <c:pt idx="274">
                    <c:v>2023_Q1</c:v>
                  </c:pt>
                  <c:pt idx="275">
                    <c:v>2023_Q2</c:v>
                  </c:pt>
                  <c:pt idx="276">
                    <c:v>2023_Q1</c:v>
                  </c:pt>
                  <c:pt idx="277">
                    <c:v>2023_Q2</c:v>
                  </c:pt>
                  <c:pt idx="278">
                    <c:v>2023_Q1</c:v>
                  </c:pt>
                  <c:pt idx="279">
                    <c:v>2023_Q1</c:v>
                  </c:pt>
                  <c:pt idx="280">
                    <c:v>2023_Q2</c:v>
                  </c:pt>
                  <c:pt idx="281">
                    <c:v>2023_Q1</c:v>
                  </c:pt>
                  <c:pt idx="282">
                    <c:v>2023_Q2</c:v>
                  </c:pt>
                  <c:pt idx="283">
                    <c:v>2023_Q1</c:v>
                  </c:pt>
                  <c:pt idx="284">
                    <c:v>2023_Q2</c:v>
                  </c:pt>
                  <c:pt idx="285">
                    <c:v>2023_Q1</c:v>
                  </c:pt>
                  <c:pt idx="286">
                    <c:v>2023_Q1</c:v>
                  </c:pt>
                  <c:pt idx="287">
                    <c:v>2023_Q2</c:v>
                  </c:pt>
                  <c:pt idx="288">
                    <c:v>2023_Q1</c:v>
                  </c:pt>
                  <c:pt idx="289">
                    <c:v>2023_Q2</c:v>
                  </c:pt>
                  <c:pt idx="290">
                    <c:v>2023_Q1</c:v>
                  </c:pt>
                  <c:pt idx="291">
                    <c:v>2023_Q2</c:v>
                  </c:pt>
                  <c:pt idx="292">
                    <c:v>2023_Q1</c:v>
                  </c:pt>
                  <c:pt idx="293">
                    <c:v>2023_Q2</c:v>
                  </c:pt>
                  <c:pt idx="294">
                    <c:v>2023_Q1</c:v>
                  </c:pt>
                  <c:pt idx="295">
                    <c:v>2023_Q2</c:v>
                  </c:pt>
                  <c:pt idx="296">
                    <c:v>2023_Q1</c:v>
                  </c:pt>
                  <c:pt idx="297">
                    <c:v>2023_Q2</c:v>
                  </c:pt>
                  <c:pt idx="298">
                    <c:v>2023_Q1</c:v>
                  </c:pt>
                  <c:pt idx="299">
                    <c:v>2023_Q2</c:v>
                  </c:pt>
                  <c:pt idx="300">
                    <c:v>2023_Q1</c:v>
                  </c:pt>
                  <c:pt idx="301">
                    <c:v>2023_Q2</c:v>
                  </c:pt>
                  <c:pt idx="302">
                    <c:v>2023_Q1</c:v>
                  </c:pt>
                  <c:pt idx="303">
                    <c:v>2023_Q1</c:v>
                  </c:pt>
                  <c:pt idx="304">
                    <c:v>2023_Q2</c:v>
                  </c:pt>
                  <c:pt idx="305">
                    <c:v>2023_Q1</c:v>
                  </c:pt>
                  <c:pt idx="306">
                    <c:v>2023_Q2</c:v>
                  </c:pt>
                  <c:pt idx="307">
                    <c:v>2023_Q1</c:v>
                  </c:pt>
                  <c:pt idx="308">
                    <c:v>2023_Q1</c:v>
                  </c:pt>
                  <c:pt idx="309">
                    <c:v>2023_Q2</c:v>
                  </c:pt>
                  <c:pt idx="310">
                    <c:v>2023_Q1</c:v>
                  </c:pt>
                  <c:pt idx="311">
                    <c:v>2023_Q2</c:v>
                  </c:pt>
                  <c:pt idx="312">
                    <c:v>2023_Q1</c:v>
                  </c:pt>
                  <c:pt idx="313">
                    <c:v>2023_Q2</c:v>
                  </c:pt>
                  <c:pt idx="314">
                    <c:v>2023_Q1</c:v>
                  </c:pt>
                  <c:pt idx="315">
                    <c:v>2023_Q2</c:v>
                  </c:pt>
                  <c:pt idx="316">
                    <c:v>2023_Q1</c:v>
                  </c:pt>
                  <c:pt idx="317">
                    <c:v>2023_Q2</c:v>
                  </c:pt>
                  <c:pt idx="318">
                    <c:v>2023_Q1</c:v>
                  </c:pt>
                  <c:pt idx="319">
                    <c:v>2023_Q2</c:v>
                  </c:pt>
                  <c:pt idx="320">
                    <c:v>2023_Q1</c:v>
                  </c:pt>
                  <c:pt idx="321">
                    <c:v>2023_Q2</c:v>
                  </c:pt>
                  <c:pt idx="322">
                    <c:v>2023_Q1</c:v>
                  </c:pt>
                  <c:pt idx="323">
                    <c:v>2023_Q2</c:v>
                  </c:pt>
                  <c:pt idx="324">
                    <c:v>2023_Q1</c:v>
                  </c:pt>
                  <c:pt idx="325">
                    <c:v>2023_Q2</c:v>
                  </c:pt>
                  <c:pt idx="326">
                    <c:v>2023_Q1</c:v>
                  </c:pt>
                  <c:pt idx="327">
                    <c:v>2023_Q2</c:v>
                  </c:pt>
                  <c:pt idx="328">
                    <c:v>2023_Q1</c:v>
                  </c:pt>
                  <c:pt idx="329">
                    <c:v>2023_Q2</c:v>
                  </c:pt>
                  <c:pt idx="330">
                    <c:v>2023_Q1</c:v>
                  </c:pt>
                  <c:pt idx="331">
                    <c:v>2023_Q2</c:v>
                  </c:pt>
                  <c:pt idx="332">
                    <c:v>2023_Q1</c:v>
                  </c:pt>
                  <c:pt idx="333">
                    <c:v>2023_Q2</c:v>
                  </c:pt>
                  <c:pt idx="334">
                    <c:v>2023_Q1</c:v>
                  </c:pt>
                  <c:pt idx="335">
                    <c:v>2023_Q2</c:v>
                  </c:pt>
                  <c:pt idx="336">
                    <c:v>2023_Q1</c:v>
                  </c:pt>
                  <c:pt idx="337">
                    <c:v>2023_Q1</c:v>
                  </c:pt>
                  <c:pt idx="338">
                    <c:v>2023_Q2</c:v>
                  </c:pt>
                  <c:pt idx="339">
                    <c:v>2023_Q1</c:v>
                  </c:pt>
                  <c:pt idx="340">
                    <c:v>2023_Q2</c:v>
                  </c:pt>
                  <c:pt idx="341">
                    <c:v>2023_Q1</c:v>
                  </c:pt>
                  <c:pt idx="342">
                    <c:v>2023_Q2</c:v>
                  </c:pt>
                  <c:pt idx="343">
                    <c:v>2023_Q1</c:v>
                  </c:pt>
                  <c:pt idx="344">
                    <c:v>2023_Q1</c:v>
                  </c:pt>
                  <c:pt idx="345">
                    <c:v>2023_Q2</c:v>
                  </c:pt>
                  <c:pt idx="346">
                    <c:v>2023_Q1</c:v>
                  </c:pt>
                  <c:pt idx="347">
                    <c:v>2023_Q1</c:v>
                  </c:pt>
                  <c:pt idx="348">
                    <c:v>2023_Q1</c:v>
                  </c:pt>
                  <c:pt idx="349">
                    <c:v>2023_Q2</c:v>
                  </c:pt>
                  <c:pt idx="350">
                    <c:v>2023_Q1</c:v>
                  </c:pt>
                  <c:pt idx="351">
                    <c:v>2023_Q2</c:v>
                  </c:pt>
                  <c:pt idx="352">
                    <c:v>2023_Q1</c:v>
                  </c:pt>
                  <c:pt idx="353">
                    <c:v>2023_Q2</c:v>
                  </c:pt>
                  <c:pt idx="354">
                    <c:v>2023_Q1</c:v>
                  </c:pt>
                  <c:pt idx="355">
                    <c:v>2023_Q2</c:v>
                  </c:pt>
                  <c:pt idx="356">
                    <c:v>2023_Q1</c:v>
                  </c:pt>
                  <c:pt idx="357">
                    <c:v>2023_Q2</c:v>
                  </c:pt>
                  <c:pt idx="358">
                    <c:v>2023_Q1</c:v>
                  </c:pt>
                  <c:pt idx="359">
                    <c:v>2023_Q2</c:v>
                  </c:pt>
                  <c:pt idx="360">
                    <c:v>2023_Q1</c:v>
                  </c:pt>
                  <c:pt idx="361">
                    <c:v>2023_Q2</c:v>
                  </c:pt>
                  <c:pt idx="362">
                    <c:v>2023_Q1</c:v>
                  </c:pt>
                  <c:pt idx="363">
                    <c:v>2023_Q2</c:v>
                  </c:pt>
                  <c:pt idx="364">
                    <c:v>2023_Q1</c:v>
                  </c:pt>
                  <c:pt idx="365">
                    <c:v>2023_Q2</c:v>
                  </c:pt>
                  <c:pt idx="366">
                    <c:v>2023_Q1</c:v>
                  </c:pt>
                  <c:pt idx="367">
                    <c:v>2023_Q2</c:v>
                  </c:pt>
                  <c:pt idx="368">
                    <c:v>2023_Q1</c:v>
                  </c:pt>
                  <c:pt idx="369">
                    <c:v>2023_Q1</c:v>
                  </c:pt>
                  <c:pt idx="370">
                    <c:v>2023_Q1</c:v>
                  </c:pt>
                  <c:pt idx="371">
                    <c:v>2023_Q2</c:v>
                  </c:pt>
                  <c:pt idx="372">
                    <c:v>2023_Q1</c:v>
                  </c:pt>
                  <c:pt idx="373">
                    <c:v>2023_Q2</c:v>
                  </c:pt>
                  <c:pt idx="374">
                    <c:v>2023_Q1</c:v>
                  </c:pt>
                  <c:pt idx="375">
                    <c:v>2023_Q2</c:v>
                  </c:pt>
                  <c:pt idx="376">
                    <c:v>2023_Q1</c:v>
                  </c:pt>
                  <c:pt idx="377">
                    <c:v>2023_Q2</c:v>
                  </c:pt>
                  <c:pt idx="378">
                    <c:v>2023_Q1</c:v>
                  </c:pt>
                  <c:pt idx="379">
                    <c:v>2023_Q1</c:v>
                  </c:pt>
                  <c:pt idx="380">
                    <c:v>2023_Q2</c:v>
                  </c:pt>
                  <c:pt idx="381">
                    <c:v>2023_Q1</c:v>
                  </c:pt>
                  <c:pt idx="382">
                    <c:v>2023_Q2</c:v>
                  </c:pt>
                  <c:pt idx="383">
                    <c:v>2023_Q1</c:v>
                  </c:pt>
                  <c:pt idx="384">
                    <c:v>2023_Q2</c:v>
                  </c:pt>
                  <c:pt idx="385">
                    <c:v>2023_Q1</c:v>
                  </c:pt>
                  <c:pt idx="386">
                    <c:v>2023_Q2</c:v>
                  </c:pt>
                  <c:pt idx="387">
                    <c:v>2023_Q1</c:v>
                  </c:pt>
                  <c:pt idx="388">
                    <c:v>2023_Q2</c:v>
                  </c:pt>
                  <c:pt idx="389">
                    <c:v>2023_Q1</c:v>
                  </c:pt>
                  <c:pt idx="390">
                    <c:v>2023_Q2</c:v>
                  </c:pt>
                  <c:pt idx="391">
                    <c:v>2023_Q1</c:v>
                  </c:pt>
                  <c:pt idx="392">
                    <c:v>2023_Q1</c:v>
                  </c:pt>
                  <c:pt idx="393">
                    <c:v>2023_Q1</c:v>
                  </c:pt>
                  <c:pt idx="394">
                    <c:v>2023_Q2</c:v>
                  </c:pt>
                  <c:pt idx="395">
                    <c:v>2023_Q2</c:v>
                  </c:pt>
                  <c:pt idx="396">
                    <c:v>2023_Q2</c:v>
                  </c:pt>
                  <c:pt idx="397">
                    <c:v>2023_Q2</c:v>
                  </c:pt>
                  <c:pt idx="398">
                    <c:v>2023_Q2</c:v>
                  </c:pt>
                  <c:pt idx="399">
                    <c:v>2023_Q2</c:v>
                  </c:pt>
                  <c:pt idx="400">
                    <c:v>2023_Q2</c:v>
                  </c:pt>
                </c:lvl>
                <c:lvl>
                  <c:pt idx="0">
                    <c:v>AD-2000 Tharthana Compound</c:v>
                  </c:pt>
                  <c:pt idx="2">
                    <c:v>AG Church, Hmaw Si Sa</c:v>
                  </c:pt>
                  <c:pt idx="4">
                    <c:v>AG Church, Maw Wan</c:v>
                  </c:pt>
                  <c:pt idx="6">
                    <c:v>Agritural Compound (KBC)</c:v>
                  </c:pt>
                  <c:pt idx="8">
                    <c:v>Aung Thar Church</c:v>
                  </c:pt>
                  <c:pt idx="10">
                    <c:v>Baptist Church, Hmaw Si Sar(Lon Khin)</c:v>
                  </c:pt>
                  <c:pt idx="12">
                    <c:v>Border Post 8</c:v>
                  </c:pt>
                  <c:pt idx="14">
                    <c:v>Bum Tsit Pa</c:v>
                  </c:pt>
                  <c:pt idx="16">
                    <c:v>Chin Church, Seik Mu</c:v>
                  </c:pt>
                  <c:pt idx="17">
                    <c:v>Chipwi KBC camp</c:v>
                  </c:pt>
                  <c:pt idx="19">
                    <c:v>Dhama Rakhita, Nyein Chan Tar Yar Ward(Lon Khin)</c:v>
                  </c:pt>
                  <c:pt idx="21">
                    <c:v>Du Kahtawng Baptist</c:v>
                  </c:pt>
                  <c:pt idx="22">
                    <c:v>Dum Bung </c:v>
                  </c:pt>
                  <c:pt idx="24">
                    <c:v>Emmanuel AG Church</c:v>
                  </c:pt>
                  <c:pt idx="25">
                    <c:v>Galeng (Palaung) &amp; Kone Khem</c:v>
                  </c:pt>
                  <c:pt idx="27">
                    <c:v>Hka Shi</c:v>
                  </c:pt>
                  <c:pt idx="29">
                    <c:v>Hkat Cho </c:v>
                  </c:pt>
                  <c:pt idx="31">
                    <c:v>Hkau Shau (BP 12)</c:v>
                  </c:pt>
                  <c:pt idx="33">
                    <c:v>Hlaing Naung Baptist</c:v>
                  </c:pt>
                  <c:pt idx="35">
                    <c:v>Hpai Kawng</c:v>
                  </c:pt>
                  <c:pt idx="37">
                    <c:v>Hpakant Baptist Church, Nam Ma Hpit</c:v>
                  </c:pt>
                  <c:pt idx="39">
                    <c:v>Hpare Hkyer - BP6</c:v>
                  </c:pt>
                  <c:pt idx="41">
                    <c:v>Hpun Lum Yang </c:v>
                  </c:pt>
                  <c:pt idx="43">
                    <c:v>Htoi San Church</c:v>
                  </c:pt>
                  <c:pt idx="45">
                    <c:v>Hu Hku &amp; Ho Hko</c:v>
                  </c:pt>
                  <c:pt idx="47">
                    <c:v>IDP Boarding School, A Len Bum</c:v>
                  </c:pt>
                  <c:pt idx="49">
                    <c:v>Jan Mai Kawng Baptist Church</c:v>
                  </c:pt>
                  <c:pt idx="51">
                    <c:v>Jan Mai Kawng Catholic Church</c:v>
                  </c:pt>
                  <c:pt idx="53">
                    <c:v>Jaw Masat Camp</c:v>
                  </c:pt>
                  <c:pt idx="55">
                    <c:v>Je Yang Hka </c:v>
                  </c:pt>
                  <c:pt idx="57">
                    <c:v>Ka Bu Dam CoC</c:v>
                  </c:pt>
                  <c:pt idx="59">
                    <c:v>Kachin Su Baptist Church (ECCD)</c:v>
                  </c:pt>
                  <c:pt idx="61">
                    <c:v>Karmaing RC Church</c:v>
                  </c:pt>
                  <c:pt idx="62">
                    <c:v>Khar Nan (1) Baptist Church</c:v>
                  </c:pt>
                  <c:pt idx="64">
                    <c:v>Kutkai downtown (KBC Church)</c:v>
                  </c:pt>
                  <c:pt idx="66">
                    <c:v>Kutkai downtown (KBC Church-2)</c:v>
                  </c:pt>
                  <c:pt idx="68">
                    <c:v>Kyu Sot</c:v>
                  </c:pt>
                  <c:pt idx="69">
                    <c:v>Kyun Taw Baptist Church </c:v>
                  </c:pt>
                  <c:pt idx="71">
                    <c:v>Laiza Je Yang School</c:v>
                  </c:pt>
                  <c:pt idx="73">
                    <c:v>Lana Zup Ja</c:v>
                  </c:pt>
                  <c:pt idx="75">
                    <c:v>Lawng Hkang Shait Yang Camp​ ( Lel Pyin)​ </c:v>
                  </c:pt>
                  <c:pt idx="77">
                    <c:v>Le Kone Bethlehem Church</c:v>
                  </c:pt>
                  <c:pt idx="79">
                    <c:v>Le Kone Ziun Baptist Church </c:v>
                  </c:pt>
                  <c:pt idx="81">
                    <c:v>Lhaovao Baptist Church (LBC)</c:v>
                  </c:pt>
                  <c:pt idx="83">
                    <c:v>Lisu Baptist Church, Maw Shan Vil,. Seik Mu</c:v>
                  </c:pt>
                  <c:pt idx="85">
                    <c:v>Lisu Baptist Church, Maw Wan Ward</c:v>
                  </c:pt>
                  <c:pt idx="87">
                    <c:v>Lisu Boarding-House</c:v>
                  </c:pt>
                  <c:pt idx="89">
                    <c:v>Lisu Church Namtu</c:v>
                  </c:pt>
                  <c:pt idx="90">
                    <c:v>Loi Je Baptist Church</c:v>
                  </c:pt>
                  <c:pt idx="92">
                    <c:v>Loi Je Catholic Church</c:v>
                  </c:pt>
                  <c:pt idx="94">
                    <c:v>Loi Je Lisu Camp</c:v>
                  </c:pt>
                  <c:pt idx="96">
                    <c:v>Lone Khin Catholic Church</c:v>
                  </c:pt>
                  <c:pt idx="97">
                    <c:v>Ma Hawng Baptist Church</c:v>
                  </c:pt>
                  <c:pt idx="99">
                    <c:v>Mading Baptist Church</c:v>
                  </c:pt>
                  <c:pt idx="101">
                    <c:v>Maga Yang </c:v>
                  </c:pt>
                  <c:pt idx="103">
                    <c:v>Mai Yu Lay New (Ta'ang)</c:v>
                  </c:pt>
                  <c:pt idx="105">
                    <c:v>Maina AG Church</c:v>
                  </c:pt>
                  <c:pt idx="107">
                    <c:v>Maina Catholic Church (St. Joseph)</c:v>
                  </c:pt>
                  <c:pt idx="109">
                    <c:v>Maina KBC (Bawng Ring)</c:v>
                  </c:pt>
                  <c:pt idx="111">
                    <c:v>Maina Lawang Baptist Church</c:v>
                  </c:pt>
                  <c:pt idx="113">
                    <c:v>Maing Khaung</c:v>
                  </c:pt>
                  <c:pt idx="115">
                    <c:v>Maing Khaung Catholic Church</c:v>
                  </c:pt>
                  <c:pt idx="117">
                    <c:v>Maliyang Baptist Church</c:v>
                  </c:pt>
                  <c:pt idx="119">
                    <c:v>Man Bung Catholic compound</c:v>
                  </c:pt>
                  <c:pt idx="121">
                    <c:v>Man Bung Edin Baptist Church</c:v>
                  </c:pt>
                  <c:pt idx="123">
                    <c:v>Man Hkring Baptist Church</c:v>
                  </c:pt>
                  <c:pt idx="125">
                    <c:v>Man Kaung/Naung Ti Kyar Village</c:v>
                  </c:pt>
                  <c:pt idx="127">
                    <c:v>Man Loi</c:v>
                  </c:pt>
                  <c:pt idx="128">
                    <c:v>Man Wing Baptist Church</c:v>
                  </c:pt>
                  <c:pt idx="130">
                    <c:v>Man Wing Baptist Church Cultural Compound</c:v>
                  </c:pt>
                  <c:pt idx="132">
                    <c:v>Man Wing Catholic Church</c:v>
                  </c:pt>
                  <c:pt idx="134">
                    <c:v>Man Wing Catholic Church II</c:v>
                  </c:pt>
                  <c:pt idx="136">
                    <c:v>Mandung - Jinghpaw</c:v>
                  </c:pt>
                  <c:pt idx="137">
                    <c:v>Mandung - RC</c:v>
                  </c:pt>
                  <c:pt idx="138">
                    <c:v>Mansi Baptist Church</c:v>
                  </c:pt>
                  <c:pt idx="140">
                    <c:v>Maw Hpawng Hka Nan Baptist Church</c:v>
                  </c:pt>
                  <c:pt idx="142">
                    <c:v>Maw Hpawng Lhaovo Baptist Church</c:v>
                  </c:pt>
                  <c:pt idx="144">
                    <c:v>Maw Wan, Mu-yin Baptist Church</c:v>
                  </c:pt>
                  <c:pt idx="146">
                    <c:v>Mine Yu Lay village ( Old)</c:v>
                  </c:pt>
                  <c:pt idx="148">
                    <c:v>Momauk Baptist Church</c:v>
                  </c:pt>
                  <c:pt idx="150">
                    <c:v>Mung Hawm </c:v>
                  </c:pt>
                  <c:pt idx="152">
                    <c:v>Muyin church (Aung Yar pre-school compound)</c:v>
                  </c:pt>
                  <c:pt idx="154">
                    <c:v>Nam Hkam - Nay Win Ni (Palawng)</c:v>
                  </c:pt>
                  <c:pt idx="156">
                    <c:v>Nam Hkam (KBC Jaw Wang)</c:v>
                  </c:pt>
                  <c:pt idx="158">
                    <c:v>Nam Hkam (KBC Jaw Wang) II</c:v>
                  </c:pt>
                  <c:pt idx="159">
                    <c:v>Nam Hkam Catholic Church ( St. Thomas I)</c:v>
                  </c:pt>
                  <c:pt idx="161">
                    <c:v>Nam Hpak Ka Mare </c:v>
                  </c:pt>
                  <c:pt idx="163">
                    <c:v>Nam Hpak Ka Ta'ang ( Aung Tha Pyay)</c:v>
                  </c:pt>
                  <c:pt idx="165">
                    <c:v>Nam Ma Phyit, COC</c:v>
                  </c:pt>
                  <c:pt idx="167">
                    <c:v>Nam Sa Larp</c:v>
                  </c:pt>
                  <c:pt idx="169">
                    <c:v>Nam Tu Baptist</c:v>
                  </c:pt>
                  <c:pt idx="170">
                    <c:v>Namti Labraw Yang KBC Camp</c:v>
                  </c:pt>
                  <c:pt idx="172">
                    <c:v>Nan Kway St. John Catholic Church</c:v>
                  </c:pt>
                  <c:pt idx="174">
                    <c:v>Nant Ma Hpit Catholic Church</c:v>
                  </c:pt>
                  <c:pt idx="176">
                    <c:v>Nat Gyi Kone Baptist Church </c:v>
                  </c:pt>
                  <c:pt idx="178">
                    <c:v>Nawng Hee Village</c:v>
                  </c:pt>
                  <c:pt idx="179">
                    <c:v>Nawng Ing (Indawgyi) Baptist Church </c:v>
                  </c:pt>
                  <c:pt idx="181">
                    <c:v>Ndup Yang</c:v>
                  </c:pt>
                  <c:pt idx="183">
                    <c:v>New Pang Ku </c:v>
                  </c:pt>
                  <c:pt idx="185">
                    <c:v>Nhkawng Pa </c:v>
                  </c:pt>
                  <c:pt idx="187">
                    <c:v>Njang Dung Baptist Church </c:v>
                  </c:pt>
                  <c:pt idx="189">
                    <c:v>Nyaung Na Pin </c:v>
                  </c:pt>
                  <c:pt idx="191">
                    <c:v>Pa Dauk Myaing(Pa La Na)</c:v>
                  </c:pt>
                  <c:pt idx="193">
                    <c:v>Pa Dauk Myaing(Pa La Na)-II</c:v>
                  </c:pt>
                  <c:pt idx="195">
                    <c:v>Pa Kahtawng </c:v>
                  </c:pt>
                  <c:pt idx="197">
                    <c:v>Pajau - Jan Mai</c:v>
                  </c:pt>
                  <c:pt idx="199">
                    <c:v>Pan Law</c:v>
                  </c:pt>
                  <c:pt idx="201">
                    <c:v>Pang Hkawn Yang</c:v>
                  </c:pt>
                  <c:pt idx="203">
                    <c:v>Phan Khar Kone</c:v>
                  </c:pt>
                  <c:pt idx="205">
                    <c:v>Qtr. 2 Lhaovo Baptist Church</c:v>
                  </c:pt>
                  <c:pt idx="207">
                    <c:v>Qtr. 2 Myoma Baptist Church</c:v>
                  </c:pt>
                  <c:pt idx="209">
                    <c:v>Rawan Baptist Church, Maw Shan Vil., Seik Mu</c:v>
                  </c:pt>
                  <c:pt idx="211">
                    <c:v>Robert Church</c:v>
                  </c:pt>
                  <c:pt idx="213">
                    <c:v>Sadung</c:v>
                  </c:pt>
                  <c:pt idx="215">
                    <c:v>Salang Yang</c:v>
                  </c:pt>
                  <c:pt idx="217">
                    <c:v>Sar Hmaw - KBC</c:v>
                  </c:pt>
                  <c:pt idx="219">
                    <c:v>Seng Ja </c:v>
                  </c:pt>
                  <c:pt idx="221">
                    <c:v>Sha-It Yang</c:v>
                  </c:pt>
                  <c:pt idx="223">
                    <c:v>Shar Du Zut KBC church </c:v>
                  </c:pt>
                  <c:pt idx="224">
                    <c:v>Shatapru Sut Ngai Tawng</c:v>
                  </c:pt>
                  <c:pt idx="226">
                    <c:v>Shatapru Thida Aye Baptist Church</c:v>
                  </c:pt>
                  <c:pt idx="228">
                    <c:v>Shing Jai</c:v>
                  </c:pt>
                  <c:pt idx="230">
                    <c:v>Shwe Gu Baptist Church</c:v>
                  </c:pt>
                  <c:pt idx="232">
                    <c:v>Shwe Gu Catholic Church</c:v>
                  </c:pt>
                  <c:pt idx="234">
                    <c:v>Shwe Zet Baptist Church</c:v>
                  </c:pt>
                  <c:pt idx="236">
                    <c:v>St. Joseph Tanai RC camp </c:v>
                  </c:pt>
                  <c:pt idx="238">
                    <c:v>Tanai CoC</c:v>
                  </c:pt>
                  <c:pt idx="240">
                    <c:v>Tanai KBC Camp</c:v>
                  </c:pt>
                  <c:pt idx="242">
                    <c:v>Tat Kone Baptist Church</c:v>
                  </c:pt>
                  <c:pt idx="244">
                    <c:v>Tat Kone COC Baptist - Tat Kone Htoi San</c:v>
                  </c:pt>
                  <c:pt idx="246">
                    <c:v>Tat Kone Galile Baptist Church</c:v>
                  </c:pt>
                  <c:pt idx="248">
                    <c:v>Tat Kone San Pya Baptist Church</c:v>
                  </c:pt>
                  <c:pt idx="250">
                    <c:v>Thargaya Lisu Baptist Church</c:v>
                  </c:pt>
                  <c:pt idx="252">
                    <c:v>Trinity Camp</c:v>
                  </c:pt>
                  <c:pt idx="254">
                    <c:v>Tsan Lun - Namjarap</c:v>
                  </c:pt>
                  <c:pt idx="256">
                    <c:v>Waimaw Baptist Zonal Office 2</c:v>
                  </c:pt>
                  <c:pt idx="258">
                    <c:v>Waingmaw AG Church</c:v>
                  </c:pt>
                  <c:pt idx="260">
                    <c:v>Ward 2 Sai Taung Baptist Church, Seik Mu </c:v>
                  </c:pt>
                  <c:pt idx="261">
                    <c:v>Woi Chyai </c:v>
                  </c:pt>
                  <c:pt idx="263">
                    <c:v>Woi Chyai (Mong Lai)</c:v>
                  </c:pt>
                  <c:pt idx="265">
                    <c:v>Woi Chyai host families</c:v>
                  </c:pt>
                  <c:pt idx="267">
                    <c:v>Yumar Baptist Church</c:v>
                  </c:pt>
                  <c:pt idx="268">
                    <c:v>Zup Aung Camp</c:v>
                  </c:pt>
                  <c:pt idx="270">
                    <c:v>Hka Garan Yang </c:v>
                  </c:pt>
                  <c:pt idx="271">
                    <c:v>Htang Nya </c:v>
                  </c:pt>
                  <c:pt idx="273">
                    <c:v>Enai (Man Pyein)</c:v>
                  </c:pt>
                  <c:pt idx="274">
                    <c:v>Momauk IDP new extension camp (Kye Nan)</c:v>
                  </c:pt>
                  <c:pt idx="276">
                    <c:v>Sector 5 Pammati Quarter</c:v>
                  </c:pt>
                  <c:pt idx="278">
                    <c:v>Namatee Kan Hla AG</c:v>
                  </c:pt>
                  <c:pt idx="279">
                    <c:v>His Aw (Chyu Fan) </c:v>
                  </c:pt>
                  <c:pt idx="281">
                    <c:v>Shwe Sin (Ward 3) </c:v>
                  </c:pt>
                  <c:pt idx="283">
                    <c:v>Bum Ra Yang Camp </c:v>
                  </c:pt>
                  <c:pt idx="285">
                    <c:v>Mang Nawng Kawng (host)</c:v>
                  </c:pt>
                  <c:pt idx="286">
                    <c:v>Kyaukme Town (host)</c:v>
                  </c:pt>
                  <c:pt idx="288">
                    <c:v>Nam Hlaing Extension Ward camp</c:v>
                  </c:pt>
                  <c:pt idx="290">
                    <c:v>Naung Tar Law (Kyet Chan) </c:v>
                  </c:pt>
                  <c:pt idx="292">
                    <c:v>Waingmaw St.Joseph RC Church</c:v>
                  </c:pt>
                  <c:pt idx="294">
                    <c:v>Phaug Nhae Camp</c:v>
                  </c:pt>
                  <c:pt idx="296">
                    <c:v>Ding Jang Yang (1)</c:v>
                  </c:pt>
                  <c:pt idx="298">
                    <c:v>Ding Jang Yang (2)</c:v>
                  </c:pt>
                  <c:pt idx="300">
                    <c:v>Yi Hku Man Hkan </c:v>
                  </c:pt>
                  <c:pt idx="302">
                    <c:v>Maina Relocation Site</c:v>
                  </c:pt>
                  <c:pt idx="303">
                    <c:v>Lin Hao chun </c:v>
                  </c:pt>
                  <c:pt idx="305">
                    <c:v>Pyi Htaung Su</c:v>
                  </c:pt>
                  <c:pt idx="307">
                    <c:v>Momauk KBC church</c:v>
                  </c:pt>
                  <c:pt idx="308">
                    <c:v>St.Francis RCC 1</c:v>
                  </c:pt>
                  <c:pt idx="310">
                    <c:v>St.Francis RCC 2</c:v>
                  </c:pt>
                  <c:pt idx="312">
                    <c:v>Bang Yang Hka (Mung Ji Pa)-relocated</c:v>
                  </c:pt>
                  <c:pt idx="314">
                    <c:v>Galeng Zup Awng ward 5 RC</c:v>
                  </c:pt>
                  <c:pt idx="316">
                    <c:v>Man Wing- IDPs in Host</c:v>
                  </c:pt>
                  <c:pt idx="318">
                    <c:v>(3 mile) Shwe Pyi Tar (SLCA)</c:v>
                  </c:pt>
                  <c:pt idx="320">
                    <c:v>Bhamo- IDPs in Host </c:v>
                  </c:pt>
                  <c:pt idx="322">
                    <c:v>St.Columban lone Khin camp</c:v>
                  </c:pt>
                  <c:pt idx="324">
                    <c:v>Mansi- IDPs in Host</c:v>
                  </c:pt>
                  <c:pt idx="326">
                    <c:v>Hopin -IDPs in Host</c:v>
                  </c:pt>
                  <c:pt idx="328">
                    <c:v>Moenyin- IDPs in Host</c:v>
                  </c:pt>
                  <c:pt idx="330">
                    <c:v>Momauk-IDPs in Host</c:v>
                  </c:pt>
                  <c:pt idx="332">
                    <c:v>Myo Thit -IDP in Host</c:v>
                  </c:pt>
                  <c:pt idx="334">
                    <c:v>Saint Matthew (Shin ma ti-sitapru) camp</c:v>
                  </c:pt>
                  <c:pt idx="336">
                    <c:v>Na ru Kawng (Post 6 camp)</c:v>
                  </c:pt>
                  <c:pt idx="337">
                    <c:v>Man Pint community Hall </c:v>
                  </c:pt>
                  <c:pt idx="339">
                    <c:v>Mong Tin High School</c:v>
                  </c:pt>
                  <c:pt idx="341">
                    <c:v>Nar Mun Primary School</c:v>
                  </c:pt>
                  <c:pt idx="343">
                    <c:v>SLCA Building Compound (Kyaukme town)</c:v>
                  </c:pt>
                  <c:pt idx="344">
                    <c:v>SLCA Building Compound (Moungnawt town)</c:v>
                  </c:pt>
                  <c:pt idx="346">
                    <c:v>Theravada Monastery </c:v>
                  </c:pt>
                  <c:pt idx="347">
                    <c:v>Hseng Ja-Relocated</c:v>
                  </c:pt>
                  <c:pt idx="348">
                    <c:v>Maina Mu-yin  Baptist Church</c:v>
                  </c:pt>
                  <c:pt idx="350">
                    <c:v>LCC UM Camp Hka Shi</c:v>
                  </c:pt>
                  <c:pt idx="352">
                    <c:v>Lisu Ethnic Youth Development Center </c:v>
                  </c:pt>
                  <c:pt idx="354">
                    <c:v>Nbang Yang camp </c:v>
                  </c:pt>
                  <c:pt idx="356">
                    <c:v>Rawang Baptist Church</c:v>
                  </c:pt>
                  <c:pt idx="358">
                    <c:v>Sut Ngai yang camp </c:v>
                  </c:pt>
                  <c:pt idx="360">
                    <c:v>Sadung KBC</c:v>
                  </c:pt>
                  <c:pt idx="362">
                    <c:v>Sana Lisu Baptist Church (DTC)</c:v>
                  </c:pt>
                  <c:pt idx="364">
                    <c:v>Sutaung Taung Chae</c:v>
                  </c:pt>
                  <c:pt idx="366">
                    <c:v>Mohnyin IDP in host (2)</c:v>
                  </c:pt>
                  <c:pt idx="368">
                    <c:v>Wuyan Lisu (KLCC) </c:v>
                  </c:pt>
                  <c:pt idx="369">
                    <c:v>Lisu Church</c:v>
                  </c:pt>
                  <c:pt idx="370">
                    <c:v>Chinese Baptist Church Compound(Oak Hpo)</c:v>
                  </c:pt>
                  <c:pt idx="372">
                    <c:v>Farmland(Kyay Zu Taw)</c:v>
                  </c:pt>
                  <c:pt idx="374">
                    <c:v>Pong Mun School</c:v>
                  </c:pt>
                  <c:pt idx="376">
                    <c:v>Hka San Baptist church </c:v>
                  </c:pt>
                  <c:pt idx="378">
                    <c:v>Ward 3 </c:v>
                  </c:pt>
                  <c:pt idx="379">
                    <c:v>Sun Lon monastery </c:v>
                  </c:pt>
                  <c:pt idx="381">
                    <c:v>Farmland(Kaung Kye Peik)</c:v>
                  </c:pt>
                  <c:pt idx="383">
                    <c:v>Kaung Nyaung Ywar Thit (Ho Piek gyi)</c:v>
                  </c:pt>
                  <c:pt idx="385">
                    <c:v>Ward 5 &amp; 9</c:v>
                  </c:pt>
                  <c:pt idx="387">
                    <c:v>Kan Long </c:v>
                  </c:pt>
                  <c:pt idx="389">
                    <c:v>Chicken Farm </c:v>
                  </c:pt>
                  <c:pt idx="391">
                    <c:v>KBC Church </c:v>
                  </c:pt>
                  <c:pt idx="392">
                    <c:v>New Nant  Hlaing camp</c:v>
                  </c:pt>
                  <c:pt idx="393">
                    <c:v>Shan Culutre camp</c:v>
                  </c:pt>
                  <c:pt idx="394">
                    <c:v>Dagaw Border</c:v>
                  </c:pt>
                  <c:pt idx="395">
                    <c:v>Lashio ward 7 – IDPs in host</c:v>
                  </c:pt>
                  <c:pt idx="396">
                    <c:v>Lashio ward 9 – IDPs in host</c:v>
                  </c:pt>
                  <c:pt idx="397">
                    <c:v>Ward 3</c:v>
                  </c:pt>
                  <c:pt idx="398">
                    <c:v>Mong Paw Building</c:v>
                  </c:pt>
                  <c:pt idx="399">
                    <c:v>IDP in host community(Mongkoe town)</c:v>
                  </c:pt>
                  <c:pt idx="400">
                    <c:v>Sein Lone Shann Border</c:v>
                  </c:pt>
                </c:lvl>
              </c:multiLvlStrCache>
            </c:multiLvlStrRef>
          </c:cat>
          <c:val>
            <c:numRef>
              <c:f>'Tracking Dashboard'!$O$5:$O$626</c:f>
              <c:numCache>
                <c:formatCode>General</c:formatCode>
                <c:ptCount val="401"/>
                <c:pt idx="0">
                  <c:v>715</c:v>
                </c:pt>
                <c:pt idx="1">
                  <c:v>715</c:v>
                </c:pt>
                <c:pt idx="2">
                  <c:v>368</c:v>
                </c:pt>
                <c:pt idx="3">
                  <c:v>368</c:v>
                </c:pt>
                <c:pt idx="4">
                  <c:v>60</c:v>
                </c:pt>
                <c:pt idx="5">
                  <c:v>60</c:v>
                </c:pt>
                <c:pt idx="6">
                  <c:v>502</c:v>
                </c:pt>
                <c:pt idx="7">
                  <c:v>502</c:v>
                </c:pt>
                <c:pt idx="8">
                  <c:v>40</c:v>
                </c:pt>
                <c:pt idx="9">
                  <c:v>40</c:v>
                </c:pt>
                <c:pt idx="10">
                  <c:v>200</c:v>
                </c:pt>
                <c:pt idx="11">
                  <c:v>200</c:v>
                </c:pt>
                <c:pt idx="12">
                  <c:v>405</c:v>
                </c:pt>
                <c:pt idx="13">
                  <c:v>258</c:v>
                </c:pt>
                <c:pt idx="14">
                  <c:v>1900</c:v>
                </c:pt>
                <c:pt idx="15">
                  <c:v>1900</c:v>
                </c:pt>
                <c:pt idx="16">
                  <c:v>24</c:v>
                </c:pt>
                <c:pt idx="17">
                  <c:v>280</c:v>
                </c:pt>
                <c:pt idx="18">
                  <c:v>280</c:v>
                </c:pt>
                <c:pt idx="19">
                  <c:v>451</c:v>
                </c:pt>
                <c:pt idx="20">
                  <c:v>443</c:v>
                </c:pt>
                <c:pt idx="21">
                  <c:v>120</c:v>
                </c:pt>
                <c:pt idx="22">
                  <c:v>404</c:v>
                </c:pt>
                <c:pt idx="23">
                  <c:v>400</c:v>
                </c:pt>
                <c:pt idx="24">
                  <c:v>0</c:v>
                </c:pt>
                <c:pt idx="25">
                  <c:v>439</c:v>
                </c:pt>
                <c:pt idx="26">
                  <c:v>439</c:v>
                </c:pt>
                <c:pt idx="27">
                  <c:v>164</c:v>
                </c:pt>
                <c:pt idx="28">
                  <c:v>164</c:v>
                </c:pt>
                <c:pt idx="29">
                  <c:v>40</c:v>
                </c:pt>
                <c:pt idx="30">
                  <c:v>40</c:v>
                </c:pt>
                <c:pt idx="31">
                  <c:v>856</c:v>
                </c:pt>
                <c:pt idx="32">
                  <c:v>896</c:v>
                </c:pt>
                <c:pt idx="33">
                  <c:v>80</c:v>
                </c:pt>
                <c:pt idx="34">
                  <c:v>80</c:v>
                </c:pt>
                <c:pt idx="35">
                  <c:v>0</c:v>
                </c:pt>
                <c:pt idx="36">
                  <c:v>0</c:v>
                </c:pt>
                <c:pt idx="37">
                  <c:v>280</c:v>
                </c:pt>
                <c:pt idx="38">
                  <c:v>280</c:v>
                </c:pt>
                <c:pt idx="39">
                  <c:v>640</c:v>
                </c:pt>
                <c:pt idx="40">
                  <c:v>1089</c:v>
                </c:pt>
                <c:pt idx="41">
                  <c:v>3545</c:v>
                </c:pt>
                <c:pt idx="42">
                  <c:v>3545</c:v>
                </c:pt>
                <c:pt idx="43">
                  <c:v>220</c:v>
                </c:pt>
                <c:pt idx="44">
                  <c:v>220</c:v>
                </c:pt>
                <c:pt idx="45">
                  <c:v>130</c:v>
                </c:pt>
                <c:pt idx="46">
                  <c:v>130</c:v>
                </c:pt>
                <c:pt idx="47">
                  <c:v>2000</c:v>
                </c:pt>
                <c:pt idx="48">
                  <c:v>2200</c:v>
                </c:pt>
                <c:pt idx="49">
                  <c:v>742</c:v>
                </c:pt>
                <c:pt idx="50">
                  <c:v>742</c:v>
                </c:pt>
                <c:pt idx="51">
                  <c:v>278</c:v>
                </c:pt>
                <c:pt idx="52">
                  <c:v>278</c:v>
                </c:pt>
                <c:pt idx="53">
                  <c:v>320</c:v>
                </c:pt>
                <c:pt idx="54">
                  <c:v>560</c:v>
                </c:pt>
                <c:pt idx="55">
                  <c:v>8225</c:v>
                </c:pt>
                <c:pt idx="56">
                  <c:v>8225</c:v>
                </c:pt>
                <c:pt idx="57">
                  <c:v>62</c:v>
                </c:pt>
                <c:pt idx="58">
                  <c:v>64</c:v>
                </c:pt>
                <c:pt idx="59">
                  <c:v>57</c:v>
                </c:pt>
                <c:pt idx="60">
                  <c:v>57</c:v>
                </c:pt>
                <c:pt idx="61">
                  <c:v>52</c:v>
                </c:pt>
                <c:pt idx="62">
                  <c:v>100</c:v>
                </c:pt>
                <c:pt idx="63">
                  <c:v>100</c:v>
                </c:pt>
                <c:pt idx="64">
                  <c:v>240</c:v>
                </c:pt>
                <c:pt idx="65">
                  <c:v>240</c:v>
                </c:pt>
                <c:pt idx="66">
                  <c:v>180</c:v>
                </c:pt>
                <c:pt idx="67">
                  <c:v>180</c:v>
                </c:pt>
                <c:pt idx="68">
                  <c:v>270</c:v>
                </c:pt>
                <c:pt idx="69">
                  <c:v>74</c:v>
                </c:pt>
                <c:pt idx="70">
                  <c:v>77</c:v>
                </c:pt>
                <c:pt idx="71">
                  <c:v>0</c:v>
                </c:pt>
                <c:pt idx="72">
                  <c:v>0</c:v>
                </c:pt>
                <c:pt idx="73">
                  <c:v>2503</c:v>
                </c:pt>
                <c:pt idx="74">
                  <c:v>2503</c:v>
                </c:pt>
                <c:pt idx="75">
                  <c:v>606</c:v>
                </c:pt>
                <c:pt idx="76">
                  <c:v>586</c:v>
                </c:pt>
                <c:pt idx="77">
                  <c:v>160</c:v>
                </c:pt>
                <c:pt idx="78">
                  <c:v>280</c:v>
                </c:pt>
                <c:pt idx="79">
                  <c:v>640</c:v>
                </c:pt>
                <c:pt idx="80">
                  <c:v>560</c:v>
                </c:pt>
                <c:pt idx="81">
                  <c:v>600</c:v>
                </c:pt>
                <c:pt idx="82">
                  <c:v>600</c:v>
                </c:pt>
                <c:pt idx="83">
                  <c:v>107</c:v>
                </c:pt>
                <c:pt idx="84">
                  <c:v>107</c:v>
                </c:pt>
                <c:pt idx="85">
                  <c:v>40</c:v>
                </c:pt>
                <c:pt idx="86">
                  <c:v>40</c:v>
                </c:pt>
                <c:pt idx="87">
                  <c:v>774</c:v>
                </c:pt>
                <c:pt idx="88">
                  <c:v>460</c:v>
                </c:pt>
                <c:pt idx="89">
                  <c:v>127</c:v>
                </c:pt>
                <c:pt idx="90">
                  <c:v>182</c:v>
                </c:pt>
                <c:pt idx="91">
                  <c:v>182</c:v>
                </c:pt>
                <c:pt idx="92">
                  <c:v>126</c:v>
                </c:pt>
                <c:pt idx="93">
                  <c:v>126</c:v>
                </c:pt>
                <c:pt idx="94">
                  <c:v>803</c:v>
                </c:pt>
                <c:pt idx="95">
                  <c:v>803</c:v>
                </c:pt>
                <c:pt idx="96">
                  <c:v>300</c:v>
                </c:pt>
                <c:pt idx="97">
                  <c:v>60</c:v>
                </c:pt>
                <c:pt idx="98">
                  <c:v>60</c:v>
                </c:pt>
                <c:pt idx="99">
                  <c:v>120</c:v>
                </c:pt>
                <c:pt idx="100">
                  <c:v>60</c:v>
                </c:pt>
                <c:pt idx="101">
                  <c:v>1342</c:v>
                </c:pt>
                <c:pt idx="102">
                  <c:v>1442</c:v>
                </c:pt>
                <c:pt idx="103">
                  <c:v>502</c:v>
                </c:pt>
                <c:pt idx="104">
                  <c:v>502</c:v>
                </c:pt>
                <c:pt idx="105">
                  <c:v>560</c:v>
                </c:pt>
                <c:pt idx="106">
                  <c:v>560</c:v>
                </c:pt>
                <c:pt idx="107">
                  <c:v>1189</c:v>
                </c:pt>
                <c:pt idx="108">
                  <c:v>1235</c:v>
                </c:pt>
                <c:pt idx="109">
                  <c:v>2600</c:v>
                </c:pt>
                <c:pt idx="110">
                  <c:v>1702</c:v>
                </c:pt>
                <c:pt idx="111">
                  <c:v>198</c:v>
                </c:pt>
                <c:pt idx="112">
                  <c:v>100</c:v>
                </c:pt>
                <c:pt idx="113">
                  <c:v>1517</c:v>
                </c:pt>
                <c:pt idx="114">
                  <c:v>1517</c:v>
                </c:pt>
                <c:pt idx="115">
                  <c:v>694</c:v>
                </c:pt>
                <c:pt idx="116">
                  <c:v>791</c:v>
                </c:pt>
                <c:pt idx="117">
                  <c:v>140</c:v>
                </c:pt>
                <c:pt idx="118">
                  <c:v>80</c:v>
                </c:pt>
                <c:pt idx="119">
                  <c:v>741</c:v>
                </c:pt>
                <c:pt idx="120">
                  <c:v>741</c:v>
                </c:pt>
                <c:pt idx="121">
                  <c:v>512</c:v>
                </c:pt>
                <c:pt idx="122">
                  <c:v>512</c:v>
                </c:pt>
                <c:pt idx="123">
                  <c:v>506</c:v>
                </c:pt>
                <c:pt idx="124">
                  <c:v>328</c:v>
                </c:pt>
                <c:pt idx="125">
                  <c:v>0</c:v>
                </c:pt>
                <c:pt idx="126">
                  <c:v>0</c:v>
                </c:pt>
                <c:pt idx="127">
                  <c:v>80</c:v>
                </c:pt>
                <c:pt idx="128">
                  <c:v>360</c:v>
                </c:pt>
                <c:pt idx="129">
                  <c:v>366</c:v>
                </c:pt>
                <c:pt idx="130">
                  <c:v>538</c:v>
                </c:pt>
                <c:pt idx="131">
                  <c:v>586</c:v>
                </c:pt>
                <c:pt idx="132">
                  <c:v>2354</c:v>
                </c:pt>
                <c:pt idx="133">
                  <c:v>2725</c:v>
                </c:pt>
                <c:pt idx="134">
                  <c:v>737</c:v>
                </c:pt>
                <c:pt idx="135">
                  <c:v>857</c:v>
                </c:pt>
                <c:pt idx="136">
                  <c:v>125</c:v>
                </c:pt>
                <c:pt idx="137">
                  <c:v>157</c:v>
                </c:pt>
                <c:pt idx="138">
                  <c:v>789</c:v>
                </c:pt>
                <c:pt idx="139">
                  <c:v>789</c:v>
                </c:pt>
                <c:pt idx="140">
                  <c:v>82</c:v>
                </c:pt>
                <c:pt idx="141">
                  <c:v>82</c:v>
                </c:pt>
                <c:pt idx="142">
                  <c:v>78</c:v>
                </c:pt>
                <c:pt idx="143">
                  <c:v>78</c:v>
                </c:pt>
                <c:pt idx="144">
                  <c:v>0</c:v>
                </c:pt>
                <c:pt idx="145">
                  <c:v>0</c:v>
                </c:pt>
                <c:pt idx="146">
                  <c:v>251</c:v>
                </c:pt>
                <c:pt idx="147">
                  <c:v>251</c:v>
                </c:pt>
                <c:pt idx="148">
                  <c:v>120</c:v>
                </c:pt>
                <c:pt idx="149">
                  <c:v>80</c:v>
                </c:pt>
                <c:pt idx="150">
                  <c:v>176</c:v>
                </c:pt>
                <c:pt idx="151">
                  <c:v>176</c:v>
                </c:pt>
                <c:pt idx="152">
                  <c:v>0</c:v>
                </c:pt>
                <c:pt idx="153">
                  <c:v>0</c:v>
                </c:pt>
                <c:pt idx="154">
                  <c:v>396</c:v>
                </c:pt>
                <c:pt idx="155">
                  <c:v>396</c:v>
                </c:pt>
                <c:pt idx="156">
                  <c:v>200</c:v>
                </c:pt>
                <c:pt idx="157">
                  <c:v>200</c:v>
                </c:pt>
                <c:pt idx="158">
                  <c:v>31</c:v>
                </c:pt>
                <c:pt idx="159">
                  <c:v>213</c:v>
                </c:pt>
                <c:pt idx="160">
                  <c:v>213</c:v>
                </c:pt>
                <c:pt idx="161">
                  <c:v>250</c:v>
                </c:pt>
                <c:pt idx="162">
                  <c:v>250</c:v>
                </c:pt>
                <c:pt idx="163">
                  <c:v>158</c:v>
                </c:pt>
                <c:pt idx="164">
                  <c:v>158</c:v>
                </c:pt>
                <c:pt idx="165">
                  <c:v>24</c:v>
                </c:pt>
                <c:pt idx="166">
                  <c:v>24</c:v>
                </c:pt>
                <c:pt idx="167">
                  <c:v>206</c:v>
                </c:pt>
                <c:pt idx="168">
                  <c:v>206</c:v>
                </c:pt>
                <c:pt idx="169">
                  <c:v>141</c:v>
                </c:pt>
                <c:pt idx="170">
                  <c:v>400</c:v>
                </c:pt>
                <c:pt idx="171">
                  <c:v>325</c:v>
                </c:pt>
                <c:pt idx="172">
                  <c:v>274</c:v>
                </c:pt>
                <c:pt idx="173">
                  <c:v>274</c:v>
                </c:pt>
                <c:pt idx="174">
                  <c:v>228</c:v>
                </c:pt>
                <c:pt idx="175">
                  <c:v>227</c:v>
                </c:pt>
                <c:pt idx="176">
                  <c:v>51</c:v>
                </c:pt>
                <c:pt idx="177">
                  <c:v>40</c:v>
                </c:pt>
                <c:pt idx="178">
                  <c:v>81</c:v>
                </c:pt>
                <c:pt idx="179">
                  <c:v>100</c:v>
                </c:pt>
                <c:pt idx="180">
                  <c:v>58</c:v>
                </c:pt>
                <c:pt idx="181">
                  <c:v>673</c:v>
                </c:pt>
                <c:pt idx="182">
                  <c:v>584</c:v>
                </c:pt>
                <c:pt idx="183">
                  <c:v>525</c:v>
                </c:pt>
                <c:pt idx="184">
                  <c:v>525</c:v>
                </c:pt>
                <c:pt idx="185">
                  <c:v>1570</c:v>
                </c:pt>
                <c:pt idx="186">
                  <c:v>1570</c:v>
                </c:pt>
                <c:pt idx="187">
                  <c:v>300</c:v>
                </c:pt>
                <c:pt idx="188">
                  <c:v>300</c:v>
                </c:pt>
                <c:pt idx="189">
                  <c:v>263</c:v>
                </c:pt>
                <c:pt idx="190">
                  <c:v>263</c:v>
                </c:pt>
                <c:pt idx="191">
                  <c:v>680</c:v>
                </c:pt>
                <c:pt idx="192">
                  <c:v>660</c:v>
                </c:pt>
                <c:pt idx="193">
                  <c:v>1213</c:v>
                </c:pt>
                <c:pt idx="194">
                  <c:v>1215</c:v>
                </c:pt>
                <c:pt idx="195">
                  <c:v>3120</c:v>
                </c:pt>
                <c:pt idx="196">
                  <c:v>3040</c:v>
                </c:pt>
                <c:pt idx="197">
                  <c:v>850</c:v>
                </c:pt>
                <c:pt idx="198">
                  <c:v>750</c:v>
                </c:pt>
                <c:pt idx="199">
                  <c:v>221</c:v>
                </c:pt>
                <c:pt idx="200">
                  <c:v>221</c:v>
                </c:pt>
                <c:pt idx="201">
                  <c:v>100</c:v>
                </c:pt>
                <c:pt idx="202">
                  <c:v>100</c:v>
                </c:pt>
                <c:pt idx="203">
                  <c:v>334</c:v>
                </c:pt>
                <c:pt idx="204">
                  <c:v>334</c:v>
                </c:pt>
                <c:pt idx="205">
                  <c:v>298</c:v>
                </c:pt>
                <c:pt idx="206">
                  <c:v>298</c:v>
                </c:pt>
                <c:pt idx="207">
                  <c:v>193</c:v>
                </c:pt>
                <c:pt idx="208">
                  <c:v>279</c:v>
                </c:pt>
                <c:pt idx="209">
                  <c:v>40</c:v>
                </c:pt>
                <c:pt idx="210">
                  <c:v>40</c:v>
                </c:pt>
                <c:pt idx="211">
                  <c:v>2983</c:v>
                </c:pt>
                <c:pt idx="212">
                  <c:v>2983</c:v>
                </c:pt>
                <c:pt idx="213">
                  <c:v>0</c:v>
                </c:pt>
                <c:pt idx="214">
                  <c:v>0</c:v>
                </c:pt>
                <c:pt idx="215">
                  <c:v>362</c:v>
                </c:pt>
                <c:pt idx="216">
                  <c:v>342</c:v>
                </c:pt>
                <c:pt idx="217">
                  <c:v>141</c:v>
                </c:pt>
                <c:pt idx="218">
                  <c:v>141</c:v>
                </c:pt>
                <c:pt idx="219">
                  <c:v>266</c:v>
                </c:pt>
                <c:pt idx="220">
                  <c:v>266</c:v>
                </c:pt>
                <c:pt idx="221">
                  <c:v>1438</c:v>
                </c:pt>
                <c:pt idx="222">
                  <c:v>1463</c:v>
                </c:pt>
                <c:pt idx="223">
                  <c:v>100</c:v>
                </c:pt>
                <c:pt idx="224">
                  <c:v>260</c:v>
                </c:pt>
                <c:pt idx="225">
                  <c:v>120</c:v>
                </c:pt>
                <c:pt idx="226">
                  <c:v>100</c:v>
                </c:pt>
                <c:pt idx="227">
                  <c:v>100</c:v>
                </c:pt>
                <c:pt idx="228">
                  <c:v>1050</c:v>
                </c:pt>
                <c:pt idx="229">
                  <c:v>984</c:v>
                </c:pt>
                <c:pt idx="230">
                  <c:v>284</c:v>
                </c:pt>
                <c:pt idx="231">
                  <c:v>264</c:v>
                </c:pt>
                <c:pt idx="232">
                  <c:v>182</c:v>
                </c:pt>
                <c:pt idx="233">
                  <c:v>182</c:v>
                </c:pt>
                <c:pt idx="234">
                  <c:v>340</c:v>
                </c:pt>
                <c:pt idx="235">
                  <c:v>200</c:v>
                </c:pt>
                <c:pt idx="236">
                  <c:v>20</c:v>
                </c:pt>
                <c:pt idx="237">
                  <c:v>20</c:v>
                </c:pt>
                <c:pt idx="238">
                  <c:v>40</c:v>
                </c:pt>
                <c:pt idx="239">
                  <c:v>40</c:v>
                </c:pt>
                <c:pt idx="240">
                  <c:v>413</c:v>
                </c:pt>
                <c:pt idx="241">
                  <c:v>220</c:v>
                </c:pt>
                <c:pt idx="242">
                  <c:v>220</c:v>
                </c:pt>
                <c:pt idx="243">
                  <c:v>207</c:v>
                </c:pt>
                <c:pt idx="244">
                  <c:v>268</c:v>
                </c:pt>
                <c:pt idx="245">
                  <c:v>268</c:v>
                </c:pt>
                <c:pt idx="246">
                  <c:v>100</c:v>
                </c:pt>
                <c:pt idx="247">
                  <c:v>100</c:v>
                </c:pt>
                <c:pt idx="248">
                  <c:v>241</c:v>
                </c:pt>
                <c:pt idx="249">
                  <c:v>62</c:v>
                </c:pt>
                <c:pt idx="250">
                  <c:v>120</c:v>
                </c:pt>
                <c:pt idx="251">
                  <c:v>120</c:v>
                </c:pt>
                <c:pt idx="252">
                  <c:v>560</c:v>
                </c:pt>
                <c:pt idx="253">
                  <c:v>560</c:v>
                </c:pt>
                <c:pt idx="254">
                  <c:v>195</c:v>
                </c:pt>
                <c:pt idx="255">
                  <c:v>195</c:v>
                </c:pt>
                <c:pt idx="256">
                  <c:v>161</c:v>
                </c:pt>
                <c:pt idx="257">
                  <c:v>160</c:v>
                </c:pt>
                <c:pt idx="258">
                  <c:v>180</c:v>
                </c:pt>
                <c:pt idx="259">
                  <c:v>180</c:v>
                </c:pt>
                <c:pt idx="260">
                  <c:v>133</c:v>
                </c:pt>
                <c:pt idx="261">
                  <c:v>5020</c:v>
                </c:pt>
                <c:pt idx="262">
                  <c:v>5340</c:v>
                </c:pt>
                <c:pt idx="263">
                  <c:v>0</c:v>
                </c:pt>
                <c:pt idx="264">
                  <c:v>0</c:v>
                </c:pt>
                <c:pt idx="265">
                  <c:v>0</c:v>
                </c:pt>
                <c:pt idx="266">
                  <c:v>0</c:v>
                </c:pt>
                <c:pt idx="267">
                  <c:v>66</c:v>
                </c:pt>
                <c:pt idx="268">
                  <c:v>1101</c:v>
                </c:pt>
                <c:pt idx="269">
                  <c:v>1101</c:v>
                </c:pt>
                <c:pt idx="270">
                  <c:v>0</c:v>
                </c:pt>
                <c:pt idx="271">
                  <c:v>32</c:v>
                </c:pt>
                <c:pt idx="272">
                  <c:v>32</c:v>
                </c:pt>
                <c:pt idx="273">
                  <c:v>103</c:v>
                </c:pt>
                <c:pt idx="274">
                  <c:v>144</c:v>
                </c:pt>
                <c:pt idx="275">
                  <c:v>144</c:v>
                </c:pt>
                <c:pt idx="276">
                  <c:v>120</c:v>
                </c:pt>
                <c:pt idx="277">
                  <c:v>120</c:v>
                </c:pt>
                <c:pt idx="278">
                  <c:v>32</c:v>
                </c:pt>
                <c:pt idx="279">
                  <c:v>600</c:v>
                </c:pt>
                <c:pt idx="280">
                  <c:v>600</c:v>
                </c:pt>
                <c:pt idx="281">
                  <c:v>0</c:v>
                </c:pt>
                <c:pt idx="282">
                  <c:v>0</c:v>
                </c:pt>
                <c:pt idx="283">
                  <c:v>591</c:v>
                </c:pt>
                <c:pt idx="284">
                  <c:v>591</c:v>
                </c:pt>
                <c:pt idx="285">
                  <c:v>0</c:v>
                </c:pt>
                <c:pt idx="286">
                  <c:v>0</c:v>
                </c:pt>
                <c:pt idx="287">
                  <c:v>0</c:v>
                </c:pt>
                <c:pt idx="288">
                  <c:v>160</c:v>
                </c:pt>
                <c:pt idx="289">
                  <c:v>160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1440</c:v>
                </c:pt>
                <c:pt idx="308">
                  <c:v>275</c:v>
                </c:pt>
                <c:pt idx="309">
                  <c:v>276</c:v>
                </c:pt>
                <c:pt idx="310">
                  <c:v>300</c:v>
                </c:pt>
                <c:pt idx="311">
                  <c:v>280</c:v>
                </c:pt>
                <c:pt idx="312">
                  <c:v>162</c:v>
                </c:pt>
                <c:pt idx="313">
                  <c:v>162</c:v>
                </c:pt>
                <c:pt idx="314">
                  <c:v>132</c:v>
                </c:pt>
                <c:pt idx="315">
                  <c:v>132</c:v>
                </c:pt>
                <c:pt idx="316">
                  <c:v>0</c:v>
                </c:pt>
                <c:pt idx="317">
                  <c:v>0</c:v>
                </c:pt>
                <c:pt idx="318">
                  <c:v>0</c:v>
                </c:pt>
                <c:pt idx="319">
                  <c:v>144</c:v>
                </c:pt>
                <c:pt idx="320">
                  <c:v>0</c:v>
                </c:pt>
                <c:pt idx="321">
                  <c:v>0</c:v>
                </c:pt>
                <c:pt idx="322">
                  <c:v>0</c:v>
                </c:pt>
                <c:pt idx="323">
                  <c:v>240</c:v>
                </c:pt>
                <c:pt idx="324">
                  <c:v>0</c:v>
                </c:pt>
                <c:pt idx="325">
                  <c:v>0</c:v>
                </c:pt>
                <c:pt idx="326">
                  <c:v>0</c:v>
                </c:pt>
                <c:pt idx="327">
                  <c:v>0</c:v>
                </c:pt>
                <c:pt idx="328">
                  <c:v>0</c:v>
                </c:pt>
                <c:pt idx="329">
                  <c:v>0</c:v>
                </c:pt>
                <c:pt idx="330">
                  <c:v>0</c:v>
                </c:pt>
                <c:pt idx="331">
                  <c:v>0</c:v>
                </c:pt>
                <c:pt idx="332">
                  <c:v>0</c:v>
                </c:pt>
                <c:pt idx="333">
                  <c:v>0</c:v>
                </c:pt>
                <c:pt idx="334">
                  <c:v>94</c:v>
                </c:pt>
                <c:pt idx="335">
                  <c:v>94</c:v>
                </c:pt>
                <c:pt idx="336">
                  <c:v>344</c:v>
                </c:pt>
                <c:pt idx="337">
                  <c:v>40</c:v>
                </c:pt>
                <c:pt idx="338">
                  <c:v>40</c:v>
                </c:pt>
                <c:pt idx="339">
                  <c:v>28</c:v>
                </c:pt>
                <c:pt idx="340">
                  <c:v>28</c:v>
                </c:pt>
                <c:pt idx="341">
                  <c:v>31</c:v>
                </c:pt>
                <c:pt idx="342">
                  <c:v>31</c:v>
                </c:pt>
                <c:pt idx="343">
                  <c:v>179</c:v>
                </c:pt>
                <c:pt idx="344">
                  <c:v>26</c:v>
                </c:pt>
                <c:pt idx="345">
                  <c:v>26</c:v>
                </c:pt>
                <c:pt idx="346">
                  <c:v>0</c:v>
                </c:pt>
                <c:pt idx="347">
                  <c:v>77</c:v>
                </c:pt>
                <c:pt idx="348">
                  <c:v>160</c:v>
                </c:pt>
                <c:pt idx="349">
                  <c:v>160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160</c:v>
                </c:pt>
                <c:pt idx="393">
                  <c:v>144</c:v>
                </c:pt>
                <c:pt idx="394">
                  <c:v>0</c:v>
                </c:pt>
                <c:pt idx="395">
                  <c:v>0</c:v>
                </c:pt>
                <c:pt idx="396">
                  <c:v>0</c:v>
                </c:pt>
                <c:pt idx="397">
                  <c:v>0</c:v>
                </c:pt>
                <c:pt idx="398">
                  <c:v>0</c:v>
                </c:pt>
                <c:pt idx="399">
                  <c:v>0</c:v>
                </c:pt>
                <c:pt idx="400">
                  <c:v>0</c:v>
                </c:pt>
              </c:numCache>
            </c:numRef>
          </c:val>
          <c:extLst>
            <c:ext xmlns:c16="http://schemas.microsoft.com/office/drawing/2014/chart" uri="{C3380CC4-5D6E-409C-BE32-E72D297353CC}">
              <c16:uniqueId val="{00000001-FFE7-4630-AA87-8BB156FFBC38}"/>
            </c:ext>
          </c:extLst>
        </c:ser>
        <c:ser>
          <c:idx val="2"/>
          <c:order val="2"/>
          <c:tx>
            <c:strRef>
              <c:f>'Tracking Dashboard'!$P$4</c:f>
              <c:strCache>
                <c:ptCount val="1"/>
                <c:pt idx="0">
                  <c:v># of people Equitable and continuous access to sufficient quantity of domestic water</c:v>
                </c:pt>
              </c:strCache>
            </c:strRef>
          </c:tx>
          <c:spPr>
            <a:solidFill>
              <a:srgbClr val="0070C0"/>
            </a:solidFill>
            <a:ln>
              <a:noFill/>
            </a:ln>
            <a:effectLst/>
          </c:spPr>
          <c:invertIfNegative val="0"/>
          <c:cat>
            <c:multiLvlStrRef>
              <c:f>'Tracking Dashboard'!$L$5:$M$626</c:f>
              <c:multiLvlStrCache>
                <c:ptCount val="401"/>
                <c:lvl>
                  <c:pt idx="0">
                    <c:v>2023_Q1</c:v>
                  </c:pt>
                  <c:pt idx="1">
                    <c:v>2023_Q2</c:v>
                  </c:pt>
                  <c:pt idx="2">
                    <c:v>2023_Q1</c:v>
                  </c:pt>
                  <c:pt idx="3">
                    <c:v>2023_Q2</c:v>
                  </c:pt>
                  <c:pt idx="4">
                    <c:v>2023_Q1</c:v>
                  </c:pt>
                  <c:pt idx="5">
                    <c:v>2023_Q2</c:v>
                  </c:pt>
                  <c:pt idx="6">
                    <c:v>2023_Q1</c:v>
                  </c:pt>
                  <c:pt idx="7">
                    <c:v>2023_Q2</c:v>
                  </c:pt>
                  <c:pt idx="8">
                    <c:v>2023_Q1</c:v>
                  </c:pt>
                  <c:pt idx="9">
                    <c:v>2023_Q2</c:v>
                  </c:pt>
                  <c:pt idx="10">
                    <c:v>2023_Q1</c:v>
                  </c:pt>
                  <c:pt idx="11">
                    <c:v>2023_Q2</c:v>
                  </c:pt>
                  <c:pt idx="12">
                    <c:v>2023_Q1</c:v>
                  </c:pt>
                  <c:pt idx="13">
                    <c:v>2023_Q2</c:v>
                  </c:pt>
                  <c:pt idx="14">
                    <c:v>2023_Q1</c:v>
                  </c:pt>
                  <c:pt idx="15">
                    <c:v>2023_Q2</c:v>
                  </c:pt>
                  <c:pt idx="16">
                    <c:v>2023_Q1</c:v>
                  </c:pt>
                  <c:pt idx="17">
                    <c:v>2023_Q1</c:v>
                  </c:pt>
                  <c:pt idx="18">
                    <c:v>2023_Q2</c:v>
                  </c:pt>
                  <c:pt idx="19">
                    <c:v>2023_Q1</c:v>
                  </c:pt>
                  <c:pt idx="20">
                    <c:v>2023_Q2</c:v>
                  </c:pt>
                  <c:pt idx="21">
                    <c:v>2023_Q1</c:v>
                  </c:pt>
                  <c:pt idx="22">
                    <c:v>2023_Q1</c:v>
                  </c:pt>
                  <c:pt idx="23">
                    <c:v>2023_Q2</c:v>
                  </c:pt>
                  <c:pt idx="24">
                    <c:v>2023_Q1</c:v>
                  </c:pt>
                  <c:pt idx="25">
                    <c:v>2023_Q1</c:v>
                  </c:pt>
                  <c:pt idx="26">
                    <c:v>2023_Q2</c:v>
                  </c:pt>
                  <c:pt idx="27">
                    <c:v>2023_Q1</c:v>
                  </c:pt>
                  <c:pt idx="28">
                    <c:v>2023_Q2</c:v>
                  </c:pt>
                  <c:pt idx="29">
                    <c:v>2023_Q1</c:v>
                  </c:pt>
                  <c:pt idx="30">
                    <c:v>2023_Q2</c:v>
                  </c:pt>
                  <c:pt idx="31">
                    <c:v>2023_Q1</c:v>
                  </c:pt>
                  <c:pt idx="32">
                    <c:v>2023_Q2</c:v>
                  </c:pt>
                  <c:pt idx="33">
                    <c:v>2023_Q1</c:v>
                  </c:pt>
                  <c:pt idx="34">
                    <c:v>2023_Q2</c:v>
                  </c:pt>
                  <c:pt idx="35">
                    <c:v>2023_Q1</c:v>
                  </c:pt>
                  <c:pt idx="36">
                    <c:v>2023_Q2</c:v>
                  </c:pt>
                  <c:pt idx="37">
                    <c:v>2023_Q1</c:v>
                  </c:pt>
                  <c:pt idx="38">
                    <c:v>2023_Q2</c:v>
                  </c:pt>
                  <c:pt idx="39">
                    <c:v>2023_Q1</c:v>
                  </c:pt>
                  <c:pt idx="40">
                    <c:v>2023_Q2</c:v>
                  </c:pt>
                  <c:pt idx="41">
                    <c:v>2023_Q1</c:v>
                  </c:pt>
                  <c:pt idx="42">
                    <c:v>2023_Q2</c:v>
                  </c:pt>
                  <c:pt idx="43">
                    <c:v>2023_Q1</c:v>
                  </c:pt>
                  <c:pt idx="44">
                    <c:v>2023_Q2</c:v>
                  </c:pt>
                  <c:pt idx="45">
                    <c:v>2023_Q1</c:v>
                  </c:pt>
                  <c:pt idx="46">
                    <c:v>2023_Q2</c:v>
                  </c:pt>
                  <c:pt idx="47">
                    <c:v>2023_Q1</c:v>
                  </c:pt>
                  <c:pt idx="48">
                    <c:v>2023_Q2</c:v>
                  </c:pt>
                  <c:pt idx="49">
                    <c:v>2023_Q1</c:v>
                  </c:pt>
                  <c:pt idx="50">
                    <c:v>2023_Q2</c:v>
                  </c:pt>
                  <c:pt idx="51">
                    <c:v>2023_Q1</c:v>
                  </c:pt>
                  <c:pt idx="52">
                    <c:v>2023_Q2</c:v>
                  </c:pt>
                  <c:pt idx="53">
                    <c:v>2023_Q1</c:v>
                  </c:pt>
                  <c:pt idx="54">
                    <c:v>2023_Q2</c:v>
                  </c:pt>
                  <c:pt idx="55">
                    <c:v>2023_Q1</c:v>
                  </c:pt>
                  <c:pt idx="56">
                    <c:v>2023_Q2</c:v>
                  </c:pt>
                  <c:pt idx="57">
                    <c:v>2023_Q1</c:v>
                  </c:pt>
                  <c:pt idx="58">
                    <c:v>2023_Q2</c:v>
                  </c:pt>
                  <c:pt idx="59">
                    <c:v>2023_Q1</c:v>
                  </c:pt>
                  <c:pt idx="60">
                    <c:v>2023_Q2</c:v>
                  </c:pt>
                  <c:pt idx="61">
                    <c:v>2023_Q1</c:v>
                  </c:pt>
                  <c:pt idx="62">
                    <c:v>2023_Q1</c:v>
                  </c:pt>
                  <c:pt idx="63">
                    <c:v>2023_Q2</c:v>
                  </c:pt>
                  <c:pt idx="64">
                    <c:v>2023_Q1</c:v>
                  </c:pt>
                  <c:pt idx="65">
                    <c:v>2023_Q2</c:v>
                  </c:pt>
                  <c:pt idx="66">
                    <c:v>2023_Q1</c:v>
                  </c:pt>
                  <c:pt idx="67">
                    <c:v>2023_Q2</c:v>
                  </c:pt>
                  <c:pt idx="68">
                    <c:v>2023_Q1</c:v>
                  </c:pt>
                  <c:pt idx="69">
                    <c:v>2023_Q1</c:v>
                  </c:pt>
                  <c:pt idx="70">
                    <c:v>2023_Q2</c:v>
                  </c:pt>
                  <c:pt idx="71">
                    <c:v>2023_Q1</c:v>
                  </c:pt>
                  <c:pt idx="72">
                    <c:v>2023_Q2</c:v>
                  </c:pt>
                  <c:pt idx="73">
                    <c:v>2023_Q1</c:v>
                  </c:pt>
                  <c:pt idx="74">
                    <c:v>2023_Q2</c:v>
                  </c:pt>
                  <c:pt idx="75">
                    <c:v>2023_Q1</c:v>
                  </c:pt>
                  <c:pt idx="76">
                    <c:v>2023_Q2</c:v>
                  </c:pt>
                  <c:pt idx="77">
                    <c:v>2023_Q1</c:v>
                  </c:pt>
                  <c:pt idx="78">
                    <c:v>2023_Q2</c:v>
                  </c:pt>
                  <c:pt idx="79">
                    <c:v>2023_Q1</c:v>
                  </c:pt>
                  <c:pt idx="80">
                    <c:v>2023_Q2</c:v>
                  </c:pt>
                  <c:pt idx="81">
                    <c:v>2023_Q1</c:v>
                  </c:pt>
                  <c:pt idx="82">
                    <c:v>2023_Q2</c:v>
                  </c:pt>
                  <c:pt idx="83">
                    <c:v>2023_Q1</c:v>
                  </c:pt>
                  <c:pt idx="84">
                    <c:v>2023_Q2</c:v>
                  </c:pt>
                  <c:pt idx="85">
                    <c:v>2023_Q1</c:v>
                  </c:pt>
                  <c:pt idx="86">
                    <c:v>2023_Q2</c:v>
                  </c:pt>
                  <c:pt idx="87">
                    <c:v>2023_Q1</c:v>
                  </c:pt>
                  <c:pt idx="88">
                    <c:v>2023_Q2</c:v>
                  </c:pt>
                  <c:pt idx="89">
                    <c:v>2023_Q1</c:v>
                  </c:pt>
                  <c:pt idx="90">
                    <c:v>2023_Q1</c:v>
                  </c:pt>
                  <c:pt idx="91">
                    <c:v>2023_Q2</c:v>
                  </c:pt>
                  <c:pt idx="92">
                    <c:v>2023_Q1</c:v>
                  </c:pt>
                  <c:pt idx="93">
                    <c:v>2023_Q2</c:v>
                  </c:pt>
                  <c:pt idx="94">
                    <c:v>2023_Q1</c:v>
                  </c:pt>
                  <c:pt idx="95">
                    <c:v>2023_Q2</c:v>
                  </c:pt>
                  <c:pt idx="96">
                    <c:v>2023_Q1</c:v>
                  </c:pt>
                  <c:pt idx="97">
                    <c:v>2023_Q1</c:v>
                  </c:pt>
                  <c:pt idx="98">
                    <c:v>2023_Q2</c:v>
                  </c:pt>
                  <c:pt idx="99">
                    <c:v>2023_Q1</c:v>
                  </c:pt>
                  <c:pt idx="100">
                    <c:v>2023_Q2</c:v>
                  </c:pt>
                  <c:pt idx="101">
                    <c:v>2023_Q1</c:v>
                  </c:pt>
                  <c:pt idx="102">
                    <c:v>2023_Q2</c:v>
                  </c:pt>
                  <c:pt idx="103">
                    <c:v>2023_Q1</c:v>
                  </c:pt>
                  <c:pt idx="104">
                    <c:v>2023_Q2</c:v>
                  </c:pt>
                  <c:pt idx="105">
                    <c:v>2023_Q1</c:v>
                  </c:pt>
                  <c:pt idx="106">
                    <c:v>2023_Q2</c:v>
                  </c:pt>
                  <c:pt idx="107">
                    <c:v>2023_Q1</c:v>
                  </c:pt>
                  <c:pt idx="108">
                    <c:v>2023_Q2</c:v>
                  </c:pt>
                  <c:pt idx="109">
                    <c:v>2023_Q1</c:v>
                  </c:pt>
                  <c:pt idx="110">
                    <c:v>2023_Q2</c:v>
                  </c:pt>
                  <c:pt idx="111">
                    <c:v>2023_Q1</c:v>
                  </c:pt>
                  <c:pt idx="112">
                    <c:v>2023_Q2</c:v>
                  </c:pt>
                  <c:pt idx="113">
                    <c:v>2023_Q1</c:v>
                  </c:pt>
                  <c:pt idx="114">
                    <c:v>2023_Q2</c:v>
                  </c:pt>
                  <c:pt idx="115">
                    <c:v>2023_Q1</c:v>
                  </c:pt>
                  <c:pt idx="116">
                    <c:v>2023_Q2</c:v>
                  </c:pt>
                  <c:pt idx="117">
                    <c:v>2023_Q1</c:v>
                  </c:pt>
                  <c:pt idx="118">
                    <c:v>2023_Q2</c:v>
                  </c:pt>
                  <c:pt idx="119">
                    <c:v>2023_Q1</c:v>
                  </c:pt>
                  <c:pt idx="120">
                    <c:v>2023_Q2</c:v>
                  </c:pt>
                  <c:pt idx="121">
                    <c:v>2023_Q1</c:v>
                  </c:pt>
                  <c:pt idx="122">
                    <c:v>2023_Q2</c:v>
                  </c:pt>
                  <c:pt idx="123">
                    <c:v>2023_Q1</c:v>
                  </c:pt>
                  <c:pt idx="124">
                    <c:v>2023_Q2</c:v>
                  </c:pt>
                  <c:pt idx="125">
                    <c:v>2023_Q1</c:v>
                  </c:pt>
                  <c:pt idx="126">
                    <c:v>2023_Q2</c:v>
                  </c:pt>
                  <c:pt idx="127">
                    <c:v>2023_Q1</c:v>
                  </c:pt>
                  <c:pt idx="128">
                    <c:v>2023_Q1</c:v>
                  </c:pt>
                  <c:pt idx="129">
                    <c:v>2023_Q2</c:v>
                  </c:pt>
                  <c:pt idx="130">
                    <c:v>2023_Q1</c:v>
                  </c:pt>
                  <c:pt idx="131">
                    <c:v>2023_Q2</c:v>
                  </c:pt>
                  <c:pt idx="132">
                    <c:v>2023_Q1</c:v>
                  </c:pt>
                  <c:pt idx="133">
                    <c:v>2023_Q2</c:v>
                  </c:pt>
                  <c:pt idx="134">
                    <c:v>2023_Q1</c:v>
                  </c:pt>
                  <c:pt idx="135">
                    <c:v>2023_Q2</c:v>
                  </c:pt>
                  <c:pt idx="136">
                    <c:v>2023_Q1</c:v>
                  </c:pt>
                  <c:pt idx="137">
                    <c:v>2023_Q1</c:v>
                  </c:pt>
                  <c:pt idx="138">
                    <c:v>2023_Q1</c:v>
                  </c:pt>
                  <c:pt idx="139">
                    <c:v>2023_Q2</c:v>
                  </c:pt>
                  <c:pt idx="140">
                    <c:v>2023_Q1</c:v>
                  </c:pt>
                  <c:pt idx="141">
                    <c:v>2023_Q2</c:v>
                  </c:pt>
                  <c:pt idx="142">
                    <c:v>2023_Q1</c:v>
                  </c:pt>
                  <c:pt idx="143">
                    <c:v>2023_Q2</c:v>
                  </c:pt>
                  <c:pt idx="144">
                    <c:v>2023_Q1</c:v>
                  </c:pt>
                  <c:pt idx="145">
                    <c:v>2023_Q2</c:v>
                  </c:pt>
                  <c:pt idx="146">
                    <c:v>2023_Q1</c:v>
                  </c:pt>
                  <c:pt idx="147">
                    <c:v>2023_Q2</c:v>
                  </c:pt>
                  <c:pt idx="148">
                    <c:v>2023_Q1</c:v>
                  </c:pt>
                  <c:pt idx="149">
                    <c:v>2023_Q2</c:v>
                  </c:pt>
                  <c:pt idx="150">
                    <c:v>2023_Q1</c:v>
                  </c:pt>
                  <c:pt idx="151">
                    <c:v>2023_Q2</c:v>
                  </c:pt>
                  <c:pt idx="152">
                    <c:v>2023_Q1</c:v>
                  </c:pt>
                  <c:pt idx="153">
                    <c:v>2023_Q2</c:v>
                  </c:pt>
                  <c:pt idx="154">
                    <c:v>2023_Q1</c:v>
                  </c:pt>
                  <c:pt idx="155">
                    <c:v>2023_Q2</c:v>
                  </c:pt>
                  <c:pt idx="156">
                    <c:v>2023_Q1</c:v>
                  </c:pt>
                  <c:pt idx="157">
                    <c:v>2023_Q2</c:v>
                  </c:pt>
                  <c:pt idx="158">
                    <c:v>2023_Q1</c:v>
                  </c:pt>
                  <c:pt idx="159">
                    <c:v>2023_Q1</c:v>
                  </c:pt>
                  <c:pt idx="160">
                    <c:v>2023_Q2</c:v>
                  </c:pt>
                  <c:pt idx="161">
                    <c:v>2023_Q1</c:v>
                  </c:pt>
                  <c:pt idx="162">
                    <c:v>2023_Q2</c:v>
                  </c:pt>
                  <c:pt idx="163">
                    <c:v>2023_Q1</c:v>
                  </c:pt>
                  <c:pt idx="164">
                    <c:v>2023_Q2</c:v>
                  </c:pt>
                  <c:pt idx="165">
                    <c:v>2023_Q1</c:v>
                  </c:pt>
                  <c:pt idx="166">
                    <c:v>2023_Q2</c:v>
                  </c:pt>
                  <c:pt idx="167">
                    <c:v>2023_Q1</c:v>
                  </c:pt>
                  <c:pt idx="168">
                    <c:v>2023_Q2</c:v>
                  </c:pt>
                  <c:pt idx="169">
                    <c:v>2023_Q1</c:v>
                  </c:pt>
                  <c:pt idx="170">
                    <c:v>2023_Q1</c:v>
                  </c:pt>
                  <c:pt idx="171">
                    <c:v>2023_Q2</c:v>
                  </c:pt>
                  <c:pt idx="172">
                    <c:v>2023_Q1</c:v>
                  </c:pt>
                  <c:pt idx="173">
                    <c:v>2023_Q2</c:v>
                  </c:pt>
                  <c:pt idx="174">
                    <c:v>2023_Q1</c:v>
                  </c:pt>
                  <c:pt idx="175">
                    <c:v>2023_Q2</c:v>
                  </c:pt>
                  <c:pt idx="176">
                    <c:v>2023_Q1</c:v>
                  </c:pt>
                  <c:pt idx="177">
                    <c:v>2023_Q2</c:v>
                  </c:pt>
                  <c:pt idx="178">
                    <c:v>2023_Q1</c:v>
                  </c:pt>
                  <c:pt idx="179">
                    <c:v>2023_Q1</c:v>
                  </c:pt>
                  <c:pt idx="180">
                    <c:v>2023_Q2</c:v>
                  </c:pt>
                  <c:pt idx="181">
                    <c:v>2023_Q1</c:v>
                  </c:pt>
                  <c:pt idx="182">
                    <c:v>2023_Q2</c:v>
                  </c:pt>
                  <c:pt idx="183">
                    <c:v>2023_Q1</c:v>
                  </c:pt>
                  <c:pt idx="184">
                    <c:v>2023_Q2</c:v>
                  </c:pt>
                  <c:pt idx="185">
                    <c:v>2023_Q1</c:v>
                  </c:pt>
                  <c:pt idx="186">
                    <c:v>2023_Q2</c:v>
                  </c:pt>
                  <c:pt idx="187">
                    <c:v>2023_Q1</c:v>
                  </c:pt>
                  <c:pt idx="188">
                    <c:v>2023_Q2</c:v>
                  </c:pt>
                  <c:pt idx="189">
                    <c:v>2023_Q1</c:v>
                  </c:pt>
                  <c:pt idx="190">
                    <c:v>2023_Q2</c:v>
                  </c:pt>
                  <c:pt idx="191">
                    <c:v>2023_Q1</c:v>
                  </c:pt>
                  <c:pt idx="192">
                    <c:v>2023_Q2</c:v>
                  </c:pt>
                  <c:pt idx="193">
                    <c:v>2023_Q1</c:v>
                  </c:pt>
                  <c:pt idx="194">
                    <c:v>2023_Q2</c:v>
                  </c:pt>
                  <c:pt idx="195">
                    <c:v>2023_Q1</c:v>
                  </c:pt>
                  <c:pt idx="196">
                    <c:v>2023_Q2</c:v>
                  </c:pt>
                  <c:pt idx="197">
                    <c:v>2023_Q1</c:v>
                  </c:pt>
                  <c:pt idx="198">
                    <c:v>2023_Q2</c:v>
                  </c:pt>
                  <c:pt idx="199">
                    <c:v>2023_Q1</c:v>
                  </c:pt>
                  <c:pt idx="200">
                    <c:v>2023_Q2</c:v>
                  </c:pt>
                  <c:pt idx="201">
                    <c:v>2023_Q1</c:v>
                  </c:pt>
                  <c:pt idx="202">
                    <c:v>2023_Q2</c:v>
                  </c:pt>
                  <c:pt idx="203">
                    <c:v>2023_Q1</c:v>
                  </c:pt>
                  <c:pt idx="204">
                    <c:v>2023_Q2</c:v>
                  </c:pt>
                  <c:pt idx="205">
                    <c:v>2023_Q1</c:v>
                  </c:pt>
                  <c:pt idx="206">
                    <c:v>2023_Q2</c:v>
                  </c:pt>
                  <c:pt idx="207">
                    <c:v>2023_Q1</c:v>
                  </c:pt>
                  <c:pt idx="208">
                    <c:v>2023_Q2</c:v>
                  </c:pt>
                  <c:pt idx="209">
                    <c:v>2023_Q1</c:v>
                  </c:pt>
                  <c:pt idx="210">
                    <c:v>2023_Q2</c:v>
                  </c:pt>
                  <c:pt idx="211">
                    <c:v>2023_Q1</c:v>
                  </c:pt>
                  <c:pt idx="212">
                    <c:v>2023_Q2</c:v>
                  </c:pt>
                  <c:pt idx="213">
                    <c:v>2023_Q1</c:v>
                  </c:pt>
                  <c:pt idx="214">
                    <c:v>2023_Q2</c:v>
                  </c:pt>
                  <c:pt idx="215">
                    <c:v>2023_Q1</c:v>
                  </c:pt>
                  <c:pt idx="216">
                    <c:v>2023_Q2</c:v>
                  </c:pt>
                  <c:pt idx="217">
                    <c:v>2023_Q1</c:v>
                  </c:pt>
                  <c:pt idx="218">
                    <c:v>2023_Q2</c:v>
                  </c:pt>
                  <c:pt idx="219">
                    <c:v>2023_Q1</c:v>
                  </c:pt>
                  <c:pt idx="220">
                    <c:v>2023_Q2</c:v>
                  </c:pt>
                  <c:pt idx="221">
                    <c:v>2023_Q1</c:v>
                  </c:pt>
                  <c:pt idx="222">
                    <c:v>2023_Q2</c:v>
                  </c:pt>
                  <c:pt idx="223">
                    <c:v>2023_Q1</c:v>
                  </c:pt>
                  <c:pt idx="224">
                    <c:v>2023_Q1</c:v>
                  </c:pt>
                  <c:pt idx="225">
                    <c:v>2023_Q2</c:v>
                  </c:pt>
                  <c:pt idx="226">
                    <c:v>2023_Q1</c:v>
                  </c:pt>
                  <c:pt idx="227">
                    <c:v>2023_Q2</c:v>
                  </c:pt>
                  <c:pt idx="228">
                    <c:v>2023_Q1</c:v>
                  </c:pt>
                  <c:pt idx="229">
                    <c:v>2023_Q2</c:v>
                  </c:pt>
                  <c:pt idx="230">
                    <c:v>2023_Q1</c:v>
                  </c:pt>
                  <c:pt idx="231">
                    <c:v>2023_Q2</c:v>
                  </c:pt>
                  <c:pt idx="232">
                    <c:v>2023_Q1</c:v>
                  </c:pt>
                  <c:pt idx="233">
                    <c:v>2023_Q2</c:v>
                  </c:pt>
                  <c:pt idx="234">
                    <c:v>2023_Q1</c:v>
                  </c:pt>
                  <c:pt idx="235">
                    <c:v>2023_Q2</c:v>
                  </c:pt>
                  <c:pt idx="236">
                    <c:v>2023_Q1</c:v>
                  </c:pt>
                  <c:pt idx="237">
                    <c:v>2023_Q2</c:v>
                  </c:pt>
                  <c:pt idx="238">
                    <c:v>2023_Q1</c:v>
                  </c:pt>
                  <c:pt idx="239">
                    <c:v>2023_Q2</c:v>
                  </c:pt>
                  <c:pt idx="240">
                    <c:v>2023_Q1</c:v>
                  </c:pt>
                  <c:pt idx="241">
                    <c:v>2023_Q2</c:v>
                  </c:pt>
                  <c:pt idx="242">
                    <c:v>2023_Q1</c:v>
                  </c:pt>
                  <c:pt idx="243">
                    <c:v>2023_Q2</c:v>
                  </c:pt>
                  <c:pt idx="244">
                    <c:v>2023_Q1</c:v>
                  </c:pt>
                  <c:pt idx="245">
                    <c:v>2023_Q2</c:v>
                  </c:pt>
                  <c:pt idx="246">
                    <c:v>2023_Q1</c:v>
                  </c:pt>
                  <c:pt idx="247">
                    <c:v>2023_Q2</c:v>
                  </c:pt>
                  <c:pt idx="248">
                    <c:v>2023_Q1</c:v>
                  </c:pt>
                  <c:pt idx="249">
                    <c:v>2023_Q2</c:v>
                  </c:pt>
                  <c:pt idx="250">
                    <c:v>2023_Q1</c:v>
                  </c:pt>
                  <c:pt idx="251">
                    <c:v>2023_Q2</c:v>
                  </c:pt>
                  <c:pt idx="252">
                    <c:v>2023_Q1</c:v>
                  </c:pt>
                  <c:pt idx="253">
                    <c:v>2023_Q2</c:v>
                  </c:pt>
                  <c:pt idx="254">
                    <c:v>2023_Q1</c:v>
                  </c:pt>
                  <c:pt idx="255">
                    <c:v>2023_Q2</c:v>
                  </c:pt>
                  <c:pt idx="256">
                    <c:v>2023_Q1</c:v>
                  </c:pt>
                  <c:pt idx="257">
                    <c:v>2023_Q2</c:v>
                  </c:pt>
                  <c:pt idx="258">
                    <c:v>2023_Q1</c:v>
                  </c:pt>
                  <c:pt idx="259">
                    <c:v>2023_Q2</c:v>
                  </c:pt>
                  <c:pt idx="260">
                    <c:v>2023_Q1</c:v>
                  </c:pt>
                  <c:pt idx="261">
                    <c:v>2023_Q1</c:v>
                  </c:pt>
                  <c:pt idx="262">
                    <c:v>2023_Q2</c:v>
                  </c:pt>
                  <c:pt idx="263">
                    <c:v>2023_Q1</c:v>
                  </c:pt>
                  <c:pt idx="264">
                    <c:v>2023_Q2</c:v>
                  </c:pt>
                  <c:pt idx="265">
                    <c:v>2023_Q1</c:v>
                  </c:pt>
                  <c:pt idx="266">
                    <c:v>2023_Q2</c:v>
                  </c:pt>
                  <c:pt idx="267">
                    <c:v>2023_Q1</c:v>
                  </c:pt>
                  <c:pt idx="268">
                    <c:v>2023_Q1</c:v>
                  </c:pt>
                  <c:pt idx="269">
                    <c:v>2023_Q2</c:v>
                  </c:pt>
                  <c:pt idx="270">
                    <c:v>2023_Q1</c:v>
                  </c:pt>
                  <c:pt idx="271">
                    <c:v>2023_Q1</c:v>
                  </c:pt>
                  <c:pt idx="272">
                    <c:v>2023_Q2</c:v>
                  </c:pt>
                  <c:pt idx="273">
                    <c:v>2023_Q1</c:v>
                  </c:pt>
                  <c:pt idx="274">
                    <c:v>2023_Q1</c:v>
                  </c:pt>
                  <c:pt idx="275">
                    <c:v>2023_Q2</c:v>
                  </c:pt>
                  <c:pt idx="276">
                    <c:v>2023_Q1</c:v>
                  </c:pt>
                  <c:pt idx="277">
                    <c:v>2023_Q2</c:v>
                  </c:pt>
                  <c:pt idx="278">
                    <c:v>2023_Q1</c:v>
                  </c:pt>
                  <c:pt idx="279">
                    <c:v>2023_Q1</c:v>
                  </c:pt>
                  <c:pt idx="280">
                    <c:v>2023_Q2</c:v>
                  </c:pt>
                  <c:pt idx="281">
                    <c:v>2023_Q1</c:v>
                  </c:pt>
                  <c:pt idx="282">
                    <c:v>2023_Q2</c:v>
                  </c:pt>
                  <c:pt idx="283">
                    <c:v>2023_Q1</c:v>
                  </c:pt>
                  <c:pt idx="284">
                    <c:v>2023_Q2</c:v>
                  </c:pt>
                  <c:pt idx="285">
                    <c:v>2023_Q1</c:v>
                  </c:pt>
                  <c:pt idx="286">
                    <c:v>2023_Q1</c:v>
                  </c:pt>
                  <c:pt idx="287">
                    <c:v>2023_Q2</c:v>
                  </c:pt>
                  <c:pt idx="288">
                    <c:v>2023_Q1</c:v>
                  </c:pt>
                  <c:pt idx="289">
                    <c:v>2023_Q2</c:v>
                  </c:pt>
                  <c:pt idx="290">
                    <c:v>2023_Q1</c:v>
                  </c:pt>
                  <c:pt idx="291">
                    <c:v>2023_Q2</c:v>
                  </c:pt>
                  <c:pt idx="292">
                    <c:v>2023_Q1</c:v>
                  </c:pt>
                  <c:pt idx="293">
                    <c:v>2023_Q2</c:v>
                  </c:pt>
                  <c:pt idx="294">
                    <c:v>2023_Q1</c:v>
                  </c:pt>
                  <c:pt idx="295">
                    <c:v>2023_Q2</c:v>
                  </c:pt>
                  <c:pt idx="296">
                    <c:v>2023_Q1</c:v>
                  </c:pt>
                  <c:pt idx="297">
                    <c:v>2023_Q2</c:v>
                  </c:pt>
                  <c:pt idx="298">
                    <c:v>2023_Q1</c:v>
                  </c:pt>
                  <c:pt idx="299">
                    <c:v>2023_Q2</c:v>
                  </c:pt>
                  <c:pt idx="300">
                    <c:v>2023_Q1</c:v>
                  </c:pt>
                  <c:pt idx="301">
                    <c:v>2023_Q2</c:v>
                  </c:pt>
                  <c:pt idx="302">
                    <c:v>2023_Q1</c:v>
                  </c:pt>
                  <c:pt idx="303">
                    <c:v>2023_Q1</c:v>
                  </c:pt>
                  <c:pt idx="304">
                    <c:v>2023_Q2</c:v>
                  </c:pt>
                  <c:pt idx="305">
                    <c:v>2023_Q1</c:v>
                  </c:pt>
                  <c:pt idx="306">
                    <c:v>2023_Q2</c:v>
                  </c:pt>
                  <c:pt idx="307">
                    <c:v>2023_Q1</c:v>
                  </c:pt>
                  <c:pt idx="308">
                    <c:v>2023_Q1</c:v>
                  </c:pt>
                  <c:pt idx="309">
                    <c:v>2023_Q2</c:v>
                  </c:pt>
                  <c:pt idx="310">
                    <c:v>2023_Q1</c:v>
                  </c:pt>
                  <c:pt idx="311">
                    <c:v>2023_Q2</c:v>
                  </c:pt>
                  <c:pt idx="312">
                    <c:v>2023_Q1</c:v>
                  </c:pt>
                  <c:pt idx="313">
                    <c:v>2023_Q2</c:v>
                  </c:pt>
                  <c:pt idx="314">
                    <c:v>2023_Q1</c:v>
                  </c:pt>
                  <c:pt idx="315">
                    <c:v>2023_Q2</c:v>
                  </c:pt>
                  <c:pt idx="316">
                    <c:v>2023_Q1</c:v>
                  </c:pt>
                  <c:pt idx="317">
                    <c:v>2023_Q2</c:v>
                  </c:pt>
                  <c:pt idx="318">
                    <c:v>2023_Q1</c:v>
                  </c:pt>
                  <c:pt idx="319">
                    <c:v>2023_Q2</c:v>
                  </c:pt>
                  <c:pt idx="320">
                    <c:v>2023_Q1</c:v>
                  </c:pt>
                  <c:pt idx="321">
                    <c:v>2023_Q2</c:v>
                  </c:pt>
                  <c:pt idx="322">
                    <c:v>2023_Q1</c:v>
                  </c:pt>
                  <c:pt idx="323">
                    <c:v>2023_Q2</c:v>
                  </c:pt>
                  <c:pt idx="324">
                    <c:v>2023_Q1</c:v>
                  </c:pt>
                  <c:pt idx="325">
                    <c:v>2023_Q2</c:v>
                  </c:pt>
                  <c:pt idx="326">
                    <c:v>2023_Q1</c:v>
                  </c:pt>
                  <c:pt idx="327">
                    <c:v>2023_Q2</c:v>
                  </c:pt>
                  <c:pt idx="328">
                    <c:v>2023_Q1</c:v>
                  </c:pt>
                  <c:pt idx="329">
                    <c:v>2023_Q2</c:v>
                  </c:pt>
                  <c:pt idx="330">
                    <c:v>2023_Q1</c:v>
                  </c:pt>
                  <c:pt idx="331">
                    <c:v>2023_Q2</c:v>
                  </c:pt>
                  <c:pt idx="332">
                    <c:v>2023_Q1</c:v>
                  </c:pt>
                  <c:pt idx="333">
                    <c:v>2023_Q2</c:v>
                  </c:pt>
                  <c:pt idx="334">
                    <c:v>2023_Q1</c:v>
                  </c:pt>
                  <c:pt idx="335">
                    <c:v>2023_Q2</c:v>
                  </c:pt>
                  <c:pt idx="336">
                    <c:v>2023_Q1</c:v>
                  </c:pt>
                  <c:pt idx="337">
                    <c:v>2023_Q1</c:v>
                  </c:pt>
                  <c:pt idx="338">
                    <c:v>2023_Q2</c:v>
                  </c:pt>
                  <c:pt idx="339">
                    <c:v>2023_Q1</c:v>
                  </c:pt>
                  <c:pt idx="340">
                    <c:v>2023_Q2</c:v>
                  </c:pt>
                  <c:pt idx="341">
                    <c:v>2023_Q1</c:v>
                  </c:pt>
                  <c:pt idx="342">
                    <c:v>2023_Q2</c:v>
                  </c:pt>
                  <c:pt idx="343">
                    <c:v>2023_Q1</c:v>
                  </c:pt>
                  <c:pt idx="344">
                    <c:v>2023_Q1</c:v>
                  </c:pt>
                  <c:pt idx="345">
                    <c:v>2023_Q2</c:v>
                  </c:pt>
                  <c:pt idx="346">
                    <c:v>2023_Q1</c:v>
                  </c:pt>
                  <c:pt idx="347">
                    <c:v>2023_Q1</c:v>
                  </c:pt>
                  <c:pt idx="348">
                    <c:v>2023_Q1</c:v>
                  </c:pt>
                  <c:pt idx="349">
                    <c:v>2023_Q2</c:v>
                  </c:pt>
                  <c:pt idx="350">
                    <c:v>2023_Q1</c:v>
                  </c:pt>
                  <c:pt idx="351">
                    <c:v>2023_Q2</c:v>
                  </c:pt>
                  <c:pt idx="352">
                    <c:v>2023_Q1</c:v>
                  </c:pt>
                  <c:pt idx="353">
                    <c:v>2023_Q2</c:v>
                  </c:pt>
                  <c:pt idx="354">
                    <c:v>2023_Q1</c:v>
                  </c:pt>
                  <c:pt idx="355">
                    <c:v>2023_Q2</c:v>
                  </c:pt>
                  <c:pt idx="356">
                    <c:v>2023_Q1</c:v>
                  </c:pt>
                  <c:pt idx="357">
                    <c:v>2023_Q2</c:v>
                  </c:pt>
                  <c:pt idx="358">
                    <c:v>2023_Q1</c:v>
                  </c:pt>
                  <c:pt idx="359">
                    <c:v>2023_Q2</c:v>
                  </c:pt>
                  <c:pt idx="360">
                    <c:v>2023_Q1</c:v>
                  </c:pt>
                  <c:pt idx="361">
                    <c:v>2023_Q2</c:v>
                  </c:pt>
                  <c:pt idx="362">
                    <c:v>2023_Q1</c:v>
                  </c:pt>
                  <c:pt idx="363">
                    <c:v>2023_Q2</c:v>
                  </c:pt>
                  <c:pt idx="364">
                    <c:v>2023_Q1</c:v>
                  </c:pt>
                  <c:pt idx="365">
                    <c:v>2023_Q2</c:v>
                  </c:pt>
                  <c:pt idx="366">
                    <c:v>2023_Q1</c:v>
                  </c:pt>
                  <c:pt idx="367">
                    <c:v>2023_Q2</c:v>
                  </c:pt>
                  <c:pt idx="368">
                    <c:v>2023_Q1</c:v>
                  </c:pt>
                  <c:pt idx="369">
                    <c:v>2023_Q1</c:v>
                  </c:pt>
                  <c:pt idx="370">
                    <c:v>2023_Q1</c:v>
                  </c:pt>
                  <c:pt idx="371">
                    <c:v>2023_Q2</c:v>
                  </c:pt>
                  <c:pt idx="372">
                    <c:v>2023_Q1</c:v>
                  </c:pt>
                  <c:pt idx="373">
                    <c:v>2023_Q2</c:v>
                  </c:pt>
                  <c:pt idx="374">
                    <c:v>2023_Q1</c:v>
                  </c:pt>
                  <c:pt idx="375">
                    <c:v>2023_Q2</c:v>
                  </c:pt>
                  <c:pt idx="376">
                    <c:v>2023_Q1</c:v>
                  </c:pt>
                  <c:pt idx="377">
                    <c:v>2023_Q2</c:v>
                  </c:pt>
                  <c:pt idx="378">
                    <c:v>2023_Q1</c:v>
                  </c:pt>
                  <c:pt idx="379">
                    <c:v>2023_Q1</c:v>
                  </c:pt>
                  <c:pt idx="380">
                    <c:v>2023_Q2</c:v>
                  </c:pt>
                  <c:pt idx="381">
                    <c:v>2023_Q1</c:v>
                  </c:pt>
                  <c:pt idx="382">
                    <c:v>2023_Q2</c:v>
                  </c:pt>
                  <c:pt idx="383">
                    <c:v>2023_Q1</c:v>
                  </c:pt>
                  <c:pt idx="384">
                    <c:v>2023_Q2</c:v>
                  </c:pt>
                  <c:pt idx="385">
                    <c:v>2023_Q1</c:v>
                  </c:pt>
                  <c:pt idx="386">
                    <c:v>2023_Q2</c:v>
                  </c:pt>
                  <c:pt idx="387">
                    <c:v>2023_Q1</c:v>
                  </c:pt>
                  <c:pt idx="388">
                    <c:v>2023_Q2</c:v>
                  </c:pt>
                  <c:pt idx="389">
                    <c:v>2023_Q1</c:v>
                  </c:pt>
                  <c:pt idx="390">
                    <c:v>2023_Q2</c:v>
                  </c:pt>
                  <c:pt idx="391">
                    <c:v>2023_Q1</c:v>
                  </c:pt>
                  <c:pt idx="392">
                    <c:v>2023_Q1</c:v>
                  </c:pt>
                  <c:pt idx="393">
                    <c:v>2023_Q1</c:v>
                  </c:pt>
                  <c:pt idx="394">
                    <c:v>2023_Q2</c:v>
                  </c:pt>
                  <c:pt idx="395">
                    <c:v>2023_Q2</c:v>
                  </c:pt>
                  <c:pt idx="396">
                    <c:v>2023_Q2</c:v>
                  </c:pt>
                  <c:pt idx="397">
                    <c:v>2023_Q2</c:v>
                  </c:pt>
                  <c:pt idx="398">
                    <c:v>2023_Q2</c:v>
                  </c:pt>
                  <c:pt idx="399">
                    <c:v>2023_Q2</c:v>
                  </c:pt>
                  <c:pt idx="400">
                    <c:v>2023_Q2</c:v>
                  </c:pt>
                </c:lvl>
                <c:lvl>
                  <c:pt idx="0">
                    <c:v>AD-2000 Tharthana Compound</c:v>
                  </c:pt>
                  <c:pt idx="2">
                    <c:v>AG Church, Hmaw Si Sa</c:v>
                  </c:pt>
                  <c:pt idx="4">
                    <c:v>AG Church, Maw Wan</c:v>
                  </c:pt>
                  <c:pt idx="6">
                    <c:v>Agritural Compound (KBC)</c:v>
                  </c:pt>
                  <c:pt idx="8">
                    <c:v>Aung Thar Church</c:v>
                  </c:pt>
                  <c:pt idx="10">
                    <c:v>Baptist Church, Hmaw Si Sar(Lon Khin)</c:v>
                  </c:pt>
                  <c:pt idx="12">
                    <c:v>Border Post 8</c:v>
                  </c:pt>
                  <c:pt idx="14">
                    <c:v>Bum Tsit Pa</c:v>
                  </c:pt>
                  <c:pt idx="16">
                    <c:v>Chin Church, Seik Mu</c:v>
                  </c:pt>
                  <c:pt idx="17">
                    <c:v>Chipwi KBC camp</c:v>
                  </c:pt>
                  <c:pt idx="19">
                    <c:v>Dhama Rakhita, Nyein Chan Tar Yar Ward(Lon Khin)</c:v>
                  </c:pt>
                  <c:pt idx="21">
                    <c:v>Du Kahtawng Baptist</c:v>
                  </c:pt>
                  <c:pt idx="22">
                    <c:v>Dum Bung </c:v>
                  </c:pt>
                  <c:pt idx="24">
                    <c:v>Emmanuel AG Church</c:v>
                  </c:pt>
                  <c:pt idx="25">
                    <c:v>Galeng (Palaung) &amp; Kone Khem</c:v>
                  </c:pt>
                  <c:pt idx="27">
                    <c:v>Hka Shi</c:v>
                  </c:pt>
                  <c:pt idx="29">
                    <c:v>Hkat Cho </c:v>
                  </c:pt>
                  <c:pt idx="31">
                    <c:v>Hkau Shau (BP 12)</c:v>
                  </c:pt>
                  <c:pt idx="33">
                    <c:v>Hlaing Naung Baptist</c:v>
                  </c:pt>
                  <c:pt idx="35">
                    <c:v>Hpai Kawng</c:v>
                  </c:pt>
                  <c:pt idx="37">
                    <c:v>Hpakant Baptist Church, Nam Ma Hpit</c:v>
                  </c:pt>
                  <c:pt idx="39">
                    <c:v>Hpare Hkyer - BP6</c:v>
                  </c:pt>
                  <c:pt idx="41">
                    <c:v>Hpun Lum Yang </c:v>
                  </c:pt>
                  <c:pt idx="43">
                    <c:v>Htoi San Church</c:v>
                  </c:pt>
                  <c:pt idx="45">
                    <c:v>Hu Hku &amp; Ho Hko</c:v>
                  </c:pt>
                  <c:pt idx="47">
                    <c:v>IDP Boarding School, A Len Bum</c:v>
                  </c:pt>
                  <c:pt idx="49">
                    <c:v>Jan Mai Kawng Baptist Church</c:v>
                  </c:pt>
                  <c:pt idx="51">
                    <c:v>Jan Mai Kawng Catholic Church</c:v>
                  </c:pt>
                  <c:pt idx="53">
                    <c:v>Jaw Masat Camp</c:v>
                  </c:pt>
                  <c:pt idx="55">
                    <c:v>Je Yang Hka </c:v>
                  </c:pt>
                  <c:pt idx="57">
                    <c:v>Ka Bu Dam CoC</c:v>
                  </c:pt>
                  <c:pt idx="59">
                    <c:v>Kachin Su Baptist Church (ECCD)</c:v>
                  </c:pt>
                  <c:pt idx="61">
                    <c:v>Karmaing RC Church</c:v>
                  </c:pt>
                  <c:pt idx="62">
                    <c:v>Khar Nan (1) Baptist Church</c:v>
                  </c:pt>
                  <c:pt idx="64">
                    <c:v>Kutkai downtown (KBC Church)</c:v>
                  </c:pt>
                  <c:pt idx="66">
                    <c:v>Kutkai downtown (KBC Church-2)</c:v>
                  </c:pt>
                  <c:pt idx="68">
                    <c:v>Kyu Sot</c:v>
                  </c:pt>
                  <c:pt idx="69">
                    <c:v>Kyun Taw Baptist Church </c:v>
                  </c:pt>
                  <c:pt idx="71">
                    <c:v>Laiza Je Yang School</c:v>
                  </c:pt>
                  <c:pt idx="73">
                    <c:v>Lana Zup Ja</c:v>
                  </c:pt>
                  <c:pt idx="75">
                    <c:v>Lawng Hkang Shait Yang Camp​ ( Lel Pyin)​ </c:v>
                  </c:pt>
                  <c:pt idx="77">
                    <c:v>Le Kone Bethlehem Church</c:v>
                  </c:pt>
                  <c:pt idx="79">
                    <c:v>Le Kone Ziun Baptist Church </c:v>
                  </c:pt>
                  <c:pt idx="81">
                    <c:v>Lhaovao Baptist Church (LBC)</c:v>
                  </c:pt>
                  <c:pt idx="83">
                    <c:v>Lisu Baptist Church, Maw Shan Vil,. Seik Mu</c:v>
                  </c:pt>
                  <c:pt idx="85">
                    <c:v>Lisu Baptist Church, Maw Wan Ward</c:v>
                  </c:pt>
                  <c:pt idx="87">
                    <c:v>Lisu Boarding-House</c:v>
                  </c:pt>
                  <c:pt idx="89">
                    <c:v>Lisu Church Namtu</c:v>
                  </c:pt>
                  <c:pt idx="90">
                    <c:v>Loi Je Baptist Church</c:v>
                  </c:pt>
                  <c:pt idx="92">
                    <c:v>Loi Je Catholic Church</c:v>
                  </c:pt>
                  <c:pt idx="94">
                    <c:v>Loi Je Lisu Camp</c:v>
                  </c:pt>
                  <c:pt idx="96">
                    <c:v>Lone Khin Catholic Church</c:v>
                  </c:pt>
                  <c:pt idx="97">
                    <c:v>Ma Hawng Baptist Church</c:v>
                  </c:pt>
                  <c:pt idx="99">
                    <c:v>Mading Baptist Church</c:v>
                  </c:pt>
                  <c:pt idx="101">
                    <c:v>Maga Yang </c:v>
                  </c:pt>
                  <c:pt idx="103">
                    <c:v>Mai Yu Lay New (Ta'ang)</c:v>
                  </c:pt>
                  <c:pt idx="105">
                    <c:v>Maina AG Church</c:v>
                  </c:pt>
                  <c:pt idx="107">
                    <c:v>Maina Catholic Church (St. Joseph)</c:v>
                  </c:pt>
                  <c:pt idx="109">
                    <c:v>Maina KBC (Bawng Ring)</c:v>
                  </c:pt>
                  <c:pt idx="111">
                    <c:v>Maina Lawang Baptist Church</c:v>
                  </c:pt>
                  <c:pt idx="113">
                    <c:v>Maing Khaung</c:v>
                  </c:pt>
                  <c:pt idx="115">
                    <c:v>Maing Khaung Catholic Church</c:v>
                  </c:pt>
                  <c:pt idx="117">
                    <c:v>Maliyang Baptist Church</c:v>
                  </c:pt>
                  <c:pt idx="119">
                    <c:v>Man Bung Catholic compound</c:v>
                  </c:pt>
                  <c:pt idx="121">
                    <c:v>Man Bung Edin Baptist Church</c:v>
                  </c:pt>
                  <c:pt idx="123">
                    <c:v>Man Hkring Baptist Church</c:v>
                  </c:pt>
                  <c:pt idx="125">
                    <c:v>Man Kaung/Naung Ti Kyar Village</c:v>
                  </c:pt>
                  <c:pt idx="127">
                    <c:v>Man Loi</c:v>
                  </c:pt>
                  <c:pt idx="128">
                    <c:v>Man Wing Baptist Church</c:v>
                  </c:pt>
                  <c:pt idx="130">
                    <c:v>Man Wing Baptist Church Cultural Compound</c:v>
                  </c:pt>
                  <c:pt idx="132">
                    <c:v>Man Wing Catholic Church</c:v>
                  </c:pt>
                  <c:pt idx="134">
                    <c:v>Man Wing Catholic Church II</c:v>
                  </c:pt>
                  <c:pt idx="136">
                    <c:v>Mandung - Jinghpaw</c:v>
                  </c:pt>
                  <c:pt idx="137">
                    <c:v>Mandung - RC</c:v>
                  </c:pt>
                  <c:pt idx="138">
                    <c:v>Mansi Baptist Church</c:v>
                  </c:pt>
                  <c:pt idx="140">
                    <c:v>Maw Hpawng Hka Nan Baptist Church</c:v>
                  </c:pt>
                  <c:pt idx="142">
                    <c:v>Maw Hpawng Lhaovo Baptist Church</c:v>
                  </c:pt>
                  <c:pt idx="144">
                    <c:v>Maw Wan, Mu-yin Baptist Church</c:v>
                  </c:pt>
                  <c:pt idx="146">
                    <c:v>Mine Yu Lay village ( Old)</c:v>
                  </c:pt>
                  <c:pt idx="148">
                    <c:v>Momauk Baptist Church</c:v>
                  </c:pt>
                  <c:pt idx="150">
                    <c:v>Mung Hawm </c:v>
                  </c:pt>
                  <c:pt idx="152">
                    <c:v>Muyin church (Aung Yar pre-school compound)</c:v>
                  </c:pt>
                  <c:pt idx="154">
                    <c:v>Nam Hkam - Nay Win Ni (Palawng)</c:v>
                  </c:pt>
                  <c:pt idx="156">
                    <c:v>Nam Hkam (KBC Jaw Wang)</c:v>
                  </c:pt>
                  <c:pt idx="158">
                    <c:v>Nam Hkam (KBC Jaw Wang) II</c:v>
                  </c:pt>
                  <c:pt idx="159">
                    <c:v>Nam Hkam Catholic Church ( St. Thomas I)</c:v>
                  </c:pt>
                  <c:pt idx="161">
                    <c:v>Nam Hpak Ka Mare </c:v>
                  </c:pt>
                  <c:pt idx="163">
                    <c:v>Nam Hpak Ka Ta'ang ( Aung Tha Pyay)</c:v>
                  </c:pt>
                  <c:pt idx="165">
                    <c:v>Nam Ma Phyit, COC</c:v>
                  </c:pt>
                  <c:pt idx="167">
                    <c:v>Nam Sa Larp</c:v>
                  </c:pt>
                  <c:pt idx="169">
                    <c:v>Nam Tu Baptist</c:v>
                  </c:pt>
                  <c:pt idx="170">
                    <c:v>Namti Labraw Yang KBC Camp</c:v>
                  </c:pt>
                  <c:pt idx="172">
                    <c:v>Nan Kway St. John Catholic Church</c:v>
                  </c:pt>
                  <c:pt idx="174">
                    <c:v>Nant Ma Hpit Catholic Church</c:v>
                  </c:pt>
                  <c:pt idx="176">
                    <c:v>Nat Gyi Kone Baptist Church </c:v>
                  </c:pt>
                  <c:pt idx="178">
                    <c:v>Nawng Hee Village</c:v>
                  </c:pt>
                  <c:pt idx="179">
                    <c:v>Nawng Ing (Indawgyi) Baptist Church </c:v>
                  </c:pt>
                  <c:pt idx="181">
                    <c:v>Ndup Yang</c:v>
                  </c:pt>
                  <c:pt idx="183">
                    <c:v>New Pang Ku </c:v>
                  </c:pt>
                  <c:pt idx="185">
                    <c:v>Nhkawng Pa </c:v>
                  </c:pt>
                  <c:pt idx="187">
                    <c:v>Njang Dung Baptist Church </c:v>
                  </c:pt>
                  <c:pt idx="189">
                    <c:v>Nyaung Na Pin </c:v>
                  </c:pt>
                  <c:pt idx="191">
                    <c:v>Pa Dauk Myaing(Pa La Na)</c:v>
                  </c:pt>
                  <c:pt idx="193">
                    <c:v>Pa Dauk Myaing(Pa La Na)-II</c:v>
                  </c:pt>
                  <c:pt idx="195">
                    <c:v>Pa Kahtawng </c:v>
                  </c:pt>
                  <c:pt idx="197">
                    <c:v>Pajau - Jan Mai</c:v>
                  </c:pt>
                  <c:pt idx="199">
                    <c:v>Pan Law</c:v>
                  </c:pt>
                  <c:pt idx="201">
                    <c:v>Pang Hkawn Yang</c:v>
                  </c:pt>
                  <c:pt idx="203">
                    <c:v>Phan Khar Kone</c:v>
                  </c:pt>
                  <c:pt idx="205">
                    <c:v>Qtr. 2 Lhaovo Baptist Church</c:v>
                  </c:pt>
                  <c:pt idx="207">
                    <c:v>Qtr. 2 Myoma Baptist Church</c:v>
                  </c:pt>
                  <c:pt idx="209">
                    <c:v>Rawan Baptist Church, Maw Shan Vil., Seik Mu</c:v>
                  </c:pt>
                  <c:pt idx="211">
                    <c:v>Robert Church</c:v>
                  </c:pt>
                  <c:pt idx="213">
                    <c:v>Sadung</c:v>
                  </c:pt>
                  <c:pt idx="215">
                    <c:v>Salang Yang</c:v>
                  </c:pt>
                  <c:pt idx="217">
                    <c:v>Sar Hmaw - KBC</c:v>
                  </c:pt>
                  <c:pt idx="219">
                    <c:v>Seng Ja </c:v>
                  </c:pt>
                  <c:pt idx="221">
                    <c:v>Sha-It Yang</c:v>
                  </c:pt>
                  <c:pt idx="223">
                    <c:v>Shar Du Zut KBC church </c:v>
                  </c:pt>
                  <c:pt idx="224">
                    <c:v>Shatapru Sut Ngai Tawng</c:v>
                  </c:pt>
                  <c:pt idx="226">
                    <c:v>Shatapru Thida Aye Baptist Church</c:v>
                  </c:pt>
                  <c:pt idx="228">
                    <c:v>Shing Jai</c:v>
                  </c:pt>
                  <c:pt idx="230">
                    <c:v>Shwe Gu Baptist Church</c:v>
                  </c:pt>
                  <c:pt idx="232">
                    <c:v>Shwe Gu Catholic Church</c:v>
                  </c:pt>
                  <c:pt idx="234">
                    <c:v>Shwe Zet Baptist Church</c:v>
                  </c:pt>
                  <c:pt idx="236">
                    <c:v>St. Joseph Tanai RC camp </c:v>
                  </c:pt>
                  <c:pt idx="238">
                    <c:v>Tanai CoC</c:v>
                  </c:pt>
                  <c:pt idx="240">
                    <c:v>Tanai KBC Camp</c:v>
                  </c:pt>
                  <c:pt idx="242">
                    <c:v>Tat Kone Baptist Church</c:v>
                  </c:pt>
                  <c:pt idx="244">
                    <c:v>Tat Kone COC Baptist - Tat Kone Htoi San</c:v>
                  </c:pt>
                  <c:pt idx="246">
                    <c:v>Tat Kone Galile Baptist Church</c:v>
                  </c:pt>
                  <c:pt idx="248">
                    <c:v>Tat Kone San Pya Baptist Church</c:v>
                  </c:pt>
                  <c:pt idx="250">
                    <c:v>Thargaya Lisu Baptist Church</c:v>
                  </c:pt>
                  <c:pt idx="252">
                    <c:v>Trinity Camp</c:v>
                  </c:pt>
                  <c:pt idx="254">
                    <c:v>Tsan Lun - Namjarap</c:v>
                  </c:pt>
                  <c:pt idx="256">
                    <c:v>Waimaw Baptist Zonal Office 2</c:v>
                  </c:pt>
                  <c:pt idx="258">
                    <c:v>Waingmaw AG Church</c:v>
                  </c:pt>
                  <c:pt idx="260">
                    <c:v>Ward 2 Sai Taung Baptist Church, Seik Mu </c:v>
                  </c:pt>
                  <c:pt idx="261">
                    <c:v>Woi Chyai </c:v>
                  </c:pt>
                  <c:pt idx="263">
                    <c:v>Woi Chyai (Mong Lai)</c:v>
                  </c:pt>
                  <c:pt idx="265">
                    <c:v>Woi Chyai host families</c:v>
                  </c:pt>
                  <c:pt idx="267">
                    <c:v>Yumar Baptist Church</c:v>
                  </c:pt>
                  <c:pt idx="268">
                    <c:v>Zup Aung Camp</c:v>
                  </c:pt>
                  <c:pt idx="270">
                    <c:v>Hka Garan Yang </c:v>
                  </c:pt>
                  <c:pt idx="271">
                    <c:v>Htang Nya </c:v>
                  </c:pt>
                  <c:pt idx="273">
                    <c:v>Enai (Man Pyein)</c:v>
                  </c:pt>
                  <c:pt idx="274">
                    <c:v>Momauk IDP new extension camp (Kye Nan)</c:v>
                  </c:pt>
                  <c:pt idx="276">
                    <c:v>Sector 5 Pammati Quarter</c:v>
                  </c:pt>
                  <c:pt idx="278">
                    <c:v>Namatee Kan Hla AG</c:v>
                  </c:pt>
                  <c:pt idx="279">
                    <c:v>His Aw (Chyu Fan) </c:v>
                  </c:pt>
                  <c:pt idx="281">
                    <c:v>Shwe Sin (Ward 3) </c:v>
                  </c:pt>
                  <c:pt idx="283">
                    <c:v>Bum Ra Yang Camp </c:v>
                  </c:pt>
                  <c:pt idx="285">
                    <c:v>Mang Nawng Kawng (host)</c:v>
                  </c:pt>
                  <c:pt idx="286">
                    <c:v>Kyaukme Town (host)</c:v>
                  </c:pt>
                  <c:pt idx="288">
                    <c:v>Nam Hlaing Extension Ward camp</c:v>
                  </c:pt>
                  <c:pt idx="290">
                    <c:v>Naung Tar Law (Kyet Chan) </c:v>
                  </c:pt>
                  <c:pt idx="292">
                    <c:v>Waingmaw St.Joseph RC Church</c:v>
                  </c:pt>
                  <c:pt idx="294">
                    <c:v>Phaug Nhae Camp</c:v>
                  </c:pt>
                  <c:pt idx="296">
                    <c:v>Ding Jang Yang (1)</c:v>
                  </c:pt>
                  <c:pt idx="298">
                    <c:v>Ding Jang Yang (2)</c:v>
                  </c:pt>
                  <c:pt idx="300">
                    <c:v>Yi Hku Man Hkan </c:v>
                  </c:pt>
                  <c:pt idx="302">
                    <c:v>Maina Relocation Site</c:v>
                  </c:pt>
                  <c:pt idx="303">
                    <c:v>Lin Hao chun </c:v>
                  </c:pt>
                  <c:pt idx="305">
                    <c:v>Pyi Htaung Su</c:v>
                  </c:pt>
                  <c:pt idx="307">
                    <c:v>Momauk KBC church</c:v>
                  </c:pt>
                  <c:pt idx="308">
                    <c:v>St.Francis RCC 1</c:v>
                  </c:pt>
                  <c:pt idx="310">
                    <c:v>St.Francis RCC 2</c:v>
                  </c:pt>
                  <c:pt idx="312">
                    <c:v>Bang Yang Hka (Mung Ji Pa)-relocated</c:v>
                  </c:pt>
                  <c:pt idx="314">
                    <c:v>Galeng Zup Awng ward 5 RC</c:v>
                  </c:pt>
                  <c:pt idx="316">
                    <c:v>Man Wing- IDPs in Host</c:v>
                  </c:pt>
                  <c:pt idx="318">
                    <c:v>(3 mile) Shwe Pyi Tar (SLCA)</c:v>
                  </c:pt>
                  <c:pt idx="320">
                    <c:v>Bhamo- IDPs in Host </c:v>
                  </c:pt>
                  <c:pt idx="322">
                    <c:v>St.Columban lone Khin camp</c:v>
                  </c:pt>
                  <c:pt idx="324">
                    <c:v>Mansi- IDPs in Host</c:v>
                  </c:pt>
                  <c:pt idx="326">
                    <c:v>Hopin -IDPs in Host</c:v>
                  </c:pt>
                  <c:pt idx="328">
                    <c:v>Moenyin- IDPs in Host</c:v>
                  </c:pt>
                  <c:pt idx="330">
                    <c:v>Momauk-IDPs in Host</c:v>
                  </c:pt>
                  <c:pt idx="332">
                    <c:v>Myo Thit -IDP in Host</c:v>
                  </c:pt>
                  <c:pt idx="334">
                    <c:v>Saint Matthew (Shin ma ti-sitapru) camp</c:v>
                  </c:pt>
                  <c:pt idx="336">
                    <c:v>Na ru Kawng (Post 6 camp)</c:v>
                  </c:pt>
                  <c:pt idx="337">
                    <c:v>Man Pint community Hall </c:v>
                  </c:pt>
                  <c:pt idx="339">
                    <c:v>Mong Tin High School</c:v>
                  </c:pt>
                  <c:pt idx="341">
                    <c:v>Nar Mun Primary School</c:v>
                  </c:pt>
                  <c:pt idx="343">
                    <c:v>SLCA Building Compound (Kyaukme town)</c:v>
                  </c:pt>
                  <c:pt idx="344">
                    <c:v>SLCA Building Compound (Moungnawt town)</c:v>
                  </c:pt>
                  <c:pt idx="346">
                    <c:v>Theravada Monastery </c:v>
                  </c:pt>
                  <c:pt idx="347">
                    <c:v>Hseng Ja-Relocated</c:v>
                  </c:pt>
                  <c:pt idx="348">
                    <c:v>Maina Mu-yin  Baptist Church</c:v>
                  </c:pt>
                  <c:pt idx="350">
                    <c:v>LCC UM Camp Hka Shi</c:v>
                  </c:pt>
                  <c:pt idx="352">
                    <c:v>Lisu Ethnic Youth Development Center </c:v>
                  </c:pt>
                  <c:pt idx="354">
                    <c:v>Nbang Yang camp </c:v>
                  </c:pt>
                  <c:pt idx="356">
                    <c:v>Rawang Baptist Church</c:v>
                  </c:pt>
                  <c:pt idx="358">
                    <c:v>Sut Ngai yang camp </c:v>
                  </c:pt>
                  <c:pt idx="360">
                    <c:v>Sadung KBC</c:v>
                  </c:pt>
                  <c:pt idx="362">
                    <c:v>Sana Lisu Baptist Church (DTC)</c:v>
                  </c:pt>
                  <c:pt idx="364">
                    <c:v>Sutaung Taung Chae</c:v>
                  </c:pt>
                  <c:pt idx="366">
                    <c:v>Mohnyin IDP in host (2)</c:v>
                  </c:pt>
                  <c:pt idx="368">
                    <c:v>Wuyan Lisu (KLCC) </c:v>
                  </c:pt>
                  <c:pt idx="369">
                    <c:v>Lisu Church</c:v>
                  </c:pt>
                  <c:pt idx="370">
                    <c:v>Chinese Baptist Church Compound(Oak Hpo)</c:v>
                  </c:pt>
                  <c:pt idx="372">
                    <c:v>Farmland(Kyay Zu Taw)</c:v>
                  </c:pt>
                  <c:pt idx="374">
                    <c:v>Pong Mun School</c:v>
                  </c:pt>
                  <c:pt idx="376">
                    <c:v>Hka San Baptist church </c:v>
                  </c:pt>
                  <c:pt idx="378">
                    <c:v>Ward 3 </c:v>
                  </c:pt>
                  <c:pt idx="379">
                    <c:v>Sun Lon monastery </c:v>
                  </c:pt>
                  <c:pt idx="381">
                    <c:v>Farmland(Kaung Kye Peik)</c:v>
                  </c:pt>
                  <c:pt idx="383">
                    <c:v>Kaung Nyaung Ywar Thit (Ho Piek gyi)</c:v>
                  </c:pt>
                  <c:pt idx="385">
                    <c:v>Ward 5 &amp; 9</c:v>
                  </c:pt>
                  <c:pt idx="387">
                    <c:v>Kan Long </c:v>
                  </c:pt>
                  <c:pt idx="389">
                    <c:v>Chicken Farm </c:v>
                  </c:pt>
                  <c:pt idx="391">
                    <c:v>KBC Church </c:v>
                  </c:pt>
                  <c:pt idx="392">
                    <c:v>New Nant  Hlaing camp</c:v>
                  </c:pt>
                  <c:pt idx="393">
                    <c:v>Shan Culutre camp</c:v>
                  </c:pt>
                  <c:pt idx="394">
                    <c:v>Dagaw Border</c:v>
                  </c:pt>
                  <c:pt idx="395">
                    <c:v>Lashio ward 7 – IDPs in host</c:v>
                  </c:pt>
                  <c:pt idx="396">
                    <c:v>Lashio ward 9 – IDPs in host</c:v>
                  </c:pt>
                  <c:pt idx="397">
                    <c:v>Ward 3</c:v>
                  </c:pt>
                  <c:pt idx="398">
                    <c:v>Mong Paw Building</c:v>
                  </c:pt>
                  <c:pt idx="399">
                    <c:v>IDP in host community(Mongkoe town)</c:v>
                  </c:pt>
                  <c:pt idx="400">
                    <c:v>Sein Lone Shann Border</c:v>
                  </c:pt>
                </c:lvl>
              </c:multiLvlStrCache>
            </c:multiLvlStrRef>
          </c:cat>
          <c:val>
            <c:numRef>
              <c:f>'Tracking Dashboard'!$P$5:$P$626</c:f>
              <c:numCache>
                <c:formatCode>General</c:formatCode>
                <c:ptCount val="401"/>
                <c:pt idx="0">
                  <c:v>715</c:v>
                </c:pt>
                <c:pt idx="1">
                  <c:v>715</c:v>
                </c:pt>
                <c:pt idx="2">
                  <c:v>446</c:v>
                </c:pt>
                <c:pt idx="3">
                  <c:v>446</c:v>
                </c:pt>
                <c:pt idx="4">
                  <c:v>70</c:v>
                </c:pt>
                <c:pt idx="5">
                  <c:v>70</c:v>
                </c:pt>
                <c:pt idx="6">
                  <c:v>502</c:v>
                </c:pt>
                <c:pt idx="7">
                  <c:v>502</c:v>
                </c:pt>
                <c:pt idx="8">
                  <c:v>222</c:v>
                </c:pt>
                <c:pt idx="9">
                  <c:v>222</c:v>
                </c:pt>
                <c:pt idx="10">
                  <c:v>249</c:v>
                </c:pt>
                <c:pt idx="11">
                  <c:v>249</c:v>
                </c:pt>
                <c:pt idx="12">
                  <c:v>405</c:v>
                </c:pt>
                <c:pt idx="13">
                  <c:v>258</c:v>
                </c:pt>
                <c:pt idx="14">
                  <c:v>1900</c:v>
                </c:pt>
                <c:pt idx="15">
                  <c:v>1900</c:v>
                </c:pt>
                <c:pt idx="16">
                  <c:v>0</c:v>
                </c:pt>
                <c:pt idx="17">
                  <c:v>704</c:v>
                </c:pt>
                <c:pt idx="18">
                  <c:v>704</c:v>
                </c:pt>
                <c:pt idx="19">
                  <c:v>451</c:v>
                </c:pt>
                <c:pt idx="20">
                  <c:v>451</c:v>
                </c:pt>
                <c:pt idx="21">
                  <c:v>198</c:v>
                </c:pt>
                <c:pt idx="22">
                  <c:v>404</c:v>
                </c:pt>
                <c:pt idx="23">
                  <c:v>404</c:v>
                </c:pt>
                <c:pt idx="24">
                  <c:v>0</c:v>
                </c:pt>
                <c:pt idx="25">
                  <c:v>439</c:v>
                </c:pt>
                <c:pt idx="26">
                  <c:v>439</c:v>
                </c:pt>
                <c:pt idx="27">
                  <c:v>381</c:v>
                </c:pt>
                <c:pt idx="28">
                  <c:v>381</c:v>
                </c:pt>
                <c:pt idx="29">
                  <c:v>0</c:v>
                </c:pt>
                <c:pt idx="30">
                  <c:v>0</c:v>
                </c:pt>
                <c:pt idx="31">
                  <c:v>856</c:v>
                </c:pt>
                <c:pt idx="32">
                  <c:v>66.666666666666671</c:v>
                </c:pt>
                <c:pt idx="33">
                  <c:v>128</c:v>
                </c:pt>
                <c:pt idx="34">
                  <c:v>126</c:v>
                </c:pt>
                <c:pt idx="35">
                  <c:v>1200</c:v>
                </c:pt>
                <c:pt idx="36">
                  <c:v>1200</c:v>
                </c:pt>
                <c:pt idx="37">
                  <c:v>471</c:v>
                </c:pt>
                <c:pt idx="38">
                  <c:v>471</c:v>
                </c:pt>
                <c:pt idx="39">
                  <c:v>0</c:v>
                </c:pt>
                <c:pt idx="40">
                  <c:v>133.33333333333334</c:v>
                </c:pt>
                <c:pt idx="41">
                  <c:v>1933.3333333333335</c:v>
                </c:pt>
                <c:pt idx="42">
                  <c:v>1933.3333333333335</c:v>
                </c:pt>
                <c:pt idx="43">
                  <c:v>226</c:v>
                </c:pt>
                <c:pt idx="44">
                  <c:v>226</c:v>
                </c:pt>
                <c:pt idx="45">
                  <c:v>130</c:v>
                </c:pt>
                <c:pt idx="46">
                  <c:v>130</c:v>
                </c:pt>
                <c:pt idx="47">
                  <c:v>533.33333333333337</c:v>
                </c:pt>
                <c:pt idx="48">
                  <c:v>533.33333333333337</c:v>
                </c:pt>
                <c:pt idx="49">
                  <c:v>742</c:v>
                </c:pt>
                <c:pt idx="50">
                  <c:v>742</c:v>
                </c:pt>
                <c:pt idx="51">
                  <c:v>278</c:v>
                </c:pt>
                <c:pt idx="52">
                  <c:v>278</c:v>
                </c:pt>
                <c:pt idx="53">
                  <c:v>661</c:v>
                </c:pt>
                <c:pt idx="54">
                  <c:v>686</c:v>
                </c:pt>
                <c:pt idx="55">
                  <c:v>2750</c:v>
                </c:pt>
                <c:pt idx="56">
                  <c:v>2883.3333333333335</c:v>
                </c:pt>
                <c:pt idx="57">
                  <c:v>62</c:v>
                </c:pt>
                <c:pt idx="58">
                  <c:v>64</c:v>
                </c:pt>
                <c:pt idx="59">
                  <c:v>57</c:v>
                </c:pt>
                <c:pt idx="60">
                  <c:v>57</c:v>
                </c:pt>
                <c:pt idx="61">
                  <c:v>52</c:v>
                </c:pt>
                <c:pt idx="62">
                  <c:v>263</c:v>
                </c:pt>
                <c:pt idx="63">
                  <c:v>263</c:v>
                </c:pt>
                <c:pt idx="64">
                  <c:v>244</c:v>
                </c:pt>
                <c:pt idx="65">
                  <c:v>244</c:v>
                </c:pt>
                <c:pt idx="66">
                  <c:v>180</c:v>
                </c:pt>
                <c:pt idx="67">
                  <c:v>180</c:v>
                </c:pt>
                <c:pt idx="68">
                  <c:v>270</c:v>
                </c:pt>
                <c:pt idx="69">
                  <c:v>74</c:v>
                </c:pt>
                <c:pt idx="70">
                  <c:v>77</c:v>
                </c:pt>
                <c:pt idx="71">
                  <c:v>500</c:v>
                </c:pt>
                <c:pt idx="72">
                  <c:v>500</c:v>
                </c:pt>
                <c:pt idx="73">
                  <c:v>1850</c:v>
                </c:pt>
                <c:pt idx="74">
                  <c:v>1850</c:v>
                </c:pt>
                <c:pt idx="75">
                  <c:v>634</c:v>
                </c:pt>
                <c:pt idx="76">
                  <c:v>634</c:v>
                </c:pt>
                <c:pt idx="77">
                  <c:v>678</c:v>
                </c:pt>
                <c:pt idx="78">
                  <c:v>564</c:v>
                </c:pt>
                <c:pt idx="79">
                  <c:v>640</c:v>
                </c:pt>
                <c:pt idx="80">
                  <c:v>572</c:v>
                </c:pt>
                <c:pt idx="81">
                  <c:v>885</c:v>
                </c:pt>
                <c:pt idx="82">
                  <c:v>885</c:v>
                </c:pt>
                <c:pt idx="83">
                  <c:v>107</c:v>
                </c:pt>
                <c:pt idx="84">
                  <c:v>107</c:v>
                </c:pt>
                <c:pt idx="85">
                  <c:v>56</c:v>
                </c:pt>
                <c:pt idx="86">
                  <c:v>56</c:v>
                </c:pt>
                <c:pt idx="87">
                  <c:v>774</c:v>
                </c:pt>
                <c:pt idx="88">
                  <c:v>774</c:v>
                </c:pt>
                <c:pt idx="89">
                  <c:v>127</c:v>
                </c:pt>
                <c:pt idx="90">
                  <c:v>255</c:v>
                </c:pt>
                <c:pt idx="91">
                  <c:v>255</c:v>
                </c:pt>
                <c:pt idx="92">
                  <c:v>426</c:v>
                </c:pt>
                <c:pt idx="93">
                  <c:v>426</c:v>
                </c:pt>
                <c:pt idx="94">
                  <c:v>1422</c:v>
                </c:pt>
                <c:pt idx="95">
                  <c:v>1422</c:v>
                </c:pt>
                <c:pt idx="96">
                  <c:v>400</c:v>
                </c:pt>
                <c:pt idx="97">
                  <c:v>76</c:v>
                </c:pt>
                <c:pt idx="98">
                  <c:v>74</c:v>
                </c:pt>
                <c:pt idx="99">
                  <c:v>140</c:v>
                </c:pt>
                <c:pt idx="100">
                  <c:v>114</c:v>
                </c:pt>
                <c:pt idx="101">
                  <c:v>400</c:v>
                </c:pt>
                <c:pt idx="102">
                  <c:v>533.33333333333337</c:v>
                </c:pt>
                <c:pt idx="103">
                  <c:v>502</c:v>
                </c:pt>
                <c:pt idx="104">
                  <c:v>502</c:v>
                </c:pt>
                <c:pt idx="105">
                  <c:v>1900</c:v>
                </c:pt>
                <c:pt idx="106">
                  <c:v>1900</c:v>
                </c:pt>
                <c:pt idx="107">
                  <c:v>1189</c:v>
                </c:pt>
                <c:pt idx="108">
                  <c:v>1235</c:v>
                </c:pt>
                <c:pt idx="109">
                  <c:v>2973</c:v>
                </c:pt>
                <c:pt idx="110">
                  <c:v>1702</c:v>
                </c:pt>
                <c:pt idx="111">
                  <c:v>198</c:v>
                </c:pt>
                <c:pt idx="112">
                  <c:v>215</c:v>
                </c:pt>
                <c:pt idx="113">
                  <c:v>899.99999999999989</c:v>
                </c:pt>
                <c:pt idx="114">
                  <c:v>899.99999999999989</c:v>
                </c:pt>
                <c:pt idx="115">
                  <c:v>694</c:v>
                </c:pt>
                <c:pt idx="116">
                  <c:v>791</c:v>
                </c:pt>
                <c:pt idx="117">
                  <c:v>322</c:v>
                </c:pt>
                <c:pt idx="118">
                  <c:v>166</c:v>
                </c:pt>
                <c:pt idx="119">
                  <c:v>741</c:v>
                </c:pt>
                <c:pt idx="120">
                  <c:v>741</c:v>
                </c:pt>
                <c:pt idx="121">
                  <c:v>512</c:v>
                </c:pt>
                <c:pt idx="122">
                  <c:v>512</c:v>
                </c:pt>
                <c:pt idx="123">
                  <c:v>506</c:v>
                </c:pt>
                <c:pt idx="124">
                  <c:v>328</c:v>
                </c:pt>
                <c:pt idx="125">
                  <c:v>0</c:v>
                </c:pt>
                <c:pt idx="126">
                  <c:v>0</c:v>
                </c:pt>
                <c:pt idx="127">
                  <c:v>104</c:v>
                </c:pt>
                <c:pt idx="128">
                  <c:v>655</c:v>
                </c:pt>
                <c:pt idx="129">
                  <c:v>500.00000000000006</c:v>
                </c:pt>
                <c:pt idx="130">
                  <c:v>538</c:v>
                </c:pt>
                <c:pt idx="131">
                  <c:v>618</c:v>
                </c:pt>
                <c:pt idx="132">
                  <c:v>1366.6666666666667</c:v>
                </c:pt>
                <c:pt idx="133">
                  <c:v>2725</c:v>
                </c:pt>
                <c:pt idx="134">
                  <c:v>737</c:v>
                </c:pt>
                <c:pt idx="135">
                  <c:v>857</c:v>
                </c:pt>
                <c:pt idx="136">
                  <c:v>125</c:v>
                </c:pt>
                <c:pt idx="137">
                  <c:v>157</c:v>
                </c:pt>
                <c:pt idx="138">
                  <c:v>789</c:v>
                </c:pt>
                <c:pt idx="139">
                  <c:v>789</c:v>
                </c:pt>
                <c:pt idx="140">
                  <c:v>82</c:v>
                </c:pt>
                <c:pt idx="141">
                  <c:v>82</c:v>
                </c:pt>
                <c:pt idx="142">
                  <c:v>78</c:v>
                </c:pt>
                <c:pt idx="143">
                  <c:v>78</c:v>
                </c:pt>
                <c:pt idx="144">
                  <c:v>15</c:v>
                </c:pt>
                <c:pt idx="145">
                  <c:v>15</c:v>
                </c:pt>
                <c:pt idx="146">
                  <c:v>251</c:v>
                </c:pt>
                <c:pt idx="147">
                  <c:v>251</c:v>
                </c:pt>
                <c:pt idx="148">
                  <c:v>424</c:v>
                </c:pt>
                <c:pt idx="149">
                  <c:v>424</c:v>
                </c:pt>
                <c:pt idx="150">
                  <c:v>176</c:v>
                </c:pt>
                <c:pt idx="151">
                  <c:v>176</c:v>
                </c:pt>
                <c:pt idx="152">
                  <c:v>105</c:v>
                </c:pt>
                <c:pt idx="153">
                  <c:v>105</c:v>
                </c:pt>
                <c:pt idx="154">
                  <c:v>396</c:v>
                </c:pt>
                <c:pt idx="155">
                  <c:v>396</c:v>
                </c:pt>
                <c:pt idx="156">
                  <c:v>323</c:v>
                </c:pt>
                <c:pt idx="157">
                  <c:v>323</c:v>
                </c:pt>
                <c:pt idx="158">
                  <c:v>31</c:v>
                </c:pt>
                <c:pt idx="159">
                  <c:v>213</c:v>
                </c:pt>
                <c:pt idx="160">
                  <c:v>213</c:v>
                </c:pt>
                <c:pt idx="161">
                  <c:v>250</c:v>
                </c:pt>
                <c:pt idx="162">
                  <c:v>250</c:v>
                </c:pt>
                <c:pt idx="163">
                  <c:v>158</c:v>
                </c:pt>
                <c:pt idx="164">
                  <c:v>158</c:v>
                </c:pt>
                <c:pt idx="165">
                  <c:v>24</c:v>
                </c:pt>
                <c:pt idx="166">
                  <c:v>24</c:v>
                </c:pt>
                <c:pt idx="167">
                  <c:v>206</c:v>
                </c:pt>
                <c:pt idx="168">
                  <c:v>206</c:v>
                </c:pt>
                <c:pt idx="169">
                  <c:v>141</c:v>
                </c:pt>
                <c:pt idx="170">
                  <c:v>607</c:v>
                </c:pt>
                <c:pt idx="171">
                  <c:v>325</c:v>
                </c:pt>
                <c:pt idx="172">
                  <c:v>274</c:v>
                </c:pt>
                <c:pt idx="173">
                  <c:v>274</c:v>
                </c:pt>
                <c:pt idx="174">
                  <c:v>228</c:v>
                </c:pt>
                <c:pt idx="175">
                  <c:v>227</c:v>
                </c:pt>
                <c:pt idx="176">
                  <c:v>51</c:v>
                </c:pt>
                <c:pt idx="177">
                  <c:v>49</c:v>
                </c:pt>
                <c:pt idx="178">
                  <c:v>86</c:v>
                </c:pt>
                <c:pt idx="179">
                  <c:v>127</c:v>
                </c:pt>
                <c:pt idx="180">
                  <c:v>58</c:v>
                </c:pt>
                <c:pt idx="181">
                  <c:v>673</c:v>
                </c:pt>
                <c:pt idx="182">
                  <c:v>584</c:v>
                </c:pt>
                <c:pt idx="183">
                  <c:v>533.33333333333337</c:v>
                </c:pt>
                <c:pt idx="184">
                  <c:v>533.33333333333337</c:v>
                </c:pt>
                <c:pt idx="185">
                  <c:v>1500</c:v>
                </c:pt>
                <c:pt idx="186">
                  <c:v>1500</c:v>
                </c:pt>
                <c:pt idx="187">
                  <c:v>320</c:v>
                </c:pt>
                <c:pt idx="188">
                  <c:v>320</c:v>
                </c:pt>
                <c:pt idx="189">
                  <c:v>297</c:v>
                </c:pt>
                <c:pt idx="190">
                  <c:v>297</c:v>
                </c:pt>
                <c:pt idx="191">
                  <c:v>948</c:v>
                </c:pt>
                <c:pt idx="192">
                  <c:v>959</c:v>
                </c:pt>
                <c:pt idx="193">
                  <c:v>1213</c:v>
                </c:pt>
                <c:pt idx="194">
                  <c:v>1215</c:v>
                </c:pt>
                <c:pt idx="195">
                  <c:v>250</c:v>
                </c:pt>
                <c:pt idx="196">
                  <c:v>250</c:v>
                </c:pt>
                <c:pt idx="197">
                  <c:v>1059</c:v>
                </c:pt>
                <c:pt idx="198">
                  <c:v>133.33333333333334</c:v>
                </c:pt>
                <c:pt idx="199">
                  <c:v>221</c:v>
                </c:pt>
                <c:pt idx="200">
                  <c:v>221</c:v>
                </c:pt>
                <c:pt idx="201">
                  <c:v>1397</c:v>
                </c:pt>
                <c:pt idx="202">
                  <c:v>1397</c:v>
                </c:pt>
                <c:pt idx="203">
                  <c:v>334</c:v>
                </c:pt>
                <c:pt idx="204">
                  <c:v>334</c:v>
                </c:pt>
                <c:pt idx="205">
                  <c:v>298</c:v>
                </c:pt>
                <c:pt idx="206">
                  <c:v>298</c:v>
                </c:pt>
                <c:pt idx="207">
                  <c:v>193</c:v>
                </c:pt>
                <c:pt idx="208">
                  <c:v>279</c:v>
                </c:pt>
                <c:pt idx="209">
                  <c:v>72</c:v>
                </c:pt>
                <c:pt idx="210">
                  <c:v>72</c:v>
                </c:pt>
                <c:pt idx="211">
                  <c:v>3451</c:v>
                </c:pt>
                <c:pt idx="212">
                  <c:v>3451</c:v>
                </c:pt>
                <c:pt idx="213">
                  <c:v>0</c:v>
                </c:pt>
                <c:pt idx="214">
                  <c:v>0</c:v>
                </c:pt>
                <c:pt idx="215">
                  <c:v>362</c:v>
                </c:pt>
                <c:pt idx="216">
                  <c:v>342</c:v>
                </c:pt>
                <c:pt idx="217">
                  <c:v>141</c:v>
                </c:pt>
                <c:pt idx="218">
                  <c:v>141</c:v>
                </c:pt>
                <c:pt idx="219">
                  <c:v>266</c:v>
                </c:pt>
                <c:pt idx="220">
                  <c:v>266</c:v>
                </c:pt>
                <c:pt idx="221">
                  <c:v>1438</c:v>
                </c:pt>
                <c:pt idx="222">
                  <c:v>266.67037037037039</c:v>
                </c:pt>
                <c:pt idx="223">
                  <c:v>116</c:v>
                </c:pt>
                <c:pt idx="224">
                  <c:v>595</c:v>
                </c:pt>
                <c:pt idx="225">
                  <c:v>120</c:v>
                </c:pt>
                <c:pt idx="226">
                  <c:v>101</c:v>
                </c:pt>
                <c:pt idx="227">
                  <c:v>101</c:v>
                </c:pt>
                <c:pt idx="228">
                  <c:v>0</c:v>
                </c:pt>
                <c:pt idx="229">
                  <c:v>200</c:v>
                </c:pt>
                <c:pt idx="230">
                  <c:v>300</c:v>
                </c:pt>
                <c:pt idx="231">
                  <c:v>300</c:v>
                </c:pt>
                <c:pt idx="232">
                  <c:v>182</c:v>
                </c:pt>
                <c:pt idx="233">
                  <c:v>182</c:v>
                </c:pt>
                <c:pt idx="234">
                  <c:v>629</c:v>
                </c:pt>
                <c:pt idx="235">
                  <c:v>432</c:v>
                </c:pt>
                <c:pt idx="236">
                  <c:v>628</c:v>
                </c:pt>
                <c:pt idx="237">
                  <c:v>628</c:v>
                </c:pt>
                <c:pt idx="238">
                  <c:v>174</c:v>
                </c:pt>
                <c:pt idx="239">
                  <c:v>174</c:v>
                </c:pt>
                <c:pt idx="240">
                  <c:v>413</c:v>
                </c:pt>
                <c:pt idx="241">
                  <c:v>275</c:v>
                </c:pt>
                <c:pt idx="242">
                  <c:v>543</c:v>
                </c:pt>
                <c:pt idx="243">
                  <c:v>207</c:v>
                </c:pt>
                <c:pt idx="244">
                  <c:v>268</c:v>
                </c:pt>
                <c:pt idx="245">
                  <c:v>268</c:v>
                </c:pt>
                <c:pt idx="246">
                  <c:v>169</c:v>
                </c:pt>
                <c:pt idx="247">
                  <c:v>121</c:v>
                </c:pt>
                <c:pt idx="248">
                  <c:v>241</c:v>
                </c:pt>
                <c:pt idx="249">
                  <c:v>62</c:v>
                </c:pt>
                <c:pt idx="250">
                  <c:v>186</c:v>
                </c:pt>
                <c:pt idx="251">
                  <c:v>186</c:v>
                </c:pt>
                <c:pt idx="252">
                  <c:v>973</c:v>
                </c:pt>
                <c:pt idx="253">
                  <c:v>1148</c:v>
                </c:pt>
                <c:pt idx="254">
                  <c:v>195</c:v>
                </c:pt>
                <c:pt idx="255">
                  <c:v>195</c:v>
                </c:pt>
                <c:pt idx="256">
                  <c:v>253</c:v>
                </c:pt>
                <c:pt idx="257">
                  <c:v>267</c:v>
                </c:pt>
                <c:pt idx="258">
                  <c:v>319</c:v>
                </c:pt>
                <c:pt idx="259">
                  <c:v>319</c:v>
                </c:pt>
                <c:pt idx="260">
                  <c:v>133</c:v>
                </c:pt>
                <c:pt idx="261">
                  <c:v>733.33333333333337</c:v>
                </c:pt>
                <c:pt idx="262">
                  <c:v>733.33333333333337</c:v>
                </c:pt>
                <c:pt idx="263">
                  <c:v>66.666666666666671</c:v>
                </c:pt>
                <c:pt idx="264">
                  <c:v>66.666666666666671</c:v>
                </c:pt>
                <c:pt idx="265">
                  <c:v>0</c:v>
                </c:pt>
                <c:pt idx="266">
                  <c:v>0</c:v>
                </c:pt>
                <c:pt idx="267">
                  <c:v>66</c:v>
                </c:pt>
                <c:pt idx="268">
                  <c:v>1101</c:v>
                </c:pt>
                <c:pt idx="269">
                  <c:v>1101</c:v>
                </c:pt>
                <c:pt idx="270">
                  <c:v>0</c:v>
                </c:pt>
                <c:pt idx="271">
                  <c:v>32</c:v>
                </c:pt>
                <c:pt idx="272">
                  <c:v>32</c:v>
                </c:pt>
                <c:pt idx="273">
                  <c:v>103</c:v>
                </c:pt>
                <c:pt idx="274">
                  <c:v>203</c:v>
                </c:pt>
                <c:pt idx="275">
                  <c:v>203</c:v>
                </c:pt>
                <c:pt idx="276">
                  <c:v>404</c:v>
                </c:pt>
                <c:pt idx="277">
                  <c:v>127</c:v>
                </c:pt>
                <c:pt idx="278">
                  <c:v>32</c:v>
                </c:pt>
                <c:pt idx="279">
                  <c:v>1600</c:v>
                </c:pt>
                <c:pt idx="280">
                  <c:v>1600</c:v>
                </c:pt>
                <c:pt idx="281">
                  <c:v>0</c:v>
                </c:pt>
                <c:pt idx="282">
                  <c:v>0</c:v>
                </c:pt>
                <c:pt idx="283">
                  <c:v>591</c:v>
                </c:pt>
                <c:pt idx="284">
                  <c:v>591</c:v>
                </c:pt>
                <c:pt idx="285">
                  <c:v>0</c:v>
                </c:pt>
                <c:pt idx="286">
                  <c:v>0</c:v>
                </c:pt>
                <c:pt idx="287">
                  <c:v>0</c:v>
                </c:pt>
                <c:pt idx="288">
                  <c:v>160</c:v>
                </c:pt>
                <c:pt idx="289">
                  <c:v>160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800</c:v>
                </c:pt>
                <c:pt idx="308">
                  <c:v>275</c:v>
                </c:pt>
                <c:pt idx="309">
                  <c:v>276</c:v>
                </c:pt>
                <c:pt idx="310">
                  <c:v>430</c:v>
                </c:pt>
                <c:pt idx="311">
                  <c:v>440</c:v>
                </c:pt>
                <c:pt idx="312">
                  <c:v>0</c:v>
                </c:pt>
                <c:pt idx="313">
                  <c:v>0</c:v>
                </c:pt>
                <c:pt idx="314">
                  <c:v>132</c:v>
                </c:pt>
                <c:pt idx="315">
                  <c:v>132</c:v>
                </c:pt>
                <c:pt idx="316">
                  <c:v>544</c:v>
                </c:pt>
                <c:pt idx="317">
                  <c:v>544</c:v>
                </c:pt>
                <c:pt idx="318">
                  <c:v>0</c:v>
                </c:pt>
                <c:pt idx="319">
                  <c:v>0</c:v>
                </c:pt>
                <c:pt idx="320">
                  <c:v>0</c:v>
                </c:pt>
                <c:pt idx="321">
                  <c:v>0</c:v>
                </c:pt>
                <c:pt idx="322">
                  <c:v>0</c:v>
                </c:pt>
                <c:pt idx="323">
                  <c:v>466</c:v>
                </c:pt>
                <c:pt idx="324">
                  <c:v>0</c:v>
                </c:pt>
                <c:pt idx="325">
                  <c:v>0</c:v>
                </c:pt>
                <c:pt idx="326">
                  <c:v>0</c:v>
                </c:pt>
                <c:pt idx="327">
                  <c:v>0</c:v>
                </c:pt>
                <c:pt idx="328">
                  <c:v>0</c:v>
                </c:pt>
                <c:pt idx="329">
                  <c:v>0</c:v>
                </c:pt>
                <c:pt idx="330">
                  <c:v>0</c:v>
                </c:pt>
                <c:pt idx="331">
                  <c:v>0</c:v>
                </c:pt>
                <c:pt idx="332">
                  <c:v>0</c:v>
                </c:pt>
                <c:pt idx="333">
                  <c:v>0</c:v>
                </c:pt>
                <c:pt idx="334">
                  <c:v>94</c:v>
                </c:pt>
                <c:pt idx="335">
                  <c:v>94</c:v>
                </c:pt>
                <c:pt idx="336">
                  <c:v>344</c:v>
                </c:pt>
                <c:pt idx="337">
                  <c:v>0</c:v>
                </c:pt>
                <c:pt idx="338">
                  <c:v>0</c:v>
                </c:pt>
                <c:pt idx="339">
                  <c:v>0</c:v>
                </c:pt>
                <c:pt idx="340">
                  <c:v>0</c:v>
                </c:pt>
                <c:pt idx="341">
                  <c:v>0</c:v>
                </c:pt>
                <c:pt idx="342">
                  <c:v>0</c:v>
                </c:pt>
                <c:pt idx="343">
                  <c:v>179</c:v>
                </c:pt>
                <c:pt idx="344">
                  <c:v>26</c:v>
                </c:pt>
                <c:pt idx="345">
                  <c:v>26</c:v>
                </c:pt>
                <c:pt idx="346">
                  <c:v>0</c:v>
                </c:pt>
                <c:pt idx="347">
                  <c:v>77</c:v>
                </c:pt>
                <c:pt idx="348">
                  <c:v>221</c:v>
                </c:pt>
                <c:pt idx="349">
                  <c:v>221</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37</c:v>
                </c:pt>
                <c:pt idx="377">
                  <c:v>37</c:v>
                </c:pt>
                <c:pt idx="378">
                  <c:v>0</c:v>
                </c:pt>
                <c:pt idx="379">
                  <c:v>0</c:v>
                </c:pt>
                <c:pt idx="380">
                  <c:v>0</c:v>
                </c:pt>
                <c:pt idx="381">
                  <c:v>0</c:v>
                </c:pt>
                <c:pt idx="382">
                  <c:v>0</c:v>
                </c:pt>
                <c:pt idx="383">
                  <c:v>66.666666666666671</c:v>
                </c:pt>
                <c:pt idx="384">
                  <c:v>66.666666666666671</c:v>
                </c:pt>
                <c:pt idx="385">
                  <c:v>0</c:v>
                </c:pt>
                <c:pt idx="386">
                  <c:v>0</c:v>
                </c:pt>
                <c:pt idx="387">
                  <c:v>0</c:v>
                </c:pt>
                <c:pt idx="388">
                  <c:v>0</c:v>
                </c:pt>
                <c:pt idx="389">
                  <c:v>0</c:v>
                </c:pt>
                <c:pt idx="390">
                  <c:v>0</c:v>
                </c:pt>
                <c:pt idx="391">
                  <c:v>0</c:v>
                </c:pt>
                <c:pt idx="392">
                  <c:v>213</c:v>
                </c:pt>
                <c:pt idx="393">
                  <c:v>0</c:v>
                </c:pt>
                <c:pt idx="394">
                  <c:v>0</c:v>
                </c:pt>
                <c:pt idx="395">
                  <c:v>0</c:v>
                </c:pt>
                <c:pt idx="396">
                  <c:v>0</c:v>
                </c:pt>
                <c:pt idx="397">
                  <c:v>0</c:v>
                </c:pt>
                <c:pt idx="398">
                  <c:v>0</c:v>
                </c:pt>
                <c:pt idx="399">
                  <c:v>0</c:v>
                </c:pt>
                <c:pt idx="400">
                  <c:v>0</c:v>
                </c:pt>
              </c:numCache>
            </c:numRef>
          </c:val>
          <c:extLst>
            <c:ext xmlns:c16="http://schemas.microsoft.com/office/drawing/2014/chart" uri="{C3380CC4-5D6E-409C-BE32-E72D297353CC}">
              <c16:uniqueId val="{00000002-FFE7-4630-AA87-8BB156FFBC38}"/>
            </c:ext>
          </c:extLst>
        </c:ser>
        <c:dLbls>
          <c:showLegendKey val="0"/>
          <c:showVal val="0"/>
          <c:showCatName val="0"/>
          <c:showSerName val="0"/>
          <c:showPercent val="0"/>
          <c:showBubbleSize val="0"/>
        </c:dLbls>
        <c:gapWidth val="100"/>
        <c:axId val="354336040"/>
        <c:axId val="354339176"/>
      </c:barChart>
      <c:catAx>
        <c:axId val="354336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9176"/>
        <c:crosses val="autoZero"/>
        <c:auto val="1"/>
        <c:lblAlgn val="ctr"/>
        <c:lblOffset val="100"/>
        <c:noMultiLvlLbl val="0"/>
      </c:catAx>
      <c:valAx>
        <c:axId val="35433917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6040"/>
        <c:crosses val="autoZero"/>
        <c:crossBetween val="between"/>
      </c:valAx>
      <c:spPr>
        <a:noFill/>
        <a:ln>
          <a:noFill/>
        </a:ln>
        <a:effectLst/>
      </c:spPr>
    </c:plotArea>
    <c:legend>
      <c:legendPos val="r"/>
      <c:layout>
        <c:manualLayout>
          <c:xMode val="edge"/>
          <c:yMode val="edge"/>
          <c:x val="0.71163694784788678"/>
          <c:y val="0.24594587308006438"/>
          <c:w val="0.28836305215211328"/>
          <c:h val="0.268380077867910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Chin  Number of ppl Covered against 2023 HRP targets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HRP!$E$254</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D1D7-4153-9C9E-72479DC73F8A}"/>
              </c:ext>
            </c:extLst>
          </c:dPt>
          <c:dPt>
            <c:idx val="1"/>
            <c:invertIfNegative val="0"/>
            <c:bubble3D val="0"/>
            <c:spPr>
              <a:solidFill>
                <a:srgbClr val="BF9000"/>
              </a:solidFill>
              <a:ln>
                <a:noFill/>
              </a:ln>
              <a:effectLst/>
            </c:spPr>
            <c:extLst>
              <c:ext xmlns:c16="http://schemas.microsoft.com/office/drawing/2014/chart" uri="{C3380CC4-5D6E-409C-BE32-E72D297353CC}">
                <c16:uniqueId val="{00000012-94F1-45DC-BEEE-D687EB4B1985}"/>
              </c:ext>
            </c:extLst>
          </c:dPt>
          <c:dPt>
            <c:idx val="2"/>
            <c:invertIfNegative val="0"/>
            <c:bubble3D val="0"/>
            <c:spPr>
              <a:solidFill>
                <a:srgbClr val="FFFF00"/>
              </a:solidFill>
              <a:ln>
                <a:noFill/>
              </a:ln>
              <a:effectLst/>
            </c:spPr>
            <c:extLst>
              <c:ext xmlns:c16="http://schemas.microsoft.com/office/drawing/2014/chart" uri="{C3380CC4-5D6E-409C-BE32-E72D297353CC}">
                <c16:uniqueId val="{00000015-99D3-4CC4-8A54-53B33EDD96FF}"/>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D1D7-4153-9C9E-72479DC73F8A}"/>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1-D1D7-4153-9C9E-72479DC73F8A}"/>
              </c:ext>
            </c:extLst>
          </c:dPt>
          <c:dPt>
            <c:idx val="5"/>
            <c:invertIfNegative val="0"/>
            <c:bubble3D val="0"/>
            <c:spPr>
              <a:solidFill>
                <a:srgbClr val="0070C0"/>
              </a:solidFill>
              <a:ln>
                <a:noFill/>
              </a:ln>
              <a:effectLst/>
            </c:spPr>
            <c:extLst>
              <c:ext xmlns:c16="http://schemas.microsoft.com/office/drawing/2014/chart" uri="{C3380CC4-5D6E-409C-BE32-E72D297353CC}">
                <c16:uniqueId val="{00000009-27C4-476C-B83C-B98D4B6BD867}"/>
              </c:ext>
            </c:extLst>
          </c:dPt>
          <c:dLbls>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1-D1D7-4153-9C9E-72479DC73F8A}"/>
                </c:ext>
              </c:extLst>
            </c:dLbl>
            <c:dLbl>
              <c:idx val="5"/>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9-27C4-476C-B83C-B98D4B6BD86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HRP!$C$255:$C$260</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HRP!$E$255:$E$260</c:f>
              <c:numCache>
                <c:formatCode>_(* #,##0_);_(* \(#,##0\);_(* "-"??_);_(@_)</c:formatCode>
                <c:ptCount val="6"/>
                <c:pt idx="0">
                  <c:v>0</c:v>
                </c:pt>
                <c:pt idx="1">
                  <c:v>0</c:v>
                </c:pt>
                <c:pt idx="2">
                  <c:v>0</c:v>
                </c:pt>
                <c:pt idx="3">
                  <c:v>14886</c:v>
                </c:pt>
                <c:pt idx="4">
                  <c:v>31175</c:v>
                </c:pt>
                <c:pt idx="5">
                  <c:v>14831</c:v>
                </c:pt>
              </c:numCache>
            </c:numRef>
          </c:val>
          <c:extLst>
            <c:ext xmlns:c16="http://schemas.microsoft.com/office/drawing/2014/chart" uri="{C3380CC4-5D6E-409C-BE32-E72D297353CC}">
              <c16:uniqueId val="{00000008-E8A8-4037-987C-1EFA4CA8A785}"/>
            </c:ext>
          </c:extLst>
        </c:ser>
        <c:ser>
          <c:idx val="1"/>
          <c:order val="1"/>
          <c:tx>
            <c:strRef>
              <c:f>HRP!$F$254</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11-94F1-45DC-BEEE-D687EB4B1985}"/>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1B-B153-496E-B306-AB2439AFB04C}"/>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6-D1D7-4153-9C9E-72479DC73F8A}"/>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4-D1D7-4153-9C9E-72479DC73F8A}"/>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2-D1D7-4153-9C9E-72479DC73F8A}"/>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3-27C4-476C-B83C-B98D4B6BD867}"/>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HRP!$C$255:$C$260</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HRP!$F$255:$F$260</c:f>
              <c:numCache>
                <c:formatCode>_(* #,##0_);_(* \(#,##0\);_(* "-"??_);_(@_)</c:formatCode>
                <c:ptCount val="6"/>
                <c:pt idx="0">
                  <c:v>3987.4500000000003</c:v>
                </c:pt>
                <c:pt idx="1">
                  <c:v>6379.92</c:v>
                </c:pt>
                <c:pt idx="2">
                  <c:v>8516.9083369622222</c:v>
                </c:pt>
                <c:pt idx="3">
                  <c:v>75703.166739244407</c:v>
                </c:pt>
                <c:pt idx="4">
                  <c:v>54297.123369622204</c:v>
                </c:pt>
                <c:pt idx="5">
                  <c:v>70641.123369622204</c:v>
                </c:pt>
              </c:numCache>
            </c:numRef>
          </c:val>
          <c:extLst>
            <c:ext xmlns:c16="http://schemas.microsoft.com/office/drawing/2014/chart" uri="{C3380CC4-5D6E-409C-BE32-E72D297353CC}">
              <c16:uniqueId val="{00000013-E8A8-4037-987C-1EFA4CA8A785}"/>
            </c:ext>
          </c:extLst>
        </c:ser>
        <c:dLbls>
          <c:showLegendKey val="0"/>
          <c:showVal val="0"/>
          <c:showCatName val="0"/>
          <c:showSerName val="0"/>
          <c:showPercent val="0"/>
          <c:showBubbleSize val="0"/>
        </c:dLbls>
        <c:gapWidth val="150"/>
        <c:overlap val="100"/>
        <c:axId val="390215952"/>
        <c:axId val="390216344"/>
      </c:barChart>
      <c:catAx>
        <c:axId val="39021595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0216344"/>
        <c:crosses val="autoZero"/>
        <c:auto val="1"/>
        <c:lblAlgn val="ctr"/>
        <c:lblOffset val="100"/>
        <c:noMultiLvlLbl val="0"/>
      </c:catAx>
      <c:valAx>
        <c:axId val="39021634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1595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rgbClr val="5B9BD5"/>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44546A"/>
                </a:solidFill>
                <a:latin typeface="+mn-lt"/>
                <a:ea typeface="+mn-ea"/>
                <a:cs typeface="+mn-cs"/>
              </a:defRPr>
            </a:pPr>
            <a:r>
              <a:rPr lang="en-US" sz="1800" b="1" i="0" baseline="0">
                <a:effectLst/>
              </a:rPr>
              <a:t>Sagaing  Number of ppl Covered against 2023 HRP targets</a:t>
            </a:r>
            <a:endParaRPr lang="en-US">
              <a:effectLst/>
            </a:endParaRPr>
          </a:p>
        </c:rich>
      </c:tx>
      <c:layout>
        <c:manualLayout>
          <c:xMode val="edge"/>
          <c:yMode val="edge"/>
          <c:x val="3.4293983013922003E-2"/>
          <c:y val="1.9919485234436714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0.49782009310741099"/>
          <c:y val="0.11094722523192269"/>
          <c:w val="0.46160848402580373"/>
          <c:h val="0.81301726552884035"/>
        </c:manualLayout>
      </c:layout>
      <c:barChart>
        <c:barDir val="bar"/>
        <c:grouping val="percentStacked"/>
        <c:varyColors val="0"/>
        <c:ser>
          <c:idx val="0"/>
          <c:order val="0"/>
          <c:tx>
            <c:strRef>
              <c:f>HRP!$S$254</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B-0847-4BDA-9809-A24C31803654}"/>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9-0847-4BDA-9809-A24C31803654}"/>
              </c:ext>
            </c:extLst>
          </c:dPt>
          <c:dPt>
            <c:idx val="2"/>
            <c:invertIfNegative val="0"/>
            <c:bubble3D val="0"/>
            <c:spPr>
              <a:solidFill>
                <a:srgbClr val="FFFF00"/>
              </a:solidFill>
              <a:ln>
                <a:noFill/>
              </a:ln>
              <a:effectLst/>
            </c:spPr>
            <c:extLst>
              <c:ext xmlns:c16="http://schemas.microsoft.com/office/drawing/2014/chart" uri="{C3380CC4-5D6E-409C-BE32-E72D297353CC}">
                <c16:uniqueId val="{00000007-0847-4BDA-9809-A24C31803654}"/>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0847-4BDA-9809-A24C31803654}"/>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3-0847-4BDA-9809-A24C31803654}"/>
              </c:ext>
            </c:extLst>
          </c:dPt>
          <c:dPt>
            <c:idx val="5"/>
            <c:invertIfNegative val="0"/>
            <c:bubble3D val="0"/>
            <c:spPr>
              <a:solidFill>
                <a:srgbClr val="0070C0"/>
              </a:solidFill>
              <a:ln>
                <a:noFill/>
              </a:ln>
              <a:effectLst/>
            </c:spPr>
            <c:extLst>
              <c:ext xmlns:c16="http://schemas.microsoft.com/office/drawing/2014/chart" uri="{C3380CC4-5D6E-409C-BE32-E72D297353CC}">
                <c16:uniqueId val="{00000001-0847-4BDA-9809-A24C31803654}"/>
              </c:ext>
            </c:extLst>
          </c:dPt>
          <c:dLbls>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7-0847-4BDA-9809-A24C3180365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HRP!$Q$255:$Q$260</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HRP!$S$255:$S$260</c:f>
              <c:numCache>
                <c:formatCode>_(* #,##0_);_(* \(#,##0\);_(* "-"??_);_(@_)</c:formatCode>
                <c:ptCount val="6"/>
                <c:pt idx="0">
                  <c:v>0</c:v>
                </c:pt>
                <c:pt idx="1">
                  <c:v>0</c:v>
                </c:pt>
                <c:pt idx="2">
                  <c:v>0</c:v>
                </c:pt>
                <c:pt idx="3">
                  <c:v>7272</c:v>
                </c:pt>
                <c:pt idx="4">
                  <c:v>43859</c:v>
                </c:pt>
                <c:pt idx="5">
                  <c:v>34872</c:v>
                </c:pt>
              </c:numCache>
            </c:numRef>
          </c:val>
          <c:extLst>
            <c:ext xmlns:c16="http://schemas.microsoft.com/office/drawing/2014/chart" uri="{C3380CC4-5D6E-409C-BE32-E72D297353CC}">
              <c16:uniqueId val="{00000001-CAD5-4496-BE8A-D440D686860E}"/>
            </c:ext>
          </c:extLst>
        </c:ser>
        <c:ser>
          <c:idx val="1"/>
          <c:order val="1"/>
          <c:tx>
            <c:strRef>
              <c:f>HRP!$T$254</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C-0847-4BDA-9809-A24C31803654}"/>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0847-4BDA-9809-A24C31803654}"/>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0847-4BDA-9809-A24C31803654}"/>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6-0847-4BDA-9809-A24C31803654}"/>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0847-4BDA-9809-A24C31803654}"/>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2-0847-4BDA-9809-A24C3180365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HRP!$Q$255:$Q$260</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HRP!$T$255:$T$260</c:f>
              <c:numCache>
                <c:formatCode>_(* #,##0_);_(* \(#,##0\);_(* "-"??_);_(@_)</c:formatCode>
                <c:ptCount val="6"/>
                <c:pt idx="0">
                  <c:v>13989.675000000001</c:v>
                </c:pt>
                <c:pt idx="1">
                  <c:v>22383.48</c:v>
                </c:pt>
                <c:pt idx="2">
                  <c:v>31591.949800117298</c:v>
                </c:pt>
                <c:pt idx="3">
                  <c:v>344773.49600234587</c:v>
                </c:pt>
                <c:pt idx="4">
                  <c:v>130037.33800117296</c:v>
                </c:pt>
                <c:pt idx="5">
                  <c:v>139024.33800117296</c:v>
                </c:pt>
              </c:numCache>
            </c:numRef>
          </c:val>
          <c:extLst>
            <c:ext xmlns:c16="http://schemas.microsoft.com/office/drawing/2014/chart" uri="{C3380CC4-5D6E-409C-BE32-E72D297353CC}">
              <c16:uniqueId val="{00000008-2660-42A2-A9AF-58CA2E072A26}"/>
            </c:ext>
          </c:extLst>
        </c:ser>
        <c:dLbls>
          <c:showLegendKey val="0"/>
          <c:showVal val="0"/>
          <c:showCatName val="0"/>
          <c:showSerName val="0"/>
          <c:showPercent val="0"/>
          <c:showBubbleSize val="0"/>
        </c:dLbls>
        <c:gapWidth val="50"/>
        <c:overlap val="100"/>
        <c:axId val="390221832"/>
        <c:axId val="390222224"/>
      </c:barChart>
      <c:catAx>
        <c:axId val="3902218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0222224"/>
        <c:crosses val="autoZero"/>
        <c:auto val="1"/>
        <c:lblAlgn val="ctr"/>
        <c:lblOffset val="100"/>
        <c:noMultiLvlLbl val="0"/>
      </c:catAx>
      <c:valAx>
        <c:axId val="390222224"/>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2183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44546A"/>
                </a:solidFill>
                <a:latin typeface="+mn-lt"/>
                <a:ea typeface="+mn-ea"/>
                <a:cs typeface="+mn-cs"/>
              </a:defRPr>
            </a:pPr>
            <a:r>
              <a:rPr lang="en-US" sz="1800" b="1" i="0" baseline="0">
                <a:effectLst/>
              </a:rPr>
              <a:t>Magway Number of ppl Covered against 2023 HRP targets</a:t>
            </a:r>
            <a:endParaRPr lang="en-US">
              <a:effectLst/>
            </a:endParaRPr>
          </a:p>
        </c:rich>
      </c:tx>
      <c:layout>
        <c:manualLayout>
          <c:xMode val="edge"/>
          <c:yMode val="edge"/>
          <c:x val="2.8565226209462613E-2"/>
          <c:y val="1.1127372815781869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HRP!$E$266</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B-0847-4BDA-9809-A24C31803654}"/>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9-0847-4BDA-9809-A24C31803654}"/>
              </c:ext>
            </c:extLst>
          </c:dPt>
          <c:dPt>
            <c:idx val="2"/>
            <c:invertIfNegative val="0"/>
            <c:bubble3D val="0"/>
            <c:spPr>
              <a:solidFill>
                <a:srgbClr val="FFFF00"/>
              </a:solidFill>
              <a:ln>
                <a:noFill/>
              </a:ln>
              <a:effectLst/>
            </c:spPr>
            <c:extLst>
              <c:ext xmlns:c16="http://schemas.microsoft.com/office/drawing/2014/chart" uri="{C3380CC4-5D6E-409C-BE32-E72D297353CC}">
                <c16:uniqueId val="{00000007-0847-4BDA-9809-A24C31803654}"/>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0847-4BDA-9809-A24C31803654}"/>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3-0847-4BDA-9809-A24C31803654}"/>
              </c:ext>
            </c:extLst>
          </c:dPt>
          <c:dPt>
            <c:idx val="5"/>
            <c:invertIfNegative val="0"/>
            <c:bubble3D val="0"/>
            <c:spPr>
              <a:solidFill>
                <a:srgbClr val="0070C0"/>
              </a:solidFill>
              <a:ln>
                <a:noFill/>
              </a:ln>
              <a:effectLst/>
            </c:spPr>
            <c:extLst>
              <c:ext xmlns:c16="http://schemas.microsoft.com/office/drawing/2014/chart" uri="{C3380CC4-5D6E-409C-BE32-E72D297353CC}">
                <c16:uniqueId val="{00000001-0847-4BDA-9809-A24C31803654}"/>
              </c:ext>
            </c:extLst>
          </c:dPt>
          <c:dLbls>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7-0847-4BDA-9809-A24C3180365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HRP!$C$267:$C$272</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HRP!$E$267:$E$272</c:f>
              <c:numCache>
                <c:formatCode>_(* #,##0_);_(* \(#,##0\);_(* "-"??_);_(@_)</c:formatCode>
                <c:ptCount val="6"/>
                <c:pt idx="0">
                  <c:v>0</c:v>
                </c:pt>
                <c:pt idx="1">
                  <c:v>0</c:v>
                </c:pt>
                <c:pt idx="2">
                  <c:v>0</c:v>
                </c:pt>
                <c:pt idx="3">
                  <c:v>4621</c:v>
                </c:pt>
                <c:pt idx="4">
                  <c:v>6384</c:v>
                </c:pt>
                <c:pt idx="5">
                  <c:v>8876</c:v>
                </c:pt>
              </c:numCache>
            </c:numRef>
          </c:val>
          <c:extLst>
            <c:ext xmlns:c16="http://schemas.microsoft.com/office/drawing/2014/chart" uri="{C3380CC4-5D6E-409C-BE32-E72D297353CC}">
              <c16:uniqueId val="{00000001-CAD5-4496-BE8A-D440D686860E}"/>
            </c:ext>
          </c:extLst>
        </c:ser>
        <c:ser>
          <c:idx val="1"/>
          <c:order val="1"/>
          <c:tx>
            <c:strRef>
              <c:f>HRP!$F$266</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C-0847-4BDA-9809-A24C31803654}"/>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0847-4BDA-9809-A24C31803654}"/>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0847-4BDA-9809-A24C31803654}"/>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6-0847-4BDA-9809-A24C31803654}"/>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0847-4BDA-9809-A24C31803654}"/>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2-0847-4BDA-9809-A24C3180365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HRP!$C$267:$C$272</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HRP!$F$267:$F$272</c:f>
              <c:numCache>
                <c:formatCode>_(* #,##0_);_(* \(#,##0\);_(* "-"??_);_(@_)</c:formatCode>
                <c:ptCount val="6"/>
                <c:pt idx="0">
                  <c:v>4457.72</c:v>
                </c:pt>
                <c:pt idx="1">
                  <c:v>7132.3520000000008</c:v>
                </c:pt>
                <c:pt idx="2">
                  <c:v>10575.420582273773</c:v>
                </c:pt>
                <c:pt idx="3">
                  <c:v>117733.01164547546</c:v>
                </c:pt>
                <c:pt idx="4">
                  <c:v>54793.00582273773</c:v>
                </c:pt>
                <c:pt idx="5">
                  <c:v>79047.325822737723</c:v>
                </c:pt>
              </c:numCache>
            </c:numRef>
          </c:val>
          <c:extLst>
            <c:ext xmlns:c16="http://schemas.microsoft.com/office/drawing/2014/chart" uri="{C3380CC4-5D6E-409C-BE32-E72D297353CC}">
              <c16:uniqueId val="{00000008-2660-42A2-A9AF-58CA2E072A26}"/>
            </c:ext>
          </c:extLst>
        </c:ser>
        <c:dLbls>
          <c:showLegendKey val="0"/>
          <c:showVal val="0"/>
          <c:showCatName val="0"/>
          <c:showSerName val="0"/>
          <c:showPercent val="0"/>
          <c:showBubbleSize val="0"/>
        </c:dLbls>
        <c:gapWidth val="50"/>
        <c:overlap val="100"/>
        <c:axId val="390221832"/>
        <c:axId val="390222224"/>
      </c:barChart>
      <c:catAx>
        <c:axId val="3902218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0222224"/>
        <c:crosses val="autoZero"/>
        <c:auto val="1"/>
        <c:lblAlgn val="ctr"/>
        <c:lblOffset val="100"/>
        <c:noMultiLvlLbl val="0"/>
      </c:catAx>
      <c:valAx>
        <c:axId val="390222224"/>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2183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rgbClr val="5B9BD5"/>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44546A"/>
                </a:solidFill>
                <a:latin typeface="+mn-lt"/>
                <a:ea typeface="+mn-ea"/>
                <a:cs typeface="+mn-cs"/>
              </a:defRPr>
            </a:pPr>
            <a:r>
              <a:rPr lang="en-US" sz="1800" b="1" i="0" baseline="0">
                <a:effectLst/>
              </a:rPr>
              <a:t>Bago (East) Number of ppl Covered against 2023 HRP targets</a:t>
            </a:r>
            <a:endParaRPr lang="en-US">
              <a:effectLst/>
            </a:endParaRPr>
          </a:p>
        </c:rich>
      </c:tx>
      <c:layout>
        <c:manualLayout>
          <c:xMode val="edge"/>
          <c:yMode val="edge"/>
          <c:x val="0.13382370931663445"/>
          <c:y val="1.422691972224506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HRP!$E$276</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B-0847-4BDA-9809-A24C31803654}"/>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9-0847-4BDA-9809-A24C31803654}"/>
              </c:ext>
            </c:extLst>
          </c:dPt>
          <c:dPt>
            <c:idx val="2"/>
            <c:invertIfNegative val="0"/>
            <c:bubble3D val="0"/>
            <c:spPr>
              <a:solidFill>
                <a:srgbClr val="FFFF00"/>
              </a:solidFill>
              <a:ln>
                <a:noFill/>
              </a:ln>
              <a:effectLst/>
            </c:spPr>
            <c:extLst>
              <c:ext xmlns:c16="http://schemas.microsoft.com/office/drawing/2014/chart" uri="{C3380CC4-5D6E-409C-BE32-E72D297353CC}">
                <c16:uniqueId val="{00000007-0847-4BDA-9809-A24C31803654}"/>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0847-4BDA-9809-A24C31803654}"/>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3-0847-4BDA-9809-A24C31803654}"/>
              </c:ext>
            </c:extLst>
          </c:dPt>
          <c:dPt>
            <c:idx val="5"/>
            <c:invertIfNegative val="0"/>
            <c:bubble3D val="0"/>
            <c:spPr>
              <a:solidFill>
                <a:srgbClr val="0070C0"/>
              </a:solidFill>
              <a:ln>
                <a:noFill/>
              </a:ln>
              <a:effectLst/>
            </c:spPr>
            <c:extLst>
              <c:ext xmlns:c16="http://schemas.microsoft.com/office/drawing/2014/chart" uri="{C3380CC4-5D6E-409C-BE32-E72D297353CC}">
                <c16:uniqueId val="{00000001-0847-4BDA-9809-A24C31803654}"/>
              </c:ext>
            </c:extLst>
          </c:dPt>
          <c:dLbls>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7-0847-4BDA-9809-A24C3180365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HRP!$C$277:$C$282</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HRP!$E$277:$E$282</c:f>
              <c:numCache>
                <c:formatCode>_(* #,##0_);_(* \(#,##0\);_(* "-"??_);_(@_)</c:formatCode>
                <c:ptCount val="6"/>
                <c:pt idx="0">
                  <c:v>0</c:v>
                </c:pt>
                <c:pt idx="1">
                  <c:v>0</c:v>
                </c:pt>
                <c:pt idx="2">
                  <c:v>0</c:v>
                </c:pt>
                <c:pt idx="3">
                  <c:v>846</c:v>
                </c:pt>
                <c:pt idx="4">
                  <c:v>1872</c:v>
                </c:pt>
                <c:pt idx="5">
                  <c:v>1074</c:v>
                </c:pt>
              </c:numCache>
            </c:numRef>
          </c:val>
          <c:extLst>
            <c:ext xmlns:c16="http://schemas.microsoft.com/office/drawing/2014/chart" uri="{C3380CC4-5D6E-409C-BE32-E72D297353CC}">
              <c16:uniqueId val="{00000001-CAD5-4496-BE8A-D440D686860E}"/>
            </c:ext>
          </c:extLst>
        </c:ser>
        <c:ser>
          <c:idx val="1"/>
          <c:order val="1"/>
          <c:tx>
            <c:strRef>
              <c:f>HRP!$F$276</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C-0847-4BDA-9809-A24C31803654}"/>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0847-4BDA-9809-A24C31803654}"/>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0847-4BDA-9809-A24C31803654}"/>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6-0847-4BDA-9809-A24C31803654}"/>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0847-4BDA-9809-A24C31803654}"/>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2-0847-4BDA-9809-A24C3180365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HRP!$C$277:$C$282</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HRP!$F$277:$F$282</c:f>
              <c:numCache>
                <c:formatCode>_(* #,##0_);_(* \(#,##0\);_(* "-"??_);_(@_)</c:formatCode>
                <c:ptCount val="6"/>
                <c:pt idx="0">
                  <c:v>1452.21</c:v>
                </c:pt>
                <c:pt idx="1">
                  <c:v>2323.5360000000001</c:v>
                </c:pt>
                <c:pt idx="2">
                  <c:v>3733.7223083816752</c:v>
                </c:pt>
                <c:pt idx="3">
                  <c:v>44784.246167633508</c:v>
                </c:pt>
                <c:pt idx="4">
                  <c:v>15967.309233526699</c:v>
                </c:pt>
                <c:pt idx="5">
                  <c:v>17872.09385029005</c:v>
                </c:pt>
              </c:numCache>
            </c:numRef>
          </c:val>
          <c:extLst>
            <c:ext xmlns:c16="http://schemas.microsoft.com/office/drawing/2014/chart" uri="{C3380CC4-5D6E-409C-BE32-E72D297353CC}">
              <c16:uniqueId val="{00000008-2660-42A2-A9AF-58CA2E072A26}"/>
            </c:ext>
          </c:extLst>
        </c:ser>
        <c:dLbls>
          <c:showLegendKey val="0"/>
          <c:showVal val="0"/>
          <c:showCatName val="0"/>
          <c:showSerName val="0"/>
          <c:showPercent val="0"/>
          <c:showBubbleSize val="0"/>
        </c:dLbls>
        <c:gapWidth val="50"/>
        <c:overlap val="100"/>
        <c:axId val="390221832"/>
        <c:axId val="390222224"/>
      </c:barChart>
      <c:catAx>
        <c:axId val="3902218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0222224"/>
        <c:crosses val="autoZero"/>
        <c:auto val="1"/>
        <c:lblAlgn val="ctr"/>
        <c:lblOffset val="100"/>
        <c:noMultiLvlLbl val="0"/>
      </c:catAx>
      <c:valAx>
        <c:axId val="390222224"/>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2183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a:p>
            <a:pPr>
              <a:defRPr sz="1400"/>
            </a:pPr>
            <a:r>
              <a:rPr lang="en-US" sz="1400" b="1" i="0" baseline="0">
                <a:effectLst/>
              </a:rPr>
              <a:t>in protracted camps</a:t>
            </a:r>
            <a:endParaRPr lang="en-US" sz="1400">
              <a:effectLst/>
            </a:endParaRPr>
          </a:p>
          <a:p>
            <a:pPr>
              <a:defRPr sz="1400"/>
            </a:pPr>
            <a:r>
              <a:rPr lang="en-US" sz="1400" b="1" i="0" baseline="0">
                <a:effectLst/>
              </a:rPr>
              <a:t>Shan(North)</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Analysis!$H$224</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Analysis!$G$225:$G$227</c:f>
              <c:strCache>
                <c:ptCount val="3"/>
                <c:pt idx="0">
                  <c:v>#HH reached by regular dedicated hygiene promotion</c:v>
                </c:pt>
                <c:pt idx="1">
                  <c:v>#HH with access to Hand Washing Station</c:v>
                </c:pt>
                <c:pt idx="2">
                  <c:v>#HH received standard amount of soap</c:v>
                </c:pt>
              </c:strCache>
            </c:strRef>
          </c:cat>
          <c:val>
            <c:numRef>
              <c:f>Analysis!$H$225:$H$227</c:f>
              <c:numCache>
                <c:formatCode>0</c:formatCode>
                <c:ptCount val="3"/>
                <c:pt idx="0">
                  <c:v>2046.6</c:v>
                </c:pt>
                <c:pt idx="1">
                  <c:v>2145</c:v>
                </c:pt>
                <c:pt idx="2" formatCode="General">
                  <c:v>18</c:v>
                </c:pt>
              </c:numCache>
            </c:numRef>
          </c:val>
          <c:extLst>
            <c:ext xmlns:c16="http://schemas.microsoft.com/office/drawing/2014/chart" uri="{C3380CC4-5D6E-409C-BE32-E72D297353CC}">
              <c16:uniqueId val="{00000000-CBDF-46C4-8398-2F2620566A1B}"/>
            </c:ext>
          </c:extLst>
        </c:ser>
        <c:ser>
          <c:idx val="1"/>
          <c:order val="1"/>
          <c:tx>
            <c:strRef>
              <c:f>Analysis!$I$224</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Analysis!$G$225:$G$227</c:f>
              <c:strCache>
                <c:ptCount val="3"/>
                <c:pt idx="0">
                  <c:v>#HH reached by regular dedicated hygiene promotion</c:v>
                </c:pt>
                <c:pt idx="1">
                  <c:v>#HH with access to Hand Washing Station</c:v>
                </c:pt>
                <c:pt idx="2">
                  <c:v>#HH received standard amount of soap</c:v>
                </c:pt>
              </c:strCache>
            </c:strRef>
          </c:cat>
          <c:val>
            <c:numRef>
              <c:f>Analysis!$I$225:$I$227</c:f>
              <c:numCache>
                <c:formatCode>0</c:formatCode>
                <c:ptCount val="3"/>
                <c:pt idx="0">
                  <c:v>2342.4</c:v>
                </c:pt>
                <c:pt idx="1">
                  <c:v>2244</c:v>
                </c:pt>
                <c:pt idx="2" formatCode="General">
                  <c:v>4371</c:v>
                </c:pt>
              </c:numCache>
            </c:numRef>
          </c:val>
          <c:extLst>
            <c:ext xmlns:c16="http://schemas.microsoft.com/office/drawing/2014/chart" uri="{C3380CC4-5D6E-409C-BE32-E72D297353CC}">
              <c16:uniqueId val="{00000001-CBDF-46C4-8398-2F2620566A1B}"/>
            </c:ext>
          </c:extLst>
        </c:ser>
        <c:dLbls>
          <c:showLegendKey val="0"/>
          <c:showVal val="0"/>
          <c:showCatName val="0"/>
          <c:showSerName val="0"/>
          <c:showPercent val="0"/>
          <c:showBubbleSize val="0"/>
        </c:dLbls>
        <c:gapWidth val="150"/>
        <c:overlap val="100"/>
        <c:axId val="392754056"/>
        <c:axId val="392749744"/>
      </c:barChart>
      <c:catAx>
        <c:axId val="392754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2749744"/>
        <c:crosses val="autoZero"/>
        <c:auto val="1"/>
        <c:lblAlgn val="ctr"/>
        <c:lblOffset val="100"/>
        <c:noMultiLvlLbl val="0"/>
      </c:catAx>
      <c:valAx>
        <c:axId val="39274974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4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Constructed surface water drainage system</a:t>
            </a:r>
          </a:p>
          <a:p>
            <a:pPr>
              <a:defRPr sz="1400"/>
            </a:pPr>
            <a:r>
              <a:rPr lang="en-US" sz="1400"/>
              <a:t> in protracted camps</a:t>
            </a:r>
          </a:p>
          <a:p>
            <a:pPr>
              <a:defRPr sz="1400"/>
            </a:pPr>
            <a:r>
              <a:rPr lang="en-US" sz="1400"/>
              <a:t> Kachin</a:t>
            </a:r>
          </a:p>
        </c:rich>
      </c:tx>
      <c:layout>
        <c:manualLayout>
          <c:xMode val="edge"/>
          <c:yMode val="edge"/>
          <c:x val="0.15073689493992534"/>
          <c:y val="2.826854994414110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Analysis!$B$164</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6EA3-4AE5-BCC7-AFE913165737}"/>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6EA3-4AE5-BCC7-AFE913165737}"/>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6EA3-4AE5-BCC7-AFE913165737}"/>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6EA3-4AE5-BCC7-AFE913165737}"/>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6EA3-4AE5-BCC7-AFE913165737}"/>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6EA3-4AE5-BCC7-AFE91316573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Analysis!$C$163:$F$163</c:f>
              <c:strCache>
                <c:ptCount val="4"/>
                <c:pt idx="0">
                  <c:v>Functional</c:v>
                </c:pt>
                <c:pt idx="1">
                  <c:v>NA</c:v>
                </c:pt>
                <c:pt idx="2">
                  <c:v>Not_Functional</c:v>
                </c:pt>
                <c:pt idx="3">
                  <c:v>Not_inPlace</c:v>
                </c:pt>
              </c:strCache>
            </c:strRef>
          </c:cat>
          <c:val>
            <c:numRef>
              <c:f>Analysis!$C$164:$F$164</c:f>
              <c:numCache>
                <c:formatCode>General</c:formatCode>
                <c:ptCount val="4"/>
                <c:pt idx="0">
                  <c:v>95</c:v>
                </c:pt>
                <c:pt idx="1">
                  <c:v>8</c:v>
                </c:pt>
                <c:pt idx="2">
                  <c:v>5</c:v>
                </c:pt>
                <c:pt idx="3">
                  <c:v>9</c:v>
                </c:pt>
              </c:numCache>
            </c:numRef>
          </c:val>
          <c:extLst>
            <c:ext xmlns:c16="http://schemas.microsoft.com/office/drawing/2014/chart" uri="{C3380CC4-5D6E-409C-BE32-E72D297353CC}">
              <c16:uniqueId val="{00000000-6001-452C-B69E-5437BE745B6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u="none" strike="noStrike" baseline="0">
                <a:effectLst/>
              </a:rPr>
              <a:t>Constructed surface water drainage system </a:t>
            </a:r>
          </a:p>
          <a:p>
            <a:pPr>
              <a:defRPr sz="1400"/>
            </a:pPr>
            <a:r>
              <a:rPr lang="en-US" sz="1400"/>
              <a:t> in protracted camps</a:t>
            </a:r>
          </a:p>
          <a:p>
            <a:pPr>
              <a:defRPr sz="1400"/>
            </a:pPr>
            <a:r>
              <a:rPr lang="en-US" sz="1400"/>
              <a:t>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Analysis!$B$166</c:f>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ED64-4863-9E70-B065B74F7F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ED64-4863-9E70-B065B74F7F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ED64-4863-9E70-B065B74F7F22}"/>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ED64-4863-9E70-B065B74F7F22}"/>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ED64-4863-9E70-B065B74F7F22}"/>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ED64-4863-9E70-B065B74F7F2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Analysis!$C$163:$F$163</c:f>
              <c:strCache>
                <c:ptCount val="4"/>
                <c:pt idx="0">
                  <c:v>Functional</c:v>
                </c:pt>
                <c:pt idx="1">
                  <c:v>NA</c:v>
                </c:pt>
                <c:pt idx="2">
                  <c:v>Not_Functional</c:v>
                </c:pt>
                <c:pt idx="3">
                  <c:v>Not_inPlace</c:v>
                </c:pt>
              </c:strCache>
            </c:strRef>
          </c:cat>
          <c:val>
            <c:numRef>
              <c:f>Analysis!$C$166:$F$166</c:f>
              <c:numCache>
                <c:formatCode>General</c:formatCode>
                <c:ptCount val="4"/>
                <c:pt idx="0">
                  <c:v>8</c:v>
                </c:pt>
                <c:pt idx="1">
                  <c:v>3</c:v>
                </c:pt>
                <c:pt idx="2">
                  <c:v>3</c:v>
                </c:pt>
                <c:pt idx="3">
                  <c:v>10</c:v>
                </c:pt>
              </c:numCache>
            </c:numRef>
          </c:val>
          <c:extLst>
            <c:ext xmlns:c16="http://schemas.microsoft.com/office/drawing/2014/chart" uri="{C3380CC4-5D6E-409C-BE32-E72D297353CC}">
              <c16:uniqueId val="{00000008-ED64-4863-9E70-B065B74F7F2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Provision of solid waste management equipment place Kachin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Analysis!$B$180</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DC22-4C4F-B666-8182F921E260}"/>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DC22-4C4F-B666-8182F921E260}"/>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DC22-4C4F-B666-8182F921E260}"/>
              </c:ext>
            </c:extLst>
          </c:dPt>
          <c:dLbls>
            <c:dLbl>
              <c:idx val="0"/>
              <c:layout>
                <c:manualLayout>
                  <c:x val="-3.2754562354770776E-2"/>
                  <c:y val="0.12284707268734266"/>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C22-4C4F-B666-8182F921E260}"/>
                </c:ext>
              </c:extLst>
            </c:dLbl>
            <c:dLbl>
              <c:idx val="1"/>
              <c:layout>
                <c:manualLayout>
                  <c:x val="-4.8230864853986186E-2"/>
                  <c:y val="0.1449967325512882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C22-4C4F-B666-8182F921E260}"/>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Analysis!$C$179:$E$179</c:f>
              <c:strCache>
                <c:ptCount val="3"/>
                <c:pt idx="0">
                  <c:v>NA</c:v>
                </c:pt>
                <c:pt idx="1">
                  <c:v>No</c:v>
                </c:pt>
                <c:pt idx="2">
                  <c:v>Yes</c:v>
                </c:pt>
              </c:strCache>
            </c:strRef>
          </c:cat>
          <c:val>
            <c:numRef>
              <c:f>Analysis!$C$180:$E$180</c:f>
              <c:numCache>
                <c:formatCode>General</c:formatCode>
                <c:ptCount val="3"/>
                <c:pt idx="0">
                  <c:v>10</c:v>
                </c:pt>
                <c:pt idx="1">
                  <c:v>5</c:v>
                </c:pt>
                <c:pt idx="2">
                  <c:v>104</c:v>
                </c:pt>
              </c:numCache>
            </c:numRef>
          </c:val>
          <c:extLst>
            <c:ext xmlns:c16="http://schemas.microsoft.com/office/drawing/2014/chart" uri="{C3380CC4-5D6E-409C-BE32-E72D297353CC}">
              <c16:uniqueId val="{00000000-50B8-4F99-A838-C4F3FAD0BFE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Analysis!$B$182</c:f>
              <c:strCache>
                <c:ptCount val="1"/>
                <c:pt idx="0">
                  <c:v>Shan (North)</c:v>
                </c:pt>
              </c:strCache>
            </c:strRef>
          </c:tx>
          <c:dPt>
            <c:idx val="0"/>
            <c:bubble3D val="0"/>
            <c:spPr>
              <a:gradFill rotWithShape="1">
                <a:gsLst>
                  <a:gs pos="0">
                    <a:schemeClr val="accent2">
                      <a:shade val="53000"/>
                      <a:satMod val="103000"/>
                      <a:lumMod val="102000"/>
                      <a:tint val="94000"/>
                    </a:schemeClr>
                  </a:gs>
                  <a:gs pos="50000">
                    <a:schemeClr val="accent2">
                      <a:shade val="53000"/>
                      <a:satMod val="110000"/>
                      <a:lumMod val="100000"/>
                      <a:shade val="100000"/>
                    </a:schemeClr>
                  </a:gs>
                  <a:gs pos="100000">
                    <a:schemeClr val="accent2">
                      <a:shade val="53000"/>
                      <a:lumMod val="99000"/>
                      <a:satMod val="120000"/>
                      <a:shade val="78000"/>
                    </a:schemeClr>
                  </a:gs>
                </a:gsLst>
                <a:lin ang="5400000" scaled="0"/>
              </a:gradFill>
              <a:ln>
                <a:noFill/>
              </a:ln>
              <a:effectLst/>
            </c:spPr>
            <c:extLst>
              <c:ext xmlns:c16="http://schemas.microsoft.com/office/drawing/2014/chart" uri="{C3380CC4-5D6E-409C-BE32-E72D297353CC}">
                <c16:uniqueId val="{00000001-5C59-490F-B426-9FB57D35929B}"/>
              </c:ext>
            </c:extLst>
          </c:dPt>
          <c:dPt>
            <c:idx val="1"/>
            <c:bubble3D val="0"/>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extLst>
              <c:ext xmlns:c16="http://schemas.microsoft.com/office/drawing/2014/chart" uri="{C3380CC4-5D6E-409C-BE32-E72D297353CC}">
                <c16:uniqueId val="{00000003-5C59-490F-B426-9FB57D35929B}"/>
              </c:ext>
            </c:extLst>
          </c:dPt>
          <c:dPt>
            <c:idx val="2"/>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5-5C59-490F-B426-9FB57D35929B}"/>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5C59-490F-B426-9FB57D35929B}"/>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5C59-490F-B426-9FB57D35929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Analysis!$C$179:$E$179</c:f>
              <c:strCache>
                <c:ptCount val="3"/>
                <c:pt idx="0">
                  <c:v>NA</c:v>
                </c:pt>
                <c:pt idx="1">
                  <c:v>No</c:v>
                </c:pt>
                <c:pt idx="2">
                  <c:v>Yes</c:v>
                </c:pt>
              </c:strCache>
            </c:strRef>
          </c:cat>
          <c:val>
            <c:numRef>
              <c:f>Analysis!$C$182:$E$182</c:f>
              <c:numCache>
                <c:formatCode>General</c:formatCode>
                <c:ptCount val="3"/>
                <c:pt idx="0">
                  <c:v>7</c:v>
                </c:pt>
                <c:pt idx="1">
                  <c:v>9</c:v>
                </c:pt>
                <c:pt idx="2">
                  <c:v>12</c:v>
                </c:pt>
              </c:numCache>
            </c:numRef>
          </c:val>
          <c:extLst>
            <c:ext xmlns:c16="http://schemas.microsoft.com/office/drawing/2014/chart" uri="{C3380CC4-5D6E-409C-BE32-E72D297353CC}">
              <c16:uniqueId val="{0000000A-5C59-490F-B426-9FB57D35929B}"/>
            </c:ext>
          </c:extLst>
        </c:ser>
        <c:dLbls>
          <c:dLblPos val="bestFit"/>
          <c:showLegendKey val="0"/>
          <c:showVal val="1"/>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44546A"/>
                </a:solidFill>
                <a:latin typeface="+mn-lt"/>
                <a:ea typeface="+mn-ea"/>
                <a:cs typeface="+mn-cs"/>
              </a:defRPr>
            </a:pPr>
            <a:r>
              <a:rPr lang="en-US" sz="1600" b="1" i="0" baseline="0">
                <a:effectLst/>
              </a:rPr>
              <a:t>Number of ppl covered against 2023 HRP targets</a:t>
            </a:r>
            <a:endParaRPr lang="en-US" sz="16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rgbClr val="44546A"/>
                </a:solidFill>
              </a:defRPr>
            </a:pPr>
            <a:r>
              <a:rPr lang="en-US" sz="1600" b="1" i="0" u="none" strike="noStrike" baseline="0">
                <a:effectLst/>
              </a:rPr>
              <a:t>Object 1: (IDPs- protracted+new displacement)</a:t>
            </a:r>
            <a:endParaRPr lang="en-US" sz="1600"/>
          </a:p>
        </c:rich>
      </c:tx>
      <c:layout>
        <c:manualLayout>
          <c:xMode val="edge"/>
          <c:yMode val="edge"/>
          <c:x val="0.30382739254279356"/>
          <c:y val="1.6786409088754787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HRP!$E$183</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B-0847-4BDA-9809-A24C31803654}"/>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9-0847-4BDA-9809-A24C31803654}"/>
              </c:ext>
            </c:extLst>
          </c:dPt>
          <c:dPt>
            <c:idx val="2"/>
            <c:invertIfNegative val="0"/>
            <c:bubble3D val="0"/>
            <c:spPr>
              <a:solidFill>
                <a:srgbClr val="FFFF00"/>
              </a:solidFill>
              <a:ln>
                <a:noFill/>
              </a:ln>
              <a:effectLst/>
            </c:spPr>
            <c:extLst>
              <c:ext xmlns:c16="http://schemas.microsoft.com/office/drawing/2014/chart" uri="{C3380CC4-5D6E-409C-BE32-E72D297353CC}">
                <c16:uniqueId val="{00000007-0847-4BDA-9809-A24C31803654}"/>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0847-4BDA-9809-A24C31803654}"/>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3-0847-4BDA-9809-A24C31803654}"/>
              </c:ext>
            </c:extLst>
          </c:dPt>
          <c:dPt>
            <c:idx val="5"/>
            <c:invertIfNegative val="0"/>
            <c:bubble3D val="0"/>
            <c:spPr>
              <a:solidFill>
                <a:srgbClr val="0070C0"/>
              </a:solidFill>
              <a:ln>
                <a:noFill/>
              </a:ln>
              <a:effectLst/>
            </c:spPr>
            <c:extLst>
              <c:ext xmlns:c16="http://schemas.microsoft.com/office/drawing/2014/chart" uri="{C3380CC4-5D6E-409C-BE32-E72D297353CC}">
                <c16:uniqueId val="{00000001-0847-4BDA-9809-A24C31803654}"/>
              </c:ext>
            </c:extLst>
          </c:dPt>
          <c:dLbls>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7-0847-4BDA-9809-A24C3180365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HRP!$C$184:$C$189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HRP!$E$184:$E$189</c:f>
              <c:numCache>
                <c:formatCode>_(* #,##0_);_(* \(#,##0\);_(* "-"??_);_(@_)</c:formatCode>
                <c:ptCount val="6"/>
                <c:pt idx="0">
                  <c:v>2043</c:v>
                </c:pt>
                <c:pt idx="1">
                  <c:v>27186</c:v>
                </c:pt>
                <c:pt idx="2">
                  <c:v>136506.47</c:v>
                </c:pt>
                <c:pt idx="3">
                  <c:v>368765.01686870598</c:v>
                </c:pt>
                <c:pt idx="4">
                  <c:v>272355</c:v>
                </c:pt>
                <c:pt idx="5">
                  <c:v>437336.33703703701</c:v>
                </c:pt>
              </c:numCache>
            </c:numRef>
          </c:val>
          <c:extLst>
            <c:ext xmlns:c16="http://schemas.microsoft.com/office/drawing/2014/chart" uri="{C3380CC4-5D6E-409C-BE32-E72D297353CC}">
              <c16:uniqueId val="{00000001-CAD5-4496-BE8A-D440D686860E}"/>
            </c:ext>
          </c:extLst>
        </c:ser>
        <c:ser>
          <c:idx val="1"/>
          <c:order val="1"/>
          <c:tx>
            <c:strRef>
              <c:f>HRP!$F$183</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C-0847-4BDA-9809-A24C31803654}"/>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0847-4BDA-9809-A24C31803654}"/>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0847-4BDA-9809-A24C31803654}"/>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6-0847-4BDA-9809-A24C31803654}"/>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0847-4BDA-9809-A24C31803654}"/>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2-0847-4BDA-9809-A24C3180365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HRP!$C$184:$C$189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HRP!$F$184:$F$189</c:f>
              <c:numCache>
                <c:formatCode>_(* #,##0_);_(* \(#,##0\);_(* "-"??_);_(@_)</c:formatCode>
                <c:ptCount val="6"/>
                <c:pt idx="0">
                  <c:v>68081.640000000014</c:v>
                </c:pt>
                <c:pt idx="1">
                  <c:v>78748.290999999997</c:v>
                </c:pt>
                <c:pt idx="2">
                  <c:v>70344.870000000024</c:v>
                </c:pt>
                <c:pt idx="3">
                  <c:v>727051.78313129407</c:v>
                </c:pt>
                <c:pt idx="4">
                  <c:v>437929.70000000007</c:v>
                </c:pt>
                <c:pt idx="5">
                  <c:v>343842.20296296303</c:v>
                </c:pt>
              </c:numCache>
            </c:numRef>
          </c:val>
          <c:extLst>
            <c:ext xmlns:c16="http://schemas.microsoft.com/office/drawing/2014/chart" uri="{C3380CC4-5D6E-409C-BE32-E72D297353CC}">
              <c16:uniqueId val="{00000008-2660-42A2-A9AF-58CA2E072A26}"/>
            </c:ext>
          </c:extLst>
        </c:ser>
        <c:dLbls>
          <c:showLegendKey val="0"/>
          <c:showVal val="0"/>
          <c:showCatName val="0"/>
          <c:showSerName val="0"/>
          <c:showPercent val="0"/>
          <c:showBubbleSize val="0"/>
        </c:dLbls>
        <c:gapWidth val="50"/>
        <c:overlap val="100"/>
        <c:axId val="390221832"/>
        <c:axId val="390222224"/>
      </c:barChart>
      <c:catAx>
        <c:axId val="3902218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0222224"/>
        <c:crosses val="autoZero"/>
        <c:auto val="1"/>
        <c:lblAlgn val="ctr"/>
        <c:lblOffset val="100"/>
        <c:noMultiLvlLbl val="0"/>
      </c:catAx>
      <c:valAx>
        <c:axId val="390222224"/>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2183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[20230728_Myanmar_WASH_4W_2023_Q2_KachinShan_camp_Consolidate.xlsx]Analysis!K_water1</c:name>
    <c:fmtId val="5"/>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Kachin - # people Coverage</a:t>
            </a:r>
            <a:endParaRPr lang="en-US" sz="1200">
              <a:effectLst/>
            </a:endParaRPr>
          </a:p>
          <a:p>
            <a:pPr>
              <a:defRPr sz="1200"/>
            </a:pPr>
            <a:r>
              <a:rPr lang="en-US" sz="1200" b="1" i="0" baseline="0">
                <a:effectLst/>
              </a:rPr>
              <a:t>in protracted camps</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Analysis!$C$42</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Analysis!$B$43:$B$44</c:f>
              <c:strCache>
                <c:ptCount val="2"/>
                <c:pt idx="0">
                  <c:v>GCA</c:v>
                </c:pt>
                <c:pt idx="1">
                  <c:v>NGCA</c:v>
                </c:pt>
              </c:strCache>
            </c:strRef>
          </c:cat>
          <c:val>
            <c:numRef>
              <c:f>Analysis!$C$43:$C$44</c:f>
              <c:numCache>
                <c:formatCode>_(* #,##0_);_(* \(#,##0\);_(* "-"??_);_(@_)</c:formatCode>
                <c:ptCount val="2"/>
                <c:pt idx="0">
                  <c:v>43423</c:v>
                </c:pt>
                <c:pt idx="1">
                  <c:v>15462.337037037039</c:v>
                </c:pt>
              </c:numCache>
            </c:numRef>
          </c:val>
          <c:extLst>
            <c:ext xmlns:c16="http://schemas.microsoft.com/office/drawing/2014/chart" uri="{C3380CC4-5D6E-409C-BE32-E72D297353CC}">
              <c16:uniqueId val="{00000001-98B9-4EBA-9E48-AD7D761A595E}"/>
            </c:ext>
          </c:extLst>
        </c:ser>
        <c:ser>
          <c:idx val="1"/>
          <c:order val="1"/>
          <c:tx>
            <c:strRef>
              <c:f>Analysis!$D$42</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Analysis!$B$43:$B$44</c:f>
              <c:strCache>
                <c:ptCount val="2"/>
                <c:pt idx="0">
                  <c:v>GCA</c:v>
                </c:pt>
                <c:pt idx="1">
                  <c:v>NGCA</c:v>
                </c:pt>
              </c:strCache>
            </c:strRef>
          </c:cat>
          <c:val>
            <c:numRef>
              <c:f>Analysis!$D$43:$D$44</c:f>
              <c:numCache>
                <c:formatCode>_(* #,##0_);_(* \(#,##0\);_(* "-"??_);_(@_)</c:formatCode>
                <c:ptCount val="2"/>
                <c:pt idx="0">
                  <c:v>2894</c:v>
                </c:pt>
                <c:pt idx="1">
                  <c:v>29178.662962962961</c:v>
                </c:pt>
              </c:numCache>
            </c:numRef>
          </c:val>
          <c:extLst>
            <c:ext xmlns:c16="http://schemas.microsoft.com/office/drawing/2014/chart" uri="{C3380CC4-5D6E-409C-BE32-E72D297353CC}">
              <c16:uniqueId val="{00000002-98B9-4EBA-9E48-AD7D761A595E}"/>
            </c:ext>
          </c:extLst>
        </c:ser>
        <c:dLbls>
          <c:dLblPos val="ctr"/>
          <c:showLegendKey val="0"/>
          <c:showVal val="1"/>
          <c:showCatName val="0"/>
          <c:showSerName val="0"/>
          <c:showPercent val="0"/>
          <c:showBubbleSize val="0"/>
        </c:dLbls>
        <c:gapWidth val="150"/>
        <c:overlap val="100"/>
        <c:axId val="392752096"/>
        <c:axId val="392752488"/>
      </c:barChart>
      <c:catAx>
        <c:axId val="3927520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2488"/>
        <c:crosses val="autoZero"/>
        <c:auto val="1"/>
        <c:lblAlgn val="ctr"/>
        <c:lblOffset val="100"/>
        <c:noMultiLvlLbl val="0"/>
      </c:catAx>
      <c:valAx>
        <c:axId val="39275248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20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[20230728_Myanmar_WASH_4W_2023_Q2_KachinShan_camp_Consolidate.xlsx]Analysis!S_water1</c:name>
    <c:fmtId val="6"/>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Shan (North) - Water Point Coverage</a:t>
            </a:r>
            <a:endParaRPr lang="en-US" sz="1200">
              <a:effectLst/>
            </a:endParaRPr>
          </a:p>
          <a:p>
            <a:pPr>
              <a:defRPr sz="1200"/>
            </a:pPr>
            <a:r>
              <a:rPr lang="en-US" sz="1200" b="1" i="0" baseline="0">
                <a:effectLst/>
              </a:rPr>
              <a:t>in protracted camps</a:t>
            </a:r>
            <a:endParaRPr lang="en-US" sz="1200">
              <a:effectLst/>
            </a:endParaRPr>
          </a:p>
        </c:rich>
      </c:tx>
      <c:layout>
        <c:manualLayout>
          <c:xMode val="edge"/>
          <c:yMode val="edge"/>
          <c:x val="0.28129855643044621"/>
          <c:y val="4.15045395590142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Analysis!$J$42</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Analysis!$I$43</c:f>
              <c:strCache>
                <c:ptCount val="1"/>
                <c:pt idx="0">
                  <c:v>GCA</c:v>
                </c:pt>
              </c:strCache>
            </c:strRef>
          </c:cat>
          <c:val>
            <c:numRef>
              <c:f>Analysis!$J$43</c:f>
              <c:numCache>
                <c:formatCode>_(* #,##0_);_(* \(#,##0\);_(* "-"??_);_(@_)</c:formatCode>
                <c:ptCount val="1"/>
                <c:pt idx="0">
                  <c:v>8554</c:v>
                </c:pt>
              </c:numCache>
            </c:numRef>
          </c:val>
          <c:extLst>
            <c:ext xmlns:c16="http://schemas.microsoft.com/office/drawing/2014/chart" uri="{C3380CC4-5D6E-409C-BE32-E72D297353CC}">
              <c16:uniqueId val="{00000001-DC9A-425E-B122-6BC7F6438E69}"/>
            </c:ext>
          </c:extLst>
        </c:ser>
        <c:ser>
          <c:idx val="1"/>
          <c:order val="1"/>
          <c:tx>
            <c:strRef>
              <c:f>Analysis!$K$42</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Analysis!$I$43</c:f>
              <c:strCache>
                <c:ptCount val="1"/>
                <c:pt idx="0">
                  <c:v>GCA</c:v>
                </c:pt>
              </c:strCache>
            </c:strRef>
          </c:cat>
          <c:val>
            <c:numRef>
              <c:f>Analysis!$K$43</c:f>
              <c:numCache>
                <c:formatCode>_(* #,##0_);_(* \(#,##0\);_(* "-"??_);_(@_)</c:formatCode>
                <c:ptCount val="1"/>
                <c:pt idx="0">
                  <c:v>1885</c:v>
                </c:pt>
              </c:numCache>
            </c:numRef>
          </c:val>
          <c:extLst>
            <c:ext xmlns:c16="http://schemas.microsoft.com/office/drawing/2014/chart" uri="{C3380CC4-5D6E-409C-BE32-E72D297353CC}">
              <c16:uniqueId val="{00000002-DC9A-425E-B122-6BC7F6438E69}"/>
            </c:ext>
          </c:extLst>
        </c:ser>
        <c:dLbls>
          <c:dLblPos val="ctr"/>
          <c:showLegendKey val="0"/>
          <c:showVal val="1"/>
          <c:showCatName val="0"/>
          <c:showSerName val="0"/>
          <c:showPercent val="0"/>
          <c:showBubbleSize val="0"/>
        </c:dLbls>
        <c:gapWidth val="150"/>
        <c:overlap val="100"/>
        <c:axId val="395279088"/>
        <c:axId val="395281832"/>
      </c:barChart>
      <c:catAx>
        <c:axId val="3952790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81832"/>
        <c:crosses val="autoZero"/>
        <c:auto val="1"/>
        <c:lblAlgn val="ctr"/>
        <c:lblOffset val="100"/>
        <c:noMultiLvlLbl val="0"/>
      </c:catAx>
      <c:valAx>
        <c:axId val="395281832"/>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7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a:p>
            <a:pPr>
              <a:defRPr sz="1400"/>
            </a:pPr>
            <a:r>
              <a:rPr lang="en-US" sz="1400" b="1" i="0" baseline="0">
                <a:effectLst/>
              </a:rPr>
              <a:t>in protracted camps</a:t>
            </a:r>
          </a:p>
          <a:p>
            <a:pPr>
              <a:defRPr sz="1400"/>
            </a:pPr>
            <a:r>
              <a:rPr lang="en-US" sz="1400" b="1" i="0" baseline="0">
                <a:effectLst/>
              </a:rPr>
              <a:t>Kachin</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Analysis!$C$224</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Analysis!$B$225:$B$226</c:f>
              <c:strCache>
                <c:ptCount val="2"/>
                <c:pt idx="0">
                  <c:v>#HH reached by regular dedicated hygiene promotion</c:v>
                </c:pt>
                <c:pt idx="1">
                  <c:v>#HH with access to Hand Washing Station</c:v>
                </c:pt>
              </c:strCache>
            </c:strRef>
          </c:cat>
          <c:val>
            <c:numRef>
              <c:f>Analysis!$C$225:$C$226</c:f>
              <c:numCache>
                <c:formatCode>0</c:formatCode>
                <c:ptCount val="2"/>
                <c:pt idx="0">
                  <c:v>10848.8</c:v>
                </c:pt>
                <c:pt idx="1">
                  <c:v>9724</c:v>
                </c:pt>
              </c:numCache>
            </c:numRef>
          </c:val>
          <c:extLst>
            <c:ext xmlns:c16="http://schemas.microsoft.com/office/drawing/2014/chart" uri="{C3380CC4-5D6E-409C-BE32-E72D297353CC}">
              <c16:uniqueId val="{00000000-8A12-41BD-89DE-DD9C030FDA43}"/>
            </c:ext>
          </c:extLst>
        </c:ser>
        <c:ser>
          <c:idx val="1"/>
          <c:order val="1"/>
          <c:tx>
            <c:strRef>
              <c:f>Analysis!$D$224</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Analysis!$B$225:$B$226</c:f>
              <c:strCache>
                <c:ptCount val="2"/>
                <c:pt idx="0">
                  <c:v>#HH reached by regular dedicated hygiene promotion</c:v>
                </c:pt>
                <c:pt idx="1">
                  <c:v>#HH with access to Hand Washing Station</c:v>
                </c:pt>
              </c:strCache>
            </c:strRef>
          </c:cat>
          <c:val>
            <c:numRef>
              <c:f>Analysis!$D$225:$D$226</c:f>
              <c:numCache>
                <c:formatCode>0</c:formatCode>
                <c:ptCount val="2"/>
                <c:pt idx="0">
                  <c:v>6506.4000000000015</c:v>
                </c:pt>
                <c:pt idx="1">
                  <c:v>7631.2000000000007</c:v>
                </c:pt>
              </c:numCache>
            </c:numRef>
          </c:val>
          <c:extLst>
            <c:ext xmlns:c16="http://schemas.microsoft.com/office/drawing/2014/chart" uri="{C3380CC4-5D6E-409C-BE32-E72D297353CC}">
              <c16:uniqueId val="{00000001-8A12-41BD-89DE-DD9C030FDA43}"/>
            </c:ext>
          </c:extLst>
        </c:ser>
        <c:dLbls>
          <c:dLblPos val="ctr"/>
          <c:showLegendKey val="0"/>
          <c:showVal val="1"/>
          <c:showCatName val="0"/>
          <c:showSerName val="0"/>
          <c:showPercent val="0"/>
          <c:showBubbleSize val="0"/>
        </c:dLbls>
        <c:gapWidth val="150"/>
        <c:overlap val="100"/>
        <c:axId val="395280264"/>
        <c:axId val="395281048"/>
      </c:barChart>
      <c:catAx>
        <c:axId val="3952802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281048"/>
        <c:crosses val="autoZero"/>
        <c:auto val="1"/>
        <c:lblAlgn val="ctr"/>
        <c:lblOffset val="100"/>
        <c:noMultiLvlLbl val="0"/>
      </c:catAx>
      <c:valAx>
        <c:axId val="3952810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80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layout>
        <c:manualLayout>
          <c:xMode val="edge"/>
          <c:yMode val="edge"/>
          <c:x val="0.29720225664478145"/>
          <c:y val="6.0724757148786172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8242715540023649"/>
          <c:y val="0.12438199410539522"/>
          <c:w val="0.74816781294686108"/>
          <c:h val="0.59480724896107673"/>
        </c:manualLayout>
      </c:layout>
      <c:barChart>
        <c:barDir val="col"/>
        <c:grouping val="stacked"/>
        <c:varyColors val="0"/>
        <c:ser>
          <c:idx val="0"/>
          <c:order val="0"/>
          <c:tx>
            <c:strRef>
              <c:f>Analysis!$B$135</c:f>
              <c:strCache>
                <c:ptCount val="1"/>
                <c:pt idx="0">
                  <c:v> Coverage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Analysis!$C$134:$D$134</c:f>
              <c:strCache>
                <c:ptCount val="2"/>
                <c:pt idx="0">
                  <c:v> # in GCA (20:1) </c:v>
                </c:pt>
                <c:pt idx="1">
                  <c:v> # in NGCA (20:1) </c:v>
                </c:pt>
              </c:strCache>
            </c:strRef>
          </c:cat>
          <c:val>
            <c:numRef>
              <c:f>Analysis!$C$135:$D$135</c:f>
              <c:numCache>
                <c:formatCode>_(* #,##0_);_(* \(#,##0\);_(* "-"??_);_(@_)</c:formatCode>
                <c:ptCount val="2"/>
                <c:pt idx="0">
                  <c:v>2139</c:v>
                </c:pt>
                <c:pt idx="1">
                  <c:v>3439</c:v>
                </c:pt>
              </c:numCache>
            </c:numRef>
          </c:val>
          <c:extLst>
            <c:ext xmlns:c16="http://schemas.microsoft.com/office/drawing/2014/chart" uri="{C3380CC4-5D6E-409C-BE32-E72D297353CC}">
              <c16:uniqueId val="{00000000-11DD-45FB-9A7E-843D5E549A65}"/>
            </c:ext>
          </c:extLst>
        </c:ser>
        <c:ser>
          <c:idx val="1"/>
          <c:order val="1"/>
          <c:tx>
            <c:strRef>
              <c:f>Analysis!$B$136</c:f>
              <c:strCache>
                <c:ptCount val="1"/>
                <c:pt idx="0">
                  <c:v> GAP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Analysis!$C$134:$D$134</c:f>
              <c:strCache>
                <c:ptCount val="2"/>
                <c:pt idx="0">
                  <c:v> # in GCA (20:1) </c:v>
                </c:pt>
                <c:pt idx="1">
                  <c:v> # in NGCA (20:1) </c:v>
                </c:pt>
              </c:strCache>
            </c:strRef>
          </c:cat>
          <c:val>
            <c:numRef>
              <c:f>Analysis!$C$136:$D$136</c:f>
              <c:numCache>
                <c:formatCode>_(* #,##0_);_(* \(#,##0\);_(* "-"??_);_(@_)</c:formatCode>
                <c:ptCount val="2"/>
                <c:pt idx="0">
                  <c:v>154</c:v>
                </c:pt>
                <c:pt idx="1">
                  <c:v>0</c:v>
                </c:pt>
              </c:numCache>
            </c:numRef>
          </c:val>
          <c:extLst>
            <c:ext xmlns:c16="http://schemas.microsoft.com/office/drawing/2014/chart" uri="{C3380CC4-5D6E-409C-BE32-E72D297353CC}">
              <c16:uniqueId val="{00000001-11DD-45FB-9A7E-843D5E549A65}"/>
            </c:ext>
          </c:extLst>
        </c:ser>
        <c:dLbls>
          <c:dLblPos val="ctr"/>
          <c:showLegendKey val="0"/>
          <c:showVal val="1"/>
          <c:showCatName val="0"/>
          <c:showSerName val="0"/>
          <c:showPercent val="0"/>
          <c:showBubbleSize val="0"/>
        </c:dLbls>
        <c:gapWidth val="150"/>
        <c:overlap val="100"/>
        <c:axId val="395450424"/>
        <c:axId val="395455912"/>
      </c:barChart>
      <c:catAx>
        <c:axId val="39545042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5912"/>
        <c:crosses val="autoZero"/>
        <c:auto val="1"/>
        <c:lblAlgn val="ctr"/>
        <c:lblOffset val="100"/>
        <c:noMultiLvlLbl val="0"/>
      </c:catAx>
      <c:valAx>
        <c:axId val="395455912"/>
        <c:scaling>
          <c:orientation val="minMax"/>
          <c:max val="3500"/>
          <c:min val="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0424"/>
        <c:crosses val="autoZero"/>
        <c:crossBetween val="between"/>
      </c:valAx>
      <c:spPr>
        <a:noFill/>
        <a:ln>
          <a:noFill/>
        </a:ln>
        <a:effectLst/>
      </c:spPr>
    </c:plotArea>
    <c:legend>
      <c:legendPos val="b"/>
      <c:layout>
        <c:manualLayout>
          <c:xMode val="edge"/>
          <c:yMode val="edge"/>
          <c:x val="0.302049734490351"/>
          <c:y val="0.87048214494440412"/>
          <c:w val="0.40905918922419376"/>
          <c:h val="0.1295178550555957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Latrines handed over to families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3652480939882514"/>
          <c:y val="0.13587970253718284"/>
          <c:w val="0.89814814814814814"/>
          <c:h val="0.59974688892629069"/>
        </c:manualLayout>
      </c:layout>
      <c:barChart>
        <c:barDir val="col"/>
        <c:grouping val="stacked"/>
        <c:varyColors val="0"/>
        <c:ser>
          <c:idx val="2"/>
          <c:order val="2"/>
          <c:tx>
            <c:strRef>
              <c:f>Analysis!$B$137</c:f>
              <c:strCache>
                <c:ptCount val="1"/>
                <c:pt idx="0">
                  <c:v> Latrines handed over </c:v>
                </c:pt>
              </c:strCache>
            </c:strRef>
          </c:tx>
          <c:spPr>
            <a:solidFill>
              <a:schemeClr val="accent2">
                <a:lumMod val="75000"/>
              </a:schemeClr>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C4E0-415C-A43D-9C28CBB598A7}"/>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EB4B-4449-92F2-CA4E30606CD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Analysis!$C$134:$D$134</c:f>
              <c:strCache>
                <c:ptCount val="2"/>
                <c:pt idx="0">
                  <c:v> # in GCA (20:1) </c:v>
                </c:pt>
                <c:pt idx="1">
                  <c:v> # in NGCA (20:1) </c:v>
                </c:pt>
              </c:strCache>
            </c:strRef>
          </c:cat>
          <c:val>
            <c:numRef>
              <c:f>Analysis!$C$137:$D$137</c:f>
              <c:numCache>
                <c:formatCode>_(* #,##0_);_(* \(#,##0\);_(* "-"??_);_(@_)</c:formatCode>
                <c:ptCount val="2"/>
                <c:pt idx="0">
                  <c:v>604</c:v>
                </c:pt>
                <c:pt idx="1">
                  <c:v>1334</c:v>
                </c:pt>
              </c:numCache>
            </c:numRef>
          </c:val>
          <c:extLst>
            <c:ext xmlns:c16="http://schemas.microsoft.com/office/drawing/2014/chart" uri="{C3380CC4-5D6E-409C-BE32-E72D297353CC}">
              <c16:uniqueId val="{00000000-EDB8-4005-B0CC-AA882CBF326D}"/>
            </c:ext>
          </c:extLst>
        </c:ser>
        <c:ser>
          <c:idx val="3"/>
          <c:order val="3"/>
          <c:tx>
            <c:strRef>
              <c:f>Analysis!$B$138</c:f>
              <c:strCache>
                <c:ptCount val="1"/>
                <c:pt idx="0">
                  <c:v> Latrines not handed over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Analysis!$C$134:$D$134</c:f>
              <c:strCache>
                <c:ptCount val="2"/>
                <c:pt idx="0">
                  <c:v> # in GCA (20:1) </c:v>
                </c:pt>
                <c:pt idx="1">
                  <c:v> # in NGCA (20:1) </c:v>
                </c:pt>
              </c:strCache>
            </c:strRef>
          </c:cat>
          <c:val>
            <c:numRef>
              <c:f>Analysis!$C$138:$D$138</c:f>
              <c:numCache>
                <c:formatCode>_(* #,##0_);_(* \(#,##0\);_(* "-"??_);_(@_)</c:formatCode>
                <c:ptCount val="2"/>
                <c:pt idx="0">
                  <c:v>1689</c:v>
                </c:pt>
                <c:pt idx="1">
                  <c:v>1334</c:v>
                </c:pt>
              </c:numCache>
            </c:numRef>
          </c:val>
          <c:extLst>
            <c:ext xmlns:c16="http://schemas.microsoft.com/office/drawing/2014/chart" uri="{C3380CC4-5D6E-409C-BE32-E72D297353CC}">
              <c16:uniqueId val="{00000001-EDB8-4005-B0CC-AA882CBF326D}"/>
            </c:ext>
          </c:extLst>
        </c:ser>
        <c:dLbls>
          <c:showLegendKey val="0"/>
          <c:showVal val="0"/>
          <c:showCatName val="0"/>
          <c:showSerName val="0"/>
          <c:showPercent val="0"/>
          <c:showBubbleSize val="0"/>
        </c:dLbls>
        <c:gapWidth val="150"/>
        <c:overlap val="100"/>
        <c:axId val="395453560"/>
        <c:axId val="395451600"/>
        <c:extLst>
          <c:ext xmlns:c15="http://schemas.microsoft.com/office/drawing/2012/chart" uri="{02D57815-91ED-43cb-92C2-25804820EDAC}">
            <c15:filteredBarSeries>
              <c15:ser>
                <c:idx val="0"/>
                <c:order val="0"/>
                <c:tx>
                  <c:strRef>
                    <c:extLst>
                      <c:ext uri="{02D57815-91ED-43cb-92C2-25804820EDAC}">
                        <c15:formulaRef>
                          <c15:sqref>Analysis!$B$135</c15:sqref>
                        </c15:formulaRef>
                      </c:ext>
                    </c:extLst>
                    <c:strCache>
                      <c:ptCount val="1"/>
                      <c:pt idx="0">
                        <c:v> Coverage </c:v>
                      </c:pt>
                    </c:strCache>
                  </c:strRef>
                </c:tx>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invertIfNegative val="0"/>
                <c:cat>
                  <c:strRef>
                    <c:extLst>
                      <c:ext uri="{02D57815-91ED-43cb-92C2-25804820EDAC}">
                        <c15:formulaRef>
                          <c15:sqref>Analysis!$C$134:$D$134</c15:sqref>
                        </c15:formulaRef>
                      </c:ext>
                    </c:extLst>
                    <c:strCache>
                      <c:ptCount val="2"/>
                      <c:pt idx="0">
                        <c:v> # in GCA (20:1) </c:v>
                      </c:pt>
                      <c:pt idx="1">
                        <c:v> # in NGCA (20:1) </c:v>
                      </c:pt>
                    </c:strCache>
                  </c:strRef>
                </c:cat>
                <c:val>
                  <c:numRef>
                    <c:extLst>
                      <c:ext uri="{02D57815-91ED-43cb-92C2-25804820EDAC}">
                        <c15:formulaRef>
                          <c15:sqref>Analysis!$C$135:$D$135</c15:sqref>
                        </c15:formulaRef>
                      </c:ext>
                    </c:extLst>
                    <c:numCache>
                      <c:formatCode>_(* #,##0_);_(* \(#,##0\);_(* "-"??_);_(@_)</c:formatCode>
                      <c:ptCount val="2"/>
                      <c:pt idx="0">
                        <c:v>2139</c:v>
                      </c:pt>
                      <c:pt idx="1">
                        <c:v>3439</c:v>
                      </c:pt>
                    </c:numCache>
                  </c:numRef>
                </c:val>
                <c:extLst>
                  <c:ext xmlns:c16="http://schemas.microsoft.com/office/drawing/2014/chart" uri="{C3380CC4-5D6E-409C-BE32-E72D297353CC}">
                    <c16:uniqueId val="{00000000-4E65-4764-B72A-B684BBEB32A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Analysis!$B$136</c15:sqref>
                        </c15:formulaRef>
                      </c:ext>
                    </c:extLst>
                    <c:strCache>
                      <c:ptCount val="1"/>
                      <c:pt idx="0">
                        <c:v> GAP </c:v>
                      </c:pt>
                    </c:strCache>
                  </c:strRef>
                </c:tx>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Analysis!$C$134:$D$134</c15:sqref>
                        </c15:formulaRef>
                      </c:ext>
                    </c:extLst>
                    <c:strCache>
                      <c:ptCount val="2"/>
                      <c:pt idx="0">
                        <c:v> # in GCA (20:1) </c:v>
                      </c:pt>
                      <c:pt idx="1">
                        <c:v> # in NGCA (20:1) </c:v>
                      </c:pt>
                    </c:strCache>
                  </c:strRef>
                </c:cat>
                <c:val>
                  <c:numRef>
                    <c:extLst xmlns:c15="http://schemas.microsoft.com/office/drawing/2012/chart">
                      <c:ext xmlns:c15="http://schemas.microsoft.com/office/drawing/2012/chart" uri="{02D57815-91ED-43cb-92C2-25804820EDAC}">
                        <c15:formulaRef>
                          <c15:sqref>Analysis!$C$136:$D$136</c15:sqref>
                        </c15:formulaRef>
                      </c:ext>
                    </c:extLst>
                    <c:numCache>
                      <c:formatCode>_(* #,##0_);_(* \(#,##0\);_(* "-"??_);_(@_)</c:formatCode>
                      <c:ptCount val="2"/>
                      <c:pt idx="0">
                        <c:v>154</c:v>
                      </c:pt>
                      <c:pt idx="1">
                        <c:v>0</c:v>
                      </c:pt>
                    </c:numCache>
                  </c:numRef>
                </c:val>
                <c:extLst xmlns:c15="http://schemas.microsoft.com/office/drawing/2012/chart">
                  <c:ext xmlns:c16="http://schemas.microsoft.com/office/drawing/2014/chart" uri="{C3380CC4-5D6E-409C-BE32-E72D297353CC}">
                    <c16:uniqueId val="{00000002-4E65-4764-B72A-B684BBEB32AF}"/>
                  </c:ext>
                </c:extLst>
              </c15:ser>
            </c15:filteredBarSeries>
          </c:ext>
        </c:extLst>
      </c:barChart>
      <c:catAx>
        <c:axId val="39545356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1600"/>
        <c:crosses val="autoZero"/>
        <c:auto val="1"/>
        <c:lblAlgn val="ctr"/>
        <c:lblOffset val="100"/>
        <c:noMultiLvlLbl val="0"/>
      </c:catAx>
      <c:valAx>
        <c:axId val="395451600"/>
        <c:scaling>
          <c:orientation val="minMax"/>
          <c:max val="3500"/>
          <c:min val="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3560"/>
        <c:crosses val="autoZero"/>
        <c:crossBetween val="between"/>
      </c:valAx>
      <c:spPr>
        <a:noFill/>
        <a:ln>
          <a:noFill/>
        </a:ln>
        <a:effectLst/>
      </c:spPr>
    </c:plotArea>
    <c:legend>
      <c:legendPos val="b"/>
      <c:layout>
        <c:manualLayout>
          <c:xMode val="edge"/>
          <c:yMode val="edge"/>
          <c:x val="1.8616112254541406E-2"/>
          <c:y val="0.8708280839895014"/>
          <c:w val="0.93504855152966238"/>
          <c:h val="9.2737095363079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repaired and desludged</a:t>
            </a:r>
            <a:endParaRPr lang="en-US" sz="1400">
              <a:effectLst/>
            </a:endParaRPr>
          </a:p>
        </c:rich>
      </c:tx>
      <c:layout>
        <c:manualLayout>
          <c:xMode val="edge"/>
          <c:yMode val="edge"/>
          <c:x val="0.22438476440444949"/>
          <c:y val="1.66666666666666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2936195475565554"/>
          <c:y val="0.13138888888888889"/>
          <c:w val="0.8269872515935508"/>
          <c:h val="0.5111635068569228"/>
        </c:manualLayout>
      </c:layout>
      <c:barChart>
        <c:barDir val="col"/>
        <c:grouping val="clustered"/>
        <c:varyColors val="0"/>
        <c:ser>
          <c:idx val="0"/>
          <c:order val="0"/>
          <c:tx>
            <c:strRef>
              <c:f>Analysis!$B$139</c:f>
              <c:strCache>
                <c:ptCount val="1"/>
                <c:pt idx="0">
                  <c:v> # Operation &amp; maintenance of latrines </c:v>
                </c:pt>
              </c:strCache>
            </c:strRef>
          </c:tx>
          <c:spPr>
            <a:solidFill>
              <a:schemeClr val="accent2">
                <a:lumMod val="75000"/>
              </a:schemeClr>
            </a:solidFill>
            <a:ln>
              <a:noFill/>
            </a:ln>
            <a:effectLst/>
          </c:spPr>
          <c:invertIfNegative val="0"/>
          <c:dLbls>
            <c:dLbl>
              <c:idx val="0"/>
              <c:layout>
                <c:manualLayout>
                  <c:x val="6.5794586193497952E-3"/>
                  <c:y val="9.888861864182035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CF-4E08-8ACC-53561D274419}"/>
                </c:ext>
              </c:extLst>
            </c:dLbl>
            <c:dLbl>
              <c:idx val="1"/>
              <c:layout>
                <c:manualLayout>
                  <c:x val="0"/>
                  <c:y val="0.1038379689584339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CF-4E08-8ACC-53561D27441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Analysis!$C$134:$D$134</c:f>
              <c:strCache>
                <c:ptCount val="2"/>
                <c:pt idx="0">
                  <c:v> # in GCA (20:1) </c:v>
                </c:pt>
                <c:pt idx="1">
                  <c:v> # in NGCA (20:1) </c:v>
                </c:pt>
              </c:strCache>
            </c:strRef>
          </c:cat>
          <c:val>
            <c:numRef>
              <c:f>Analysis!$C$139:$D$139</c:f>
              <c:numCache>
                <c:formatCode>_(* #,##0_);_(* \(#,##0\);_(* "-"??_);_(@_)</c:formatCode>
                <c:ptCount val="2"/>
                <c:pt idx="0">
                  <c:v>155</c:v>
                </c:pt>
                <c:pt idx="1">
                  <c:v>118</c:v>
                </c:pt>
              </c:numCache>
            </c:numRef>
          </c:val>
          <c:extLst>
            <c:ext xmlns:c16="http://schemas.microsoft.com/office/drawing/2014/chart" uri="{C3380CC4-5D6E-409C-BE32-E72D297353CC}">
              <c16:uniqueId val="{00000000-177F-4830-A166-C2511012B919}"/>
            </c:ext>
          </c:extLst>
        </c:ser>
        <c:ser>
          <c:idx val="1"/>
          <c:order val="1"/>
          <c:tx>
            <c:strRef>
              <c:f>Analysis!$B$140</c:f>
              <c:strCache>
                <c:ptCount val="1"/>
                <c:pt idx="0">
                  <c:v> # latrines desludged </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Analysis!$C$134:$D$134</c:f>
              <c:strCache>
                <c:ptCount val="2"/>
                <c:pt idx="0">
                  <c:v> # in GCA (20:1) </c:v>
                </c:pt>
                <c:pt idx="1">
                  <c:v> # in NGCA (20:1) </c:v>
                </c:pt>
              </c:strCache>
            </c:strRef>
          </c:cat>
          <c:val>
            <c:numRef>
              <c:f>Analysis!$C$140:$D$140</c:f>
              <c:numCache>
                <c:formatCode>_(* #,##0_);_(* \(#,##0\);_(* "-"??_);_(@_)</c:formatCode>
                <c:ptCount val="2"/>
                <c:pt idx="0">
                  <c:v>477</c:v>
                </c:pt>
                <c:pt idx="1">
                  <c:v>150</c:v>
                </c:pt>
              </c:numCache>
            </c:numRef>
          </c:val>
          <c:extLst>
            <c:ext xmlns:c16="http://schemas.microsoft.com/office/drawing/2014/chart" uri="{C3380CC4-5D6E-409C-BE32-E72D297353CC}">
              <c16:uniqueId val="{00000001-177F-4830-A166-C2511012B919}"/>
            </c:ext>
          </c:extLst>
        </c:ser>
        <c:dLbls>
          <c:dLblPos val="inEnd"/>
          <c:showLegendKey val="0"/>
          <c:showVal val="1"/>
          <c:showCatName val="0"/>
          <c:showSerName val="0"/>
          <c:showPercent val="0"/>
          <c:showBubbleSize val="0"/>
        </c:dLbls>
        <c:gapWidth val="100"/>
        <c:overlap val="-24"/>
        <c:axId val="395454344"/>
        <c:axId val="395455128"/>
      </c:barChart>
      <c:catAx>
        <c:axId val="395454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5128"/>
        <c:crosses val="autoZero"/>
        <c:auto val="1"/>
        <c:lblAlgn val="ctr"/>
        <c:lblOffset val="100"/>
        <c:noMultiLvlLbl val="0"/>
      </c:catAx>
      <c:valAx>
        <c:axId val="39545512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4344"/>
        <c:crosses val="autoZero"/>
        <c:crossBetween val="between"/>
      </c:valAx>
      <c:spPr>
        <a:noFill/>
        <a:ln>
          <a:noFill/>
        </a:ln>
        <a:effectLst/>
      </c:spPr>
    </c:plotArea>
    <c:legend>
      <c:legendPos val="b"/>
      <c:layout>
        <c:manualLayout>
          <c:xMode val="edge"/>
          <c:yMode val="edge"/>
          <c:x val="0.16094236497862971"/>
          <c:y val="0.76844432080779779"/>
          <c:w val="0.67811527004274053"/>
          <c:h val="0.1934991207536596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5190879986155573"/>
          <c:y val="0.23505772657322385"/>
          <c:w val="0.38808398950131229"/>
          <c:h val="0.71010081436328043"/>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E5B6-42BD-AEB1-651CA93AFD89}"/>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E5B6-42BD-AEB1-651CA93AFD89}"/>
              </c:ext>
            </c:extLst>
          </c:dPt>
          <c:dLbls>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E5B6-42BD-AEB1-651CA93AFD89}"/>
                </c:ext>
              </c:extLst>
            </c:dLbl>
            <c:dLbl>
              <c:idx val="1"/>
              <c:layout>
                <c:manualLayout>
                  <c:x val="-8.9066164212274035E-2"/>
                  <c:y val="5.001114338617836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5B6-42BD-AEB1-651CA93AFD89}"/>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Analysis!$F$134:$F$135</c:f>
              <c:strCache>
                <c:ptCount val="2"/>
                <c:pt idx="0">
                  <c:v>Functioning</c:v>
                </c:pt>
                <c:pt idx="1">
                  <c:v>Not_Functioing</c:v>
                </c:pt>
              </c:strCache>
            </c:strRef>
          </c:cat>
          <c:val>
            <c:numRef>
              <c:f>Analysis!$G$134:$G$135</c:f>
              <c:numCache>
                <c:formatCode>_(* #,##0_);_(* \(#,##0\);_(* "-"??_);_(@_)</c:formatCode>
                <c:ptCount val="2"/>
                <c:pt idx="0">
                  <c:v>5578</c:v>
                </c:pt>
                <c:pt idx="1">
                  <c:v>366</c:v>
                </c:pt>
              </c:numCache>
            </c:numRef>
          </c:val>
          <c:extLst>
            <c:ext xmlns:c16="http://schemas.microsoft.com/office/drawing/2014/chart" uri="{C3380CC4-5D6E-409C-BE32-E72D297353CC}">
              <c16:uniqueId val="{00000006-E5B6-42BD-AEB1-651CA93AFD89}"/>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194079906678329"/>
          <c:y val="0.33213250689701518"/>
          <c:w val="0.28509222805482648"/>
          <c:h val="0.5944137738839984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Analysis!$J$135</c:f>
              <c:strCache>
                <c:ptCount val="1"/>
                <c:pt idx="0">
                  <c:v> Coverage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Analysis!$K$134:$L$134</c15:sqref>
                  </c15:fullRef>
                </c:ext>
              </c:extLst>
              <c:f>Analysis!$K$134</c:f>
              <c:strCache>
                <c:ptCount val="1"/>
                <c:pt idx="0">
                  <c:v> # in GCA (20:1) </c:v>
                </c:pt>
              </c:strCache>
            </c:strRef>
          </c:cat>
          <c:val>
            <c:numRef>
              <c:extLst>
                <c:ext xmlns:c15="http://schemas.microsoft.com/office/drawing/2012/chart" uri="{02D57815-91ED-43cb-92C2-25804820EDAC}">
                  <c15:fullRef>
                    <c15:sqref>Analysis!$K$135:$L$135</c15:sqref>
                  </c15:fullRef>
                </c:ext>
              </c:extLst>
              <c:f>Analysis!$K$135</c:f>
              <c:numCache>
                <c:formatCode>General</c:formatCode>
                <c:ptCount val="1"/>
                <c:pt idx="0" formatCode="_(* #,##0_);_(* \(#,##0\);_(* &quot;-&quot;??_);_(@_)">
                  <c:v>835</c:v>
                </c:pt>
              </c:numCache>
            </c:numRef>
          </c:val>
          <c:extLst>
            <c:ext xmlns:c16="http://schemas.microsoft.com/office/drawing/2014/chart" uri="{C3380CC4-5D6E-409C-BE32-E72D297353CC}">
              <c16:uniqueId val="{00000000-5769-47EB-833D-C7F3A5603476}"/>
            </c:ext>
          </c:extLst>
        </c:ser>
        <c:ser>
          <c:idx val="1"/>
          <c:order val="1"/>
          <c:tx>
            <c:strRef>
              <c:f>Analysis!$J$136</c:f>
              <c:strCache>
                <c:ptCount val="1"/>
                <c:pt idx="0">
                  <c:v> GAP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Analysis!$K$134:$L$134</c15:sqref>
                  </c15:fullRef>
                </c:ext>
              </c:extLst>
              <c:f>Analysis!$K$134</c:f>
              <c:strCache>
                <c:ptCount val="1"/>
                <c:pt idx="0">
                  <c:v> # in GCA (20:1) </c:v>
                </c:pt>
              </c:strCache>
            </c:strRef>
          </c:cat>
          <c:val>
            <c:numRef>
              <c:extLst>
                <c:ext xmlns:c15="http://schemas.microsoft.com/office/drawing/2012/chart" uri="{02D57815-91ED-43cb-92C2-25804820EDAC}">
                  <c15:fullRef>
                    <c15:sqref>Analysis!$K$136:$L$136</c15:sqref>
                  </c15:fullRef>
                </c:ext>
              </c:extLst>
              <c:f>Analysis!$K$136</c:f>
              <c:numCache>
                <c:formatCode>General</c:formatCode>
                <c:ptCount val="1"/>
                <c:pt idx="0" formatCode="_(* #,##0_);_(* \(#,##0\);_(* &quot;-&quot;??_);_(@_)">
                  <c:v>0</c:v>
                </c:pt>
              </c:numCache>
            </c:numRef>
          </c:val>
          <c:extLst>
            <c:ext xmlns:c16="http://schemas.microsoft.com/office/drawing/2014/chart" uri="{C3380CC4-5D6E-409C-BE32-E72D297353CC}">
              <c16:uniqueId val="{00000001-5769-47EB-833D-C7F3A5603476}"/>
            </c:ext>
          </c:extLst>
        </c:ser>
        <c:dLbls>
          <c:dLblPos val="ctr"/>
          <c:showLegendKey val="0"/>
          <c:showVal val="1"/>
          <c:showCatName val="0"/>
          <c:showSerName val="0"/>
          <c:showPercent val="0"/>
          <c:showBubbleSize val="0"/>
        </c:dLbls>
        <c:gapWidth val="150"/>
        <c:overlap val="100"/>
        <c:axId val="395518344"/>
        <c:axId val="395518736"/>
      </c:barChart>
      <c:catAx>
        <c:axId val="3955183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518736"/>
        <c:crosses val="autoZero"/>
        <c:auto val="1"/>
        <c:lblAlgn val="ctr"/>
        <c:lblOffset val="100"/>
        <c:noMultiLvlLbl val="0"/>
      </c:catAx>
      <c:valAx>
        <c:axId val="395518736"/>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518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Latrines handed</a:t>
            </a:r>
            <a:r>
              <a:rPr lang="en-US" sz="1400" baseline="0"/>
              <a:t> over to families</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Analysis!$J$137</c:f>
              <c:strCache>
                <c:ptCount val="1"/>
                <c:pt idx="0">
                  <c:v> Latrines handed over </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Analysis!$K$134:$L$134</c15:sqref>
                  </c15:fullRef>
                </c:ext>
              </c:extLst>
              <c:f>Analysis!$K$134</c:f>
              <c:strCache>
                <c:ptCount val="1"/>
                <c:pt idx="0">
                  <c:v> # in GCA (20:1) </c:v>
                </c:pt>
              </c:strCache>
            </c:strRef>
          </c:cat>
          <c:val>
            <c:numRef>
              <c:extLst>
                <c:ext xmlns:c15="http://schemas.microsoft.com/office/drawing/2012/chart" uri="{02D57815-91ED-43cb-92C2-25804820EDAC}">
                  <c15:fullRef>
                    <c15:sqref>Analysis!$K$137:$L$137</c15:sqref>
                  </c15:fullRef>
                </c:ext>
              </c:extLst>
              <c:f>Analysis!$K$137</c:f>
              <c:numCache>
                <c:formatCode>General</c:formatCode>
                <c:ptCount val="1"/>
                <c:pt idx="0" formatCode="_(* #,##0_);_(* \(#,##0\);_(* &quot;-&quot;??_);_(@_)">
                  <c:v>56</c:v>
                </c:pt>
              </c:numCache>
            </c:numRef>
          </c:val>
          <c:extLst>
            <c:ext xmlns:c16="http://schemas.microsoft.com/office/drawing/2014/chart" uri="{C3380CC4-5D6E-409C-BE32-E72D297353CC}">
              <c16:uniqueId val="{00000000-56C5-41B0-B00A-3A7F63BCC9E4}"/>
            </c:ext>
          </c:extLst>
        </c:ser>
        <c:ser>
          <c:idx val="1"/>
          <c:order val="1"/>
          <c:tx>
            <c:strRef>
              <c:f>Analysis!$J$138</c:f>
              <c:strCache>
                <c:ptCount val="1"/>
                <c:pt idx="0">
                  <c:v> Latrines not handed over </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Analysis!$K$134:$L$134</c15:sqref>
                  </c15:fullRef>
                </c:ext>
              </c:extLst>
              <c:f>Analysis!$K$134</c:f>
              <c:strCache>
                <c:ptCount val="1"/>
                <c:pt idx="0">
                  <c:v> # in GCA (20:1) </c:v>
                </c:pt>
              </c:strCache>
            </c:strRef>
          </c:cat>
          <c:val>
            <c:numRef>
              <c:extLst>
                <c:ext xmlns:c15="http://schemas.microsoft.com/office/drawing/2012/chart" uri="{02D57815-91ED-43cb-92C2-25804820EDAC}">
                  <c15:fullRef>
                    <c15:sqref>Analysis!$K$138:$L$138</c15:sqref>
                  </c15:fullRef>
                </c:ext>
              </c:extLst>
              <c:f>Analysis!$K$138</c:f>
              <c:numCache>
                <c:formatCode>General</c:formatCode>
                <c:ptCount val="1"/>
                <c:pt idx="0" formatCode="_(* #,##0_);_(* \(#,##0\);_(* &quot;-&quot;??_);_(@_)">
                  <c:v>779</c:v>
                </c:pt>
              </c:numCache>
            </c:numRef>
          </c:val>
          <c:extLst>
            <c:ext xmlns:c16="http://schemas.microsoft.com/office/drawing/2014/chart" uri="{C3380CC4-5D6E-409C-BE32-E72D297353CC}">
              <c16:uniqueId val="{00000001-56C5-41B0-B00A-3A7F63BCC9E4}"/>
            </c:ext>
          </c:extLst>
        </c:ser>
        <c:dLbls>
          <c:dLblPos val="ctr"/>
          <c:showLegendKey val="0"/>
          <c:showVal val="1"/>
          <c:showCatName val="0"/>
          <c:showSerName val="0"/>
          <c:showPercent val="0"/>
          <c:showBubbleSize val="0"/>
        </c:dLbls>
        <c:gapWidth val="150"/>
        <c:overlap val="100"/>
        <c:axId val="395515600"/>
        <c:axId val="395514424"/>
      </c:barChart>
      <c:catAx>
        <c:axId val="39551560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514424"/>
        <c:crosses val="autoZero"/>
        <c:auto val="1"/>
        <c:lblAlgn val="ctr"/>
        <c:lblOffset val="100"/>
        <c:noMultiLvlLbl val="0"/>
      </c:catAx>
      <c:valAx>
        <c:axId val="39551442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515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repaired</a:t>
            </a:r>
            <a:r>
              <a:rPr lang="en-US" sz="1400" baseline="0"/>
              <a:t> and desludged</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Analysis!$J$139</c:f>
              <c:strCache>
                <c:ptCount val="1"/>
                <c:pt idx="0">
                  <c:v> # Operation &amp; maintenance </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Analysis!$K$134:$L$134</c15:sqref>
                  </c15:fullRef>
                </c:ext>
              </c:extLst>
              <c:f>Analysis!$K$134</c:f>
              <c:strCache>
                <c:ptCount val="1"/>
                <c:pt idx="0">
                  <c:v> # in GCA (20:1) </c:v>
                </c:pt>
              </c:strCache>
            </c:strRef>
          </c:cat>
          <c:val>
            <c:numRef>
              <c:extLst>
                <c:ext xmlns:c15="http://schemas.microsoft.com/office/drawing/2012/chart" uri="{02D57815-91ED-43cb-92C2-25804820EDAC}">
                  <c15:fullRef>
                    <c15:sqref>Analysis!$K$139:$L$139</c15:sqref>
                  </c15:fullRef>
                </c:ext>
              </c:extLst>
              <c:f>Analysis!$K$139</c:f>
              <c:numCache>
                <c:formatCode>General</c:formatCode>
                <c:ptCount val="1"/>
                <c:pt idx="0" formatCode="_(* #,##0_);_(* \(#,##0\);_(* &quot;-&quot;??_);_(@_)">
                  <c:v>0</c:v>
                </c:pt>
              </c:numCache>
            </c:numRef>
          </c:val>
          <c:extLst>
            <c:ext xmlns:c16="http://schemas.microsoft.com/office/drawing/2014/chart" uri="{C3380CC4-5D6E-409C-BE32-E72D297353CC}">
              <c16:uniqueId val="{00000000-33CE-4B6D-9AB7-C8657740D81A}"/>
            </c:ext>
          </c:extLst>
        </c:ser>
        <c:ser>
          <c:idx val="1"/>
          <c:order val="1"/>
          <c:tx>
            <c:strRef>
              <c:f>Analysis!$J$140</c:f>
              <c:strCache>
                <c:ptCount val="1"/>
                <c:pt idx="0">
                  <c:v> # latrines desludged </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Analysis!$K$134:$L$134</c15:sqref>
                  </c15:fullRef>
                </c:ext>
              </c:extLst>
              <c:f>Analysis!$K$134</c:f>
              <c:strCache>
                <c:ptCount val="1"/>
                <c:pt idx="0">
                  <c:v> # in GCA (20:1) </c:v>
                </c:pt>
              </c:strCache>
            </c:strRef>
          </c:cat>
          <c:val>
            <c:numRef>
              <c:extLst>
                <c:ext xmlns:c15="http://schemas.microsoft.com/office/drawing/2012/chart" uri="{02D57815-91ED-43cb-92C2-25804820EDAC}">
                  <c15:fullRef>
                    <c15:sqref>Analysis!$K$140:$L$140</c15:sqref>
                  </c15:fullRef>
                </c:ext>
              </c:extLst>
              <c:f>Analysis!$K$140</c:f>
              <c:numCache>
                <c:formatCode>General</c:formatCode>
                <c:ptCount val="1"/>
                <c:pt idx="0" formatCode="_(* #,##0_);_(* \(#,##0\);_(* &quot;-&quot;??_);_(@_)">
                  <c:v>0</c:v>
                </c:pt>
              </c:numCache>
            </c:numRef>
          </c:val>
          <c:extLst>
            <c:ext xmlns:c16="http://schemas.microsoft.com/office/drawing/2014/chart" uri="{C3380CC4-5D6E-409C-BE32-E72D297353CC}">
              <c16:uniqueId val="{00000001-33CE-4B6D-9AB7-C8657740D81A}"/>
            </c:ext>
          </c:extLst>
        </c:ser>
        <c:dLbls>
          <c:dLblPos val="ctr"/>
          <c:showLegendKey val="0"/>
          <c:showVal val="1"/>
          <c:showCatName val="0"/>
          <c:showSerName val="0"/>
          <c:showPercent val="0"/>
          <c:showBubbleSize val="0"/>
        </c:dLbls>
        <c:gapWidth val="100"/>
        <c:overlap val="-24"/>
        <c:axId val="395515208"/>
        <c:axId val="395521088"/>
      </c:barChart>
      <c:catAx>
        <c:axId val="3955152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521088"/>
        <c:crosses val="autoZero"/>
        <c:auto val="1"/>
        <c:lblAlgn val="ctr"/>
        <c:lblOffset val="100"/>
        <c:noMultiLvlLbl val="0"/>
      </c:catAx>
      <c:valAx>
        <c:axId val="39552108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515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600" b="1" i="0" baseline="0">
                <a:effectLst/>
              </a:rPr>
              <a:t>Kachin  Number of ppl Covered against 2023 HRP targets</a:t>
            </a:r>
            <a:endParaRPr lang="en-US" sz="16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HRP!$E$201</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D1D7-4153-9C9E-72479DC73F8A}"/>
              </c:ext>
            </c:extLst>
          </c:dPt>
          <c:dPt>
            <c:idx val="1"/>
            <c:invertIfNegative val="0"/>
            <c:bubble3D val="0"/>
            <c:spPr>
              <a:solidFill>
                <a:srgbClr val="BF9000"/>
              </a:solidFill>
              <a:ln>
                <a:noFill/>
              </a:ln>
              <a:effectLst/>
            </c:spPr>
            <c:extLst>
              <c:ext xmlns:c16="http://schemas.microsoft.com/office/drawing/2014/chart" uri="{C3380CC4-5D6E-409C-BE32-E72D297353CC}">
                <c16:uniqueId val="{00000012-94F1-45DC-BEEE-D687EB4B1985}"/>
              </c:ext>
            </c:extLst>
          </c:dPt>
          <c:dPt>
            <c:idx val="2"/>
            <c:invertIfNegative val="0"/>
            <c:bubble3D val="0"/>
            <c:spPr>
              <a:solidFill>
                <a:srgbClr val="FFFF00"/>
              </a:solidFill>
              <a:ln>
                <a:noFill/>
              </a:ln>
              <a:effectLst/>
            </c:spPr>
            <c:extLst>
              <c:ext xmlns:c16="http://schemas.microsoft.com/office/drawing/2014/chart" uri="{C3380CC4-5D6E-409C-BE32-E72D297353CC}">
                <c16:uniqueId val="{00000015-99D3-4CC4-8A54-53B33EDD96FF}"/>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D1D7-4153-9C9E-72479DC73F8A}"/>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1-D1D7-4153-9C9E-72479DC73F8A}"/>
              </c:ext>
            </c:extLst>
          </c:dPt>
          <c:dPt>
            <c:idx val="5"/>
            <c:invertIfNegative val="0"/>
            <c:bubble3D val="0"/>
            <c:spPr>
              <a:solidFill>
                <a:srgbClr val="0070C0"/>
              </a:solidFill>
              <a:ln>
                <a:noFill/>
              </a:ln>
              <a:effectLst/>
            </c:spPr>
            <c:extLst>
              <c:ext xmlns:c16="http://schemas.microsoft.com/office/drawing/2014/chart" uri="{C3380CC4-5D6E-409C-BE32-E72D297353CC}">
                <c16:uniqueId val="{00000009-27C4-476C-B83C-B98D4B6BD867}"/>
              </c:ext>
            </c:extLst>
          </c:dPt>
          <c:dLbls>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1-D1D7-4153-9C9E-72479DC73F8A}"/>
                </c:ext>
              </c:extLst>
            </c:dLbl>
            <c:dLbl>
              <c:idx val="5"/>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9-27C4-476C-B83C-B98D4B6BD86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HRP!$C$202:$C$207</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HRP!$E$202:$E$207</c:f>
              <c:numCache>
                <c:formatCode>_(* #,##0_);_(* \(#,##0\);_(* "-"??_);_(@_)</c:formatCode>
                <c:ptCount val="6"/>
                <c:pt idx="0">
                  <c:v>1993</c:v>
                </c:pt>
                <c:pt idx="1">
                  <c:v>18463</c:v>
                </c:pt>
                <c:pt idx="2">
                  <c:v>23656.75</c:v>
                </c:pt>
                <c:pt idx="3">
                  <c:v>65351</c:v>
                </c:pt>
                <c:pt idx="4">
                  <c:v>71943</c:v>
                </c:pt>
                <c:pt idx="5">
                  <c:v>61368.337037037032</c:v>
                </c:pt>
              </c:numCache>
            </c:numRef>
          </c:val>
          <c:extLst>
            <c:ext xmlns:c16="http://schemas.microsoft.com/office/drawing/2014/chart" uri="{C3380CC4-5D6E-409C-BE32-E72D297353CC}">
              <c16:uniqueId val="{00000008-E8A8-4037-987C-1EFA4CA8A785}"/>
            </c:ext>
          </c:extLst>
        </c:ser>
        <c:ser>
          <c:idx val="1"/>
          <c:order val="1"/>
          <c:tx>
            <c:strRef>
              <c:f>HRP!$F$201</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11-94F1-45DC-BEEE-D687EB4B1985}"/>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17-A7A6-4DCF-BBF0-B9389A90C272}"/>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6-D1D7-4153-9C9E-72479DC73F8A}"/>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4-D1D7-4153-9C9E-72479DC73F8A}"/>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2-D1D7-4153-9C9E-72479DC73F8A}"/>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3-27C4-476C-B83C-B98D4B6BD867}"/>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HRP!$C$202:$C$207</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HRP!$F$202:$F$207</c:f>
              <c:numCache>
                <c:formatCode>_(* #,##0_);_(* \(#,##0\);_(* "-"??_);_(@_)</c:formatCode>
                <c:ptCount val="6"/>
                <c:pt idx="0">
                  <c:v>3328.6800000000003</c:v>
                </c:pt>
                <c:pt idx="3">
                  <c:v>55956.827654495894</c:v>
                </c:pt>
                <c:pt idx="5">
                  <c:v>33490.67679021092</c:v>
                </c:pt>
              </c:numCache>
            </c:numRef>
          </c:val>
          <c:extLst>
            <c:ext xmlns:c16="http://schemas.microsoft.com/office/drawing/2014/chart" uri="{C3380CC4-5D6E-409C-BE32-E72D297353CC}">
              <c16:uniqueId val="{00000013-E8A8-4037-987C-1EFA4CA8A785}"/>
            </c:ext>
          </c:extLst>
        </c:ser>
        <c:dLbls>
          <c:showLegendKey val="0"/>
          <c:showVal val="0"/>
          <c:showCatName val="0"/>
          <c:showSerName val="0"/>
          <c:showPercent val="0"/>
          <c:showBubbleSize val="0"/>
        </c:dLbls>
        <c:gapWidth val="150"/>
        <c:overlap val="100"/>
        <c:axId val="390215952"/>
        <c:axId val="390216344"/>
      </c:barChart>
      <c:catAx>
        <c:axId val="39021595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0216344"/>
        <c:crosses val="autoZero"/>
        <c:auto val="1"/>
        <c:lblAlgn val="ctr"/>
        <c:lblOffset val="100"/>
        <c:noMultiLvlLbl val="0"/>
      </c:catAx>
      <c:valAx>
        <c:axId val="39021634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1595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CB88-47EA-BC4C-384013D44ABC}"/>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CB88-47EA-BC4C-384013D44AB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CB88-47EA-BC4C-384013D44AB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Analysis!$N$133:$N$134</c:f>
              <c:strCache>
                <c:ptCount val="2"/>
                <c:pt idx="0">
                  <c:v>Functioning</c:v>
                </c:pt>
                <c:pt idx="1">
                  <c:v>Not_Functioning</c:v>
                </c:pt>
              </c:strCache>
            </c:strRef>
          </c:cat>
          <c:val>
            <c:numRef>
              <c:f>Analysis!$O$133:$O$134</c:f>
              <c:numCache>
                <c:formatCode>_(* #,##0_);_(* \(#,##0\);_(* "-"??_);_(@_)</c:formatCode>
                <c:ptCount val="2"/>
                <c:pt idx="0">
                  <c:v>835</c:v>
                </c:pt>
                <c:pt idx="1">
                  <c:v>0</c:v>
                </c:pt>
              </c:numCache>
            </c:numRef>
          </c:val>
          <c:extLst>
            <c:ext xmlns:c16="http://schemas.microsoft.com/office/drawing/2014/chart" uri="{C3380CC4-5D6E-409C-BE32-E72D297353CC}">
              <c16:uniqueId val="{00000006-CB88-47EA-BC4C-384013D44ABC}"/>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7864385993735368"/>
          <c:y val="0.36818502966703448"/>
          <c:w val="0.39973435279209069"/>
          <c:h val="0.4202203701822083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Kachin</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Analysis!$C$385</c:f>
              <c:strCache>
                <c:ptCount val="1"/>
                <c:pt idx="0">
                  <c:v>Kachin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05E0-4644-B94D-5EE578900F59}"/>
              </c:ext>
            </c:extLst>
          </c:dPt>
          <c:dPt>
            <c:idx val="1"/>
            <c:invertIfNegative val="0"/>
            <c:bubble3D val="0"/>
            <c:spPr>
              <a:solidFill>
                <a:schemeClr val="accent6">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70B3-445E-A388-5E77EED1F4C2}"/>
              </c:ext>
            </c:extLst>
          </c:dPt>
          <c:dPt>
            <c:idx val="2"/>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4-70B3-445E-A388-5E77EED1F4C2}"/>
              </c:ext>
            </c:extLst>
          </c:dPt>
          <c:dPt>
            <c:idx val="3"/>
            <c:invertIfNegative val="0"/>
            <c:bubble3D val="0"/>
            <c:spPr>
              <a:solidFill>
                <a:srgbClr val="0070C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0014-4D5A-B67A-85A5684664F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Analysis!$D$384:$I$384</c:f>
              <c:strCache>
                <c:ptCount val="6"/>
                <c:pt idx="0">
                  <c:v> # of hand washing stations with sufficient soap in TLS</c:v>
                </c:pt>
                <c:pt idx="1">
                  <c:v># Hygiene Promotion activities (sessions) in TLS</c:v>
                </c:pt>
                <c:pt idx="2">
                  <c:v> # of functioning latrines in TLS/CFS </c:v>
                </c:pt>
                <c:pt idx="3">
                  <c:v># Water points in TLS/CFS</c:v>
                </c:pt>
                <c:pt idx="4">
                  <c:v># Water points in THF</c:v>
                </c:pt>
                <c:pt idx="5">
                  <c:v># of functional latrines in THF</c:v>
                </c:pt>
              </c:strCache>
            </c:strRef>
          </c:cat>
          <c:val>
            <c:numRef>
              <c:f>Analysis!$D$385:$I$385</c:f>
              <c:numCache>
                <c:formatCode>_(* #,##0_);_(* \(#,##0\);_(* "-"??_);_(@_)</c:formatCode>
                <c:ptCount val="6"/>
                <c:pt idx="0">
                  <c:v>85</c:v>
                </c:pt>
                <c:pt idx="1">
                  <c:v>66</c:v>
                </c:pt>
                <c:pt idx="2">
                  <c:v>0</c:v>
                </c:pt>
                <c:pt idx="3">
                  <c:v>61</c:v>
                </c:pt>
                <c:pt idx="4">
                  <c:v>7</c:v>
                </c:pt>
                <c:pt idx="5">
                  <c:v>17.5</c:v>
                </c:pt>
              </c:numCache>
            </c:numRef>
          </c:val>
          <c:extLst>
            <c:ext xmlns:c16="http://schemas.microsoft.com/office/drawing/2014/chart" uri="{C3380CC4-5D6E-409C-BE32-E72D297353CC}">
              <c16:uniqueId val="{00000000-05E0-4644-B94D-5EE578900F59}"/>
            </c:ext>
          </c:extLst>
        </c:ser>
        <c:dLbls>
          <c:showLegendKey val="0"/>
          <c:showVal val="0"/>
          <c:showCatName val="0"/>
          <c:showSerName val="0"/>
          <c:showPercent val="0"/>
          <c:showBubbleSize val="0"/>
        </c:dLbls>
        <c:gapWidth val="115"/>
        <c:overlap val="-20"/>
        <c:axId val="395519520"/>
        <c:axId val="395515992"/>
      </c:barChart>
      <c:catAx>
        <c:axId val="3955195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5992"/>
        <c:crosses val="autoZero"/>
        <c:auto val="1"/>
        <c:lblAlgn val="ctr"/>
        <c:lblOffset val="100"/>
        <c:noMultiLvlLbl val="0"/>
      </c:catAx>
      <c:valAx>
        <c:axId val="395515992"/>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9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Shan</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Analysis!$C$386</c:f>
              <c:strCache>
                <c:ptCount val="1"/>
                <c:pt idx="0">
                  <c:v>Shan (North)</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702F-4689-B178-0039CEEBCF8F}"/>
              </c:ext>
            </c:extLst>
          </c:dPt>
          <c:dPt>
            <c:idx val="1"/>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7411-4C91-9586-0CAC856F90A9}"/>
              </c:ext>
            </c:extLst>
          </c:dPt>
          <c:dPt>
            <c:idx val="2"/>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702F-4689-B178-0039CEEBCF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Analysis!$D$384:$I$384</c:f>
              <c:strCache>
                <c:ptCount val="6"/>
                <c:pt idx="0">
                  <c:v> # of hand washing stations with sufficient soap in TLS</c:v>
                </c:pt>
                <c:pt idx="1">
                  <c:v># Hygiene Promotion activities (sessions) in TLS</c:v>
                </c:pt>
                <c:pt idx="2">
                  <c:v> # of functioning latrines in TLS/CFS </c:v>
                </c:pt>
                <c:pt idx="3">
                  <c:v># Water points in TLS/CFS</c:v>
                </c:pt>
                <c:pt idx="4">
                  <c:v># Water points in THF</c:v>
                </c:pt>
                <c:pt idx="5">
                  <c:v># of functional latrines in THF</c:v>
                </c:pt>
              </c:strCache>
            </c:strRef>
          </c:cat>
          <c:val>
            <c:numRef>
              <c:f>Analysis!$D$386:$I$386</c:f>
              <c:numCache>
                <c:formatCode>_(* #,##0_);_(* \(#,##0\);_(* "-"??_);_(@_)</c:formatCode>
                <c:ptCount val="6"/>
                <c:pt idx="0">
                  <c:v>19</c:v>
                </c:pt>
                <c:pt idx="1">
                  <c:v>0</c:v>
                </c:pt>
                <c:pt idx="2">
                  <c:v>0</c:v>
                </c:pt>
                <c:pt idx="3">
                  <c:v>6</c:v>
                </c:pt>
                <c:pt idx="4">
                  <c:v>0</c:v>
                </c:pt>
                <c:pt idx="5">
                  <c:v>0</c:v>
                </c:pt>
              </c:numCache>
            </c:numRef>
          </c:val>
          <c:extLst>
            <c:ext xmlns:c16="http://schemas.microsoft.com/office/drawing/2014/chart" uri="{C3380CC4-5D6E-409C-BE32-E72D297353CC}">
              <c16:uniqueId val="{00000004-702F-4689-B178-0039CEEBCF8F}"/>
            </c:ext>
          </c:extLst>
        </c:ser>
        <c:dLbls>
          <c:showLegendKey val="0"/>
          <c:showVal val="0"/>
          <c:showCatName val="0"/>
          <c:showSerName val="0"/>
          <c:showPercent val="0"/>
          <c:showBubbleSize val="0"/>
        </c:dLbls>
        <c:gapWidth val="115"/>
        <c:overlap val="-20"/>
        <c:axId val="395521872"/>
        <c:axId val="395517168"/>
      </c:barChart>
      <c:catAx>
        <c:axId val="395521872"/>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7168"/>
        <c:crosses val="autoZero"/>
        <c:auto val="1"/>
        <c:lblAlgn val="ctr"/>
        <c:lblOffset val="100"/>
        <c:noMultiLvlLbl val="0"/>
      </c:catAx>
      <c:valAx>
        <c:axId val="395517168"/>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21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[20230728_Myanmar_WASH_4W_2023_Q2_KachinShan_camp_Consolidate.xlsx]Analysis!K_Geo</c:name>
    <c:fmtId val="10"/>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Kachin - Number of Sites - Coverage/Gaps</a:t>
            </a:r>
            <a:endParaRPr lang="en-US" sz="1400">
              <a:effectLst/>
            </a:endParaRPr>
          </a:p>
        </c:rich>
      </c:tx>
      <c:layout>
        <c:manualLayout>
          <c:xMode val="edge"/>
          <c:yMode val="edge"/>
          <c:x val="0.19549334111013897"/>
          <c:y val="4.897083516734321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875738188976377"/>
          <c:y val="0.23407035114329283"/>
          <c:w val="0.76885553368328952"/>
          <c:h val="0.58652831336492073"/>
        </c:manualLayout>
      </c:layout>
      <c:barChart>
        <c:barDir val="bar"/>
        <c:grouping val="clustered"/>
        <c:varyColors val="0"/>
        <c:ser>
          <c:idx val="0"/>
          <c:order val="0"/>
          <c:tx>
            <c:strRef>
              <c:f>Analysis!$D$298:$D$299</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Analysis!$C$300:$C$303</c:f>
              <c:strCache>
                <c:ptCount val="4"/>
                <c:pt idx="0">
                  <c:v>Camp</c:v>
                </c:pt>
                <c:pt idx="1">
                  <c:v>Camp_not registered</c:v>
                </c:pt>
                <c:pt idx="2">
                  <c:v>Relocated</c:v>
                </c:pt>
                <c:pt idx="3">
                  <c:v>Extenshion_camp</c:v>
                </c:pt>
              </c:strCache>
            </c:strRef>
          </c:cat>
          <c:val>
            <c:numRef>
              <c:f>Analysis!$D$300:$D$303</c:f>
              <c:numCache>
                <c:formatCode>General</c:formatCode>
                <c:ptCount val="4"/>
                <c:pt idx="0">
                  <c:v>109</c:v>
                </c:pt>
                <c:pt idx="1">
                  <c:v>2</c:v>
                </c:pt>
                <c:pt idx="3">
                  <c:v>8</c:v>
                </c:pt>
              </c:numCache>
            </c:numRef>
          </c:val>
          <c:extLst>
            <c:ext xmlns:c16="http://schemas.microsoft.com/office/drawing/2014/chart" uri="{C3380CC4-5D6E-409C-BE32-E72D297353CC}">
              <c16:uniqueId val="{00000001-7E2D-4FEA-8D34-C1D9EA8EBC52}"/>
            </c:ext>
          </c:extLst>
        </c:ser>
        <c:ser>
          <c:idx val="1"/>
          <c:order val="1"/>
          <c:tx>
            <c:strRef>
              <c:f>Analysis!$E$298:$E$299</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Analysis!$C$300:$C$303</c:f>
              <c:strCache>
                <c:ptCount val="4"/>
                <c:pt idx="0">
                  <c:v>Camp</c:v>
                </c:pt>
                <c:pt idx="1">
                  <c:v>Camp_not registered</c:v>
                </c:pt>
                <c:pt idx="2">
                  <c:v>Relocated</c:v>
                </c:pt>
                <c:pt idx="3">
                  <c:v>Extenshion_camp</c:v>
                </c:pt>
              </c:strCache>
            </c:strRef>
          </c:cat>
          <c:val>
            <c:numRef>
              <c:f>Analysis!$E$300:$E$303</c:f>
              <c:numCache>
                <c:formatCode>General</c:formatCode>
                <c:ptCount val="4"/>
                <c:pt idx="0">
                  <c:v>23</c:v>
                </c:pt>
                <c:pt idx="2">
                  <c:v>1</c:v>
                </c:pt>
              </c:numCache>
            </c:numRef>
          </c:val>
          <c:extLst>
            <c:ext xmlns:c16="http://schemas.microsoft.com/office/drawing/2014/chart" uri="{C3380CC4-5D6E-409C-BE32-E72D297353CC}">
              <c16:uniqueId val="{00000001-5A76-42F0-9461-42BCC992FB49}"/>
            </c:ext>
          </c:extLst>
        </c:ser>
        <c:dLbls>
          <c:showLegendKey val="0"/>
          <c:showVal val="0"/>
          <c:showCatName val="0"/>
          <c:showSerName val="0"/>
          <c:showPercent val="0"/>
          <c:showBubbleSize val="0"/>
        </c:dLbls>
        <c:gapWidth val="50"/>
        <c:axId val="395626848"/>
        <c:axId val="395621752"/>
      </c:barChart>
      <c:catAx>
        <c:axId val="39562684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1752"/>
        <c:crosses val="autoZero"/>
        <c:auto val="1"/>
        <c:lblAlgn val="ctr"/>
        <c:lblOffset val="100"/>
        <c:noMultiLvlLbl val="0"/>
      </c:catAx>
      <c:valAx>
        <c:axId val="395621752"/>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6848"/>
        <c:crosses val="autoZero"/>
        <c:crossBetween val="between"/>
      </c:valAx>
      <c:spPr>
        <a:noFill/>
        <a:ln>
          <a:noFill/>
        </a:ln>
        <a:effectLst/>
      </c:spPr>
    </c:plotArea>
    <c:legend>
      <c:legendPos val="r"/>
      <c:layout>
        <c:manualLayout>
          <c:xMode val="edge"/>
          <c:yMode val="edge"/>
          <c:x val="0.85701662292213476"/>
          <c:y val="0.29254560571232946"/>
          <c:w val="0.12469711519110349"/>
          <c:h val="0.1375424381238618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[20230728_Myanmar_WASH_4W_2023_Q2_KachinShan_camp_Consolidate.xlsx]Analysis!S_Geo</c:name>
    <c:fmtId val="16"/>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a:t>Shan - Number of Sites - Coverage/Gaps</a:t>
            </a:r>
          </a:p>
        </c:rich>
      </c:tx>
      <c:layout>
        <c:manualLayout>
          <c:xMode val="edge"/>
          <c:yMode val="edge"/>
          <c:x val="0.23635039267117552"/>
          <c:y val="5.116106046878453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0336753277183592"/>
          <c:y val="0.2017504968066309"/>
          <c:w val="0.75360974690749882"/>
          <c:h val="0.58889356005193771"/>
        </c:manualLayout>
      </c:layout>
      <c:barChart>
        <c:barDir val="bar"/>
        <c:grouping val="clustered"/>
        <c:varyColors val="0"/>
        <c:ser>
          <c:idx val="0"/>
          <c:order val="0"/>
          <c:tx>
            <c:strRef>
              <c:f>Analysis!$I$299:$I$300</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Analysis!$H$301:$H$302</c:f>
              <c:strCache>
                <c:ptCount val="2"/>
                <c:pt idx="0">
                  <c:v>Camp</c:v>
                </c:pt>
                <c:pt idx="1">
                  <c:v>Relocated</c:v>
                </c:pt>
              </c:strCache>
            </c:strRef>
          </c:cat>
          <c:val>
            <c:numRef>
              <c:f>Analysis!$I$301:$I$302</c:f>
              <c:numCache>
                <c:formatCode>General</c:formatCode>
                <c:ptCount val="2"/>
                <c:pt idx="0">
                  <c:v>28</c:v>
                </c:pt>
              </c:numCache>
            </c:numRef>
          </c:val>
          <c:extLst>
            <c:ext xmlns:c16="http://schemas.microsoft.com/office/drawing/2014/chart" uri="{C3380CC4-5D6E-409C-BE32-E72D297353CC}">
              <c16:uniqueId val="{00000001-5D5A-48C2-8608-E25F5EEB8D23}"/>
            </c:ext>
          </c:extLst>
        </c:ser>
        <c:ser>
          <c:idx val="1"/>
          <c:order val="1"/>
          <c:tx>
            <c:strRef>
              <c:f>Analysis!$J$299:$J$300</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Analysis!$H$301:$H$302</c:f>
              <c:strCache>
                <c:ptCount val="2"/>
                <c:pt idx="0">
                  <c:v>Camp</c:v>
                </c:pt>
                <c:pt idx="1">
                  <c:v>Relocated</c:v>
                </c:pt>
              </c:strCache>
            </c:strRef>
          </c:cat>
          <c:val>
            <c:numRef>
              <c:f>Analysis!$J$301:$J$302</c:f>
              <c:numCache>
                <c:formatCode>General</c:formatCode>
                <c:ptCount val="2"/>
                <c:pt idx="0">
                  <c:v>15</c:v>
                </c:pt>
                <c:pt idx="1">
                  <c:v>2</c:v>
                </c:pt>
              </c:numCache>
            </c:numRef>
          </c:val>
          <c:extLst>
            <c:ext xmlns:c16="http://schemas.microsoft.com/office/drawing/2014/chart" uri="{C3380CC4-5D6E-409C-BE32-E72D297353CC}">
              <c16:uniqueId val="{00000002-5D5A-48C2-8608-E25F5EEB8D23}"/>
            </c:ext>
          </c:extLst>
        </c:ser>
        <c:dLbls>
          <c:showLegendKey val="0"/>
          <c:showVal val="0"/>
          <c:showCatName val="0"/>
          <c:showSerName val="0"/>
          <c:showPercent val="0"/>
          <c:showBubbleSize val="0"/>
        </c:dLbls>
        <c:gapWidth val="100"/>
        <c:axId val="395622144"/>
        <c:axId val="395627240"/>
      </c:barChart>
      <c:catAx>
        <c:axId val="39562214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7240"/>
        <c:crosses val="autoZero"/>
        <c:auto val="1"/>
        <c:lblAlgn val="ctr"/>
        <c:lblOffset val="100"/>
        <c:noMultiLvlLbl val="0"/>
      </c:catAx>
      <c:valAx>
        <c:axId val="395627240"/>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2144"/>
        <c:crosses val="autoZero"/>
        <c:crossBetween val="between"/>
      </c:valAx>
      <c:spPr>
        <a:noFill/>
        <a:ln>
          <a:noFill/>
        </a:ln>
        <a:effectLst/>
      </c:spPr>
    </c:plotArea>
    <c:legend>
      <c:legendPos val="r"/>
      <c:layout>
        <c:manualLayout>
          <c:xMode val="edge"/>
          <c:yMode val="edge"/>
          <c:x val="0.82983209802781255"/>
          <c:y val="0.27349499223044882"/>
          <c:w val="0.14939418719310724"/>
          <c:h val="0.1780905240484149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[20230728_Myanmar_WASH_4W_2023_Q2_KachinShan_camp_Consolidate.xlsx]Analysis!W_K_C_G_C</c:name>
    <c:fmtId val="28"/>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WATER Coverage VS GAP in protracted camps</a:t>
            </a:r>
            <a:endParaRPr lang="en-US" sz="1400">
              <a:effectLst/>
            </a:endParaRPr>
          </a:p>
          <a:p>
            <a:pPr>
              <a:defRPr sz="1400"/>
            </a:pPr>
            <a:r>
              <a:rPr lang="en-US" sz="1400" b="1" i="0" baseline="0">
                <a:effectLst/>
              </a:rPr>
              <a:t>in Kachin</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pivotFmt>
      <c:pivotFmt>
        <c:idx val="4"/>
      </c:pivotFmt>
      <c:pivotFmt>
        <c:idx val="5"/>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lumMod val="40000"/>
              <a:lumOff val="60000"/>
            </a:schemeClr>
          </a:solidFill>
          <a:ln>
            <a:noFill/>
          </a:ln>
          <a:effectLst/>
        </c:spPr>
      </c:pivotFmt>
    </c:pivotFmts>
    <c:plotArea>
      <c:layout/>
      <c:barChart>
        <c:barDir val="col"/>
        <c:grouping val="percentStacked"/>
        <c:varyColors val="0"/>
        <c:ser>
          <c:idx val="0"/>
          <c:order val="0"/>
          <c:tx>
            <c:strRef>
              <c:f>Analysis!$C$84</c:f>
              <c:strCache>
                <c:ptCount val="1"/>
                <c:pt idx="0">
                  <c:v> % Water 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Analysis!$B$85:$B$97</c:f>
              <c:strCache>
                <c:ptCount val="13"/>
                <c:pt idx="0">
                  <c:v>Bhamo</c:v>
                </c:pt>
                <c:pt idx="1">
                  <c:v>Chipwi</c:v>
                </c:pt>
                <c:pt idx="2">
                  <c:v>Hpakant</c:v>
                </c:pt>
                <c:pt idx="3">
                  <c:v>Injangyang</c:v>
                </c:pt>
                <c:pt idx="4">
                  <c:v>Mansi</c:v>
                </c:pt>
                <c:pt idx="5">
                  <c:v>Mogaung</c:v>
                </c:pt>
                <c:pt idx="6">
                  <c:v>Mohnyin</c:v>
                </c:pt>
                <c:pt idx="7">
                  <c:v>Momauk</c:v>
                </c:pt>
                <c:pt idx="8">
                  <c:v>Myitkyina</c:v>
                </c:pt>
                <c:pt idx="9">
                  <c:v>Shwegu</c:v>
                </c:pt>
                <c:pt idx="10">
                  <c:v>Sumprabum</c:v>
                </c:pt>
                <c:pt idx="11">
                  <c:v>Tanai</c:v>
                </c:pt>
                <c:pt idx="12">
                  <c:v>Waingmaw</c:v>
                </c:pt>
              </c:strCache>
            </c:strRef>
          </c:cat>
          <c:val>
            <c:numRef>
              <c:f>Analysis!$C$85:$C$97</c:f>
              <c:numCache>
                <c:formatCode>0%</c:formatCode>
                <c:ptCount val="13"/>
                <c:pt idx="0">
                  <c:v>0.94779245891073161</c:v>
                </c:pt>
                <c:pt idx="1">
                  <c:v>0.64314164799601703</c:v>
                </c:pt>
                <c:pt idx="2">
                  <c:v>1</c:v>
                </c:pt>
                <c:pt idx="3">
                  <c:v>1</c:v>
                </c:pt>
                <c:pt idx="4">
                  <c:v>0.88588634959851764</c:v>
                </c:pt>
                <c:pt idx="5">
                  <c:v>1</c:v>
                </c:pt>
                <c:pt idx="6">
                  <c:v>1</c:v>
                </c:pt>
                <c:pt idx="7">
                  <c:v>0.51431235431235434</c:v>
                </c:pt>
                <c:pt idx="8">
                  <c:v>1</c:v>
                </c:pt>
                <c:pt idx="9">
                  <c:v>1</c:v>
                </c:pt>
                <c:pt idx="10">
                  <c:v>1</c:v>
                </c:pt>
                <c:pt idx="11">
                  <c:v>1</c:v>
                </c:pt>
                <c:pt idx="12">
                  <c:v>0.37186477902184417</c:v>
                </c:pt>
              </c:numCache>
            </c:numRef>
          </c:val>
          <c:extLst>
            <c:ext xmlns:c16="http://schemas.microsoft.com/office/drawing/2014/chart" uri="{C3380CC4-5D6E-409C-BE32-E72D297353CC}">
              <c16:uniqueId val="{00000001-D42E-4631-9562-E6FF266B07AD}"/>
            </c:ext>
          </c:extLst>
        </c:ser>
        <c:ser>
          <c:idx val="1"/>
          <c:order val="1"/>
          <c:tx>
            <c:strRef>
              <c:f>Analysis!$D$84</c:f>
              <c:strCache>
                <c:ptCount val="1"/>
                <c:pt idx="0">
                  <c:v> % Water 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Analysis!$B$85:$B$97</c:f>
              <c:strCache>
                <c:ptCount val="13"/>
                <c:pt idx="0">
                  <c:v>Bhamo</c:v>
                </c:pt>
                <c:pt idx="1">
                  <c:v>Chipwi</c:v>
                </c:pt>
                <c:pt idx="2">
                  <c:v>Hpakant</c:v>
                </c:pt>
                <c:pt idx="3">
                  <c:v>Injangyang</c:v>
                </c:pt>
                <c:pt idx="4">
                  <c:v>Mansi</c:v>
                </c:pt>
                <c:pt idx="5">
                  <c:v>Mogaung</c:v>
                </c:pt>
                <c:pt idx="6">
                  <c:v>Mohnyin</c:v>
                </c:pt>
                <c:pt idx="7">
                  <c:v>Momauk</c:v>
                </c:pt>
                <c:pt idx="8">
                  <c:v>Myitkyina</c:v>
                </c:pt>
                <c:pt idx="9">
                  <c:v>Shwegu</c:v>
                </c:pt>
                <c:pt idx="10">
                  <c:v>Sumprabum</c:v>
                </c:pt>
                <c:pt idx="11">
                  <c:v>Tanai</c:v>
                </c:pt>
                <c:pt idx="12">
                  <c:v>Waingmaw</c:v>
                </c:pt>
              </c:strCache>
            </c:strRef>
          </c:cat>
          <c:val>
            <c:numRef>
              <c:f>Analysis!$D$85:$D$97</c:f>
              <c:numCache>
                <c:formatCode>0%</c:formatCode>
                <c:ptCount val="13"/>
                <c:pt idx="0">
                  <c:v>5.2207541089268394E-2</c:v>
                </c:pt>
                <c:pt idx="1">
                  <c:v>0.35685835200398297</c:v>
                </c:pt>
                <c:pt idx="2">
                  <c:v>0</c:v>
                </c:pt>
                <c:pt idx="3">
                  <c:v>0</c:v>
                </c:pt>
                <c:pt idx="4">
                  <c:v>0.11411365040148236</c:v>
                </c:pt>
                <c:pt idx="5">
                  <c:v>0</c:v>
                </c:pt>
                <c:pt idx="6">
                  <c:v>0</c:v>
                </c:pt>
                <c:pt idx="7">
                  <c:v>0.48568764568764566</c:v>
                </c:pt>
                <c:pt idx="8">
                  <c:v>0</c:v>
                </c:pt>
                <c:pt idx="9">
                  <c:v>0</c:v>
                </c:pt>
                <c:pt idx="10">
                  <c:v>0</c:v>
                </c:pt>
                <c:pt idx="11">
                  <c:v>0</c:v>
                </c:pt>
                <c:pt idx="12">
                  <c:v>0.62813522097815588</c:v>
                </c:pt>
              </c:numCache>
            </c:numRef>
          </c:val>
          <c:extLst>
            <c:ext xmlns:c16="http://schemas.microsoft.com/office/drawing/2014/chart" uri="{C3380CC4-5D6E-409C-BE32-E72D297353CC}">
              <c16:uniqueId val="{00000002-D42E-4631-9562-E6FF266B07AD}"/>
            </c:ext>
          </c:extLst>
        </c:ser>
        <c:dLbls>
          <c:showLegendKey val="0"/>
          <c:showVal val="0"/>
          <c:showCatName val="0"/>
          <c:showSerName val="0"/>
          <c:showPercent val="0"/>
          <c:showBubbleSize val="0"/>
        </c:dLbls>
        <c:gapWidth val="50"/>
        <c:overlap val="100"/>
        <c:axId val="395624888"/>
        <c:axId val="395623320"/>
      </c:barChart>
      <c:catAx>
        <c:axId val="3956248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3320"/>
        <c:crosses val="autoZero"/>
        <c:auto val="1"/>
        <c:lblAlgn val="ctr"/>
        <c:lblOffset val="100"/>
        <c:noMultiLvlLbl val="0"/>
      </c:catAx>
      <c:valAx>
        <c:axId val="39562332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4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[20230728_Myanmar_WASH_4W_2023_Q2_KachinShan_camp_Consolidate.xlsx]Analysis!W_Shan_C_G_C</c:name>
    <c:fmtId val="51"/>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WATER Coverage VS GAP in protracted camps</a:t>
            </a:r>
          </a:p>
          <a:p>
            <a:pPr>
              <a:defRPr sz="1200"/>
            </a:pPr>
            <a:r>
              <a:rPr lang="en-US" sz="1200"/>
              <a:t>in Shan (North)</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Analysis!$C$105</c:f>
              <c:strCache>
                <c:ptCount val="1"/>
                <c:pt idx="0">
                  <c:v> % Water 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Analysis!$B$106:$B$113</c:f>
              <c:strCache>
                <c:ptCount val="8"/>
                <c:pt idx="0">
                  <c:v>Hseni</c:v>
                </c:pt>
                <c:pt idx="1">
                  <c:v>Hsipaw</c:v>
                </c:pt>
                <c:pt idx="2">
                  <c:v>Kutkai</c:v>
                </c:pt>
                <c:pt idx="3">
                  <c:v>Lashio</c:v>
                </c:pt>
                <c:pt idx="4">
                  <c:v>Laukkaing (Kokang SAZ)</c:v>
                </c:pt>
                <c:pt idx="5">
                  <c:v>Muse</c:v>
                </c:pt>
                <c:pt idx="6">
                  <c:v>Namhkan</c:v>
                </c:pt>
                <c:pt idx="7">
                  <c:v>Tangyan</c:v>
                </c:pt>
              </c:strCache>
            </c:strRef>
          </c:cat>
          <c:val>
            <c:numRef>
              <c:f>Analysis!$C$106:$C$113</c:f>
              <c:numCache>
                <c:formatCode>0%</c:formatCode>
                <c:ptCount val="8"/>
                <c:pt idx="0">
                  <c:v>1</c:v>
                </c:pt>
                <c:pt idx="1">
                  <c:v>0</c:v>
                </c:pt>
                <c:pt idx="2">
                  <c:v>0.93651482284887932</c:v>
                </c:pt>
                <c:pt idx="3">
                  <c:v>0.14214641080312723</c:v>
                </c:pt>
                <c:pt idx="4">
                  <c:v>0.95579450418160095</c:v>
                </c:pt>
                <c:pt idx="5">
                  <c:v>0.59585741811175341</c:v>
                </c:pt>
                <c:pt idx="6">
                  <c:v>1</c:v>
                </c:pt>
                <c:pt idx="7">
                  <c:v>0</c:v>
                </c:pt>
              </c:numCache>
            </c:numRef>
          </c:val>
          <c:extLst>
            <c:ext xmlns:c16="http://schemas.microsoft.com/office/drawing/2014/chart" uri="{C3380CC4-5D6E-409C-BE32-E72D297353CC}">
              <c16:uniqueId val="{00000001-8D2F-4677-8970-0F437EC7B4E8}"/>
            </c:ext>
          </c:extLst>
        </c:ser>
        <c:ser>
          <c:idx val="1"/>
          <c:order val="1"/>
          <c:tx>
            <c:strRef>
              <c:f>Analysis!$D$105</c:f>
              <c:strCache>
                <c:ptCount val="1"/>
                <c:pt idx="0">
                  <c:v> % Water 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Analysis!$B$106:$B$113</c:f>
              <c:strCache>
                <c:ptCount val="8"/>
                <c:pt idx="0">
                  <c:v>Hseni</c:v>
                </c:pt>
                <c:pt idx="1">
                  <c:v>Hsipaw</c:v>
                </c:pt>
                <c:pt idx="2">
                  <c:v>Kutkai</c:v>
                </c:pt>
                <c:pt idx="3">
                  <c:v>Lashio</c:v>
                </c:pt>
                <c:pt idx="4">
                  <c:v>Laukkaing (Kokang SAZ)</c:v>
                </c:pt>
                <c:pt idx="5">
                  <c:v>Muse</c:v>
                </c:pt>
                <c:pt idx="6">
                  <c:v>Namhkan</c:v>
                </c:pt>
                <c:pt idx="7">
                  <c:v>Tangyan</c:v>
                </c:pt>
              </c:strCache>
            </c:strRef>
          </c:cat>
          <c:val>
            <c:numRef>
              <c:f>Analysis!$D$106:$D$113</c:f>
              <c:numCache>
                <c:formatCode>0%</c:formatCode>
                <c:ptCount val="8"/>
                <c:pt idx="0">
                  <c:v>0</c:v>
                </c:pt>
                <c:pt idx="1">
                  <c:v>1</c:v>
                </c:pt>
                <c:pt idx="2">
                  <c:v>6.3485177151120675E-2</c:v>
                </c:pt>
                <c:pt idx="3">
                  <c:v>0.85785358919687282</c:v>
                </c:pt>
                <c:pt idx="4">
                  <c:v>4.4205495818399054E-2</c:v>
                </c:pt>
                <c:pt idx="5">
                  <c:v>0.40414258188824659</c:v>
                </c:pt>
                <c:pt idx="6">
                  <c:v>0</c:v>
                </c:pt>
                <c:pt idx="7">
                  <c:v>1</c:v>
                </c:pt>
              </c:numCache>
            </c:numRef>
          </c:val>
          <c:extLst>
            <c:ext xmlns:c16="http://schemas.microsoft.com/office/drawing/2014/chart" uri="{C3380CC4-5D6E-409C-BE32-E72D297353CC}">
              <c16:uniqueId val="{00000002-8D2F-4677-8970-0F437EC7B4E8}"/>
            </c:ext>
          </c:extLst>
        </c:ser>
        <c:dLbls>
          <c:showLegendKey val="0"/>
          <c:showVal val="0"/>
          <c:showCatName val="0"/>
          <c:showSerName val="0"/>
          <c:showPercent val="0"/>
          <c:showBubbleSize val="0"/>
        </c:dLbls>
        <c:gapWidth val="50"/>
        <c:overlap val="100"/>
        <c:axId val="395628416"/>
        <c:axId val="414766728"/>
      </c:barChart>
      <c:catAx>
        <c:axId val="39562841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66728"/>
        <c:crosses val="autoZero"/>
        <c:auto val="1"/>
        <c:lblAlgn val="ctr"/>
        <c:lblOffset val="100"/>
        <c:noMultiLvlLbl val="0"/>
      </c:catAx>
      <c:valAx>
        <c:axId val="41476672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8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[20230728_Myanmar_WASH_4W_2023_Q2_KachinShan_camp_Consolidate.xlsx]Analysis!K_L_CG_C</c:name>
    <c:fmtId val="3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a:t>
            </a:r>
            <a:r>
              <a:rPr lang="en-US" sz="1400" baseline="0"/>
              <a:t> Coverage VS GAP in protracted camps</a:t>
            </a:r>
          </a:p>
          <a:p>
            <a:pPr>
              <a:defRPr sz="1400"/>
            </a:pPr>
            <a:r>
              <a:rPr lang="en-US" sz="1400" baseline="0"/>
              <a:t>in Kachin</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Analysis!$C$191</c:f>
              <c:strCache>
                <c:ptCount val="1"/>
                <c:pt idx="0">
                  <c:v> % Latrine 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Analysis!$B$192:$B$204</c:f>
              <c:strCache>
                <c:ptCount val="13"/>
                <c:pt idx="0">
                  <c:v>Bhamo</c:v>
                </c:pt>
                <c:pt idx="1">
                  <c:v>Chipwi</c:v>
                </c:pt>
                <c:pt idx="2">
                  <c:v>Hpakant</c:v>
                </c:pt>
                <c:pt idx="3">
                  <c:v>Injangyang</c:v>
                </c:pt>
                <c:pt idx="4">
                  <c:v>Mansi</c:v>
                </c:pt>
                <c:pt idx="5">
                  <c:v>Mogaung</c:v>
                </c:pt>
                <c:pt idx="6">
                  <c:v>Mohnyin</c:v>
                </c:pt>
                <c:pt idx="7">
                  <c:v>Momauk</c:v>
                </c:pt>
                <c:pt idx="8">
                  <c:v>Myitkyina</c:v>
                </c:pt>
                <c:pt idx="9">
                  <c:v>Shwegu</c:v>
                </c:pt>
                <c:pt idx="10">
                  <c:v>Sumprabum</c:v>
                </c:pt>
                <c:pt idx="11">
                  <c:v>Tanai</c:v>
                </c:pt>
                <c:pt idx="12">
                  <c:v>Waingmaw</c:v>
                </c:pt>
              </c:strCache>
            </c:strRef>
          </c:cat>
          <c:val>
            <c:numRef>
              <c:f>Analysis!$C$192:$C$204</c:f>
              <c:numCache>
                <c:formatCode>0%</c:formatCode>
                <c:ptCount val="13"/>
                <c:pt idx="0">
                  <c:v>0.81469545601031257</c:v>
                </c:pt>
                <c:pt idx="1">
                  <c:v>0.73525018670649733</c:v>
                </c:pt>
                <c:pt idx="2">
                  <c:v>0.76912100456621002</c:v>
                </c:pt>
                <c:pt idx="3">
                  <c:v>1</c:v>
                </c:pt>
                <c:pt idx="4">
                  <c:v>0.92912291537986413</c:v>
                </c:pt>
                <c:pt idx="5">
                  <c:v>0.86758321273516648</c:v>
                </c:pt>
                <c:pt idx="6">
                  <c:v>1</c:v>
                </c:pt>
                <c:pt idx="7">
                  <c:v>0.82269730269730268</c:v>
                </c:pt>
                <c:pt idx="8">
                  <c:v>0.81394316163410307</c:v>
                </c:pt>
                <c:pt idx="9">
                  <c:v>0.92531120331950212</c:v>
                </c:pt>
                <c:pt idx="10">
                  <c:v>1</c:v>
                </c:pt>
                <c:pt idx="11">
                  <c:v>0.25998142989786444</c:v>
                </c:pt>
                <c:pt idx="12">
                  <c:v>0.69022330643647967</c:v>
                </c:pt>
              </c:numCache>
            </c:numRef>
          </c:val>
          <c:extLst>
            <c:ext xmlns:c16="http://schemas.microsoft.com/office/drawing/2014/chart" uri="{C3380CC4-5D6E-409C-BE32-E72D297353CC}">
              <c16:uniqueId val="{00000001-D892-44B9-AC07-D82DE7EFCC94}"/>
            </c:ext>
          </c:extLst>
        </c:ser>
        <c:ser>
          <c:idx val="1"/>
          <c:order val="1"/>
          <c:tx>
            <c:strRef>
              <c:f>Analysis!$D$191</c:f>
              <c:strCache>
                <c:ptCount val="1"/>
                <c:pt idx="0">
                  <c:v>  % Latrine 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Analysis!$B$192:$B$204</c:f>
              <c:strCache>
                <c:ptCount val="13"/>
                <c:pt idx="0">
                  <c:v>Bhamo</c:v>
                </c:pt>
                <c:pt idx="1">
                  <c:v>Chipwi</c:v>
                </c:pt>
                <c:pt idx="2">
                  <c:v>Hpakant</c:v>
                </c:pt>
                <c:pt idx="3">
                  <c:v>Injangyang</c:v>
                </c:pt>
                <c:pt idx="4">
                  <c:v>Mansi</c:v>
                </c:pt>
                <c:pt idx="5">
                  <c:v>Mogaung</c:v>
                </c:pt>
                <c:pt idx="6">
                  <c:v>Mohnyin</c:v>
                </c:pt>
                <c:pt idx="7">
                  <c:v>Momauk</c:v>
                </c:pt>
                <c:pt idx="8">
                  <c:v>Myitkyina</c:v>
                </c:pt>
                <c:pt idx="9">
                  <c:v>Shwegu</c:v>
                </c:pt>
                <c:pt idx="10">
                  <c:v>Sumprabum</c:v>
                </c:pt>
                <c:pt idx="11">
                  <c:v>Tanai</c:v>
                </c:pt>
                <c:pt idx="12">
                  <c:v>Waingmaw</c:v>
                </c:pt>
              </c:strCache>
            </c:strRef>
          </c:cat>
          <c:val>
            <c:numRef>
              <c:f>Analysis!$D$192:$D$204</c:f>
              <c:numCache>
                <c:formatCode>0%</c:formatCode>
                <c:ptCount val="13"/>
                <c:pt idx="0">
                  <c:v>0.18530454398968743</c:v>
                </c:pt>
                <c:pt idx="1">
                  <c:v>0.26474981329350267</c:v>
                </c:pt>
                <c:pt idx="2">
                  <c:v>0.23087899543378998</c:v>
                </c:pt>
                <c:pt idx="3">
                  <c:v>0</c:v>
                </c:pt>
                <c:pt idx="4">
                  <c:v>7.0877084620135866E-2</c:v>
                </c:pt>
                <c:pt idx="5">
                  <c:v>0.13241678726483352</c:v>
                </c:pt>
                <c:pt idx="6">
                  <c:v>0</c:v>
                </c:pt>
                <c:pt idx="7">
                  <c:v>0.17730269730269732</c:v>
                </c:pt>
                <c:pt idx="8">
                  <c:v>0.18605683836589693</c:v>
                </c:pt>
                <c:pt idx="9">
                  <c:v>7.4688796680497882E-2</c:v>
                </c:pt>
                <c:pt idx="10">
                  <c:v>0</c:v>
                </c:pt>
                <c:pt idx="11">
                  <c:v>0.74001857010213556</c:v>
                </c:pt>
                <c:pt idx="12">
                  <c:v>0.30977669356352033</c:v>
                </c:pt>
              </c:numCache>
            </c:numRef>
          </c:val>
          <c:extLst>
            <c:ext xmlns:c16="http://schemas.microsoft.com/office/drawing/2014/chart" uri="{C3380CC4-5D6E-409C-BE32-E72D297353CC}">
              <c16:uniqueId val="{00000002-D892-44B9-AC07-D82DE7EFCC94}"/>
            </c:ext>
          </c:extLst>
        </c:ser>
        <c:dLbls>
          <c:showLegendKey val="0"/>
          <c:showVal val="0"/>
          <c:showCatName val="0"/>
          <c:showSerName val="0"/>
          <c:showPercent val="0"/>
          <c:showBubbleSize val="0"/>
        </c:dLbls>
        <c:gapWidth val="50"/>
        <c:overlap val="100"/>
        <c:axId val="414768296"/>
        <c:axId val="414767904"/>
      </c:barChart>
      <c:catAx>
        <c:axId val="4147682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67904"/>
        <c:crosses val="autoZero"/>
        <c:auto val="1"/>
        <c:lblAlgn val="ctr"/>
        <c:lblOffset val="100"/>
        <c:noMultiLvlLbl val="0"/>
      </c:catAx>
      <c:valAx>
        <c:axId val="41476790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68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[20230728_Myanmar_WASH_4W_2023_Q2_KachinShan_camp_Consolidate.xlsx]Analysis!K_L_CG_N</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VS GAP in protracted Camps</a:t>
            </a:r>
          </a:p>
          <a:p>
            <a:pPr>
              <a:defRPr sz="1400"/>
            </a:pPr>
            <a:r>
              <a:rPr lang="en-US" sz="1400"/>
              <a:t>in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Analysis!$K$192</c:f>
              <c:strCache>
                <c:ptCount val="1"/>
                <c:pt idx="0">
                  <c:v>  % Latrine Coverage</c:v>
                </c:pt>
              </c:strCache>
            </c:strRef>
          </c:tx>
          <c:spPr>
            <a:solidFill>
              <a:schemeClr val="accent2">
                <a:lumMod val="75000"/>
              </a:schemeClr>
            </a:solidFill>
            <a:ln>
              <a:noFill/>
            </a:ln>
            <a:effectLst/>
          </c:spPr>
          <c:invertIfNegative val="0"/>
          <c:cat>
            <c:strRef>
              <c:f>Analysis!$J$193:$J$200</c:f>
              <c:strCache>
                <c:ptCount val="8"/>
                <c:pt idx="0">
                  <c:v>Hseni</c:v>
                </c:pt>
                <c:pt idx="1">
                  <c:v>Hsipaw</c:v>
                </c:pt>
                <c:pt idx="2">
                  <c:v>Kutkai</c:v>
                </c:pt>
                <c:pt idx="3">
                  <c:v>Lashio</c:v>
                </c:pt>
                <c:pt idx="4">
                  <c:v>Muse</c:v>
                </c:pt>
                <c:pt idx="5">
                  <c:v>Namhkan</c:v>
                </c:pt>
                <c:pt idx="6">
                  <c:v>Laukkaing (Kokang SAZ)</c:v>
                </c:pt>
                <c:pt idx="7">
                  <c:v>Tangyan</c:v>
                </c:pt>
              </c:strCache>
            </c:strRef>
          </c:cat>
          <c:val>
            <c:numRef>
              <c:f>Analysis!$K$193:$K$200</c:f>
              <c:numCache>
                <c:formatCode>0%</c:formatCode>
                <c:ptCount val="8"/>
                <c:pt idx="0">
                  <c:v>1</c:v>
                </c:pt>
                <c:pt idx="1">
                  <c:v>0</c:v>
                </c:pt>
                <c:pt idx="2">
                  <c:v>0.96898047722342728</c:v>
                </c:pt>
                <c:pt idx="3">
                  <c:v>0</c:v>
                </c:pt>
                <c:pt idx="4">
                  <c:v>0</c:v>
                </c:pt>
                <c:pt idx="5">
                  <c:v>0.86802575107296143</c:v>
                </c:pt>
                <c:pt idx="6">
                  <c:v>0.35842293906810035</c:v>
                </c:pt>
                <c:pt idx="7">
                  <c:v>0</c:v>
                </c:pt>
              </c:numCache>
            </c:numRef>
          </c:val>
          <c:extLst>
            <c:ext xmlns:c16="http://schemas.microsoft.com/office/drawing/2014/chart" uri="{C3380CC4-5D6E-409C-BE32-E72D297353CC}">
              <c16:uniqueId val="{00000001-B416-4AA8-B6FB-BDD6607D8C3B}"/>
            </c:ext>
          </c:extLst>
        </c:ser>
        <c:ser>
          <c:idx val="1"/>
          <c:order val="1"/>
          <c:tx>
            <c:strRef>
              <c:f>Analysis!$L$192</c:f>
              <c:strCache>
                <c:ptCount val="1"/>
                <c:pt idx="0">
                  <c:v>  % Latrine GAP</c:v>
                </c:pt>
              </c:strCache>
            </c:strRef>
          </c:tx>
          <c:spPr>
            <a:solidFill>
              <a:schemeClr val="accent2">
                <a:lumMod val="40000"/>
                <a:lumOff val="60000"/>
              </a:schemeClr>
            </a:solidFill>
            <a:ln>
              <a:noFill/>
            </a:ln>
            <a:effectLst/>
          </c:spPr>
          <c:invertIfNegative val="0"/>
          <c:cat>
            <c:strRef>
              <c:f>Analysis!$J$193:$J$200</c:f>
              <c:strCache>
                <c:ptCount val="8"/>
                <c:pt idx="0">
                  <c:v>Hseni</c:v>
                </c:pt>
                <c:pt idx="1">
                  <c:v>Hsipaw</c:v>
                </c:pt>
                <c:pt idx="2">
                  <c:v>Kutkai</c:v>
                </c:pt>
                <c:pt idx="3">
                  <c:v>Lashio</c:v>
                </c:pt>
                <c:pt idx="4">
                  <c:v>Muse</c:v>
                </c:pt>
                <c:pt idx="5">
                  <c:v>Namhkan</c:v>
                </c:pt>
                <c:pt idx="6">
                  <c:v>Laukkaing (Kokang SAZ)</c:v>
                </c:pt>
                <c:pt idx="7">
                  <c:v>Tangyan</c:v>
                </c:pt>
              </c:strCache>
            </c:strRef>
          </c:cat>
          <c:val>
            <c:numRef>
              <c:f>Analysis!$L$193:$L$200</c:f>
              <c:numCache>
                <c:formatCode>0%</c:formatCode>
                <c:ptCount val="8"/>
                <c:pt idx="0">
                  <c:v>0</c:v>
                </c:pt>
                <c:pt idx="1">
                  <c:v>1</c:v>
                </c:pt>
                <c:pt idx="2">
                  <c:v>3.1019522776572717E-2</c:v>
                </c:pt>
                <c:pt idx="3">
                  <c:v>1</c:v>
                </c:pt>
                <c:pt idx="4">
                  <c:v>1</c:v>
                </c:pt>
                <c:pt idx="5">
                  <c:v>0.13197424892703857</c:v>
                </c:pt>
                <c:pt idx="6">
                  <c:v>0.64157706093189959</c:v>
                </c:pt>
                <c:pt idx="7">
                  <c:v>1</c:v>
                </c:pt>
              </c:numCache>
            </c:numRef>
          </c:val>
          <c:extLst>
            <c:ext xmlns:c16="http://schemas.microsoft.com/office/drawing/2014/chart" uri="{C3380CC4-5D6E-409C-BE32-E72D297353CC}">
              <c16:uniqueId val="{00000002-B416-4AA8-B6FB-BDD6607D8C3B}"/>
            </c:ext>
          </c:extLst>
        </c:ser>
        <c:dLbls>
          <c:showLegendKey val="0"/>
          <c:showVal val="0"/>
          <c:showCatName val="0"/>
          <c:showSerName val="0"/>
          <c:showPercent val="0"/>
          <c:showBubbleSize val="0"/>
        </c:dLbls>
        <c:gapWidth val="150"/>
        <c:overlap val="100"/>
        <c:axId val="414770648"/>
        <c:axId val="414773392"/>
      </c:barChart>
      <c:catAx>
        <c:axId val="4147706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3392"/>
        <c:crosses val="autoZero"/>
        <c:auto val="1"/>
        <c:lblAlgn val="ctr"/>
        <c:lblOffset val="100"/>
        <c:noMultiLvlLbl val="0"/>
      </c:catAx>
      <c:valAx>
        <c:axId val="41477339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0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[20230728_Myanmar_WASH_4W_2023_Q2_KachinShan_camp_Consolidate.xlsx]Analysis!K_H_CG_C</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protracted camps</a:t>
            </a:r>
          </a:p>
          <a:p>
            <a:pPr>
              <a:defRPr sz="1400"/>
            </a:pPr>
            <a:r>
              <a:rPr lang="en-US" sz="1400"/>
              <a:t>in Kachin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081952105979136E-2"/>
          <c:y val="0.24271399053609838"/>
          <c:w val="0.88637979901754527"/>
          <c:h val="0.43678904961231607"/>
        </c:manualLayout>
      </c:layout>
      <c:barChart>
        <c:barDir val="col"/>
        <c:grouping val="percentStacked"/>
        <c:varyColors val="0"/>
        <c:ser>
          <c:idx val="0"/>
          <c:order val="0"/>
          <c:tx>
            <c:strRef>
              <c:f>Analysis!$C$271</c:f>
              <c:strCache>
                <c:ptCount val="1"/>
                <c:pt idx="0">
                  <c:v>  % Hygiene 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Analysis!$B$272:$B$284</c:f>
              <c:strCache>
                <c:ptCount val="13"/>
                <c:pt idx="0">
                  <c:v>Bhamo</c:v>
                </c:pt>
                <c:pt idx="1">
                  <c:v>Chipwi</c:v>
                </c:pt>
                <c:pt idx="2">
                  <c:v>Hpakant</c:v>
                </c:pt>
                <c:pt idx="3">
                  <c:v>Injangyang</c:v>
                </c:pt>
                <c:pt idx="4">
                  <c:v>Mansi</c:v>
                </c:pt>
                <c:pt idx="5">
                  <c:v>Mogaung</c:v>
                </c:pt>
                <c:pt idx="6">
                  <c:v>Mohnyin</c:v>
                </c:pt>
                <c:pt idx="7">
                  <c:v>Momauk</c:v>
                </c:pt>
                <c:pt idx="8">
                  <c:v>Myitkyina</c:v>
                </c:pt>
                <c:pt idx="9">
                  <c:v>Shwegu</c:v>
                </c:pt>
                <c:pt idx="10">
                  <c:v>Sumprabum</c:v>
                </c:pt>
                <c:pt idx="11">
                  <c:v>Tanai</c:v>
                </c:pt>
                <c:pt idx="12">
                  <c:v>Waingmaw</c:v>
                </c:pt>
              </c:strCache>
            </c:strRef>
          </c:cat>
          <c:val>
            <c:numRef>
              <c:f>Analysis!$C$272:$C$284</c:f>
              <c:numCache>
                <c:formatCode>0%</c:formatCode>
                <c:ptCount val="13"/>
                <c:pt idx="0">
                  <c:v>0.95294875926522715</c:v>
                </c:pt>
                <c:pt idx="1">
                  <c:v>0.70388349514563109</c:v>
                </c:pt>
                <c:pt idx="2">
                  <c:v>0.97003424657534243</c:v>
                </c:pt>
                <c:pt idx="3">
                  <c:v>1</c:v>
                </c:pt>
                <c:pt idx="4">
                  <c:v>0.50108091414453371</c:v>
                </c:pt>
                <c:pt idx="5">
                  <c:v>1</c:v>
                </c:pt>
                <c:pt idx="6">
                  <c:v>1</c:v>
                </c:pt>
                <c:pt idx="7">
                  <c:v>0.63180819180819181</c:v>
                </c:pt>
                <c:pt idx="8">
                  <c:v>0.82837477797513326</c:v>
                </c:pt>
                <c:pt idx="9">
                  <c:v>0.81950207468879666</c:v>
                </c:pt>
                <c:pt idx="10">
                  <c:v>1</c:v>
                </c:pt>
                <c:pt idx="11">
                  <c:v>0.88115134633240488</c:v>
                </c:pt>
                <c:pt idx="12">
                  <c:v>0.72021017076374549</c:v>
                </c:pt>
              </c:numCache>
            </c:numRef>
          </c:val>
          <c:extLst>
            <c:ext xmlns:c16="http://schemas.microsoft.com/office/drawing/2014/chart" uri="{C3380CC4-5D6E-409C-BE32-E72D297353CC}">
              <c16:uniqueId val="{00000001-544A-4609-AF18-1D77C4829C72}"/>
            </c:ext>
          </c:extLst>
        </c:ser>
        <c:ser>
          <c:idx val="1"/>
          <c:order val="1"/>
          <c:tx>
            <c:strRef>
              <c:f>Analysis!$D$271</c:f>
              <c:strCache>
                <c:ptCount val="1"/>
                <c:pt idx="0">
                  <c:v>  % Hygiene 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Analysis!$B$272:$B$284</c:f>
              <c:strCache>
                <c:ptCount val="13"/>
                <c:pt idx="0">
                  <c:v>Bhamo</c:v>
                </c:pt>
                <c:pt idx="1">
                  <c:v>Chipwi</c:v>
                </c:pt>
                <c:pt idx="2">
                  <c:v>Hpakant</c:v>
                </c:pt>
                <c:pt idx="3">
                  <c:v>Injangyang</c:v>
                </c:pt>
                <c:pt idx="4">
                  <c:v>Mansi</c:v>
                </c:pt>
                <c:pt idx="5">
                  <c:v>Mogaung</c:v>
                </c:pt>
                <c:pt idx="6">
                  <c:v>Mohnyin</c:v>
                </c:pt>
                <c:pt idx="7">
                  <c:v>Momauk</c:v>
                </c:pt>
                <c:pt idx="8">
                  <c:v>Myitkyina</c:v>
                </c:pt>
                <c:pt idx="9">
                  <c:v>Shwegu</c:v>
                </c:pt>
                <c:pt idx="10">
                  <c:v>Sumprabum</c:v>
                </c:pt>
                <c:pt idx="11">
                  <c:v>Tanai</c:v>
                </c:pt>
                <c:pt idx="12">
                  <c:v>Waingmaw</c:v>
                </c:pt>
              </c:strCache>
            </c:strRef>
          </c:cat>
          <c:val>
            <c:numRef>
              <c:f>Analysis!$D$272:$D$284</c:f>
              <c:numCache>
                <c:formatCode>0%</c:formatCode>
                <c:ptCount val="13"/>
                <c:pt idx="0">
                  <c:v>4.7051240734772848E-2</c:v>
                </c:pt>
                <c:pt idx="1">
                  <c:v>0.29611650485436891</c:v>
                </c:pt>
                <c:pt idx="2">
                  <c:v>2.9965753424657571E-2</c:v>
                </c:pt>
                <c:pt idx="3">
                  <c:v>0</c:v>
                </c:pt>
                <c:pt idx="4">
                  <c:v>0.49891908585546629</c:v>
                </c:pt>
                <c:pt idx="5">
                  <c:v>0</c:v>
                </c:pt>
                <c:pt idx="6">
                  <c:v>0</c:v>
                </c:pt>
                <c:pt idx="7">
                  <c:v>0.36819180819180819</c:v>
                </c:pt>
                <c:pt idx="8">
                  <c:v>0.17162522202486674</c:v>
                </c:pt>
                <c:pt idx="9">
                  <c:v>0.18049792531120334</c:v>
                </c:pt>
                <c:pt idx="10">
                  <c:v>0</c:v>
                </c:pt>
                <c:pt idx="11">
                  <c:v>0.11884865366759512</c:v>
                </c:pt>
                <c:pt idx="12">
                  <c:v>0.27978982923625451</c:v>
                </c:pt>
              </c:numCache>
            </c:numRef>
          </c:val>
          <c:extLst>
            <c:ext xmlns:c16="http://schemas.microsoft.com/office/drawing/2014/chart" uri="{C3380CC4-5D6E-409C-BE32-E72D297353CC}">
              <c16:uniqueId val="{00000002-544A-4609-AF18-1D77C4829C72}"/>
            </c:ext>
          </c:extLst>
        </c:ser>
        <c:dLbls>
          <c:showLegendKey val="0"/>
          <c:showVal val="0"/>
          <c:showCatName val="0"/>
          <c:showSerName val="0"/>
          <c:showPercent val="0"/>
          <c:showBubbleSize val="0"/>
        </c:dLbls>
        <c:gapWidth val="150"/>
        <c:overlap val="100"/>
        <c:axId val="415877056"/>
        <c:axId val="415879016"/>
      </c:barChart>
      <c:catAx>
        <c:axId val="415877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2"/>
                </a:solidFill>
                <a:latin typeface="+mn-lt"/>
                <a:ea typeface="+mn-ea"/>
                <a:cs typeface="+mn-cs"/>
              </a:defRPr>
            </a:pPr>
            <a:endParaRPr lang="en-US"/>
          </a:p>
        </c:txPr>
        <c:crossAx val="415879016"/>
        <c:crosses val="autoZero"/>
        <c:auto val="1"/>
        <c:lblAlgn val="ctr"/>
        <c:lblOffset val="100"/>
        <c:noMultiLvlLbl val="0"/>
      </c:catAx>
      <c:valAx>
        <c:axId val="4158790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7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600" b="1" i="0" baseline="0">
                <a:effectLst/>
              </a:rPr>
              <a:t>Shan(North) Number of ppl Covered against 2023 HRP targets</a:t>
            </a:r>
            <a:endParaRPr lang="en-US" sz="1600">
              <a:effectLst/>
            </a:endParaRPr>
          </a:p>
        </c:rich>
      </c:tx>
      <c:layout>
        <c:manualLayout>
          <c:xMode val="edge"/>
          <c:yMode val="edge"/>
          <c:x val="0.12160753657349213"/>
          <c:y val="1.2079339286676927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2-ECCE-4705-8E13-3FA2A75322D4}"/>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ECCE-4705-8E13-3FA2A75322D4}"/>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5-C30E-4F5B-BB8F-2D4C569F6B73}"/>
              </c:ext>
            </c:extLst>
          </c:dPt>
          <c:dPt>
            <c:idx val="5"/>
            <c:invertIfNegative val="0"/>
            <c:bubble3D val="0"/>
            <c:spPr>
              <a:solidFill>
                <a:srgbClr val="0070C0"/>
              </a:solidFill>
              <a:ln>
                <a:noFill/>
              </a:ln>
              <a:effectLst/>
            </c:spPr>
            <c:extLst>
              <c:ext xmlns:c16="http://schemas.microsoft.com/office/drawing/2014/chart" uri="{C3380CC4-5D6E-409C-BE32-E72D297353CC}">
                <c16:uniqueId val="{00000007-C30E-4F5B-BB8F-2D4C569F6B73}"/>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HRP!$C$218:$C$223</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HRP!$E$218:$E$223</c:f>
              <c:numCache>
                <c:formatCode>_(* #,##0_);_(* \(#,##0\);_(* "-"??_);_(@_)</c:formatCode>
                <c:ptCount val="6"/>
                <c:pt idx="0">
                  <c:v>0</c:v>
                </c:pt>
                <c:pt idx="1">
                  <c:v>2223</c:v>
                </c:pt>
                <c:pt idx="2">
                  <c:v>0</c:v>
                </c:pt>
                <c:pt idx="3">
                  <c:v>7368</c:v>
                </c:pt>
                <c:pt idx="4">
                  <c:v>8491</c:v>
                </c:pt>
                <c:pt idx="5">
                  <c:v>10793.999999999998</c:v>
                </c:pt>
              </c:numCache>
            </c:numRef>
          </c:val>
          <c:extLst>
            <c:ext xmlns:c16="http://schemas.microsoft.com/office/drawing/2014/chart" uri="{C3380CC4-5D6E-409C-BE32-E72D297353CC}">
              <c16:uniqueId val="{00000001-0CB7-4264-A3F9-A84426FA15A3}"/>
            </c:ext>
          </c:extLst>
        </c:ser>
        <c:ser>
          <c:idx val="1"/>
          <c:order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C30E-4F5B-BB8F-2D4C569F6B73}"/>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12-79A4-41DA-B32A-CBB170878CE3}"/>
              </c:ext>
            </c:extLst>
          </c:dPt>
          <c:dPt>
            <c:idx val="2"/>
            <c:invertIfNegative val="0"/>
            <c:bubble3D val="0"/>
            <c:spPr>
              <a:solidFill>
                <a:srgbClr val="FFFF00">
                  <a:alpha val="29804"/>
                </a:srgbClr>
              </a:solidFill>
              <a:ln>
                <a:noFill/>
              </a:ln>
              <a:effectLst/>
            </c:spPr>
            <c:extLst>
              <c:ext xmlns:c16="http://schemas.microsoft.com/office/drawing/2014/chart" uri="{C3380CC4-5D6E-409C-BE32-E72D297353CC}">
                <c16:uniqueId val="{0000000F-7D73-40A0-A891-00815A3FCB59}"/>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1-79A4-41DA-B32A-CBB170878CE3}"/>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F-C30E-4F5B-BB8F-2D4C569F6B73}"/>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1-C30E-4F5B-BB8F-2D4C569F6B73}"/>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HRP!$C$218:$C$223</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HRP!$F$218:$F$223</c:f>
              <c:numCache>
                <c:formatCode>_(* #,##0_);_(* \(#,##0\);_(* "-"??_);_(@_)</c:formatCode>
                <c:ptCount val="6"/>
                <c:pt idx="0">
                  <c:v>2036.2400000000002</c:v>
                </c:pt>
                <c:pt idx="1">
                  <c:v>1034.9840000000004</c:v>
                </c:pt>
                <c:pt idx="2">
                  <c:v>5426.6278725171751</c:v>
                </c:pt>
                <c:pt idx="3">
                  <c:v>60439.757450343488</c:v>
                </c:pt>
                <c:pt idx="4">
                  <c:v>18255.2414900687</c:v>
                </c:pt>
                <c:pt idx="5">
                  <c:v>31845.227235103055</c:v>
                </c:pt>
              </c:numCache>
            </c:numRef>
          </c:val>
          <c:extLst>
            <c:ext xmlns:c16="http://schemas.microsoft.com/office/drawing/2014/chart" uri="{C3380CC4-5D6E-409C-BE32-E72D297353CC}">
              <c16:uniqueId val="{0000000D-7D73-40A0-A891-00815A3FCB59}"/>
            </c:ext>
          </c:extLst>
        </c:ser>
        <c:dLbls>
          <c:showLegendKey val="0"/>
          <c:showVal val="0"/>
          <c:showCatName val="0"/>
          <c:showSerName val="0"/>
          <c:showPercent val="0"/>
          <c:showBubbleSize val="0"/>
        </c:dLbls>
        <c:gapWidth val="150"/>
        <c:overlap val="100"/>
        <c:axId val="391609024"/>
        <c:axId val="391603928"/>
      </c:barChart>
      <c:catAx>
        <c:axId val="3916090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3928"/>
        <c:crosses val="autoZero"/>
        <c:auto val="1"/>
        <c:lblAlgn val="ctr"/>
        <c:lblOffset val="100"/>
        <c:noMultiLvlLbl val="0"/>
      </c:catAx>
      <c:valAx>
        <c:axId val="391603928"/>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902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[20230728_Myanmar_WASH_4W_2023_Q2_KachinShan_camp_Consolidate.xlsx]Analysis!S_H_CG_C</c:name>
    <c:fmtId val="5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protracted camps</a:t>
            </a:r>
          </a:p>
          <a:p>
            <a:pPr>
              <a:defRPr sz="1400"/>
            </a:pPr>
            <a:r>
              <a:rPr lang="en-US" sz="1400"/>
              <a:t>in Shan (North)</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Analysis!$L$270</c:f>
              <c:strCache>
                <c:ptCount val="1"/>
                <c:pt idx="0">
                  <c:v>  % Hygiene 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Analysis!$K$271:$K$278</c:f>
              <c:strCache>
                <c:ptCount val="8"/>
                <c:pt idx="0">
                  <c:v>Hseni</c:v>
                </c:pt>
                <c:pt idx="1">
                  <c:v>Hsipaw</c:v>
                </c:pt>
                <c:pt idx="2">
                  <c:v>Kutkai</c:v>
                </c:pt>
                <c:pt idx="3">
                  <c:v>Lashio</c:v>
                </c:pt>
                <c:pt idx="4">
                  <c:v>Laukkaing (Kokang SAZ)</c:v>
                </c:pt>
                <c:pt idx="5">
                  <c:v>Muse</c:v>
                </c:pt>
                <c:pt idx="6">
                  <c:v>Namhkan</c:v>
                </c:pt>
                <c:pt idx="7">
                  <c:v>Tangyan</c:v>
                </c:pt>
              </c:strCache>
            </c:strRef>
          </c:cat>
          <c:val>
            <c:numRef>
              <c:f>Analysis!$L$271:$L$278</c:f>
              <c:numCache>
                <c:formatCode>0%</c:formatCode>
                <c:ptCount val="8"/>
                <c:pt idx="0">
                  <c:v>1</c:v>
                </c:pt>
                <c:pt idx="1">
                  <c:v>0.375</c:v>
                </c:pt>
                <c:pt idx="2">
                  <c:v>0.79848156182212582</c:v>
                </c:pt>
                <c:pt idx="3">
                  <c:v>0</c:v>
                </c:pt>
                <c:pt idx="4">
                  <c:v>0</c:v>
                </c:pt>
                <c:pt idx="5">
                  <c:v>0</c:v>
                </c:pt>
                <c:pt idx="6">
                  <c:v>0.65343347639484983</c:v>
                </c:pt>
                <c:pt idx="7">
                  <c:v>0</c:v>
                </c:pt>
              </c:numCache>
            </c:numRef>
          </c:val>
          <c:extLst>
            <c:ext xmlns:c16="http://schemas.microsoft.com/office/drawing/2014/chart" uri="{C3380CC4-5D6E-409C-BE32-E72D297353CC}">
              <c16:uniqueId val="{00000001-60F5-471F-8F55-EDB418736E95}"/>
            </c:ext>
          </c:extLst>
        </c:ser>
        <c:ser>
          <c:idx val="1"/>
          <c:order val="1"/>
          <c:tx>
            <c:strRef>
              <c:f>Analysis!$M$270</c:f>
              <c:strCache>
                <c:ptCount val="1"/>
                <c:pt idx="0">
                  <c:v>  % Hygiene 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Analysis!$K$271:$K$278</c:f>
              <c:strCache>
                <c:ptCount val="8"/>
                <c:pt idx="0">
                  <c:v>Hseni</c:v>
                </c:pt>
                <c:pt idx="1">
                  <c:v>Hsipaw</c:v>
                </c:pt>
                <c:pt idx="2">
                  <c:v>Kutkai</c:v>
                </c:pt>
                <c:pt idx="3">
                  <c:v>Lashio</c:v>
                </c:pt>
                <c:pt idx="4">
                  <c:v>Laukkaing (Kokang SAZ)</c:v>
                </c:pt>
                <c:pt idx="5">
                  <c:v>Muse</c:v>
                </c:pt>
                <c:pt idx="6">
                  <c:v>Namhkan</c:v>
                </c:pt>
                <c:pt idx="7">
                  <c:v>Tangyan</c:v>
                </c:pt>
              </c:strCache>
            </c:strRef>
          </c:cat>
          <c:val>
            <c:numRef>
              <c:f>Analysis!$M$271:$M$278</c:f>
              <c:numCache>
                <c:formatCode>0%</c:formatCode>
                <c:ptCount val="8"/>
                <c:pt idx="0">
                  <c:v>0</c:v>
                </c:pt>
                <c:pt idx="1">
                  <c:v>0.625</c:v>
                </c:pt>
                <c:pt idx="2">
                  <c:v>0.20151843817787418</c:v>
                </c:pt>
                <c:pt idx="3">
                  <c:v>1</c:v>
                </c:pt>
                <c:pt idx="4">
                  <c:v>1</c:v>
                </c:pt>
                <c:pt idx="5">
                  <c:v>1</c:v>
                </c:pt>
                <c:pt idx="6">
                  <c:v>0.34656652360515017</c:v>
                </c:pt>
                <c:pt idx="7">
                  <c:v>1</c:v>
                </c:pt>
              </c:numCache>
            </c:numRef>
          </c:val>
          <c:extLst>
            <c:ext xmlns:c16="http://schemas.microsoft.com/office/drawing/2014/chart" uri="{C3380CC4-5D6E-409C-BE32-E72D297353CC}">
              <c16:uniqueId val="{00000002-60F5-471F-8F55-EDB418736E95}"/>
            </c:ext>
          </c:extLst>
        </c:ser>
        <c:dLbls>
          <c:showLegendKey val="0"/>
          <c:showVal val="0"/>
          <c:showCatName val="0"/>
          <c:showSerName val="0"/>
          <c:showPercent val="0"/>
          <c:showBubbleSize val="0"/>
        </c:dLbls>
        <c:gapWidth val="150"/>
        <c:overlap val="100"/>
        <c:axId val="415872352"/>
        <c:axId val="415870784"/>
      </c:barChart>
      <c:catAx>
        <c:axId val="4158723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0784"/>
        <c:crosses val="autoZero"/>
        <c:auto val="1"/>
        <c:lblAlgn val="ctr"/>
        <c:lblOffset val="100"/>
        <c:noMultiLvlLbl val="0"/>
      </c:catAx>
      <c:valAx>
        <c:axId val="41587078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72352"/>
        <c:crosses val="autoZero"/>
        <c:crossBetween val="between"/>
      </c:valAx>
      <c:spPr>
        <a:noFill/>
        <a:ln>
          <a:noFill/>
        </a:ln>
        <a:effectLst/>
      </c:spPr>
    </c:plotArea>
    <c:legend>
      <c:legendPos val="b"/>
      <c:layout>
        <c:manualLayout>
          <c:xMode val="edge"/>
          <c:yMode val="edge"/>
          <c:x val="0.19890780627636068"/>
          <c:y val="0.90610661938639792"/>
          <c:w val="0.66377196964110063"/>
          <c:h val="7.66394204959642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sz="1400"/>
            </a:pPr>
            <a:r>
              <a:rPr lang="en-US" sz="1400" b="1" i="0" baseline="0">
                <a:effectLst/>
              </a:rPr>
              <a:t>at water sources, </a:t>
            </a:r>
          </a:p>
          <a:p>
            <a:pPr>
              <a:defRPr sz="1400"/>
            </a:pPr>
            <a:r>
              <a:rPr lang="en-US" sz="1400" b="1" i="0" baseline="0">
                <a:effectLst/>
              </a:rPr>
              <a:t>in Kachin</a:t>
            </a:r>
            <a:endParaRPr lang="en-US" sz="1400">
              <a:effectLst/>
            </a:endParaRPr>
          </a:p>
        </c:rich>
      </c:tx>
      <c:layout>
        <c:manualLayout>
          <c:xMode val="edge"/>
          <c:yMode val="edge"/>
          <c:x val="6.9592379601115043E-2"/>
          <c:y val="1.0830161744628197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8336002365901446"/>
          <c:y val="0.30315830989423864"/>
          <c:w val="0.42067472551846513"/>
          <c:h val="0.56783112993867646"/>
        </c:manualLayout>
      </c:layout>
      <c:pieChart>
        <c:varyColors val="1"/>
        <c:ser>
          <c:idx val="0"/>
          <c:order val="0"/>
          <c:tx>
            <c:strRef>
              <c:f>Analysis!$H$57</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8-4595-40E7-B79F-6C0F1E417323}"/>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C-4595-40E7-B79F-6C0F1E417323}"/>
              </c:ext>
            </c:extLst>
          </c:dPt>
          <c:dLbls>
            <c:dLbl>
              <c:idx val="0"/>
              <c:layout>
                <c:manualLayout>
                  <c:x val="-3.6131720061490048E-2"/>
                  <c:y val="0.142174695411981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4595-40E7-B79F-6C0F1E417323}"/>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Analysis!$J$56:$K$56</c:f>
              <c:strCache>
                <c:ptCount val="2"/>
                <c:pt idx="0">
                  <c:v>Tested</c:v>
                </c:pt>
                <c:pt idx="1">
                  <c:v>No Test</c:v>
                </c:pt>
              </c:strCache>
            </c:strRef>
          </c:cat>
          <c:val>
            <c:numRef>
              <c:f>Analysis!$J$57:$K$57</c:f>
              <c:numCache>
                <c:formatCode>General</c:formatCode>
                <c:ptCount val="2"/>
                <c:pt idx="0">
                  <c:v>19</c:v>
                </c:pt>
                <c:pt idx="1">
                  <c:v>100</c:v>
                </c:pt>
              </c:numCache>
            </c:numRef>
          </c:val>
          <c:extLst>
            <c:ext xmlns:c16="http://schemas.microsoft.com/office/drawing/2014/chart" uri="{C3380CC4-5D6E-409C-BE32-E72D297353CC}">
              <c16:uniqueId val="{00000000-4595-40E7-B79F-6C0F1E417323}"/>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Analysis!$H$58</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5-5C4C-409D-A3A5-0103C148A17F}"/>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7-5C4C-409D-A3A5-0103C148A17F}"/>
                    </c:ext>
                  </c:extLst>
                </c:dPt>
                <c:cat>
                  <c:strRef>
                    <c:extLst>
                      <c:ext uri="{02D57815-91ED-43cb-92C2-25804820EDAC}">
                        <c15:formulaRef>
                          <c15:sqref>Analysis!$J$56:$K$56</c15:sqref>
                        </c15:formulaRef>
                      </c:ext>
                    </c:extLst>
                    <c:strCache>
                      <c:ptCount val="2"/>
                      <c:pt idx="0">
                        <c:v>Tested</c:v>
                      </c:pt>
                      <c:pt idx="1">
                        <c:v>No Test</c:v>
                      </c:pt>
                    </c:strCache>
                  </c:strRef>
                </c:cat>
                <c:val>
                  <c:numRef>
                    <c:extLst>
                      <c:ext uri="{02D57815-91ED-43cb-92C2-25804820EDAC}">
                        <c15:formulaRef>
                          <c15:sqref>Analysis!$J$58:$K$58</c15:sqref>
                        </c15:formulaRef>
                      </c:ext>
                    </c:extLst>
                    <c:numCache>
                      <c:formatCode>General</c:formatCode>
                      <c:ptCount val="2"/>
                      <c:pt idx="0">
                        <c:v>0</c:v>
                      </c:pt>
                      <c:pt idx="1">
                        <c:v>28</c:v>
                      </c:pt>
                    </c:numCache>
                  </c:numRef>
                </c:val>
                <c:extLst>
                  <c:ext xmlns:c16="http://schemas.microsoft.com/office/drawing/2014/chart" uri="{C3380CC4-5D6E-409C-BE32-E72D297353CC}">
                    <c16:uniqueId val="{0000000D-4595-40E7-B79F-6C0F1E41732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Analysis!$H$59</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9-5C4C-409D-A3A5-0103C148A17F}"/>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5C4C-409D-A3A5-0103C148A17F}"/>
                    </c:ext>
                  </c:extLst>
                </c:dPt>
                <c:cat>
                  <c:strRef>
                    <c:extLst xmlns:c15="http://schemas.microsoft.com/office/drawing/2012/chart">
                      <c:ext xmlns:c15="http://schemas.microsoft.com/office/drawing/2012/chart" uri="{02D57815-91ED-43cb-92C2-25804820EDAC}">
                        <c15:formulaRef>
                          <c15:sqref>Analysis!$J$56:$K$56</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Analysis!$J$59:$K$59</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4595-40E7-B79F-6C0F1E417323}"/>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 of Sites which made water quality test </a:t>
            </a:r>
            <a:endParaRPr lang="en-US" sz="1200">
              <a:effectLst/>
            </a:endParaRPr>
          </a:p>
          <a:p>
            <a:pPr>
              <a:defRPr sz="1200"/>
            </a:pPr>
            <a:r>
              <a:rPr lang="en-US" sz="1200" b="1" i="0" baseline="0">
                <a:effectLst/>
              </a:rPr>
              <a:t>at water sources, </a:t>
            </a:r>
          </a:p>
          <a:p>
            <a:pPr>
              <a:defRPr sz="1200"/>
            </a:pPr>
            <a:r>
              <a:rPr lang="en-US" sz="1200" b="1" i="0" baseline="0">
                <a:effectLst/>
              </a:rPr>
              <a:t>in Northern Shan</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8683281981056713"/>
          <c:y val="0.31795388237414529"/>
          <c:w val="0.314710487276047"/>
          <c:h val="0.62131684183253921"/>
        </c:manualLayout>
      </c:layout>
      <c:pieChart>
        <c:varyColors val="1"/>
        <c:ser>
          <c:idx val="1"/>
          <c:order val="1"/>
          <c:tx>
            <c:strRef>
              <c:f>Analysis!$H$58</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A6D4-4BA5-AFB7-3712F0A6AC0C}"/>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A6D4-4BA5-AFB7-3712F0A6AC0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A6D4-4BA5-AFB7-3712F0A6AC0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Analysis!$J$56:$K$56</c:f>
              <c:strCache>
                <c:ptCount val="2"/>
                <c:pt idx="0">
                  <c:v>Tested</c:v>
                </c:pt>
                <c:pt idx="1">
                  <c:v>No Test</c:v>
                </c:pt>
              </c:strCache>
              <c:extLst xmlns:c15="http://schemas.microsoft.com/office/drawing/2012/chart"/>
            </c:strRef>
          </c:cat>
          <c:val>
            <c:numRef>
              <c:f>Analysis!$J$58:$K$58</c:f>
              <c:numCache>
                <c:formatCode>General</c:formatCode>
                <c:ptCount val="2"/>
                <c:pt idx="0">
                  <c:v>0</c:v>
                </c:pt>
                <c:pt idx="1">
                  <c:v>28</c:v>
                </c:pt>
              </c:numCache>
              <c:extLst xmlns:c15="http://schemas.microsoft.com/office/drawing/2012/chart"/>
            </c:numRef>
          </c:val>
          <c:extLst>
            <c:ext xmlns:c16="http://schemas.microsoft.com/office/drawing/2014/chart" uri="{C3380CC4-5D6E-409C-BE32-E72D297353CC}">
              <c16:uniqueId val="{0000000E-A6D4-4BA5-AFB7-3712F0A6AC0C}"/>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Analysis!$H$57</c15:sqref>
                        </c15:formulaRef>
                      </c:ext>
                    </c:extLst>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6-A6D4-4BA5-AFB7-3712F0A6AC0C}"/>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8-A6D4-4BA5-AFB7-3712F0A6AC0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6-A6D4-4BA5-AFB7-3712F0A6AC0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Analysis!$J$56:$K$56</c15:sqref>
                        </c15:formulaRef>
                      </c:ext>
                    </c:extLst>
                    <c:strCache>
                      <c:ptCount val="2"/>
                      <c:pt idx="0">
                        <c:v>Tested</c:v>
                      </c:pt>
                      <c:pt idx="1">
                        <c:v>No Test</c:v>
                      </c:pt>
                    </c:strCache>
                  </c:strRef>
                </c:cat>
                <c:val>
                  <c:numRef>
                    <c:extLst>
                      <c:ext uri="{02D57815-91ED-43cb-92C2-25804820EDAC}">
                        <c15:formulaRef>
                          <c15:sqref>Analysis!$J$57:$K$57</c15:sqref>
                        </c15:formulaRef>
                      </c:ext>
                    </c:extLst>
                    <c:numCache>
                      <c:formatCode>General</c:formatCode>
                      <c:ptCount val="2"/>
                      <c:pt idx="0">
                        <c:v>19</c:v>
                      </c:pt>
                      <c:pt idx="1">
                        <c:v>100</c:v>
                      </c:pt>
                    </c:numCache>
                  </c:numRef>
                </c:val>
                <c:extLst>
                  <c:ext xmlns:c16="http://schemas.microsoft.com/office/drawing/2014/chart" uri="{C3380CC4-5D6E-409C-BE32-E72D297353CC}">
                    <c16:uniqueId val="{00000009-A6D4-4BA5-AFB7-3712F0A6AC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Analysis!$H$59</c15:sqref>
                        </c15:formulaRef>
                      </c:ext>
                    </c:extLst>
                    <c:strCache>
                      <c:ptCount val="1"/>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A6D4-4BA5-AFB7-3712F0A6AC0C}"/>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A6D4-4BA5-AFB7-3712F0A6AC0C}"/>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01-A6D4-4BA5-AFB7-3712F0A6AC0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Analysis!$J$56:$K$56</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Analysis!$J$59:$K$59</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A6D4-4BA5-AFB7-3712F0A6AC0C}"/>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Water</a:t>
            </a:r>
            <a:r>
              <a:rPr lang="en-US" sz="1400" baseline="0"/>
              <a:t> Source Testing &amp; Passed</a:t>
            </a:r>
            <a:endParaRPr lang="en-US" sz="1400"/>
          </a:p>
        </c:rich>
      </c:tx>
      <c:layout>
        <c:manualLayout>
          <c:xMode val="edge"/>
          <c:yMode val="edge"/>
          <c:x val="0.31292038784537074"/>
          <c:y val="2.8313189353705751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Analysis!$L$64</c:f>
              <c:strCache>
                <c:ptCount val="1"/>
                <c:pt idx="0">
                  <c:v>#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Analysis!$K$65:$K$68</c:f>
              <c:strCache>
                <c:ptCount val="4"/>
                <c:pt idx="0">
                  <c:v>2023_Q1</c:v>
                </c:pt>
                <c:pt idx="1">
                  <c:v>2023_Q2</c:v>
                </c:pt>
                <c:pt idx="2">
                  <c:v>2023_Q3</c:v>
                </c:pt>
                <c:pt idx="3">
                  <c:v>2023_Q4</c:v>
                </c:pt>
              </c:strCache>
            </c:strRef>
          </c:cat>
          <c:val>
            <c:numRef>
              <c:f>Analysis!$L$65:$L$68</c:f>
              <c:numCache>
                <c:formatCode>General</c:formatCode>
                <c:ptCount val="4"/>
                <c:pt idx="0">
                  <c:v>36</c:v>
                </c:pt>
                <c:pt idx="1">
                  <c:v>121</c:v>
                </c:pt>
                <c:pt idx="2">
                  <c:v>0</c:v>
                </c:pt>
                <c:pt idx="3">
                  <c:v>0</c:v>
                </c:pt>
              </c:numCache>
            </c:numRef>
          </c:val>
          <c:extLst>
            <c:ext xmlns:c16="http://schemas.microsoft.com/office/drawing/2014/chart" uri="{C3380CC4-5D6E-409C-BE32-E72D297353CC}">
              <c16:uniqueId val="{00000000-F935-4EB7-A6DD-5FF2CD715C68}"/>
            </c:ext>
          </c:extLst>
        </c:ser>
        <c:ser>
          <c:idx val="1"/>
          <c:order val="1"/>
          <c:tx>
            <c:strRef>
              <c:f>Analysis!$M$64</c:f>
              <c:strCache>
                <c:ptCount val="1"/>
                <c:pt idx="0">
                  <c:v>#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Analysis!$K$65:$K$68</c:f>
              <c:strCache>
                <c:ptCount val="4"/>
                <c:pt idx="0">
                  <c:v>2023_Q1</c:v>
                </c:pt>
                <c:pt idx="1">
                  <c:v>2023_Q2</c:v>
                </c:pt>
                <c:pt idx="2">
                  <c:v>2023_Q3</c:v>
                </c:pt>
                <c:pt idx="3">
                  <c:v>2023_Q4</c:v>
                </c:pt>
              </c:strCache>
            </c:strRef>
          </c:cat>
          <c:val>
            <c:numRef>
              <c:f>Analysis!$M$65:$M$68</c:f>
              <c:numCache>
                <c:formatCode>General</c:formatCode>
                <c:ptCount val="4"/>
                <c:pt idx="0">
                  <c:v>37</c:v>
                </c:pt>
                <c:pt idx="1">
                  <c:v>108</c:v>
                </c:pt>
                <c:pt idx="2">
                  <c:v>0</c:v>
                </c:pt>
                <c:pt idx="3">
                  <c:v>0</c:v>
                </c:pt>
              </c:numCache>
            </c:numRef>
          </c:val>
          <c:extLst>
            <c:ext xmlns:c16="http://schemas.microsoft.com/office/drawing/2014/chart" uri="{C3380CC4-5D6E-409C-BE32-E72D297353CC}">
              <c16:uniqueId val="{00000001-F935-4EB7-A6DD-5FF2CD715C68}"/>
            </c:ext>
          </c:extLst>
        </c:ser>
        <c:dLbls>
          <c:showLegendKey val="0"/>
          <c:showVal val="0"/>
          <c:showCatName val="0"/>
          <c:showSerName val="0"/>
          <c:showPercent val="0"/>
          <c:showBubbleSize val="0"/>
        </c:dLbls>
        <c:gapWidth val="15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a:pPr>
            <a:r>
              <a:rPr lang="en-US" sz="1400" b="1" i="0" baseline="0">
                <a:effectLst/>
              </a:rPr>
              <a:t>at household, </a:t>
            </a:r>
            <a:endParaRPr lang="en-US" sz="1400">
              <a:effectLst/>
            </a:endParaRPr>
          </a:p>
          <a:p>
            <a:pPr>
              <a:defRPr/>
            </a:pPr>
            <a:r>
              <a:rPr lang="en-US" sz="1400" b="1" i="0" baseline="0">
                <a:effectLst/>
              </a:rPr>
              <a:t>in Kachin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7094460732583057"/>
          <c:y val="0.32044659190328484"/>
          <c:w val="0.33702595389173745"/>
          <c:h val="0.51766682573769185"/>
        </c:manualLayout>
      </c:layout>
      <c:pieChart>
        <c:varyColors val="1"/>
        <c:ser>
          <c:idx val="0"/>
          <c:order val="0"/>
          <c:tx>
            <c:strRef>
              <c:f>Analysis!$V$57</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9-145C-4BDE-A747-E22127BA9BBA}"/>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145C-4BDE-A747-E22127BA9BBA}"/>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9-145C-4BDE-A747-E22127BA9BB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Analysis!$X$56:$Y$56</c:f>
              <c:strCache>
                <c:ptCount val="2"/>
                <c:pt idx="0">
                  <c:v>Tested</c:v>
                </c:pt>
                <c:pt idx="1">
                  <c:v>No test</c:v>
                </c:pt>
              </c:strCache>
            </c:strRef>
          </c:cat>
          <c:val>
            <c:numRef>
              <c:f>Analysis!$X$57:$Y$57</c:f>
              <c:numCache>
                <c:formatCode>General</c:formatCode>
                <c:ptCount val="2"/>
                <c:pt idx="0">
                  <c:v>18</c:v>
                </c:pt>
                <c:pt idx="1">
                  <c:v>101</c:v>
                </c:pt>
              </c:numCache>
            </c:numRef>
          </c:val>
          <c:extLst>
            <c:ext xmlns:c16="http://schemas.microsoft.com/office/drawing/2014/chart" uri="{C3380CC4-5D6E-409C-BE32-E72D297353CC}">
              <c16:uniqueId val="{00000000-145C-4BDE-A747-E22127BA9BBA}"/>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Analysis!$V$58</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5-88F0-4740-8197-C333F6E5CE3C}"/>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7-88F0-4740-8197-C333F6E5CE3C}"/>
                    </c:ext>
                  </c:extLst>
                </c:dPt>
                <c:cat>
                  <c:strRef>
                    <c:extLst>
                      <c:ext uri="{02D57815-91ED-43cb-92C2-25804820EDAC}">
                        <c15:formulaRef>
                          <c15:sqref>Analysis!$X$56:$Y$56</c15:sqref>
                        </c15:formulaRef>
                      </c:ext>
                    </c:extLst>
                    <c:strCache>
                      <c:ptCount val="2"/>
                      <c:pt idx="0">
                        <c:v>Tested</c:v>
                      </c:pt>
                      <c:pt idx="1">
                        <c:v>No test</c:v>
                      </c:pt>
                    </c:strCache>
                  </c:strRef>
                </c:cat>
                <c:val>
                  <c:numRef>
                    <c:extLst>
                      <c:ext uri="{02D57815-91ED-43cb-92C2-25804820EDAC}">
                        <c15:formulaRef>
                          <c15:sqref>Analysis!$X$58:$Y$58</c15:sqref>
                        </c15:formulaRef>
                      </c:ext>
                    </c:extLst>
                    <c:numCache>
                      <c:formatCode>General</c:formatCode>
                      <c:ptCount val="2"/>
                      <c:pt idx="0">
                        <c:v>0</c:v>
                      </c:pt>
                      <c:pt idx="1">
                        <c:v>34</c:v>
                      </c:pt>
                    </c:numCache>
                  </c:numRef>
                </c:val>
                <c:extLst>
                  <c:ext xmlns:c16="http://schemas.microsoft.com/office/drawing/2014/chart" uri="{C3380CC4-5D6E-409C-BE32-E72D297353CC}">
                    <c16:uniqueId val="{00000001-145C-4BDE-A747-E22127BA9BBA}"/>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Analysis!$V$59</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9-88F0-4740-8197-C333F6E5CE3C}"/>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88F0-4740-8197-C333F6E5CE3C}"/>
                    </c:ext>
                  </c:extLst>
                </c:dPt>
                <c:cat>
                  <c:strRef>
                    <c:extLst xmlns:c15="http://schemas.microsoft.com/office/drawing/2012/chart">
                      <c:ext xmlns:c15="http://schemas.microsoft.com/office/drawing/2012/chart" uri="{02D57815-91ED-43cb-92C2-25804820EDAC}">
                        <c15:formulaRef>
                          <c15:sqref>Analysis!$X$56:$Y$56</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Analysis!$X$59:$Y$59</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2-145C-4BDE-A747-E22127BA9BBA}"/>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a:pPr>
            <a:r>
              <a:rPr lang="en-US" sz="1400" b="1" i="0" baseline="0">
                <a:effectLst/>
              </a:rPr>
              <a:t>at household, </a:t>
            </a:r>
            <a:endParaRPr lang="en-US" sz="1400">
              <a:effectLst/>
            </a:endParaRPr>
          </a:p>
          <a:p>
            <a:pPr>
              <a:defRPr/>
            </a:pPr>
            <a:r>
              <a:rPr lang="en-US" sz="1400" b="1" i="0" baseline="0">
                <a:effectLst/>
              </a:rPr>
              <a:t>in Northern Shan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2710694251453865"/>
          <c:y val="0.32853195982081185"/>
          <c:w val="0.35559029386032626"/>
          <c:h val="0.54541669133463577"/>
        </c:manualLayout>
      </c:layout>
      <c:pieChart>
        <c:varyColors val="1"/>
        <c:ser>
          <c:idx val="1"/>
          <c:order val="1"/>
          <c:tx>
            <c:strRef>
              <c:f>Analysis!$V$58</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EEE7-487F-B3C3-D4E58A56A3D4}"/>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EEE7-487F-B3C3-D4E58A56A3D4}"/>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EEE7-487F-B3C3-D4E58A56A3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Analysis!$X$56:$Y$56</c:f>
              <c:strCache>
                <c:ptCount val="2"/>
                <c:pt idx="0">
                  <c:v>Tested</c:v>
                </c:pt>
                <c:pt idx="1">
                  <c:v>No test</c:v>
                </c:pt>
              </c:strCache>
              <c:extLst xmlns:c15="http://schemas.microsoft.com/office/drawing/2012/chart"/>
            </c:strRef>
          </c:cat>
          <c:val>
            <c:numRef>
              <c:f>Analysis!$X$58:$Y$58</c:f>
              <c:numCache>
                <c:formatCode>General</c:formatCode>
                <c:ptCount val="2"/>
                <c:pt idx="0">
                  <c:v>0</c:v>
                </c:pt>
                <c:pt idx="1">
                  <c:v>34</c:v>
                </c:pt>
              </c:numCache>
              <c:extLst xmlns:c15="http://schemas.microsoft.com/office/drawing/2012/chart"/>
            </c:numRef>
          </c:val>
          <c:extLst>
            <c:ext xmlns:c16="http://schemas.microsoft.com/office/drawing/2014/chart" uri="{C3380CC4-5D6E-409C-BE32-E72D297353CC}">
              <c16:uniqueId val="{0000000E-EEE7-487F-B3C3-D4E58A56A3D4}"/>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Analysis!$V$57</c15:sqref>
                        </c15:formulaRef>
                      </c:ext>
                    </c:extLst>
                    <c:strCache>
                      <c:ptCount val="1"/>
                      <c:pt idx="0">
                        <c:v>Kachin</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EEE7-487F-B3C3-D4E58A56A3D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EEE7-487F-B3C3-D4E58A56A3D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Analysis!$X$56:$Y$56</c15:sqref>
                        </c15:formulaRef>
                      </c:ext>
                    </c:extLst>
                    <c:strCache>
                      <c:ptCount val="2"/>
                      <c:pt idx="0">
                        <c:v>Tested</c:v>
                      </c:pt>
                      <c:pt idx="1">
                        <c:v>No test</c:v>
                      </c:pt>
                    </c:strCache>
                  </c:strRef>
                </c:cat>
                <c:val>
                  <c:numRef>
                    <c:extLst>
                      <c:ext uri="{02D57815-91ED-43cb-92C2-25804820EDAC}">
                        <c15:formulaRef>
                          <c15:sqref>Analysis!$X$57:$Y$57</c15:sqref>
                        </c15:formulaRef>
                      </c:ext>
                    </c:extLst>
                    <c:numCache>
                      <c:formatCode>General</c:formatCode>
                      <c:ptCount val="2"/>
                      <c:pt idx="0">
                        <c:v>18</c:v>
                      </c:pt>
                      <c:pt idx="1">
                        <c:v>101</c:v>
                      </c:pt>
                    </c:numCache>
                  </c:numRef>
                </c:val>
                <c:extLst>
                  <c:ext xmlns:c16="http://schemas.microsoft.com/office/drawing/2014/chart" uri="{C3380CC4-5D6E-409C-BE32-E72D297353CC}">
                    <c16:uniqueId val="{00000009-EEE7-487F-B3C3-D4E58A56A3D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Analysis!$V$59</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1-EEE7-487F-B3C3-D4E58A56A3D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3-EEE7-487F-B3C3-D4E58A56A3D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Analysis!$X$56:$Y$56</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Analysis!$X$59:$Y$59</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EEE7-487F-B3C3-D4E58A56A3D4}"/>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Household Testing &amp; Passed</a:t>
            </a:r>
            <a:endParaRPr lang="en-US" sz="1400">
              <a:effectLst/>
            </a:endParaRPr>
          </a:p>
        </c:rich>
      </c:tx>
      <c:layout>
        <c:manualLayout>
          <c:xMode val="edge"/>
          <c:yMode val="edge"/>
          <c:x val="0.3396133439197449"/>
          <c:y val="4.310677667380304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Analysis!$Z$62</c:f>
              <c:strCache>
                <c:ptCount val="1"/>
                <c:pt idx="0">
                  <c:v> #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Analysis!$Y$63:$Y$66</c:f>
              <c:strCache>
                <c:ptCount val="4"/>
                <c:pt idx="0">
                  <c:v>2023_Q1</c:v>
                </c:pt>
                <c:pt idx="1">
                  <c:v>2023_Q2</c:v>
                </c:pt>
                <c:pt idx="2">
                  <c:v>2023_Q3</c:v>
                </c:pt>
                <c:pt idx="3">
                  <c:v>2023_Q4</c:v>
                </c:pt>
              </c:strCache>
            </c:strRef>
          </c:cat>
          <c:val>
            <c:numRef>
              <c:f>Analysis!$Z$63:$Z$66</c:f>
              <c:numCache>
                <c:formatCode>General</c:formatCode>
                <c:ptCount val="4"/>
                <c:pt idx="0">
                  <c:v>132</c:v>
                </c:pt>
                <c:pt idx="1">
                  <c:v>153</c:v>
                </c:pt>
              </c:numCache>
            </c:numRef>
          </c:val>
          <c:extLst>
            <c:ext xmlns:c16="http://schemas.microsoft.com/office/drawing/2014/chart" uri="{C3380CC4-5D6E-409C-BE32-E72D297353CC}">
              <c16:uniqueId val="{00000000-A528-4231-8455-2E23C4C4DBA8}"/>
            </c:ext>
          </c:extLst>
        </c:ser>
        <c:ser>
          <c:idx val="1"/>
          <c:order val="1"/>
          <c:tx>
            <c:strRef>
              <c:f>Analysis!$AA$62</c:f>
              <c:strCache>
                <c:ptCount val="1"/>
                <c:pt idx="0">
                  <c:v> # Household received remediation action</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Analysis!$Y$63:$Y$66</c:f>
              <c:strCache>
                <c:ptCount val="4"/>
                <c:pt idx="0">
                  <c:v>2023_Q1</c:v>
                </c:pt>
                <c:pt idx="1">
                  <c:v>2023_Q2</c:v>
                </c:pt>
                <c:pt idx="2">
                  <c:v>2023_Q3</c:v>
                </c:pt>
                <c:pt idx="3">
                  <c:v>2023_Q4</c:v>
                </c:pt>
              </c:strCache>
            </c:strRef>
          </c:cat>
          <c:val>
            <c:numRef>
              <c:f>Analysis!$AA$63:$AA$66</c:f>
              <c:numCache>
                <c:formatCode>General</c:formatCode>
                <c:ptCount val="4"/>
                <c:pt idx="0">
                  <c:v>128</c:v>
                </c:pt>
                <c:pt idx="1">
                  <c:v>137</c:v>
                </c:pt>
              </c:numCache>
            </c:numRef>
          </c:val>
          <c:extLst>
            <c:ext xmlns:c16="http://schemas.microsoft.com/office/drawing/2014/chart" uri="{C3380CC4-5D6E-409C-BE32-E72D297353CC}">
              <c16:uniqueId val="{00000001-A528-4231-8455-2E23C4C4DBA8}"/>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valAx>
      <c:spPr>
        <a:noFill/>
        <a:ln>
          <a:noFill/>
        </a:ln>
        <a:effectLst/>
      </c:spPr>
    </c:plotArea>
    <c:legend>
      <c:legendPos val="b"/>
      <c:layout>
        <c:manualLayout>
          <c:xMode val="edge"/>
          <c:yMode val="edge"/>
          <c:x val="0.15863310773444289"/>
          <c:y val="0.91366017850991954"/>
          <c:w val="0.68830770108585926"/>
          <c:h val="8.63398214900804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Household received Soaps  </a:t>
            </a:r>
          </a:p>
          <a:p>
            <a:pPr>
              <a:defRPr sz="1400"/>
            </a:pPr>
            <a:r>
              <a:rPr lang="en-US" sz="1400" b="1" i="0" baseline="0">
                <a:effectLst/>
              </a:rPr>
              <a:t>Kachin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Analysis!$H$243</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Analysis!$G$244:$G$245</c:f>
              <c:strCache>
                <c:ptCount val="2"/>
                <c:pt idx="0">
                  <c:v>GCA (25% of HH targeted)</c:v>
                </c:pt>
                <c:pt idx="1">
                  <c:v>NGCA (100% HH targeted)</c:v>
                </c:pt>
              </c:strCache>
            </c:strRef>
          </c:cat>
          <c:val>
            <c:numRef>
              <c:f>Analysis!$H$244:$H$245</c:f>
              <c:numCache>
                <c:formatCode>General</c:formatCode>
                <c:ptCount val="2"/>
                <c:pt idx="0">
                  <c:v>1240</c:v>
                </c:pt>
                <c:pt idx="1">
                  <c:v>1350</c:v>
                </c:pt>
              </c:numCache>
            </c:numRef>
          </c:val>
          <c:extLst>
            <c:ext xmlns:c16="http://schemas.microsoft.com/office/drawing/2014/chart" uri="{C3380CC4-5D6E-409C-BE32-E72D297353CC}">
              <c16:uniqueId val="{00000000-508F-4540-BAAC-3440C3BC2E85}"/>
            </c:ext>
          </c:extLst>
        </c:ser>
        <c:ser>
          <c:idx val="1"/>
          <c:order val="1"/>
          <c:tx>
            <c:strRef>
              <c:f>Analysis!$I$243</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Analysis!$G$244:$G$245</c:f>
              <c:strCache>
                <c:ptCount val="2"/>
                <c:pt idx="0">
                  <c:v>GCA (25% of HH targeted)</c:v>
                </c:pt>
                <c:pt idx="1">
                  <c:v>NGCA (100% HH targeted)</c:v>
                </c:pt>
              </c:strCache>
            </c:strRef>
          </c:cat>
          <c:val>
            <c:numRef>
              <c:f>Analysis!$I$244:$I$245</c:f>
              <c:numCache>
                <c:formatCode>0</c:formatCode>
                <c:ptCount val="2"/>
                <c:pt idx="0">
                  <c:v>941</c:v>
                </c:pt>
                <c:pt idx="1">
                  <c:v>7281.2000000000007</c:v>
                </c:pt>
              </c:numCache>
            </c:numRef>
          </c:val>
          <c:extLst>
            <c:ext xmlns:c16="http://schemas.microsoft.com/office/drawing/2014/chart" uri="{C3380CC4-5D6E-409C-BE32-E72D297353CC}">
              <c16:uniqueId val="{00000001-508F-4540-BAAC-3440C3BC2E85}"/>
            </c:ext>
          </c:extLst>
        </c:ser>
        <c:dLbls>
          <c:showLegendKey val="0"/>
          <c:showVal val="0"/>
          <c:showCatName val="0"/>
          <c:showSerName val="0"/>
          <c:showPercent val="0"/>
          <c:showBubbleSize val="0"/>
        </c:dLbls>
        <c:gapWidth val="150"/>
        <c:overlap val="100"/>
        <c:axId val="1684725999"/>
        <c:axId val="1593779647"/>
      </c:barChart>
      <c:catAx>
        <c:axId val="168472599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593779647"/>
        <c:crosses val="autoZero"/>
        <c:auto val="1"/>
        <c:lblAlgn val="ctr"/>
        <c:lblOffset val="100"/>
        <c:noMultiLvlLbl val="0"/>
      </c:catAx>
      <c:valAx>
        <c:axId val="159377964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847259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women and girls received Sanitary Pads  </a:t>
            </a:r>
            <a:endParaRPr lang="en-US" sz="1400">
              <a:effectLst/>
            </a:endParaRPr>
          </a:p>
          <a:p>
            <a:pPr>
              <a:defRPr/>
            </a:pPr>
            <a:r>
              <a:rPr lang="en-US" sz="1400" b="1" i="0" baseline="0">
                <a:effectLst/>
              </a:rPr>
              <a:t>Kachin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Analysis!$L$243</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Analysis!$K$244:$K$245</c:f>
              <c:strCache>
                <c:ptCount val="2"/>
                <c:pt idx="0">
                  <c:v>GCA (29% of Total population)</c:v>
                </c:pt>
                <c:pt idx="1">
                  <c:v>NGCA  (29% of Total population)</c:v>
                </c:pt>
              </c:strCache>
            </c:strRef>
          </c:cat>
          <c:val>
            <c:numRef>
              <c:f>Analysis!$L$244:$L$245</c:f>
              <c:numCache>
                <c:formatCode>0</c:formatCode>
                <c:ptCount val="2"/>
                <c:pt idx="0">
                  <c:v>1457</c:v>
                </c:pt>
                <c:pt idx="1">
                  <c:v>1300</c:v>
                </c:pt>
              </c:numCache>
            </c:numRef>
          </c:val>
          <c:extLst>
            <c:ext xmlns:c16="http://schemas.microsoft.com/office/drawing/2014/chart" uri="{C3380CC4-5D6E-409C-BE32-E72D297353CC}">
              <c16:uniqueId val="{00000000-60D0-4AE6-A456-9C602536AFEE}"/>
            </c:ext>
          </c:extLst>
        </c:ser>
        <c:ser>
          <c:idx val="1"/>
          <c:order val="1"/>
          <c:tx>
            <c:strRef>
              <c:f>Analysis!$M$243</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Analysis!$K$244:$K$245</c:f>
              <c:strCache>
                <c:ptCount val="2"/>
                <c:pt idx="0">
                  <c:v>GCA (29% of Total population)</c:v>
                </c:pt>
                <c:pt idx="1">
                  <c:v>NGCA  (29% of Total population)</c:v>
                </c:pt>
              </c:strCache>
            </c:strRef>
          </c:cat>
          <c:val>
            <c:numRef>
              <c:f>Analysis!$M$244:$M$245</c:f>
              <c:numCache>
                <c:formatCode>0</c:formatCode>
                <c:ptCount val="2"/>
                <c:pt idx="0">
                  <c:v>11851.97</c:v>
                </c:pt>
                <c:pt idx="1">
                  <c:v>11645.89</c:v>
                </c:pt>
              </c:numCache>
            </c:numRef>
          </c:val>
          <c:extLst>
            <c:ext xmlns:c16="http://schemas.microsoft.com/office/drawing/2014/chart" uri="{C3380CC4-5D6E-409C-BE32-E72D297353CC}">
              <c16:uniqueId val="{00000001-60D0-4AE6-A456-9C602536AFEE}"/>
            </c:ext>
          </c:extLst>
        </c:ser>
        <c:dLbls>
          <c:dLblPos val="ctr"/>
          <c:showLegendKey val="0"/>
          <c:showVal val="1"/>
          <c:showCatName val="0"/>
          <c:showSerName val="0"/>
          <c:showPercent val="0"/>
          <c:showBubbleSize val="0"/>
        </c:dLbls>
        <c:gapWidth val="150"/>
        <c:overlap val="100"/>
        <c:axId val="1699425183"/>
        <c:axId val="1677220319"/>
      </c:barChart>
      <c:catAx>
        <c:axId val="169942518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677220319"/>
        <c:crosses val="autoZero"/>
        <c:auto val="1"/>
        <c:lblAlgn val="ctr"/>
        <c:lblOffset val="100"/>
        <c:noMultiLvlLbl val="0"/>
      </c:catAx>
      <c:valAx>
        <c:axId val="1677220319"/>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994251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[20230728_Myanmar_WASH_4W_2023_Q2_KachinShan_camp_Consolidate.xlsx]Analysis!PivotTable1</c:name>
    <c:fmtId val="27"/>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People access to functioning</a:t>
            </a:r>
            <a:r>
              <a:rPr lang="en-US" baseline="0"/>
              <a:t> latrine</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Analysis!$P$124</c:f>
              <c:strCache>
                <c:ptCount val="1"/>
                <c:pt idx="0">
                  <c:v>Accessed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Analysis!$O$125:$O$126</c:f>
              <c:strCache>
                <c:ptCount val="2"/>
                <c:pt idx="0">
                  <c:v>GCA</c:v>
                </c:pt>
                <c:pt idx="1">
                  <c:v>NGCA</c:v>
                </c:pt>
              </c:strCache>
            </c:strRef>
          </c:cat>
          <c:val>
            <c:numRef>
              <c:f>Analysis!$P$125:$P$126</c:f>
              <c:numCache>
                <c:formatCode>_(* #,##0_);_(* \(#,##0\);_(* "-"??_);_(@_)</c:formatCode>
                <c:ptCount val="2"/>
                <c:pt idx="0">
                  <c:v>35427</c:v>
                </c:pt>
                <c:pt idx="1">
                  <c:v>36138</c:v>
                </c:pt>
              </c:numCache>
            </c:numRef>
          </c:val>
          <c:extLst>
            <c:ext xmlns:c16="http://schemas.microsoft.com/office/drawing/2014/chart" uri="{C3380CC4-5D6E-409C-BE32-E72D297353CC}">
              <c16:uniqueId val="{00000001-9769-432A-AA7F-7BA9E82BFE53}"/>
            </c:ext>
          </c:extLst>
        </c:ser>
        <c:ser>
          <c:idx val="1"/>
          <c:order val="1"/>
          <c:tx>
            <c:strRef>
              <c:f>Analysis!$Q$124</c:f>
              <c:strCache>
                <c:ptCount val="1"/>
                <c:pt idx="0">
                  <c:v>Not-accessed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Analysis!$O$125:$O$126</c:f>
              <c:strCache>
                <c:ptCount val="2"/>
                <c:pt idx="0">
                  <c:v>GCA</c:v>
                </c:pt>
                <c:pt idx="1">
                  <c:v>NGCA</c:v>
                </c:pt>
              </c:strCache>
            </c:strRef>
          </c:cat>
          <c:val>
            <c:numRef>
              <c:f>Analysis!$Q$125:$Q$126</c:f>
              <c:numCache>
                <c:formatCode>_(* #,##0_);_(* \(#,##0\);_(* "-"??_);_(@_)</c:formatCode>
                <c:ptCount val="2"/>
                <c:pt idx="0">
                  <c:v>10466</c:v>
                </c:pt>
                <c:pt idx="1">
                  <c:v>8503</c:v>
                </c:pt>
              </c:numCache>
            </c:numRef>
          </c:val>
          <c:extLst>
            <c:ext xmlns:c16="http://schemas.microsoft.com/office/drawing/2014/chart" uri="{C3380CC4-5D6E-409C-BE32-E72D297353CC}">
              <c16:uniqueId val="{00000002-9769-432A-AA7F-7BA9E82BFE53}"/>
            </c:ext>
          </c:extLst>
        </c:ser>
        <c:dLbls>
          <c:dLblPos val="ctr"/>
          <c:showLegendKey val="0"/>
          <c:showVal val="1"/>
          <c:showCatName val="0"/>
          <c:showSerName val="0"/>
          <c:showPercent val="0"/>
          <c:showBubbleSize val="0"/>
        </c:dLbls>
        <c:gapWidth val="150"/>
        <c:overlap val="100"/>
        <c:axId val="732749023"/>
        <c:axId val="731231727"/>
      </c:barChart>
      <c:catAx>
        <c:axId val="7327490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231727"/>
        <c:crosses val="autoZero"/>
        <c:auto val="1"/>
        <c:lblAlgn val="ctr"/>
        <c:lblOffset val="100"/>
        <c:noMultiLvlLbl val="0"/>
      </c:catAx>
      <c:valAx>
        <c:axId val="73123172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2749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Number of ppl covered against 2023 HRP targets</a:t>
            </a:r>
            <a:endParaRPr lang="en-US"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400">
                <a:solidFill>
                  <a:srgbClr val="44546A"/>
                </a:solidFill>
              </a:defRPr>
            </a:pPr>
            <a:r>
              <a:rPr lang="en-US" sz="1400" b="1" i="0" baseline="0">
                <a:effectLst/>
              </a:rPr>
              <a:t>(Non-IDPs) </a:t>
            </a:r>
            <a:endParaRPr lang="en-US"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HRP!$S$183</c:f>
              <c:strCache>
                <c:ptCount val="1"/>
                <c:pt idx="0">
                  <c:v>Coverage</c:v>
                </c:pt>
              </c:strCache>
            </c:strRef>
          </c:tx>
          <c:spPr>
            <a:solidFill>
              <a:srgbClr val="0070C0"/>
            </a:solidFill>
            <a:ln>
              <a:noFill/>
            </a:ln>
            <a:effectLst/>
          </c:spPr>
          <c:invertIfNegative val="0"/>
          <c:dPt>
            <c:idx val="0"/>
            <c:invertIfNegative val="0"/>
            <c:bubble3D val="0"/>
            <c:spPr>
              <a:solidFill>
                <a:srgbClr val="FFFF00"/>
              </a:solidFill>
              <a:ln>
                <a:noFill/>
              </a:ln>
              <a:effectLst/>
            </c:spPr>
            <c:extLst>
              <c:ext xmlns:c16="http://schemas.microsoft.com/office/drawing/2014/chart" uri="{C3380CC4-5D6E-409C-BE32-E72D297353CC}">
                <c16:uniqueId val="{00000009-F654-4E6C-B062-4A2622CDB622}"/>
              </c:ext>
            </c:extLst>
          </c:dPt>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3-3FE3-484D-8596-F3C5C9549EEA}"/>
              </c:ext>
            </c:extLst>
          </c:dPt>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3-F379-4455-BCD4-40AFC80E23AB}"/>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9-F654-4E6C-B062-4A2622CDB622}"/>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HRP!$Q$186:$Q$189</c:f>
              <c:strCache>
                <c:ptCount val="4"/>
                <c:pt idx="0">
                  <c:v>Number of vulnerable people that are consulted, and their concerns are addressed, through dignified and inclusive WASH services.</c:v>
                </c:pt>
                <c:pt idx="1">
                  <c:v>benefitting from timely/adequate/tailored personal hygiene items and receiving appropriate/ community tailored messages that enable health seeking behavior</c:v>
                </c:pt>
                <c:pt idx="2">
                  <c:v>benefitting from a functional excreta disposal system, reducing safety/public health/environmental risks</c:v>
                </c:pt>
                <c:pt idx="3">
                  <c:v>benefitting from safe/improved drinking water, meeting demand for domestic purposes, at minimum/agreed standards</c:v>
                </c:pt>
              </c:strCache>
            </c:strRef>
          </c:cat>
          <c:val>
            <c:numRef>
              <c:f>HRP!$S$186:$S$189</c:f>
              <c:numCache>
                <c:formatCode>_(* #,##0_);_(* \(#,##0\);_(* "-"??_);_(@_)</c:formatCode>
                <c:ptCount val="4"/>
                <c:pt idx="0">
                  <c:v>27997.18</c:v>
                </c:pt>
                <c:pt idx="1">
                  <c:v>65400</c:v>
                </c:pt>
                <c:pt idx="2">
                  <c:v>24079</c:v>
                </c:pt>
                <c:pt idx="3">
                  <c:v>22112.333333333336</c:v>
                </c:pt>
              </c:numCache>
            </c:numRef>
          </c:val>
          <c:extLst>
            <c:ext xmlns:c16="http://schemas.microsoft.com/office/drawing/2014/chart" uri="{C3380CC4-5D6E-409C-BE32-E72D297353CC}">
              <c16:uniqueId val="{00000000-851F-45C7-9C99-A7FF6B6487FE}"/>
            </c:ext>
          </c:extLst>
        </c:ser>
        <c:ser>
          <c:idx val="1"/>
          <c:order val="1"/>
          <c:tx>
            <c:strRef>
              <c:f>HRP!$T$183</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rgbClr val="FFFF00">
                  <a:alpha val="30196"/>
                </a:srgbClr>
              </a:solidFill>
              <a:ln>
                <a:noFill/>
              </a:ln>
              <a:effectLst/>
            </c:spPr>
            <c:extLst>
              <c:ext xmlns:c16="http://schemas.microsoft.com/office/drawing/2014/chart" uri="{C3380CC4-5D6E-409C-BE32-E72D297353CC}">
                <c16:uniqueId val="{0000000A-F654-4E6C-B062-4A2622CDB622}"/>
              </c:ext>
            </c:extLst>
          </c:dPt>
          <c:dPt>
            <c:idx val="1"/>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3FE3-484D-8596-F3C5C9549EEA}"/>
              </c:ext>
            </c:extLst>
          </c:dPt>
          <c:dPt>
            <c:idx val="2"/>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7-F379-4455-BCD4-40AFC80E23AB}"/>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HRP!$Q$186:$Q$189</c:f>
              <c:strCache>
                <c:ptCount val="4"/>
                <c:pt idx="0">
                  <c:v>Number of vulnerable people that are consulted, and their concerns are addressed, through dignified and inclusive WASH services.</c:v>
                </c:pt>
                <c:pt idx="1">
                  <c:v>benefitting from timely/adequate/tailored personal hygiene items and receiving appropriate/ community tailored messages that enable health seeking behavior</c:v>
                </c:pt>
                <c:pt idx="2">
                  <c:v>benefitting from a functional excreta disposal system, reducing safety/public health/environmental risks</c:v>
                </c:pt>
                <c:pt idx="3">
                  <c:v>benefitting from safe/improved drinking water, meeting demand for domestic purposes, at minimum/agreed standards</c:v>
                </c:pt>
              </c:strCache>
            </c:strRef>
          </c:cat>
          <c:val>
            <c:numRef>
              <c:f>HRP!$T$186:$T$189</c:f>
              <c:numCache>
                <c:formatCode>_(* #,##0_);_(* \(#,##0\);_(* "-"??_);_(@_)</c:formatCode>
                <c:ptCount val="4"/>
                <c:pt idx="1">
                  <c:v>468514.00766613043</c:v>
                </c:pt>
                <c:pt idx="2">
                  <c:v>264655.41335045081</c:v>
                </c:pt>
                <c:pt idx="3">
                  <c:v>294829.30392723571</c:v>
                </c:pt>
              </c:numCache>
            </c:numRef>
          </c:val>
          <c:extLst>
            <c:ext xmlns:c16="http://schemas.microsoft.com/office/drawing/2014/chart" uri="{C3380CC4-5D6E-409C-BE32-E72D297353CC}">
              <c16:uniqueId val="{00000001-851F-45C7-9C99-A7FF6B6487FE}"/>
            </c:ext>
          </c:extLst>
        </c:ser>
        <c:dLbls>
          <c:showLegendKey val="0"/>
          <c:showVal val="0"/>
          <c:showCatName val="0"/>
          <c:showSerName val="0"/>
          <c:showPercent val="0"/>
          <c:showBubbleSize val="0"/>
        </c:dLbls>
        <c:gapWidth val="50"/>
        <c:overlap val="100"/>
        <c:axId val="391607064"/>
        <c:axId val="391607456"/>
      </c:barChart>
      <c:catAx>
        <c:axId val="39160706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7456"/>
        <c:crosses val="autoZero"/>
        <c:auto val="1"/>
        <c:lblAlgn val="ctr"/>
        <c:lblOffset val="100"/>
        <c:noMultiLvlLbl val="0"/>
      </c:catAx>
      <c:valAx>
        <c:axId val="391607456"/>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706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[20230728_Myanmar_WASH_4W_2023_Q2_KachinShan_camp_Consolidate.xlsx]Analysis!PivotTable11</c:name>
    <c:fmtId val="31"/>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People access to functioning latrine</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Analysis!$Y$124</c:f>
              <c:strCache>
                <c:ptCount val="1"/>
                <c:pt idx="0">
                  <c:v>Accessed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Analysis!$X$125</c:f>
              <c:strCache>
                <c:ptCount val="1"/>
                <c:pt idx="0">
                  <c:v>GCA</c:v>
                </c:pt>
              </c:strCache>
            </c:strRef>
          </c:cat>
          <c:val>
            <c:numRef>
              <c:f>Analysis!$Y$125</c:f>
              <c:numCache>
                <c:formatCode>_(* #,##0_);_(* \(#,##0\);_(* "-"??_);_(@_)</c:formatCode>
                <c:ptCount val="1"/>
                <c:pt idx="0">
                  <c:v>6277</c:v>
                </c:pt>
              </c:numCache>
            </c:numRef>
          </c:val>
          <c:extLst>
            <c:ext xmlns:c16="http://schemas.microsoft.com/office/drawing/2014/chart" uri="{C3380CC4-5D6E-409C-BE32-E72D297353CC}">
              <c16:uniqueId val="{00000001-2860-460A-B57B-C1FF2C522B93}"/>
            </c:ext>
          </c:extLst>
        </c:ser>
        <c:ser>
          <c:idx val="1"/>
          <c:order val="1"/>
          <c:tx>
            <c:strRef>
              <c:f>Analysis!$Z$124</c:f>
              <c:strCache>
                <c:ptCount val="1"/>
                <c:pt idx="0">
                  <c:v>Not-accessed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Analysis!$X$125</c:f>
              <c:strCache>
                <c:ptCount val="1"/>
                <c:pt idx="0">
                  <c:v>GCA</c:v>
                </c:pt>
              </c:strCache>
            </c:strRef>
          </c:cat>
          <c:val>
            <c:numRef>
              <c:f>Analysis!$Z$125</c:f>
              <c:numCache>
                <c:formatCode>_(* #,##0_);_(* \(#,##0\);_(* "-"??_);_(@_)</c:formatCode>
                <c:ptCount val="1"/>
                <c:pt idx="0">
                  <c:v>4162</c:v>
                </c:pt>
              </c:numCache>
            </c:numRef>
          </c:val>
          <c:extLst>
            <c:ext xmlns:c16="http://schemas.microsoft.com/office/drawing/2014/chart" uri="{C3380CC4-5D6E-409C-BE32-E72D297353CC}">
              <c16:uniqueId val="{00000002-2860-460A-B57B-C1FF2C522B93}"/>
            </c:ext>
          </c:extLst>
        </c:ser>
        <c:dLbls>
          <c:showLegendKey val="0"/>
          <c:showVal val="0"/>
          <c:showCatName val="0"/>
          <c:showSerName val="0"/>
          <c:showPercent val="0"/>
          <c:showBubbleSize val="0"/>
        </c:dLbls>
        <c:gapWidth val="150"/>
        <c:overlap val="100"/>
        <c:axId val="732843423"/>
        <c:axId val="731173071"/>
      </c:barChart>
      <c:catAx>
        <c:axId val="7328434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173071"/>
        <c:crosses val="autoZero"/>
        <c:auto val="1"/>
        <c:lblAlgn val="ctr"/>
        <c:lblOffset val="100"/>
        <c:noMultiLvlLbl val="0"/>
      </c:catAx>
      <c:valAx>
        <c:axId val="731173071"/>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2843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women and girls received Sanitary Pads  </a:t>
            </a:r>
            <a:endParaRPr lang="en-US" sz="1400">
              <a:effectLst/>
            </a:endParaRPr>
          </a:p>
          <a:p>
            <a:pPr>
              <a:defRPr/>
            </a:pPr>
            <a:r>
              <a:rPr lang="en-US" sz="1400" b="1" i="0" baseline="0">
                <a:effectLst/>
              </a:rPr>
              <a:t>Shan(North)</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Analysis!$L$224</c:f>
              <c:strCache>
                <c:ptCount val="1"/>
                <c:pt idx="0">
                  <c:v>Covered</c:v>
                </c:pt>
              </c:strCache>
            </c:strRef>
          </c:tx>
          <c:spPr>
            <a:solidFill>
              <a:schemeClr val="accent6">
                <a:lumMod val="75000"/>
              </a:schemeClr>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1-690F-44CB-B473-33BAE2E627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Analysis!$K$225</c:f>
              <c:strCache>
                <c:ptCount val="1"/>
                <c:pt idx="0">
                  <c:v># women and girls received Sanitary pads
(29% of total population targeted)
</c:v>
                </c:pt>
              </c:strCache>
            </c:strRef>
          </c:cat>
          <c:val>
            <c:numRef>
              <c:f>Analysis!$L$225</c:f>
              <c:numCache>
                <c:formatCode>_(* #,##0_);_(* \(#,##0\);_(* "-"??_);_(@_)</c:formatCode>
                <c:ptCount val="1"/>
                <c:pt idx="0">
                  <c:v>28</c:v>
                </c:pt>
              </c:numCache>
            </c:numRef>
          </c:val>
          <c:extLst>
            <c:ext xmlns:c16="http://schemas.microsoft.com/office/drawing/2014/chart" uri="{C3380CC4-5D6E-409C-BE32-E72D297353CC}">
              <c16:uniqueId val="{00000000-35E5-4CBD-893B-463E52BE8668}"/>
            </c:ext>
          </c:extLst>
        </c:ser>
        <c:ser>
          <c:idx val="1"/>
          <c:order val="1"/>
          <c:tx>
            <c:strRef>
              <c:f>Analysis!$M$224</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Analysis!$K$225</c:f>
              <c:strCache>
                <c:ptCount val="1"/>
                <c:pt idx="0">
                  <c:v># women and girls received Sanitary pads
(29% of total population targeted)
</c:v>
                </c:pt>
              </c:strCache>
            </c:strRef>
          </c:cat>
          <c:val>
            <c:numRef>
              <c:f>Analysis!$M$225</c:f>
              <c:numCache>
                <c:formatCode>_(* #,##0_);_(* \(#,##0\);_(* "-"??_);_(@_)</c:formatCode>
                <c:ptCount val="1"/>
                <c:pt idx="0">
                  <c:v>6279.5</c:v>
                </c:pt>
              </c:numCache>
            </c:numRef>
          </c:val>
          <c:extLst>
            <c:ext xmlns:c16="http://schemas.microsoft.com/office/drawing/2014/chart" uri="{C3380CC4-5D6E-409C-BE32-E72D297353CC}">
              <c16:uniqueId val="{00000001-35E5-4CBD-893B-463E52BE8668}"/>
            </c:ext>
          </c:extLst>
        </c:ser>
        <c:dLbls>
          <c:showLegendKey val="0"/>
          <c:showVal val="0"/>
          <c:showCatName val="0"/>
          <c:showSerName val="0"/>
          <c:showPercent val="0"/>
          <c:showBubbleSize val="0"/>
        </c:dLbls>
        <c:gapWidth val="150"/>
        <c:overlap val="100"/>
        <c:axId val="2069970176"/>
        <c:axId val="1210588336"/>
      </c:barChart>
      <c:catAx>
        <c:axId val="20699701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210588336"/>
        <c:crosses val="autoZero"/>
        <c:auto val="1"/>
        <c:lblAlgn val="ctr"/>
        <c:lblOffset val="100"/>
        <c:noMultiLvlLbl val="0"/>
      </c:catAx>
      <c:valAx>
        <c:axId val="121058833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069970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[20230728_Myanmar_WASH_4W_2023_Q2_KachinShan_camp_Consolidate.xlsx]Analysis!PivotTable13</c:name>
    <c:fmtId val="24"/>
  </c:pivotSource>
  <c:chart>
    <c:autoTitleDeleted val="0"/>
    <c:pivotFmts>
      <c:pivotFmt>
        <c:idx val="0"/>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Analysis!$AJ$124</c:f>
              <c:strCache>
                <c:ptCount val="1"/>
                <c:pt idx="0">
                  <c:v>Reached</c:v>
                </c:pt>
              </c:strCache>
            </c:strRef>
          </c:tx>
          <c:spPr>
            <a:solidFill>
              <a:schemeClr val="accent2">
                <a:lumMod val="40000"/>
                <a:lumOff val="60000"/>
              </a:schemeClr>
            </a:solidFill>
            <a:ln>
              <a:noFill/>
            </a:ln>
            <a:effectLst/>
          </c:spPr>
          <c:invertIfNegative val="0"/>
          <c:cat>
            <c:strRef>
              <c:f>Analysis!$AI$125:$AI$137</c:f>
              <c:strCache>
                <c:ptCount val="13"/>
                <c:pt idx="0">
                  <c:v>Bhamo</c:v>
                </c:pt>
                <c:pt idx="1">
                  <c:v>Chipwi</c:v>
                </c:pt>
                <c:pt idx="2">
                  <c:v>Hpakant</c:v>
                </c:pt>
                <c:pt idx="3">
                  <c:v>Injangyang</c:v>
                </c:pt>
                <c:pt idx="4">
                  <c:v>Mansi</c:v>
                </c:pt>
                <c:pt idx="5">
                  <c:v>Mogaung</c:v>
                </c:pt>
                <c:pt idx="6">
                  <c:v>Mohnyin</c:v>
                </c:pt>
                <c:pt idx="7">
                  <c:v>Momauk</c:v>
                </c:pt>
                <c:pt idx="8">
                  <c:v>Myitkyina</c:v>
                </c:pt>
                <c:pt idx="9">
                  <c:v>Shwegu</c:v>
                </c:pt>
                <c:pt idx="10">
                  <c:v>Sumprabum</c:v>
                </c:pt>
                <c:pt idx="11">
                  <c:v>Tanai</c:v>
                </c:pt>
                <c:pt idx="12">
                  <c:v>Waingmaw</c:v>
                </c:pt>
              </c:strCache>
            </c:strRef>
          </c:cat>
          <c:val>
            <c:numRef>
              <c:f>Analysis!$AJ$125:$AJ$137</c:f>
              <c:numCache>
                <c:formatCode>General</c:formatCode>
                <c:ptCount val="13"/>
                <c:pt idx="0">
                  <c:v>311</c:v>
                </c:pt>
                <c:pt idx="1">
                  <c:v>76</c:v>
                </c:pt>
                <c:pt idx="2">
                  <c:v>171</c:v>
                </c:pt>
                <c:pt idx="3">
                  <c:v>60</c:v>
                </c:pt>
                <c:pt idx="4">
                  <c:v>1059</c:v>
                </c:pt>
                <c:pt idx="5">
                  <c:v>79</c:v>
                </c:pt>
                <c:pt idx="6">
                  <c:v>5</c:v>
                </c:pt>
                <c:pt idx="7">
                  <c:v>1578</c:v>
                </c:pt>
                <c:pt idx="8">
                  <c:v>442</c:v>
                </c:pt>
                <c:pt idx="9">
                  <c:v>27</c:v>
                </c:pt>
                <c:pt idx="10">
                  <c:v>176</c:v>
                </c:pt>
                <c:pt idx="11">
                  <c:v>63</c:v>
                </c:pt>
                <c:pt idx="12">
                  <c:v>2141</c:v>
                </c:pt>
              </c:numCache>
            </c:numRef>
          </c:val>
          <c:extLst>
            <c:ext xmlns:c16="http://schemas.microsoft.com/office/drawing/2014/chart" uri="{C3380CC4-5D6E-409C-BE32-E72D297353CC}">
              <c16:uniqueId val="{00000001-AD47-4A2A-B050-28C4E52D04CD}"/>
            </c:ext>
          </c:extLst>
        </c:ser>
        <c:ser>
          <c:idx val="1"/>
          <c:order val="1"/>
          <c:tx>
            <c:strRef>
              <c:f>Analysis!$AK$124</c:f>
              <c:strCache>
                <c:ptCount val="1"/>
                <c:pt idx="0">
                  <c:v>Target (20:1)</c:v>
                </c:pt>
              </c:strCache>
            </c:strRef>
          </c:tx>
          <c:spPr>
            <a:solidFill>
              <a:schemeClr val="accent2">
                <a:lumMod val="75000"/>
              </a:schemeClr>
            </a:solidFill>
            <a:ln>
              <a:noFill/>
            </a:ln>
            <a:effectLst/>
          </c:spPr>
          <c:invertIfNegative val="0"/>
          <c:cat>
            <c:strRef>
              <c:f>Analysis!$AI$125:$AI$137</c:f>
              <c:strCache>
                <c:ptCount val="13"/>
                <c:pt idx="0">
                  <c:v>Bhamo</c:v>
                </c:pt>
                <c:pt idx="1">
                  <c:v>Chipwi</c:v>
                </c:pt>
                <c:pt idx="2">
                  <c:v>Hpakant</c:v>
                </c:pt>
                <c:pt idx="3">
                  <c:v>Injangyang</c:v>
                </c:pt>
                <c:pt idx="4">
                  <c:v>Mansi</c:v>
                </c:pt>
                <c:pt idx="5">
                  <c:v>Mogaung</c:v>
                </c:pt>
                <c:pt idx="6">
                  <c:v>Mohnyin</c:v>
                </c:pt>
                <c:pt idx="7">
                  <c:v>Momauk</c:v>
                </c:pt>
                <c:pt idx="8">
                  <c:v>Myitkyina</c:v>
                </c:pt>
                <c:pt idx="9">
                  <c:v>Shwegu</c:v>
                </c:pt>
                <c:pt idx="10">
                  <c:v>Sumprabum</c:v>
                </c:pt>
                <c:pt idx="11">
                  <c:v>Tanai</c:v>
                </c:pt>
                <c:pt idx="12">
                  <c:v>Waingmaw</c:v>
                </c:pt>
              </c:strCache>
            </c:strRef>
          </c:cat>
          <c:val>
            <c:numRef>
              <c:f>Analysis!$AK$125:$AK$137</c:f>
              <c:numCache>
                <c:formatCode>General</c:formatCode>
                <c:ptCount val="13"/>
                <c:pt idx="0">
                  <c:v>322</c:v>
                </c:pt>
                <c:pt idx="1">
                  <c:v>133</c:v>
                </c:pt>
                <c:pt idx="2">
                  <c:v>195</c:v>
                </c:pt>
                <c:pt idx="3">
                  <c:v>30</c:v>
                </c:pt>
                <c:pt idx="4">
                  <c:v>612</c:v>
                </c:pt>
                <c:pt idx="5">
                  <c:v>86</c:v>
                </c:pt>
                <c:pt idx="6">
                  <c:v>6</c:v>
                </c:pt>
                <c:pt idx="7">
                  <c:v>1348</c:v>
                </c:pt>
                <c:pt idx="8">
                  <c:v>550</c:v>
                </c:pt>
                <c:pt idx="9">
                  <c:v>94</c:v>
                </c:pt>
                <c:pt idx="10">
                  <c:v>52</c:v>
                </c:pt>
                <c:pt idx="11">
                  <c:v>61</c:v>
                </c:pt>
                <c:pt idx="12">
                  <c:v>1699</c:v>
                </c:pt>
              </c:numCache>
            </c:numRef>
          </c:val>
          <c:extLst>
            <c:ext xmlns:c16="http://schemas.microsoft.com/office/drawing/2014/chart" uri="{C3380CC4-5D6E-409C-BE32-E72D297353CC}">
              <c16:uniqueId val="{00000002-AD47-4A2A-B050-28C4E52D04CD}"/>
            </c:ext>
          </c:extLst>
        </c:ser>
        <c:dLbls>
          <c:showLegendKey val="0"/>
          <c:showVal val="0"/>
          <c:showCatName val="0"/>
          <c:showSerName val="0"/>
          <c:showPercent val="0"/>
          <c:showBubbleSize val="0"/>
        </c:dLbls>
        <c:gapWidth val="50"/>
        <c:axId val="1493968320"/>
        <c:axId val="1486900752"/>
      </c:barChart>
      <c:catAx>
        <c:axId val="14939683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1486900752"/>
        <c:crosses val="autoZero"/>
        <c:auto val="1"/>
        <c:lblAlgn val="ctr"/>
        <c:lblOffset val="100"/>
        <c:noMultiLvlLbl val="0"/>
      </c:catAx>
      <c:valAx>
        <c:axId val="1486900752"/>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93968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[20230728_Myanmar_WASH_4W_2023_Q2_KachinShan_camp_Consolidate.xlsx]Analysis!PivotTable15</c:name>
    <c:fmtId val="31"/>
  </c:pivotSource>
  <c:chart>
    <c:autoTitleDeleted val="0"/>
    <c:pivotFmts>
      <c:pivotFmt>
        <c:idx val="0"/>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Analysis!$AJ$144</c:f>
              <c:strCache>
                <c:ptCount val="1"/>
                <c:pt idx="0">
                  <c:v>Reached</c:v>
                </c:pt>
              </c:strCache>
            </c:strRef>
          </c:tx>
          <c:spPr>
            <a:solidFill>
              <a:schemeClr val="accent2">
                <a:lumMod val="40000"/>
                <a:lumOff val="60000"/>
              </a:schemeClr>
            </a:solidFill>
            <a:ln>
              <a:noFill/>
            </a:ln>
            <a:effectLst/>
          </c:spPr>
          <c:invertIfNegative val="0"/>
          <c:cat>
            <c:strRef>
              <c:f>Analysis!$AI$145:$AI$154</c:f>
              <c:strCache>
                <c:ptCount val="10"/>
                <c:pt idx="0">
                  <c:v>Hseni</c:v>
                </c:pt>
                <c:pt idx="1">
                  <c:v>Hsipaw</c:v>
                </c:pt>
                <c:pt idx="2">
                  <c:v>Kutkai</c:v>
                </c:pt>
                <c:pt idx="3">
                  <c:v>Kyaukme</c:v>
                </c:pt>
                <c:pt idx="4">
                  <c:v>Lashio</c:v>
                </c:pt>
                <c:pt idx="5">
                  <c:v>Laukkaing</c:v>
                </c:pt>
                <c:pt idx="6">
                  <c:v>Manton</c:v>
                </c:pt>
                <c:pt idx="7">
                  <c:v>Muse</c:v>
                </c:pt>
                <c:pt idx="8">
                  <c:v>Namhkan</c:v>
                </c:pt>
                <c:pt idx="9">
                  <c:v>Namtu</c:v>
                </c:pt>
              </c:strCache>
            </c:strRef>
          </c:cat>
          <c:val>
            <c:numRef>
              <c:f>Analysis!$AJ$145:$AJ$154</c:f>
              <c:numCache>
                <c:formatCode>General</c:formatCode>
                <c:ptCount val="10"/>
                <c:pt idx="0">
                  <c:v>54</c:v>
                </c:pt>
                <c:pt idx="1">
                  <c:v>0</c:v>
                </c:pt>
                <c:pt idx="2">
                  <c:v>711</c:v>
                </c:pt>
                <c:pt idx="3">
                  <c:v>45</c:v>
                </c:pt>
                <c:pt idx="4">
                  <c:v>23</c:v>
                </c:pt>
                <c:pt idx="5">
                  <c:v>30</c:v>
                </c:pt>
                <c:pt idx="6">
                  <c:v>56</c:v>
                </c:pt>
                <c:pt idx="7">
                  <c:v>0</c:v>
                </c:pt>
                <c:pt idx="8">
                  <c:v>54</c:v>
                </c:pt>
                <c:pt idx="9">
                  <c:v>40</c:v>
                </c:pt>
              </c:numCache>
            </c:numRef>
          </c:val>
          <c:extLst>
            <c:ext xmlns:c16="http://schemas.microsoft.com/office/drawing/2014/chart" uri="{C3380CC4-5D6E-409C-BE32-E72D297353CC}">
              <c16:uniqueId val="{00000001-2D44-4A8A-A855-F2F02E0990FE}"/>
            </c:ext>
          </c:extLst>
        </c:ser>
        <c:ser>
          <c:idx val="1"/>
          <c:order val="1"/>
          <c:tx>
            <c:strRef>
              <c:f>Analysis!$AK$144</c:f>
              <c:strCache>
                <c:ptCount val="1"/>
                <c:pt idx="0">
                  <c:v>Target (20:1)</c:v>
                </c:pt>
              </c:strCache>
            </c:strRef>
          </c:tx>
          <c:spPr>
            <a:solidFill>
              <a:schemeClr val="accent2">
                <a:lumMod val="75000"/>
              </a:schemeClr>
            </a:solidFill>
            <a:ln>
              <a:noFill/>
            </a:ln>
            <a:effectLst/>
          </c:spPr>
          <c:invertIfNegative val="0"/>
          <c:cat>
            <c:strRef>
              <c:f>Analysis!$AI$145:$AI$154</c:f>
              <c:strCache>
                <c:ptCount val="10"/>
                <c:pt idx="0">
                  <c:v>Hseni</c:v>
                </c:pt>
                <c:pt idx="1">
                  <c:v>Hsipaw</c:v>
                </c:pt>
                <c:pt idx="2">
                  <c:v>Kutkai</c:v>
                </c:pt>
                <c:pt idx="3">
                  <c:v>Kyaukme</c:v>
                </c:pt>
                <c:pt idx="4">
                  <c:v>Lashio</c:v>
                </c:pt>
                <c:pt idx="5">
                  <c:v>Laukkaing</c:v>
                </c:pt>
                <c:pt idx="6">
                  <c:v>Manton</c:v>
                </c:pt>
                <c:pt idx="7">
                  <c:v>Muse</c:v>
                </c:pt>
                <c:pt idx="8">
                  <c:v>Namhkan</c:v>
                </c:pt>
                <c:pt idx="9">
                  <c:v>Namtu</c:v>
                </c:pt>
              </c:strCache>
            </c:strRef>
          </c:cat>
          <c:val>
            <c:numRef>
              <c:f>Analysis!$AK$145:$AK$154</c:f>
              <c:numCache>
                <c:formatCode>General</c:formatCode>
                <c:ptCount val="10"/>
                <c:pt idx="0">
                  <c:v>20</c:v>
                </c:pt>
                <c:pt idx="1">
                  <c:v>6</c:v>
                </c:pt>
                <c:pt idx="2">
                  <c:v>344</c:v>
                </c:pt>
                <c:pt idx="3">
                  <c:v>15</c:v>
                </c:pt>
                <c:pt idx="4">
                  <c:v>28</c:v>
                </c:pt>
                <c:pt idx="5">
                  <c:v>84</c:v>
                </c:pt>
                <c:pt idx="6">
                  <c:v>14</c:v>
                </c:pt>
                <c:pt idx="7">
                  <c:v>84</c:v>
                </c:pt>
                <c:pt idx="8">
                  <c:v>49</c:v>
                </c:pt>
                <c:pt idx="9">
                  <c:v>31</c:v>
                </c:pt>
              </c:numCache>
            </c:numRef>
          </c:val>
          <c:extLst>
            <c:ext xmlns:c16="http://schemas.microsoft.com/office/drawing/2014/chart" uri="{C3380CC4-5D6E-409C-BE32-E72D297353CC}">
              <c16:uniqueId val="{00000002-2D44-4A8A-A855-F2F02E0990FE}"/>
            </c:ext>
          </c:extLst>
        </c:ser>
        <c:dLbls>
          <c:showLegendKey val="0"/>
          <c:showVal val="0"/>
          <c:showCatName val="0"/>
          <c:showSerName val="0"/>
          <c:showPercent val="0"/>
          <c:showBubbleSize val="0"/>
        </c:dLbls>
        <c:gapWidth val="100"/>
        <c:axId val="71016976"/>
        <c:axId val="360710864"/>
      </c:barChart>
      <c:catAx>
        <c:axId val="7101697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0710864"/>
        <c:crosses val="autoZero"/>
        <c:auto val="1"/>
        <c:lblAlgn val="ctr"/>
        <c:lblOffset val="100"/>
        <c:noMultiLvlLbl val="0"/>
      </c:catAx>
      <c:valAx>
        <c:axId val="360710864"/>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1016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[20230728_Myanmar_WASH_4W_2023_Q2_KachinShan_camp_Consolidate.xlsx]Analysis!PivotTable3</c:name>
    <c:fmtId val="18"/>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Kachin</a:t>
            </a:r>
          </a:p>
          <a:p>
            <a:pPr>
              <a:defRPr/>
            </a:pPr>
            <a:r>
              <a:rPr lang="en-US"/>
              <a:t>AAP</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4">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4">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Analysis!$D$412:$D$413</c:f>
              <c:strCache>
                <c:ptCount val="1"/>
                <c:pt idx="0">
                  <c:v>2023_Q1</c:v>
                </c:pt>
              </c:strCache>
            </c:strRef>
          </c:tx>
          <c:spPr>
            <a:solidFill>
              <a:schemeClr val="accent4">
                <a:lumMod val="40000"/>
                <a:lumOff val="60000"/>
              </a:schemeClr>
            </a:solidFill>
            <a:ln>
              <a:noFill/>
            </a:ln>
            <a:effectLst/>
          </c:spPr>
          <c:invertIfNegative val="0"/>
          <c:cat>
            <c:strRef>
              <c:f>Analysis!$C$414:$C$417</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Analysis!$D$414:$D$417</c:f>
              <c:numCache>
                <c:formatCode>0%</c:formatCode>
                <c:ptCount val="4"/>
                <c:pt idx="0">
                  <c:v>0.86780487804878048</c:v>
                </c:pt>
                <c:pt idx="1">
                  <c:v>0.85649999999999982</c:v>
                </c:pt>
                <c:pt idx="2">
                  <c:v>0.82594594594594573</c:v>
                </c:pt>
                <c:pt idx="3">
                  <c:v>8.800912246350269E-2</c:v>
                </c:pt>
              </c:numCache>
            </c:numRef>
          </c:val>
          <c:extLst>
            <c:ext xmlns:c16="http://schemas.microsoft.com/office/drawing/2014/chart" uri="{C3380CC4-5D6E-409C-BE32-E72D297353CC}">
              <c16:uniqueId val="{00000000-4BC3-4991-AC11-AEBD3462C7AA}"/>
            </c:ext>
          </c:extLst>
        </c:ser>
        <c:ser>
          <c:idx val="1"/>
          <c:order val="1"/>
          <c:tx>
            <c:strRef>
              <c:f>Analysis!$E$412:$E$413</c:f>
              <c:strCache>
                <c:ptCount val="1"/>
                <c:pt idx="0">
                  <c:v>2023_Q2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f>Analysis!$C$414:$C$417</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Analysis!$E$414:$E$417</c:f>
              <c:numCache>
                <c:formatCode>0%</c:formatCode>
                <c:ptCount val="4"/>
                <c:pt idx="0">
                  <c:v>0.87361111111111123</c:v>
                </c:pt>
                <c:pt idx="1">
                  <c:v>0.8471428571428572</c:v>
                </c:pt>
                <c:pt idx="2">
                  <c:v>0.84117647058823519</c:v>
                </c:pt>
                <c:pt idx="3">
                  <c:v>5.6505945076168462E-2</c:v>
                </c:pt>
              </c:numCache>
            </c:numRef>
          </c:val>
          <c:extLst>
            <c:ext xmlns:c16="http://schemas.microsoft.com/office/drawing/2014/chart" uri="{C3380CC4-5D6E-409C-BE32-E72D297353CC}">
              <c16:uniqueId val="{00000000-BD4D-47A6-8FB6-778BAFCB0C3A}"/>
            </c:ext>
          </c:extLst>
        </c:ser>
        <c:dLbls>
          <c:showLegendKey val="0"/>
          <c:showVal val="0"/>
          <c:showCatName val="0"/>
          <c:showSerName val="0"/>
          <c:showPercent val="0"/>
          <c:showBubbleSize val="0"/>
        </c:dLbls>
        <c:gapWidth val="100"/>
        <c:axId val="482994015"/>
        <c:axId val="2135361151"/>
      </c:barChart>
      <c:catAx>
        <c:axId val="48299401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135361151"/>
        <c:crosses val="autoZero"/>
        <c:auto val="1"/>
        <c:lblAlgn val="ctr"/>
        <c:lblOffset val="100"/>
        <c:noMultiLvlLbl val="0"/>
      </c:catAx>
      <c:valAx>
        <c:axId val="2135361151"/>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29940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[20230728_Myanmar_WASH_4W_2023_Q2_KachinShan_camp_Consolidate.xlsx]Analysis!PivotTable4</c:name>
    <c:fmtId val="24"/>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Shan(North)</a:t>
            </a:r>
          </a:p>
          <a:p>
            <a:pPr>
              <a:defRPr/>
            </a:pPr>
            <a:r>
              <a:rPr lang="en-US"/>
              <a:t>AAP</a:t>
            </a:r>
          </a:p>
          <a:p>
            <a:pPr>
              <a:defRPr/>
            </a:pP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4">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4">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Analysis!$D$427:$D$428</c:f>
              <c:strCache>
                <c:ptCount val="1"/>
                <c:pt idx="0">
                  <c:v>2023_Q1</c:v>
                </c:pt>
              </c:strCache>
            </c:strRef>
          </c:tx>
          <c:spPr>
            <a:solidFill>
              <a:schemeClr val="accent4">
                <a:lumMod val="40000"/>
                <a:lumOff val="60000"/>
              </a:schemeClr>
            </a:solidFill>
            <a:ln>
              <a:noFill/>
            </a:ln>
            <a:effectLst/>
          </c:spPr>
          <c:invertIfNegative val="0"/>
          <c:cat>
            <c:strRef>
              <c:f>Analysis!$C$429:$C$432</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Analysis!$D$429:$D$432</c:f>
              <c:numCache>
                <c:formatCode>0%</c:formatCode>
                <c:ptCount val="4"/>
                <c:pt idx="3">
                  <c:v>#N/A</c:v>
                </c:pt>
              </c:numCache>
            </c:numRef>
          </c:val>
          <c:extLst>
            <c:ext xmlns:c16="http://schemas.microsoft.com/office/drawing/2014/chart" uri="{C3380CC4-5D6E-409C-BE32-E72D297353CC}">
              <c16:uniqueId val="{00000000-F8BB-4D3C-80CD-661BBADB251C}"/>
            </c:ext>
          </c:extLst>
        </c:ser>
        <c:ser>
          <c:idx val="1"/>
          <c:order val="1"/>
          <c:tx>
            <c:strRef>
              <c:f>Analysis!$E$427:$E$428</c:f>
              <c:strCache>
                <c:ptCount val="1"/>
                <c:pt idx="0">
                  <c:v>2023_Q2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f>Analysis!$C$429:$C$432</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Analysis!$E$429:$E$432</c:f>
              <c:numCache>
                <c:formatCode>0%</c:formatCode>
                <c:ptCount val="4"/>
                <c:pt idx="3">
                  <c:v>#N/A</c:v>
                </c:pt>
              </c:numCache>
            </c:numRef>
          </c:val>
          <c:extLst>
            <c:ext xmlns:c16="http://schemas.microsoft.com/office/drawing/2014/chart" uri="{C3380CC4-5D6E-409C-BE32-E72D297353CC}">
              <c16:uniqueId val="{00000000-76CF-4E7B-BC8E-AB34DF95963E}"/>
            </c:ext>
          </c:extLst>
        </c:ser>
        <c:dLbls>
          <c:showLegendKey val="0"/>
          <c:showVal val="0"/>
          <c:showCatName val="0"/>
          <c:showSerName val="0"/>
          <c:showPercent val="0"/>
          <c:showBubbleSize val="0"/>
        </c:dLbls>
        <c:gapWidth val="100"/>
        <c:axId val="1404068640"/>
        <c:axId val="1404074048"/>
      </c:barChart>
      <c:catAx>
        <c:axId val="14040686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04074048"/>
        <c:crosses val="autoZero"/>
        <c:auto val="1"/>
        <c:lblAlgn val="ctr"/>
        <c:lblOffset val="100"/>
        <c:noMultiLvlLbl val="0"/>
      </c:catAx>
      <c:valAx>
        <c:axId val="1404074048"/>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040686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[20230728_Myanmar_WASH_4W_2023_Q2_KachinShan_camp_Consolidate.xlsx]Analysis!PivotTable17</c:name>
    <c:fmtId val="62"/>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a:t>
            </a:r>
            <a:r>
              <a:rPr lang="en-US" baseline="0"/>
              <a:t> of sites covered/gap</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dLbl>
          <c:idx val="0"/>
          <c:showLegendKey val="0"/>
          <c:showVal val="0"/>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B0F0"/>
          </a:solidFill>
          <a:ln>
            <a:noFill/>
          </a:ln>
          <a:effectLst/>
        </c:spPr>
      </c:pivotFmt>
      <c:pivotFmt>
        <c:idx val="9"/>
        <c:spPr>
          <a:solidFill>
            <a:schemeClr val="accent1">
              <a:lumMod val="40000"/>
              <a:lumOff val="60000"/>
            </a:schemeClr>
          </a:solidFill>
          <a:ln>
            <a:noFill/>
          </a:ln>
          <a:effectLst/>
        </c:spPr>
      </c:pivotFmt>
      <c:pivotFmt>
        <c:idx val="10"/>
        <c:spPr>
          <a:solidFill>
            <a:schemeClr val="accent2"/>
          </a:solidFill>
          <a:ln>
            <a:noFill/>
          </a:ln>
          <a:effectLst/>
        </c:spPr>
      </c:pivotFmt>
      <c:pivotFmt>
        <c:idx val="11"/>
        <c:spPr>
          <a:solidFill>
            <a:schemeClr val="accent1">
              <a:lumMod val="20000"/>
              <a:lumOff val="80000"/>
            </a:schemeClr>
          </a:solidFill>
          <a:ln>
            <a:noFill/>
          </a:ln>
          <a:effectLst/>
        </c:spPr>
      </c:pivotFmt>
      <c:pivotFmt>
        <c:idx val="12"/>
        <c:spPr>
          <a:solidFill>
            <a:schemeClr val="accent2"/>
          </a:solidFill>
          <a:ln>
            <a:noFill/>
          </a:ln>
          <a:effectLst/>
        </c:spPr>
      </c:pivotFmt>
    </c:pivotFmts>
    <c:plotArea>
      <c:layout/>
      <c:barChart>
        <c:barDir val="bar"/>
        <c:grouping val="clustered"/>
        <c:varyColors val="0"/>
        <c:ser>
          <c:idx val="0"/>
          <c:order val="0"/>
          <c:tx>
            <c:strRef>
              <c:f>Analysis!$S$11</c:f>
              <c:strCache>
                <c:ptCount val="1"/>
                <c:pt idx="0">
                  <c:v>Total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6-EAB9-4132-A423-B6BAD047205A}"/>
              </c:ext>
            </c:extLst>
          </c:dPt>
          <c:dPt>
            <c:idx val="1"/>
            <c:invertIfNegative val="0"/>
            <c:bubble3D val="0"/>
            <c:extLst>
              <c:ext xmlns:c16="http://schemas.microsoft.com/office/drawing/2014/chart" uri="{C3380CC4-5D6E-409C-BE32-E72D297353CC}">
                <c16:uniqueId val="{00000007-EAB9-4132-A423-B6BAD047205A}"/>
              </c:ext>
            </c:extLst>
          </c:dPt>
          <c:dPt>
            <c:idx val="2"/>
            <c:invertIfNegative val="0"/>
            <c:bubble3D val="0"/>
            <c:extLst>
              <c:ext xmlns:c16="http://schemas.microsoft.com/office/drawing/2014/chart" uri="{C3380CC4-5D6E-409C-BE32-E72D297353CC}">
                <c16:uniqueId val="{00000008-EAB9-4132-A423-B6BAD047205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Analysis!$R$12:$R$16</c:f>
              <c:multiLvlStrCache>
                <c:ptCount val="3"/>
                <c:lvl>
                  <c:pt idx="0">
                    <c:v>No</c:v>
                  </c:pt>
                  <c:pt idx="1">
                    <c:v>reported</c:v>
                  </c:pt>
                  <c:pt idx="2">
                    <c:v>not reported</c:v>
                  </c:pt>
                </c:lvl>
                <c:lvl>
                  <c:pt idx="0">
                    <c:v>Covered
(119 camps)</c:v>
                  </c:pt>
                  <c:pt idx="2">
                    <c:v>Notcovered</c:v>
                  </c:pt>
                </c:lvl>
              </c:multiLvlStrCache>
            </c:multiLvlStrRef>
          </c:cat>
          <c:val>
            <c:numRef>
              <c:f>Analysis!$S$12:$S$16</c:f>
              <c:numCache>
                <c:formatCode>_(* #,##0_);_(* \(#,##0\);_(* "-"??_);_(@_)</c:formatCode>
                <c:ptCount val="3"/>
                <c:pt idx="0">
                  <c:v>32</c:v>
                </c:pt>
                <c:pt idx="1">
                  <c:v>87</c:v>
                </c:pt>
                <c:pt idx="2">
                  <c:v>24</c:v>
                </c:pt>
              </c:numCache>
            </c:numRef>
          </c:val>
          <c:extLst>
            <c:ext xmlns:c16="http://schemas.microsoft.com/office/drawing/2014/chart" uri="{C3380CC4-5D6E-409C-BE32-E72D297353CC}">
              <c16:uniqueId val="{00000000-EAB9-4132-A423-B6BAD047205A}"/>
            </c:ext>
          </c:extLst>
        </c:ser>
        <c:dLbls>
          <c:showLegendKey val="0"/>
          <c:showVal val="0"/>
          <c:showCatName val="0"/>
          <c:showSerName val="0"/>
          <c:showPercent val="0"/>
          <c:showBubbleSize val="0"/>
        </c:dLbls>
        <c:gapWidth val="50"/>
        <c:axId val="541503664"/>
        <c:axId val="541500336"/>
      </c:barChart>
      <c:catAx>
        <c:axId val="54150366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41500336"/>
        <c:crosses val="autoZero"/>
        <c:auto val="1"/>
        <c:lblAlgn val="ctr"/>
        <c:lblOffset val="100"/>
        <c:noMultiLvlLbl val="0"/>
      </c:catAx>
      <c:valAx>
        <c:axId val="541500336"/>
        <c:scaling>
          <c:orientation val="minMax"/>
        </c:scaling>
        <c:delete val="0"/>
        <c:axPos val="b"/>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415036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[20230728_Myanmar_WASH_4W_2023_Q2_KachinShan_camp_Consolidate.xlsx]Analysis!K_Geo</c:name>
    <c:fmtId val="40"/>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Sites - Actor - Coverage/Gaps</a:t>
            </a:r>
            <a:endParaRPr lang="en-US" sz="1400">
              <a:effectLst/>
            </a:endParaRPr>
          </a:p>
        </c:rich>
      </c:tx>
      <c:layout>
        <c:manualLayout>
          <c:xMode val="edge"/>
          <c:yMode val="edge"/>
          <c:x val="0.18708073099273048"/>
          <c:y val="2.75701813788632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342052287314363"/>
          <c:y val="0.12119842136173928"/>
          <c:w val="0.79912272070914081"/>
          <c:h val="0.75865969620125884"/>
        </c:manualLayout>
      </c:layout>
      <c:barChart>
        <c:barDir val="bar"/>
        <c:grouping val="clustered"/>
        <c:varyColors val="0"/>
        <c:ser>
          <c:idx val="0"/>
          <c:order val="0"/>
          <c:tx>
            <c:strRef>
              <c:f>Analysis!$D$298:$D$299</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Analysis!$C$300:$C$303</c:f>
              <c:strCache>
                <c:ptCount val="4"/>
                <c:pt idx="0">
                  <c:v>Camp</c:v>
                </c:pt>
                <c:pt idx="1">
                  <c:v>Camp_not registered</c:v>
                </c:pt>
                <c:pt idx="2">
                  <c:v>Relocated</c:v>
                </c:pt>
                <c:pt idx="3">
                  <c:v>Extenshion_camp</c:v>
                </c:pt>
              </c:strCache>
            </c:strRef>
          </c:cat>
          <c:val>
            <c:numRef>
              <c:f>Analysis!$D$300:$D$303</c:f>
              <c:numCache>
                <c:formatCode>General</c:formatCode>
                <c:ptCount val="4"/>
                <c:pt idx="0">
                  <c:v>109</c:v>
                </c:pt>
                <c:pt idx="1">
                  <c:v>2</c:v>
                </c:pt>
                <c:pt idx="3">
                  <c:v>8</c:v>
                </c:pt>
              </c:numCache>
            </c:numRef>
          </c:val>
          <c:extLst>
            <c:ext xmlns:c16="http://schemas.microsoft.com/office/drawing/2014/chart" uri="{C3380CC4-5D6E-409C-BE32-E72D297353CC}">
              <c16:uniqueId val="{00000000-68FF-4C4C-9588-43952E1E90E4}"/>
            </c:ext>
          </c:extLst>
        </c:ser>
        <c:ser>
          <c:idx val="1"/>
          <c:order val="1"/>
          <c:tx>
            <c:strRef>
              <c:f>Analysis!$E$298:$E$299</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Analysis!$C$300:$C$303</c:f>
              <c:strCache>
                <c:ptCount val="4"/>
                <c:pt idx="0">
                  <c:v>Camp</c:v>
                </c:pt>
                <c:pt idx="1">
                  <c:v>Camp_not registered</c:v>
                </c:pt>
                <c:pt idx="2">
                  <c:v>Relocated</c:v>
                </c:pt>
                <c:pt idx="3">
                  <c:v>Extenshion_camp</c:v>
                </c:pt>
              </c:strCache>
            </c:strRef>
          </c:cat>
          <c:val>
            <c:numRef>
              <c:f>Analysis!$E$300:$E$303</c:f>
              <c:numCache>
                <c:formatCode>General</c:formatCode>
                <c:ptCount val="4"/>
                <c:pt idx="0">
                  <c:v>23</c:v>
                </c:pt>
                <c:pt idx="2">
                  <c:v>1</c:v>
                </c:pt>
              </c:numCache>
            </c:numRef>
          </c:val>
          <c:extLst>
            <c:ext xmlns:c16="http://schemas.microsoft.com/office/drawing/2014/chart" uri="{C3380CC4-5D6E-409C-BE32-E72D297353CC}">
              <c16:uniqueId val="{00000000-8770-4136-85C0-DEC9A8B670FD}"/>
            </c:ext>
          </c:extLst>
        </c:ser>
        <c:dLbls>
          <c:dLblPos val="outEnd"/>
          <c:showLegendKey val="0"/>
          <c:showVal val="1"/>
          <c:showCatName val="0"/>
          <c:showSerName val="0"/>
          <c:showPercent val="0"/>
          <c:showBubbleSize val="0"/>
        </c:dLbls>
        <c:gapWidth val="50"/>
        <c:axId val="415868824"/>
        <c:axId val="415871568"/>
      </c:barChart>
      <c:catAx>
        <c:axId val="4158688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5871568"/>
        <c:crosses val="autoZero"/>
        <c:auto val="1"/>
        <c:lblAlgn val="ctr"/>
        <c:lblOffset val="100"/>
        <c:noMultiLvlLbl val="0"/>
      </c:catAx>
      <c:valAx>
        <c:axId val="415871568"/>
        <c:scaling>
          <c:orientation val="minMax"/>
          <c:max val="14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824"/>
        <c:crosses val="autoZero"/>
        <c:crossBetween val="between"/>
      </c:valAx>
      <c:spPr>
        <a:noFill/>
        <a:ln>
          <a:noFill/>
        </a:ln>
        <a:effectLst/>
      </c:spPr>
    </c:plotArea>
    <c:legend>
      <c:legendPos val="r"/>
      <c:layout>
        <c:manualLayout>
          <c:xMode val="edge"/>
          <c:yMode val="edge"/>
          <c:x val="0.87273581809316403"/>
          <c:y val="0.41433301104795317"/>
          <c:w val="0.10527107805016811"/>
          <c:h val="0.2445749161253479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r>
              <a:rPr lang="en-US" sz="1400" b="1" i="0" baseline="0">
                <a:solidFill>
                  <a:srgbClr val="44546A"/>
                </a:solidFill>
                <a:effectLst/>
              </a:rPr>
              <a:t>WASH in </a:t>
            </a:r>
            <a:r>
              <a:rPr lang="en-US" sz="1400" b="1" i="0" u="none" strike="noStrike" baseline="0">
                <a:effectLst/>
              </a:rPr>
              <a:t>Temporary Learning Spaces &amp; Temporary Health Care Facilities </a:t>
            </a:r>
            <a:endParaRPr lang="en-US" sz="1400" b="1">
              <a:solidFill>
                <a:srgbClr val="44546A"/>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2.6069449236698843E-2"/>
          <c:y val="0.18299363465606358"/>
          <c:w val="0.9478611015266023"/>
          <c:h val="0.60173976078289237"/>
        </c:manualLayout>
      </c:layout>
      <c:barChart>
        <c:barDir val="bar"/>
        <c:grouping val="clustered"/>
        <c:varyColors val="0"/>
        <c:ser>
          <c:idx val="0"/>
          <c:order val="0"/>
          <c:tx>
            <c:strRef>
              <c:f>Analysis!$C$385</c:f>
              <c:strCache>
                <c:ptCount val="1"/>
                <c:pt idx="0">
                  <c:v>Kachin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BD0A-434C-BFE9-8ABE13DC62FB}"/>
              </c:ext>
            </c:extLst>
          </c:dPt>
          <c:dPt>
            <c:idx val="1"/>
            <c:invertIfNegative val="0"/>
            <c:bubble3D val="0"/>
            <c:spPr>
              <a:solidFill>
                <a:schemeClr val="accent6">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D-B709-46A6-BC97-AA9E33A7C330}"/>
              </c:ext>
            </c:extLst>
          </c:dPt>
          <c:dPt>
            <c:idx val="2"/>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BD0A-434C-BFE9-8ABE13DC62FB}"/>
              </c:ext>
            </c:extLst>
          </c:dPt>
          <c:dPt>
            <c:idx val="3"/>
            <c:invertIfNegative val="0"/>
            <c:bubble3D val="0"/>
            <c:spPr>
              <a:solidFill>
                <a:srgbClr val="0070C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B709-46A6-BC97-AA9E33A7C330}"/>
              </c:ext>
            </c:extLst>
          </c:dPt>
          <c:dPt>
            <c:idx val="4"/>
            <c:invertIfNegative val="0"/>
            <c:bubble3D val="0"/>
            <c:spPr>
              <a:solidFill>
                <a:schemeClr val="accent1">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9859-4B72-AFAC-BFC40A277172}"/>
              </c:ext>
            </c:extLst>
          </c:dPt>
          <c:dPt>
            <c:idx val="5"/>
            <c:invertIfNegative val="0"/>
            <c:bubble3D val="0"/>
            <c:spPr>
              <a:solidFill>
                <a:schemeClr val="accent2">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B-2944-48D6-BA4A-20E4707EC1AF}"/>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Analysis!$D$384:$I$384</c:f>
              <c:strCache>
                <c:ptCount val="6"/>
                <c:pt idx="0">
                  <c:v> # of hand washing stations with sufficient soap in TLS</c:v>
                </c:pt>
                <c:pt idx="1">
                  <c:v># Hygiene Promotion activities (sessions) in TLS</c:v>
                </c:pt>
                <c:pt idx="2">
                  <c:v> # of functioning latrines in TLS/CFS </c:v>
                </c:pt>
                <c:pt idx="3">
                  <c:v># Water points in TLS/CFS</c:v>
                </c:pt>
                <c:pt idx="4">
                  <c:v># Water points in THF</c:v>
                </c:pt>
                <c:pt idx="5">
                  <c:v># of functional latrines in THF</c:v>
                </c:pt>
              </c:strCache>
            </c:strRef>
          </c:cat>
          <c:val>
            <c:numRef>
              <c:f>Analysis!$D$385:$I$385</c:f>
              <c:numCache>
                <c:formatCode>_(* #,##0_);_(* \(#,##0\);_(* "-"??_);_(@_)</c:formatCode>
                <c:ptCount val="6"/>
                <c:pt idx="0">
                  <c:v>85</c:v>
                </c:pt>
                <c:pt idx="1">
                  <c:v>66</c:v>
                </c:pt>
                <c:pt idx="2">
                  <c:v>0</c:v>
                </c:pt>
                <c:pt idx="3">
                  <c:v>61</c:v>
                </c:pt>
                <c:pt idx="4">
                  <c:v>7</c:v>
                </c:pt>
                <c:pt idx="5">
                  <c:v>17.5</c:v>
                </c:pt>
              </c:numCache>
            </c:numRef>
          </c:val>
          <c:extLst>
            <c:ext xmlns:c16="http://schemas.microsoft.com/office/drawing/2014/chart" uri="{C3380CC4-5D6E-409C-BE32-E72D297353CC}">
              <c16:uniqueId val="{00000004-BD0A-434C-BFE9-8ABE13DC62FB}"/>
            </c:ext>
          </c:extLst>
        </c:ser>
        <c:dLbls>
          <c:showLegendKey val="0"/>
          <c:showVal val="0"/>
          <c:showCatName val="0"/>
          <c:showSerName val="0"/>
          <c:showPercent val="0"/>
          <c:showBubbleSize val="0"/>
        </c:dLbls>
        <c:gapWidth val="50"/>
        <c:overlap val="-20"/>
        <c:axId val="417014280"/>
        <c:axId val="417016240"/>
      </c:barChart>
      <c:catAx>
        <c:axId val="417014280"/>
        <c:scaling>
          <c:orientation val="minMax"/>
        </c:scaling>
        <c:delete val="1"/>
        <c:axPos val="l"/>
        <c:numFmt formatCode="General" sourceLinked="1"/>
        <c:majorTickMark val="none"/>
        <c:minorTickMark val="none"/>
        <c:tickLblPos val="nextTo"/>
        <c:crossAx val="417016240"/>
        <c:crosses val="autoZero"/>
        <c:auto val="1"/>
        <c:lblAlgn val="ctr"/>
        <c:lblOffset val="100"/>
        <c:noMultiLvlLbl val="0"/>
      </c:catAx>
      <c:valAx>
        <c:axId val="417016240"/>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17014280"/>
        <c:crosses val="autoZero"/>
        <c:crossBetween val="between"/>
      </c:valAx>
      <c:spPr>
        <a:noFill/>
        <a:ln>
          <a:noFill/>
        </a:ln>
        <a:effectLst/>
      </c:spPr>
    </c:plotArea>
    <c:legend>
      <c:legendPos val="b"/>
      <c:layout>
        <c:manualLayout>
          <c:xMode val="edge"/>
          <c:yMode val="edge"/>
          <c:x val="0"/>
          <c:y val="0.80583625307075835"/>
          <c:w val="0.89586400502724717"/>
          <c:h val="0.1853395303773618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44546A"/>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[20230728_Myanmar_WASH_4W_2023_Q2_KachinShan_camp_Consolidate.xlsx]Analysis!K_water1</c:name>
    <c:fmtId val="18"/>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People acccess to water</a:t>
            </a:r>
            <a:endParaRPr lang="en-US" sz="1400">
              <a:effectLst/>
            </a:endParaRPr>
          </a:p>
        </c:rich>
      </c:tx>
      <c:layout>
        <c:manualLayout>
          <c:xMode val="edge"/>
          <c:yMode val="edge"/>
          <c:x val="0.2430529546896211"/>
          <c:y val="2.8560612911000621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386297079974847"/>
          <c:y val="0.20644349485245883"/>
          <c:w val="0.81087662311365027"/>
          <c:h val="0.58260814164100438"/>
        </c:manualLayout>
      </c:layout>
      <c:barChart>
        <c:barDir val="col"/>
        <c:grouping val="percentStacked"/>
        <c:varyColors val="0"/>
        <c:ser>
          <c:idx val="0"/>
          <c:order val="0"/>
          <c:tx>
            <c:strRef>
              <c:f>Analysis!$C$42</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Analysis!$B$43:$B$44</c:f>
              <c:strCache>
                <c:ptCount val="2"/>
                <c:pt idx="0">
                  <c:v>GCA</c:v>
                </c:pt>
                <c:pt idx="1">
                  <c:v>NGCA</c:v>
                </c:pt>
              </c:strCache>
            </c:strRef>
          </c:cat>
          <c:val>
            <c:numRef>
              <c:f>Analysis!$C$43:$C$44</c:f>
              <c:numCache>
                <c:formatCode>_(* #,##0_);_(* \(#,##0\);_(* "-"??_);_(@_)</c:formatCode>
                <c:ptCount val="2"/>
                <c:pt idx="0">
                  <c:v>43423</c:v>
                </c:pt>
                <c:pt idx="1">
                  <c:v>15462.337037037039</c:v>
                </c:pt>
              </c:numCache>
            </c:numRef>
          </c:val>
          <c:extLst>
            <c:ext xmlns:c16="http://schemas.microsoft.com/office/drawing/2014/chart" uri="{C3380CC4-5D6E-409C-BE32-E72D297353CC}">
              <c16:uniqueId val="{00000001-7BA8-4014-B66B-C14399439E38}"/>
            </c:ext>
          </c:extLst>
        </c:ser>
        <c:ser>
          <c:idx val="1"/>
          <c:order val="1"/>
          <c:tx>
            <c:strRef>
              <c:f>Analysis!$D$42</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Analysis!$B$43:$B$44</c:f>
              <c:strCache>
                <c:ptCount val="2"/>
                <c:pt idx="0">
                  <c:v>GCA</c:v>
                </c:pt>
                <c:pt idx="1">
                  <c:v>NGCA</c:v>
                </c:pt>
              </c:strCache>
            </c:strRef>
          </c:cat>
          <c:val>
            <c:numRef>
              <c:f>Analysis!$D$43:$D$44</c:f>
              <c:numCache>
                <c:formatCode>_(* #,##0_);_(* \(#,##0\);_(* "-"??_);_(@_)</c:formatCode>
                <c:ptCount val="2"/>
                <c:pt idx="0">
                  <c:v>2894</c:v>
                </c:pt>
                <c:pt idx="1">
                  <c:v>29178.662962962961</c:v>
                </c:pt>
              </c:numCache>
            </c:numRef>
          </c:val>
          <c:extLst>
            <c:ext xmlns:c16="http://schemas.microsoft.com/office/drawing/2014/chart" uri="{C3380CC4-5D6E-409C-BE32-E72D297353CC}">
              <c16:uniqueId val="{00000002-7BA8-4014-B66B-C14399439E38}"/>
            </c:ext>
          </c:extLst>
        </c:ser>
        <c:dLbls>
          <c:dLblPos val="ctr"/>
          <c:showLegendKey val="0"/>
          <c:showVal val="1"/>
          <c:showCatName val="0"/>
          <c:showSerName val="0"/>
          <c:showPercent val="0"/>
          <c:showBubbleSize val="0"/>
        </c:dLbls>
        <c:gapWidth val="150"/>
        <c:overlap val="100"/>
        <c:axId val="415866864"/>
        <c:axId val="415872744"/>
      </c:barChart>
      <c:catAx>
        <c:axId val="4158668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2744"/>
        <c:crosses val="autoZero"/>
        <c:auto val="1"/>
        <c:lblAlgn val="ctr"/>
        <c:lblOffset val="100"/>
        <c:noMultiLvlLbl val="0"/>
      </c:catAx>
      <c:valAx>
        <c:axId val="41587274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66864"/>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ppl covered against 2023 HRP targets</a:t>
            </a:r>
          </a:p>
          <a:p>
            <a:pPr>
              <a:defRPr sz="1400"/>
            </a:pPr>
            <a:r>
              <a:rPr lang="en-US" sz="1400" b="1" i="0" baseline="0">
                <a:effectLst/>
              </a:rPr>
              <a:t>Total (IDPs &amp; Non-IDPs)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HRP!$AC$183</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D-2D21-4D0E-AF91-A8A56D77EF1E}"/>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F-2D21-4D0E-AF91-A8A56D77EF1E}"/>
              </c:ext>
            </c:extLst>
          </c:dPt>
          <c:dPt>
            <c:idx val="2"/>
            <c:invertIfNegative val="0"/>
            <c:bubble3D val="0"/>
            <c:spPr>
              <a:solidFill>
                <a:srgbClr val="FFFF00"/>
              </a:solidFill>
              <a:ln>
                <a:noFill/>
              </a:ln>
              <a:effectLst/>
            </c:spPr>
            <c:extLst>
              <c:ext xmlns:c16="http://schemas.microsoft.com/office/drawing/2014/chart" uri="{C3380CC4-5D6E-409C-BE32-E72D297353CC}">
                <c16:uniqueId val="{00000005-DF59-4E13-A78D-D1FAA2870958}"/>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1277-43EF-B124-13DB270E2D9D}"/>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5-1277-43EF-B124-13DB270E2D9D}"/>
              </c:ext>
            </c:extLst>
          </c:dPt>
          <c:dPt>
            <c:idx val="5"/>
            <c:invertIfNegative val="0"/>
            <c:bubble3D val="0"/>
            <c:spPr>
              <a:solidFill>
                <a:srgbClr val="0070C0"/>
              </a:solidFill>
              <a:ln>
                <a:noFill/>
              </a:ln>
              <a:effectLst/>
            </c:spPr>
            <c:extLst>
              <c:ext xmlns:c16="http://schemas.microsoft.com/office/drawing/2014/chart" uri="{C3380CC4-5D6E-409C-BE32-E72D297353CC}">
                <c16:uniqueId val="{0000000B-2C08-4149-A500-9760685181D2}"/>
              </c:ext>
            </c:extLst>
          </c:dPt>
          <c:dLbls>
            <c:dLbl>
              <c:idx val="2"/>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5-DF59-4E13-A78D-D1FAA287095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HRP!$AA$184:$AA$189</c:f>
              <c:strCache>
                <c:ptCount val="6"/>
                <c:pt idx="0">
                  <c:v>Number of women, men, girls and boys accessing WASH services in temporary health facilities and learn-ing spaces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HRP!$AC$184:$AC$189</c:f>
              <c:numCache>
                <c:formatCode>_(* #,##0_);_(* \(#,##0\);_(* "-"??_);_(@_)</c:formatCode>
                <c:ptCount val="6"/>
                <c:pt idx="0">
                  <c:v>2043</c:v>
                </c:pt>
                <c:pt idx="1">
                  <c:v>27186</c:v>
                </c:pt>
                <c:pt idx="2">
                  <c:v>164503.65</c:v>
                </c:pt>
                <c:pt idx="3">
                  <c:v>434165.01686870598</c:v>
                </c:pt>
                <c:pt idx="4">
                  <c:v>296434</c:v>
                </c:pt>
                <c:pt idx="5">
                  <c:v>459448.67037037032</c:v>
                </c:pt>
              </c:numCache>
            </c:numRef>
          </c:val>
          <c:extLst>
            <c:ext xmlns:c16="http://schemas.microsoft.com/office/drawing/2014/chart" uri="{C3380CC4-5D6E-409C-BE32-E72D297353CC}">
              <c16:uniqueId val="{00000006-DF59-4E13-A78D-D1FAA2870958}"/>
            </c:ext>
          </c:extLst>
        </c:ser>
        <c:ser>
          <c:idx val="1"/>
          <c:order val="1"/>
          <c:tx>
            <c:strRef>
              <c:f>HRP!$AD$183</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C-2D21-4D0E-AF91-A8A56D77EF1E}"/>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E-2D21-4D0E-AF91-A8A56D77EF1E}"/>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C-DF59-4E13-A78D-D1FAA2870958}"/>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9-1277-43EF-B124-13DB270E2D9D}"/>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B-1277-43EF-B124-13DB270E2D9D}"/>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7-2C08-4149-A500-9760685181D2}"/>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HRP!$AA$184:$AA$189</c:f>
              <c:strCache>
                <c:ptCount val="6"/>
                <c:pt idx="0">
                  <c:v>Number of women, men, girls and boys accessing WASH services in temporary health facilities and learn-ing spaces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HRP!$AD$184:$AD$189</c:f>
              <c:numCache>
                <c:formatCode>_(* #,##0_);_(* \(#,##0\);_(* "-"??_);_(@_)</c:formatCode>
                <c:ptCount val="6"/>
                <c:pt idx="0">
                  <c:v>68081.640000000014</c:v>
                </c:pt>
                <c:pt idx="1">
                  <c:v>78748.290999999997</c:v>
                </c:pt>
                <c:pt idx="2">
                  <c:v>64059.777883306553</c:v>
                </c:pt>
                <c:pt idx="3">
                  <c:v>1195565.7907974245</c:v>
                </c:pt>
                <c:pt idx="4">
                  <c:v>702585.11335045088</c:v>
                </c:pt>
                <c:pt idx="5">
                  <c:v>638671.50689019868</c:v>
                </c:pt>
              </c:numCache>
            </c:numRef>
          </c:val>
          <c:extLst>
            <c:ext xmlns:c16="http://schemas.microsoft.com/office/drawing/2014/chart" uri="{C3380CC4-5D6E-409C-BE32-E72D297353CC}">
              <c16:uniqueId val="{0000000D-DF59-4E13-A78D-D1FAA2870958}"/>
            </c:ext>
          </c:extLst>
        </c:ser>
        <c:dLbls>
          <c:showLegendKey val="0"/>
          <c:showVal val="0"/>
          <c:showCatName val="0"/>
          <c:showSerName val="0"/>
          <c:showPercent val="0"/>
          <c:showBubbleSize val="0"/>
        </c:dLbls>
        <c:gapWidth val="150"/>
        <c:overlap val="100"/>
        <c:axId val="391609808"/>
        <c:axId val="391604712"/>
      </c:barChart>
      <c:catAx>
        <c:axId val="39160980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4712"/>
        <c:crosses val="autoZero"/>
        <c:auto val="1"/>
        <c:lblAlgn val="ctr"/>
        <c:lblOffset val="100"/>
        <c:noMultiLvlLbl val="0"/>
      </c:catAx>
      <c:valAx>
        <c:axId val="39160471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9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water sources</a:t>
            </a:r>
          </a:p>
          <a:p>
            <a:pPr>
              <a:defRPr sz="1400"/>
            </a:pPr>
            <a:r>
              <a:rPr lang="en-US" sz="1400" b="1" i="0" baseline="0">
                <a:effectLst/>
              </a:rPr>
              <a:t> as of Q2-2023</a:t>
            </a:r>
            <a:endParaRPr lang="en-US" sz="1400">
              <a:effectLst/>
            </a:endParaRPr>
          </a:p>
        </c:rich>
      </c:tx>
      <c:layout>
        <c:manualLayout>
          <c:xMode val="edge"/>
          <c:yMode val="edge"/>
          <c:x val="0.1426146731658543"/>
          <c:y val="1.7372427222183084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6.4613430092106919E-2"/>
          <c:y val="0.21583130716587429"/>
          <c:w val="0.39831006716239281"/>
          <c:h val="0.42486704058286873"/>
        </c:manualLayout>
      </c:layout>
      <c:pieChart>
        <c:varyColors val="1"/>
        <c:ser>
          <c:idx val="0"/>
          <c:order val="0"/>
          <c:tx>
            <c:strRef>
              <c:f>Analysis!$H$57</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1-7870-4DBE-A5BB-05318958220A}"/>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7870-4DBE-A5BB-05318958220A}"/>
              </c:ext>
            </c:extLst>
          </c:dPt>
          <c:dLbls>
            <c:dLbl>
              <c:idx val="0"/>
              <c:layout>
                <c:manualLayout>
                  <c:x val="-6.7806034860844827E-2"/>
                  <c:y val="0.10362713816662986"/>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70-4DBE-A5BB-05318958220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Analysis!$J$56:$K$56</c:f>
              <c:strCache>
                <c:ptCount val="2"/>
                <c:pt idx="0">
                  <c:v>Tested</c:v>
                </c:pt>
                <c:pt idx="1">
                  <c:v>No Test</c:v>
                </c:pt>
              </c:strCache>
            </c:strRef>
          </c:cat>
          <c:val>
            <c:numRef>
              <c:f>Analysis!$J$57:$K$57</c:f>
              <c:numCache>
                <c:formatCode>General</c:formatCode>
                <c:ptCount val="2"/>
                <c:pt idx="0">
                  <c:v>19</c:v>
                </c:pt>
                <c:pt idx="1">
                  <c:v>100</c:v>
                </c:pt>
              </c:numCache>
            </c:numRef>
          </c:val>
          <c:extLst>
            <c:ext xmlns:c16="http://schemas.microsoft.com/office/drawing/2014/chart" uri="{C3380CC4-5D6E-409C-BE32-E72D297353CC}">
              <c16:uniqueId val="{00000004-7870-4DBE-A5BB-05318958220A}"/>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Analysis!$H$58</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7870-4DBE-A5BB-05318958220A}"/>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7870-4DBE-A5BB-05318958220A}"/>
                    </c:ext>
                  </c:extLst>
                </c:dPt>
                <c:cat>
                  <c:strRef>
                    <c:extLst>
                      <c:ext uri="{02D57815-91ED-43cb-92C2-25804820EDAC}">
                        <c15:formulaRef>
                          <c15:sqref>Analysis!$J$56:$K$56</c15:sqref>
                        </c15:formulaRef>
                      </c:ext>
                    </c:extLst>
                    <c:strCache>
                      <c:ptCount val="2"/>
                      <c:pt idx="0">
                        <c:v>Tested</c:v>
                      </c:pt>
                      <c:pt idx="1">
                        <c:v>No Test</c:v>
                      </c:pt>
                    </c:strCache>
                  </c:strRef>
                </c:cat>
                <c:val>
                  <c:numRef>
                    <c:extLst>
                      <c:ext uri="{02D57815-91ED-43cb-92C2-25804820EDAC}">
                        <c15:formulaRef>
                          <c15:sqref>Analysis!$J$58:$K$58</c15:sqref>
                        </c15:formulaRef>
                      </c:ext>
                    </c:extLst>
                    <c:numCache>
                      <c:formatCode>General</c:formatCode>
                      <c:ptCount val="2"/>
                      <c:pt idx="0">
                        <c:v>0</c:v>
                      </c:pt>
                      <c:pt idx="1">
                        <c:v>28</c:v>
                      </c:pt>
                    </c:numCache>
                  </c:numRef>
                </c:val>
                <c:extLst>
                  <c:ext xmlns:c16="http://schemas.microsoft.com/office/drawing/2014/chart" uri="{C3380CC4-5D6E-409C-BE32-E72D297353CC}">
                    <c16:uniqueId val="{00000009-7870-4DBE-A5BB-05318958220A}"/>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Analysis!$H$59</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7870-4DBE-A5BB-05318958220A}"/>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7870-4DBE-A5BB-05318958220A}"/>
                    </c:ext>
                  </c:extLst>
                </c:dPt>
                <c:cat>
                  <c:strRef>
                    <c:extLst xmlns:c15="http://schemas.microsoft.com/office/drawing/2012/chart">
                      <c:ext xmlns:c15="http://schemas.microsoft.com/office/drawing/2012/chart" uri="{02D57815-91ED-43cb-92C2-25804820EDAC}">
                        <c15:formulaRef>
                          <c15:sqref>Analysis!$J$56:$K$56</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Analysis!$J$59:$K$59</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7870-4DBE-A5BB-05318958220A}"/>
                  </c:ext>
                </c:extLst>
              </c15:ser>
            </c15:filteredPieSeries>
          </c:ext>
        </c:extLst>
      </c:pieChart>
      <c:spPr>
        <a:noFill/>
        <a:ln>
          <a:noFill/>
        </a:ln>
        <a:effectLst/>
      </c:spPr>
    </c:plotArea>
    <c:legend>
      <c:legendPos val="b"/>
      <c:layout>
        <c:manualLayout>
          <c:xMode val="edge"/>
          <c:yMode val="edge"/>
          <c:x val="0.65622884604896325"/>
          <c:y val="0.40827143579482783"/>
          <c:w val="0.30866841122897848"/>
          <c:h val="0.1706234467752773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household</a:t>
            </a:r>
          </a:p>
          <a:p>
            <a:pPr>
              <a:defRPr sz="1400"/>
            </a:pPr>
            <a:r>
              <a:rPr lang="en-US" sz="1400" b="1" i="0" baseline="0">
                <a:effectLst/>
              </a:rPr>
              <a:t>as of Q2-2023</a:t>
            </a:r>
            <a:endParaRPr lang="en-US" sz="1400">
              <a:effectLst/>
            </a:endParaRPr>
          </a:p>
        </c:rich>
      </c:tx>
      <c:layout>
        <c:manualLayout>
          <c:xMode val="edge"/>
          <c:yMode val="edge"/>
          <c:x val="0.13170037249080918"/>
          <c:y val="7.5923630393006421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7.8815884131269331E-2"/>
          <c:y val="0.20552195661201295"/>
          <c:w val="0.44980566418405327"/>
          <c:h val="0.42696106456908828"/>
        </c:manualLayout>
      </c:layout>
      <c:pieChart>
        <c:varyColors val="1"/>
        <c:ser>
          <c:idx val="0"/>
          <c:order val="0"/>
          <c:tx>
            <c:strRef>
              <c:f>Analysis!$V$57</c:f>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1-D0AA-407D-BDD5-45EE421413A5}"/>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D0AA-407D-BDD5-45EE421413A5}"/>
              </c:ext>
            </c:extLst>
          </c:dPt>
          <c:dLbls>
            <c:dLbl>
              <c:idx val="0"/>
              <c:layout>
                <c:manualLayout>
                  <c:x val="-8.7424394682786427E-2"/>
                  <c:y val="0.10269349649908535"/>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0AA-407D-BDD5-45EE421413A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Analysis!$X$56:$Y$56</c:f>
              <c:strCache>
                <c:ptCount val="2"/>
                <c:pt idx="0">
                  <c:v>Tested</c:v>
                </c:pt>
                <c:pt idx="1">
                  <c:v>No test</c:v>
                </c:pt>
              </c:strCache>
            </c:strRef>
          </c:cat>
          <c:val>
            <c:numRef>
              <c:f>Analysis!$X$57:$Y$57</c:f>
              <c:numCache>
                <c:formatCode>General</c:formatCode>
                <c:ptCount val="2"/>
                <c:pt idx="0">
                  <c:v>18</c:v>
                </c:pt>
                <c:pt idx="1">
                  <c:v>101</c:v>
                </c:pt>
              </c:numCache>
            </c:numRef>
          </c:val>
          <c:extLst>
            <c:ext xmlns:c16="http://schemas.microsoft.com/office/drawing/2014/chart" uri="{C3380CC4-5D6E-409C-BE32-E72D297353CC}">
              <c16:uniqueId val="{00000004-D0AA-407D-BDD5-45EE421413A5}"/>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Analysis!$V$58</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D0AA-407D-BDD5-45EE421413A5}"/>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D0AA-407D-BDD5-45EE421413A5}"/>
                    </c:ext>
                  </c:extLst>
                </c:dPt>
                <c:cat>
                  <c:strRef>
                    <c:extLst>
                      <c:ext uri="{02D57815-91ED-43cb-92C2-25804820EDAC}">
                        <c15:formulaRef>
                          <c15:sqref>Analysis!$X$56:$Y$56</c15:sqref>
                        </c15:formulaRef>
                      </c:ext>
                    </c:extLst>
                    <c:strCache>
                      <c:ptCount val="2"/>
                      <c:pt idx="0">
                        <c:v>Tested</c:v>
                      </c:pt>
                      <c:pt idx="1">
                        <c:v>No test</c:v>
                      </c:pt>
                    </c:strCache>
                  </c:strRef>
                </c:cat>
                <c:val>
                  <c:numRef>
                    <c:extLst>
                      <c:ext uri="{02D57815-91ED-43cb-92C2-25804820EDAC}">
                        <c15:formulaRef>
                          <c15:sqref>Analysis!$X$58:$Y$58</c15:sqref>
                        </c15:formulaRef>
                      </c:ext>
                    </c:extLst>
                    <c:numCache>
                      <c:formatCode>General</c:formatCode>
                      <c:ptCount val="2"/>
                      <c:pt idx="0">
                        <c:v>0</c:v>
                      </c:pt>
                      <c:pt idx="1">
                        <c:v>34</c:v>
                      </c:pt>
                    </c:numCache>
                  </c:numRef>
                </c:val>
                <c:extLst>
                  <c:ext xmlns:c16="http://schemas.microsoft.com/office/drawing/2014/chart" uri="{C3380CC4-5D6E-409C-BE32-E72D297353CC}">
                    <c16:uniqueId val="{00000009-D0AA-407D-BDD5-45EE421413A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Analysis!$V$59</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D0AA-407D-BDD5-45EE421413A5}"/>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D0AA-407D-BDD5-45EE421413A5}"/>
                    </c:ext>
                  </c:extLst>
                </c:dPt>
                <c:cat>
                  <c:strRef>
                    <c:extLst xmlns:c15="http://schemas.microsoft.com/office/drawing/2012/chart">
                      <c:ext xmlns:c15="http://schemas.microsoft.com/office/drawing/2012/chart" uri="{02D57815-91ED-43cb-92C2-25804820EDAC}">
                        <c15:formulaRef>
                          <c15:sqref>Analysis!$X$56:$Y$56</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Analysis!$X$59:$Y$59</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D0AA-407D-BDD5-45EE421413A5}"/>
                  </c:ext>
                </c:extLst>
              </c15:ser>
            </c15:filteredPieSeries>
          </c:ext>
        </c:extLst>
      </c:pieChart>
      <c:spPr>
        <a:noFill/>
        <a:ln>
          <a:noFill/>
        </a:ln>
        <a:effectLst/>
      </c:spPr>
    </c:plotArea>
    <c:legend>
      <c:legendPos val="b"/>
      <c:layout>
        <c:manualLayout>
          <c:xMode val="edge"/>
          <c:yMode val="edge"/>
          <c:x val="0.71196351957739079"/>
          <c:y val="0.43382972595109098"/>
          <c:w val="0.27328142253801696"/>
          <c:h val="0.164075639812583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Analysis!$C$224</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Analysis!$B$225:$B$226</c:f>
              <c:strCache>
                <c:ptCount val="2"/>
                <c:pt idx="0">
                  <c:v>#HH reached by regular dedicated hygiene promotion</c:v>
                </c:pt>
                <c:pt idx="1">
                  <c:v>#HH with access to Hand Washing Station</c:v>
                </c:pt>
              </c:strCache>
            </c:strRef>
          </c:cat>
          <c:val>
            <c:numRef>
              <c:f>Analysis!$C$225:$C$226</c:f>
              <c:numCache>
                <c:formatCode>0</c:formatCode>
                <c:ptCount val="2"/>
                <c:pt idx="0">
                  <c:v>10848.8</c:v>
                </c:pt>
                <c:pt idx="1">
                  <c:v>9724</c:v>
                </c:pt>
              </c:numCache>
            </c:numRef>
          </c:val>
          <c:extLst>
            <c:ext xmlns:c16="http://schemas.microsoft.com/office/drawing/2014/chart" uri="{C3380CC4-5D6E-409C-BE32-E72D297353CC}">
              <c16:uniqueId val="{00000000-1389-4B41-AB26-BD561376BE5E}"/>
            </c:ext>
          </c:extLst>
        </c:ser>
        <c:ser>
          <c:idx val="1"/>
          <c:order val="1"/>
          <c:tx>
            <c:strRef>
              <c:f>Analysis!$D$224</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Analysis!$B$225:$B$226</c:f>
              <c:strCache>
                <c:ptCount val="2"/>
                <c:pt idx="0">
                  <c:v>#HH reached by regular dedicated hygiene promotion</c:v>
                </c:pt>
                <c:pt idx="1">
                  <c:v>#HH with access to Hand Washing Station</c:v>
                </c:pt>
              </c:strCache>
            </c:strRef>
          </c:cat>
          <c:val>
            <c:numRef>
              <c:f>Analysis!$D$225:$D$226</c:f>
              <c:numCache>
                <c:formatCode>0</c:formatCode>
                <c:ptCount val="2"/>
                <c:pt idx="0">
                  <c:v>6506.4000000000015</c:v>
                </c:pt>
                <c:pt idx="1">
                  <c:v>7631.2000000000007</c:v>
                </c:pt>
              </c:numCache>
            </c:numRef>
          </c:val>
          <c:extLst>
            <c:ext xmlns:c16="http://schemas.microsoft.com/office/drawing/2014/chart" uri="{C3380CC4-5D6E-409C-BE32-E72D297353CC}">
              <c16:uniqueId val="{00000001-1389-4B41-AB26-BD561376BE5E}"/>
            </c:ext>
          </c:extLst>
        </c:ser>
        <c:dLbls>
          <c:dLblPos val="ctr"/>
          <c:showLegendKey val="0"/>
          <c:showVal val="1"/>
          <c:showCatName val="0"/>
          <c:showSerName val="0"/>
          <c:showPercent val="0"/>
          <c:showBubbleSize val="0"/>
        </c:dLbls>
        <c:gapWidth val="80"/>
        <c:overlap val="100"/>
        <c:axId val="395280264"/>
        <c:axId val="395281048"/>
      </c:barChart>
      <c:catAx>
        <c:axId val="3952802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281048"/>
        <c:crosses val="autoZero"/>
        <c:auto val="1"/>
        <c:lblAlgn val="ctr"/>
        <c:lblOffset val="100"/>
        <c:noMultiLvlLbl val="0"/>
      </c:catAx>
      <c:valAx>
        <c:axId val="3952810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280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Household received Soaps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Analysis!$H$243</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Analysis!$G$244:$G$245</c:f>
              <c:strCache>
                <c:ptCount val="2"/>
                <c:pt idx="0">
                  <c:v>GCA (25% of HH targeted)</c:v>
                </c:pt>
                <c:pt idx="1">
                  <c:v>NGCA (100% HH targeted)</c:v>
                </c:pt>
              </c:strCache>
            </c:strRef>
          </c:cat>
          <c:val>
            <c:numRef>
              <c:f>Analysis!$H$244:$H$245</c:f>
              <c:numCache>
                <c:formatCode>General</c:formatCode>
                <c:ptCount val="2"/>
                <c:pt idx="0">
                  <c:v>1240</c:v>
                </c:pt>
                <c:pt idx="1">
                  <c:v>1350</c:v>
                </c:pt>
              </c:numCache>
            </c:numRef>
          </c:val>
          <c:extLst>
            <c:ext xmlns:c16="http://schemas.microsoft.com/office/drawing/2014/chart" uri="{C3380CC4-5D6E-409C-BE32-E72D297353CC}">
              <c16:uniqueId val="{00000000-D8C3-41A2-A2F3-A019286DD688}"/>
            </c:ext>
          </c:extLst>
        </c:ser>
        <c:ser>
          <c:idx val="1"/>
          <c:order val="1"/>
          <c:tx>
            <c:strRef>
              <c:f>Analysis!$I$243</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Analysis!$G$244:$G$245</c:f>
              <c:strCache>
                <c:ptCount val="2"/>
                <c:pt idx="0">
                  <c:v>GCA (25% of HH targeted)</c:v>
                </c:pt>
                <c:pt idx="1">
                  <c:v>NGCA (100% HH targeted)</c:v>
                </c:pt>
              </c:strCache>
            </c:strRef>
          </c:cat>
          <c:val>
            <c:numRef>
              <c:f>Analysis!$I$244:$I$245</c:f>
              <c:numCache>
                <c:formatCode>0</c:formatCode>
                <c:ptCount val="2"/>
                <c:pt idx="0">
                  <c:v>941</c:v>
                </c:pt>
                <c:pt idx="1">
                  <c:v>7281.2000000000007</c:v>
                </c:pt>
              </c:numCache>
            </c:numRef>
          </c:val>
          <c:extLst>
            <c:ext xmlns:c16="http://schemas.microsoft.com/office/drawing/2014/chart" uri="{C3380CC4-5D6E-409C-BE32-E72D297353CC}">
              <c16:uniqueId val="{00000001-D8C3-41A2-A2F3-A019286DD688}"/>
            </c:ext>
          </c:extLst>
        </c:ser>
        <c:dLbls>
          <c:showLegendKey val="0"/>
          <c:showVal val="0"/>
          <c:showCatName val="0"/>
          <c:showSerName val="0"/>
          <c:showPercent val="0"/>
          <c:showBubbleSize val="0"/>
        </c:dLbls>
        <c:gapWidth val="80"/>
        <c:overlap val="100"/>
        <c:axId val="1684725999"/>
        <c:axId val="1593779647"/>
      </c:barChart>
      <c:catAx>
        <c:axId val="168472599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593779647"/>
        <c:crosses val="autoZero"/>
        <c:auto val="1"/>
        <c:lblAlgn val="ctr"/>
        <c:lblOffset val="100"/>
        <c:noMultiLvlLbl val="0"/>
      </c:catAx>
      <c:valAx>
        <c:axId val="159377964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847259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women and girls received Sanitary Pads  </a:t>
            </a:r>
            <a:endParaRPr lang="en-US" sz="1400">
              <a:effectLst/>
            </a:endParaRPr>
          </a:p>
          <a:p>
            <a:pPr>
              <a:defRPr/>
            </a:pPr>
            <a:r>
              <a:rPr lang="en-US" sz="1400" b="1" i="0" baseline="0">
                <a:effectLst/>
              </a:rPr>
              <a:t>Kachin</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Analysis!$L$243</c:f>
              <c:strCache>
                <c:ptCount val="1"/>
                <c:pt idx="0">
                  <c:v>Covered</c:v>
                </c:pt>
              </c:strCache>
            </c:strRef>
          </c:tx>
          <c:spPr>
            <a:solidFill>
              <a:schemeClr val="accent6">
                <a:lumMod val="75000"/>
              </a:schemeClr>
            </a:solidFill>
            <a:ln>
              <a:noFill/>
            </a:ln>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0-053D-452A-A466-5C3EC762DB54}"/>
                </c:ext>
              </c:extLst>
            </c:dLbl>
            <c:dLbl>
              <c:idx val="1"/>
              <c:layout>
                <c:manualLayout>
                  <c:x val="7.8567931446309913E-17"/>
                  <c:y val="-2.4844561303443431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3D-452A-A466-5C3EC762DB5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Analysis!$K$244:$K$245</c:f>
              <c:strCache>
                <c:ptCount val="2"/>
                <c:pt idx="0">
                  <c:v>GCA (29% of Total population)</c:v>
                </c:pt>
                <c:pt idx="1">
                  <c:v>NGCA  (29% of Total population)</c:v>
                </c:pt>
              </c:strCache>
            </c:strRef>
          </c:cat>
          <c:val>
            <c:numRef>
              <c:f>Analysis!$L$244:$L$245</c:f>
              <c:numCache>
                <c:formatCode>0</c:formatCode>
                <c:ptCount val="2"/>
                <c:pt idx="0">
                  <c:v>1457</c:v>
                </c:pt>
                <c:pt idx="1">
                  <c:v>1300</c:v>
                </c:pt>
              </c:numCache>
            </c:numRef>
          </c:val>
          <c:extLst>
            <c:ext xmlns:c16="http://schemas.microsoft.com/office/drawing/2014/chart" uri="{C3380CC4-5D6E-409C-BE32-E72D297353CC}">
              <c16:uniqueId val="{00000000-06ED-4B2E-A650-D2BCC4F3ED16}"/>
            </c:ext>
          </c:extLst>
        </c:ser>
        <c:ser>
          <c:idx val="1"/>
          <c:order val="1"/>
          <c:tx>
            <c:strRef>
              <c:f>Analysis!$M$243</c:f>
              <c:strCache>
                <c:ptCount val="1"/>
                <c:pt idx="0">
                  <c:v>Gap</c:v>
                </c:pt>
              </c:strCache>
            </c:strRef>
          </c:tx>
          <c:spPr>
            <a:solidFill>
              <a:schemeClr val="accent6">
                <a:lumMod val="40000"/>
                <a:lumOff val="60000"/>
              </a:schemeClr>
            </a:solidFill>
            <a:ln>
              <a:noFill/>
            </a:ln>
            <a:effectLst/>
          </c:spPr>
          <c:invertIfNegative val="0"/>
          <c:dLbls>
            <c:dLbl>
              <c:idx val="1"/>
              <c:layout>
                <c:manualLayout>
                  <c:x val="-7.8567931446309913E-17"/>
                  <c:y val="-4.65004070311219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71-40B9-AE05-9A1CC3A0B83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Analysis!$K$244:$K$245</c:f>
              <c:strCache>
                <c:ptCount val="2"/>
                <c:pt idx="0">
                  <c:v>GCA (29% of Total population)</c:v>
                </c:pt>
                <c:pt idx="1">
                  <c:v>NGCA  (29% of Total population)</c:v>
                </c:pt>
              </c:strCache>
            </c:strRef>
          </c:cat>
          <c:val>
            <c:numRef>
              <c:f>Analysis!$M$244:$M$245</c:f>
              <c:numCache>
                <c:formatCode>0</c:formatCode>
                <c:ptCount val="2"/>
                <c:pt idx="0">
                  <c:v>11851.97</c:v>
                </c:pt>
                <c:pt idx="1">
                  <c:v>11645.89</c:v>
                </c:pt>
              </c:numCache>
            </c:numRef>
          </c:val>
          <c:extLst>
            <c:ext xmlns:c16="http://schemas.microsoft.com/office/drawing/2014/chart" uri="{C3380CC4-5D6E-409C-BE32-E72D297353CC}">
              <c16:uniqueId val="{00000001-06ED-4B2E-A650-D2BCC4F3ED16}"/>
            </c:ext>
          </c:extLst>
        </c:ser>
        <c:dLbls>
          <c:dLblPos val="ctr"/>
          <c:showLegendKey val="0"/>
          <c:showVal val="1"/>
          <c:showCatName val="0"/>
          <c:showSerName val="0"/>
          <c:showPercent val="0"/>
          <c:showBubbleSize val="0"/>
        </c:dLbls>
        <c:gapWidth val="150"/>
        <c:overlap val="100"/>
        <c:axId val="1699425183"/>
        <c:axId val="1677220319"/>
      </c:barChart>
      <c:catAx>
        <c:axId val="169942518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677220319"/>
        <c:crosses val="autoZero"/>
        <c:auto val="1"/>
        <c:lblAlgn val="ctr"/>
        <c:lblOffset val="100"/>
        <c:noMultiLvlLbl val="0"/>
      </c:catAx>
      <c:valAx>
        <c:axId val="1677220319"/>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994251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600" b="1" i="0" baseline="0">
                <a:effectLst/>
              </a:rPr>
              <a:t>Number of ppl Covered against 2023 HRP targets</a:t>
            </a:r>
            <a:endParaRPr lang="en-US" sz="1600">
              <a:effectLst/>
            </a:endParaRPr>
          </a:p>
        </c:rich>
      </c:tx>
      <c:layout>
        <c:manualLayout>
          <c:xMode val="edge"/>
          <c:yMode val="edge"/>
          <c:x val="9.3088254416486774E-3"/>
          <c:y val="2.710778217870314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8592398441544288"/>
          <c:y val="0.10104524782569099"/>
          <c:w val="0.48029054845652946"/>
          <c:h val="0.79157761201675703"/>
        </c:manualLayout>
      </c:layout>
      <c:barChart>
        <c:barDir val="bar"/>
        <c:grouping val="percentStacked"/>
        <c:varyColors val="0"/>
        <c:ser>
          <c:idx val="0"/>
          <c:order val="0"/>
          <c:tx>
            <c:strRef>
              <c:f>HRP!$E$201</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8-4A3C-4B47-99DD-18DFA3A2EBEF}"/>
              </c:ext>
            </c:extLst>
          </c:dPt>
          <c:dPt>
            <c:idx val="1"/>
            <c:invertIfNegative val="0"/>
            <c:bubble3D val="0"/>
            <c:spPr>
              <a:solidFill>
                <a:srgbClr val="BF9000"/>
              </a:solidFill>
              <a:ln>
                <a:noFill/>
              </a:ln>
              <a:effectLst/>
            </c:spPr>
            <c:extLst>
              <c:ext xmlns:c16="http://schemas.microsoft.com/office/drawing/2014/chart" uri="{C3380CC4-5D6E-409C-BE32-E72D297353CC}">
                <c16:uniqueId val="{00000009-4A3C-4B47-99DD-18DFA3A2EBEF}"/>
              </c:ext>
            </c:extLst>
          </c:dPt>
          <c:dPt>
            <c:idx val="2"/>
            <c:invertIfNegative val="0"/>
            <c:bubble3D val="0"/>
            <c:spPr>
              <a:solidFill>
                <a:srgbClr val="FFFF00"/>
              </a:solidFill>
              <a:ln>
                <a:noFill/>
              </a:ln>
              <a:effectLst/>
            </c:spPr>
            <c:extLst>
              <c:ext xmlns:c16="http://schemas.microsoft.com/office/drawing/2014/chart" uri="{C3380CC4-5D6E-409C-BE32-E72D297353CC}">
                <c16:uniqueId val="{00000005-4A3C-4B47-99DD-18DFA3A2EBEF}"/>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4A3C-4B47-99DD-18DFA3A2EBEF}"/>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2-4A3C-4B47-99DD-18DFA3A2EBEF}"/>
              </c:ext>
            </c:extLst>
          </c:dPt>
          <c:dPt>
            <c:idx val="5"/>
            <c:invertIfNegative val="0"/>
            <c:bubble3D val="0"/>
            <c:spPr>
              <a:solidFill>
                <a:srgbClr val="0070C0"/>
              </a:solidFill>
              <a:ln>
                <a:noFill/>
              </a:ln>
              <a:effectLst/>
            </c:spPr>
            <c:extLst>
              <c:ext xmlns:c16="http://schemas.microsoft.com/office/drawing/2014/chart" uri="{C3380CC4-5D6E-409C-BE32-E72D297353CC}">
                <c16:uniqueId val="{0000000B-3D5E-4673-B1FF-1E8E1FE5CEC2}"/>
              </c:ext>
            </c:extLst>
          </c:dPt>
          <c:dLbls>
            <c:dLbl>
              <c:idx val="2"/>
              <c:layout>
                <c:manualLayout>
                  <c:x val="2.7726206548449692E-2"/>
                  <c:y val="-8.1837791167416265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A3C-4B47-99DD-18DFA3A2EBE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HRP!$C$202:$C$207</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HRP!$E$202:$E$207</c:f>
              <c:numCache>
                <c:formatCode>_(* #,##0_);_(* \(#,##0\);_(* "-"??_);_(@_)</c:formatCode>
                <c:ptCount val="6"/>
                <c:pt idx="0">
                  <c:v>1993</c:v>
                </c:pt>
                <c:pt idx="1">
                  <c:v>18463</c:v>
                </c:pt>
                <c:pt idx="2">
                  <c:v>23656.75</c:v>
                </c:pt>
                <c:pt idx="3">
                  <c:v>65351</c:v>
                </c:pt>
                <c:pt idx="4">
                  <c:v>71943</c:v>
                </c:pt>
                <c:pt idx="5">
                  <c:v>61368.337037037032</c:v>
                </c:pt>
              </c:numCache>
            </c:numRef>
          </c:val>
          <c:extLst>
            <c:ext xmlns:c16="http://schemas.microsoft.com/office/drawing/2014/chart" uri="{C3380CC4-5D6E-409C-BE32-E72D297353CC}">
              <c16:uniqueId val="{00000008-B308-4468-B0EF-D5596C95F4FD}"/>
            </c:ext>
          </c:extLst>
        </c:ser>
        <c:ser>
          <c:idx val="1"/>
          <c:order val="1"/>
          <c:tx>
            <c:strRef>
              <c:f>HRP!$F$201</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13-93B7-4774-BC91-4B7E19D11E06}"/>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17-39A7-480A-A5CA-267EAAB240BB}"/>
              </c:ext>
            </c:extLst>
          </c:dPt>
          <c:dPt>
            <c:idx val="2"/>
            <c:invertIfNegative val="0"/>
            <c:bubble3D val="0"/>
            <c:spPr>
              <a:solidFill>
                <a:srgbClr val="F7FECE"/>
              </a:solidFill>
              <a:ln>
                <a:noFill/>
              </a:ln>
              <a:effectLst/>
            </c:spPr>
            <c:extLst>
              <c:ext xmlns:c16="http://schemas.microsoft.com/office/drawing/2014/chart" uri="{C3380CC4-5D6E-409C-BE32-E72D297353CC}">
                <c16:uniqueId val="{00000006-4A3C-4B47-99DD-18DFA3A2EBEF}"/>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4-4A3C-4B47-99DD-18DFA3A2EBEF}"/>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1-4A3C-4B47-99DD-18DFA3A2EBEF}"/>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5-3D5E-4673-B1FF-1E8E1FE5CEC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HRP!$C$202:$C$207</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HRP!$F$202:$F$207</c:f>
              <c:numCache>
                <c:formatCode>_(* #,##0_);_(* \(#,##0\);_(* "-"??_);_(@_)</c:formatCode>
                <c:ptCount val="6"/>
                <c:pt idx="0">
                  <c:v>3328.6800000000003</c:v>
                </c:pt>
                <c:pt idx="3">
                  <c:v>55956.827654495894</c:v>
                </c:pt>
                <c:pt idx="5">
                  <c:v>33490.67679021092</c:v>
                </c:pt>
              </c:numCache>
            </c:numRef>
          </c:val>
          <c:extLst>
            <c:ext xmlns:c16="http://schemas.microsoft.com/office/drawing/2014/chart" uri="{C3380CC4-5D6E-409C-BE32-E72D297353CC}">
              <c16:uniqueId val="{00000011-B308-4468-B0EF-D5596C95F4FD}"/>
            </c:ext>
          </c:extLst>
        </c:ser>
        <c:dLbls>
          <c:showLegendKey val="0"/>
          <c:showVal val="0"/>
          <c:showCatName val="0"/>
          <c:showSerName val="0"/>
          <c:showPercent val="0"/>
          <c:showBubbleSize val="0"/>
        </c:dLbls>
        <c:gapWidth val="50"/>
        <c:overlap val="100"/>
        <c:axId val="390215952"/>
        <c:axId val="390216344"/>
      </c:barChart>
      <c:catAx>
        <c:axId val="39021595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390216344"/>
        <c:crosses val="autoZero"/>
        <c:auto val="1"/>
        <c:lblAlgn val="ctr"/>
        <c:lblOffset val="100"/>
        <c:noMultiLvlLbl val="0"/>
      </c:catAx>
      <c:valAx>
        <c:axId val="39021634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1595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u="none" strike="noStrike" baseline="0">
                <a:effectLst/>
              </a:rPr>
              <a:t>Constructed surface water drainage system</a:t>
            </a:r>
            <a:r>
              <a:rPr lang="en-US" sz="1200"/>
              <a:t> </a:t>
            </a:r>
          </a:p>
        </c:rich>
      </c:tx>
      <c:layout>
        <c:manualLayout>
          <c:xMode val="edge"/>
          <c:yMode val="edge"/>
          <c:x val="0.19102874670995068"/>
          <c:y val="5.5132305314836809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7.6648821590936264E-2"/>
          <c:y val="0.2979842137113754"/>
          <c:w val="0.42977897445616753"/>
          <c:h val="0.67825951443569554"/>
        </c:manualLayout>
      </c:layout>
      <c:pieChart>
        <c:varyColors val="1"/>
        <c:ser>
          <c:idx val="0"/>
          <c:order val="0"/>
          <c:tx>
            <c:strRef>
              <c:f>Analysis!$B$164</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3A63-4C59-8DE1-219A0638CA1F}"/>
              </c:ext>
            </c:extLst>
          </c:dPt>
          <c:dPt>
            <c:idx val="1"/>
            <c:bubble3D val="0"/>
            <c:spPr>
              <a:solidFill>
                <a:schemeClr val="bg1">
                  <a:lumMod val="75000"/>
                </a:schemeClr>
              </a:solidFill>
              <a:ln>
                <a:noFill/>
              </a:ln>
              <a:effectLst/>
            </c:spPr>
            <c:extLst>
              <c:ext xmlns:c16="http://schemas.microsoft.com/office/drawing/2014/chart" uri="{C3380CC4-5D6E-409C-BE32-E72D297353CC}">
                <c16:uniqueId val="{00000003-3A63-4C59-8DE1-219A0638CA1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3A63-4C59-8DE1-219A0638CA1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3A63-4C59-8DE1-219A0638CA1F}"/>
              </c:ext>
            </c:extLst>
          </c:dPt>
          <c:dLbls>
            <c:dLbl>
              <c:idx val="0"/>
              <c:layout>
                <c:manualLayout>
                  <c:x val="-0.10833473714713152"/>
                  <c:y val="-0.22544115974356316"/>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A63-4C59-8DE1-219A0638CA1F}"/>
                </c:ext>
              </c:extLst>
            </c:dLbl>
            <c:dLbl>
              <c:idx val="1"/>
              <c:layout>
                <c:manualLayout>
                  <c:x val="6.9868332664355395E-2"/>
                  <c:y val="4.876588008990785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A63-4C59-8DE1-219A0638CA1F}"/>
                </c:ext>
              </c:extLst>
            </c:dLbl>
            <c:dLbl>
              <c:idx val="3"/>
              <c:layout>
                <c:manualLayout>
                  <c:x val="4.4142253079837497E-2"/>
                  <c:y val="0.1262423822946043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A63-4C59-8DE1-219A0638CA1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Analysis!$C$163:$F$163</c:f>
              <c:strCache>
                <c:ptCount val="4"/>
                <c:pt idx="0">
                  <c:v>Functional</c:v>
                </c:pt>
                <c:pt idx="1">
                  <c:v>NA</c:v>
                </c:pt>
                <c:pt idx="2">
                  <c:v>Not_Functional</c:v>
                </c:pt>
                <c:pt idx="3">
                  <c:v>Not_inPlace</c:v>
                </c:pt>
              </c:strCache>
            </c:strRef>
          </c:cat>
          <c:val>
            <c:numRef>
              <c:f>Analysis!$C$164:$F$164</c:f>
              <c:numCache>
                <c:formatCode>General</c:formatCode>
                <c:ptCount val="4"/>
                <c:pt idx="0">
                  <c:v>95</c:v>
                </c:pt>
                <c:pt idx="1">
                  <c:v>8</c:v>
                </c:pt>
                <c:pt idx="2">
                  <c:v>5</c:v>
                </c:pt>
                <c:pt idx="3">
                  <c:v>9</c:v>
                </c:pt>
              </c:numCache>
            </c:numRef>
          </c:val>
          <c:extLst>
            <c:ext xmlns:c16="http://schemas.microsoft.com/office/drawing/2014/chart" uri="{C3380CC4-5D6E-409C-BE32-E72D297353CC}">
              <c16:uniqueId val="{00000008-3A63-4C59-8DE1-219A0638CA1F}"/>
            </c:ext>
          </c:extLst>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Analysis!$B$165</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9-E152-4BF4-82EF-9DB67902532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B-E152-4BF4-82EF-9DB67902532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D-E152-4BF4-82EF-9DB679025329}"/>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F-E152-4BF4-82EF-9DB6790253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Analysis!$C$163:$F$163</c15:sqref>
                        </c15:formulaRef>
                      </c:ext>
                    </c:extLst>
                    <c:strCache>
                      <c:ptCount val="4"/>
                      <c:pt idx="0">
                        <c:v>Functional</c:v>
                      </c:pt>
                      <c:pt idx="1">
                        <c:v>NA</c:v>
                      </c:pt>
                      <c:pt idx="2">
                        <c:v>Not_Functional</c:v>
                      </c:pt>
                      <c:pt idx="3">
                        <c:v>Not_inPlace</c:v>
                      </c:pt>
                    </c:strCache>
                  </c:strRef>
                </c:cat>
                <c:val>
                  <c:numRef>
                    <c:extLst>
                      <c:ext uri="{02D57815-91ED-43cb-92C2-25804820EDAC}">
                        <c15:formulaRef>
                          <c15:sqref>Analysis!$C$165:$F$165</c15:sqref>
                        </c15:formulaRef>
                      </c:ext>
                    </c:extLst>
                    <c:numCache>
                      <c:formatCode>General</c:formatCode>
                      <c:ptCount val="4"/>
                    </c:numCache>
                  </c:numRef>
                </c:val>
                <c:extLst>
                  <c:ext xmlns:c16="http://schemas.microsoft.com/office/drawing/2014/chart" uri="{C3380CC4-5D6E-409C-BE32-E72D297353CC}">
                    <c16:uniqueId val="{00000010-E152-4BF4-82EF-9DB67902532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Analysis!$B$166</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E152-4BF4-82EF-9DB67902532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E152-4BF4-82EF-9DB67902532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E152-4BF4-82EF-9DB679025329}"/>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8-E152-4BF4-82EF-9DB6790253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Analysis!$C$163:$F$163</c15:sqref>
                        </c15:formulaRef>
                      </c:ext>
                    </c:extLst>
                    <c:strCache>
                      <c:ptCount val="4"/>
                      <c:pt idx="0">
                        <c:v>Functional</c:v>
                      </c:pt>
                      <c:pt idx="1">
                        <c:v>NA</c:v>
                      </c:pt>
                      <c:pt idx="2">
                        <c:v>Not_Functional</c:v>
                      </c:pt>
                      <c:pt idx="3">
                        <c:v>Not_inPlace</c:v>
                      </c:pt>
                    </c:strCache>
                  </c:strRef>
                </c:cat>
                <c:val>
                  <c:numRef>
                    <c:extLst xmlns:c15="http://schemas.microsoft.com/office/drawing/2012/chart">
                      <c:ext xmlns:c15="http://schemas.microsoft.com/office/drawing/2012/chart" uri="{02D57815-91ED-43cb-92C2-25804820EDAC}">
                        <c15:formulaRef>
                          <c15:sqref>Analysis!$C$166:$F$166</c15:sqref>
                        </c15:formulaRef>
                      </c:ext>
                    </c:extLst>
                    <c:numCache>
                      <c:formatCode>General</c:formatCode>
                      <c:ptCount val="4"/>
                      <c:pt idx="0">
                        <c:v>8</c:v>
                      </c:pt>
                      <c:pt idx="1">
                        <c:v>3</c:v>
                      </c:pt>
                      <c:pt idx="2">
                        <c:v>3</c:v>
                      </c:pt>
                      <c:pt idx="3">
                        <c:v>10</c:v>
                      </c:pt>
                    </c:numCache>
                  </c:numRef>
                </c:val>
                <c:extLst xmlns:c15="http://schemas.microsoft.com/office/drawing/2012/chart">
                  <c:ext xmlns:c16="http://schemas.microsoft.com/office/drawing/2014/chart" uri="{C3380CC4-5D6E-409C-BE32-E72D297353CC}">
                    <c16:uniqueId val="{00000019-E152-4BF4-82EF-9DB679025329}"/>
                  </c:ext>
                </c:extLst>
              </c15:ser>
            </c15:filteredPieSeries>
          </c:ext>
        </c:extLst>
      </c:pieChart>
      <c:spPr>
        <a:noFill/>
        <a:ln>
          <a:noFill/>
        </a:ln>
        <a:effectLst/>
      </c:spPr>
    </c:plotArea>
    <c:legend>
      <c:legendPos val="r"/>
      <c:layout>
        <c:manualLayout>
          <c:xMode val="edge"/>
          <c:yMode val="edge"/>
          <c:x val="0.55576606377313342"/>
          <c:y val="0.37689577865266843"/>
          <c:w val="0.41643601015286197"/>
          <c:h val="0.5211595153866637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Effective solid waste management system in place </a:t>
            </a:r>
          </a:p>
        </c:rich>
      </c:tx>
      <c:layout>
        <c:manualLayout>
          <c:xMode val="edge"/>
          <c:yMode val="edge"/>
          <c:x val="0.14584301962254717"/>
          <c:y val="6.9881201956673656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9.0997552043223934E-2"/>
          <c:y val="0.23919892825896763"/>
          <c:w val="0.4796720559641337"/>
          <c:h val="0.74691218285214356"/>
        </c:manualLayout>
      </c:layout>
      <c:pieChart>
        <c:varyColors val="1"/>
        <c:ser>
          <c:idx val="0"/>
          <c:order val="0"/>
          <c:tx>
            <c:strRef>
              <c:f>Analysis!$B$180</c:f>
              <c:strCache>
                <c:ptCount val="1"/>
                <c:pt idx="0">
                  <c:v>Kachin</c:v>
                </c:pt>
              </c:strCache>
            </c:strRef>
          </c:tx>
          <c:dPt>
            <c:idx val="0"/>
            <c:bubble3D val="0"/>
            <c:spPr>
              <a:solidFill>
                <a:schemeClr val="bg1">
                  <a:lumMod val="75000"/>
                </a:schemeClr>
              </a:solidFill>
              <a:ln>
                <a:noFill/>
              </a:ln>
              <a:effectLst/>
            </c:spPr>
            <c:extLst>
              <c:ext xmlns:c16="http://schemas.microsoft.com/office/drawing/2014/chart" uri="{C3380CC4-5D6E-409C-BE32-E72D297353CC}">
                <c16:uniqueId val="{00000001-7D04-4B5A-8D19-1128D053B922}"/>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7D04-4B5A-8D19-1128D053B922}"/>
              </c:ext>
            </c:extLst>
          </c:dPt>
          <c:dPt>
            <c:idx val="2"/>
            <c:bubble3D val="0"/>
            <c:spPr>
              <a:solidFill>
                <a:schemeClr val="accent2">
                  <a:lumMod val="75000"/>
                </a:schemeClr>
              </a:solidFill>
              <a:ln>
                <a:noFill/>
              </a:ln>
              <a:effectLst/>
            </c:spPr>
            <c:extLst>
              <c:ext xmlns:c16="http://schemas.microsoft.com/office/drawing/2014/chart" uri="{C3380CC4-5D6E-409C-BE32-E72D297353CC}">
                <c16:uniqueId val="{00000005-7D04-4B5A-8D19-1128D053B922}"/>
              </c:ext>
            </c:extLst>
          </c:dPt>
          <c:dLbls>
            <c:dLbl>
              <c:idx val="0"/>
              <c:layout>
                <c:manualLayout>
                  <c:x val="-4.4874374274467062E-2"/>
                  <c:y val="0.12608177908894386"/>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D04-4B5A-8D19-1128D053B922}"/>
                </c:ext>
              </c:extLst>
            </c:dLbl>
            <c:dLbl>
              <c:idx val="1"/>
              <c:layout>
                <c:manualLayout>
                  <c:x val="-9.2241951918743736E-2"/>
                  <c:y val="0.13098964279853681"/>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D04-4B5A-8D19-1128D053B922}"/>
                </c:ext>
              </c:extLst>
            </c:dLbl>
            <c:dLbl>
              <c:idx val="2"/>
              <c:layout>
                <c:manualLayout>
                  <c:x val="9.8528749029452148E-2"/>
                  <c:y val="-0.12680604188897165"/>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D04-4B5A-8D19-1128D053B922}"/>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Analysis!$C$179:$F$179</c15:sqref>
                  </c15:fullRef>
                </c:ext>
              </c:extLst>
              <c:f>Analysis!$C$179:$E$179</c:f>
              <c:strCache>
                <c:ptCount val="3"/>
                <c:pt idx="0">
                  <c:v>NA</c:v>
                </c:pt>
                <c:pt idx="1">
                  <c:v>No</c:v>
                </c:pt>
                <c:pt idx="2">
                  <c:v>Yes</c:v>
                </c:pt>
              </c:strCache>
            </c:strRef>
          </c:cat>
          <c:val>
            <c:numRef>
              <c:extLst>
                <c:ext xmlns:c15="http://schemas.microsoft.com/office/drawing/2012/chart" uri="{02D57815-91ED-43cb-92C2-25804820EDAC}">
                  <c15:fullRef>
                    <c15:sqref>Analysis!$C$180:$F$180</c15:sqref>
                  </c15:fullRef>
                </c:ext>
              </c:extLst>
              <c:f>Analysis!$C$180:$E$180</c:f>
              <c:numCache>
                <c:formatCode>General</c:formatCode>
                <c:ptCount val="3"/>
                <c:pt idx="0">
                  <c:v>10</c:v>
                </c:pt>
                <c:pt idx="1">
                  <c:v>5</c:v>
                </c:pt>
                <c:pt idx="2">
                  <c:v>104</c:v>
                </c:pt>
              </c:numCache>
            </c:numRef>
          </c:val>
          <c:extLst>
            <c:ext xmlns:c15="http://schemas.microsoft.com/office/drawing/2012/chart" uri="{02D57815-91ED-43cb-92C2-25804820EDAC}">
              <c15:categoryFilterExceptions>
                <c15:categoryFilterException>
                  <c15:sqref>Analysis!$F$180</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dLbl>
                    <c:idx val="2"/>
                    <c:layout>
                      <c:manualLayout>
                        <c:x val="5.662479690038745E-2"/>
                        <c:y val="0.14276360835330365"/>
                      </c:manualLayout>
                    </c:layout>
                    <c:dLblPos val="bestFit"/>
                    <c:showLegendKey val="0"/>
                    <c:showVal val="0"/>
                    <c:showCatName val="0"/>
                    <c:showSerName val="0"/>
                    <c:showPercent val="1"/>
                    <c:showBubbleSize val="0"/>
                    <c:extLst>
                      <c:ext uri="{CE6537A1-D6FC-4f65-9D91-7224C49458BB}"/>
                      <c:ext xmlns:c16="http://schemas.microsoft.com/office/drawing/2014/chart" uri="{C3380CC4-5D6E-409C-BE32-E72D297353CC}">
                        <c16:uniqueId val="{00000014-716F-4828-AA20-BF81B0FDF586}"/>
                      </c:ext>
                    </c:extLst>
                  </c15:dLbl>
                </c15:categoryFilterException>
              </c15:categoryFilterExceptions>
            </c:ext>
            <c:ext xmlns:c16="http://schemas.microsoft.com/office/drawing/2014/chart" uri="{C3380CC4-5D6E-409C-BE32-E72D297353CC}">
              <c16:uniqueId val="{0000000A-7D04-4B5A-8D19-1128D053B922}"/>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Analysis!$B$181</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9-EAC1-48F1-AA19-3F4A7F77555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B-EAC1-48F1-AA19-3F4A7F77555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D-EAC1-48F1-AA19-3F4A7F775559}"/>
                    </c:ext>
                  </c:extLst>
                </c:dPt>
                <c:cat>
                  <c:strRef>
                    <c:extLst>
                      <c:ext uri="{02D57815-91ED-43cb-92C2-25804820EDAC}">
                        <c15:fullRef>
                          <c15:sqref>Analysis!$C$179:$F$179</c15:sqref>
                        </c15:fullRef>
                        <c15:formulaRef>
                          <c15:sqref>Analysis!$C$179:$E$179</c15:sqref>
                        </c15:formulaRef>
                      </c:ext>
                    </c:extLst>
                    <c:strCache>
                      <c:ptCount val="3"/>
                      <c:pt idx="0">
                        <c:v>NA</c:v>
                      </c:pt>
                      <c:pt idx="1">
                        <c:v>No</c:v>
                      </c:pt>
                      <c:pt idx="2">
                        <c:v>Yes</c:v>
                      </c:pt>
                    </c:strCache>
                  </c:strRef>
                </c:cat>
                <c:val>
                  <c:numRef>
                    <c:extLst>
                      <c:ext uri="{02D57815-91ED-43cb-92C2-25804820EDAC}">
                        <c15:fullRef>
                          <c15:sqref>Analysis!$C$181:$F$181</c15:sqref>
                        </c15:fullRef>
                        <c15:formulaRef>
                          <c15:sqref>Analysis!$C$181:$E$181</c15:sqref>
                        </c15:formulaRef>
                      </c:ext>
                    </c:extLst>
                    <c:numCache>
                      <c:formatCode>General</c:formatCode>
                      <c:ptCount val="3"/>
                    </c:numCache>
                  </c:numRef>
                </c:val>
                <c:extLst>
                  <c:ext uri="{02D57815-91ED-43cb-92C2-25804820EDAC}">
                    <c15:categoryFilterExceptions>
                      <c15:categoryFilterException>
                        <c15:sqref>Analysis!$F$181</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10-EAC1-48F1-AA19-3F4A7F77555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Analysis!$B$182</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EAC1-48F1-AA19-3F4A7F77555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EAC1-48F1-AA19-3F4A7F77555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EAC1-48F1-AA19-3F4A7F775559}"/>
                    </c:ext>
                  </c:extLst>
                </c:dPt>
                <c:cat>
                  <c:strRef>
                    <c:extLst>
                      <c:ext xmlns:c15="http://schemas.microsoft.com/office/drawing/2012/chart" uri="{02D57815-91ED-43cb-92C2-25804820EDAC}">
                        <c15:fullRef>
                          <c15:sqref>Analysis!$C$179:$F$179</c15:sqref>
                        </c15:fullRef>
                        <c15:formulaRef>
                          <c15:sqref>Analysis!$C$179:$E$179</c15:sqref>
                        </c15:formulaRef>
                      </c:ext>
                    </c:extLst>
                    <c:strCache>
                      <c:ptCount val="3"/>
                      <c:pt idx="0">
                        <c:v>NA</c:v>
                      </c:pt>
                      <c:pt idx="1">
                        <c:v>No</c:v>
                      </c:pt>
                      <c:pt idx="2">
                        <c:v>Yes</c:v>
                      </c:pt>
                    </c:strCache>
                  </c:strRef>
                </c:cat>
                <c:val>
                  <c:numRef>
                    <c:extLst>
                      <c:ext xmlns:c15="http://schemas.microsoft.com/office/drawing/2012/chart" uri="{02D57815-91ED-43cb-92C2-25804820EDAC}">
                        <c15:fullRef>
                          <c15:sqref>Analysis!$C$182:$F$182</c15:sqref>
                        </c15:fullRef>
                        <c15:formulaRef>
                          <c15:sqref>Analysis!$C$182:$E$182</c15:sqref>
                        </c15:formulaRef>
                      </c:ext>
                    </c:extLst>
                    <c:numCache>
                      <c:formatCode>General</c:formatCode>
                      <c:ptCount val="3"/>
                      <c:pt idx="0">
                        <c:v>7</c:v>
                      </c:pt>
                      <c:pt idx="1">
                        <c:v>9</c:v>
                      </c:pt>
                      <c:pt idx="2">
                        <c:v>12</c:v>
                      </c:pt>
                    </c:numCache>
                  </c:numRef>
                </c:val>
                <c:extLst xmlns:c15="http://schemas.microsoft.com/office/drawing/2012/chart">
                  <c:ext xmlns:c15="http://schemas.microsoft.com/office/drawing/2012/chart" uri="{02D57815-91ED-43cb-92C2-25804820EDAC}">
                    <c15:categoryFilterExceptions>
                      <c15:categoryFilterException>
                        <c15:sqref>Analysis!$F$182</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19-EAC1-48F1-AA19-3F4A7F775559}"/>
                  </c:ext>
                </c:extLst>
              </c15:ser>
            </c15:filteredPieSeries>
          </c:ext>
        </c:extLst>
      </c:pieChart>
      <c:spPr>
        <a:noFill/>
        <a:ln>
          <a:noFill/>
        </a:ln>
        <a:effectLst/>
      </c:spPr>
    </c:plotArea>
    <c:legend>
      <c:legendPos val="r"/>
      <c:layout>
        <c:manualLayout>
          <c:xMode val="edge"/>
          <c:yMode val="edge"/>
          <c:x val="0.68966239359902159"/>
          <c:y val="0.38963576581559156"/>
          <c:w val="0.29131894098645039"/>
          <c:h val="0.3706662645054454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Latrines handed over to families</a:t>
            </a:r>
          </a:p>
        </c:rich>
      </c:tx>
      <c:layout>
        <c:manualLayout>
          <c:xMode val="edge"/>
          <c:yMode val="edge"/>
          <c:x val="0.17240594925634298"/>
          <c:y val="4.9212598425212798E-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3652480939882514"/>
          <c:y val="0.2347872922134733"/>
          <c:w val="0.89814814814814814"/>
          <c:h val="0.44178368328958878"/>
        </c:manualLayout>
      </c:layout>
      <c:barChart>
        <c:barDir val="col"/>
        <c:grouping val="percentStacked"/>
        <c:varyColors val="0"/>
        <c:ser>
          <c:idx val="2"/>
          <c:order val="2"/>
          <c:tx>
            <c:strRef>
              <c:f>Analysis!$B$137</c:f>
              <c:strCache>
                <c:ptCount val="1"/>
                <c:pt idx="0">
                  <c:v> Latrines handed over </c:v>
                </c:pt>
              </c:strCache>
            </c:strRef>
          </c:tx>
          <c:spPr>
            <a:solidFill>
              <a:schemeClr val="accent2">
                <a:lumMod val="75000"/>
              </a:schemeClr>
            </a:solidFill>
            <a:ln>
              <a:noFill/>
            </a:ln>
            <a:effectLst/>
          </c:spPr>
          <c:invertIfNegative val="0"/>
          <c:dLbls>
            <c:dLbl>
              <c:idx val="1"/>
              <c:layout>
                <c:manualLayout>
                  <c:x val="-1.5598414490412774E-2"/>
                  <c:y val="-1.30906880548777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45-466F-8A61-2179A0D75A4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Analysis!$C$134:$D$134</c:f>
              <c:strCache>
                <c:ptCount val="2"/>
                <c:pt idx="0">
                  <c:v> # in GCA (20:1) </c:v>
                </c:pt>
                <c:pt idx="1">
                  <c:v> # in NGCA (20:1) </c:v>
                </c:pt>
              </c:strCache>
            </c:strRef>
          </c:cat>
          <c:val>
            <c:numRef>
              <c:f>Analysis!$C$137:$D$137</c:f>
              <c:numCache>
                <c:formatCode>_(* #,##0_);_(* \(#,##0\);_(* "-"??_);_(@_)</c:formatCode>
                <c:ptCount val="2"/>
                <c:pt idx="0">
                  <c:v>604</c:v>
                </c:pt>
                <c:pt idx="1">
                  <c:v>1334</c:v>
                </c:pt>
              </c:numCache>
            </c:numRef>
          </c:val>
          <c:extLst>
            <c:ext xmlns:c16="http://schemas.microsoft.com/office/drawing/2014/chart" uri="{C3380CC4-5D6E-409C-BE32-E72D297353CC}">
              <c16:uniqueId val="{00000000-89DD-4829-838C-9132D2EEC9DD}"/>
            </c:ext>
          </c:extLst>
        </c:ser>
        <c:ser>
          <c:idx val="3"/>
          <c:order val="3"/>
          <c:tx>
            <c:strRef>
              <c:f>Analysis!$B$138</c:f>
              <c:strCache>
                <c:ptCount val="1"/>
                <c:pt idx="0">
                  <c:v> Latrines not handed over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Analysis!$C$134:$D$134</c:f>
              <c:strCache>
                <c:ptCount val="2"/>
                <c:pt idx="0">
                  <c:v> # in GCA (20:1) </c:v>
                </c:pt>
                <c:pt idx="1">
                  <c:v> # in NGCA (20:1) </c:v>
                </c:pt>
              </c:strCache>
            </c:strRef>
          </c:cat>
          <c:val>
            <c:numRef>
              <c:f>Analysis!$C$138:$D$138</c:f>
              <c:numCache>
                <c:formatCode>_(* #,##0_);_(* \(#,##0\);_(* "-"??_);_(@_)</c:formatCode>
                <c:ptCount val="2"/>
                <c:pt idx="0">
                  <c:v>1689</c:v>
                </c:pt>
                <c:pt idx="1">
                  <c:v>1334</c:v>
                </c:pt>
              </c:numCache>
            </c:numRef>
          </c:val>
          <c:extLst>
            <c:ext xmlns:c16="http://schemas.microsoft.com/office/drawing/2014/chart" uri="{C3380CC4-5D6E-409C-BE32-E72D297353CC}">
              <c16:uniqueId val="{00000001-89DD-4829-838C-9132D2EEC9DD}"/>
            </c:ext>
          </c:extLst>
        </c:ser>
        <c:dLbls>
          <c:showLegendKey val="0"/>
          <c:showVal val="0"/>
          <c:showCatName val="0"/>
          <c:showSerName val="0"/>
          <c:showPercent val="0"/>
          <c:showBubbleSize val="0"/>
        </c:dLbls>
        <c:gapWidth val="150"/>
        <c:overlap val="100"/>
        <c:axId val="415875096"/>
        <c:axId val="415875488"/>
        <c:extLst>
          <c:ext xmlns:c15="http://schemas.microsoft.com/office/drawing/2012/chart" uri="{02D57815-91ED-43cb-92C2-25804820EDAC}">
            <c15:filteredBarSeries>
              <c15:ser>
                <c:idx val="0"/>
                <c:order val="0"/>
                <c:tx>
                  <c:strRef>
                    <c:extLst>
                      <c:ext uri="{02D57815-91ED-43cb-92C2-25804820EDAC}">
                        <c15:formulaRef>
                          <c15:sqref>Analysis!$B$135</c15:sqref>
                        </c15:formulaRef>
                      </c:ext>
                    </c:extLst>
                    <c:strCache>
                      <c:ptCount val="1"/>
                      <c:pt idx="0">
                        <c:v> Coverage </c:v>
                      </c:pt>
                    </c:strCache>
                  </c:strRef>
                </c:tx>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invertIfNegative val="0"/>
                <c:cat>
                  <c:strRef>
                    <c:extLst>
                      <c:ext uri="{02D57815-91ED-43cb-92C2-25804820EDAC}">
                        <c15:formulaRef>
                          <c15:sqref>Analysis!$C$134:$D$134</c15:sqref>
                        </c15:formulaRef>
                      </c:ext>
                    </c:extLst>
                    <c:strCache>
                      <c:ptCount val="2"/>
                      <c:pt idx="0">
                        <c:v> # in GCA (20:1) </c:v>
                      </c:pt>
                      <c:pt idx="1">
                        <c:v> # in NGCA (20:1) </c:v>
                      </c:pt>
                    </c:strCache>
                  </c:strRef>
                </c:cat>
                <c:val>
                  <c:numRef>
                    <c:extLst>
                      <c:ext uri="{02D57815-91ED-43cb-92C2-25804820EDAC}">
                        <c15:formulaRef>
                          <c15:sqref>Analysis!$C$135:$D$135</c15:sqref>
                        </c15:formulaRef>
                      </c:ext>
                    </c:extLst>
                    <c:numCache>
                      <c:formatCode>_(* #,##0_);_(* \(#,##0\);_(* "-"??_);_(@_)</c:formatCode>
                      <c:ptCount val="2"/>
                      <c:pt idx="0">
                        <c:v>2139</c:v>
                      </c:pt>
                      <c:pt idx="1">
                        <c:v>3439</c:v>
                      </c:pt>
                    </c:numCache>
                  </c:numRef>
                </c:val>
                <c:extLst>
                  <c:ext xmlns:c16="http://schemas.microsoft.com/office/drawing/2014/chart" uri="{C3380CC4-5D6E-409C-BE32-E72D297353CC}">
                    <c16:uniqueId val="{00000000-C16D-4B5C-864C-7CC8470434C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Analysis!$B$136</c15:sqref>
                        </c15:formulaRef>
                      </c:ext>
                    </c:extLst>
                    <c:strCache>
                      <c:ptCount val="1"/>
                      <c:pt idx="0">
                        <c:v> GAP </c:v>
                      </c:pt>
                    </c:strCache>
                  </c:strRef>
                </c:tx>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Analysis!$C$134:$D$134</c15:sqref>
                        </c15:formulaRef>
                      </c:ext>
                    </c:extLst>
                    <c:strCache>
                      <c:ptCount val="2"/>
                      <c:pt idx="0">
                        <c:v> # in GCA (20:1) </c:v>
                      </c:pt>
                      <c:pt idx="1">
                        <c:v> # in NGCA (20:1) </c:v>
                      </c:pt>
                    </c:strCache>
                  </c:strRef>
                </c:cat>
                <c:val>
                  <c:numRef>
                    <c:extLst xmlns:c15="http://schemas.microsoft.com/office/drawing/2012/chart">
                      <c:ext xmlns:c15="http://schemas.microsoft.com/office/drawing/2012/chart" uri="{02D57815-91ED-43cb-92C2-25804820EDAC}">
                        <c15:formulaRef>
                          <c15:sqref>Analysis!$C$136:$D$136</c15:sqref>
                        </c15:formulaRef>
                      </c:ext>
                    </c:extLst>
                    <c:numCache>
                      <c:formatCode>_(* #,##0_);_(* \(#,##0\);_(* "-"??_);_(@_)</c:formatCode>
                      <c:ptCount val="2"/>
                      <c:pt idx="0">
                        <c:v>154</c:v>
                      </c:pt>
                      <c:pt idx="1">
                        <c:v>0</c:v>
                      </c:pt>
                    </c:numCache>
                  </c:numRef>
                </c:val>
                <c:extLst xmlns:c15="http://schemas.microsoft.com/office/drawing/2012/chart">
                  <c:ext xmlns:c16="http://schemas.microsoft.com/office/drawing/2014/chart" uri="{C3380CC4-5D6E-409C-BE32-E72D297353CC}">
                    <c16:uniqueId val="{00000002-C16D-4B5C-864C-7CC8470434C5}"/>
                  </c:ext>
                </c:extLst>
              </c15:ser>
            </c15:filteredBarSeries>
          </c:ext>
        </c:extLst>
      </c:barChart>
      <c:catAx>
        <c:axId val="4158750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crossAx val="415875488"/>
        <c:crosses val="autoZero"/>
        <c:auto val="1"/>
        <c:lblAlgn val="ctr"/>
        <c:lblOffset val="100"/>
        <c:noMultiLvlLbl val="0"/>
      </c:catAx>
      <c:valAx>
        <c:axId val="41587548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5096"/>
        <c:crosses val="autoZero"/>
        <c:crossBetween val="between"/>
        <c:majorUnit val="0.5"/>
      </c:valAx>
      <c:spPr>
        <a:noFill/>
        <a:ln>
          <a:noFill/>
        </a:ln>
        <a:effectLst/>
      </c:spPr>
    </c:plotArea>
    <c:legend>
      <c:legendPos val="b"/>
      <c:layout>
        <c:manualLayout>
          <c:xMode val="edge"/>
          <c:yMode val="edge"/>
          <c:x val="1.303769320501603E-2"/>
          <c:y val="0.80444444444444441"/>
          <c:w val="0.94206328375619719"/>
          <c:h val="0.1955555555555555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repaired and desludged</a:t>
            </a:r>
          </a:p>
        </c:rich>
      </c:tx>
      <c:layout>
        <c:manualLayout>
          <c:xMode val="edge"/>
          <c:yMode val="edge"/>
          <c:x val="0.19381153420296113"/>
          <c:y val="9.257946434396697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2936185768361558"/>
          <c:y val="0.18110503941046066"/>
          <c:w val="0.8269872515935508"/>
          <c:h val="0.45797951668100412"/>
        </c:manualLayout>
      </c:layout>
      <c:barChart>
        <c:barDir val="col"/>
        <c:grouping val="clustered"/>
        <c:varyColors val="0"/>
        <c:ser>
          <c:idx val="0"/>
          <c:order val="0"/>
          <c:tx>
            <c:strRef>
              <c:f>Analysis!$B$139</c:f>
              <c:strCache>
                <c:ptCount val="1"/>
                <c:pt idx="0">
                  <c:v> # Operation &amp; maintenance of latrines </c:v>
                </c:pt>
              </c:strCache>
            </c:strRef>
          </c:tx>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Analysis!$C$134:$D$134</c:f>
              <c:strCache>
                <c:ptCount val="2"/>
                <c:pt idx="0">
                  <c:v> # in GCA (20:1) </c:v>
                </c:pt>
                <c:pt idx="1">
                  <c:v> # in NGCA (20:1) </c:v>
                </c:pt>
              </c:strCache>
            </c:strRef>
          </c:cat>
          <c:val>
            <c:numRef>
              <c:f>Analysis!$C$139:$D$139</c:f>
              <c:numCache>
                <c:formatCode>_(* #,##0_);_(* \(#,##0\);_(* "-"??_);_(@_)</c:formatCode>
                <c:ptCount val="2"/>
                <c:pt idx="0">
                  <c:v>155</c:v>
                </c:pt>
                <c:pt idx="1">
                  <c:v>118</c:v>
                </c:pt>
              </c:numCache>
            </c:numRef>
          </c:val>
          <c:extLst>
            <c:ext xmlns:c16="http://schemas.microsoft.com/office/drawing/2014/chart" uri="{C3380CC4-5D6E-409C-BE32-E72D297353CC}">
              <c16:uniqueId val="{00000000-BE5C-460C-9416-9E341743CD67}"/>
            </c:ext>
          </c:extLst>
        </c:ser>
        <c:ser>
          <c:idx val="1"/>
          <c:order val="1"/>
          <c:tx>
            <c:strRef>
              <c:f>Analysis!$B$140</c:f>
              <c:strCache>
                <c:ptCount val="1"/>
                <c:pt idx="0">
                  <c:v> # latrines desludged </c:v>
                </c:pt>
              </c:strCache>
            </c:strRef>
          </c:tx>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Analysis!$C$134:$D$134</c:f>
              <c:strCache>
                <c:ptCount val="2"/>
                <c:pt idx="0">
                  <c:v> # in GCA (20:1) </c:v>
                </c:pt>
                <c:pt idx="1">
                  <c:v> # in NGCA (20:1) </c:v>
                </c:pt>
              </c:strCache>
            </c:strRef>
          </c:cat>
          <c:val>
            <c:numRef>
              <c:f>Analysis!$C$140:$D$140</c:f>
              <c:numCache>
                <c:formatCode>_(* #,##0_);_(* \(#,##0\);_(* "-"??_);_(@_)</c:formatCode>
                <c:ptCount val="2"/>
                <c:pt idx="0">
                  <c:v>477</c:v>
                </c:pt>
                <c:pt idx="1">
                  <c:v>150</c:v>
                </c:pt>
              </c:numCache>
            </c:numRef>
          </c:val>
          <c:extLst>
            <c:ext xmlns:c16="http://schemas.microsoft.com/office/drawing/2014/chart" uri="{C3380CC4-5D6E-409C-BE32-E72D297353CC}">
              <c16:uniqueId val="{00000001-BE5C-460C-9416-9E341743CD67}"/>
            </c:ext>
          </c:extLst>
        </c:ser>
        <c:dLbls>
          <c:dLblPos val="inEnd"/>
          <c:showLegendKey val="0"/>
          <c:showVal val="1"/>
          <c:showCatName val="0"/>
          <c:showSerName val="0"/>
          <c:showPercent val="0"/>
          <c:showBubbleSize val="0"/>
        </c:dLbls>
        <c:gapWidth val="100"/>
        <c:overlap val="-24"/>
        <c:axId val="415864904"/>
        <c:axId val="417008008"/>
      </c:barChart>
      <c:catAx>
        <c:axId val="41586490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7008008"/>
        <c:crosses val="autoZero"/>
        <c:auto val="1"/>
        <c:lblAlgn val="ctr"/>
        <c:lblOffset val="100"/>
        <c:noMultiLvlLbl val="0"/>
      </c:catAx>
      <c:valAx>
        <c:axId val="417008008"/>
        <c:scaling>
          <c:orientation val="minMax"/>
          <c:max val="600"/>
          <c:min val="0"/>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5864904"/>
        <c:crosses val="autoZero"/>
        <c:crossBetween val="between"/>
        <c:majorUnit val="200"/>
      </c:valAx>
      <c:spPr>
        <a:noFill/>
        <a:ln>
          <a:noFill/>
        </a:ln>
        <a:effectLst/>
      </c:spPr>
    </c:plotArea>
    <c:legend>
      <c:legendPos val="b"/>
      <c:layout>
        <c:manualLayout>
          <c:xMode val="edge"/>
          <c:yMode val="edge"/>
          <c:x val="0"/>
          <c:y val="0.78632327209098862"/>
          <c:w val="0.9750901434403646"/>
          <c:h val="0.2136767279090113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Kayin Number of ppl Covered against 2023 HRP targets</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HRP!$E$231</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2"/>
            <c:invertIfNegative val="0"/>
            <c:bubble3D val="0"/>
            <c:spPr>
              <a:solidFill>
                <a:srgbClr val="FFFF00"/>
              </a:solidFill>
              <a:ln>
                <a:noFill/>
              </a:ln>
              <a:effectLst/>
            </c:spPr>
            <c:extLst>
              <c:ext xmlns:c16="http://schemas.microsoft.com/office/drawing/2014/chart" uri="{C3380CC4-5D6E-409C-BE32-E72D297353CC}">
                <c16:uniqueId val="{00000011-C862-4B01-A4CD-34DAB467B30C}"/>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6-4536-470B-9DC6-209F9010E8C8}"/>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13-046B-47CF-91D0-69549E2F40B6}"/>
              </c:ext>
            </c:extLst>
          </c:dPt>
          <c:dPt>
            <c:idx val="5"/>
            <c:invertIfNegative val="0"/>
            <c:bubble3D val="0"/>
            <c:spPr>
              <a:solidFill>
                <a:srgbClr val="0070C0"/>
              </a:solidFill>
              <a:ln>
                <a:noFill/>
              </a:ln>
              <a:effectLst/>
            </c:spPr>
            <c:extLst>
              <c:ext xmlns:c16="http://schemas.microsoft.com/office/drawing/2014/chart" uri="{C3380CC4-5D6E-409C-BE32-E72D297353CC}">
                <c16:uniqueId val="{00000003-4536-470B-9DC6-209F9010E8C8}"/>
              </c:ext>
            </c:extLst>
          </c:dPt>
          <c:dLbls>
            <c:dLbl>
              <c:idx val="2"/>
              <c:layout>
                <c:manualLayout>
                  <c:x val="4.4251938974395173E-2"/>
                  <c:y val="4.5759112143512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862-4B01-A4CD-34DAB467B30C}"/>
                </c:ext>
              </c:extLst>
            </c:dLbl>
            <c:dLbl>
              <c:idx val="4"/>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13-046B-47CF-91D0-69549E2F40B6}"/>
                </c:ext>
              </c:extLst>
            </c:dLbl>
            <c:dLbl>
              <c:idx val="5"/>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3-4536-470B-9DC6-209F9010E8C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HRP!$C$232:$C$237</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HRP!$E$232:$E$237</c:f>
              <c:numCache>
                <c:formatCode>_(* #,##0_);_(* \(#,##0\);_(* "-"??_);_(@_)</c:formatCode>
                <c:ptCount val="6"/>
                <c:pt idx="0">
                  <c:v>0</c:v>
                </c:pt>
                <c:pt idx="1">
                  <c:v>0</c:v>
                </c:pt>
                <c:pt idx="2">
                  <c:v>0</c:v>
                </c:pt>
                <c:pt idx="3">
                  <c:v>12413</c:v>
                </c:pt>
                <c:pt idx="4">
                  <c:v>16465</c:v>
                </c:pt>
                <c:pt idx="5">
                  <c:v>25408</c:v>
                </c:pt>
              </c:numCache>
            </c:numRef>
          </c:val>
          <c:extLst>
            <c:ext xmlns:c16="http://schemas.microsoft.com/office/drawing/2014/chart" uri="{C3380CC4-5D6E-409C-BE32-E72D297353CC}">
              <c16:uniqueId val="{00000000-4536-470B-9DC6-209F9010E8C8}"/>
            </c:ext>
          </c:extLst>
        </c:ser>
        <c:ser>
          <c:idx val="1"/>
          <c:order val="1"/>
          <c:tx>
            <c:strRef>
              <c:f>HRP!$F$231</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A-4536-470B-9DC6-209F9010E8C8}"/>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9-4536-470B-9DC6-209F9010E8C8}"/>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4536-470B-9DC6-209F9010E8C8}"/>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4536-470B-9DC6-209F9010E8C8}"/>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5-4536-470B-9DC6-209F9010E8C8}"/>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4-4536-470B-9DC6-209F9010E8C8}"/>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HRP!$C$232:$C$237</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HRP!$F$232:$F$237</c:f>
              <c:numCache>
                <c:formatCode>_(* #,##0_);_(* \(#,##0\);_(* "-"??_);_(@_)</c:formatCode>
                <c:ptCount val="6"/>
                <c:pt idx="0">
                  <c:v>2571.42</c:v>
                </c:pt>
                <c:pt idx="1">
                  <c:v>4114.2719999999999</c:v>
                </c:pt>
                <c:pt idx="2">
                  <c:v>6367.5952269109766</c:v>
                </c:pt>
                <c:pt idx="3">
                  <c:v>63510.504538219524</c:v>
                </c:pt>
                <c:pt idx="4">
                  <c:v>16597.731361465856</c:v>
                </c:pt>
                <c:pt idx="5">
                  <c:v>11902.332269109756</c:v>
                </c:pt>
              </c:numCache>
            </c:numRef>
          </c:val>
          <c:extLst>
            <c:ext xmlns:c16="http://schemas.microsoft.com/office/drawing/2014/chart" uri="{C3380CC4-5D6E-409C-BE32-E72D297353CC}">
              <c16:uniqueId val="{00000001-4536-470B-9DC6-209F9010E8C8}"/>
            </c:ext>
          </c:extLst>
        </c:ser>
        <c:dLbls>
          <c:showLegendKey val="0"/>
          <c:showVal val="0"/>
          <c:showCatName val="0"/>
          <c:showSerName val="0"/>
          <c:showPercent val="0"/>
          <c:showBubbleSize val="0"/>
        </c:dLbls>
        <c:gapWidth val="150"/>
        <c:overlap val="100"/>
        <c:axId val="708683728"/>
        <c:axId val="708689136"/>
      </c:barChart>
      <c:catAx>
        <c:axId val="70868372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708689136"/>
        <c:crosses val="autoZero"/>
        <c:auto val="1"/>
        <c:lblAlgn val="ctr"/>
        <c:lblOffset val="100"/>
        <c:noMultiLvlLbl val="0"/>
      </c:catAx>
      <c:valAx>
        <c:axId val="70868913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08683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a:t>
            </a:r>
            <a:r>
              <a:rPr lang="en-US" sz="1200" baseline="0"/>
              <a:t> Functionality</a:t>
            </a:r>
            <a:endParaRPr lang="en-US" sz="1200"/>
          </a:p>
        </c:rich>
      </c:tx>
      <c:overlay val="0"/>
      <c:spPr>
        <a:noFill/>
        <a:ln>
          <a:noFill/>
        </a:ln>
        <a:effectLst/>
      </c:spPr>
    </c:title>
    <c:autoTitleDeleted val="0"/>
    <c:plotArea>
      <c:layout>
        <c:manualLayout>
          <c:layoutTarget val="inner"/>
          <c:xMode val="edge"/>
          <c:yMode val="edge"/>
          <c:x val="5.0253170913455547E-2"/>
          <c:y val="0.23318952318460193"/>
          <c:w val="0.4711272084197633"/>
          <c:h val="0.73360673665791776"/>
        </c:manualLayout>
      </c:layout>
      <c:pieChart>
        <c:varyColors val="1"/>
        <c:ser>
          <c:idx val="1"/>
          <c:order val="0"/>
          <c:dPt>
            <c:idx val="0"/>
            <c:bubble3D val="0"/>
            <c:spPr>
              <a:solidFill>
                <a:schemeClr val="accent2">
                  <a:lumMod val="75000"/>
                </a:schemeClr>
              </a:solidFill>
            </c:spPr>
            <c:extLst>
              <c:ext xmlns:c16="http://schemas.microsoft.com/office/drawing/2014/chart" uri="{C3380CC4-5D6E-409C-BE32-E72D297353CC}">
                <c16:uniqueId val="{0000000F-D4AE-42C3-98C8-A49BC4C43D3C}"/>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10-D4AE-42C3-98C8-A49BC4C43D3C}"/>
              </c:ext>
            </c:extLst>
          </c:dPt>
          <c:dLbls>
            <c:dLbl>
              <c:idx val="0"/>
              <c:numFmt formatCode="0.00%" sourceLinked="0"/>
              <c:spPr>
                <a:noFill/>
                <a:ln>
                  <a:noFill/>
                </a:ln>
                <a:effectLst/>
              </c:spPr>
              <c:txPr>
                <a:bodyPr wrap="square" lIns="38100" tIns="19050" rIns="38100" bIns="19050" anchor="ctr">
                  <a:spAutoFit/>
                </a:bodyPr>
                <a:lstStyle/>
                <a:p>
                  <a:pPr>
                    <a:defRPr sz="1200">
                      <a:solidFill>
                        <a:schemeClr val="bg1"/>
                      </a:solidFill>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F-D4AE-42C3-98C8-A49BC4C43D3C}"/>
                </c:ext>
              </c:extLst>
            </c:dLbl>
            <c:dLbl>
              <c:idx val="1"/>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44546A"/>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10-D4AE-42C3-98C8-A49BC4C43D3C}"/>
                </c:ext>
              </c:extLst>
            </c:dLbl>
            <c:numFmt formatCode="0.00%" sourceLinked="0"/>
            <c:spPr>
              <a:noFill/>
              <a:ln>
                <a:noFill/>
              </a:ln>
              <a:effectLst/>
            </c:spPr>
            <c:txPr>
              <a:bodyPr wrap="square" lIns="38100" tIns="19050" rIns="38100" bIns="19050" anchor="ctr">
                <a:spAutoFit/>
              </a:bodyPr>
              <a:lstStyle/>
              <a:p>
                <a:pPr>
                  <a:defRPr sz="1200"/>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Analysis!$F$134:$F$135</c:f>
              <c:strCache>
                <c:ptCount val="2"/>
                <c:pt idx="0">
                  <c:v>Functioning</c:v>
                </c:pt>
                <c:pt idx="1">
                  <c:v>Not_Functioing</c:v>
                </c:pt>
              </c:strCache>
            </c:strRef>
          </c:cat>
          <c:val>
            <c:numRef>
              <c:f>Analysis!$G$134:$G$135</c:f>
              <c:numCache>
                <c:formatCode>_(* #,##0_);_(* \(#,##0\);_(* "-"??_);_(@_)</c:formatCode>
                <c:ptCount val="2"/>
                <c:pt idx="0">
                  <c:v>5578</c:v>
                </c:pt>
                <c:pt idx="1">
                  <c:v>366</c:v>
                </c:pt>
              </c:numCache>
            </c:numRef>
          </c:val>
          <c:extLst>
            <c:ext xmlns:c16="http://schemas.microsoft.com/office/drawing/2014/chart" uri="{C3380CC4-5D6E-409C-BE32-E72D297353CC}">
              <c16:uniqueId val="{0000000E-D4AE-42C3-98C8-A49BC4C43D3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58099485160030218"/>
          <c:y val="0.43217793088363954"/>
          <c:w val="0.39224653323177699"/>
          <c:h val="0.3207130358705161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legend>
    <c:plotVisOnly val="1"/>
    <c:dispBlanksAs val="gap"/>
    <c:showDLblsOverMax val="0"/>
  </c:chart>
  <c:spPr>
    <a:ln>
      <a:solidFill>
        <a:schemeClr val="accent2">
          <a:lumMod val="75000"/>
        </a:schemeClr>
      </a:solidFill>
    </a:ln>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[20230728_Myanmar_WASH_4W_2023_Q2_KachinShan_camp_Consolidate.xlsx]Analysis!PivotTable1</c:name>
    <c:fmtId val="29"/>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people access to functioning</a:t>
            </a:r>
            <a:r>
              <a:rPr lang="en-US" sz="1200" baseline="0"/>
              <a:t> latrine</a:t>
            </a:r>
            <a:endParaRPr lang="en-US" sz="1200"/>
          </a:p>
        </c:rich>
      </c:tx>
      <c:layout>
        <c:manualLayout>
          <c:xMode val="edge"/>
          <c:yMode val="edge"/>
          <c:x val="0.13883092738407701"/>
          <c:y val="1.388888888888888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650080198308545"/>
          <c:y val="0.26597222222222222"/>
          <c:w val="0.78720290172061824"/>
          <c:h val="0.44040846456692917"/>
        </c:manualLayout>
      </c:layout>
      <c:barChart>
        <c:barDir val="col"/>
        <c:grouping val="percentStacked"/>
        <c:varyColors val="0"/>
        <c:ser>
          <c:idx val="0"/>
          <c:order val="0"/>
          <c:tx>
            <c:strRef>
              <c:f>Analysis!$P$124</c:f>
              <c:strCache>
                <c:ptCount val="1"/>
                <c:pt idx="0">
                  <c:v>Accessed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Analysis!$O$125:$O$126</c:f>
              <c:strCache>
                <c:ptCount val="2"/>
                <c:pt idx="0">
                  <c:v>GCA</c:v>
                </c:pt>
                <c:pt idx="1">
                  <c:v>NGCA</c:v>
                </c:pt>
              </c:strCache>
            </c:strRef>
          </c:cat>
          <c:val>
            <c:numRef>
              <c:f>Analysis!$P$125:$P$126</c:f>
              <c:numCache>
                <c:formatCode>_(* #,##0_);_(* \(#,##0\);_(* "-"??_);_(@_)</c:formatCode>
                <c:ptCount val="2"/>
                <c:pt idx="0">
                  <c:v>35427</c:v>
                </c:pt>
                <c:pt idx="1">
                  <c:v>36138</c:v>
                </c:pt>
              </c:numCache>
            </c:numRef>
          </c:val>
          <c:extLst>
            <c:ext xmlns:c16="http://schemas.microsoft.com/office/drawing/2014/chart" uri="{C3380CC4-5D6E-409C-BE32-E72D297353CC}">
              <c16:uniqueId val="{00000001-DC19-413F-8F45-3E2923F3D05C}"/>
            </c:ext>
          </c:extLst>
        </c:ser>
        <c:ser>
          <c:idx val="1"/>
          <c:order val="1"/>
          <c:tx>
            <c:strRef>
              <c:f>Analysis!$Q$124</c:f>
              <c:strCache>
                <c:ptCount val="1"/>
                <c:pt idx="0">
                  <c:v>Not-accessed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Analysis!$O$125:$O$126</c:f>
              <c:strCache>
                <c:ptCount val="2"/>
                <c:pt idx="0">
                  <c:v>GCA</c:v>
                </c:pt>
                <c:pt idx="1">
                  <c:v>NGCA</c:v>
                </c:pt>
              </c:strCache>
            </c:strRef>
          </c:cat>
          <c:val>
            <c:numRef>
              <c:f>Analysis!$Q$125:$Q$126</c:f>
              <c:numCache>
                <c:formatCode>_(* #,##0_);_(* \(#,##0\);_(* "-"??_);_(@_)</c:formatCode>
                <c:ptCount val="2"/>
                <c:pt idx="0">
                  <c:v>10466</c:v>
                </c:pt>
                <c:pt idx="1">
                  <c:v>8503</c:v>
                </c:pt>
              </c:numCache>
            </c:numRef>
          </c:val>
          <c:extLst>
            <c:ext xmlns:c16="http://schemas.microsoft.com/office/drawing/2014/chart" uri="{C3380CC4-5D6E-409C-BE32-E72D297353CC}">
              <c16:uniqueId val="{00000002-DC19-413F-8F45-3E2923F3D05C}"/>
            </c:ext>
          </c:extLst>
        </c:ser>
        <c:dLbls>
          <c:dLblPos val="ctr"/>
          <c:showLegendKey val="0"/>
          <c:showVal val="1"/>
          <c:showCatName val="0"/>
          <c:showSerName val="0"/>
          <c:showPercent val="0"/>
          <c:showBubbleSize val="0"/>
        </c:dLbls>
        <c:gapWidth val="50"/>
        <c:overlap val="100"/>
        <c:axId val="732749023"/>
        <c:axId val="731231727"/>
      </c:barChart>
      <c:catAx>
        <c:axId val="7327490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231727"/>
        <c:crosses val="autoZero"/>
        <c:auto val="1"/>
        <c:lblAlgn val="ctr"/>
        <c:lblOffset val="100"/>
        <c:noMultiLvlLbl val="0"/>
      </c:catAx>
      <c:valAx>
        <c:axId val="731231727"/>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2749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[20230728_Myanmar_WASH_4W_2023_Q2_KachinShan_camp_Consolidate.xlsx]Analysis!PivotTable13</c:name>
    <c:fmtId val="26"/>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Functioning Latrine Target and Reached</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soli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Analysis!$AJ$124</c:f>
              <c:strCache>
                <c:ptCount val="1"/>
                <c:pt idx="0">
                  <c:v>Reached</c:v>
                </c:pt>
              </c:strCache>
            </c:strRef>
          </c:tx>
          <c:spPr>
            <a:solidFill>
              <a:schemeClr val="accent2">
                <a:lumMod val="40000"/>
                <a:lumOff val="60000"/>
              </a:schemeClr>
            </a:solidFill>
            <a:ln>
              <a:noFill/>
            </a:ln>
            <a:effectLst/>
          </c:spPr>
          <c:invertIfNegative val="0"/>
          <c:cat>
            <c:strRef>
              <c:f>Analysis!$AI$125:$AI$137</c:f>
              <c:strCache>
                <c:ptCount val="13"/>
                <c:pt idx="0">
                  <c:v>Bhamo</c:v>
                </c:pt>
                <c:pt idx="1">
                  <c:v>Chipwi</c:v>
                </c:pt>
                <c:pt idx="2">
                  <c:v>Hpakant</c:v>
                </c:pt>
                <c:pt idx="3">
                  <c:v>Injangyang</c:v>
                </c:pt>
                <c:pt idx="4">
                  <c:v>Mansi</c:v>
                </c:pt>
                <c:pt idx="5">
                  <c:v>Mogaung</c:v>
                </c:pt>
                <c:pt idx="6">
                  <c:v>Mohnyin</c:v>
                </c:pt>
                <c:pt idx="7">
                  <c:v>Momauk</c:v>
                </c:pt>
                <c:pt idx="8">
                  <c:v>Myitkyina</c:v>
                </c:pt>
                <c:pt idx="9">
                  <c:v>Shwegu</c:v>
                </c:pt>
                <c:pt idx="10">
                  <c:v>Sumprabum</c:v>
                </c:pt>
                <c:pt idx="11">
                  <c:v>Tanai</c:v>
                </c:pt>
                <c:pt idx="12">
                  <c:v>Waingmaw</c:v>
                </c:pt>
              </c:strCache>
            </c:strRef>
          </c:cat>
          <c:val>
            <c:numRef>
              <c:f>Analysis!$AJ$125:$AJ$137</c:f>
              <c:numCache>
                <c:formatCode>General</c:formatCode>
                <c:ptCount val="13"/>
                <c:pt idx="0">
                  <c:v>311</c:v>
                </c:pt>
                <c:pt idx="1">
                  <c:v>76</c:v>
                </c:pt>
                <c:pt idx="2">
                  <c:v>171</c:v>
                </c:pt>
                <c:pt idx="3">
                  <c:v>60</c:v>
                </c:pt>
                <c:pt idx="4">
                  <c:v>1059</c:v>
                </c:pt>
                <c:pt idx="5">
                  <c:v>79</c:v>
                </c:pt>
                <c:pt idx="6">
                  <c:v>5</c:v>
                </c:pt>
                <c:pt idx="7">
                  <c:v>1578</c:v>
                </c:pt>
                <c:pt idx="8">
                  <c:v>442</c:v>
                </c:pt>
                <c:pt idx="9">
                  <c:v>27</c:v>
                </c:pt>
                <c:pt idx="10">
                  <c:v>176</c:v>
                </c:pt>
                <c:pt idx="11">
                  <c:v>63</c:v>
                </c:pt>
                <c:pt idx="12">
                  <c:v>2141</c:v>
                </c:pt>
              </c:numCache>
            </c:numRef>
          </c:val>
          <c:extLst>
            <c:ext xmlns:c16="http://schemas.microsoft.com/office/drawing/2014/chart" uri="{C3380CC4-5D6E-409C-BE32-E72D297353CC}">
              <c16:uniqueId val="{00000001-2293-4DAB-861B-76B582A2A727}"/>
            </c:ext>
          </c:extLst>
        </c:ser>
        <c:ser>
          <c:idx val="1"/>
          <c:order val="1"/>
          <c:tx>
            <c:strRef>
              <c:f>Analysis!$AK$124</c:f>
              <c:strCache>
                <c:ptCount val="1"/>
                <c:pt idx="0">
                  <c:v>Target (20:1)</c:v>
                </c:pt>
              </c:strCache>
            </c:strRef>
          </c:tx>
          <c:spPr>
            <a:solidFill>
              <a:schemeClr val="accent2">
                <a:lumMod val="75000"/>
              </a:schemeClr>
            </a:solidFill>
            <a:ln>
              <a:noFill/>
            </a:ln>
            <a:effectLst/>
          </c:spPr>
          <c:invertIfNegative val="0"/>
          <c:cat>
            <c:strRef>
              <c:f>Analysis!$AI$125:$AI$137</c:f>
              <c:strCache>
                <c:ptCount val="13"/>
                <c:pt idx="0">
                  <c:v>Bhamo</c:v>
                </c:pt>
                <c:pt idx="1">
                  <c:v>Chipwi</c:v>
                </c:pt>
                <c:pt idx="2">
                  <c:v>Hpakant</c:v>
                </c:pt>
                <c:pt idx="3">
                  <c:v>Injangyang</c:v>
                </c:pt>
                <c:pt idx="4">
                  <c:v>Mansi</c:v>
                </c:pt>
                <c:pt idx="5">
                  <c:v>Mogaung</c:v>
                </c:pt>
                <c:pt idx="6">
                  <c:v>Mohnyin</c:v>
                </c:pt>
                <c:pt idx="7">
                  <c:v>Momauk</c:v>
                </c:pt>
                <c:pt idx="8">
                  <c:v>Myitkyina</c:v>
                </c:pt>
                <c:pt idx="9">
                  <c:v>Shwegu</c:v>
                </c:pt>
                <c:pt idx="10">
                  <c:v>Sumprabum</c:v>
                </c:pt>
                <c:pt idx="11">
                  <c:v>Tanai</c:v>
                </c:pt>
                <c:pt idx="12">
                  <c:v>Waingmaw</c:v>
                </c:pt>
              </c:strCache>
            </c:strRef>
          </c:cat>
          <c:val>
            <c:numRef>
              <c:f>Analysis!$AK$125:$AK$137</c:f>
              <c:numCache>
                <c:formatCode>General</c:formatCode>
                <c:ptCount val="13"/>
                <c:pt idx="0">
                  <c:v>322</c:v>
                </c:pt>
                <c:pt idx="1">
                  <c:v>133</c:v>
                </c:pt>
                <c:pt idx="2">
                  <c:v>195</c:v>
                </c:pt>
                <c:pt idx="3">
                  <c:v>30</c:v>
                </c:pt>
                <c:pt idx="4">
                  <c:v>612</c:v>
                </c:pt>
                <c:pt idx="5">
                  <c:v>86</c:v>
                </c:pt>
                <c:pt idx="6">
                  <c:v>6</c:v>
                </c:pt>
                <c:pt idx="7">
                  <c:v>1348</c:v>
                </c:pt>
                <c:pt idx="8">
                  <c:v>550</c:v>
                </c:pt>
                <c:pt idx="9">
                  <c:v>94</c:v>
                </c:pt>
                <c:pt idx="10">
                  <c:v>52</c:v>
                </c:pt>
                <c:pt idx="11">
                  <c:v>61</c:v>
                </c:pt>
                <c:pt idx="12">
                  <c:v>1699</c:v>
                </c:pt>
              </c:numCache>
            </c:numRef>
          </c:val>
          <c:extLst>
            <c:ext xmlns:c16="http://schemas.microsoft.com/office/drawing/2014/chart" uri="{C3380CC4-5D6E-409C-BE32-E72D297353CC}">
              <c16:uniqueId val="{00000002-2293-4DAB-861B-76B582A2A727}"/>
            </c:ext>
          </c:extLst>
        </c:ser>
        <c:dLbls>
          <c:showLegendKey val="0"/>
          <c:showVal val="0"/>
          <c:showCatName val="0"/>
          <c:showSerName val="0"/>
          <c:showPercent val="0"/>
          <c:showBubbleSize val="0"/>
        </c:dLbls>
        <c:gapWidth val="50"/>
        <c:axId val="1493968320"/>
        <c:axId val="1486900752"/>
      </c:barChart>
      <c:catAx>
        <c:axId val="14939683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2"/>
                </a:solidFill>
                <a:latin typeface="+mn-lt"/>
                <a:ea typeface="+mn-ea"/>
                <a:cs typeface="+mn-cs"/>
              </a:defRPr>
            </a:pPr>
            <a:endParaRPr lang="en-US"/>
          </a:p>
        </c:txPr>
        <c:crossAx val="1486900752"/>
        <c:crosses val="autoZero"/>
        <c:auto val="1"/>
        <c:lblAlgn val="ctr"/>
        <c:lblOffset val="100"/>
        <c:noMultiLvlLbl val="0"/>
      </c:catAx>
      <c:valAx>
        <c:axId val="1486900752"/>
        <c:scaling>
          <c:orientation val="minMax"/>
          <c:max val="250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93968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[20230728_Myanmar_WASH_4W_2023_Q2_KachinShan_camp_Consolidate.xlsx]Analysis!PivotTable3</c:name>
    <c:fmtId val="20"/>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AAP - Partner reported</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4">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4">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pivotFmt>
      <c:pivotFmt>
        <c:idx val="13"/>
        <c:spPr>
          <a:solidFill>
            <a:schemeClr val="accent4">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6145094372200396"/>
          <c:y val="0.16105528260650198"/>
          <c:w val="0.44304776831503889"/>
          <c:h val="0.65017441414310484"/>
        </c:manualLayout>
      </c:layout>
      <c:barChart>
        <c:barDir val="bar"/>
        <c:grouping val="clustered"/>
        <c:varyColors val="0"/>
        <c:ser>
          <c:idx val="0"/>
          <c:order val="0"/>
          <c:tx>
            <c:strRef>
              <c:f>Analysis!$D$412:$D$413</c:f>
              <c:strCache>
                <c:ptCount val="1"/>
                <c:pt idx="0">
                  <c:v>2023_Q1</c:v>
                </c:pt>
              </c:strCache>
            </c:strRef>
          </c:tx>
          <c:spPr>
            <a:solidFill>
              <a:schemeClr val="accent4">
                <a:lumMod val="75000"/>
              </a:schemeClr>
            </a:solidFill>
            <a:ln>
              <a:noFill/>
            </a:ln>
            <a:effectLst/>
          </c:spPr>
          <c:invertIfNegative val="0"/>
          <c:cat>
            <c:strRef>
              <c:f>Analysis!$C$414:$C$417</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Analysis!$D$414:$D$417</c:f>
              <c:numCache>
                <c:formatCode>0%</c:formatCode>
                <c:ptCount val="4"/>
                <c:pt idx="0">
                  <c:v>0.86780487804878048</c:v>
                </c:pt>
                <c:pt idx="1">
                  <c:v>0.85649999999999982</c:v>
                </c:pt>
                <c:pt idx="2">
                  <c:v>0.82594594594594573</c:v>
                </c:pt>
                <c:pt idx="3">
                  <c:v>8.800912246350269E-2</c:v>
                </c:pt>
              </c:numCache>
            </c:numRef>
          </c:val>
          <c:extLst>
            <c:ext xmlns:c16="http://schemas.microsoft.com/office/drawing/2014/chart" uri="{C3380CC4-5D6E-409C-BE32-E72D297353CC}">
              <c16:uniqueId val="{00000000-7DF0-45A1-94D6-738D4888EEB7}"/>
            </c:ext>
          </c:extLst>
        </c:ser>
        <c:ser>
          <c:idx val="1"/>
          <c:order val="1"/>
          <c:tx>
            <c:strRef>
              <c:f>Analysis!$E$412:$E$413</c:f>
              <c:strCache>
                <c:ptCount val="1"/>
                <c:pt idx="0">
                  <c:v>2023_Q2</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Analysis!$C$414:$C$417</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Analysis!$E$414:$E$417</c:f>
              <c:numCache>
                <c:formatCode>0%</c:formatCode>
                <c:ptCount val="4"/>
                <c:pt idx="0">
                  <c:v>0.87361111111111123</c:v>
                </c:pt>
                <c:pt idx="1">
                  <c:v>0.8471428571428572</c:v>
                </c:pt>
                <c:pt idx="2">
                  <c:v>0.84117647058823519</c:v>
                </c:pt>
                <c:pt idx="3">
                  <c:v>5.6505945076168462E-2</c:v>
                </c:pt>
              </c:numCache>
            </c:numRef>
          </c:val>
          <c:extLst>
            <c:ext xmlns:c16="http://schemas.microsoft.com/office/drawing/2014/chart" uri="{C3380CC4-5D6E-409C-BE32-E72D297353CC}">
              <c16:uniqueId val="{00000000-5CBF-4667-B487-33D26776790A}"/>
            </c:ext>
          </c:extLst>
        </c:ser>
        <c:dLbls>
          <c:showLegendKey val="0"/>
          <c:showVal val="0"/>
          <c:showCatName val="0"/>
          <c:showSerName val="0"/>
          <c:showPercent val="0"/>
          <c:showBubbleSize val="0"/>
        </c:dLbls>
        <c:gapWidth val="50"/>
        <c:axId val="482994015"/>
        <c:axId val="2135361151"/>
      </c:barChart>
      <c:catAx>
        <c:axId val="48299401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135361151"/>
        <c:crosses val="autoZero"/>
        <c:auto val="1"/>
        <c:lblAlgn val="ctr"/>
        <c:lblOffset val="100"/>
        <c:noMultiLvlLbl val="0"/>
      </c:catAx>
      <c:valAx>
        <c:axId val="2135361151"/>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2994015"/>
        <c:crosses val="autoZero"/>
        <c:crossBetween val="between"/>
      </c:valAx>
      <c:spPr>
        <a:noFill/>
        <a:ln>
          <a:noFill/>
        </a:ln>
        <a:effectLst/>
      </c:spPr>
    </c:plotArea>
    <c:legend>
      <c:legendPos val="r"/>
      <c:layout>
        <c:manualLayout>
          <c:xMode val="edge"/>
          <c:yMode val="edge"/>
          <c:x val="0.91146418349880176"/>
          <c:y val="0.37428586275634168"/>
          <c:w val="8.8535816501198225E-2"/>
          <c:h val="0.2049103739879513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BF9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81944280950854"/>
          <c:y val="0.12878745276487394"/>
          <c:w val="0.83675282435628873"/>
          <c:h val="0.49326608483377937"/>
        </c:manualLayout>
      </c:layout>
      <c:barChart>
        <c:barDir val="col"/>
        <c:grouping val="stacked"/>
        <c:varyColors val="0"/>
        <c:ser>
          <c:idx val="0"/>
          <c:order val="0"/>
          <c:tx>
            <c:strRef>
              <c:f>Analysis!$L$64</c:f>
              <c:strCache>
                <c:ptCount val="1"/>
                <c:pt idx="0">
                  <c:v>#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Analysis!$K$65:$K$68</c:f>
              <c:strCache>
                <c:ptCount val="4"/>
                <c:pt idx="0">
                  <c:v>2023_Q1</c:v>
                </c:pt>
                <c:pt idx="1">
                  <c:v>2023_Q2</c:v>
                </c:pt>
                <c:pt idx="2">
                  <c:v>2023_Q3</c:v>
                </c:pt>
                <c:pt idx="3">
                  <c:v>2023_Q4</c:v>
                </c:pt>
              </c:strCache>
            </c:strRef>
          </c:cat>
          <c:val>
            <c:numRef>
              <c:f>Analysis!$L$65:$L$68</c:f>
              <c:numCache>
                <c:formatCode>General</c:formatCode>
                <c:ptCount val="4"/>
                <c:pt idx="0">
                  <c:v>36</c:v>
                </c:pt>
                <c:pt idx="1">
                  <c:v>121</c:v>
                </c:pt>
                <c:pt idx="2">
                  <c:v>0</c:v>
                </c:pt>
                <c:pt idx="3">
                  <c:v>0</c:v>
                </c:pt>
              </c:numCache>
            </c:numRef>
          </c:val>
          <c:extLst>
            <c:ext xmlns:c16="http://schemas.microsoft.com/office/drawing/2014/chart" uri="{C3380CC4-5D6E-409C-BE32-E72D297353CC}">
              <c16:uniqueId val="{00000000-A3F4-4E19-8020-F240E8954E2B}"/>
            </c:ext>
          </c:extLst>
        </c:ser>
        <c:ser>
          <c:idx val="1"/>
          <c:order val="1"/>
          <c:tx>
            <c:strRef>
              <c:f>Analysis!$M$64</c:f>
              <c:strCache>
                <c:ptCount val="1"/>
                <c:pt idx="0">
                  <c:v>#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Analysis!$K$65:$K$68</c:f>
              <c:strCache>
                <c:ptCount val="4"/>
                <c:pt idx="0">
                  <c:v>2023_Q1</c:v>
                </c:pt>
                <c:pt idx="1">
                  <c:v>2023_Q2</c:v>
                </c:pt>
                <c:pt idx="2">
                  <c:v>2023_Q3</c:v>
                </c:pt>
                <c:pt idx="3">
                  <c:v>2023_Q4</c:v>
                </c:pt>
              </c:strCache>
            </c:strRef>
          </c:cat>
          <c:val>
            <c:numRef>
              <c:f>Analysis!$M$65:$M$68</c:f>
              <c:numCache>
                <c:formatCode>General</c:formatCode>
                <c:ptCount val="4"/>
                <c:pt idx="0">
                  <c:v>37</c:v>
                </c:pt>
                <c:pt idx="1">
                  <c:v>108</c:v>
                </c:pt>
                <c:pt idx="2">
                  <c:v>0</c:v>
                </c:pt>
                <c:pt idx="3">
                  <c:v>0</c:v>
                </c:pt>
              </c:numCache>
            </c:numRef>
          </c:val>
          <c:extLst>
            <c:ext xmlns:c16="http://schemas.microsoft.com/office/drawing/2014/chart" uri="{C3380CC4-5D6E-409C-BE32-E72D297353CC}">
              <c16:uniqueId val="{00000001-A3F4-4E19-8020-F240E8954E2B}"/>
            </c:ext>
          </c:extLst>
        </c:ser>
        <c:dLbls>
          <c:showLegendKey val="0"/>
          <c:showVal val="0"/>
          <c:showCatName val="0"/>
          <c:showSerName val="0"/>
          <c:showPercent val="0"/>
          <c:showBubbleSize val="0"/>
        </c:dLbls>
        <c:gapWidth val="5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max val="250"/>
          <c:min val="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100"/>
      </c:valAx>
      <c:spPr>
        <a:noFill/>
        <a:ln>
          <a:noFill/>
        </a:ln>
        <a:effectLst/>
      </c:spPr>
    </c:plotArea>
    <c:legend>
      <c:legendPos val="b"/>
      <c:layout>
        <c:manualLayout>
          <c:xMode val="edge"/>
          <c:yMode val="edge"/>
          <c:x val="0.27254526026481407"/>
          <c:y val="0.78828614967922972"/>
          <c:w val="0.4549094794703718"/>
          <c:h val="0.2117138503207701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00196850393699"/>
          <c:y val="5.6798964648793998E-2"/>
          <c:w val="0.77965445725534288"/>
          <c:h val="0.5612655184874964"/>
        </c:manualLayout>
      </c:layout>
      <c:barChart>
        <c:barDir val="col"/>
        <c:grouping val="stacked"/>
        <c:varyColors val="0"/>
        <c:ser>
          <c:idx val="0"/>
          <c:order val="0"/>
          <c:tx>
            <c:strRef>
              <c:f>Analysis!$Z$62</c:f>
              <c:strCache>
                <c:ptCount val="1"/>
                <c:pt idx="0">
                  <c:v> #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Analysis!$Y$63:$Y$66</c:f>
              <c:strCache>
                <c:ptCount val="4"/>
                <c:pt idx="0">
                  <c:v>2023_Q1</c:v>
                </c:pt>
                <c:pt idx="1">
                  <c:v>2023_Q2</c:v>
                </c:pt>
                <c:pt idx="2">
                  <c:v>2023_Q3</c:v>
                </c:pt>
                <c:pt idx="3">
                  <c:v>2023_Q4</c:v>
                </c:pt>
              </c:strCache>
            </c:strRef>
          </c:cat>
          <c:val>
            <c:numRef>
              <c:f>Analysis!$Z$63:$Z$66</c:f>
              <c:numCache>
                <c:formatCode>General</c:formatCode>
                <c:ptCount val="4"/>
                <c:pt idx="0">
                  <c:v>132</c:v>
                </c:pt>
                <c:pt idx="1">
                  <c:v>153</c:v>
                </c:pt>
              </c:numCache>
            </c:numRef>
          </c:val>
          <c:extLst>
            <c:ext xmlns:c16="http://schemas.microsoft.com/office/drawing/2014/chart" uri="{C3380CC4-5D6E-409C-BE32-E72D297353CC}">
              <c16:uniqueId val="{00000000-B2B9-4CF1-AB93-D37D38D113BC}"/>
            </c:ext>
          </c:extLst>
        </c:ser>
        <c:ser>
          <c:idx val="1"/>
          <c:order val="1"/>
          <c:tx>
            <c:strRef>
              <c:f>Analysis!$AA$62</c:f>
              <c:strCache>
                <c:ptCount val="1"/>
                <c:pt idx="0">
                  <c:v> # Household received remediation action</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Analysis!$Y$63:$Y$66</c:f>
              <c:strCache>
                <c:ptCount val="4"/>
                <c:pt idx="0">
                  <c:v>2023_Q1</c:v>
                </c:pt>
                <c:pt idx="1">
                  <c:v>2023_Q2</c:v>
                </c:pt>
                <c:pt idx="2">
                  <c:v>2023_Q3</c:v>
                </c:pt>
                <c:pt idx="3">
                  <c:v>2023_Q4</c:v>
                </c:pt>
              </c:strCache>
            </c:strRef>
          </c:cat>
          <c:val>
            <c:numRef>
              <c:f>Analysis!$AA$63:$AA$66</c:f>
              <c:numCache>
                <c:formatCode>General</c:formatCode>
                <c:ptCount val="4"/>
                <c:pt idx="0">
                  <c:v>128</c:v>
                </c:pt>
                <c:pt idx="1">
                  <c:v>137</c:v>
                </c:pt>
              </c:numCache>
            </c:numRef>
          </c:val>
          <c:extLst>
            <c:ext xmlns:c16="http://schemas.microsoft.com/office/drawing/2014/chart" uri="{C3380CC4-5D6E-409C-BE32-E72D297353CC}">
              <c16:uniqueId val="{00000001-B2B9-4CF1-AB93-D37D38D113BC}"/>
            </c:ext>
          </c:extLst>
        </c:ser>
        <c:dLbls>
          <c:showLegendKey val="0"/>
          <c:showVal val="0"/>
          <c:showCatName val="0"/>
          <c:showSerName val="0"/>
          <c:showPercent val="0"/>
          <c:showBubbleSize val="0"/>
        </c:dLbls>
        <c:gapWidth val="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max val="300"/>
          <c:min val="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majorUnit val="100"/>
      </c:valAx>
      <c:spPr>
        <a:noFill/>
        <a:ln>
          <a:noFill/>
        </a:ln>
        <a:effectLst/>
      </c:spPr>
    </c:plotArea>
    <c:legend>
      <c:legendPos val="b"/>
      <c:legendEntry>
        <c:idx val="1"/>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Entry>
      <c:layout>
        <c:manualLayout>
          <c:xMode val="edge"/>
          <c:yMode val="edge"/>
          <c:x val="8.1930316725686049E-3"/>
          <c:y val="0.76229107502448745"/>
          <c:w val="0.99180696832743143"/>
          <c:h val="0.237708924975512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[20230728_Myanmar_WASH_4W_2023_Q2_KachinShan_camp_Consolidate.xlsx]Analysis!PivotTable17</c:name>
    <c:fmtId val="64"/>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a:t>
            </a:r>
            <a:r>
              <a:rPr lang="en-US" baseline="0"/>
              <a:t> of sites covered/gap</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dLbl>
          <c:idx val="0"/>
          <c:showLegendKey val="0"/>
          <c:showVal val="0"/>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70C0"/>
          </a:solidFill>
          <a:ln>
            <a:noFill/>
          </a:ln>
          <a:effectLst/>
        </c:spPr>
      </c:pivotFmt>
      <c:pivotFmt>
        <c:idx val="9"/>
        <c:spPr>
          <a:solidFill>
            <a:schemeClr val="accent1">
              <a:lumMod val="40000"/>
              <a:lumOff val="60000"/>
            </a:schemeClr>
          </a:solidFill>
          <a:ln>
            <a:noFill/>
          </a:ln>
          <a:effectLst/>
        </c:spPr>
      </c:pivotFmt>
      <c:pivotFmt>
        <c:idx val="10"/>
        <c:spPr>
          <a:solidFill>
            <a:schemeClr val="accent4">
              <a:lumMod val="75000"/>
            </a:schemeClr>
          </a:solidFill>
          <a:ln>
            <a:noFill/>
          </a:ln>
          <a:effectLst/>
        </c:spP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70C0"/>
          </a:solidFill>
          <a:ln>
            <a:noFill/>
          </a:ln>
          <a:effectLst/>
        </c:spPr>
      </c:pivotFmt>
      <c:pivotFmt>
        <c:idx val="13"/>
        <c:spPr>
          <a:solidFill>
            <a:schemeClr val="accent1">
              <a:lumMod val="40000"/>
              <a:lumOff val="60000"/>
            </a:schemeClr>
          </a:solidFill>
          <a:ln>
            <a:noFill/>
          </a:ln>
          <a:effectLst/>
        </c:spPr>
      </c:pivotFmt>
      <c:pivotFmt>
        <c:idx val="14"/>
        <c:spPr>
          <a:solidFill>
            <a:schemeClr val="accent4">
              <a:lumMod val="75000"/>
            </a:schemeClr>
          </a:solidFill>
          <a:ln>
            <a:noFill/>
          </a:ln>
          <a:effectLst/>
        </c:spPr>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0070C0"/>
          </a:solidFill>
          <a:ln>
            <a:noFill/>
          </a:ln>
          <a:effectLst/>
        </c:spPr>
      </c:pivotFmt>
      <c:pivotFmt>
        <c:idx val="17"/>
        <c:spPr>
          <a:solidFill>
            <a:schemeClr val="accent1">
              <a:lumMod val="40000"/>
              <a:lumOff val="60000"/>
            </a:schemeClr>
          </a:solidFill>
          <a:ln>
            <a:noFill/>
          </a:ln>
          <a:effectLst/>
        </c:spPr>
      </c:pivotFmt>
      <c:pivotFmt>
        <c:idx val="18"/>
        <c:spPr>
          <a:solidFill>
            <a:schemeClr val="accent4">
              <a:lumMod val="75000"/>
            </a:schemeClr>
          </a:solidFill>
          <a:ln>
            <a:noFill/>
          </a:ln>
          <a:effectLst/>
        </c:spPr>
      </c:pivotFmt>
      <c:pivotFmt>
        <c:idx val="19"/>
        <c:spPr>
          <a:solidFill>
            <a:schemeClr val="accent1">
              <a:lumMod val="40000"/>
              <a:lumOff val="60000"/>
            </a:schemeClr>
          </a:solidFill>
          <a:ln>
            <a:noFill/>
          </a:ln>
          <a:effectLst/>
        </c:spPr>
      </c:pivotFmt>
      <c:pivotFmt>
        <c:idx val="20"/>
        <c:spPr>
          <a:solidFill>
            <a:schemeClr val="accent2"/>
          </a:solidFill>
          <a:ln>
            <a:noFill/>
          </a:ln>
          <a:effectLst/>
        </c:spPr>
      </c:pivotFmt>
      <c:pivotFmt>
        <c:idx val="21"/>
        <c:spPr>
          <a:solidFill>
            <a:schemeClr val="accent2"/>
          </a:solidFill>
          <a:ln>
            <a:noFill/>
          </a:ln>
          <a:effectLst/>
        </c:spPr>
      </c:pivotFmt>
    </c:pivotFmts>
    <c:plotArea>
      <c:layout/>
      <c:barChart>
        <c:barDir val="bar"/>
        <c:grouping val="clustered"/>
        <c:varyColors val="0"/>
        <c:ser>
          <c:idx val="0"/>
          <c:order val="0"/>
          <c:tx>
            <c:strRef>
              <c:f>Analysis!$S$11</c:f>
              <c:strCache>
                <c:ptCount val="1"/>
                <c:pt idx="0">
                  <c:v>Total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DF41-4CB3-B252-E188D5BBEFD0}"/>
              </c:ext>
            </c:extLst>
          </c:dPt>
          <c:dPt>
            <c:idx val="1"/>
            <c:invertIfNegative val="0"/>
            <c:bubble3D val="0"/>
            <c:extLst>
              <c:ext xmlns:c16="http://schemas.microsoft.com/office/drawing/2014/chart" uri="{C3380CC4-5D6E-409C-BE32-E72D297353CC}">
                <c16:uniqueId val="{00000003-DF41-4CB3-B252-E188D5BBEFD0}"/>
              </c:ext>
            </c:extLst>
          </c:dPt>
          <c:dPt>
            <c:idx val="2"/>
            <c:invertIfNegative val="0"/>
            <c:bubble3D val="0"/>
            <c:extLst>
              <c:ext xmlns:c16="http://schemas.microsoft.com/office/drawing/2014/chart" uri="{C3380CC4-5D6E-409C-BE32-E72D297353CC}">
                <c16:uniqueId val="{00000005-DF41-4CB3-B252-E188D5BBEFD0}"/>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Analysis!$R$12:$R$16</c:f>
              <c:multiLvlStrCache>
                <c:ptCount val="3"/>
                <c:lvl>
                  <c:pt idx="0">
                    <c:v>No</c:v>
                  </c:pt>
                  <c:pt idx="1">
                    <c:v>reported</c:v>
                  </c:pt>
                  <c:pt idx="2">
                    <c:v>not reported</c:v>
                  </c:pt>
                </c:lvl>
                <c:lvl>
                  <c:pt idx="0">
                    <c:v>Covered
(119 camps)</c:v>
                  </c:pt>
                  <c:pt idx="2">
                    <c:v>Notcovered</c:v>
                  </c:pt>
                </c:lvl>
              </c:multiLvlStrCache>
            </c:multiLvlStrRef>
          </c:cat>
          <c:val>
            <c:numRef>
              <c:f>Analysis!$S$12:$S$16</c:f>
              <c:numCache>
                <c:formatCode>_(* #,##0_);_(* \(#,##0\);_(* "-"??_);_(@_)</c:formatCode>
                <c:ptCount val="3"/>
                <c:pt idx="0">
                  <c:v>32</c:v>
                </c:pt>
                <c:pt idx="1">
                  <c:v>87</c:v>
                </c:pt>
                <c:pt idx="2">
                  <c:v>24</c:v>
                </c:pt>
              </c:numCache>
            </c:numRef>
          </c:val>
          <c:extLst>
            <c:ext xmlns:c16="http://schemas.microsoft.com/office/drawing/2014/chart" uri="{C3380CC4-5D6E-409C-BE32-E72D297353CC}">
              <c16:uniqueId val="{00000006-DF41-4CB3-B252-E188D5BBEFD0}"/>
            </c:ext>
          </c:extLst>
        </c:ser>
        <c:dLbls>
          <c:showLegendKey val="0"/>
          <c:showVal val="0"/>
          <c:showCatName val="0"/>
          <c:showSerName val="0"/>
          <c:showPercent val="0"/>
          <c:showBubbleSize val="0"/>
        </c:dLbls>
        <c:gapWidth val="50"/>
        <c:axId val="541503664"/>
        <c:axId val="541500336"/>
      </c:barChart>
      <c:catAx>
        <c:axId val="54150366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41500336"/>
        <c:crosses val="autoZero"/>
        <c:auto val="1"/>
        <c:lblAlgn val="ctr"/>
        <c:lblOffset val="100"/>
        <c:noMultiLvlLbl val="0"/>
      </c:catAx>
      <c:valAx>
        <c:axId val="541500336"/>
        <c:scaling>
          <c:orientation val="minMax"/>
        </c:scaling>
        <c:delete val="0"/>
        <c:axPos val="b"/>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415036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Cumulative Funding Received/Gap as of 2023-Q2 (US$)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[7]National!$F$3</c:f>
              <c:strCache>
                <c:ptCount val="1"/>
                <c:pt idx="0">
                  <c:v>Cumulative Funding Received for 2023</c:v>
                </c:pt>
              </c:strCache>
            </c:strRef>
          </c:tx>
          <c:spPr>
            <a:solidFill>
              <a:srgbClr val="0070C0"/>
            </a:solidFill>
            <a:ln>
              <a:noFill/>
            </a:ln>
            <a:effectLst/>
          </c:spPr>
          <c:invertIfNegative val="0"/>
          <c:dLbls>
            <c:dLbl>
              <c:idx val="0"/>
              <c:layout>
                <c:manualLayout>
                  <c:x val="4.9906915742782866E-2"/>
                  <c:y val="6.45627348977849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04-4EBC-94D6-A9DD38DC67E6}"/>
                </c:ext>
              </c:extLst>
            </c:dLbl>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[7]National!$B$6:$B$18</c15:sqref>
                  </c15:fullRef>
                </c:ext>
              </c:extLst>
              <c:f>[7]National!$B$10</c:f>
              <c:strCache>
                <c:ptCount val="1"/>
                <c:pt idx="0">
                  <c:v>Kachin/Shan (North)</c:v>
                </c:pt>
              </c:strCache>
            </c:strRef>
          </c:cat>
          <c:val>
            <c:numRef>
              <c:extLst>
                <c:ext xmlns:c15="http://schemas.microsoft.com/office/drawing/2012/chart" uri="{02D57815-91ED-43cb-92C2-25804820EDAC}">
                  <c15:fullRef>
                    <c15:sqref>[7]National!$F$6:$F$18</c15:sqref>
                  </c15:fullRef>
                </c:ext>
              </c:extLst>
              <c:f>[7]National!$F$10</c:f>
              <c:numCache>
                <c:formatCode>General</c:formatCode>
                <c:ptCount val="1"/>
                <c:pt idx="0">
                  <c:v>1319171.3086415359</c:v>
                </c:pt>
              </c:numCache>
            </c:numRef>
          </c:val>
          <c:extLst xmlns:c15="http://schemas.microsoft.com/office/drawing/2012/chart">
            <c:ext xmlns:c16="http://schemas.microsoft.com/office/drawing/2014/chart" uri="{C3380CC4-5D6E-409C-BE32-E72D297353CC}">
              <c16:uniqueId val="{00000001-BE4D-4B65-8A93-B82AF8B3A6CD}"/>
            </c:ext>
          </c:extLst>
        </c:ser>
        <c:ser>
          <c:idx val="1"/>
          <c:order val="1"/>
          <c:tx>
            <c:strRef>
              <c:f>[7]National!$G$3</c:f>
              <c:strCache>
                <c:ptCount val="1"/>
                <c:pt idx="0">
                  <c:v>Gap</c:v>
                </c:pt>
              </c:strCache>
            </c:strRef>
          </c:tx>
          <c:spPr>
            <a:solidFill>
              <a:schemeClr val="accent5">
                <a:lumMod val="40000"/>
                <a:lumOff val="60000"/>
              </a:schemeClr>
            </a:solidFill>
            <a:ln>
              <a:noFill/>
            </a:ln>
            <a:effectLst/>
          </c:spPr>
          <c:invertIfNegative val="0"/>
          <c:dLbls>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[7]National!$B$6:$B$18</c15:sqref>
                  </c15:fullRef>
                </c:ext>
              </c:extLst>
              <c:f>[7]National!$B$10</c:f>
              <c:strCache>
                <c:ptCount val="1"/>
                <c:pt idx="0">
                  <c:v>Kachin/Shan (North)</c:v>
                </c:pt>
              </c:strCache>
            </c:strRef>
          </c:cat>
          <c:val>
            <c:numRef>
              <c:extLst>
                <c:ext xmlns:c15="http://schemas.microsoft.com/office/drawing/2012/chart" uri="{02D57815-91ED-43cb-92C2-25804820EDAC}">
                  <c15:fullRef>
                    <c15:sqref>[7]National!$G$6:$G$18</c15:sqref>
                  </c15:fullRef>
                </c:ext>
              </c:extLst>
              <c:f>[7]National!$G$10</c:f>
              <c:numCache>
                <c:formatCode>General</c:formatCode>
                <c:ptCount val="1"/>
                <c:pt idx="0">
                  <c:v>11522189.930062734</c:v>
                </c:pt>
              </c:numCache>
            </c:numRef>
          </c:val>
          <c:extLst>
            <c:ext xmlns:c15="http://schemas.microsoft.com/office/drawing/2012/chart" uri="{02D57815-91ED-43cb-92C2-25804820EDAC}">
              <c15:categoryFilterExceptions>
                <c15:categoryFilterException>
                  <c15:sqref>[7]National!$G$6</c15:sqref>
                  <c15:invertIfNegative val="0"/>
                  <c15:bubble3D val="0"/>
                </c15:categoryFilterException>
              </c15:categoryFilterExceptions>
            </c:ext>
            <c:ext xmlns:c16="http://schemas.microsoft.com/office/drawing/2014/chart" uri="{C3380CC4-5D6E-409C-BE32-E72D297353CC}">
              <c16:uniqueId val="{00000002-BE4D-4B65-8A93-B82AF8B3A6CD}"/>
            </c:ext>
          </c:extLst>
        </c:ser>
        <c:dLbls>
          <c:dLblPos val="ctr"/>
          <c:showLegendKey val="0"/>
          <c:showVal val="1"/>
          <c:showCatName val="0"/>
          <c:showSerName val="0"/>
          <c:showPercent val="0"/>
          <c:showBubbleSize val="0"/>
        </c:dLbls>
        <c:gapWidth val="50"/>
        <c:overlap val="100"/>
        <c:axId val="546155384"/>
        <c:axId val="546156560"/>
        <c:extLst/>
      </c:barChart>
      <c:catAx>
        <c:axId val="5461553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6560"/>
        <c:crosses val="autoZero"/>
        <c:auto val="1"/>
        <c:lblAlgn val="ctr"/>
        <c:lblOffset val="100"/>
        <c:noMultiLvlLbl val="0"/>
      </c:catAx>
      <c:valAx>
        <c:axId val="54615656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5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Kachin/Shan Funding Splits INGO, LNGO</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50000"/>
            </a:schemeClr>
          </a:solidFill>
          <a:ln>
            <a:noFill/>
          </a:ln>
          <a:effectLst/>
        </c:spPr>
        <c:dLbl>
          <c:idx val="0"/>
          <c:layout>
            <c:manualLayout>
              <c:x val="1.7308993299750004E-2"/>
              <c:y val="-8.3856458529964154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0.14435790748055011</c:v>
              </c:pt>
            </c:numLit>
          </c:val>
          <c:extLst>
            <c:ext xmlns:c16="http://schemas.microsoft.com/office/drawing/2014/chart" uri="{C3380CC4-5D6E-409C-BE32-E72D297353CC}">
              <c16:uniqueId val="{00000000-6911-4924-890F-5898BD24BAC5}"/>
            </c:ext>
          </c:extLst>
        </c:ser>
        <c:ser>
          <c:idx val="1"/>
          <c:order val="1"/>
          <c:tx>
            <c:v>LNGO</c:v>
          </c:tx>
          <c:spPr>
            <a:solidFill>
              <a:schemeClr val="accent1">
                <a:lumMod val="60000"/>
                <a:lumOff val="4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0.63316343573508094</c:v>
              </c:pt>
            </c:numLit>
          </c:val>
          <c:extLst>
            <c:ext xmlns:c16="http://schemas.microsoft.com/office/drawing/2014/chart" uri="{C3380CC4-5D6E-409C-BE32-E72D297353CC}">
              <c16:uniqueId val="{00000001-6911-4924-890F-5898BD24BAC5}"/>
            </c:ext>
          </c:extLst>
        </c:ser>
        <c:ser>
          <c:idx val="2"/>
          <c:order val="2"/>
          <c:tx>
            <c:v>INGO/LNGO</c:v>
          </c:tx>
          <c:spPr>
            <a:solidFill>
              <a:schemeClr val="accent1">
                <a:lumMod val="20000"/>
                <a:lumOff val="8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0.22247865678436884</c:v>
              </c:pt>
            </c:numLit>
          </c:val>
          <c:extLst>
            <c:ext xmlns:c16="http://schemas.microsoft.com/office/drawing/2014/chart" uri="{C3380CC4-5D6E-409C-BE32-E72D297353CC}">
              <c16:uniqueId val="{00000002-6911-4924-890F-5898BD24BAC5}"/>
            </c:ext>
          </c:extLst>
        </c:ser>
        <c:dLbls>
          <c:showLegendKey val="0"/>
          <c:showVal val="0"/>
          <c:showCatName val="0"/>
          <c:showSerName val="0"/>
          <c:showPercent val="0"/>
          <c:showBubbleSize val="0"/>
        </c:dLbls>
        <c:gapWidth val="50"/>
        <c:overlap val="100"/>
        <c:axId val="546158520"/>
        <c:axId val="546159304"/>
      </c:barChart>
      <c:catAx>
        <c:axId val="546158520"/>
        <c:scaling>
          <c:orientation val="minMax"/>
        </c:scaling>
        <c:delete val="1"/>
        <c:axPos val="l"/>
        <c:numFmt formatCode="General" sourceLinked="1"/>
        <c:majorTickMark val="none"/>
        <c:minorTickMark val="none"/>
        <c:tickLblPos val="nextTo"/>
        <c:crossAx val="546159304"/>
        <c:crosses val="autoZero"/>
        <c:auto val="1"/>
        <c:lblAlgn val="ctr"/>
        <c:lblOffset val="100"/>
        <c:noMultiLvlLbl val="0"/>
      </c:catAx>
      <c:valAx>
        <c:axId val="5461593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158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APPROXIMATE TOTAL FUND ENGAGED PER YEAR by state/region (US$)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Kachin/shan</c:v>
          </c:tx>
          <c:spPr>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1"/>
              <c:pt idx="0">
                <c:v> before 2014</c:v>
              </c:pt>
              <c:pt idx="1">
                <c:v> 2014</c:v>
              </c:pt>
              <c:pt idx="2">
                <c:v> 2015</c:v>
              </c:pt>
              <c:pt idx="3">
                <c:v> 2016</c:v>
              </c:pt>
              <c:pt idx="4">
                <c:v> 2017</c:v>
              </c:pt>
              <c:pt idx="5">
                <c:v> 2018</c:v>
              </c:pt>
              <c:pt idx="6">
                <c:v> 2019</c:v>
              </c:pt>
              <c:pt idx="7">
                <c:v> 2020</c:v>
              </c:pt>
              <c:pt idx="8">
                <c:v> 2021</c:v>
              </c:pt>
              <c:pt idx="9">
                <c:v> 2022</c:v>
              </c:pt>
              <c:pt idx="10">
                <c:v>2023 </c:v>
              </c:pt>
            </c:strLit>
          </c:cat>
          <c:val>
            <c:numLit>
              <c:formatCode>General</c:formatCode>
              <c:ptCount val="11"/>
              <c:pt idx="0">
                <c:v>5431372.7659449084</c:v>
              </c:pt>
              <c:pt idx="1">
                <c:v>4353706.9810160939</c:v>
              </c:pt>
              <c:pt idx="2">
                <c:v>4283214.5919899773</c:v>
              </c:pt>
              <c:pt idx="3">
                <c:v>2928740.2487938525</c:v>
              </c:pt>
              <c:pt idx="4">
                <c:v>3193730.5528003741</c:v>
              </c:pt>
              <c:pt idx="5">
                <c:v>4600421.2042978052</c:v>
              </c:pt>
              <c:pt idx="6">
                <c:v>5503559.5957787624</c:v>
              </c:pt>
              <c:pt idx="7">
                <c:v>5787278.4194201846</c:v>
              </c:pt>
              <c:pt idx="8">
                <c:v>4582919.5699515063</c:v>
              </c:pt>
              <c:pt idx="9">
                <c:v>2663297.4423292545</c:v>
              </c:pt>
              <c:pt idx="10">
                <c:v>1319171.3086415359</c:v>
              </c:pt>
            </c:numLit>
          </c:val>
          <c:smooth val="0"/>
          <c:extLst>
            <c:ext xmlns:c16="http://schemas.microsoft.com/office/drawing/2014/chart" uri="{C3380CC4-5D6E-409C-BE32-E72D297353CC}">
              <c16:uniqueId val="{00000000-0183-4F7E-8828-E9B4ABF5DAFB}"/>
            </c:ext>
          </c:extLst>
        </c:ser>
        <c:dLbls>
          <c:dLblPos val="t"/>
          <c:showLegendKey val="0"/>
          <c:showVal val="1"/>
          <c:showCatName val="0"/>
          <c:showSerName val="0"/>
          <c:showPercent val="0"/>
          <c:showBubbleSize val="0"/>
        </c:dLbls>
        <c:marker val="1"/>
        <c:smooth val="0"/>
        <c:axId val="1718302800"/>
        <c:axId val="1718303216"/>
      </c:lineChart>
      <c:catAx>
        <c:axId val="1718302800"/>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18303216"/>
        <c:crosses val="autoZero"/>
        <c:auto val="1"/>
        <c:lblAlgn val="ctr"/>
        <c:lblOffset val="100"/>
        <c:noMultiLvlLbl val="0"/>
      </c:catAx>
      <c:valAx>
        <c:axId val="17183032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18302800"/>
        <c:crosses val="autoZero"/>
        <c:crossBetween val="between"/>
        <c:dispUnits>
          <c:builtInUnit val="millions"/>
          <c:dispUnitsLbl>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Kayah Number of ppl Covered against 2023 HRP targets</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HRP!$S$231</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6-4536-470B-9DC6-209F9010E8C8}"/>
              </c:ext>
            </c:extLst>
          </c:dPt>
          <c:dPt>
            <c:idx val="4"/>
            <c:invertIfNegative val="0"/>
            <c:bubble3D val="0"/>
            <c:spPr>
              <a:solidFill>
                <a:srgbClr val="ED7D31">
                  <a:lumMod val="75000"/>
                </a:srgbClr>
              </a:solidFill>
              <a:ln>
                <a:noFill/>
              </a:ln>
              <a:effectLst/>
            </c:spPr>
            <c:extLst>
              <c:ext xmlns:c16="http://schemas.microsoft.com/office/drawing/2014/chart" uri="{C3380CC4-5D6E-409C-BE32-E72D297353CC}">
                <c16:uniqueId val="{00000011-6EDD-46FF-B657-D8AD6C198DB7}"/>
              </c:ext>
            </c:extLst>
          </c:dPt>
          <c:dPt>
            <c:idx val="5"/>
            <c:invertIfNegative val="0"/>
            <c:bubble3D val="0"/>
            <c:spPr>
              <a:solidFill>
                <a:srgbClr val="0070C0"/>
              </a:solidFill>
              <a:ln>
                <a:noFill/>
              </a:ln>
              <a:effectLst/>
            </c:spPr>
            <c:extLst>
              <c:ext xmlns:c16="http://schemas.microsoft.com/office/drawing/2014/chart" uri="{C3380CC4-5D6E-409C-BE32-E72D297353CC}">
                <c16:uniqueId val="{00000003-4536-470B-9DC6-209F9010E8C8}"/>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HRP!$Q$232:$Q$237</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HRP!$S$232:$S$237</c:f>
              <c:numCache>
                <c:formatCode>_(* #,##0_);_(* \(#,##0\);_(* "-"??_);_(@_)</c:formatCode>
                <c:ptCount val="6"/>
                <c:pt idx="0">
                  <c:v>0</c:v>
                </c:pt>
                <c:pt idx="1">
                  <c:v>0</c:v>
                </c:pt>
                <c:pt idx="2">
                  <c:v>0</c:v>
                </c:pt>
                <c:pt idx="3">
                  <c:v>28439</c:v>
                </c:pt>
                <c:pt idx="4">
                  <c:v>14479</c:v>
                </c:pt>
                <c:pt idx="5">
                  <c:v>30416</c:v>
                </c:pt>
              </c:numCache>
            </c:numRef>
          </c:val>
          <c:extLst>
            <c:ext xmlns:c16="http://schemas.microsoft.com/office/drawing/2014/chart" uri="{C3380CC4-5D6E-409C-BE32-E72D297353CC}">
              <c16:uniqueId val="{00000000-4536-470B-9DC6-209F9010E8C8}"/>
            </c:ext>
          </c:extLst>
        </c:ser>
        <c:ser>
          <c:idx val="1"/>
          <c:order val="1"/>
          <c:tx>
            <c:strRef>
              <c:f>HRP!$T$231</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A-4536-470B-9DC6-209F9010E8C8}"/>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9-4536-470B-9DC6-209F9010E8C8}"/>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4536-470B-9DC6-209F9010E8C8}"/>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4536-470B-9DC6-209F9010E8C8}"/>
              </c:ext>
            </c:extLst>
          </c:dPt>
          <c:dPt>
            <c:idx val="4"/>
            <c:invertIfNegative val="0"/>
            <c:bubble3D val="0"/>
            <c:spPr>
              <a:solidFill>
                <a:srgbClr val="ED7D31">
                  <a:lumMod val="40000"/>
                  <a:lumOff val="60000"/>
                </a:srgbClr>
              </a:solidFill>
              <a:ln>
                <a:noFill/>
              </a:ln>
              <a:effectLst/>
            </c:spPr>
            <c:extLst>
              <c:ext xmlns:c16="http://schemas.microsoft.com/office/drawing/2014/chart" uri="{C3380CC4-5D6E-409C-BE32-E72D297353CC}">
                <c16:uniqueId val="{00000005-4536-470B-9DC6-209F9010E8C8}"/>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4-4536-470B-9DC6-209F9010E8C8}"/>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HRP!$Q$232:$Q$237</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HRP!$T$232:$T$237</c:f>
              <c:numCache>
                <c:formatCode>_(* #,##0_);_(* \(#,##0\);_(* "-"??_);_(@_)</c:formatCode>
                <c:ptCount val="6"/>
                <c:pt idx="0">
                  <c:v>3115.4175</c:v>
                </c:pt>
                <c:pt idx="1">
                  <c:v>4984.6679999999997</c:v>
                </c:pt>
                <c:pt idx="2">
                  <c:v>7049.513468627033</c:v>
                </c:pt>
                <c:pt idx="3">
                  <c:v>50242.919372540666</c:v>
                </c:pt>
                <c:pt idx="4">
                  <c:v>21587.245811762194</c:v>
                </c:pt>
                <c:pt idx="5">
                  <c:v>8135.7196862703277</c:v>
                </c:pt>
              </c:numCache>
            </c:numRef>
          </c:val>
          <c:extLst>
            <c:ext xmlns:c16="http://schemas.microsoft.com/office/drawing/2014/chart" uri="{C3380CC4-5D6E-409C-BE32-E72D297353CC}">
              <c16:uniqueId val="{00000001-4536-470B-9DC6-209F9010E8C8}"/>
            </c:ext>
          </c:extLst>
        </c:ser>
        <c:dLbls>
          <c:showLegendKey val="0"/>
          <c:showVal val="0"/>
          <c:showCatName val="0"/>
          <c:showSerName val="0"/>
          <c:showPercent val="0"/>
          <c:showBubbleSize val="0"/>
        </c:dLbls>
        <c:gapWidth val="150"/>
        <c:overlap val="100"/>
        <c:axId val="708683728"/>
        <c:axId val="708689136"/>
      </c:barChart>
      <c:catAx>
        <c:axId val="70868372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708689136"/>
        <c:crosses val="autoZero"/>
        <c:auto val="1"/>
        <c:lblAlgn val="ctr"/>
        <c:lblOffset val="100"/>
        <c:noMultiLvlLbl val="0"/>
      </c:catAx>
      <c:valAx>
        <c:axId val="70868913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086837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[20230728_Myanmar_WASH_4W_2023_Q2_KachinShan_camp_Consolidate.xlsx]Analysis!PivotTable4</c:name>
    <c:fmtId val="29"/>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AAP - Partner reported</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4">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4">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Analysis!$D$427:$D$428</c:f>
              <c:strCache>
                <c:ptCount val="1"/>
                <c:pt idx="0">
                  <c:v>2023_Q1</c:v>
                </c:pt>
              </c:strCache>
            </c:strRef>
          </c:tx>
          <c:spPr>
            <a:solidFill>
              <a:schemeClr val="accent4">
                <a:lumMod val="40000"/>
                <a:lumOff val="60000"/>
              </a:schemeClr>
            </a:solidFill>
            <a:ln>
              <a:noFill/>
            </a:ln>
            <a:effectLst/>
          </c:spPr>
          <c:invertIfNegative val="0"/>
          <c:cat>
            <c:strRef>
              <c:f>Analysis!$C$429:$C$432</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Analysis!$D$429:$D$432</c:f>
              <c:numCache>
                <c:formatCode>0%</c:formatCode>
                <c:ptCount val="4"/>
                <c:pt idx="3">
                  <c:v>#N/A</c:v>
                </c:pt>
              </c:numCache>
            </c:numRef>
          </c:val>
          <c:extLst>
            <c:ext xmlns:c16="http://schemas.microsoft.com/office/drawing/2014/chart" uri="{C3380CC4-5D6E-409C-BE32-E72D297353CC}">
              <c16:uniqueId val="{00000000-2C74-4093-8B8F-ACE0C94E8006}"/>
            </c:ext>
          </c:extLst>
        </c:ser>
        <c:ser>
          <c:idx val="1"/>
          <c:order val="1"/>
          <c:tx>
            <c:strRef>
              <c:f>Analysis!$E$427:$E$428</c:f>
              <c:strCache>
                <c:ptCount val="1"/>
                <c:pt idx="0">
                  <c:v>2023_Q2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f>Analysis!$C$429:$C$432</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Analysis!$E$429:$E$432</c:f>
              <c:numCache>
                <c:formatCode>0%</c:formatCode>
                <c:ptCount val="4"/>
                <c:pt idx="3">
                  <c:v>#N/A</c:v>
                </c:pt>
              </c:numCache>
            </c:numRef>
          </c:val>
          <c:extLst>
            <c:ext xmlns:c16="http://schemas.microsoft.com/office/drawing/2014/chart" uri="{C3380CC4-5D6E-409C-BE32-E72D297353CC}">
              <c16:uniqueId val="{00000000-CE88-4E29-B5B2-F17E06E87E16}"/>
            </c:ext>
          </c:extLst>
        </c:ser>
        <c:dLbls>
          <c:showLegendKey val="0"/>
          <c:showVal val="0"/>
          <c:showCatName val="0"/>
          <c:showSerName val="0"/>
          <c:showPercent val="0"/>
          <c:showBubbleSize val="0"/>
        </c:dLbls>
        <c:gapWidth val="100"/>
        <c:axId val="1404068640"/>
        <c:axId val="1404074048"/>
      </c:barChart>
      <c:catAx>
        <c:axId val="14040686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04074048"/>
        <c:crosses val="autoZero"/>
        <c:auto val="1"/>
        <c:lblAlgn val="ctr"/>
        <c:lblOffset val="100"/>
        <c:noMultiLvlLbl val="0"/>
      </c:catAx>
      <c:valAx>
        <c:axId val="1404074048"/>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4040686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4">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[20230728_Myanmar_WASH_4W_2023_Q2_KachinShan_camp_Consolidate.xlsx]Analysis!PivotTable15</c:name>
    <c:fmtId val="35"/>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Functioning Latrine Target and Reached</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40000"/>
              <a:lumOff val="60000"/>
            </a:schemeClr>
          </a:soli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2">
              <a:lumMod val="75000"/>
            </a:schemeClr>
          </a:solidFill>
          <a:ln>
            <a:noFill/>
          </a:ln>
          <a:effectLst/>
        </c:spPr>
        <c:marker>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2">
              <a:lumMod val="75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2">
              <a:lumMod val="75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2">
              <a:lumMod val="75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071098231353871"/>
          <c:y val="0.10153843810944291"/>
          <c:w val="0.76905919657175037"/>
          <c:h val="0.752815262827086"/>
        </c:manualLayout>
      </c:layout>
      <c:barChart>
        <c:barDir val="bar"/>
        <c:grouping val="clustered"/>
        <c:varyColors val="0"/>
        <c:ser>
          <c:idx val="0"/>
          <c:order val="0"/>
          <c:tx>
            <c:strRef>
              <c:f>Analysis!$AJ$144</c:f>
              <c:strCache>
                <c:ptCount val="1"/>
                <c:pt idx="0">
                  <c:v>Reached</c:v>
                </c:pt>
              </c:strCache>
            </c:strRef>
          </c:tx>
          <c:spPr>
            <a:solidFill>
              <a:schemeClr val="accent2">
                <a:lumMod val="40000"/>
                <a:lumOff val="60000"/>
              </a:schemeClr>
            </a:solidFill>
            <a:ln>
              <a:noFill/>
            </a:ln>
            <a:effectLst/>
          </c:spPr>
          <c:invertIfNegative val="0"/>
          <c:cat>
            <c:strRef>
              <c:f>Analysis!$AI$145:$AI$154</c:f>
              <c:strCache>
                <c:ptCount val="10"/>
                <c:pt idx="0">
                  <c:v>Hseni</c:v>
                </c:pt>
                <c:pt idx="1">
                  <c:v>Hsipaw</c:v>
                </c:pt>
                <c:pt idx="2">
                  <c:v>Kutkai</c:v>
                </c:pt>
                <c:pt idx="3">
                  <c:v>Kyaukme</c:v>
                </c:pt>
                <c:pt idx="4">
                  <c:v>Lashio</c:v>
                </c:pt>
                <c:pt idx="5">
                  <c:v>Laukkaing</c:v>
                </c:pt>
                <c:pt idx="6">
                  <c:v>Manton</c:v>
                </c:pt>
                <c:pt idx="7">
                  <c:v>Muse</c:v>
                </c:pt>
                <c:pt idx="8">
                  <c:v>Namhkan</c:v>
                </c:pt>
                <c:pt idx="9">
                  <c:v>Namtu</c:v>
                </c:pt>
              </c:strCache>
            </c:strRef>
          </c:cat>
          <c:val>
            <c:numRef>
              <c:f>Analysis!$AJ$145:$AJ$154</c:f>
              <c:numCache>
                <c:formatCode>General</c:formatCode>
                <c:ptCount val="10"/>
                <c:pt idx="0">
                  <c:v>54</c:v>
                </c:pt>
                <c:pt idx="1">
                  <c:v>0</c:v>
                </c:pt>
                <c:pt idx="2">
                  <c:v>711</c:v>
                </c:pt>
                <c:pt idx="3">
                  <c:v>45</c:v>
                </c:pt>
                <c:pt idx="4">
                  <c:v>23</c:v>
                </c:pt>
                <c:pt idx="5">
                  <c:v>30</c:v>
                </c:pt>
                <c:pt idx="6">
                  <c:v>56</c:v>
                </c:pt>
                <c:pt idx="7">
                  <c:v>0</c:v>
                </c:pt>
                <c:pt idx="8">
                  <c:v>54</c:v>
                </c:pt>
                <c:pt idx="9">
                  <c:v>40</c:v>
                </c:pt>
              </c:numCache>
            </c:numRef>
          </c:val>
          <c:extLst>
            <c:ext xmlns:c16="http://schemas.microsoft.com/office/drawing/2014/chart" uri="{C3380CC4-5D6E-409C-BE32-E72D297353CC}">
              <c16:uniqueId val="{00000001-7E1A-4E12-84AA-0A436B00FD65}"/>
            </c:ext>
          </c:extLst>
        </c:ser>
        <c:ser>
          <c:idx val="1"/>
          <c:order val="1"/>
          <c:tx>
            <c:strRef>
              <c:f>Analysis!$AK$144</c:f>
              <c:strCache>
                <c:ptCount val="1"/>
                <c:pt idx="0">
                  <c:v>Target (20:1)</c:v>
                </c:pt>
              </c:strCache>
            </c:strRef>
          </c:tx>
          <c:spPr>
            <a:solidFill>
              <a:schemeClr val="accent2">
                <a:lumMod val="75000"/>
              </a:schemeClr>
            </a:solidFill>
            <a:ln>
              <a:noFill/>
            </a:ln>
            <a:effectLst/>
          </c:spPr>
          <c:invertIfNegative val="0"/>
          <c:cat>
            <c:strRef>
              <c:f>Analysis!$AI$145:$AI$154</c:f>
              <c:strCache>
                <c:ptCount val="10"/>
                <c:pt idx="0">
                  <c:v>Hseni</c:v>
                </c:pt>
                <c:pt idx="1">
                  <c:v>Hsipaw</c:v>
                </c:pt>
                <c:pt idx="2">
                  <c:v>Kutkai</c:v>
                </c:pt>
                <c:pt idx="3">
                  <c:v>Kyaukme</c:v>
                </c:pt>
                <c:pt idx="4">
                  <c:v>Lashio</c:v>
                </c:pt>
                <c:pt idx="5">
                  <c:v>Laukkaing</c:v>
                </c:pt>
                <c:pt idx="6">
                  <c:v>Manton</c:v>
                </c:pt>
                <c:pt idx="7">
                  <c:v>Muse</c:v>
                </c:pt>
                <c:pt idx="8">
                  <c:v>Namhkan</c:v>
                </c:pt>
                <c:pt idx="9">
                  <c:v>Namtu</c:v>
                </c:pt>
              </c:strCache>
            </c:strRef>
          </c:cat>
          <c:val>
            <c:numRef>
              <c:f>Analysis!$AK$145:$AK$154</c:f>
              <c:numCache>
                <c:formatCode>General</c:formatCode>
                <c:ptCount val="10"/>
                <c:pt idx="0">
                  <c:v>20</c:v>
                </c:pt>
                <c:pt idx="1">
                  <c:v>6</c:v>
                </c:pt>
                <c:pt idx="2">
                  <c:v>344</c:v>
                </c:pt>
                <c:pt idx="3">
                  <c:v>15</c:v>
                </c:pt>
                <c:pt idx="4">
                  <c:v>28</c:v>
                </c:pt>
                <c:pt idx="5">
                  <c:v>84</c:v>
                </c:pt>
                <c:pt idx="6">
                  <c:v>14</c:v>
                </c:pt>
                <c:pt idx="7">
                  <c:v>84</c:v>
                </c:pt>
                <c:pt idx="8">
                  <c:v>49</c:v>
                </c:pt>
                <c:pt idx="9">
                  <c:v>31</c:v>
                </c:pt>
              </c:numCache>
            </c:numRef>
          </c:val>
          <c:extLst>
            <c:ext xmlns:c16="http://schemas.microsoft.com/office/drawing/2014/chart" uri="{C3380CC4-5D6E-409C-BE32-E72D297353CC}">
              <c16:uniqueId val="{00000002-7E1A-4E12-84AA-0A436B00FD65}"/>
            </c:ext>
          </c:extLst>
        </c:ser>
        <c:dLbls>
          <c:showLegendKey val="0"/>
          <c:showVal val="0"/>
          <c:showCatName val="0"/>
          <c:showSerName val="0"/>
          <c:showPercent val="0"/>
          <c:showBubbleSize val="0"/>
        </c:dLbls>
        <c:gapWidth val="100"/>
        <c:axId val="71016976"/>
        <c:axId val="360710864"/>
      </c:barChart>
      <c:catAx>
        <c:axId val="7101697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0710864"/>
        <c:crosses val="autoZero"/>
        <c:auto val="1"/>
        <c:lblAlgn val="ctr"/>
        <c:lblOffset val="100"/>
        <c:noMultiLvlLbl val="0"/>
      </c:catAx>
      <c:valAx>
        <c:axId val="360710864"/>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1016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[20230728_Myanmar_WASH_4W_2023_Q2_KachinShan_camp_Consolidate.xlsx]Analysis!S_Geo</c:name>
    <c:fmtId val="1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a:t>Number of Sites - Coverage/Gaps</a:t>
            </a:r>
          </a:p>
        </c:rich>
      </c:tx>
      <c:layout>
        <c:manualLayout>
          <c:xMode val="edge"/>
          <c:yMode val="edge"/>
          <c:x val="0.24457802740360554"/>
          <c:y val="3.058023229986860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740731627296588"/>
          <c:y val="0.2017504968066309"/>
          <c:w val="0.73664493110236218"/>
          <c:h val="0.58889356005193771"/>
        </c:manualLayout>
      </c:layout>
      <c:barChart>
        <c:barDir val="bar"/>
        <c:grouping val="clustered"/>
        <c:varyColors val="0"/>
        <c:ser>
          <c:idx val="0"/>
          <c:order val="0"/>
          <c:tx>
            <c:strRef>
              <c:f>Analysis!$I$299:$I$300</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Analysis!$H$301:$H$302</c:f>
              <c:strCache>
                <c:ptCount val="2"/>
                <c:pt idx="0">
                  <c:v>Camp</c:v>
                </c:pt>
                <c:pt idx="1">
                  <c:v>Relocated</c:v>
                </c:pt>
              </c:strCache>
            </c:strRef>
          </c:cat>
          <c:val>
            <c:numRef>
              <c:f>Analysis!$I$301:$I$302</c:f>
              <c:numCache>
                <c:formatCode>General</c:formatCode>
                <c:ptCount val="2"/>
                <c:pt idx="0">
                  <c:v>28</c:v>
                </c:pt>
              </c:numCache>
            </c:numRef>
          </c:val>
          <c:extLst>
            <c:ext xmlns:c16="http://schemas.microsoft.com/office/drawing/2014/chart" uri="{C3380CC4-5D6E-409C-BE32-E72D297353CC}">
              <c16:uniqueId val="{00000000-8DD4-4BA3-A0C9-0B2FE009BA8F}"/>
            </c:ext>
          </c:extLst>
        </c:ser>
        <c:ser>
          <c:idx val="1"/>
          <c:order val="1"/>
          <c:tx>
            <c:strRef>
              <c:f>Analysis!$J$299:$J$300</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Analysis!$H$301:$H$302</c:f>
              <c:strCache>
                <c:ptCount val="2"/>
                <c:pt idx="0">
                  <c:v>Camp</c:v>
                </c:pt>
                <c:pt idx="1">
                  <c:v>Relocated</c:v>
                </c:pt>
              </c:strCache>
            </c:strRef>
          </c:cat>
          <c:val>
            <c:numRef>
              <c:f>Analysis!$J$301:$J$302</c:f>
              <c:numCache>
                <c:formatCode>General</c:formatCode>
                <c:ptCount val="2"/>
                <c:pt idx="0">
                  <c:v>15</c:v>
                </c:pt>
                <c:pt idx="1">
                  <c:v>2</c:v>
                </c:pt>
              </c:numCache>
            </c:numRef>
          </c:val>
          <c:extLst>
            <c:ext xmlns:c16="http://schemas.microsoft.com/office/drawing/2014/chart" uri="{C3380CC4-5D6E-409C-BE32-E72D297353CC}">
              <c16:uniqueId val="{00000001-8DD4-4BA3-A0C9-0B2FE009BA8F}"/>
            </c:ext>
          </c:extLst>
        </c:ser>
        <c:dLbls>
          <c:dLblPos val="outEnd"/>
          <c:showLegendKey val="0"/>
          <c:showVal val="1"/>
          <c:showCatName val="0"/>
          <c:showSerName val="0"/>
          <c:showPercent val="0"/>
          <c:showBubbleSize val="0"/>
        </c:dLbls>
        <c:gapWidth val="100"/>
        <c:axId val="419844784"/>
        <c:axId val="419844392"/>
      </c:barChart>
      <c:catAx>
        <c:axId val="4198447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4392"/>
        <c:crosses val="autoZero"/>
        <c:auto val="1"/>
        <c:lblAlgn val="ctr"/>
        <c:lblOffset val="100"/>
        <c:noMultiLvlLbl val="0"/>
      </c:catAx>
      <c:valAx>
        <c:axId val="419844392"/>
        <c:scaling>
          <c:orientation val="minMax"/>
          <c:max val="4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4784"/>
        <c:crosses val="autoZero"/>
        <c:crossBetween val="between"/>
      </c:valAx>
      <c:spPr>
        <a:noFill/>
        <a:ln>
          <a:noFill/>
        </a:ln>
        <a:effectLst/>
      </c:spPr>
    </c:plotArea>
    <c:legend>
      <c:legendPos val="b"/>
      <c:layout>
        <c:manualLayout>
          <c:xMode val="edge"/>
          <c:yMode val="edge"/>
          <c:x val="0.36769551533331063"/>
          <c:y val="0.8760478563984162"/>
          <c:w val="0.17913649109406224"/>
          <c:h val="0.107881374610766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r>
              <a:rPr lang="en-US" sz="1400" b="1" i="0" baseline="0">
                <a:solidFill>
                  <a:srgbClr val="44546A"/>
                </a:solidFill>
                <a:effectLst/>
              </a:rPr>
              <a:t>WASH in Temporary Learning Spaces &amp; Temporary Health Care Facilities </a:t>
            </a:r>
            <a:endParaRPr lang="en-US" sz="1400" b="1">
              <a:solidFill>
                <a:srgbClr val="44546A"/>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1.5768188441703416E-2"/>
          <c:y val="0.17465235859270486"/>
          <c:w val="0.96846362311659318"/>
          <c:h val="0.53545055576207856"/>
        </c:manualLayout>
      </c:layout>
      <c:barChart>
        <c:barDir val="bar"/>
        <c:grouping val="clustered"/>
        <c:varyColors val="0"/>
        <c:ser>
          <c:idx val="0"/>
          <c:order val="0"/>
          <c:tx>
            <c:strRef>
              <c:f>Analysis!$C$386</c:f>
              <c:strCache>
                <c:ptCount val="1"/>
                <c:pt idx="0">
                  <c:v>Shan (North)</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90ED-4ECC-9CB6-AC79A5F1B3C6}"/>
              </c:ext>
            </c:extLst>
          </c:dPt>
          <c:dPt>
            <c:idx val="1"/>
            <c:invertIfNegative val="0"/>
            <c:bubble3D val="0"/>
            <c:spPr>
              <a:solidFill>
                <a:schemeClr val="accent6">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90ED-4ECC-9CB6-AC79A5F1B3C6}"/>
              </c:ext>
            </c:extLst>
          </c:dPt>
          <c:dPt>
            <c:idx val="2"/>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90ED-4ECC-9CB6-AC79A5F1B3C6}"/>
              </c:ext>
            </c:extLst>
          </c:dPt>
          <c:dPt>
            <c:idx val="3"/>
            <c:invertIfNegative val="0"/>
            <c:bubble3D val="0"/>
            <c:spPr>
              <a:solidFill>
                <a:srgbClr val="0070C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6-0FB9-44F9-B1CE-FCAACCF20A5F}"/>
              </c:ext>
            </c:extLst>
          </c:dPt>
          <c:dPt>
            <c:idx val="4"/>
            <c:invertIfNegative val="0"/>
            <c:bubble3D val="0"/>
            <c:spPr>
              <a:solidFill>
                <a:schemeClr val="accent1">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8-71EB-42A1-BE67-B3DF1282DAEC}"/>
              </c:ext>
            </c:extLst>
          </c:dPt>
          <c:dPt>
            <c:idx val="5"/>
            <c:invertIfNegative val="0"/>
            <c:bubble3D val="0"/>
            <c:spPr>
              <a:solidFill>
                <a:schemeClr val="accent2">
                  <a:lumMod val="20000"/>
                  <a:lumOff val="8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B-4AA9-4089-870D-F7928B8FC948}"/>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Analysis!$D$384:$I$384</c:f>
              <c:strCache>
                <c:ptCount val="6"/>
                <c:pt idx="0">
                  <c:v> # of hand washing stations with sufficient soap in TLS</c:v>
                </c:pt>
                <c:pt idx="1">
                  <c:v># Hygiene Promotion activities (sessions) in TLS</c:v>
                </c:pt>
                <c:pt idx="2">
                  <c:v> # of functioning latrines in TLS/CFS </c:v>
                </c:pt>
                <c:pt idx="3">
                  <c:v># Water points in TLS/CFS</c:v>
                </c:pt>
                <c:pt idx="4">
                  <c:v># Water points in THF</c:v>
                </c:pt>
                <c:pt idx="5">
                  <c:v># of functional latrines in THF</c:v>
                </c:pt>
              </c:strCache>
            </c:strRef>
          </c:cat>
          <c:val>
            <c:numRef>
              <c:f>Analysis!$D$386:$I$386</c:f>
              <c:numCache>
                <c:formatCode>_(* #,##0_);_(* \(#,##0\);_(* "-"??_);_(@_)</c:formatCode>
                <c:ptCount val="6"/>
                <c:pt idx="0">
                  <c:v>19</c:v>
                </c:pt>
                <c:pt idx="1">
                  <c:v>0</c:v>
                </c:pt>
                <c:pt idx="2">
                  <c:v>0</c:v>
                </c:pt>
                <c:pt idx="3">
                  <c:v>6</c:v>
                </c:pt>
                <c:pt idx="4">
                  <c:v>0</c:v>
                </c:pt>
                <c:pt idx="5">
                  <c:v>0</c:v>
                </c:pt>
              </c:numCache>
            </c:numRef>
          </c:val>
          <c:extLst>
            <c:ext xmlns:c16="http://schemas.microsoft.com/office/drawing/2014/chart" uri="{C3380CC4-5D6E-409C-BE32-E72D297353CC}">
              <c16:uniqueId val="{00000006-90ED-4ECC-9CB6-AC79A5F1B3C6}"/>
            </c:ext>
          </c:extLst>
        </c:ser>
        <c:dLbls>
          <c:showLegendKey val="0"/>
          <c:showVal val="0"/>
          <c:showCatName val="0"/>
          <c:showSerName val="0"/>
          <c:showPercent val="0"/>
          <c:showBubbleSize val="0"/>
        </c:dLbls>
        <c:gapWidth val="50"/>
        <c:overlap val="-20"/>
        <c:axId val="354343880"/>
        <c:axId val="354343488"/>
      </c:barChart>
      <c:catAx>
        <c:axId val="354343880"/>
        <c:scaling>
          <c:orientation val="minMax"/>
        </c:scaling>
        <c:delete val="1"/>
        <c:axPos val="l"/>
        <c:numFmt formatCode="General" sourceLinked="1"/>
        <c:majorTickMark val="none"/>
        <c:minorTickMark val="none"/>
        <c:tickLblPos val="nextTo"/>
        <c:crossAx val="354343488"/>
        <c:crosses val="autoZero"/>
        <c:auto val="1"/>
        <c:lblAlgn val="ctr"/>
        <c:lblOffset val="100"/>
        <c:noMultiLvlLbl val="0"/>
      </c:catAx>
      <c:valAx>
        <c:axId val="354343488"/>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354343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rgbClr val="44546A"/>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[20230728_Myanmar_WASH_4W_2023_Q2_KachinShan_camp_Consolidate.xlsx]Analysis!S_water1</c:name>
    <c:fmtId val="14"/>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People acccess to water</a:t>
            </a:r>
            <a:endParaRPr lang="en-US" sz="1100">
              <a:effectLst/>
            </a:endParaRPr>
          </a:p>
        </c:rich>
      </c:tx>
      <c:layout>
        <c:manualLayout>
          <c:xMode val="edge"/>
          <c:yMode val="edge"/>
          <c:x val="0.17933756844221077"/>
          <c:y val="4.608056992597044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Analysis!$J$42</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Analysis!$I$43</c:f>
              <c:strCache>
                <c:ptCount val="1"/>
                <c:pt idx="0">
                  <c:v>GCA</c:v>
                </c:pt>
              </c:strCache>
            </c:strRef>
          </c:cat>
          <c:val>
            <c:numRef>
              <c:f>Analysis!$J$43</c:f>
              <c:numCache>
                <c:formatCode>_(* #,##0_);_(* \(#,##0\);_(* "-"??_);_(@_)</c:formatCode>
                <c:ptCount val="1"/>
                <c:pt idx="0">
                  <c:v>8554</c:v>
                </c:pt>
              </c:numCache>
            </c:numRef>
          </c:val>
          <c:extLst>
            <c:ext xmlns:c16="http://schemas.microsoft.com/office/drawing/2014/chart" uri="{C3380CC4-5D6E-409C-BE32-E72D297353CC}">
              <c16:uniqueId val="{00000000-0E96-4653-9599-6BF3AA025987}"/>
            </c:ext>
          </c:extLst>
        </c:ser>
        <c:ser>
          <c:idx val="1"/>
          <c:order val="1"/>
          <c:tx>
            <c:strRef>
              <c:f>Analysis!$K$42</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Analysis!$I$43</c:f>
              <c:strCache>
                <c:ptCount val="1"/>
                <c:pt idx="0">
                  <c:v>GCA</c:v>
                </c:pt>
              </c:strCache>
            </c:strRef>
          </c:cat>
          <c:val>
            <c:numRef>
              <c:f>Analysis!$K$43</c:f>
              <c:numCache>
                <c:formatCode>_(* #,##0_);_(* \(#,##0\);_(* "-"??_);_(@_)</c:formatCode>
                <c:ptCount val="1"/>
                <c:pt idx="0">
                  <c:v>1885</c:v>
                </c:pt>
              </c:numCache>
            </c:numRef>
          </c:val>
          <c:extLst>
            <c:ext xmlns:c16="http://schemas.microsoft.com/office/drawing/2014/chart" uri="{C3380CC4-5D6E-409C-BE32-E72D297353CC}">
              <c16:uniqueId val="{00000001-0E96-4653-9599-6BF3AA025987}"/>
            </c:ext>
          </c:extLst>
        </c:ser>
        <c:dLbls>
          <c:dLblPos val="ctr"/>
          <c:showLegendKey val="0"/>
          <c:showVal val="1"/>
          <c:showCatName val="0"/>
          <c:showSerName val="0"/>
          <c:showPercent val="0"/>
          <c:showBubbleSize val="0"/>
        </c:dLbls>
        <c:gapWidth val="150"/>
        <c:overlap val="100"/>
        <c:axId val="419852232"/>
        <c:axId val="419843216"/>
      </c:barChart>
      <c:catAx>
        <c:axId val="41985223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3216"/>
        <c:crosses val="autoZero"/>
        <c:auto val="1"/>
        <c:lblAlgn val="ctr"/>
        <c:lblOffset val="100"/>
        <c:noMultiLvlLbl val="0"/>
      </c:catAx>
      <c:valAx>
        <c:axId val="41984321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52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water sources</a:t>
            </a:r>
          </a:p>
          <a:p>
            <a:pPr>
              <a:defRPr sz="1400"/>
            </a:pPr>
            <a:r>
              <a:rPr lang="en-US" sz="1400" b="1" i="0" baseline="0">
                <a:effectLst/>
              </a:rPr>
              <a:t>as of Q2-2023</a:t>
            </a:r>
            <a:endParaRPr lang="en-US" sz="1400">
              <a:effectLst/>
            </a:endParaRPr>
          </a:p>
        </c:rich>
      </c:tx>
      <c:layout>
        <c:manualLayout>
          <c:xMode val="edge"/>
          <c:yMode val="edge"/>
          <c:x val="0.15451943507061616"/>
          <c:y val="1.7372326401950577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1.7120047494063241E-2"/>
          <c:y val="0.27290688996332735"/>
          <c:w val="0.43843738282714667"/>
          <c:h val="0.49843401830157863"/>
        </c:manualLayout>
      </c:layout>
      <c:pieChart>
        <c:varyColors val="1"/>
        <c:ser>
          <c:idx val="1"/>
          <c:order val="1"/>
          <c:tx>
            <c:strRef>
              <c:f>Analysis!$H$58</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B-69B2-430A-97C5-D037BE72A184}"/>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D-69B2-430A-97C5-D037BE72A184}"/>
              </c:ext>
            </c:extLst>
          </c:dPt>
          <c:dLbls>
            <c:dLbl>
              <c:idx val="0"/>
              <c:layout>
                <c:manualLayout>
                  <c:x val="-3.0072759740876535E-2"/>
                  <c:y val="0.1127072848146984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9B2-430A-97C5-D037BE72A18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Analysis!$J$56:$K$56</c:f>
              <c:strCache>
                <c:ptCount val="2"/>
                <c:pt idx="0">
                  <c:v>Tested</c:v>
                </c:pt>
                <c:pt idx="1">
                  <c:v>No Test</c:v>
                </c:pt>
              </c:strCache>
              <c:extLst xmlns:c15="http://schemas.microsoft.com/office/drawing/2012/chart"/>
            </c:strRef>
          </c:cat>
          <c:val>
            <c:numRef>
              <c:f>Analysis!$J$58:$K$58</c:f>
              <c:numCache>
                <c:formatCode>General</c:formatCode>
                <c:ptCount val="2"/>
                <c:pt idx="0">
                  <c:v>0</c:v>
                </c:pt>
                <c:pt idx="1">
                  <c:v>28</c:v>
                </c:pt>
              </c:numCache>
              <c:extLst xmlns:c15="http://schemas.microsoft.com/office/drawing/2012/chart"/>
            </c:numRef>
          </c:val>
          <c:extLst>
            <c:ext xmlns:c16="http://schemas.microsoft.com/office/drawing/2014/chart" uri="{C3380CC4-5D6E-409C-BE32-E72D297353CC}">
              <c16:uniqueId val="{0000000E-69B2-430A-97C5-D037BE72A184}"/>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Analysis!$H$57</c15:sqref>
                        </c15:formulaRef>
                      </c:ext>
                    </c:extLst>
                    <c:strCache>
                      <c:ptCount val="1"/>
                      <c:pt idx="0">
                        <c:v>Kachin</c:v>
                      </c:pt>
                    </c:strCache>
                  </c:strRef>
                </c:tx>
                <c:dPt>
                  <c:idx val="0"/>
                  <c:bubble3D val="0"/>
                  <c:spPr>
                    <a:solidFill>
                      <a:srgbClr val="0070C0"/>
                    </a:solidFill>
                    <a:ln>
                      <a:noFill/>
                    </a:ln>
                    <a:effectLst/>
                  </c:spPr>
                  <c:extLst>
                    <c:ext xmlns:c16="http://schemas.microsoft.com/office/drawing/2014/chart" uri="{C3380CC4-5D6E-409C-BE32-E72D297353CC}">
                      <c16:uniqueId val="{00000006-69B2-430A-97C5-D037BE72A184}"/>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8-69B2-430A-97C5-D037BE72A184}"/>
                    </c:ext>
                  </c:extLst>
                </c:dPt>
                <c:dLbls>
                  <c:dLbl>
                    <c:idx val="0"/>
                    <c:layout>
                      <c:manualLayout>
                        <c:x val="-4.35631316958369E-2"/>
                        <c:y val="0.12426433216055201"/>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uri="{CE6537A1-D6FC-4f65-9D91-7224C49458BB}"/>
                      <c:ext xmlns:c16="http://schemas.microsoft.com/office/drawing/2014/chart" uri="{C3380CC4-5D6E-409C-BE32-E72D297353CC}">
                        <c16:uniqueId val="{00000006-69B2-430A-97C5-D037BE72A18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Analysis!$J$56:$K$56</c15:sqref>
                        </c15:formulaRef>
                      </c:ext>
                    </c:extLst>
                    <c:strCache>
                      <c:ptCount val="2"/>
                      <c:pt idx="0">
                        <c:v>Tested</c:v>
                      </c:pt>
                      <c:pt idx="1">
                        <c:v>No Test</c:v>
                      </c:pt>
                    </c:strCache>
                  </c:strRef>
                </c:cat>
                <c:val>
                  <c:numRef>
                    <c:extLst>
                      <c:ext uri="{02D57815-91ED-43cb-92C2-25804820EDAC}">
                        <c15:formulaRef>
                          <c15:sqref>Analysis!$J$57:$K$57</c15:sqref>
                        </c15:formulaRef>
                      </c:ext>
                    </c:extLst>
                    <c:numCache>
                      <c:formatCode>General</c:formatCode>
                      <c:ptCount val="2"/>
                      <c:pt idx="0">
                        <c:v>19</c:v>
                      </c:pt>
                      <c:pt idx="1">
                        <c:v>100</c:v>
                      </c:pt>
                    </c:numCache>
                  </c:numRef>
                </c:val>
                <c:extLst>
                  <c:ext xmlns:c16="http://schemas.microsoft.com/office/drawing/2014/chart" uri="{C3380CC4-5D6E-409C-BE32-E72D297353CC}">
                    <c16:uniqueId val="{00000009-69B2-430A-97C5-D037BE72A18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Analysis!$H$59</c15:sqref>
                        </c15:formulaRef>
                      </c:ext>
                    </c:extLst>
                    <c:strCache>
                      <c:ptCount val="1"/>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69B2-430A-97C5-D037BE72A184}"/>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69B2-430A-97C5-D037BE72A184}"/>
                    </c:ext>
                  </c:extLst>
                </c:dPt>
                <c:dLbls>
                  <c:dLbl>
                    <c:idx val="0"/>
                    <c:layout>
                      <c:manualLayout>
                        <c:x val="-0.14812387054953108"/>
                        <c:y val="-8.7415644643311446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69B2-430A-97C5-D037BE72A18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Analysis!$J$56:$K$56</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Analysis!$J$59:$K$59</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69B2-430A-97C5-D037BE72A184}"/>
                  </c:ext>
                </c:extLst>
              </c15:ser>
            </c15:filteredPieSeries>
          </c:ext>
        </c:extLst>
      </c:pieChart>
      <c:spPr>
        <a:noFill/>
        <a:ln>
          <a:noFill/>
        </a:ln>
        <a:effectLst/>
      </c:spPr>
    </c:plotArea>
    <c:legend>
      <c:legendPos val="b"/>
      <c:layout>
        <c:manualLayout>
          <c:xMode val="edge"/>
          <c:yMode val="edge"/>
          <c:x val="1.776621672290964E-2"/>
          <c:y val="0.80769595551525009"/>
          <c:w val="0.43495323647924289"/>
          <c:h val="8.90490784748103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Analysis!$L$73</c:f>
              <c:strCache>
                <c:ptCount val="1"/>
                <c:pt idx="0">
                  <c:v># Tested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Analysis!$K$74:$K$77</c:f>
              <c:strCache>
                <c:ptCount val="4"/>
                <c:pt idx="0">
                  <c:v>2023_Q1</c:v>
                </c:pt>
                <c:pt idx="1">
                  <c:v>2023_Q2</c:v>
                </c:pt>
                <c:pt idx="2">
                  <c:v>2023_Q3</c:v>
                </c:pt>
                <c:pt idx="3">
                  <c:v>2023_Q4</c:v>
                </c:pt>
              </c:strCache>
            </c:strRef>
          </c:cat>
          <c:val>
            <c:numRef>
              <c:f>Analysis!$L$74:$L$77</c:f>
              <c:numCache>
                <c:formatCode>General</c:formatCode>
                <c:ptCount val="4"/>
                <c:pt idx="0">
                  <c:v>0</c:v>
                </c:pt>
                <c:pt idx="1">
                  <c:v>0</c:v>
                </c:pt>
                <c:pt idx="2">
                  <c:v>0</c:v>
                </c:pt>
              </c:numCache>
            </c:numRef>
          </c:val>
          <c:extLst>
            <c:ext xmlns:c16="http://schemas.microsoft.com/office/drawing/2014/chart" uri="{C3380CC4-5D6E-409C-BE32-E72D297353CC}">
              <c16:uniqueId val="{00000000-38D6-4369-BEB9-91BE6B261982}"/>
            </c:ext>
          </c:extLst>
        </c:ser>
        <c:ser>
          <c:idx val="1"/>
          <c:order val="1"/>
          <c:tx>
            <c:strRef>
              <c:f>Analysis!$M$73</c:f>
              <c:strCache>
                <c:ptCount val="1"/>
                <c:pt idx="0">
                  <c:v># Passed</c:v>
                </c:pt>
              </c:strCache>
            </c:strRef>
          </c:tx>
          <c:spPr>
            <a:solidFill>
              <a:schemeClr val="accent1">
                <a:lumMod val="40000"/>
                <a:lumOff val="60000"/>
              </a:schemeClr>
            </a:solidFill>
            <a:ln>
              <a:noFill/>
            </a:ln>
            <a:effectLst/>
          </c:spPr>
          <c:invertIfNegative val="0"/>
          <c:cat>
            <c:strRef>
              <c:f>Analysis!$K$74:$K$77</c:f>
              <c:strCache>
                <c:ptCount val="4"/>
                <c:pt idx="0">
                  <c:v>2023_Q1</c:v>
                </c:pt>
                <c:pt idx="1">
                  <c:v>2023_Q2</c:v>
                </c:pt>
                <c:pt idx="2">
                  <c:v>2023_Q3</c:v>
                </c:pt>
                <c:pt idx="3">
                  <c:v>2023_Q4</c:v>
                </c:pt>
              </c:strCache>
            </c:strRef>
          </c:cat>
          <c:val>
            <c:numRef>
              <c:f>Analysis!$M$74:$M$77</c:f>
              <c:numCache>
                <c:formatCode>General</c:formatCode>
                <c:ptCount val="4"/>
                <c:pt idx="0">
                  <c:v>0</c:v>
                </c:pt>
                <c:pt idx="1">
                  <c:v>0</c:v>
                </c:pt>
                <c:pt idx="2">
                  <c:v>0</c:v>
                </c:pt>
              </c:numCache>
            </c:numRef>
          </c:val>
          <c:extLst>
            <c:ext xmlns:c16="http://schemas.microsoft.com/office/drawing/2014/chart" uri="{C3380CC4-5D6E-409C-BE32-E72D297353CC}">
              <c16:uniqueId val="{00000001-38D6-4369-BEB9-91BE6B261982}"/>
            </c:ext>
          </c:extLst>
        </c:ser>
        <c:dLbls>
          <c:showLegendKey val="0"/>
          <c:showVal val="0"/>
          <c:showCatName val="0"/>
          <c:showSerName val="0"/>
          <c:showPercent val="0"/>
          <c:showBubbleSize val="0"/>
        </c:dLbls>
        <c:gapWidth val="150"/>
        <c:overlap val="100"/>
        <c:axId val="1332863680"/>
        <c:axId val="1335493040"/>
      </c:barChart>
      <c:catAx>
        <c:axId val="1332863680"/>
        <c:scaling>
          <c:orientation val="minMax"/>
        </c:scaling>
        <c:delete val="1"/>
        <c:axPos val="b"/>
        <c:numFmt formatCode="General" sourceLinked="1"/>
        <c:majorTickMark val="none"/>
        <c:minorTickMark val="none"/>
        <c:tickLblPos val="nextTo"/>
        <c:crossAx val="1335493040"/>
        <c:crosses val="autoZero"/>
        <c:auto val="1"/>
        <c:lblAlgn val="ctr"/>
        <c:lblOffset val="100"/>
        <c:noMultiLvlLbl val="0"/>
      </c:catAx>
      <c:valAx>
        <c:axId val="1335493040"/>
        <c:scaling>
          <c:orientation val="minMax"/>
          <c:max val="30"/>
          <c:min val="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household</a:t>
            </a:r>
          </a:p>
          <a:p>
            <a:pPr>
              <a:defRPr/>
            </a:pPr>
            <a:r>
              <a:rPr lang="en-US" sz="1400" b="1" i="0" baseline="0">
                <a:effectLst/>
              </a:rPr>
              <a:t>as of Q2-2023</a:t>
            </a:r>
            <a:endParaRPr lang="en-US" sz="1400">
              <a:effectLst/>
            </a:endParaRPr>
          </a:p>
        </c:rich>
      </c:tx>
      <c:layout>
        <c:manualLayout>
          <c:xMode val="edge"/>
          <c:yMode val="edge"/>
          <c:x val="0.1569508778561079"/>
          <c:y val="7.483163242886566E-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8.0377621716204387E-3"/>
          <c:y val="0.25843402772254831"/>
          <c:w val="0.43066550802771281"/>
          <c:h val="0.51502577670323313"/>
        </c:manualLayout>
      </c:layout>
      <c:pieChart>
        <c:varyColors val="1"/>
        <c:ser>
          <c:idx val="1"/>
          <c:order val="1"/>
          <c:tx>
            <c:strRef>
              <c:f>Analysis!$V$58</c:f>
              <c:strCache>
                <c:ptCount val="1"/>
                <c:pt idx="0">
                  <c:v>Shan (North)</c:v>
                </c:pt>
              </c:strCache>
              <c:extLst xmlns:c15="http://schemas.microsoft.com/office/drawing/2012/chart"/>
            </c:strRef>
          </c:tx>
          <c:dPt>
            <c:idx val="0"/>
            <c:bubble3D val="0"/>
            <c:spPr>
              <a:solidFill>
                <a:srgbClr val="0070C0"/>
              </a:solidFill>
              <a:ln>
                <a:noFill/>
              </a:ln>
              <a:effectLst/>
            </c:spPr>
            <c:extLst>
              <c:ext xmlns:c16="http://schemas.microsoft.com/office/drawing/2014/chart" uri="{C3380CC4-5D6E-409C-BE32-E72D297353CC}">
                <c16:uniqueId val="{00000001-C683-47EA-90EF-0BAE90DEBD59}"/>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3-C683-47EA-90EF-0BAE90DEBD59}"/>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C683-47EA-90EF-0BAE90DEBD5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Analysis!$X$56:$Y$56</c:f>
              <c:strCache>
                <c:ptCount val="2"/>
                <c:pt idx="0">
                  <c:v>Tested</c:v>
                </c:pt>
                <c:pt idx="1">
                  <c:v>No test</c:v>
                </c:pt>
              </c:strCache>
              <c:extLst xmlns:c15="http://schemas.microsoft.com/office/drawing/2012/chart"/>
            </c:strRef>
          </c:cat>
          <c:val>
            <c:numRef>
              <c:f>Analysis!$X$58:$Y$58</c:f>
              <c:numCache>
                <c:formatCode>General</c:formatCode>
                <c:ptCount val="2"/>
                <c:pt idx="0">
                  <c:v>0</c:v>
                </c:pt>
                <c:pt idx="1">
                  <c:v>34</c:v>
                </c:pt>
              </c:numCache>
              <c:extLst xmlns:c15="http://schemas.microsoft.com/office/drawing/2012/chart"/>
            </c:numRef>
          </c:val>
          <c:extLst>
            <c:ext xmlns:c16="http://schemas.microsoft.com/office/drawing/2014/chart" uri="{C3380CC4-5D6E-409C-BE32-E72D297353CC}">
              <c16:uniqueId val="{00000004-C683-47EA-90EF-0BAE90DEBD59}"/>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Analysis!$V$57</c15:sqref>
                        </c15:formulaRef>
                      </c:ext>
                    </c:extLst>
                    <c:strCache>
                      <c:ptCount val="1"/>
                      <c:pt idx="0">
                        <c:v>Kachin</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C683-47EA-90EF-0BAE90DEBD5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C683-47EA-90EF-0BAE90DEBD5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Analysis!$X$56:$Y$56</c15:sqref>
                        </c15:formulaRef>
                      </c:ext>
                    </c:extLst>
                    <c:strCache>
                      <c:ptCount val="2"/>
                      <c:pt idx="0">
                        <c:v>Tested</c:v>
                      </c:pt>
                      <c:pt idx="1">
                        <c:v>No test</c:v>
                      </c:pt>
                    </c:strCache>
                  </c:strRef>
                </c:cat>
                <c:val>
                  <c:numRef>
                    <c:extLst>
                      <c:ext uri="{02D57815-91ED-43cb-92C2-25804820EDAC}">
                        <c15:formulaRef>
                          <c15:sqref>Analysis!$X$57:$Y$57</c15:sqref>
                        </c15:formulaRef>
                      </c:ext>
                    </c:extLst>
                    <c:numCache>
                      <c:formatCode>General</c:formatCode>
                      <c:ptCount val="2"/>
                      <c:pt idx="0">
                        <c:v>18</c:v>
                      </c:pt>
                      <c:pt idx="1">
                        <c:v>101</c:v>
                      </c:pt>
                    </c:numCache>
                  </c:numRef>
                </c:val>
                <c:extLst>
                  <c:ext xmlns:c16="http://schemas.microsoft.com/office/drawing/2014/chart" uri="{C3380CC4-5D6E-409C-BE32-E72D297353CC}">
                    <c16:uniqueId val="{00000009-C683-47EA-90EF-0BAE90DEBD5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Analysis!$V$59</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C683-47EA-90EF-0BAE90DEBD5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C683-47EA-90EF-0BAE90DEBD5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Analysis!$X$56:$Y$56</c15:sqref>
                        </c15:formulaRef>
                      </c:ext>
                    </c:extLst>
                    <c:strCache>
                      <c:ptCount val="2"/>
                      <c:pt idx="0">
                        <c:v>Tested</c:v>
                      </c:pt>
                      <c:pt idx="1">
                        <c:v>No test</c:v>
                      </c:pt>
                    </c:strCache>
                  </c:strRef>
                </c:cat>
                <c:val>
                  <c:numRef>
                    <c:extLst xmlns:c15="http://schemas.microsoft.com/office/drawing/2012/chart">
                      <c:ext xmlns:c15="http://schemas.microsoft.com/office/drawing/2012/chart" uri="{02D57815-91ED-43cb-92C2-25804820EDAC}">
                        <c15:formulaRef>
                          <c15:sqref>Analysis!$X$59:$Y$59</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C683-47EA-90EF-0BAE90DEBD59}"/>
                  </c:ext>
                </c:extLst>
              </c15:ser>
            </c15:filteredPieSeries>
          </c:ext>
        </c:extLst>
      </c:pieChart>
      <c:spPr>
        <a:noFill/>
        <a:ln>
          <a:noFill/>
        </a:ln>
        <a:effectLst/>
      </c:spPr>
    </c:plotArea>
    <c:legend>
      <c:legendPos val="b"/>
      <c:layout>
        <c:manualLayout>
          <c:xMode val="edge"/>
          <c:yMode val="edge"/>
          <c:x val="4.353615426450072E-2"/>
          <c:y val="0.80423384780699214"/>
          <c:w val="0.37238715093045804"/>
          <c:h val="7.818582787472844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66726659167604"/>
          <c:y val="3.9506262249521334E-2"/>
          <c:w val="0.78332733408323962"/>
          <c:h val="0.60489814214225379"/>
        </c:manualLayout>
      </c:layout>
      <c:barChart>
        <c:barDir val="col"/>
        <c:grouping val="stacked"/>
        <c:varyColors val="0"/>
        <c:ser>
          <c:idx val="0"/>
          <c:order val="0"/>
          <c:tx>
            <c:strRef>
              <c:f>Analysis!$Z$69</c:f>
              <c:strCache>
                <c:ptCount val="1"/>
                <c:pt idx="0">
                  <c:v> # Tested</c:v>
                </c:pt>
              </c:strCache>
            </c:strRef>
          </c:tx>
          <c:spPr>
            <a:solidFill>
              <a:srgbClr val="0070C0"/>
            </a:solidFill>
            <a:ln>
              <a:noFill/>
            </a:ln>
            <a:effectLst/>
          </c:spPr>
          <c:invertIfNegative val="0"/>
          <c:cat>
            <c:strRef>
              <c:f>Analysis!$Y$70:$Y$73</c:f>
              <c:strCache>
                <c:ptCount val="4"/>
                <c:pt idx="0">
                  <c:v>2023_Q1</c:v>
                </c:pt>
                <c:pt idx="1">
                  <c:v>2023_Q2</c:v>
                </c:pt>
                <c:pt idx="2">
                  <c:v>2023_Q3</c:v>
                </c:pt>
                <c:pt idx="3">
                  <c:v>2023_Q4</c:v>
                </c:pt>
              </c:strCache>
            </c:strRef>
          </c:cat>
          <c:val>
            <c:numRef>
              <c:f>Analysis!$Z$70:$Z$73</c:f>
              <c:numCache>
                <c:formatCode>General</c:formatCode>
                <c:ptCount val="4"/>
                <c:pt idx="0">
                  <c:v>0</c:v>
                </c:pt>
              </c:numCache>
            </c:numRef>
          </c:val>
          <c:extLst>
            <c:ext xmlns:c16="http://schemas.microsoft.com/office/drawing/2014/chart" uri="{C3380CC4-5D6E-409C-BE32-E72D297353CC}">
              <c16:uniqueId val="{00000000-16BA-41CC-B04A-6600D6A5C684}"/>
            </c:ext>
          </c:extLst>
        </c:ser>
        <c:ser>
          <c:idx val="1"/>
          <c:order val="1"/>
          <c:tx>
            <c:strRef>
              <c:f>Analysis!$AA$69</c:f>
              <c:strCache>
                <c:ptCount val="1"/>
                <c:pt idx="0">
                  <c:v> # Household received remediation action</c:v>
                </c:pt>
              </c:strCache>
            </c:strRef>
          </c:tx>
          <c:spPr>
            <a:solidFill>
              <a:schemeClr val="accent1">
                <a:lumMod val="40000"/>
                <a:lumOff val="60000"/>
              </a:schemeClr>
            </a:solidFill>
            <a:ln>
              <a:noFill/>
            </a:ln>
            <a:effectLst/>
          </c:spPr>
          <c:invertIfNegative val="0"/>
          <c:cat>
            <c:strRef>
              <c:f>Analysis!$Y$70:$Y$73</c:f>
              <c:strCache>
                <c:ptCount val="4"/>
                <c:pt idx="0">
                  <c:v>2023_Q1</c:v>
                </c:pt>
                <c:pt idx="1">
                  <c:v>2023_Q2</c:v>
                </c:pt>
                <c:pt idx="2">
                  <c:v>2023_Q3</c:v>
                </c:pt>
                <c:pt idx="3">
                  <c:v>2023_Q4</c:v>
                </c:pt>
              </c:strCache>
            </c:strRef>
          </c:cat>
          <c:val>
            <c:numRef>
              <c:f>Analysis!$AA$70:$AA$73</c:f>
              <c:numCache>
                <c:formatCode>General</c:formatCode>
                <c:ptCount val="4"/>
                <c:pt idx="0">
                  <c:v>0</c:v>
                </c:pt>
              </c:numCache>
            </c:numRef>
          </c:val>
          <c:extLst>
            <c:ext xmlns:c16="http://schemas.microsoft.com/office/drawing/2014/chart" uri="{C3380CC4-5D6E-409C-BE32-E72D297353CC}">
              <c16:uniqueId val="{00000001-16BA-41CC-B04A-6600D6A5C684}"/>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1"/>
        <c:axPos val="b"/>
        <c:numFmt formatCode="General" sourceLinked="1"/>
        <c:majorTickMark val="none"/>
        <c:minorTickMark val="none"/>
        <c:tickLblPos val="nextTo"/>
        <c:crossAx val="1344061744"/>
        <c:crosses val="autoZero"/>
        <c:auto val="1"/>
        <c:lblAlgn val="ctr"/>
        <c:lblOffset val="100"/>
        <c:noMultiLvlLbl val="0"/>
      </c:catAx>
      <c:valAx>
        <c:axId val="1344061744"/>
        <c:scaling>
          <c:orientation val="minMax"/>
          <c:max val="300"/>
          <c:min val="0"/>
        </c:scaling>
        <c:delete val="0"/>
        <c:axPos val="l"/>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majorUnit val="100"/>
      </c:valAx>
      <c:spPr>
        <a:noFill/>
        <a:ln>
          <a:noFill/>
        </a:ln>
        <a:effectLst/>
      </c:spPr>
    </c:plotArea>
    <c:legend>
      <c:legendPos val="b"/>
      <c:layout>
        <c:manualLayout>
          <c:xMode val="edge"/>
          <c:yMode val="edge"/>
          <c:x val="4.2167153382406029E-2"/>
          <c:y val="0.69930302997007754"/>
          <c:w val="0.92773733199662345"/>
          <c:h val="0.2940228842242840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u="none" strike="noStrike" baseline="0">
                <a:effectLst/>
              </a:rPr>
              <a:t>Constructed surface water drainage system</a:t>
            </a:r>
            <a:endParaRPr lang="en-US" sz="1200"/>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292988990399025"/>
          <c:y val="0.29036078721313535"/>
          <c:w val="0.45299388058807238"/>
          <c:h val="0.63134309292738622"/>
        </c:manualLayout>
      </c:layout>
      <c:pieChart>
        <c:varyColors val="1"/>
        <c:ser>
          <c:idx val="2"/>
          <c:order val="2"/>
          <c:tx>
            <c:strRef>
              <c:f>Analysis!$B$166</c:f>
              <c:strCache>
                <c:ptCount val="1"/>
                <c:pt idx="0">
                  <c:v>Shan (North)</c:v>
                </c:pt>
              </c:strCache>
              <c:extLst xmlns:c15="http://schemas.microsoft.com/office/drawing/2012/chart"/>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8667-40EB-A08A-ADA6B6C85ECE}"/>
              </c:ext>
            </c:extLst>
          </c:dPt>
          <c:dPt>
            <c:idx val="1"/>
            <c:bubble3D val="0"/>
            <c:spPr>
              <a:solidFill>
                <a:schemeClr val="bg1">
                  <a:lumMod val="75000"/>
                </a:schemeClr>
              </a:solidFill>
              <a:ln>
                <a:noFill/>
              </a:ln>
              <a:effectLst/>
            </c:spPr>
            <c:extLst>
              <c:ext xmlns:c16="http://schemas.microsoft.com/office/drawing/2014/chart" uri="{C3380CC4-5D6E-409C-BE32-E72D297353CC}">
                <c16:uniqueId val="{00000003-8667-40EB-A08A-ADA6B6C85ECE}"/>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8667-40EB-A08A-ADA6B6C85ECE}"/>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8667-40EB-A08A-ADA6B6C85ECE}"/>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8667-40EB-A08A-ADA6B6C85ECE}"/>
                </c:ext>
              </c:extLst>
            </c:dLbl>
            <c:dLbl>
              <c:idx val="1"/>
              <c:layout>
                <c:manualLayout>
                  <c:x val="-2.680784679042791E-3"/>
                  <c:y val="-0.18741281684693581"/>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67-40EB-A08A-ADA6B6C85ECE}"/>
                </c:ext>
              </c:extLst>
            </c:dLbl>
            <c:dLbl>
              <c:idx val="2"/>
              <c:layout>
                <c:manualLayout>
                  <c:x val="0.10215417070459565"/>
                  <c:y val="-3.439997166970804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667-40EB-A08A-ADA6B6C85ECE}"/>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f>Analysis!$C$163:$F$163</c:f>
              <c:strCache>
                <c:ptCount val="4"/>
                <c:pt idx="0">
                  <c:v>Functional</c:v>
                </c:pt>
                <c:pt idx="1">
                  <c:v>NA</c:v>
                </c:pt>
                <c:pt idx="2">
                  <c:v>Not_Functional</c:v>
                </c:pt>
                <c:pt idx="3">
                  <c:v>Not_inPlace</c:v>
                </c:pt>
              </c:strCache>
              <c:extLst xmlns:c15="http://schemas.microsoft.com/office/drawing/2012/chart"/>
            </c:strRef>
          </c:cat>
          <c:val>
            <c:numRef>
              <c:f>Analysis!$C$166:$F$166</c:f>
              <c:numCache>
                <c:formatCode>General</c:formatCode>
                <c:ptCount val="4"/>
                <c:pt idx="0">
                  <c:v>8</c:v>
                </c:pt>
                <c:pt idx="1">
                  <c:v>3</c:v>
                </c:pt>
                <c:pt idx="2">
                  <c:v>3</c:v>
                </c:pt>
                <c:pt idx="3">
                  <c:v>10</c:v>
                </c:pt>
              </c:numCache>
              <c:extLst xmlns:c15="http://schemas.microsoft.com/office/drawing/2012/chart"/>
            </c:numRef>
          </c:val>
          <c:extLst>
            <c:ext xmlns:c16="http://schemas.microsoft.com/office/drawing/2014/chart" uri="{C3380CC4-5D6E-409C-BE32-E72D297353CC}">
              <c16:uniqueId val="{00000008-8667-40EB-A08A-ADA6B6C85ECE}"/>
            </c:ext>
          </c:extLst>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Analysis!$B$164</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3A63-4C59-8DE1-219A0638CA1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3A63-4C59-8DE1-219A0638CA1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3A63-4C59-8DE1-219A0638CA1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c:ext xmlns:c16="http://schemas.microsoft.com/office/drawing/2014/chart" uri="{C3380CC4-5D6E-409C-BE32-E72D297353CC}">
                      <c16:uniqueId val="{00000007-3A63-4C59-8DE1-219A0638CA1F}"/>
                    </c:ext>
                  </c:extLst>
                </c:dPt>
                <c:dLbls>
                  <c:dLbl>
                    <c:idx val="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3A63-4C59-8DE1-219A0638CA1F}"/>
                      </c:ext>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3A63-4C59-8DE1-219A0638CA1F}"/>
                      </c:ext>
                    </c:extLst>
                  </c:dLbl>
                  <c:dLbl>
                    <c:idx val="3"/>
                    <c:layout>
                      <c:manualLayout>
                        <c:x val="4.4142253079837497E-2"/>
                        <c:y val="0.12624238229460433"/>
                      </c:manualLayout>
                    </c:layout>
                    <c:dLblPos val="bestFit"/>
                    <c:showLegendKey val="0"/>
                    <c:showVal val="0"/>
                    <c:showCatName val="0"/>
                    <c:showSerName val="0"/>
                    <c:showPercent val="1"/>
                    <c:showBubbleSize val="0"/>
                    <c:extLst>
                      <c:ext uri="{CE6537A1-D6FC-4f65-9D91-7224C49458BB}"/>
                      <c:ext xmlns:c16="http://schemas.microsoft.com/office/drawing/2014/chart" uri="{C3380CC4-5D6E-409C-BE32-E72D297353CC}">
                        <c16:uniqueId val="{00000007-3A63-4C59-8DE1-219A0638CA1F}"/>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Analysis!$C$163:$F$163</c15:sqref>
                        </c15:formulaRef>
                      </c:ext>
                    </c:extLst>
                    <c:strCache>
                      <c:ptCount val="4"/>
                      <c:pt idx="0">
                        <c:v>Functional</c:v>
                      </c:pt>
                      <c:pt idx="1">
                        <c:v>NA</c:v>
                      </c:pt>
                      <c:pt idx="2">
                        <c:v>Not_Functional</c:v>
                      </c:pt>
                      <c:pt idx="3">
                        <c:v>Not_inPlace</c:v>
                      </c:pt>
                    </c:strCache>
                  </c:strRef>
                </c:cat>
                <c:val>
                  <c:numRef>
                    <c:extLst>
                      <c:ext uri="{02D57815-91ED-43cb-92C2-25804820EDAC}">
                        <c15:formulaRef>
                          <c15:sqref>Analysis!$C$164:$F$164</c15:sqref>
                        </c15:formulaRef>
                      </c:ext>
                    </c:extLst>
                    <c:numCache>
                      <c:formatCode>General</c:formatCode>
                      <c:ptCount val="4"/>
                      <c:pt idx="0">
                        <c:v>95</c:v>
                      </c:pt>
                      <c:pt idx="1">
                        <c:v>8</c:v>
                      </c:pt>
                      <c:pt idx="2">
                        <c:v>5</c:v>
                      </c:pt>
                      <c:pt idx="3">
                        <c:v>9</c:v>
                      </c:pt>
                    </c:numCache>
                  </c:numRef>
                </c:val>
                <c:extLst>
                  <c:ext xmlns:c16="http://schemas.microsoft.com/office/drawing/2014/chart" uri="{C3380CC4-5D6E-409C-BE32-E72D297353CC}">
                    <c16:uniqueId val="{00000008-3A63-4C59-8DE1-219A0638CA1F}"/>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Analysis!$B$165</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8667-40EB-A08A-ADA6B6C85ECE}"/>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8667-40EB-A08A-ADA6B6C85ECE}"/>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8667-40EB-A08A-ADA6B6C85ECE}"/>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8-8667-40EB-A08A-ADA6B6C85ECE}"/>
                    </c:ext>
                  </c:extLst>
                </c:dPt>
                <c:dLbls>
                  <c:dLbl>
                    <c:idx val="0"/>
                    <c:layout>
                      <c:manualLayout>
                        <c:x val="-6.4180285353954231E-2"/>
                        <c:y val="0.12156082071856092"/>
                      </c:manualLayout>
                    </c:layout>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8667-40EB-A08A-ADA6B6C85ECE}"/>
                      </c:ext>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4-8667-40EB-A08A-ADA6B6C85ECE}"/>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Analysis!$C$163:$F$163</c15:sqref>
                        </c15:formulaRef>
                      </c:ext>
                    </c:extLst>
                    <c:strCache>
                      <c:ptCount val="4"/>
                      <c:pt idx="0">
                        <c:v>Functional</c:v>
                      </c:pt>
                      <c:pt idx="1">
                        <c:v>NA</c:v>
                      </c:pt>
                      <c:pt idx="2">
                        <c:v>Not_Functional</c:v>
                      </c:pt>
                      <c:pt idx="3">
                        <c:v>Not_inPlace</c:v>
                      </c:pt>
                    </c:strCache>
                  </c:strRef>
                </c:cat>
                <c:val>
                  <c:numRef>
                    <c:extLst xmlns:c15="http://schemas.microsoft.com/office/drawing/2012/chart">
                      <c:ext xmlns:c15="http://schemas.microsoft.com/office/drawing/2012/chart" uri="{02D57815-91ED-43cb-92C2-25804820EDAC}">
                        <c15:formulaRef>
                          <c15:sqref>Analysis!$C$165:$F$165</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19-8667-40EB-A08A-ADA6B6C85ECE}"/>
                  </c:ext>
                </c:extLst>
              </c15:ser>
            </c15:filteredPieSeries>
          </c:ext>
        </c:extLst>
      </c:pieChart>
      <c:spPr>
        <a:noFill/>
        <a:ln>
          <a:noFill/>
        </a:ln>
        <a:effectLst/>
      </c:spPr>
    </c:plotArea>
    <c:legend>
      <c:legendPos val="r"/>
      <c:layout>
        <c:manualLayout>
          <c:xMode val="edge"/>
          <c:yMode val="edge"/>
          <c:x val="0.59523049461885758"/>
          <c:y val="0.39908968829050373"/>
          <c:w val="0.40476950538114242"/>
          <c:h val="0.444357614364535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Mon Number of ppl Covered against 2023 HRP targets</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7-F35F-4C2B-9D43-B58A16CDA4EA}"/>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5-F35F-4C2B-9D43-B58A16CDA4EA}"/>
              </c:ext>
            </c:extLst>
          </c:dPt>
          <c:dPt>
            <c:idx val="5"/>
            <c:invertIfNegative val="0"/>
            <c:bubble3D val="0"/>
            <c:spPr>
              <a:solidFill>
                <a:srgbClr val="0070C0"/>
              </a:solidFill>
              <a:ln>
                <a:noFill/>
              </a:ln>
              <a:effectLst/>
            </c:spPr>
            <c:extLst>
              <c:ext xmlns:c16="http://schemas.microsoft.com/office/drawing/2014/chart" uri="{C3380CC4-5D6E-409C-BE32-E72D297353CC}">
                <c16:uniqueId val="{00000003-F35F-4C2B-9D43-B58A16CDA4E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HRP!$C$243:$C$248</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HRP!$E$243:$E$248</c:f>
              <c:numCache>
                <c:formatCode>_(* #,##0_);_(* \(#,##0\);_(* "-"??_);_(@_)</c:formatCode>
                <c:ptCount val="6"/>
                <c:pt idx="0">
                  <c:v>0</c:v>
                </c:pt>
                <c:pt idx="1">
                  <c:v>0</c:v>
                </c:pt>
                <c:pt idx="2">
                  <c:v>0</c:v>
                </c:pt>
                <c:pt idx="3">
                  <c:v>10750</c:v>
                </c:pt>
                <c:pt idx="4">
                  <c:v>0</c:v>
                </c:pt>
                <c:pt idx="5">
                  <c:v>10700</c:v>
                </c:pt>
              </c:numCache>
            </c:numRef>
          </c:val>
          <c:extLst>
            <c:ext xmlns:c16="http://schemas.microsoft.com/office/drawing/2014/chart" uri="{C3380CC4-5D6E-409C-BE32-E72D297353CC}">
              <c16:uniqueId val="{00000000-F35F-4C2B-9D43-B58A16CDA4EA}"/>
            </c:ext>
          </c:extLst>
        </c:ser>
        <c:ser>
          <c:idx val="1"/>
          <c:order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B-F35F-4C2B-9D43-B58A16CDA4EA}"/>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F35F-4C2B-9D43-B58A16CDA4EA}"/>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9-F35F-4C2B-9D43-B58A16CDA4EA}"/>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8-F35F-4C2B-9D43-B58A16CDA4EA}"/>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6-F35F-4C2B-9D43-B58A16CDA4EA}"/>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4-F35F-4C2B-9D43-B58A16CDA4E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HRP!$C$243:$C$248</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HRP!$F$243:$F$248</c:f>
              <c:numCache>
                <c:formatCode>_(* #,##0_);_(* \(#,##0\);_(* "-"??_);_(@_)</c:formatCode>
                <c:ptCount val="6"/>
                <c:pt idx="0">
                  <c:v>1103.2525000000001</c:v>
                </c:pt>
                <c:pt idx="1">
                  <c:v>1765.204</c:v>
                </c:pt>
                <c:pt idx="2">
                  <c:v>2687.0429798401483</c:v>
                </c:pt>
                <c:pt idx="3">
                  <c:v>20925.809596802959</c:v>
                </c:pt>
                <c:pt idx="4">
                  <c:v>13915.752879040889</c:v>
                </c:pt>
                <c:pt idx="5">
                  <c:v>4898.3247984014815</c:v>
                </c:pt>
              </c:numCache>
            </c:numRef>
          </c:val>
          <c:extLst>
            <c:ext xmlns:c16="http://schemas.microsoft.com/office/drawing/2014/chart" uri="{C3380CC4-5D6E-409C-BE32-E72D297353CC}">
              <c16:uniqueId val="{00000001-F35F-4C2B-9D43-B58A16CDA4EA}"/>
            </c:ext>
          </c:extLst>
        </c:ser>
        <c:dLbls>
          <c:dLblPos val="ctr"/>
          <c:showLegendKey val="0"/>
          <c:showVal val="1"/>
          <c:showCatName val="0"/>
          <c:showSerName val="0"/>
          <c:showPercent val="0"/>
          <c:showBubbleSize val="0"/>
        </c:dLbls>
        <c:gapWidth val="50"/>
        <c:overlap val="100"/>
        <c:axId val="1837750911"/>
        <c:axId val="1837757983"/>
      </c:barChart>
      <c:catAx>
        <c:axId val="1837750911"/>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1837757983"/>
        <c:crosses val="autoZero"/>
        <c:auto val="1"/>
        <c:lblAlgn val="ctr"/>
        <c:lblOffset val="100"/>
        <c:noMultiLvlLbl val="0"/>
      </c:catAx>
      <c:valAx>
        <c:axId val="1837757983"/>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377509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Effective solid waste management system in place </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744929049610484"/>
          <c:y val="0.27163900779868383"/>
          <c:w val="0.4991109785749398"/>
          <c:h val="0.66523763897072008"/>
        </c:manualLayout>
      </c:layout>
      <c:pieChart>
        <c:varyColors val="1"/>
        <c:ser>
          <c:idx val="2"/>
          <c:order val="2"/>
          <c:tx>
            <c:strRef>
              <c:f>Analysis!$B$182</c:f>
              <c:strCache>
                <c:ptCount val="1"/>
                <c:pt idx="0">
                  <c:v>Shan (North)</c:v>
                </c:pt>
              </c:strCache>
              <c:extLst xmlns:c15="http://schemas.microsoft.com/office/drawing/2012/chart"/>
            </c:strRef>
          </c:tx>
          <c:dPt>
            <c:idx val="0"/>
            <c:bubble3D val="0"/>
            <c:spPr>
              <a:solidFill>
                <a:schemeClr val="bg1">
                  <a:lumMod val="75000"/>
                </a:schemeClr>
              </a:solidFill>
              <a:ln>
                <a:noFill/>
              </a:ln>
              <a:effectLst/>
            </c:spPr>
            <c:extLst>
              <c:ext xmlns:c16="http://schemas.microsoft.com/office/drawing/2014/chart" uri="{C3380CC4-5D6E-409C-BE32-E72D297353CC}">
                <c16:uniqueId val="{00000001-CDAF-45DF-AD5D-165F6FDC16B2}"/>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CDAF-45DF-AD5D-165F6FDC16B2}"/>
              </c:ext>
            </c:extLst>
          </c:dPt>
          <c:dPt>
            <c:idx val="2"/>
            <c:bubble3D val="0"/>
            <c:spPr>
              <a:solidFill>
                <a:schemeClr val="accent2">
                  <a:lumMod val="75000"/>
                </a:schemeClr>
              </a:solidFill>
              <a:ln>
                <a:noFill/>
              </a:ln>
              <a:effectLst/>
            </c:spPr>
            <c:extLst>
              <c:ext xmlns:c16="http://schemas.microsoft.com/office/drawing/2014/chart" uri="{C3380CC4-5D6E-409C-BE32-E72D297353CC}">
                <c16:uniqueId val="{00000005-CDAF-45DF-AD5D-165F6FDC16B2}"/>
              </c:ext>
            </c:extLst>
          </c:dPt>
          <c:dLbls>
            <c:dLbl>
              <c:idx val="0"/>
              <c:layout>
                <c:manualLayout>
                  <c:x val="-0.1487697342631141"/>
                  <c:y val="0.126987299453095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DAF-45DF-AD5D-165F6FDC16B2}"/>
                </c:ext>
              </c:extLst>
            </c:dLbl>
            <c:dLbl>
              <c:idx val="1"/>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CDAF-45DF-AD5D-165F6FDC16B2}"/>
                </c:ext>
              </c:extLst>
            </c:dLbl>
            <c:dLbl>
              <c:idx val="2"/>
              <c:layout>
                <c:manualLayout>
                  <c:x val="0.15499268393549651"/>
                  <c:y val="-7.3163580911844869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DAF-45DF-AD5D-165F6FDC16B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Analysis!$C$179:$F$179</c15:sqref>
                  </c15:fullRef>
                </c:ext>
              </c:extLst>
              <c:f>Analysis!$C$179:$E$179</c:f>
              <c:strCache>
                <c:ptCount val="3"/>
                <c:pt idx="0">
                  <c:v>NA</c:v>
                </c:pt>
                <c:pt idx="1">
                  <c:v>No</c:v>
                </c:pt>
                <c:pt idx="2">
                  <c:v>Yes</c:v>
                </c:pt>
              </c:strCache>
            </c:strRef>
          </c:cat>
          <c:val>
            <c:numRef>
              <c:extLst>
                <c:ext xmlns:c15="http://schemas.microsoft.com/office/drawing/2012/chart" uri="{02D57815-91ED-43cb-92C2-25804820EDAC}">
                  <c15:fullRef>
                    <c15:sqref>Analysis!$C$182:$F$182</c15:sqref>
                  </c15:fullRef>
                </c:ext>
              </c:extLst>
              <c:f>Analysis!$C$182:$E$182</c:f>
              <c:numCache>
                <c:formatCode>General</c:formatCode>
                <c:ptCount val="3"/>
                <c:pt idx="0">
                  <c:v>7</c:v>
                </c:pt>
                <c:pt idx="1">
                  <c:v>9</c:v>
                </c:pt>
                <c:pt idx="2">
                  <c:v>12</c:v>
                </c:pt>
              </c:numCache>
            </c:numRef>
          </c:val>
          <c:extLst>
            <c:ext xmlns:c15="http://schemas.microsoft.com/office/drawing/2012/chart" uri="{02D57815-91ED-43cb-92C2-25804820EDAC}">
              <c15:categoryFilterExceptions>
                <c15:categoryFilterException>
                  <c15:sqref>Analysis!$F$182</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dLbl>
                    <c:idx val="2"/>
                    <c:layout>
                      <c:manualLayout>
                        <c:x val="8.0617375658231419E-2"/>
                        <c:y val="6.3452901720618252E-2"/>
                      </c:manualLayout>
                    </c:layout>
                    <c:showLegendKey val="0"/>
                    <c:showVal val="0"/>
                    <c:showCatName val="0"/>
                    <c:showSerName val="0"/>
                    <c:showPercent val="1"/>
                    <c:showBubbleSize val="0"/>
                    <c:extLst>
                      <c:ext uri="{CE6537A1-D6FC-4f65-9D91-7224C49458BB}"/>
                      <c:ext xmlns:c16="http://schemas.microsoft.com/office/drawing/2014/chart" uri="{C3380CC4-5D6E-409C-BE32-E72D297353CC}">
                        <c16:uniqueId val="{00000017-10A7-4E42-BF5B-9ADE68C6AD38}"/>
                      </c:ext>
                    </c:extLst>
                  </c15:dLbl>
                </c15:categoryFilterException>
              </c15:categoryFilterExceptions>
            </c:ext>
            <c:ext xmlns:c16="http://schemas.microsoft.com/office/drawing/2014/chart" uri="{C3380CC4-5D6E-409C-BE32-E72D297353CC}">
              <c16:uniqueId val="{00000008-CDAF-45DF-AD5D-165F6FDC16B2}"/>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Analysis!$B$180</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c:ext xmlns:c16="http://schemas.microsoft.com/office/drawing/2014/chart" uri="{C3380CC4-5D6E-409C-BE32-E72D297353CC}">
                      <c16:uniqueId val="{00000001-7D04-4B5A-8D19-1128D053B9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c:ext xmlns:c16="http://schemas.microsoft.com/office/drawing/2014/chart" uri="{C3380CC4-5D6E-409C-BE32-E72D297353CC}">
                      <c16:uniqueId val="{00000003-7D04-4B5A-8D19-1128D053B9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c:ext xmlns:c16="http://schemas.microsoft.com/office/drawing/2014/chart" uri="{C3380CC4-5D6E-409C-BE32-E72D297353CC}">
                      <c16:uniqueId val="{00000005-7D04-4B5A-8D19-1128D053B922}"/>
                    </c:ext>
                  </c:extLst>
                </c:dPt>
                <c:dLbls>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7D04-4B5A-8D19-1128D053B922}"/>
                      </c:ext>
                    </c:extLst>
                  </c:dLbl>
                  <c:dLbl>
                    <c:idx val="1"/>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7D04-4B5A-8D19-1128D053B922}"/>
                      </c:ext>
                    </c:extLst>
                  </c:dLbl>
                  <c:dLbl>
                    <c:idx val="2"/>
                    <c:layout>
                      <c:manualLayout>
                        <c:x val="4.3363541821423268E-2"/>
                        <c:y val="4.3223972003499561E-2"/>
                      </c:manualLayout>
                    </c:layout>
                    <c:dLblPos val="bestFit"/>
                    <c:showLegendKey val="0"/>
                    <c:showVal val="0"/>
                    <c:showCatName val="0"/>
                    <c:showSerName val="0"/>
                    <c:showPercent val="1"/>
                    <c:showBubbleSize val="0"/>
                    <c:extLst>
                      <c:ext uri="{CE6537A1-D6FC-4f65-9D91-7224C49458BB}"/>
                      <c:ext xmlns:c16="http://schemas.microsoft.com/office/drawing/2014/chart" uri="{C3380CC4-5D6E-409C-BE32-E72D297353CC}">
                        <c16:uniqueId val="{00000005-7D04-4B5A-8D19-1128D053B922}"/>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ullRef>
                          <c15:sqref>Analysis!$C$179:$F$179</c15:sqref>
                        </c15:fullRef>
                        <c15:formulaRef>
                          <c15:sqref>Analysis!$C$179:$E$179</c15:sqref>
                        </c15:formulaRef>
                      </c:ext>
                    </c:extLst>
                    <c:strCache>
                      <c:ptCount val="3"/>
                      <c:pt idx="0">
                        <c:v>NA</c:v>
                      </c:pt>
                      <c:pt idx="1">
                        <c:v>No</c:v>
                      </c:pt>
                      <c:pt idx="2">
                        <c:v>Yes</c:v>
                      </c:pt>
                    </c:strCache>
                  </c:strRef>
                </c:cat>
                <c:val>
                  <c:numRef>
                    <c:extLst>
                      <c:ext uri="{02D57815-91ED-43cb-92C2-25804820EDAC}">
                        <c15:fullRef>
                          <c15:sqref>Analysis!$C$180:$F$180</c15:sqref>
                        </c15:fullRef>
                        <c15:formulaRef>
                          <c15:sqref>Analysis!$C$180:$E$180</c15:sqref>
                        </c15:formulaRef>
                      </c:ext>
                    </c:extLst>
                    <c:numCache>
                      <c:formatCode>General</c:formatCode>
                      <c:ptCount val="3"/>
                      <c:pt idx="0">
                        <c:v>10</c:v>
                      </c:pt>
                      <c:pt idx="1">
                        <c:v>5</c:v>
                      </c:pt>
                      <c:pt idx="2">
                        <c:v>104</c:v>
                      </c:pt>
                    </c:numCache>
                  </c:numRef>
                </c:val>
                <c:extLst>
                  <c:ext uri="{02D57815-91ED-43cb-92C2-25804820EDAC}">
                    <c15:categoryFilterExceptions>
                      <c15:categoryFilterException>
                        <c15:sqref>Analysis!$F$180</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0A-7D04-4B5A-8D19-1128D053B922}"/>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Analysis!$B$181</c15:sqref>
                        </c15:formulaRef>
                      </c:ext>
                    </c:extLst>
                    <c:strCache>
                      <c:ptCount val="1"/>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2-CDAF-45DF-AD5D-165F6FDC16B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4-CDAF-45DF-AD5D-165F6FDC16B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16-CDAF-45DF-AD5D-165F6FDC16B2}"/>
                    </c:ext>
                  </c:extLst>
                </c:dPt>
                <c:dLbls>
                  <c:dLbl>
                    <c:idx val="0"/>
                    <c:layout>
                      <c:manualLayout>
                        <c:x val="-0.11369286386371519"/>
                        <c:y val="0.12671624380285798"/>
                      </c:manualLayout>
                    </c:layout>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CDAF-45DF-AD5D-165F6FDC16B2}"/>
                      </c:ext>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4-CDAF-45DF-AD5D-165F6FDC16B2}"/>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Analysis!$C$179:$F$179</c15:sqref>
                        </c15:fullRef>
                        <c15:formulaRef>
                          <c15:sqref>Analysis!$C$179:$E$179</c15:sqref>
                        </c15:formulaRef>
                      </c:ext>
                    </c:extLst>
                    <c:strCache>
                      <c:ptCount val="3"/>
                      <c:pt idx="0">
                        <c:v>NA</c:v>
                      </c:pt>
                      <c:pt idx="1">
                        <c:v>No</c:v>
                      </c:pt>
                      <c:pt idx="2">
                        <c:v>Yes</c:v>
                      </c:pt>
                    </c:strCache>
                  </c:strRef>
                </c:cat>
                <c:val>
                  <c:numRef>
                    <c:extLst>
                      <c:ext xmlns:c15="http://schemas.microsoft.com/office/drawing/2012/chart" uri="{02D57815-91ED-43cb-92C2-25804820EDAC}">
                        <c15:fullRef>
                          <c15:sqref>Analysis!$C$181:$F$181</c15:sqref>
                        </c15:fullRef>
                        <c15:formulaRef>
                          <c15:sqref>Analysis!$C$181:$E$181</c15:sqref>
                        </c15:formulaRef>
                      </c:ext>
                    </c:extLst>
                    <c:numCache>
                      <c:formatCode>General</c:formatCode>
                      <c:ptCount val="3"/>
                    </c:numCache>
                  </c:numRef>
                </c:val>
                <c:extLst xmlns:c15="http://schemas.microsoft.com/office/drawing/2012/chart">
                  <c:ext xmlns:c15="http://schemas.microsoft.com/office/drawing/2012/chart" uri="{02D57815-91ED-43cb-92C2-25804820EDAC}">
                    <c15:categoryFilterExceptions>
                      <c15:categoryFilterException>
                        <c15:sqref>Analysis!$F$181</c15:sqref>
                        <c15:spPr xmlns:c15="http://schemas.microsoft.com/office/drawing/2012/chart">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15:spPr>
                        <c15:bubble3D val="0"/>
                      </c15:categoryFilterException>
                    </c15:categoryFilterExceptions>
                  </c:ext>
                  <c:ext xmlns:c16="http://schemas.microsoft.com/office/drawing/2014/chart" uri="{C3380CC4-5D6E-409C-BE32-E72D297353CC}">
                    <c16:uniqueId val="{00000019-CDAF-45DF-AD5D-165F6FDC16B2}"/>
                  </c:ext>
                </c:extLst>
              </c15:ser>
            </c15:filteredPieSeries>
          </c:ext>
        </c:extLst>
      </c:pieChart>
      <c:spPr>
        <a:noFill/>
        <a:ln>
          <a:noFill/>
        </a:ln>
        <a:effectLst/>
      </c:spPr>
    </c:plotArea>
    <c:legend>
      <c:legendPos val="r"/>
      <c:layout>
        <c:manualLayout>
          <c:xMode val="edge"/>
          <c:yMode val="edge"/>
          <c:x val="0.68969607035906555"/>
          <c:y val="0.40394787937440657"/>
          <c:w val="0.23775258912011474"/>
          <c:h val="0.3765948888844486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repaired and desludged</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1970895869093266"/>
          <c:y val="0.22122744190961499"/>
          <c:w val="0.83332829080464643"/>
          <c:h val="0.37842313517829257"/>
        </c:manualLayout>
      </c:layout>
      <c:barChart>
        <c:barDir val="col"/>
        <c:grouping val="clustered"/>
        <c:varyColors val="0"/>
        <c:ser>
          <c:idx val="0"/>
          <c:order val="0"/>
          <c:tx>
            <c:strRef>
              <c:f>Analysis!$J$139</c:f>
              <c:strCache>
                <c:ptCount val="1"/>
                <c:pt idx="0">
                  <c:v> # Operation &amp; maintenance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Analysis!$K$134:$L$134</c15:sqref>
                  </c15:fullRef>
                </c:ext>
              </c:extLst>
              <c:f>Analysis!$K$134</c:f>
              <c:strCache>
                <c:ptCount val="1"/>
                <c:pt idx="0">
                  <c:v> # in GCA (20:1) </c:v>
                </c:pt>
              </c:strCache>
            </c:strRef>
          </c:cat>
          <c:val>
            <c:numRef>
              <c:extLst>
                <c:ext xmlns:c15="http://schemas.microsoft.com/office/drawing/2012/chart" uri="{02D57815-91ED-43cb-92C2-25804820EDAC}">
                  <c15:fullRef>
                    <c15:sqref>Analysis!$K$139:$L$139</c15:sqref>
                  </c15:fullRef>
                </c:ext>
              </c:extLst>
              <c:f>Analysis!$K$139</c:f>
              <c:numCache>
                <c:formatCode>General</c:formatCode>
                <c:ptCount val="1"/>
                <c:pt idx="0" formatCode="_(* #,##0_);_(* \(#,##0\);_(* &quot;-&quot;??_);_(@_)">
                  <c:v>0</c:v>
                </c:pt>
              </c:numCache>
            </c:numRef>
          </c:val>
          <c:extLst>
            <c:ext xmlns:c16="http://schemas.microsoft.com/office/drawing/2014/chart" uri="{C3380CC4-5D6E-409C-BE32-E72D297353CC}">
              <c16:uniqueId val="{00000000-014A-4722-B456-E8907B7553F3}"/>
            </c:ext>
          </c:extLst>
        </c:ser>
        <c:ser>
          <c:idx val="1"/>
          <c:order val="1"/>
          <c:tx>
            <c:strRef>
              <c:f>Analysis!$J$140</c:f>
              <c:strCache>
                <c:ptCount val="1"/>
                <c:pt idx="0">
                  <c:v> # latrines desludged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Analysis!$K$134:$L$134</c15:sqref>
                  </c15:fullRef>
                </c:ext>
              </c:extLst>
              <c:f>Analysis!$K$134</c:f>
              <c:strCache>
                <c:ptCount val="1"/>
                <c:pt idx="0">
                  <c:v> # in GCA (20:1) </c:v>
                </c:pt>
              </c:strCache>
            </c:strRef>
          </c:cat>
          <c:val>
            <c:numRef>
              <c:extLst>
                <c:ext xmlns:c15="http://schemas.microsoft.com/office/drawing/2012/chart" uri="{02D57815-91ED-43cb-92C2-25804820EDAC}">
                  <c15:fullRef>
                    <c15:sqref>Analysis!$K$140:$L$140</c15:sqref>
                  </c15:fullRef>
                </c:ext>
              </c:extLst>
              <c:f>Analysis!$K$140</c:f>
              <c:numCache>
                <c:formatCode>General</c:formatCode>
                <c:ptCount val="1"/>
                <c:pt idx="0" formatCode="_(* #,##0_);_(* \(#,##0\);_(* &quot;-&quot;??_);_(@_)">
                  <c:v>0</c:v>
                </c:pt>
              </c:numCache>
            </c:numRef>
          </c:val>
          <c:extLst>
            <c:ext xmlns:c16="http://schemas.microsoft.com/office/drawing/2014/chart" uri="{C3380CC4-5D6E-409C-BE32-E72D297353CC}">
              <c16:uniqueId val="{00000001-014A-4722-B456-E8907B7553F3}"/>
            </c:ext>
          </c:extLst>
        </c:ser>
        <c:dLbls>
          <c:dLblPos val="ctr"/>
          <c:showLegendKey val="0"/>
          <c:showVal val="1"/>
          <c:showCatName val="0"/>
          <c:showSerName val="0"/>
          <c:showPercent val="0"/>
          <c:showBubbleSize val="0"/>
        </c:dLbls>
        <c:gapWidth val="100"/>
        <c:overlap val="-24"/>
        <c:axId val="419853408"/>
        <c:axId val="354342312"/>
      </c:barChart>
      <c:catAx>
        <c:axId val="4198534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54342312"/>
        <c:crosses val="autoZero"/>
        <c:auto val="1"/>
        <c:lblAlgn val="ctr"/>
        <c:lblOffset val="100"/>
        <c:noMultiLvlLbl val="0"/>
      </c:catAx>
      <c:valAx>
        <c:axId val="354342312"/>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53408"/>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Entry>
      <c:legendEntry>
        <c:idx val="1"/>
        <c:txPr>
          <a:bodyPr rot="0" spcFirstLastPara="1" vertOverflow="ellipsis" vert="horz" wrap="square" anchor="ctr" anchorCtr="1"/>
          <a:lstStyle/>
          <a:p>
            <a:pPr>
              <a:defRPr sz="1300" b="0" i="0" u="none" strike="noStrike" kern="1200" baseline="0">
                <a:solidFill>
                  <a:schemeClr val="tx2"/>
                </a:solidFill>
                <a:latin typeface="+mn-lt"/>
                <a:ea typeface="+mn-ea"/>
                <a:cs typeface="+mn-cs"/>
              </a:defRPr>
            </a:pPr>
            <a:endParaRPr lang="en-US"/>
          </a:p>
        </c:txPr>
      </c:legendEntry>
      <c:layout>
        <c:manualLayout>
          <c:xMode val="edge"/>
          <c:yMode val="edge"/>
          <c:x val="1.4645626404542575E-2"/>
          <c:y val="0.76187767849804511"/>
          <c:w val="0.94929108126190109"/>
          <c:h val="0.226193098427831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r>
              <a:rPr lang="en-US" sz="1100" b="1" i="0" baseline="0">
                <a:effectLst/>
              </a:rPr>
              <a:t>Latrine Functionality</a:t>
            </a:r>
            <a:endParaRPr lang="en-US" sz="1100">
              <a:effectLst/>
            </a:endParaRPr>
          </a:p>
        </c:rich>
      </c:tx>
      <c:layout>
        <c:manualLayout>
          <c:xMode val="edge"/>
          <c:yMode val="edge"/>
          <c:x val="0.17970594768929515"/>
          <c:y val="9.0395512396641269E-3"/>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4019842771693967"/>
          <c:y val="0.13784319154524366"/>
          <c:w val="0.52141268933628426"/>
          <c:h val="0.72172987116148257"/>
        </c:manualLayout>
      </c:layout>
      <c:pieChart>
        <c:varyColors val="1"/>
        <c:ser>
          <c:idx val="0"/>
          <c:order val="0"/>
          <c:explosion val="1"/>
          <c:dPt>
            <c:idx val="0"/>
            <c:bubble3D val="0"/>
            <c:spPr>
              <a:solidFill>
                <a:schemeClr val="accent2">
                  <a:lumMod val="75000"/>
                </a:schemeClr>
              </a:solidFill>
              <a:ln>
                <a:noFill/>
              </a:ln>
              <a:effectLst/>
            </c:spPr>
            <c:extLst>
              <c:ext xmlns:c16="http://schemas.microsoft.com/office/drawing/2014/chart" uri="{C3380CC4-5D6E-409C-BE32-E72D297353CC}">
                <c16:uniqueId val="{00000001-2459-4622-81B0-FFE866AD0625}"/>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2459-4622-81B0-FFE866AD0625}"/>
              </c:ext>
            </c:extLst>
          </c:dPt>
          <c:dLbls>
            <c:dLbl>
              <c:idx val="0"/>
              <c:layout>
                <c:manualLayout>
                  <c:x val="2.0318348283673383E-2"/>
                  <c:y val="-0.15886940126140889"/>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layout>
                    <c:manualLayout>
                      <c:w val="0.24319993747068935"/>
                      <c:h val="0.29197750504115128"/>
                    </c:manualLayout>
                  </c15:layout>
                </c:ext>
                <c:ext xmlns:c16="http://schemas.microsoft.com/office/drawing/2014/chart" uri="{C3380CC4-5D6E-409C-BE32-E72D297353CC}">
                  <c16:uniqueId val="{00000001-2459-4622-81B0-FFE866AD0625}"/>
                </c:ext>
              </c:extLst>
            </c:dLbl>
            <c:dLbl>
              <c:idx val="1"/>
              <c:layout>
                <c:manualLayout>
                  <c:x val="7.1359555095156776E-2"/>
                  <c:y val="0.104431134538909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459-4622-81B0-FFE866AD062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Analysis!$N$133:$N$134</c:f>
              <c:strCache>
                <c:ptCount val="2"/>
                <c:pt idx="0">
                  <c:v>Functioning</c:v>
                </c:pt>
                <c:pt idx="1">
                  <c:v>Not_Functioning</c:v>
                </c:pt>
              </c:strCache>
            </c:strRef>
          </c:cat>
          <c:val>
            <c:numRef>
              <c:f>Analysis!$O$133:$O$134</c:f>
              <c:numCache>
                <c:formatCode>_(* #,##0_);_(* \(#,##0\);_(* "-"??_);_(@_)</c:formatCode>
                <c:ptCount val="2"/>
                <c:pt idx="0">
                  <c:v>835</c:v>
                </c:pt>
                <c:pt idx="1">
                  <c:v>0</c:v>
                </c:pt>
              </c:numCache>
            </c:numRef>
          </c:val>
          <c:extLst>
            <c:ext xmlns:c16="http://schemas.microsoft.com/office/drawing/2014/chart" uri="{C3380CC4-5D6E-409C-BE32-E72D297353CC}">
              <c16:uniqueId val="{00000006-2459-4622-81B0-FFE866AD0625}"/>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4.9999718709068976E-2"/>
          <c:y val="0.84659430405175695"/>
          <c:w val="0.89999989715573914"/>
          <c:h val="0.152543494832864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a:p>
            <a:pPr>
              <a:defRPr sz="1400"/>
            </a:pPr>
            <a:r>
              <a:rPr lang="en-US" sz="1400" b="1" i="0" baseline="0">
                <a:effectLst/>
              </a:rPr>
              <a:t>in protracted camps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Analysis!$H$224</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Analysis!$G$225:$G$227</c:f>
              <c:strCache>
                <c:ptCount val="3"/>
                <c:pt idx="0">
                  <c:v>#HH reached by regular dedicated hygiene promotion</c:v>
                </c:pt>
                <c:pt idx="1">
                  <c:v>#HH with access to Hand Washing Station</c:v>
                </c:pt>
                <c:pt idx="2">
                  <c:v>#HH received standard amount of soap</c:v>
                </c:pt>
              </c:strCache>
            </c:strRef>
          </c:cat>
          <c:val>
            <c:numRef>
              <c:f>Analysis!$H$225:$H$227</c:f>
              <c:numCache>
                <c:formatCode>0</c:formatCode>
                <c:ptCount val="3"/>
                <c:pt idx="0">
                  <c:v>2046.6</c:v>
                </c:pt>
                <c:pt idx="1">
                  <c:v>2145</c:v>
                </c:pt>
                <c:pt idx="2" formatCode="General">
                  <c:v>18</c:v>
                </c:pt>
              </c:numCache>
            </c:numRef>
          </c:val>
          <c:extLst>
            <c:ext xmlns:c16="http://schemas.microsoft.com/office/drawing/2014/chart" uri="{C3380CC4-5D6E-409C-BE32-E72D297353CC}">
              <c16:uniqueId val="{00000000-167B-4022-87C3-E61198FB0BE3}"/>
            </c:ext>
          </c:extLst>
        </c:ser>
        <c:ser>
          <c:idx val="1"/>
          <c:order val="1"/>
          <c:tx>
            <c:strRef>
              <c:f>Analysis!$I$224</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Analysis!$G$225:$G$227</c:f>
              <c:strCache>
                <c:ptCount val="3"/>
                <c:pt idx="0">
                  <c:v>#HH reached by regular dedicated hygiene promotion</c:v>
                </c:pt>
                <c:pt idx="1">
                  <c:v>#HH with access to Hand Washing Station</c:v>
                </c:pt>
                <c:pt idx="2">
                  <c:v>#HH received standard amount of soap</c:v>
                </c:pt>
              </c:strCache>
            </c:strRef>
          </c:cat>
          <c:val>
            <c:numRef>
              <c:f>Analysis!$I$225:$I$227</c:f>
              <c:numCache>
                <c:formatCode>0</c:formatCode>
                <c:ptCount val="3"/>
                <c:pt idx="0">
                  <c:v>2342.4</c:v>
                </c:pt>
                <c:pt idx="1">
                  <c:v>2244</c:v>
                </c:pt>
                <c:pt idx="2" formatCode="General">
                  <c:v>4371</c:v>
                </c:pt>
              </c:numCache>
            </c:numRef>
          </c:val>
          <c:extLst>
            <c:ext xmlns:c16="http://schemas.microsoft.com/office/drawing/2014/chart" uri="{C3380CC4-5D6E-409C-BE32-E72D297353CC}">
              <c16:uniqueId val="{00000001-167B-4022-87C3-E61198FB0BE3}"/>
            </c:ext>
          </c:extLst>
        </c:ser>
        <c:dLbls>
          <c:showLegendKey val="0"/>
          <c:showVal val="0"/>
          <c:showCatName val="0"/>
          <c:showSerName val="0"/>
          <c:showPercent val="0"/>
          <c:showBubbleSize val="0"/>
        </c:dLbls>
        <c:gapWidth val="150"/>
        <c:overlap val="100"/>
        <c:axId val="392754056"/>
        <c:axId val="392749744"/>
      </c:barChart>
      <c:catAx>
        <c:axId val="392754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2749744"/>
        <c:crosses val="autoZero"/>
        <c:auto val="1"/>
        <c:lblAlgn val="ctr"/>
        <c:lblOffset val="100"/>
        <c:noMultiLvlLbl val="0"/>
      </c:catAx>
      <c:valAx>
        <c:axId val="39274974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4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[20230728_Myanmar_WASH_4W_2023_Q2_KachinShan_camp_Consolidate.xlsx]Analysis!PivotTable11</c:name>
    <c:fmtId val="33"/>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People access to functioning latrine</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Analysis!$Y$124</c:f>
              <c:strCache>
                <c:ptCount val="1"/>
                <c:pt idx="0">
                  <c:v>Accessed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Analysis!$X$125</c:f>
              <c:strCache>
                <c:ptCount val="1"/>
                <c:pt idx="0">
                  <c:v>GCA</c:v>
                </c:pt>
              </c:strCache>
            </c:strRef>
          </c:cat>
          <c:val>
            <c:numRef>
              <c:f>Analysis!$Y$125</c:f>
              <c:numCache>
                <c:formatCode>_(* #,##0_);_(* \(#,##0\);_(* "-"??_);_(@_)</c:formatCode>
                <c:ptCount val="1"/>
                <c:pt idx="0">
                  <c:v>6277</c:v>
                </c:pt>
              </c:numCache>
            </c:numRef>
          </c:val>
          <c:extLst>
            <c:ext xmlns:c16="http://schemas.microsoft.com/office/drawing/2014/chart" uri="{C3380CC4-5D6E-409C-BE32-E72D297353CC}">
              <c16:uniqueId val="{00000001-2EB2-4FE9-9082-DA762EBC68FA}"/>
            </c:ext>
          </c:extLst>
        </c:ser>
        <c:ser>
          <c:idx val="1"/>
          <c:order val="1"/>
          <c:tx>
            <c:strRef>
              <c:f>Analysis!$Z$124</c:f>
              <c:strCache>
                <c:ptCount val="1"/>
                <c:pt idx="0">
                  <c:v>Not-accessed</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Analysis!$X$125</c:f>
              <c:strCache>
                <c:ptCount val="1"/>
                <c:pt idx="0">
                  <c:v>GCA</c:v>
                </c:pt>
              </c:strCache>
            </c:strRef>
          </c:cat>
          <c:val>
            <c:numRef>
              <c:f>Analysis!$Z$125</c:f>
              <c:numCache>
                <c:formatCode>_(* #,##0_);_(* \(#,##0\);_(* "-"??_);_(@_)</c:formatCode>
                <c:ptCount val="1"/>
                <c:pt idx="0">
                  <c:v>4162</c:v>
                </c:pt>
              </c:numCache>
            </c:numRef>
          </c:val>
          <c:extLst>
            <c:ext xmlns:c16="http://schemas.microsoft.com/office/drawing/2014/chart" uri="{C3380CC4-5D6E-409C-BE32-E72D297353CC}">
              <c16:uniqueId val="{00000002-2EB2-4FE9-9082-DA762EBC68FA}"/>
            </c:ext>
          </c:extLst>
        </c:ser>
        <c:dLbls>
          <c:showLegendKey val="0"/>
          <c:showVal val="0"/>
          <c:showCatName val="0"/>
          <c:showSerName val="0"/>
          <c:showPercent val="0"/>
          <c:showBubbleSize val="0"/>
        </c:dLbls>
        <c:gapWidth val="150"/>
        <c:overlap val="100"/>
        <c:axId val="732843423"/>
        <c:axId val="731173071"/>
      </c:barChart>
      <c:catAx>
        <c:axId val="73284342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1173071"/>
        <c:crosses val="autoZero"/>
        <c:auto val="1"/>
        <c:lblAlgn val="ctr"/>
        <c:lblOffset val="100"/>
        <c:noMultiLvlLbl val="0"/>
      </c:catAx>
      <c:valAx>
        <c:axId val="731173071"/>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32843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women and girls received Sanitary Pads  </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Analysis!$L$224</c:f>
              <c:strCache>
                <c:ptCount val="1"/>
                <c:pt idx="0">
                  <c:v>Covered</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Analysis!$K$225</c:f>
              <c:strCache>
                <c:ptCount val="1"/>
                <c:pt idx="0">
                  <c:v># women and girls received Sanitary pads
(29% of total population targeted)
</c:v>
                </c:pt>
              </c:strCache>
            </c:strRef>
          </c:cat>
          <c:val>
            <c:numRef>
              <c:f>Analysis!$L$225</c:f>
              <c:numCache>
                <c:formatCode>_(* #,##0_);_(* \(#,##0\);_(* "-"??_);_(@_)</c:formatCode>
                <c:ptCount val="1"/>
                <c:pt idx="0">
                  <c:v>28</c:v>
                </c:pt>
              </c:numCache>
            </c:numRef>
          </c:val>
          <c:extLst>
            <c:ext xmlns:c16="http://schemas.microsoft.com/office/drawing/2014/chart" uri="{C3380CC4-5D6E-409C-BE32-E72D297353CC}">
              <c16:uniqueId val="{00000000-77A7-49E7-9F14-3E959DA2AC0D}"/>
            </c:ext>
          </c:extLst>
        </c:ser>
        <c:ser>
          <c:idx val="1"/>
          <c:order val="1"/>
          <c:tx>
            <c:strRef>
              <c:f>Analysis!$M$224</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Analysis!$K$225</c:f>
              <c:strCache>
                <c:ptCount val="1"/>
                <c:pt idx="0">
                  <c:v># women and girls received Sanitary pads
(29% of total population targeted)
</c:v>
                </c:pt>
              </c:strCache>
            </c:strRef>
          </c:cat>
          <c:val>
            <c:numRef>
              <c:f>Analysis!$M$225</c:f>
              <c:numCache>
                <c:formatCode>_(* #,##0_);_(* \(#,##0\);_(* "-"??_);_(@_)</c:formatCode>
                <c:ptCount val="1"/>
                <c:pt idx="0">
                  <c:v>6279.5</c:v>
                </c:pt>
              </c:numCache>
            </c:numRef>
          </c:val>
          <c:extLst>
            <c:ext xmlns:c16="http://schemas.microsoft.com/office/drawing/2014/chart" uri="{C3380CC4-5D6E-409C-BE32-E72D297353CC}">
              <c16:uniqueId val="{00000001-77A7-49E7-9F14-3E959DA2AC0D}"/>
            </c:ext>
          </c:extLst>
        </c:ser>
        <c:dLbls>
          <c:showLegendKey val="0"/>
          <c:showVal val="0"/>
          <c:showCatName val="0"/>
          <c:showSerName val="0"/>
          <c:showPercent val="0"/>
          <c:showBubbleSize val="0"/>
        </c:dLbls>
        <c:gapWidth val="150"/>
        <c:overlap val="100"/>
        <c:axId val="2069970176"/>
        <c:axId val="1210588336"/>
      </c:barChart>
      <c:catAx>
        <c:axId val="20699701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210588336"/>
        <c:crosses val="autoZero"/>
        <c:auto val="1"/>
        <c:lblAlgn val="ctr"/>
        <c:lblOffset val="100"/>
        <c:noMultiLvlLbl val="0"/>
      </c:catAx>
      <c:valAx>
        <c:axId val="121058833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069970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600" b="1" i="0" baseline="0">
                <a:effectLst/>
              </a:rPr>
              <a:t>Number of ppl Covered against 2023 HRP targets</a:t>
            </a:r>
            <a:endParaRPr lang="en-US" sz="1600">
              <a:effectLst/>
            </a:endParaRPr>
          </a:p>
        </c:rich>
      </c:tx>
      <c:layout>
        <c:manualLayout>
          <c:xMode val="edge"/>
          <c:yMode val="edge"/>
          <c:x val="1.1017719392520119E-2"/>
          <c:y val="2.535920779850183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7915187898701184"/>
          <c:y val="0.12060702459448742"/>
          <c:w val="0.48741669562194095"/>
          <c:h val="0.76711566975136203"/>
        </c:manualLayout>
      </c:layout>
      <c:barChart>
        <c:barDir val="bar"/>
        <c:grouping val="percentStack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5-4168-4965-A37A-C0F83A7068F1}"/>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1-4168-4965-A37A-C0F83A7068F1}"/>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5-8754-4146-A881-93D494AAF002}"/>
              </c:ext>
            </c:extLst>
          </c:dPt>
          <c:dPt>
            <c:idx val="5"/>
            <c:invertIfNegative val="0"/>
            <c:bubble3D val="0"/>
            <c:spPr>
              <a:solidFill>
                <a:srgbClr val="0070C0"/>
              </a:solidFill>
              <a:ln>
                <a:noFill/>
              </a:ln>
              <a:effectLst/>
            </c:spPr>
            <c:extLst>
              <c:ext xmlns:c16="http://schemas.microsoft.com/office/drawing/2014/chart" uri="{C3380CC4-5D6E-409C-BE32-E72D297353CC}">
                <c16:uniqueId val="{00000007-8754-4146-A881-93D494AAF002}"/>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HRP!$C$218:$C$223</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HRP!$E$218:$E$223</c:f>
              <c:numCache>
                <c:formatCode>_(* #,##0_);_(* \(#,##0\);_(* "-"??_);_(@_)</c:formatCode>
                <c:ptCount val="6"/>
                <c:pt idx="0">
                  <c:v>0</c:v>
                </c:pt>
                <c:pt idx="1">
                  <c:v>2223</c:v>
                </c:pt>
                <c:pt idx="2">
                  <c:v>0</c:v>
                </c:pt>
                <c:pt idx="3">
                  <c:v>7368</c:v>
                </c:pt>
                <c:pt idx="4">
                  <c:v>8491</c:v>
                </c:pt>
                <c:pt idx="5">
                  <c:v>10793.999999999998</c:v>
                </c:pt>
              </c:numCache>
            </c:numRef>
          </c:val>
          <c:extLst>
            <c:ext xmlns:c16="http://schemas.microsoft.com/office/drawing/2014/chart" uri="{C3380CC4-5D6E-409C-BE32-E72D297353CC}">
              <c16:uniqueId val="{00000006-6C74-4BAA-A760-A72DEC02332C}"/>
            </c:ext>
          </c:extLst>
        </c:ser>
        <c:ser>
          <c:idx val="1"/>
          <c:order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8754-4146-A881-93D494AAF002}"/>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12-2271-4DB1-AD9A-8EC89B464434}"/>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E-A245-4D7D-AE77-65E608C755A4}"/>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11-2271-4DB1-AD9A-8EC89B464434}"/>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F-8754-4146-A881-93D494AAF002}"/>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1-8754-4146-A881-93D494AAF002}"/>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HRP!$C$218:$C$223</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HRP!$F$218:$F$223</c:f>
              <c:numCache>
                <c:formatCode>_(* #,##0_);_(* \(#,##0\);_(* "-"??_);_(@_)</c:formatCode>
                <c:ptCount val="6"/>
                <c:pt idx="0">
                  <c:v>2036.2400000000002</c:v>
                </c:pt>
                <c:pt idx="1">
                  <c:v>1034.9840000000004</c:v>
                </c:pt>
                <c:pt idx="2">
                  <c:v>5426.6278725171751</c:v>
                </c:pt>
                <c:pt idx="3">
                  <c:v>60439.757450343488</c:v>
                </c:pt>
                <c:pt idx="4">
                  <c:v>18255.2414900687</c:v>
                </c:pt>
                <c:pt idx="5">
                  <c:v>31845.227235103055</c:v>
                </c:pt>
              </c:numCache>
            </c:numRef>
          </c:val>
          <c:extLst>
            <c:ext xmlns:c16="http://schemas.microsoft.com/office/drawing/2014/chart" uri="{C3380CC4-5D6E-409C-BE32-E72D297353CC}">
              <c16:uniqueId val="{0000000D-A245-4D7D-AE77-65E608C755A4}"/>
            </c:ext>
          </c:extLst>
        </c:ser>
        <c:dLbls>
          <c:showLegendKey val="0"/>
          <c:showVal val="0"/>
          <c:showCatName val="0"/>
          <c:showSerName val="0"/>
          <c:showPercent val="0"/>
          <c:showBubbleSize val="0"/>
        </c:dLbls>
        <c:gapWidth val="50"/>
        <c:overlap val="100"/>
        <c:axId val="391609024"/>
        <c:axId val="391603928"/>
      </c:barChart>
      <c:catAx>
        <c:axId val="3916090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n-US"/>
          </a:p>
        </c:txPr>
        <c:crossAx val="391603928"/>
        <c:crosses val="autoZero"/>
        <c:auto val="1"/>
        <c:lblAlgn val="l"/>
        <c:lblOffset val="100"/>
        <c:noMultiLvlLbl val="0"/>
      </c:catAx>
      <c:valAx>
        <c:axId val="391603928"/>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0902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orientation="portrait"/>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Cumulative Funding Received/Gap as of 2023-Q2 (US$)</a:t>
            </a:r>
            <a:endParaRPr lang="en-US" sz="1400">
              <a:effectLst/>
            </a:endParaRPr>
          </a:p>
        </c:rich>
      </c:tx>
      <c:layout>
        <c:manualLayout>
          <c:xMode val="edge"/>
          <c:yMode val="edge"/>
          <c:x val="0.21845514684471495"/>
          <c:y val="2.0005513330445399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[7]National!$F$3</c:f>
              <c:strCache>
                <c:ptCount val="1"/>
                <c:pt idx="0">
                  <c:v>Cumulative Funding Received for 2023</c:v>
                </c:pt>
              </c:strCache>
            </c:strRef>
          </c:tx>
          <c:spPr>
            <a:solidFill>
              <a:srgbClr val="0070C0"/>
            </a:solidFill>
            <a:ln>
              <a:noFill/>
            </a:ln>
            <a:effectLst/>
          </c:spPr>
          <c:invertIfNegative val="0"/>
          <c:dLbls>
            <c:dLbl>
              <c:idx val="0"/>
              <c:layout>
                <c:manualLayout>
                  <c:x val="3.237624715438793E-2"/>
                  <c:y val="-5.451722631268295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36-4BEA-87F2-9FB8C3915155}"/>
                </c:ext>
              </c:extLst>
            </c:dLbl>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[7]National!$B$6:$B$18</c15:sqref>
                  </c15:fullRef>
                </c:ext>
              </c:extLst>
              <c:f>[7]National!$B$10</c:f>
              <c:strCache>
                <c:ptCount val="1"/>
                <c:pt idx="0">
                  <c:v>Kachin/Shan (North)</c:v>
                </c:pt>
              </c:strCache>
            </c:strRef>
          </c:cat>
          <c:val>
            <c:numRef>
              <c:extLst>
                <c:ext xmlns:c15="http://schemas.microsoft.com/office/drawing/2012/chart" uri="{02D57815-91ED-43cb-92C2-25804820EDAC}">
                  <c15:fullRef>
                    <c15:sqref>[7]National!$F$6:$F$18</c15:sqref>
                  </c15:fullRef>
                </c:ext>
              </c:extLst>
              <c:f>[7]National!$F$10</c:f>
              <c:numCache>
                <c:formatCode>General</c:formatCode>
                <c:ptCount val="1"/>
                <c:pt idx="0">
                  <c:v>1319171.3086415359</c:v>
                </c:pt>
              </c:numCache>
            </c:numRef>
          </c:val>
          <c:extLst xmlns:c15="http://schemas.microsoft.com/office/drawing/2012/chart">
            <c:ext xmlns:c16="http://schemas.microsoft.com/office/drawing/2014/chart" uri="{C3380CC4-5D6E-409C-BE32-E72D297353CC}">
              <c16:uniqueId val="{00000001-C536-4BEA-87F2-9FB8C3915155}"/>
            </c:ext>
          </c:extLst>
        </c:ser>
        <c:ser>
          <c:idx val="1"/>
          <c:order val="1"/>
          <c:tx>
            <c:strRef>
              <c:f>[7]National!$G$3</c:f>
              <c:strCache>
                <c:ptCount val="1"/>
                <c:pt idx="0">
                  <c:v>Gap</c:v>
                </c:pt>
              </c:strCache>
            </c:strRef>
          </c:tx>
          <c:spPr>
            <a:solidFill>
              <a:schemeClr val="accent1">
                <a:lumMod val="40000"/>
                <a:lumOff val="60000"/>
              </a:schemeClr>
            </a:solidFill>
            <a:ln>
              <a:noFill/>
            </a:ln>
            <a:effectLst/>
          </c:spPr>
          <c:invertIfNegative val="0"/>
          <c:dLbls>
            <c:numFmt formatCode="_(&quot;$&quot;* #,##0_);_(&quot;$&quot;* \(#,##0\);_(&quot;$&quot;* &quot;-&quot;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[7]National!$B$6:$B$18</c15:sqref>
                  </c15:fullRef>
                </c:ext>
              </c:extLst>
              <c:f>[7]National!$B$10</c:f>
              <c:strCache>
                <c:ptCount val="1"/>
                <c:pt idx="0">
                  <c:v>Kachin/Shan (North)</c:v>
                </c:pt>
              </c:strCache>
            </c:strRef>
          </c:cat>
          <c:val>
            <c:numRef>
              <c:extLst>
                <c:ext xmlns:c15="http://schemas.microsoft.com/office/drawing/2012/chart" uri="{02D57815-91ED-43cb-92C2-25804820EDAC}">
                  <c15:fullRef>
                    <c15:sqref>[7]National!$G$6:$G$18</c15:sqref>
                  </c15:fullRef>
                </c:ext>
              </c:extLst>
              <c:f>[7]National!$G$10</c:f>
              <c:numCache>
                <c:formatCode>General</c:formatCode>
                <c:ptCount val="1"/>
                <c:pt idx="0">
                  <c:v>11522189.930062734</c:v>
                </c:pt>
              </c:numCache>
            </c:numRef>
          </c:val>
          <c:extLst>
            <c:ext xmlns:c15="http://schemas.microsoft.com/office/drawing/2012/chart" uri="{02D57815-91ED-43cb-92C2-25804820EDAC}">
              <c15:categoryFilterExceptions>
                <c15:categoryFilterException>
                  <c15:sqref>[7]National!$G$6</c15:sqref>
                  <c15:spPr xmlns:c15="http://schemas.microsoft.com/office/drawing/2012/chart">
                    <a:solidFill>
                      <a:schemeClr val="accent1">
                        <a:lumMod val="40000"/>
                        <a:lumOff val="60000"/>
                      </a:schemeClr>
                    </a:solidFill>
                    <a:ln>
                      <a:noFill/>
                    </a:ln>
                    <a:effectLst/>
                  </c15:spPr>
                  <c15:invertIfNegative val="0"/>
                  <c15:bubble3D val="0"/>
                </c15:categoryFilterException>
              </c15:categoryFilterExceptions>
            </c:ext>
            <c:ext xmlns:c16="http://schemas.microsoft.com/office/drawing/2014/chart" uri="{C3380CC4-5D6E-409C-BE32-E72D297353CC}">
              <c16:uniqueId val="{00000002-C536-4BEA-87F2-9FB8C3915155}"/>
            </c:ext>
          </c:extLst>
        </c:ser>
        <c:dLbls>
          <c:dLblPos val="ctr"/>
          <c:showLegendKey val="0"/>
          <c:showVal val="1"/>
          <c:showCatName val="0"/>
          <c:showSerName val="0"/>
          <c:showPercent val="0"/>
          <c:showBubbleSize val="0"/>
        </c:dLbls>
        <c:gapWidth val="150"/>
        <c:overlap val="100"/>
        <c:axId val="546155384"/>
        <c:axId val="546156560"/>
        <c:extLst/>
      </c:barChart>
      <c:catAx>
        <c:axId val="5461553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6560"/>
        <c:crosses val="autoZero"/>
        <c:auto val="1"/>
        <c:lblAlgn val="ctr"/>
        <c:lblOffset val="100"/>
        <c:noMultiLvlLbl val="0"/>
      </c:catAx>
      <c:valAx>
        <c:axId val="54615656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546155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Kachin/Shan Funding Splits INGO, LNGO</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50000"/>
            </a:schemeClr>
          </a:solidFill>
          <a:ln>
            <a:noFill/>
          </a:ln>
          <a:effectLst/>
        </c:spPr>
        <c:dLbl>
          <c:idx val="0"/>
          <c:layout>
            <c:manualLayout>
              <c:x val="1.7308993299750004E-2"/>
              <c:y val="-8.3856458529964154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0.14435790748055011</c:v>
              </c:pt>
            </c:numLit>
          </c:val>
          <c:extLst>
            <c:ext xmlns:c16="http://schemas.microsoft.com/office/drawing/2014/chart" uri="{C3380CC4-5D6E-409C-BE32-E72D297353CC}">
              <c16:uniqueId val="{00000000-5849-418F-B533-A09980D30871}"/>
            </c:ext>
          </c:extLst>
        </c:ser>
        <c:ser>
          <c:idx val="1"/>
          <c:order val="1"/>
          <c:tx>
            <c:v>LNGO</c:v>
          </c:tx>
          <c:spPr>
            <a:solidFill>
              <a:schemeClr val="accent1">
                <a:lumMod val="60000"/>
                <a:lumOff val="4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0.63316343573508094</c:v>
              </c:pt>
            </c:numLit>
          </c:val>
          <c:extLst>
            <c:ext xmlns:c16="http://schemas.microsoft.com/office/drawing/2014/chart" uri="{C3380CC4-5D6E-409C-BE32-E72D297353CC}">
              <c16:uniqueId val="{00000001-5849-418F-B533-A09980D30871}"/>
            </c:ext>
          </c:extLst>
        </c:ser>
        <c:ser>
          <c:idx val="2"/>
          <c:order val="2"/>
          <c:tx>
            <c:v>INGO/LNGO</c:v>
          </c:tx>
          <c:spPr>
            <a:solidFill>
              <a:schemeClr val="accent1">
                <a:lumMod val="20000"/>
                <a:lumOff val="8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c:v>
              </c:pt>
            </c:strLit>
          </c:cat>
          <c:val>
            <c:numLit>
              <c:formatCode>General</c:formatCode>
              <c:ptCount val="1"/>
              <c:pt idx="0">
                <c:v>0.22247865678436884</c:v>
              </c:pt>
            </c:numLit>
          </c:val>
          <c:extLst>
            <c:ext xmlns:c16="http://schemas.microsoft.com/office/drawing/2014/chart" uri="{C3380CC4-5D6E-409C-BE32-E72D297353CC}">
              <c16:uniqueId val="{00000002-5849-418F-B533-A09980D30871}"/>
            </c:ext>
          </c:extLst>
        </c:ser>
        <c:dLbls>
          <c:showLegendKey val="0"/>
          <c:showVal val="0"/>
          <c:showCatName val="0"/>
          <c:showSerName val="0"/>
          <c:showPercent val="0"/>
          <c:showBubbleSize val="0"/>
        </c:dLbls>
        <c:gapWidth val="150"/>
        <c:overlap val="100"/>
        <c:axId val="546158520"/>
        <c:axId val="546159304"/>
      </c:barChart>
      <c:catAx>
        <c:axId val="546158520"/>
        <c:scaling>
          <c:orientation val="minMax"/>
        </c:scaling>
        <c:delete val="1"/>
        <c:axPos val="l"/>
        <c:numFmt formatCode="General" sourceLinked="1"/>
        <c:majorTickMark val="none"/>
        <c:minorTickMark val="none"/>
        <c:tickLblPos val="nextTo"/>
        <c:crossAx val="546159304"/>
        <c:crosses val="autoZero"/>
        <c:auto val="1"/>
        <c:lblAlgn val="ctr"/>
        <c:lblOffset val="100"/>
        <c:noMultiLvlLbl val="0"/>
      </c:catAx>
      <c:valAx>
        <c:axId val="5461593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158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APPROXIMATE TOTAL FUND ENGAGED PER YEAR by state/region (US$)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Kachin/shan</c:v>
          </c:tx>
          <c:spPr>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1"/>
              <c:pt idx="0">
                <c:v> before 2014</c:v>
              </c:pt>
              <c:pt idx="1">
                <c:v> 2014</c:v>
              </c:pt>
              <c:pt idx="2">
                <c:v> 2015</c:v>
              </c:pt>
              <c:pt idx="3">
                <c:v> 2016</c:v>
              </c:pt>
              <c:pt idx="4">
                <c:v> 2017</c:v>
              </c:pt>
              <c:pt idx="5">
                <c:v> 2018</c:v>
              </c:pt>
              <c:pt idx="6">
                <c:v> 2019</c:v>
              </c:pt>
              <c:pt idx="7">
                <c:v> 2020</c:v>
              </c:pt>
              <c:pt idx="8">
                <c:v> 2021</c:v>
              </c:pt>
              <c:pt idx="9">
                <c:v> 2022</c:v>
              </c:pt>
              <c:pt idx="10">
                <c:v>2023 </c:v>
              </c:pt>
            </c:strLit>
          </c:cat>
          <c:val>
            <c:numLit>
              <c:formatCode>General</c:formatCode>
              <c:ptCount val="11"/>
              <c:pt idx="0">
                <c:v>5431372.7659449084</c:v>
              </c:pt>
              <c:pt idx="1">
                <c:v>4353706.9810160939</c:v>
              </c:pt>
              <c:pt idx="2">
                <c:v>4283214.5919899773</c:v>
              </c:pt>
              <c:pt idx="3">
                <c:v>2928740.2487938525</c:v>
              </c:pt>
              <c:pt idx="4">
                <c:v>3193730.5528003741</c:v>
              </c:pt>
              <c:pt idx="5">
                <c:v>4600421.2042978052</c:v>
              </c:pt>
              <c:pt idx="6">
                <c:v>5503559.5957787624</c:v>
              </c:pt>
              <c:pt idx="7">
                <c:v>5787278.4194201846</c:v>
              </c:pt>
              <c:pt idx="8">
                <c:v>4582919.5699515063</c:v>
              </c:pt>
              <c:pt idx="9">
                <c:v>2663297.4423292545</c:v>
              </c:pt>
              <c:pt idx="10">
                <c:v>1319171.3086415359</c:v>
              </c:pt>
            </c:numLit>
          </c:val>
          <c:smooth val="0"/>
          <c:extLst>
            <c:ext xmlns:c16="http://schemas.microsoft.com/office/drawing/2014/chart" uri="{C3380CC4-5D6E-409C-BE32-E72D297353CC}">
              <c16:uniqueId val="{00000000-D471-4281-A2F9-C044F61A77EE}"/>
            </c:ext>
          </c:extLst>
        </c:ser>
        <c:dLbls>
          <c:dLblPos val="t"/>
          <c:showLegendKey val="0"/>
          <c:showVal val="1"/>
          <c:showCatName val="0"/>
          <c:showSerName val="0"/>
          <c:showPercent val="0"/>
          <c:showBubbleSize val="0"/>
        </c:dLbls>
        <c:marker val="1"/>
        <c:smooth val="0"/>
        <c:axId val="1718302800"/>
        <c:axId val="1718303216"/>
      </c:lineChart>
      <c:catAx>
        <c:axId val="1718302800"/>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18303216"/>
        <c:crosses val="autoZero"/>
        <c:auto val="1"/>
        <c:lblAlgn val="ctr"/>
        <c:lblOffset val="100"/>
        <c:noMultiLvlLbl val="0"/>
      </c:catAx>
      <c:valAx>
        <c:axId val="17183032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18302800"/>
        <c:crosses val="autoZero"/>
        <c:crossBetween val="between"/>
        <c:dispUnits>
          <c:builtInUnit val="millions"/>
          <c:dispUnitsLbl>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9">
  <a:schemeClr val="accent6"/>
</cs:colorStyle>
</file>

<file path=xl/charts/colors16.xml><?xml version="1.0" encoding="utf-8"?>
<cs:colorStyle xmlns:cs="http://schemas.microsoft.com/office/drawing/2012/chartStyle" xmlns:a="http://schemas.openxmlformats.org/drawingml/2006/main" meth="withinLinear" id="15">
  <a:schemeClr val="accent2"/>
</cs:colorStyle>
</file>

<file path=xl/charts/colors17.xml><?xml version="1.0" encoding="utf-8"?>
<cs:colorStyle xmlns:cs="http://schemas.microsoft.com/office/drawing/2012/chartStyle" xmlns:a="http://schemas.openxmlformats.org/drawingml/2006/main" meth="withinLinear" id="15">
  <a:schemeClr val="accent2"/>
</cs:colorStyle>
</file>

<file path=xl/charts/colors18.xml><?xml version="1.0" encoding="utf-8"?>
<cs:colorStyle xmlns:cs="http://schemas.microsoft.com/office/drawing/2012/chartStyle" xmlns:a="http://schemas.openxmlformats.org/drawingml/2006/main" meth="withinLinear" id="15">
  <a:schemeClr val="accent2"/>
</cs:colorStyle>
</file>

<file path=xl/charts/colors19.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4">
  <a:schemeClr val="accent1"/>
</cs:colorStyle>
</file>

<file path=xl/charts/colors21.xml><?xml version="1.0" encoding="utf-8"?>
<cs:colorStyle xmlns:cs="http://schemas.microsoft.com/office/drawing/2012/chartStyle" xmlns:a="http://schemas.openxmlformats.org/drawingml/2006/main" meth="withinLinear" id="14">
  <a:schemeClr val="accent1"/>
</cs:colorStyle>
</file>

<file path=xl/charts/colors22.xml><?xml version="1.0" encoding="utf-8"?>
<cs:colorStyle xmlns:cs="http://schemas.microsoft.com/office/drawing/2012/chartStyle" xmlns:a="http://schemas.openxmlformats.org/drawingml/2006/main" meth="withinLinear" id="19">
  <a:schemeClr val="accent6"/>
</cs:colorStyle>
</file>

<file path=xl/charts/colors23.xml><?xml version="1.0" encoding="utf-8"?>
<cs:colorStyle xmlns:cs="http://schemas.microsoft.com/office/drawing/2012/chartStyle" xmlns:a="http://schemas.openxmlformats.org/drawingml/2006/main" meth="withinLinear" id="15">
  <a:schemeClr val="accent2"/>
</cs:colorStyle>
</file>

<file path=xl/charts/colors24.xml><?xml version="1.0" encoding="utf-8"?>
<cs:colorStyle xmlns:cs="http://schemas.microsoft.com/office/drawing/2012/chartStyle" xmlns:a="http://schemas.openxmlformats.org/drawingml/2006/main" meth="withinLinear" id="15">
  <a:schemeClr val="accent2"/>
</cs:colorStyle>
</file>

<file path=xl/charts/colors25.xml><?xml version="1.0" encoding="utf-8"?>
<cs:colorStyle xmlns:cs="http://schemas.microsoft.com/office/drawing/2012/chartStyle" xmlns:a="http://schemas.openxmlformats.org/drawingml/2006/main" meth="withinLinear" id="15">
  <a:schemeClr val="accent2"/>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 id="15">
  <a:schemeClr val="accent2"/>
</cs:colorStyle>
</file>

<file path=xl/charts/colors28.xml><?xml version="1.0" encoding="utf-8"?>
<cs:colorStyle xmlns:cs="http://schemas.microsoft.com/office/drawing/2012/chartStyle" xmlns:a="http://schemas.openxmlformats.org/drawingml/2006/main" meth="withinLinear" id="15">
  <a:schemeClr val="accent2"/>
</cs:colorStyle>
</file>

<file path=xl/charts/colors29.xml><?xml version="1.0" encoding="utf-8"?>
<cs:colorStyle xmlns:cs="http://schemas.microsoft.com/office/drawing/2012/chartStyle" xmlns:a="http://schemas.openxmlformats.org/drawingml/2006/main" meth="withinLinear" id="15">
  <a:schemeClr val="accent2"/>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withinLinear" id="19">
  <a:schemeClr val="accent6"/>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withinLinear" id="15">
  <a:schemeClr val="accent2"/>
</cs:colorStyle>
</file>

<file path=xl/charts/colors67.xml><?xml version="1.0" encoding="utf-8"?>
<cs:colorStyle xmlns:cs="http://schemas.microsoft.com/office/drawing/2012/chartStyle" xmlns:a="http://schemas.openxmlformats.org/drawingml/2006/main" meth="withinLinear" id="15">
  <a:schemeClr val="accent2"/>
</cs:colorStyle>
</file>

<file path=xl/charts/colors68.xml><?xml version="1.0" encoding="utf-8"?>
<cs:colorStyle xmlns:cs="http://schemas.microsoft.com/office/drawing/2012/chartStyle" xmlns:a="http://schemas.openxmlformats.org/drawingml/2006/main" meth="withinLinear" id="15">
  <a:schemeClr val="accent2"/>
</cs:colorStyle>
</file>

<file path=xl/charts/colors69.xml><?xml version="1.0" encoding="utf-8"?>
<cs:colorStyle xmlns:cs="http://schemas.microsoft.com/office/drawing/2012/chartStyle" xmlns:a="http://schemas.openxmlformats.org/drawingml/2006/main" meth="withinLinear" id="15">
  <a:schemeClr val="accent2"/>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withinLinear" id="14">
  <a:schemeClr val="accent1"/>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withinLinear" id="14">
  <a:schemeClr val="accent1"/>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withinLinear" id="15">
  <a:schemeClr val="accent2"/>
</cs:colorStyle>
</file>

<file path=xl/charts/colors89.xml><?xml version="1.0" encoding="utf-8"?>
<cs:colorStyle xmlns:cs="http://schemas.microsoft.com/office/drawing/2012/chartStyle" xmlns:a="http://schemas.openxmlformats.org/drawingml/2006/main" meth="withinLinear" id="15">
  <a:schemeClr val="accent2"/>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withinLinear" id="15">
  <a:schemeClr val="accent2"/>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withinLinear" id="19">
  <a:schemeClr val="accent6"/>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withinLinear" id="14">
  <a:schemeClr val="accent1"/>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0.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1.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9.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1.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9.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0.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1.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2.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0.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86.xml"/><Relationship Id="rId13" Type="http://schemas.openxmlformats.org/officeDocument/2006/relationships/chart" Target="../charts/chart90.xml"/><Relationship Id="rId18" Type="http://schemas.openxmlformats.org/officeDocument/2006/relationships/chart" Target="../charts/chart95.xml"/><Relationship Id="rId3" Type="http://schemas.openxmlformats.org/officeDocument/2006/relationships/chart" Target="../charts/chart82.xml"/><Relationship Id="rId21" Type="http://schemas.openxmlformats.org/officeDocument/2006/relationships/chart" Target="../charts/chart97.xml"/><Relationship Id="rId7" Type="http://schemas.openxmlformats.org/officeDocument/2006/relationships/chart" Target="../charts/chart85.xml"/><Relationship Id="rId12" Type="http://schemas.openxmlformats.org/officeDocument/2006/relationships/chart" Target="../charts/chart89.xml"/><Relationship Id="rId17" Type="http://schemas.openxmlformats.org/officeDocument/2006/relationships/chart" Target="../charts/chart94.xml"/><Relationship Id="rId2" Type="http://schemas.openxmlformats.org/officeDocument/2006/relationships/chart" Target="../charts/chart81.xml"/><Relationship Id="rId16" Type="http://schemas.openxmlformats.org/officeDocument/2006/relationships/chart" Target="../charts/chart93.xml"/><Relationship Id="rId20" Type="http://schemas.openxmlformats.org/officeDocument/2006/relationships/hyperlink" Target="https://app.powerbi.com/view?r=eyJrIjoiZjA2Nzk2NzMtZmVmZi00OWM3LTgyMzQtMWZhM2M5NzczMWJiIiwidCI6IjhjZTk0MWNlLTQ5OTgtNDFhZS1iMTU1LWJjMjFjY2NiYTA4ZSIsImMiOjEwfQ%3D%3D&amp;pageName=ReportSection" TargetMode="External"/><Relationship Id="rId1" Type="http://schemas.openxmlformats.org/officeDocument/2006/relationships/chart" Target="../charts/chart80.xml"/><Relationship Id="rId6" Type="http://schemas.openxmlformats.org/officeDocument/2006/relationships/chart" Target="../charts/chart84.xml"/><Relationship Id="rId11" Type="http://schemas.openxmlformats.org/officeDocument/2006/relationships/hyperlink" Target="#'AAP-community Feedback'!A2"/><Relationship Id="rId5" Type="http://schemas.openxmlformats.org/officeDocument/2006/relationships/chart" Target="../charts/chart83.xml"/><Relationship Id="rId15" Type="http://schemas.openxmlformats.org/officeDocument/2006/relationships/chart" Target="../charts/chart92.xml"/><Relationship Id="rId23" Type="http://schemas.openxmlformats.org/officeDocument/2006/relationships/chart" Target="../charts/chart99.xml"/><Relationship Id="rId10" Type="http://schemas.openxmlformats.org/officeDocument/2006/relationships/chart" Target="../charts/chart88.xml"/><Relationship Id="rId19" Type="http://schemas.openxmlformats.org/officeDocument/2006/relationships/chart" Target="../charts/chart96.xml"/><Relationship Id="rId4" Type="http://schemas.openxmlformats.org/officeDocument/2006/relationships/hyperlink" Target="#Analysis!A329"/><Relationship Id="rId9" Type="http://schemas.openxmlformats.org/officeDocument/2006/relationships/chart" Target="../charts/chart87.xml"/><Relationship Id="rId14" Type="http://schemas.openxmlformats.org/officeDocument/2006/relationships/chart" Target="../charts/chart91.xml"/><Relationship Id="rId22" Type="http://schemas.openxmlformats.org/officeDocument/2006/relationships/chart" Target="../charts/chart9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3" Type="http://schemas.openxmlformats.org/officeDocument/2006/relationships/chart" Target="../charts/chart4.xml"/><Relationship Id="rId7" Type="http://schemas.openxmlformats.org/officeDocument/2006/relationships/chart" Target="../charts/chart8.xml"/><Relationship Id="rId12" Type="http://schemas.openxmlformats.org/officeDocument/2006/relationships/chart" Target="../charts/chart13.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0" Type="http://schemas.openxmlformats.org/officeDocument/2006/relationships/chart" Target="../charts/chart11.xml"/><Relationship Id="rId4" Type="http://schemas.openxmlformats.org/officeDocument/2006/relationships/chart" Target="../charts/chart5.xml"/><Relationship Id="rId9"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13" Type="http://schemas.openxmlformats.org/officeDocument/2006/relationships/chart" Target="../charts/chart27.xml"/><Relationship Id="rId18" Type="http://schemas.openxmlformats.org/officeDocument/2006/relationships/chart" Target="../charts/chart32.xml"/><Relationship Id="rId26" Type="http://schemas.openxmlformats.org/officeDocument/2006/relationships/chart" Target="../charts/chart40.xml"/><Relationship Id="rId39" Type="http://schemas.openxmlformats.org/officeDocument/2006/relationships/chart" Target="../charts/chart53.xml"/><Relationship Id="rId21" Type="http://schemas.openxmlformats.org/officeDocument/2006/relationships/chart" Target="../charts/chart35.xml"/><Relationship Id="rId34" Type="http://schemas.openxmlformats.org/officeDocument/2006/relationships/chart" Target="../charts/chart48.xml"/><Relationship Id="rId42" Type="http://schemas.openxmlformats.org/officeDocument/2006/relationships/chart" Target="../charts/chart56.xml"/><Relationship Id="rId7" Type="http://schemas.openxmlformats.org/officeDocument/2006/relationships/chart" Target="../charts/chart21.xml"/><Relationship Id="rId2" Type="http://schemas.openxmlformats.org/officeDocument/2006/relationships/chart" Target="../charts/chart16.xml"/><Relationship Id="rId16" Type="http://schemas.openxmlformats.org/officeDocument/2006/relationships/chart" Target="../charts/chart30.xml"/><Relationship Id="rId20" Type="http://schemas.openxmlformats.org/officeDocument/2006/relationships/chart" Target="../charts/chart34.xml"/><Relationship Id="rId29" Type="http://schemas.openxmlformats.org/officeDocument/2006/relationships/chart" Target="../charts/chart43.xml"/><Relationship Id="rId41" Type="http://schemas.openxmlformats.org/officeDocument/2006/relationships/chart" Target="../charts/chart55.xml"/><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chart" Target="../charts/chart25.xml"/><Relationship Id="rId24" Type="http://schemas.openxmlformats.org/officeDocument/2006/relationships/chart" Target="../charts/chart38.xml"/><Relationship Id="rId32" Type="http://schemas.openxmlformats.org/officeDocument/2006/relationships/chart" Target="../charts/chart46.xml"/><Relationship Id="rId37" Type="http://schemas.openxmlformats.org/officeDocument/2006/relationships/chart" Target="../charts/chart51.xml"/><Relationship Id="rId40" Type="http://schemas.openxmlformats.org/officeDocument/2006/relationships/chart" Target="../charts/chart54.xml"/><Relationship Id="rId5" Type="http://schemas.openxmlformats.org/officeDocument/2006/relationships/chart" Target="../charts/chart19.xml"/><Relationship Id="rId15" Type="http://schemas.openxmlformats.org/officeDocument/2006/relationships/chart" Target="../charts/chart29.xml"/><Relationship Id="rId23" Type="http://schemas.openxmlformats.org/officeDocument/2006/relationships/chart" Target="../charts/chart37.xml"/><Relationship Id="rId28" Type="http://schemas.openxmlformats.org/officeDocument/2006/relationships/chart" Target="../charts/chart42.xml"/><Relationship Id="rId36" Type="http://schemas.openxmlformats.org/officeDocument/2006/relationships/chart" Target="../charts/chart50.xml"/><Relationship Id="rId10" Type="http://schemas.openxmlformats.org/officeDocument/2006/relationships/chart" Target="../charts/chart24.xml"/><Relationship Id="rId19" Type="http://schemas.openxmlformats.org/officeDocument/2006/relationships/chart" Target="../charts/chart33.xml"/><Relationship Id="rId31" Type="http://schemas.openxmlformats.org/officeDocument/2006/relationships/chart" Target="../charts/chart45.xml"/><Relationship Id="rId4" Type="http://schemas.openxmlformats.org/officeDocument/2006/relationships/chart" Target="../charts/chart18.xml"/><Relationship Id="rId9" Type="http://schemas.openxmlformats.org/officeDocument/2006/relationships/chart" Target="../charts/chart23.xml"/><Relationship Id="rId14" Type="http://schemas.openxmlformats.org/officeDocument/2006/relationships/chart" Target="../charts/chart28.xml"/><Relationship Id="rId22" Type="http://schemas.openxmlformats.org/officeDocument/2006/relationships/chart" Target="../charts/chart36.xml"/><Relationship Id="rId27" Type="http://schemas.openxmlformats.org/officeDocument/2006/relationships/chart" Target="../charts/chart41.xml"/><Relationship Id="rId30" Type="http://schemas.openxmlformats.org/officeDocument/2006/relationships/chart" Target="../charts/chart44.xml"/><Relationship Id="rId35" Type="http://schemas.openxmlformats.org/officeDocument/2006/relationships/chart" Target="../charts/chart49.xml"/><Relationship Id="rId8" Type="http://schemas.openxmlformats.org/officeDocument/2006/relationships/chart" Target="../charts/chart22.xml"/><Relationship Id="rId3" Type="http://schemas.openxmlformats.org/officeDocument/2006/relationships/chart" Target="../charts/chart17.xml"/><Relationship Id="rId12" Type="http://schemas.openxmlformats.org/officeDocument/2006/relationships/chart" Target="../charts/chart26.xml"/><Relationship Id="rId17" Type="http://schemas.openxmlformats.org/officeDocument/2006/relationships/chart" Target="../charts/chart31.xml"/><Relationship Id="rId25" Type="http://schemas.openxmlformats.org/officeDocument/2006/relationships/chart" Target="../charts/chart39.xml"/><Relationship Id="rId33" Type="http://schemas.openxmlformats.org/officeDocument/2006/relationships/chart" Target="../charts/chart47.xml"/><Relationship Id="rId38" Type="http://schemas.openxmlformats.org/officeDocument/2006/relationships/chart" Target="../charts/chart52.xml"/></Relationships>
</file>

<file path=xl/drawings/_rels/drawing9.xml.rels><?xml version="1.0" encoding="UTF-8" standalone="yes"?>
<Relationships xmlns="http://schemas.openxmlformats.org/package/2006/relationships"><Relationship Id="rId8" Type="http://schemas.openxmlformats.org/officeDocument/2006/relationships/chart" Target="../charts/chart63.xml"/><Relationship Id="rId13" Type="http://schemas.openxmlformats.org/officeDocument/2006/relationships/chart" Target="../charts/chart68.xml"/><Relationship Id="rId18" Type="http://schemas.openxmlformats.org/officeDocument/2006/relationships/chart" Target="../charts/chart73.xml"/><Relationship Id="rId26" Type="http://schemas.openxmlformats.org/officeDocument/2006/relationships/chart" Target="../charts/chart79.xml"/><Relationship Id="rId3" Type="http://schemas.openxmlformats.org/officeDocument/2006/relationships/chart" Target="../charts/chart58.xml"/><Relationship Id="rId21" Type="http://schemas.openxmlformats.org/officeDocument/2006/relationships/chart" Target="../charts/chart75.xml"/><Relationship Id="rId7" Type="http://schemas.openxmlformats.org/officeDocument/2006/relationships/chart" Target="../charts/chart62.xml"/><Relationship Id="rId12" Type="http://schemas.openxmlformats.org/officeDocument/2006/relationships/chart" Target="../charts/chart67.xml"/><Relationship Id="rId17" Type="http://schemas.openxmlformats.org/officeDocument/2006/relationships/chart" Target="../charts/chart72.xml"/><Relationship Id="rId25" Type="http://schemas.openxmlformats.org/officeDocument/2006/relationships/chart" Target="../charts/chart78.xml"/><Relationship Id="rId2" Type="http://schemas.openxmlformats.org/officeDocument/2006/relationships/hyperlink" Target="#Analysis!A329"/><Relationship Id="rId16" Type="http://schemas.openxmlformats.org/officeDocument/2006/relationships/chart" Target="../charts/chart71.xml"/><Relationship Id="rId20" Type="http://schemas.openxmlformats.org/officeDocument/2006/relationships/chart" Target="../charts/chart74.xml"/><Relationship Id="rId1" Type="http://schemas.openxmlformats.org/officeDocument/2006/relationships/chart" Target="../charts/chart57.xml"/><Relationship Id="rId6" Type="http://schemas.openxmlformats.org/officeDocument/2006/relationships/chart" Target="../charts/chart61.xml"/><Relationship Id="rId11" Type="http://schemas.openxmlformats.org/officeDocument/2006/relationships/chart" Target="../charts/chart66.xml"/><Relationship Id="rId24" Type="http://schemas.openxmlformats.org/officeDocument/2006/relationships/chart" Target="../charts/chart77.xml"/><Relationship Id="rId5" Type="http://schemas.openxmlformats.org/officeDocument/2006/relationships/chart" Target="../charts/chart60.xml"/><Relationship Id="rId15" Type="http://schemas.openxmlformats.org/officeDocument/2006/relationships/chart" Target="../charts/chart70.xml"/><Relationship Id="rId23" Type="http://schemas.openxmlformats.org/officeDocument/2006/relationships/chart" Target="../charts/chart76.xml"/><Relationship Id="rId10" Type="http://schemas.openxmlformats.org/officeDocument/2006/relationships/chart" Target="../charts/chart65.xml"/><Relationship Id="rId19" Type="http://schemas.openxmlformats.org/officeDocument/2006/relationships/hyperlink" Target="#'AAP-community Feedback'!A2"/><Relationship Id="rId4" Type="http://schemas.openxmlformats.org/officeDocument/2006/relationships/chart" Target="../charts/chart59.xml"/><Relationship Id="rId9" Type="http://schemas.openxmlformats.org/officeDocument/2006/relationships/chart" Target="../charts/chart64.xml"/><Relationship Id="rId14" Type="http://schemas.openxmlformats.org/officeDocument/2006/relationships/chart" Target="../charts/chart69.xml"/><Relationship Id="rId22" Type="http://schemas.openxmlformats.org/officeDocument/2006/relationships/hyperlink" Target="https://app.powerbi.com/view?r=eyJrIjoiZjA2Nzk2NzMtZmVmZi00OWM3LTgyMzQtMWZhM2M5NzczMWJiIiwidCI6IjhjZTk0MWNlLTQ5OTgtNDFhZS1iMTU1LWJjMjFjY2NiYTA4ZSIsImMiOjEwfQ%3D%3D&amp;pageName=ReportSection" TargetMode="External"/></Relationships>
</file>

<file path=xl/drawings/drawing1.xml><?xml version="1.0" encoding="utf-8"?>
<xdr:wsDr xmlns:xdr="http://schemas.openxmlformats.org/drawingml/2006/spreadsheetDrawing" xmlns:a="http://schemas.openxmlformats.org/drawingml/2006/main">
  <xdr:twoCellAnchor>
    <xdr:from>
      <xdr:col>4</xdr:col>
      <xdr:colOff>346074</xdr:colOff>
      <xdr:row>17</xdr:row>
      <xdr:rowOff>6350</xdr:rowOff>
    </xdr:from>
    <xdr:to>
      <xdr:col>17</xdr:col>
      <xdr:colOff>133350</xdr:colOff>
      <xdr:row>32</xdr:row>
      <xdr:rowOff>158750</xdr:rowOff>
    </xdr:to>
    <xdr:graphicFrame macro="">
      <xdr:nvGraphicFramePr>
        <xdr:cNvPr id="2" name="Chart 1">
          <a:extLst>
            <a:ext uri="{FF2B5EF4-FFF2-40B4-BE49-F238E27FC236}">
              <a16:creationId xmlns:a16="http://schemas.microsoft.com/office/drawing/2014/main" id="{F8B09F26-C788-4A12-A2BF-31E089953A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0.3324</cdr:x>
      <cdr:y>0.32211</cdr:y>
    </cdr:from>
    <cdr:to>
      <cdr:x>0.54308</cdr:x>
      <cdr:y>0.61186</cdr:y>
    </cdr:to>
    <cdr:cxnSp macro="">
      <cdr:nvCxnSpPr>
        <cdr:cNvPr id="2" name="Connector: Elbow 1">
          <a:extLst xmlns:a="http://schemas.openxmlformats.org/drawingml/2006/main">
            <a:ext uri="{FF2B5EF4-FFF2-40B4-BE49-F238E27FC236}">
              <a16:creationId xmlns:a16="http://schemas.microsoft.com/office/drawing/2014/main" id="{00000000-0008-0000-0C00-000026000000}"/>
            </a:ext>
          </a:extLst>
        </cdr:cNvPr>
        <cdr:cNvCxnSpPr/>
      </cdr:nvCxnSpPr>
      <cdr:spPr>
        <a:xfrm xmlns:a="http://schemas.openxmlformats.org/drawingml/2006/main" rot="16200000" flipH="1">
          <a:off x="810883" y="1099588"/>
          <a:ext cx="868152" cy="599197"/>
        </a:xfrm>
        <a:prstGeom xmlns:a="http://schemas.openxmlformats.org/drawingml/2006/main" prst="bentConnector3">
          <a:avLst>
            <a:gd name="adj1" fmla="val 2213"/>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xml><?xml version="1.0" encoding="utf-8"?>
<c:userShapes xmlns:c="http://schemas.openxmlformats.org/drawingml/2006/chart">
  <cdr:relSizeAnchor xmlns:cdr="http://schemas.openxmlformats.org/drawingml/2006/chartDrawing">
    <cdr:from>
      <cdr:x>0.91065</cdr:x>
      <cdr:y>0.46272</cdr:y>
    </cdr:from>
    <cdr:to>
      <cdr:x>1</cdr:x>
      <cdr:y>0.54001</cdr:y>
    </cdr:to>
    <cdr:sp macro="" textlink="">
      <cdr:nvSpPr>
        <cdr:cNvPr id="2" name="TextBox 1">
          <a:extLst xmlns:a="http://schemas.openxmlformats.org/drawingml/2006/main">
            <a:ext uri="{FF2B5EF4-FFF2-40B4-BE49-F238E27FC236}">
              <a16:creationId xmlns:a16="http://schemas.microsoft.com/office/drawing/2014/main" id="{D0401FE3-99FC-4314-9FE7-9029D687D8CD}"/>
            </a:ext>
          </a:extLst>
        </cdr:cNvPr>
        <cdr:cNvSpPr txBox="1"/>
      </cdr:nvSpPr>
      <cdr:spPr>
        <a:xfrm xmlns:a="http://schemas.openxmlformats.org/drawingml/2006/main">
          <a:off x="6656766" y="1574800"/>
          <a:ext cx="653143" cy="2630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1">
              <a:solidFill>
                <a:srgbClr val="0070C0"/>
              </a:solidFill>
            </a:rPr>
            <a:t>+1,626</a:t>
          </a:r>
        </a:p>
      </cdr:txBody>
    </cdr:sp>
  </cdr:relSizeAnchor>
  <cdr:relSizeAnchor xmlns:cdr="http://schemas.openxmlformats.org/drawingml/2006/chartDrawing">
    <cdr:from>
      <cdr:x>0.89712</cdr:x>
      <cdr:y>0.1928</cdr:y>
    </cdr:from>
    <cdr:to>
      <cdr:x>1</cdr:x>
      <cdr:y>0.2701</cdr:y>
    </cdr:to>
    <cdr:sp macro="" textlink="">
      <cdr:nvSpPr>
        <cdr:cNvPr id="3" name="TextBox 1">
          <a:extLst xmlns:a="http://schemas.openxmlformats.org/drawingml/2006/main">
            <a:ext uri="{FF2B5EF4-FFF2-40B4-BE49-F238E27FC236}">
              <a16:creationId xmlns:a16="http://schemas.microsoft.com/office/drawing/2014/main" id="{21D05170-AF9D-42EC-8567-C684F76FE98F}"/>
            </a:ext>
          </a:extLst>
        </cdr:cNvPr>
        <cdr:cNvSpPr txBox="1"/>
      </cdr:nvSpPr>
      <cdr:spPr>
        <a:xfrm xmlns:a="http://schemas.openxmlformats.org/drawingml/2006/main">
          <a:off x="6392218" y="639151"/>
          <a:ext cx="733047" cy="2562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rgbClr val="0070C0"/>
              </a:solidFill>
            </a:rPr>
            <a:t>+</a:t>
          </a:r>
          <a:r>
            <a:rPr lang="en-US" sz="1100" b="1">
              <a:solidFill>
                <a:srgbClr val="0070C0"/>
              </a:solidFill>
              <a:effectLst/>
              <a:latin typeface="+mn-lt"/>
              <a:ea typeface="+mn-ea"/>
              <a:cs typeface="+mn-cs"/>
            </a:rPr>
            <a:t>11,289</a:t>
          </a:r>
          <a:endParaRPr lang="en-US" sz="1200">
            <a:solidFill>
              <a:srgbClr val="0070C0"/>
            </a:solidFill>
            <a:effectLst/>
          </a:endParaRPr>
        </a:p>
        <a:p xmlns:a="http://schemas.openxmlformats.org/drawingml/2006/main">
          <a:endParaRPr lang="en-US" sz="1200" b="1">
            <a:solidFill>
              <a:srgbClr val="0070C0"/>
            </a:solidFill>
          </a:endParaRPr>
        </a:p>
      </cdr:txBody>
    </cdr:sp>
  </cdr:relSizeAnchor>
  <cdr:relSizeAnchor xmlns:cdr="http://schemas.openxmlformats.org/drawingml/2006/chartDrawing">
    <cdr:from>
      <cdr:x>0.90565</cdr:x>
      <cdr:y>0.5857</cdr:y>
    </cdr:from>
    <cdr:to>
      <cdr:x>1</cdr:x>
      <cdr:y>0.66714</cdr:y>
    </cdr:to>
    <cdr:sp macro="" textlink="">
      <cdr:nvSpPr>
        <cdr:cNvPr id="4" name="TextBox 1">
          <a:extLst xmlns:a="http://schemas.openxmlformats.org/drawingml/2006/main">
            <a:ext uri="{FF2B5EF4-FFF2-40B4-BE49-F238E27FC236}">
              <a16:creationId xmlns:a16="http://schemas.microsoft.com/office/drawing/2014/main" id="{C3C5ED8B-6A73-4E11-B4FA-77640E89236B}"/>
            </a:ext>
          </a:extLst>
        </cdr:cNvPr>
        <cdr:cNvSpPr txBox="1"/>
      </cdr:nvSpPr>
      <cdr:spPr>
        <a:xfrm xmlns:a="http://schemas.openxmlformats.org/drawingml/2006/main">
          <a:off x="6453012" y="1941689"/>
          <a:ext cx="672253" cy="270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1">
              <a:solidFill>
                <a:srgbClr val="0070C0"/>
              </a:solidFill>
            </a:rPr>
            <a:t>+7,820</a:t>
          </a:r>
        </a:p>
      </cdr:txBody>
    </cdr:sp>
  </cdr:relSizeAnchor>
</c:userShapes>
</file>

<file path=xl/drawings/drawing12.xml><?xml version="1.0" encoding="utf-8"?>
<xdr:wsDr xmlns:xdr="http://schemas.openxmlformats.org/drawingml/2006/spreadsheetDrawing" xmlns:a="http://schemas.openxmlformats.org/drawingml/2006/main">
  <xdr:twoCellAnchor>
    <xdr:from>
      <xdr:col>9</xdr:col>
      <xdr:colOff>18522</xdr:colOff>
      <xdr:row>13</xdr:row>
      <xdr:rowOff>132291</xdr:rowOff>
    </xdr:from>
    <xdr:to>
      <xdr:col>19</xdr:col>
      <xdr:colOff>431271</xdr:colOff>
      <xdr:row>29</xdr:row>
      <xdr:rowOff>19792</xdr:rowOff>
    </xdr:to>
    <xdr:graphicFrame macro="">
      <xdr:nvGraphicFramePr>
        <xdr:cNvPr id="37" name="Chart 36">
          <a:extLst>
            <a:ext uri="{FF2B5EF4-FFF2-40B4-BE49-F238E27FC236}">
              <a16:creationId xmlns:a16="http://schemas.microsoft.com/office/drawing/2014/main" id="{FCF7F68B-AFB3-495C-8C74-398E2D328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13228</xdr:colOff>
      <xdr:row>44</xdr:row>
      <xdr:rowOff>134937</xdr:rowOff>
    </xdr:from>
    <xdr:to>
      <xdr:col>13</xdr:col>
      <xdr:colOff>195791</xdr:colOff>
      <xdr:row>66</xdr:row>
      <xdr:rowOff>71438</xdr:rowOff>
    </xdr:to>
    <xdr:graphicFrame macro="">
      <xdr:nvGraphicFramePr>
        <xdr:cNvPr id="47" name="Chart 46">
          <a:extLst>
            <a:ext uri="{FF2B5EF4-FFF2-40B4-BE49-F238E27FC236}">
              <a16:creationId xmlns:a16="http://schemas.microsoft.com/office/drawing/2014/main" id="{1F856886-582C-43DC-A46D-40015BDE46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49685</xdr:colOff>
      <xdr:row>88</xdr:row>
      <xdr:rowOff>61301</xdr:rowOff>
    </xdr:from>
    <xdr:to>
      <xdr:col>7</xdr:col>
      <xdr:colOff>909052</xdr:colOff>
      <xdr:row>102</xdr:row>
      <xdr:rowOff>57865</xdr:rowOff>
    </xdr:to>
    <xdr:grpSp>
      <xdr:nvGrpSpPr>
        <xdr:cNvPr id="7" name="Group 6">
          <a:extLst>
            <a:ext uri="{FF2B5EF4-FFF2-40B4-BE49-F238E27FC236}">
              <a16:creationId xmlns:a16="http://schemas.microsoft.com/office/drawing/2014/main" id="{00000000-0008-0000-0D00-000007000000}"/>
            </a:ext>
          </a:extLst>
        </xdr:cNvPr>
        <xdr:cNvGrpSpPr/>
      </xdr:nvGrpSpPr>
      <xdr:grpSpPr>
        <a:xfrm>
          <a:off x="49685" y="19333551"/>
          <a:ext cx="7312555" cy="2774689"/>
          <a:chOff x="9960462" y="4190884"/>
          <a:chExt cx="5675772" cy="1812925"/>
        </a:xfrm>
      </xdr:grpSpPr>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9960462" y="4190884"/>
          <a:ext cx="5675772" cy="181292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9" name="TextBox 8">
            <a:hlinkClick xmlns:r="http://schemas.openxmlformats.org/officeDocument/2006/relationships" r:id="rId4"/>
            <a:extLst>
              <a:ext uri="{FF2B5EF4-FFF2-40B4-BE49-F238E27FC236}">
                <a16:creationId xmlns:a16="http://schemas.microsoft.com/office/drawing/2014/main" id="{00000000-0008-0000-0D00-000009000000}"/>
              </a:ext>
            </a:extLst>
          </xdr:cNvPr>
          <xdr:cNvSpPr txBox="1"/>
        </xdr:nvSpPr>
        <xdr:spPr>
          <a:xfrm>
            <a:off x="14706184" y="4239478"/>
            <a:ext cx="790019" cy="356008"/>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More</a:t>
            </a:r>
            <a:r>
              <a:rPr lang="en-US" sz="1100" b="1" baseline="0">
                <a:solidFill>
                  <a:schemeClr val="bg1"/>
                </a:solidFill>
              </a:rPr>
              <a:t> info on gaps </a:t>
            </a:r>
            <a:r>
              <a:rPr lang="en-US" sz="800" b="1" baseline="0">
                <a:solidFill>
                  <a:schemeClr val="bg1"/>
                </a:solidFill>
              </a:rPr>
              <a:t>(click here)</a:t>
            </a:r>
            <a:endParaRPr lang="en-US" sz="800" b="1">
              <a:solidFill>
                <a:schemeClr val="bg1"/>
              </a:solidFill>
            </a:endParaRPr>
          </a:p>
        </xdr:txBody>
      </xdr:sp>
    </xdr:grpSp>
    <xdr:clientData/>
  </xdr:twoCellAnchor>
  <xdr:twoCellAnchor>
    <xdr:from>
      <xdr:col>9</xdr:col>
      <xdr:colOff>35927</xdr:colOff>
      <xdr:row>29</xdr:row>
      <xdr:rowOff>122878</xdr:rowOff>
    </xdr:from>
    <xdr:to>
      <xdr:col>19</xdr:col>
      <xdr:colOff>489744</xdr:colOff>
      <xdr:row>31</xdr:row>
      <xdr:rowOff>118260</xdr:rowOff>
    </xdr:to>
    <xdr:sp macro="" textlink="">
      <xdr:nvSpPr>
        <xdr:cNvPr id="19" name="Rectangle 18">
          <a:extLst>
            <a:ext uri="{FF2B5EF4-FFF2-40B4-BE49-F238E27FC236}">
              <a16:creationId xmlns:a16="http://schemas.microsoft.com/office/drawing/2014/main" id="{00000000-0008-0000-0D00-000013000000}"/>
            </a:ext>
          </a:extLst>
        </xdr:cNvPr>
        <xdr:cNvSpPr/>
      </xdr:nvSpPr>
      <xdr:spPr>
        <a:xfrm>
          <a:off x="7532226" y="5912099"/>
          <a:ext cx="9335570" cy="45720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&amp; Water Quality in protracted camps</a:t>
          </a:r>
        </a:p>
      </xdr:txBody>
    </xdr:sp>
    <xdr:clientData/>
  </xdr:twoCellAnchor>
  <xdr:twoCellAnchor>
    <xdr:from>
      <xdr:col>8</xdr:col>
      <xdr:colOff>73621</xdr:colOff>
      <xdr:row>42</xdr:row>
      <xdr:rowOff>22539</xdr:rowOff>
    </xdr:from>
    <xdr:to>
      <xdr:col>19</xdr:col>
      <xdr:colOff>445187</xdr:colOff>
      <xdr:row>44</xdr:row>
      <xdr:rowOff>31750</xdr:rowOff>
    </xdr:to>
    <xdr:sp macro="" textlink="">
      <xdr:nvSpPr>
        <xdr:cNvPr id="20" name="TextBox 19">
          <a:extLst>
            <a:ext uri="{FF2B5EF4-FFF2-40B4-BE49-F238E27FC236}">
              <a16:creationId xmlns:a16="http://schemas.microsoft.com/office/drawing/2014/main" id="{00000000-0008-0000-0D00-000014000000}"/>
            </a:ext>
          </a:extLst>
        </xdr:cNvPr>
        <xdr:cNvSpPr txBox="1"/>
      </xdr:nvSpPr>
      <xdr:spPr>
        <a:xfrm>
          <a:off x="7481954" y="9261789"/>
          <a:ext cx="9325066" cy="496044"/>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 Facilities 			                                               Sanitation services</a:t>
          </a:r>
          <a:endParaRPr lang="en-US" sz="1400">
            <a:solidFill>
              <a:schemeClr val="bg1"/>
            </a:solidFill>
            <a:effectLst/>
          </a:endParaRPr>
        </a:p>
      </xdr:txBody>
    </xdr:sp>
    <xdr:clientData/>
  </xdr:twoCellAnchor>
  <xdr:twoCellAnchor>
    <xdr:from>
      <xdr:col>8</xdr:col>
      <xdr:colOff>66520</xdr:colOff>
      <xdr:row>67</xdr:row>
      <xdr:rowOff>190271</xdr:rowOff>
    </xdr:from>
    <xdr:to>
      <xdr:col>19</xdr:col>
      <xdr:colOff>450273</xdr:colOff>
      <xdr:row>69</xdr:row>
      <xdr:rowOff>136916</xdr:rowOff>
    </xdr:to>
    <xdr:sp macro="" textlink="">
      <xdr:nvSpPr>
        <xdr:cNvPr id="21" name="TextBox 45">
          <a:extLst>
            <a:ext uri="{FF2B5EF4-FFF2-40B4-BE49-F238E27FC236}">
              <a16:creationId xmlns:a16="http://schemas.microsoft.com/office/drawing/2014/main" id="{00000000-0008-0000-0D00-000015000000}"/>
            </a:ext>
          </a:extLst>
        </xdr:cNvPr>
        <xdr:cNvSpPr txBox="1"/>
      </xdr:nvSpPr>
      <xdr:spPr>
        <a:xfrm>
          <a:off x="7474853" y="15335021"/>
          <a:ext cx="9337253" cy="465228"/>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Items 			                                      </a:t>
          </a:r>
          <a:endParaRPr lang="en-US" sz="1400">
            <a:solidFill>
              <a:schemeClr val="bg1"/>
            </a:solidFill>
            <a:effectLst/>
          </a:endParaRPr>
        </a:p>
      </xdr:txBody>
    </xdr:sp>
    <xdr:clientData/>
  </xdr:twoCellAnchor>
  <xdr:twoCellAnchor>
    <xdr:from>
      <xdr:col>9</xdr:col>
      <xdr:colOff>3175</xdr:colOff>
      <xdr:row>88</xdr:row>
      <xdr:rowOff>54905</xdr:rowOff>
    </xdr:from>
    <xdr:to>
      <xdr:col>19</xdr:col>
      <xdr:colOff>419100</xdr:colOff>
      <xdr:row>102</xdr:row>
      <xdr:rowOff>39104</xdr:rowOff>
    </xdr:to>
    <xdr:graphicFrame macro="">
      <xdr:nvGraphicFramePr>
        <xdr:cNvPr id="22" name="Chart 21">
          <a:extLst>
            <a:ext uri="{FF2B5EF4-FFF2-40B4-BE49-F238E27FC236}">
              <a16:creationId xmlns:a16="http://schemas.microsoft.com/office/drawing/2014/main" i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35240</xdr:colOff>
      <xdr:row>31</xdr:row>
      <xdr:rowOff>157903</xdr:rowOff>
    </xdr:from>
    <xdr:to>
      <xdr:col>19</xdr:col>
      <xdr:colOff>475562</xdr:colOff>
      <xdr:row>41</xdr:row>
      <xdr:rowOff>201084</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7528240" y="6436466"/>
          <a:ext cx="9314447" cy="2694306"/>
          <a:chOff x="7589349" y="7568295"/>
          <a:chExt cx="9372348" cy="2835122"/>
        </a:xfrm>
      </xdr:grpSpPr>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7589349" y="7572058"/>
          <a:ext cx="2761152" cy="2822235"/>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38" name="Chart 37">
            <a:extLst>
              <a:ext uri="{FF2B5EF4-FFF2-40B4-BE49-F238E27FC236}">
                <a16:creationId xmlns:a16="http://schemas.microsoft.com/office/drawing/2014/main" id="{00000000-0008-0000-0D00-000026000000}"/>
              </a:ext>
            </a:extLst>
          </xdr:cNvPr>
          <xdr:cNvGraphicFramePr>
            <a:graphicFrameLocks/>
          </xdr:cNvGraphicFramePr>
        </xdr:nvGraphicFramePr>
        <xdr:xfrm>
          <a:off x="10389021" y="7568295"/>
          <a:ext cx="3177059" cy="2815167"/>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39" name="Chart 38">
            <a:extLst>
              <a:ext uri="{FF2B5EF4-FFF2-40B4-BE49-F238E27FC236}">
                <a16:creationId xmlns:a16="http://schemas.microsoft.com/office/drawing/2014/main" id="{00000000-0008-0000-0D00-000027000000}"/>
              </a:ext>
            </a:extLst>
          </xdr:cNvPr>
          <xdr:cNvGraphicFramePr>
            <a:graphicFrameLocks/>
          </xdr:cNvGraphicFramePr>
        </xdr:nvGraphicFramePr>
        <xdr:xfrm>
          <a:off x="11895667" y="8796938"/>
          <a:ext cx="1601897" cy="1548834"/>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40" name="Chart 39">
            <a:extLst>
              <a:ext uri="{FF2B5EF4-FFF2-40B4-BE49-F238E27FC236}">
                <a16:creationId xmlns:a16="http://schemas.microsoft.com/office/drawing/2014/main" id="{00000000-0008-0000-0D00-000028000000}"/>
              </a:ext>
            </a:extLst>
          </xdr:cNvPr>
          <xdr:cNvGraphicFramePr>
            <a:graphicFrameLocks/>
          </xdr:cNvGraphicFramePr>
        </xdr:nvGraphicFramePr>
        <xdr:xfrm>
          <a:off x="13578417" y="7574312"/>
          <a:ext cx="3383280" cy="2829105"/>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41" name="Chart 40">
            <a:extLst>
              <a:ext uri="{FF2B5EF4-FFF2-40B4-BE49-F238E27FC236}">
                <a16:creationId xmlns:a16="http://schemas.microsoft.com/office/drawing/2014/main" id="{00000000-0008-0000-0D00-000029000000}"/>
              </a:ext>
            </a:extLst>
          </xdr:cNvPr>
          <xdr:cNvGraphicFramePr>
            <a:graphicFrameLocks/>
          </xdr:cNvGraphicFramePr>
        </xdr:nvGraphicFramePr>
        <xdr:xfrm>
          <a:off x="15165917" y="8466627"/>
          <a:ext cx="1778000" cy="1869167"/>
        </xdr:xfrm>
        <a:graphic>
          <a:graphicData uri="http://schemas.openxmlformats.org/drawingml/2006/chart">
            <c:chart xmlns:c="http://schemas.openxmlformats.org/drawingml/2006/chart" xmlns:r="http://schemas.openxmlformats.org/officeDocument/2006/relationships" r:id="rId10"/>
          </a:graphicData>
        </a:graphic>
      </xdr:graphicFrame>
      <xdr:cxnSp macro="">
        <xdr:nvCxnSpPr>
          <xdr:cNvPr id="42" name="Connector: Elbow 41">
            <a:extLst>
              <a:ext uri="{FF2B5EF4-FFF2-40B4-BE49-F238E27FC236}">
                <a16:creationId xmlns:a16="http://schemas.microsoft.com/office/drawing/2014/main" id="{00000000-0008-0000-0D00-00002A000000}"/>
              </a:ext>
            </a:extLst>
          </xdr:cNvPr>
          <xdr:cNvCxnSpPr/>
        </xdr:nvCxnSpPr>
        <xdr:spPr>
          <a:xfrm>
            <a:off x="11451166" y="8434916"/>
            <a:ext cx="1443036" cy="352424"/>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6" name="Connector: Elbow 45">
            <a:extLst>
              <a:ext uri="{FF2B5EF4-FFF2-40B4-BE49-F238E27FC236}">
                <a16:creationId xmlns:a16="http://schemas.microsoft.com/office/drawing/2014/main" id="{00000000-0008-0000-0D00-00002E000000}"/>
              </a:ext>
            </a:extLst>
          </xdr:cNvPr>
          <xdr:cNvCxnSpPr/>
        </xdr:nvCxnSpPr>
        <xdr:spPr>
          <a:xfrm>
            <a:off x="14509749" y="8318500"/>
            <a:ext cx="1443036" cy="352424"/>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1155</xdr:colOff>
      <xdr:row>1</xdr:row>
      <xdr:rowOff>42334</xdr:rowOff>
    </xdr:from>
    <xdr:to>
      <xdr:col>19</xdr:col>
      <xdr:colOff>452197</xdr:colOff>
      <xdr:row>3</xdr:row>
      <xdr:rowOff>90594</xdr:rowOff>
    </xdr:to>
    <xdr:sp macro="" textlink="">
      <xdr:nvSpPr>
        <xdr:cNvPr id="51" name="Rectangle 50">
          <a:extLst>
            <a:ext uri="{FF2B5EF4-FFF2-40B4-BE49-F238E27FC236}">
              <a16:creationId xmlns:a16="http://schemas.microsoft.com/office/drawing/2014/main" id="{00000000-0008-0000-0D00-000033000000}"/>
            </a:ext>
          </a:extLst>
        </xdr:cNvPr>
        <xdr:cNvSpPr/>
      </xdr:nvSpPr>
      <xdr:spPr>
        <a:xfrm>
          <a:off x="6899564" y="494531"/>
          <a:ext cx="9341042" cy="375381"/>
        </a:xfrm>
        <a:prstGeom prst="rect">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Accountability to Affected</a:t>
          </a:r>
          <a:r>
            <a:rPr lang="en-US" sz="1400" b="1" baseline="0"/>
            <a:t> Population</a:t>
          </a:r>
          <a:endParaRPr lang="en-US" sz="1400" b="1"/>
        </a:p>
      </xdr:txBody>
    </xdr:sp>
    <xdr:clientData/>
  </xdr:twoCellAnchor>
  <xdr:twoCellAnchor>
    <xdr:from>
      <xdr:col>21</xdr:col>
      <xdr:colOff>118534</xdr:colOff>
      <xdr:row>9</xdr:row>
      <xdr:rowOff>158751</xdr:rowOff>
    </xdr:from>
    <xdr:to>
      <xdr:col>23</xdr:col>
      <xdr:colOff>443915</xdr:colOff>
      <xdr:row>13</xdr:row>
      <xdr:rowOff>125294</xdr:rowOff>
    </xdr:to>
    <xdr:sp macro="" textlink="">
      <xdr:nvSpPr>
        <xdr:cNvPr id="52" name="TextBox 51">
          <a:hlinkClick xmlns:r="http://schemas.openxmlformats.org/officeDocument/2006/relationships" r:id="rId11"/>
          <a:extLst>
            <a:ext uri="{FF2B5EF4-FFF2-40B4-BE49-F238E27FC236}">
              <a16:creationId xmlns:a16="http://schemas.microsoft.com/office/drawing/2014/main" id="{00000000-0008-0000-0D00-000034000000}"/>
            </a:ext>
          </a:extLst>
        </xdr:cNvPr>
        <xdr:cNvSpPr txBox="1"/>
      </xdr:nvSpPr>
      <xdr:spPr>
        <a:xfrm>
          <a:off x="17485784" y="2021418"/>
          <a:ext cx="1553048" cy="728543"/>
        </a:xfrm>
        <a:prstGeom prst="rect">
          <a:avLst/>
        </a:prstGeom>
        <a:solidFill>
          <a:schemeClr val="accent4">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rPr>
            <a:t>Specific WASH community feedback</a:t>
          </a:r>
        </a:p>
        <a:p>
          <a:r>
            <a:rPr lang="en-US" sz="1000" b="1" baseline="0">
              <a:solidFill>
                <a:schemeClr val="bg1"/>
              </a:solidFill>
            </a:rPr>
            <a:t>(click here)</a:t>
          </a:r>
          <a:endParaRPr lang="en-US" sz="1000" b="1">
            <a:solidFill>
              <a:schemeClr val="bg1"/>
            </a:solidFill>
          </a:endParaRPr>
        </a:p>
      </xdr:txBody>
    </xdr:sp>
    <xdr:clientData/>
  </xdr:twoCellAnchor>
  <xdr:twoCellAnchor>
    <xdr:from>
      <xdr:col>15</xdr:col>
      <xdr:colOff>381954</xdr:colOff>
      <xdr:row>54</xdr:row>
      <xdr:rowOff>124350</xdr:rowOff>
    </xdr:from>
    <xdr:to>
      <xdr:col>19</xdr:col>
      <xdr:colOff>407458</xdr:colOff>
      <xdr:row>66</xdr:row>
      <xdr:rowOff>82019</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402318</xdr:colOff>
      <xdr:row>44</xdr:row>
      <xdr:rowOff>145393</xdr:rowOff>
    </xdr:from>
    <xdr:to>
      <xdr:col>19</xdr:col>
      <xdr:colOff>410586</xdr:colOff>
      <xdr:row>54</xdr:row>
      <xdr:rowOff>92603</xdr:rowOff>
    </xdr:to>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259062</xdr:colOff>
      <xdr:row>54</xdr:row>
      <xdr:rowOff>117188</xdr:rowOff>
    </xdr:from>
    <xdr:to>
      <xdr:col>15</xdr:col>
      <xdr:colOff>303512</xdr:colOff>
      <xdr:row>66</xdr:row>
      <xdr:rowOff>92605</xdr:rowOff>
    </xdr:to>
    <xdr:graphicFrame macro="">
      <xdr:nvGraphicFramePr>
        <xdr:cNvPr id="13" name="Chart 12">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518583</xdr:colOff>
      <xdr:row>47</xdr:row>
      <xdr:rowOff>26459</xdr:rowOff>
    </xdr:from>
    <xdr:to>
      <xdr:col>13</xdr:col>
      <xdr:colOff>82021</xdr:colOff>
      <xdr:row>53</xdr:row>
      <xdr:rowOff>119063</xdr:rowOff>
    </xdr:to>
    <xdr:graphicFrame macro="">
      <xdr:nvGraphicFramePr>
        <xdr:cNvPr id="18" name="Chart 17">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10584</xdr:colOff>
      <xdr:row>70</xdr:row>
      <xdr:rowOff>52917</xdr:rowOff>
    </xdr:from>
    <xdr:to>
      <xdr:col>14</xdr:col>
      <xdr:colOff>1641379</xdr:colOff>
      <xdr:row>87</xdr:row>
      <xdr:rowOff>135467</xdr:rowOff>
    </xdr:to>
    <xdr:graphicFrame macro="">
      <xdr:nvGraphicFramePr>
        <xdr:cNvPr id="36" name="Chart 35">
          <a:extLst>
            <a:ext uri="{FF2B5EF4-FFF2-40B4-BE49-F238E27FC236}">
              <a16:creationId xmlns:a16="http://schemas.microsoft.com/office/drawing/2014/main" id="{00000000-0008-0000-0D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258331</xdr:colOff>
      <xdr:row>44</xdr:row>
      <xdr:rowOff>148937</xdr:rowOff>
    </xdr:from>
    <xdr:to>
      <xdr:col>15</xdr:col>
      <xdr:colOff>302781</xdr:colOff>
      <xdr:row>54</xdr:row>
      <xdr:rowOff>92740</xdr:rowOff>
    </xdr:to>
    <xdr:graphicFrame macro="">
      <xdr:nvGraphicFramePr>
        <xdr:cNvPr id="44" name="Chart 43">
          <a:extLst>
            <a:ext uri="{FF2B5EF4-FFF2-40B4-BE49-F238E27FC236}">
              <a16:creationId xmlns:a16="http://schemas.microsoft.com/office/drawing/2014/main" id="{00000000-0008-0000-0D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1684675</xdr:colOff>
      <xdr:row>70</xdr:row>
      <xdr:rowOff>52491</xdr:rowOff>
    </xdr:from>
    <xdr:to>
      <xdr:col>19</xdr:col>
      <xdr:colOff>450754</xdr:colOff>
      <xdr:row>87</xdr:row>
      <xdr:rowOff>143837</xdr:rowOff>
    </xdr:to>
    <xdr:graphicFrame macro="">
      <xdr:nvGraphicFramePr>
        <xdr:cNvPr id="45" name="Chart 44">
          <a:extLst>
            <a:ext uri="{FF2B5EF4-FFF2-40B4-BE49-F238E27FC236}">
              <a16:creationId xmlns:a16="http://schemas.microsoft.com/office/drawing/2014/main" id="{7452DE85-DE79-44C4-8D24-8977FEA72A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74565</xdr:colOff>
      <xdr:row>1</xdr:row>
      <xdr:rowOff>81782</xdr:rowOff>
    </xdr:from>
    <xdr:to>
      <xdr:col>7</xdr:col>
      <xdr:colOff>793750</xdr:colOff>
      <xdr:row>27</xdr:row>
      <xdr:rowOff>127000</xdr:rowOff>
    </xdr:to>
    <xdr:graphicFrame macro="">
      <xdr:nvGraphicFramePr>
        <xdr:cNvPr id="35" name="Chart 34">
          <a:extLst>
            <a:ext uri="{FF2B5EF4-FFF2-40B4-BE49-F238E27FC236}">
              <a16:creationId xmlns:a16="http://schemas.microsoft.com/office/drawing/2014/main" id="{0D55BB11-08CA-48C1-AF87-424DD838C0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5706</xdr:colOff>
      <xdr:row>3</xdr:row>
      <xdr:rowOff>147171</xdr:rowOff>
    </xdr:from>
    <xdr:to>
      <xdr:col>17</xdr:col>
      <xdr:colOff>719936</xdr:colOff>
      <xdr:row>12</xdr:row>
      <xdr:rowOff>94765</xdr:rowOff>
    </xdr:to>
    <xdr:sp macro="" textlink="">
      <xdr:nvSpPr>
        <xdr:cNvPr id="48" name="TextBox 47">
          <a:hlinkClick xmlns:r="http://schemas.openxmlformats.org/officeDocument/2006/relationships" r:id="rId20"/>
          <a:extLst>
            <a:ext uri="{FF2B5EF4-FFF2-40B4-BE49-F238E27FC236}">
              <a16:creationId xmlns:a16="http://schemas.microsoft.com/office/drawing/2014/main" id="{F03A6A31-AEB9-4679-B945-6A6311301344}"/>
            </a:ext>
          </a:extLst>
        </xdr:cNvPr>
        <xdr:cNvSpPr txBox="1"/>
      </xdr:nvSpPr>
      <xdr:spPr>
        <a:xfrm>
          <a:off x="8870966" y="955353"/>
          <a:ext cx="6882801" cy="1704152"/>
        </a:xfrm>
        <a:prstGeom prst="rect">
          <a:avLst/>
        </a:prstGeom>
        <a:solidFill>
          <a:schemeClr val="accent4">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baseline="0">
              <a:solidFill>
                <a:schemeClr val="bg1"/>
              </a:solidFill>
              <a:latin typeface="+mn-lt"/>
              <a:ea typeface="+mn-ea"/>
              <a:cs typeface="+mn-cs"/>
            </a:rPr>
            <a:t>No WASH cluster team field visits in Q1 . For more information on WASH Cluster team </a:t>
          </a:r>
          <a:r>
            <a:rPr lang="en-US" sz="2000" b="1" baseline="0">
              <a:solidFill>
                <a:schemeClr val="bg1"/>
              </a:solidFill>
            </a:rPr>
            <a:t>field visists, Click </a:t>
          </a:r>
          <a:r>
            <a:rPr lang="en-US" sz="2000" b="1" u="sng" baseline="0">
              <a:solidFill>
                <a:schemeClr val="bg1"/>
              </a:solidFill>
            </a:rPr>
            <a:t>here</a:t>
          </a:r>
          <a:endParaRPr lang="en-US" sz="2000" b="1" u="sng">
            <a:solidFill>
              <a:schemeClr val="bg1"/>
            </a:solidFill>
          </a:endParaRPr>
        </a:p>
      </xdr:txBody>
    </xdr:sp>
    <xdr:clientData/>
  </xdr:twoCellAnchor>
  <xdr:twoCellAnchor>
    <xdr:from>
      <xdr:col>2</xdr:col>
      <xdr:colOff>1113312</xdr:colOff>
      <xdr:row>38</xdr:row>
      <xdr:rowOff>57729</xdr:rowOff>
    </xdr:from>
    <xdr:to>
      <xdr:col>7</xdr:col>
      <xdr:colOff>948377</xdr:colOff>
      <xdr:row>38</xdr:row>
      <xdr:rowOff>412339</xdr:rowOff>
    </xdr:to>
    <xdr:sp macro="" textlink="">
      <xdr:nvSpPr>
        <xdr:cNvPr id="34" name="TextBox 45">
          <a:extLst>
            <a:ext uri="{FF2B5EF4-FFF2-40B4-BE49-F238E27FC236}">
              <a16:creationId xmlns:a16="http://schemas.microsoft.com/office/drawing/2014/main" id="{0F52CF8B-D0A4-44AC-B8E6-3DB1C4E1E714}"/>
            </a:ext>
          </a:extLst>
        </xdr:cNvPr>
        <xdr:cNvSpPr txBox="1"/>
      </xdr:nvSpPr>
      <xdr:spPr>
        <a:xfrm>
          <a:off x="2680195" y="7784937"/>
          <a:ext cx="4717143" cy="354610"/>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US" sz="1200" b="1" i="0" baseline="0">
              <a:solidFill>
                <a:schemeClr val="bg1"/>
              </a:solidFill>
              <a:effectLst/>
              <a:latin typeface="+mn-lt"/>
              <a:ea typeface="+mn-ea"/>
              <a:cs typeface="+mn-cs"/>
            </a:rPr>
            <a:t>GAP Analysis based on community own and WASH actors management			                                      </a:t>
          </a:r>
          <a:endParaRPr lang="en-US" sz="1200">
            <a:solidFill>
              <a:schemeClr val="bg1"/>
            </a:solidFill>
            <a:effectLst/>
          </a:endParaRPr>
        </a:p>
      </xdr:txBody>
    </xdr:sp>
    <xdr:clientData/>
  </xdr:twoCellAnchor>
  <xdr:twoCellAnchor>
    <xdr:from>
      <xdr:col>0</xdr:col>
      <xdr:colOff>78885</xdr:colOff>
      <xdr:row>70</xdr:row>
      <xdr:rowOff>28366</xdr:rowOff>
    </xdr:from>
    <xdr:to>
      <xdr:col>7</xdr:col>
      <xdr:colOff>937922</xdr:colOff>
      <xdr:row>73</xdr:row>
      <xdr:rowOff>10583</xdr:rowOff>
    </xdr:to>
    <xdr:sp macro="" textlink="">
      <xdr:nvSpPr>
        <xdr:cNvPr id="43" name="Rectangle 42">
          <a:extLst>
            <a:ext uri="{FF2B5EF4-FFF2-40B4-BE49-F238E27FC236}">
              <a16:creationId xmlns:a16="http://schemas.microsoft.com/office/drawing/2014/main" id="{84622D88-6A7A-4664-A96B-7282620B003E}"/>
            </a:ext>
          </a:extLst>
        </xdr:cNvPr>
        <xdr:cNvSpPr/>
      </xdr:nvSpPr>
      <xdr:spPr>
        <a:xfrm>
          <a:off x="78885" y="15892783"/>
          <a:ext cx="7314870" cy="585467"/>
        </a:xfrm>
        <a:prstGeom prst="rect">
          <a:avLst/>
        </a:prstGeom>
        <a:solidFill>
          <a:sysClr val="window" lastClr="FFFFFF"/>
        </a:solidFill>
        <a:ln w="12700" cap="flat" cmpd="sng" algn="ctr">
          <a:solidFill>
            <a:srgbClr val="5B9BD5"/>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ysClr val="window" lastClr="FFFFFF">
                  <a:lumMod val="50000"/>
                </a:sysClr>
              </a:solidFill>
              <a:effectLst/>
              <a:uLnTx/>
              <a:uFillTx/>
              <a:latin typeface="Calibri" panose="020F0502020204030204"/>
              <a:ea typeface="+mn-ea"/>
              <a:cs typeface="+mn-cs"/>
            </a:rPr>
            <a:t>DONORS: </a:t>
          </a:r>
          <a:r>
            <a:rPr kumimoji="0" lang="en-US" sz="1400" b="0" i="0" u="none" strike="noStrike" kern="0" cap="none" spc="0" normalizeH="0" baseline="0" noProof="0">
              <a:ln>
                <a:noFill/>
              </a:ln>
              <a:solidFill>
                <a:sysClr val="window" lastClr="FFFFFF">
                  <a:lumMod val="50000"/>
                </a:sysClr>
              </a:solidFill>
              <a:effectLst/>
              <a:uLnTx/>
              <a:uFillTx/>
              <a:latin typeface="Calibri" panose="020F0502020204030204"/>
              <a:ea typeface="+mn-ea"/>
              <a:cs typeface="+mn-cs"/>
            </a:rPr>
            <a:t>: MHF, SIDA, UNICEF, WHH, UNOPS</a:t>
          </a:r>
        </a:p>
      </xdr:txBody>
    </xdr:sp>
    <xdr:clientData/>
  </xdr:twoCellAnchor>
  <xdr:twoCellAnchor>
    <xdr:from>
      <xdr:col>1</xdr:col>
      <xdr:colOff>3572</xdr:colOff>
      <xdr:row>51</xdr:row>
      <xdr:rowOff>95249</xdr:rowOff>
    </xdr:from>
    <xdr:to>
      <xdr:col>7</xdr:col>
      <xdr:colOff>947276</xdr:colOff>
      <xdr:row>61</xdr:row>
      <xdr:rowOff>198119</xdr:rowOff>
    </xdr:to>
    <xdr:graphicFrame macro="">
      <xdr:nvGraphicFramePr>
        <xdr:cNvPr id="49" name="Chart 48">
          <a:extLst>
            <a:ext uri="{FF2B5EF4-FFF2-40B4-BE49-F238E27FC236}">
              <a16:creationId xmlns:a16="http://schemas.microsoft.com/office/drawing/2014/main" id="{F4DF6F9A-C695-4FB1-8089-2FDD84DC00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6409</xdr:colOff>
      <xdr:row>61</xdr:row>
      <xdr:rowOff>236223</xdr:rowOff>
    </xdr:from>
    <xdr:to>
      <xdr:col>7</xdr:col>
      <xdr:colOff>950113</xdr:colOff>
      <xdr:row>69</xdr:row>
      <xdr:rowOff>190927</xdr:rowOff>
    </xdr:to>
    <xdr:graphicFrame macro="">
      <xdr:nvGraphicFramePr>
        <xdr:cNvPr id="50" name="Chart 49">
          <a:extLst>
            <a:ext uri="{FF2B5EF4-FFF2-40B4-BE49-F238E27FC236}">
              <a16:creationId xmlns:a16="http://schemas.microsoft.com/office/drawing/2014/main" id="{E05EA5F1-2A8A-4E80-B4DD-308F6275C8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63500</xdr:colOff>
      <xdr:row>73</xdr:row>
      <xdr:rowOff>63500</xdr:rowOff>
    </xdr:from>
    <xdr:to>
      <xdr:col>7</xdr:col>
      <xdr:colOff>930783</xdr:colOff>
      <xdr:row>88</xdr:row>
      <xdr:rowOff>10584</xdr:rowOff>
    </xdr:to>
    <xdr:graphicFrame macro="">
      <xdr:nvGraphicFramePr>
        <xdr:cNvPr id="57" name="Chart 56">
          <a:extLst>
            <a:ext uri="{FF2B5EF4-FFF2-40B4-BE49-F238E27FC236}">
              <a16:creationId xmlns:a16="http://schemas.microsoft.com/office/drawing/2014/main" id="{3526F25B-67B7-4C32-9794-1031662568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xdr:col>
      <xdr:colOff>500062</xdr:colOff>
      <xdr:row>0</xdr:row>
      <xdr:rowOff>64819</xdr:rowOff>
    </xdr:from>
    <xdr:to>
      <xdr:col>24</xdr:col>
      <xdr:colOff>107156</xdr:colOff>
      <xdr:row>92</xdr:row>
      <xdr:rowOff>119062</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38100</xdr:rowOff>
    </xdr:from>
    <xdr:to>
      <xdr:col>0</xdr:col>
      <xdr:colOff>1828800</xdr:colOff>
      <xdr:row>9</xdr:row>
      <xdr:rowOff>34078</xdr:rowOff>
    </xdr:to>
    <mc:AlternateContent xmlns:mc="http://schemas.openxmlformats.org/markup-compatibility/2006" xmlns:a14="http://schemas.microsoft.com/office/drawing/2010/main">
      <mc:Choice Requires="a14">
        <xdr:graphicFrame macro="">
          <xdr:nvGraphicFramePr>
            <xdr:cNvPr id="4" name="State 1">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microsoft.com/office/drawing/2010/slicer">
              <sle:slicer xmlns:sle="http://schemas.microsoft.com/office/drawing/2010/slicer" name="State 1"/>
            </a:graphicData>
          </a:graphic>
        </xdr:graphicFrame>
      </mc:Choice>
      <mc:Fallback xmlns="">
        <xdr:sp macro="" textlink="">
          <xdr:nvSpPr>
            <xdr:cNvPr id="0" name=""/>
            <xdr:cNvSpPr>
              <a:spLocks noTextEdit="1"/>
            </xdr:cNvSpPr>
          </xdr:nvSpPr>
          <xdr:spPr>
            <a:xfrm>
              <a:off x="0" y="38100"/>
              <a:ext cx="1828800" cy="146473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1257300</xdr:colOff>
      <xdr:row>0</xdr:row>
      <xdr:rowOff>9525</xdr:rowOff>
    </xdr:from>
    <xdr:to>
      <xdr:col>8</xdr:col>
      <xdr:colOff>308934</xdr:colOff>
      <xdr:row>25</xdr:row>
      <xdr:rowOff>149013</xdr:rowOff>
    </xdr:to>
    <mc:AlternateContent xmlns:mc="http://schemas.openxmlformats.org/markup-compatibility/2006" xmlns:a14="http://schemas.microsoft.com/office/drawing/2010/main">
      <mc:Choice Requires="a14">
        <xdr:graphicFrame macro="">
          <xdr:nvGraphicFramePr>
            <xdr:cNvPr id="5" name="Township">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microsoft.com/office/drawing/2010/slicer">
              <sle:slicer xmlns:sle="http://schemas.microsoft.com/office/drawing/2010/slicer" name="Township"/>
            </a:graphicData>
          </a:graphic>
        </xdr:graphicFrame>
      </mc:Choice>
      <mc:Fallback xmlns="">
        <xdr:sp macro="" textlink="">
          <xdr:nvSpPr>
            <xdr:cNvPr id="0" name=""/>
            <xdr:cNvSpPr>
              <a:spLocks noTextEdit="1"/>
            </xdr:cNvSpPr>
          </xdr:nvSpPr>
          <xdr:spPr>
            <a:xfrm>
              <a:off x="4897967" y="9525"/>
              <a:ext cx="1822450" cy="51551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18</xdr:col>
      <xdr:colOff>207434</xdr:colOff>
      <xdr:row>0</xdr:row>
      <xdr:rowOff>138379</xdr:rowOff>
    </xdr:from>
    <xdr:to>
      <xdr:col>20</xdr:col>
      <xdr:colOff>679131</xdr:colOff>
      <xdr:row>9</xdr:row>
      <xdr:rowOff>47624</xdr:rowOff>
    </xdr:to>
    <mc:AlternateContent xmlns:mc="http://schemas.openxmlformats.org/markup-compatibility/2006" xmlns:a14="http://schemas.microsoft.com/office/drawing/2010/main">
      <mc:Choice Requires="a14">
        <xdr:graphicFrame macro="">
          <xdr:nvGraphicFramePr>
            <xdr:cNvPr id="7" name="Reporting Period">
              <a:extLst>
                <a:ext uri="{FF2B5EF4-FFF2-40B4-BE49-F238E27FC236}">
                  <a16:creationId xmlns:a16="http://schemas.microsoft.com/office/drawing/2014/main" id="{00000000-0008-0000-0B00-000007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13361459" y="138379"/>
              <a:ext cx="1843297" cy="170947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9</xdr:row>
      <xdr:rowOff>105833</xdr:rowOff>
    </xdr:from>
    <xdr:to>
      <xdr:col>2</xdr:col>
      <xdr:colOff>162980</xdr:colOff>
      <xdr:row>19</xdr:row>
      <xdr:rowOff>63500</xdr:rowOff>
    </xdr:to>
    <mc:AlternateContent xmlns:mc="http://schemas.openxmlformats.org/markup-compatibility/2006" xmlns:a14="http://schemas.microsoft.com/office/drawing/2010/main">
      <mc:Choice Requires="a14">
        <xdr:graphicFrame macro="">
          <xdr:nvGraphicFramePr>
            <xdr:cNvPr id="3" name="WASH project agency">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microsoft.com/office/drawing/2010/slicer">
              <sle:slicer xmlns:sle="http://schemas.microsoft.com/office/drawing/2010/slicer" name="WASH project agency"/>
            </a:graphicData>
          </a:graphic>
        </xdr:graphicFrame>
      </mc:Choice>
      <mc:Fallback xmlns="">
        <xdr:sp macro="" textlink="">
          <xdr:nvSpPr>
            <xdr:cNvPr id="0" name=""/>
            <xdr:cNvSpPr>
              <a:spLocks noTextEdit="1"/>
            </xdr:cNvSpPr>
          </xdr:nvSpPr>
          <xdr:spPr>
            <a:xfrm>
              <a:off x="0" y="1915583"/>
              <a:ext cx="4169832" cy="303741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1902884</xdr:colOff>
      <xdr:row>0</xdr:row>
      <xdr:rowOff>0</xdr:rowOff>
    </xdr:from>
    <xdr:to>
      <xdr:col>2</xdr:col>
      <xdr:colOff>124458</xdr:colOff>
      <xdr:row>9</xdr:row>
      <xdr:rowOff>0</xdr:rowOff>
    </xdr:to>
    <mc:AlternateContent xmlns:mc="http://schemas.openxmlformats.org/markup-compatibility/2006" xmlns:a14="http://schemas.microsoft.com/office/drawing/2010/main">
      <mc:Choice Requires="a14">
        <xdr:graphicFrame macro="">
          <xdr:nvGraphicFramePr>
            <xdr:cNvPr id="6" name="Location Type">
              <a:extLst>
                <a:ext uri="{FF2B5EF4-FFF2-40B4-BE49-F238E27FC236}">
                  <a16:creationId xmlns:a16="http://schemas.microsoft.com/office/drawing/2014/main" id="{00000000-0008-0000-0B00-000006000000}"/>
                </a:ext>
              </a:extLst>
            </xdr:cNvPr>
            <xdr:cNvGraphicFramePr/>
          </xdr:nvGraphicFramePr>
          <xdr:xfrm>
            <a:off x="0" y="0"/>
            <a:ext cx="0" cy="0"/>
          </xdr:xfrm>
          <a:graphic>
            <a:graphicData uri="http://schemas.microsoft.com/office/drawing/2010/slicer">
              <sle:slicer xmlns:sle="http://schemas.microsoft.com/office/drawing/2010/slicer" name="Location Type"/>
            </a:graphicData>
          </a:graphic>
        </xdr:graphicFrame>
      </mc:Choice>
      <mc:Fallback xmlns="">
        <xdr:sp macro="" textlink="">
          <xdr:nvSpPr>
            <xdr:cNvPr id="0" name=""/>
            <xdr:cNvSpPr>
              <a:spLocks noTextEdit="1"/>
            </xdr:cNvSpPr>
          </xdr:nvSpPr>
          <xdr:spPr>
            <a:xfrm>
              <a:off x="1902884" y="0"/>
              <a:ext cx="2224616" cy="1809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4.xml><?xml version="1.0" encoding="utf-8"?>
<c:userShapes xmlns:c="http://schemas.openxmlformats.org/drawingml/2006/chart">
  <cdr:relSizeAnchor xmlns:cdr="http://schemas.openxmlformats.org/drawingml/2006/chartDrawing">
    <cdr:from>
      <cdr:x>0.25535</cdr:x>
      <cdr:y>0.01003</cdr:y>
    </cdr:from>
    <cdr:to>
      <cdr:x>0.41195</cdr:x>
      <cdr:y>0.07103</cdr:y>
    </cdr:to>
    <cdr:sp macro="" textlink="'Quarterly Dashboard'!$B$27">
      <cdr:nvSpPr>
        <cdr:cNvPr id="2" name="Rectangle 1"/>
        <cdr:cNvSpPr/>
      </cdr:nvSpPr>
      <cdr:spPr>
        <a:xfrm xmlns:a="http://schemas.openxmlformats.org/drawingml/2006/main">
          <a:off x="2721062" y="57155"/>
          <a:ext cx="1668745" cy="347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r"/>
          <a:fld id="{9251A8C9-7CE7-43F0-A181-4FA5540E608E}" type="TxLink">
            <a:rPr lang="en-US" sz="1800" b="1" i="0" u="none" strike="noStrike">
              <a:solidFill>
                <a:srgbClr val="44546A"/>
              </a:solidFill>
              <a:latin typeface="Calibri"/>
            </a:rPr>
            <a:pPr algn="r"/>
            <a:t>(All)</a:t>
          </a:fld>
          <a:endParaRPr lang="en-US" sz="1600" b="1">
            <a:solidFill>
              <a:srgbClr val="44546A"/>
            </a:solidFill>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16</xdr:col>
      <xdr:colOff>359464</xdr:colOff>
      <xdr:row>3</xdr:row>
      <xdr:rowOff>26581</xdr:rowOff>
    </xdr:from>
    <xdr:to>
      <xdr:col>32</xdr:col>
      <xdr:colOff>653460</xdr:colOff>
      <xdr:row>32</xdr:row>
      <xdr:rowOff>121833</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660106</xdr:colOff>
      <xdr:row>2</xdr:row>
      <xdr:rowOff>75756</xdr:rowOff>
    </xdr:from>
    <xdr:to>
      <xdr:col>10</xdr:col>
      <xdr:colOff>446612</xdr:colOff>
      <xdr:row>8</xdr:row>
      <xdr:rowOff>26581</xdr:rowOff>
    </xdr:to>
    <mc:AlternateContent xmlns:mc="http://schemas.openxmlformats.org/markup-compatibility/2006" xmlns:a14="http://schemas.microsoft.com/office/drawing/2010/main">
      <mc:Choice Requires="a14">
        <xdr:graphicFrame macro="">
          <xdr:nvGraphicFramePr>
            <xdr:cNvPr id="4" name="State 2">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microsoft.com/office/drawing/2010/slicer">
              <sle:slicer xmlns:sle="http://schemas.microsoft.com/office/drawing/2010/slicer" name="State 2"/>
            </a:graphicData>
          </a:graphic>
        </xdr:graphicFrame>
      </mc:Choice>
      <mc:Fallback xmlns="">
        <xdr:sp macro="" textlink="">
          <xdr:nvSpPr>
            <xdr:cNvPr id="0" name=""/>
            <xdr:cNvSpPr>
              <a:spLocks noTextEdit="1"/>
            </xdr:cNvSpPr>
          </xdr:nvSpPr>
          <xdr:spPr>
            <a:xfrm>
              <a:off x="660106" y="598523"/>
              <a:ext cx="1833273" cy="112040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336452</xdr:colOff>
      <xdr:row>2</xdr:row>
      <xdr:rowOff>76471</xdr:rowOff>
    </xdr:from>
    <xdr:to>
      <xdr:col>16</xdr:col>
      <xdr:colOff>100763</xdr:colOff>
      <xdr:row>11</xdr:row>
      <xdr:rowOff>168347</xdr:rowOff>
    </xdr:to>
    <mc:AlternateContent xmlns:mc="http://schemas.openxmlformats.org/markup-compatibility/2006" xmlns:a14="http://schemas.microsoft.com/office/drawing/2010/main">
      <mc:Choice Requires="a14">
        <xdr:graphicFrame macro="">
          <xdr:nvGraphicFramePr>
            <xdr:cNvPr id="5" name="Township 1">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microsoft.com/office/drawing/2010/slicer">
              <sle:slicer xmlns:sle="http://schemas.microsoft.com/office/drawing/2010/slicer" name="Township 1"/>
            </a:graphicData>
          </a:graphic>
        </xdr:graphicFrame>
      </mc:Choice>
      <mc:Fallback xmlns="">
        <xdr:sp macro="" textlink="">
          <xdr:nvSpPr>
            <xdr:cNvPr id="0" name=""/>
            <xdr:cNvSpPr>
              <a:spLocks noTextEdit="1"/>
            </xdr:cNvSpPr>
          </xdr:nvSpPr>
          <xdr:spPr>
            <a:xfrm>
              <a:off x="4429987" y="599238"/>
              <a:ext cx="1811078" cy="18462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653459</xdr:colOff>
      <xdr:row>13</xdr:row>
      <xdr:rowOff>107311</xdr:rowOff>
    </xdr:from>
    <xdr:to>
      <xdr:col>13</xdr:col>
      <xdr:colOff>220780</xdr:colOff>
      <xdr:row>25</xdr:row>
      <xdr:rowOff>8860</xdr:rowOff>
    </xdr:to>
    <mc:AlternateContent xmlns:mc="http://schemas.openxmlformats.org/markup-compatibility/2006" xmlns:a14="http://schemas.microsoft.com/office/drawing/2010/main">
      <mc:Choice Requires="a14">
        <xdr:graphicFrame macro="">
          <xdr:nvGraphicFramePr>
            <xdr:cNvPr id="3" name="WASH implementing agency 1">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microsoft.com/office/drawing/2010/slicer">
              <sle:slicer xmlns:sle="http://schemas.microsoft.com/office/drawing/2010/slicer" name="WASH implementing agency 1"/>
            </a:graphicData>
          </a:graphic>
        </xdr:graphicFrame>
      </mc:Choice>
      <mc:Fallback xmlns="">
        <xdr:sp macro="" textlink="">
          <xdr:nvSpPr>
            <xdr:cNvPr id="0" name=""/>
            <xdr:cNvSpPr>
              <a:spLocks noTextEdit="1"/>
            </xdr:cNvSpPr>
          </xdr:nvSpPr>
          <xdr:spPr>
            <a:xfrm>
              <a:off x="653459" y="2831904"/>
              <a:ext cx="3682342" cy="181983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504136</xdr:colOff>
      <xdr:row>2</xdr:row>
      <xdr:rowOff>68668</xdr:rowOff>
    </xdr:from>
    <xdr:to>
      <xdr:col>13</xdr:col>
      <xdr:colOff>264814</xdr:colOff>
      <xdr:row>11</xdr:row>
      <xdr:rowOff>141767</xdr:rowOff>
    </xdr:to>
    <mc:AlternateContent xmlns:mc="http://schemas.openxmlformats.org/markup-compatibility/2006" xmlns:a14="http://schemas.microsoft.com/office/drawing/2010/main">
      <mc:Choice Requires="a14">
        <xdr:graphicFrame macro="">
          <xdr:nvGraphicFramePr>
            <xdr:cNvPr id="6" name="Location Type 2">
              <a:extLst>
                <a:ext uri="{FF2B5EF4-FFF2-40B4-BE49-F238E27FC236}">
                  <a16:creationId xmlns:a16="http://schemas.microsoft.com/office/drawing/2014/main" id="{00000000-0008-0000-0F00-000006000000}"/>
                </a:ext>
              </a:extLst>
            </xdr:cNvPr>
            <xdr:cNvGraphicFramePr/>
          </xdr:nvGraphicFramePr>
          <xdr:xfrm>
            <a:off x="0" y="0"/>
            <a:ext cx="0" cy="0"/>
          </xdr:xfrm>
          <a:graphic>
            <a:graphicData uri="http://schemas.microsoft.com/office/drawing/2010/slicer">
              <sle:slicer xmlns:sle="http://schemas.microsoft.com/office/drawing/2010/slicer" name="Location Type 2"/>
            </a:graphicData>
          </a:graphic>
        </xdr:graphicFrame>
      </mc:Choice>
      <mc:Fallback xmlns="">
        <xdr:sp macro="" textlink="">
          <xdr:nvSpPr>
            <xdr:cNvPr id="0" name=""/>
            <xdr:cNvSpPr>
              <a:spLocks noTextEdit="1"/>
            </xdr:cNvSpPr>
          </xdr:nvSpPr>
          <xdr:spPr>
            <a:xfrm>
              <a:off x="2564194" y="600296"/>
              <a:ext cx="1817560" cy="205538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xdr:colOff>
      <xdr:row>0</xdr:row>
      <xdr:rowOff>190501</xdr:rowOff>
    </xdr:from>
    <xdr:to>
      <xdr:col>7</xdr:col>
      <xdr:colOff>1028701</xdr:colOff>
      <xdr:row>42</xdr:row>
      <xdr:rowOff>28575</xdr:rowOff>
    </xdr:to>
    <xdr:graphicFrame macro="">
      <xdr:nvGraphicFramePr>
        <xdr:cNvPr id="2" name="Chart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76200</xdr:colOff>
      <xdr:row>1</xdr:row>
      <xdr:rowOff>1</xdr:rowOff>
    </xdr:from>
    <xdr:to>
      <xdr:col>9</xdr:col>
      <xdr:colOff>187325</xdr:colOff>
      <xdr:row>6</xdr:row>
      <xdr:rowOff>133351</xdr:rowOff>
    </xdr:to>
    <mc:AlternateContent xmlns:mc="http://schemas.openxmlformats.org/markup-compatibility/2006" xmlns:a14="http://schemas.microsoft.com/office/drawing/2010/main">
      <mc:Choice Requires="a14">
        <xdr:graphicFrame macro="">
          <xdr:nvGraphicFramePr>
            <xdr:cNvPr id="4" name="State 3">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microsoft.com/office/drawing/2010/slicer">
              <sle:slicer xmlns:sle="http://schemas.microsoft.com/office/drawing/2010/slicer" name="State 3"/>
            </a:graphicData>
          </a:graphic>
        </xdr:graphicFrame>
      </mc:Choice>
      <mc:Fallback xmlns="">
        <xdr:sp macro="" textlink="">
          <xdr:nvSpPr>
            <xdr:cNvPr id="0" name=""/>
            <xdr:cNvSpPr>
              <a:spLocks noTextEdit="1"/>
            </xdr:cNvSpPr>
          </xdr:nvSpPr>
          <xdr:spPr>
            <a:xfrm>
              <a:off x="8610600" y="200025"/>
              <a:ext cx="1828800" cy="2124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238125</xdr:colOff>
      <xdr:row>0</xdr:row>
      <xdr:rowOff>200024</xdr:rowOff>
    </xdr:from>
    <xdr:to>
      <xdr:col>10</xdr:col>
      <xdr:colOff>2092325</xdr:colOff>
      <xdr:row>26</xdr:row>
      <xdr:rowOff>38099</xdr:rowOff>
    </xdr:to>
    <mc:AlternateContent xmlns:mc="http://schemas.openxmlformats.org/markup-compatibility/2006" xmlns:a14="http://schemas.microsoft.com/office/drawing/2010/main">
      <mc:Choice Requires="a14">
        <xdr:graphicFrame macro="">
          <xdr:nvGraphicFramePr>
            <xdr:cNvPr id="5" name="Township 2">
              <a:extLst>
                <a:ext uri="{FF2B5EF4-FFF2-40B4-BE49-F238E27FC236}">
                  <a16:creationId xmlns:a16="http://schemas.microsoft.com/office/drawing/2014/main" id="{00000000-0008-0000-1000-000005000000}"/>
                </a:ext>
              </a:extLst>
            </xdr:cNvPr>
            <xdr:cNvGraphicFramePr/>
          </xdr:nvGraphicFramePr>
          <xdr:xfrm>
            <a:off x="0" y="0"/>
            <a:ext cx="0" cy="0"/>
          </xdr:xfrm>
          <a:graphic>
            <a:graphicData uri="http://schemas.microsoft.com/office/drawing/2010/slicer">
              <sle:slicer xmlns:sle="http://schemas.microsoft.com/office/drawing/2010/slicer" name="Township 2"/>
            </a:graphicData>
          </a:graphic>
        </xdr:graphicFrame>
      </mc:Choice>
      <mc:Fallback xmlns="">
        <xdr:sp macro="" textlink="">
          <xdr:nvSpPr>
            <xdr:cNvPr id="0" name=""/>
            <xdr:cNvSpPr>
              <a:spLocks noTextEdit="1"/>
            </xdr:cNvSpPr>
          </xdr:nvSpPr>
          <xdr:spPr>
            <a:xfrm>
              <a:off x="12382500" y="200024"/>
              <a:ext cx="1828800" cy="50387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200025</xdr:colOff>
      <xdr:row>0</xdr:row>
      <xdr:rowOff>190500</xdr:rowOff>
    </xdr:from>
    <xdr:to>
      <xdr:col>10</xdr:col>
      <xdr:colOff>149225</xdr:colOff>
      <xdr:row>6</xdr:row>
      <xdr:rowOff>114300</xdr:rowOff>
    </xdr:to>
    <mc:AlternateContent xmlns:mc="http://schemas.openxmlformats.org/markup-compatibility/2006" xmlns:a14="http://schemas.microsoft.com/office/drawing/2010/main">
      <mc:Choice Requires="a14">
        <xdr:graphicFrame macro="">
          <xdr:nvGraphicFramePr>
            <xdr:cNvPr id="3" name="Location Type 1">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microsoft.com/office/drawing/2010/slicer">
              <sle:slicer xmlns:sle="http://schemas.microsoft.com/office/drawing/2010/slicer" name="Location Type 1"/>
            </a:graphicData>
          </a:graphic>
        </xdr:graphicFrame>
      </mc:Choice>
      <mc:Fallback xmlns="">
        <xdr:sp macro="" textlink="">
          <xdr:nvSpPr>
            <xdr:cNvPr id="0" name=""/>
            <xdr:cNvSpPr>
              <a:spLocks noTextEdit="1"/>
            </xdr:cNvSpPr>
          </xdr:nvSpPr>
          <xdr:spPr>
            <a:xfrm>
              <a:off x="10458450" y="190500"/>
              <a:ext cx="1828800" cy="2124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79375</xdr:colOff>
      <xdr:row>7</xdr:row>
      <xdr:rowOff>28576</xdr:rowOff>
    </xdr:from>
    <xdr:to>
      <xdr:col>10</xdr:col>
      <xdr:colOff>237490</xdr:colOff>
      <xdr:row>17</xdr:row>
      <xdr:rowOff>120650</xdr:rowOff>
    </xdr:to>
    <mc:AlternateContent xmlns:mc="http://schemas.openxmlformats.org/markup-compatibility/2006" xmlns:a14="http://schemas.microsoft.com/office/drawing/2010/main">
      <mc:Choice Requires="a14">
        <xdr:graphicFrame macro="">
          <xdr:nvGraphicFramePr>
            <xdr:cNvPr id="6" name="WASH implementing agency">
              <a:extLst>
                <a:ext uri="{FF2B5EF4-FFF2-40B4-BE49-F238E27FC236}">
                  <a16:creationId xmlns:a16="http://schemas.microsoft.com/office/drawing/2014/main" id="{00000000-0008-0000-1000-000006000000}"/>
                </a:ext>
              </a:extLst>
            </xdr:cNvPr>
            <xdr:cNvGraphicFramePr/>
          </xdr:nvGraphicFramePr>
          <xdr:xfrm>
            <a:off x="0" y="0"/>
            <a:ext cx="0" cy="0"/>
          </xdr:xfrm>
          <a:graphic>
            <a:graphicData uri="http://schemas.microsoft.com/office/drawing/2010/slicer">
              <sle:slicer xmlns:sle="http://schemas.microsoft.com/office/drawing/2010/slicer" name="WASH implementing agency"/>
            </a:graphicData>
          </a:graphic>
        </xdr:graphicFrame>
      </mc:Choice>
      <mc:Fallback xmlns="">
        <xdr:sp macro="" textlink="">
          <xdr:nvSpPr>
            <xdr:cNvPr id="0" name=""/>
            <xdr:cNvSpPr>
              <a:spLocks noTextEdit="1"/>
            </xdr:cNvSpPr>
          </xdr:nvSpPr>
          <xdr:spPr>
            <a:xfrm>
              <a:off x="8613775" y="1406526"/>
              <a:ext cx="3758565" cy="2060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7.xml><?xml version="1.0" encoding="utf-8"?>
<xdr:wsDr xmlns:xdr="http://schemas.openxmlformats.org/drawingml/2006/spreadsheetDrawing" xmlns:a="http://schemas.openxmlformats.org/drawingml/2006/main">
  <xdr:twoCellAnchor>
    <xdr:from>
      <xdr:col>26</xdr:col>
      <xdr:colOff>666750</xdr:colOff>
      <xdr:row>2</xdr:row>
      <xdr:rowOff>95250</xdr:rowOff>
    </xdr:from>
    <xdr:to>
      <xdr:col>29</xdr:col>
      <xdr:colOff>9525</xdr:colOff>
      <xdr:row>2</xdr:row>
      <xdr:rowOff>866775</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19545300" y="447675"/>
          <a:ext cx="2295525"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=OFFSET(Statestart_1,MATCH(</a:t>
          </a:r>
          <a:r>
            <a:rPr lang="en-US" sz="1100">
              <a:solidFill>
                <a:srgbClr val="FF0000"/>
              </a:solidFill>
            </a:rPr>
            <a:t>C5</a:t>
          </a:r>
          <a:r>
            <a:rPr lang="en-US" sz="1100"/>
            <a:t>, State_list, 0), 1,COUNTIF(State_list,</a:t>
          </a:r>
          <a:r>
            <a:rPr lang="en-US" sz="1100">
              <a:solidFill>
                <a:srgbClr val="FF0000"/>
              </a:solidFill>
            </a:rPr>
            <a:t>C5</a:t>
          </a:r>
          <a:r>
            <a:rPr lang="en-US" sz="1100"/>
            <a:t>),1)</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15875</xdr:colOff>
      <xdr:row>84</xdr:row>
      <xdr:rowOff>561975</xdr:rowOff>
    </xdr:from>
    <xdr:ext cx="7246792" cy="2009775"/>
    <xdr:pic>
      <xdr:nvPicPr>
        <xdr:cNvPr id="2" name="Picture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1171575" y="49971325"/>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459507</xdr:colOff>
      <xdr:row>84</xdr:row>
      <xdr:rowOff>106795</xdr:rowOff>
    </xdr:from>
    <xdr:ext cx="7246792" cy="2009775"/>
    <xdr:pic>
      <xdr:nvPicPr>
        <xdr:cNvPr id="2" name="Picture 1">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1036780" y="48701613"/>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6</xdr:col>
      <xdr:colOff>359228</xdr:colOff>
      <xdr:row>181</xdr:row>
      <xdr:rowOff>191620</xdr:rowOff>
    </xdr:from>
    <xdr:to>
      <xdr:col>16</xdr:col>
      <xdr:colOff>195943</xdr:colOff>
      <xdr:row>189</xdr:row>
      <xdr:rowOff>15574</xdr:rowOff>
    </xdr:to>
    <xdr:graphicFrame macro="">
      <xdr:nvGraphicFramePr>
        <xdr:cNvPr id="12" name="Chart 11">
          <a:extLst>
            <a:ext uri="{FF2B5EF4-FFF2-40B4-BE49-F238E27FC236}">
              <a16:creationId xmlns:a16="http://schemas.microsoft.com/office/drawing/2014/main" id="{00000000-0008-0000-08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85270</xdr:colOff>
      <xdr:row>199</xdr:row>
      <xdr:rowOff>193222</xdr:rowOff>
    </xdr:from>
    <xdr:to>
      <xdr:col>17</xdr:col>
      <xdr:colOff>90714</xdr:colOff>
      <xdr:row>207</xdr:row>
      <xdr:rowOff>100013</xdr:rowOff>
    </xdr:to>
    <xdr:graphicFrame macro="">
      <xdr:nvGraphicFramePr>
        <xdr:cNvPr id="15" name="Chart 14">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192770</xdr:colOff>
      <xdr:row>215</xdr:row>
      <xdr:rowOff>72572</xdr:rowOff>
    </xdr:from>
    <xdr:to>
      <xdr:col>16</xdr:col>
      <xdr:colOff>509136</xdr:colOff>
      <xdr:row>222</xdr:row>
      <xdr:rowOff>464457</xdr:rowOff>
    </xdr:to>
    <xdr:graphicFrame macro="">
      <xdr:nvGraphicFramePr>
        <xdr:cNvPr id="17" name="Chart 16">
          <a:extLst>
            <a:ext uri="{FF2B5EF4-FFF2-40B4-BE49-F238E27FC236}">
              <a16:creationId xmlns:a16="http://schemas.microsoft.com/office/drawing/2014/main" id="{00000000-0008-0000-08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568221</xdr:colOff>
      <xdr:row>181</xdr:row>
      <xdr:rowOff>129462</xdr:rowOff>
    </xdr:from>
    <xdr:to>
      <xdr:col>24</xdr:col>
      <xdr:colOff>568552</xdr:colOff>
      <xdr:row>189</xdr:row>
      <xdr:rowOff>3629</xdr:rowOff>
    </xdr:to>
    <xdr:graphicFrame macro="">
      <xdr:nvGraphicFramePr>
        <xdr:cNvPr id="18" name="Chart 17">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31</xdr:col>
      <xdr:colOff>138339</xdr:colOff>
      <xdr:row>181</xdr:row>
      <xdr:rowOff>117171</xdr:rowOff>
    </xdr:from>
    <xdr:to>
      <xdr:col>39</xdr:col>
      <xdr:colOff>526480</xdr:colOff>
      <xdr:row>189</xdr:row>
      <xdr:rowOff>195376</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179</xdr:row>
      <xdr:rowOff>0</xdr:rowOff>
    </xdr:from>
    <xdr:to>
      <xdr:col>19</xdr:col>
      <xdr:colOff>973871</xdr:colOff>
      <xdr:row>180</xdr:row>
      <xdr:rowOff>143152</xdr:rowOff>
    </xdr:to>
    <xdr:sp macro="" textlink="">
      <xdr:nvSpPr>
        <xdr:cNvPr id="9" name="TextBox 3">
          <a:extLst>
            <a:ext uri="{FF2B5EF4-FFF2-40B4-BE49-F238E27FC236}">
              <a16:creationId xmlns:a16="http://schemas.microsoft.com/office/drawing/2014/main" id="{FBDE99E8-709C-4F56-8994-FA3682D0FD0E}"/>
            </a:ext>
          </a:extLst>
        </xdr:cNvPr>
        <xdr:cNvSpPr txBox="1"/>
      </xdr:nvSpPr>
      <xdr:spPr>
        <a:xfrm>
          <a:off x="19669125" y="17200563"/>
          <a:ext cx="973871" cy="341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400" b="1">
              <a:solidFill>
                <a:srgbClr val="0070C0"/>
              </a:solidFill>
            </a:rPr>
            <a:t>+46,015</a:t>
          </a:r>
        </a:p>
      </xdr:txBody>
    </xdr:sp>
    <xdr:clientData/>
  </xdr:twoCellAnchor>
  <xdr:twoCellAnchor>
    <xdr:from>
      <xdr:col>16</xdr:col>
      <xdr:colOff>441098</xdr:colOff>
      <xdr:row>220</xdr:row>
      <xdr:rowOff>824367</xdr:rowOff>
    </xdr:from>
    <xdr:to>
      <xdr:col>17</xdr:col>
      <xdr:colOff>1054100</xdr:colOff>
      <xdr:row>220</xdr:row>
      <xdr:rowOff>1164092</xdr:rowOff>
    </xdr:to>
    <xdr:sp macro="" textlink="">
      <xdr:nvSpPr>
        <xdr:cNvPr id="14" name="TextBox 13">
          <a:extLst>
            <a:ext uri="{FF2B5EF4-FFF2-40B4-BE49-F238E27FC236}">
              <a16:creationId xmlns:a16="http://schemas.microsoft.com/office/drawing/2014/main" id="{D66EC6AB-9147-48CF-A0DE-0F6AAB79F708}"/>
            </a:ext>
          </a:extLst>
        </xdr:cNvPr>
        <xdr:cNvSpPr txBox="1"/>
      </xdr:nvSpPr>
      <xdr:spPr>
        <a:xfrm>
          <a:off x="22348598" y="42400992"/>
          <a:ext cx="1835377" cy="339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0070C0"/>
              </a:solidFill>
            </a:rPr>
            <a:t>+18,106</a:t>
          </a:r>
        </a:p>
      </xdr:txBody>
    </xdr:sp>
    <xdr:clientData/>
  </xdr:twoCellAnchor>
  <xdr:twoCellAnchor>
    <xdr:from>
      <xdr:col>7</xdr:col>
      <xdr:colOff>50801</xdr:colOff>
      <xdr:row>230</xdr:row>
      <xdr:rowOff>77107</xdr:rowOff>
    </xdr:from>
    <xdr:to>
      <xdr:col>14</xdr:col>
      <xdr:colOff>789214</xdr:colOff>
      <xdr:row>237</xdr:row>
      <xdr:rowOff>97971</xdr:rowOff>
    </xdr:to>
    <xdr:graphicFrame macro="">
      <xdr:nvGraphicFramePr>
        <xdr:cNvPr id="3" name="Chart 2">
          <a:extLst>
            <a:ext uri="{FF2B5EF4-FFF2-40B4-BE49-F238E27FC236}">
              <a16:creationId xmlns:a16="http://schemas.microsoft.com/office/drawing/2014/main" id="{F28534DC-AB86-4CCD-A2C5-ACB7D38554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390071</xdr:colOff>
      <xdr:row>230</xdr:row>
      <xdr:rowOff>57149</xdr:rowOff>
    </xdr:from>
    <xdr:to>
      <xdr:col>28</xdr:col>
      <xdr:colOff>691244</xdr:colOff>
      <xdr:row>237</xdr:row>
      <xdr:rowOff>29029</xdr:rowOff>
    </xdr:to>
    <xdr:graphicFrame macro="">
      <xdr:nvGraphicFramePr>
        <xdr:cNvPr id="4" name="Chart 3">
          <a:extLst>
            <a:ext uri="{FF2B5EF4-FFF2-40B4-BE49-F238E27FC236}">
              <a16:creationId xmlns:a16="http://schemas.microsoft.com/office/drawing/2014/main" id="{9E5BA00F-6A39-42C3-BFA4-B282DF0F22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299130</xdr:colOff>
      <xdr:row>236</xdr:row>
      <xdr:rowOff>1148217</xdr:rowOff>
    </xdr:from>
    <xdr:to>
      <xdr:col>14</xdr:col>
      <xdr:colOff>430212</xdr:colOff>
      <xdr:row>236</xdr:row>
      <xdr:rowOff>1487942</xdr:rowOff>
    </xdr:to>
    <xdr:sp macro="" textlink="">
      <xdr:nvSpPr>
        <xdr:cNvPr id="16" name="TextBox 15">
          <a:extLst>
            <a:ext uri="{FF2B5EF4-FFF2-40B4-BE49-F238E27FC236}">
              <a16:creationId xmlns:a16="http://schemas.microsoft.com/office/drawing/2014/main" id="{A05C3F32-E272-4882-BD21-26E06EFBDBEA}"/>
            </a:ext>
          </a:extLst>
        </xdr:cNvPr>
        <xdr:cNvSpPr txBox="1"/>
      </xdr:nvSpPr>
      <xdr:spPr>
        <a:xfrm>
          <a:off x="15506473" y="40053760"/>
          <a:ext cx="1676853" cy="339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0070C0"/>
              </a:solidFill>
            </a:rPr>
            <a:t>+12,697</a:t>
          </a:r>
        </a:p>
      </xdr:txBody>
    </xdr:sp>
    <xdr:clientData/>
  </xdr:twoCellAnchor>
  <xdr:twoCellAnchor>
    <xdr:from>
      <xdr:col>6</xdr:col>
      <xdr:colOff>338667</xdr:colOff>
      <xdr:row>240</xdr:row>
      <xdr:rowOff>196850</xdr:rowOff>
    </xdr:from>
    <xdr:to>
      <xdr:col>15</xdr:col>
      <xdr:colOff>497416</xdr:colOff>
      <xdr:row>247</xdr:row>
      <xdr:rowOff>584200</xdr:rowOff>
    </xdr:to>
    <xdr:graphicFrame macro="">
      <xdr:nvGraphicFramePr>
        <xdr:cNvPr id="5" name="Chart 4">
          <a:extLst>
            <a:ext uri="{FF2B5EF4-FFF2-40B4-BE49-F238E27FC236}">
              <a16:creationId xmlns:a16="http://schemas.microsoft.com/office/drawing/2014/main" id="{0B822AF1-D158-46C6-BE73-2B6AF77024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xdr:col>
      <xdr:colOff>323850</xdr:colOff>
      <xdr:row>240</xdr:row>
      <xdr:rowOff>120650</xdr:rowOff>
    </xdr:from>
    <xdr:to>
      <xdr:col>27</xdr:col>
      <xdr:colOff>584200</xdr:colOff>
      <xdr:row>248</xdr:row>
      <xdr:rowOff>0</xdr:rowOff>
    </xdr:to>
    <xdr:graphicFrame macro="">
      <xdr:nvGraphicFramePr>
        <xdr:cNvPr id="6" name="Chart 5">
          <a:extLst>
            <a:ext uri="{FF2B5EF4-FFF2-40B4-BE49-F238E27FC236}">
              <a16:creationId xmlns:a16="http://schemas.microsoft.com/office/drawing/2014/main" id="{53FA9BAE-2F3A-4DE7-97BF-8CC74AAC46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95250</xdr:colOff>
      <xdr:row>252</xdr:row>
      <xdr:rowOff>189440</xdr:rowOff>
    </xdr:from>
    <xdr:to>
      <xdr:col>15</xdr:col>
      <xdr:colOff>931334</xdr:colOff>
      <xdr:row>259</xdr:row>
      <xdr:rowOff>465667</xdr:rowOff>
    </xdr:to>
    <xdr:graphicFrame macro="">
      <xdr:nvGraphicFramePr>
        <xdr:cNvPr id="7" name="Chart 6">
          <a:extLst>
            <a:ext uri="{FF2B5EF4-FFF2-40B4-BE49-F238E27FC236}">
              <a16:creationId xmlns:a16="http://schemas.microsoft.com/office/drawing/2014/main" id="{8F0211D8-39BA-4325-87F4-0EEAF2C5F6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20</xdr:col>
      <xdr:colOff>455082</xdr:colOff>
      <xdr:row>252</xdr:row>
      <xdr:rowOff>42333</xdr:rowOff>
    </xdr:from>
    <xdr:to>
      <xdr:col>26</xdr:col>
      <xdr:colOff>878417</xdr:colOff>
      <xdr:row>260</xdr:row>
      <xdr:rowOff>179917</xdr:rowOff>
    </xdr:to>
    <xdr:graphicFrame macro="">
      <xdr:nvGraphicFramePr>
        <xdr:cNvPr id="8" name="Chart 7">
          <a:extLst>
            <a:ext uri="{FF2B5EF4-FFF2-40B4-BE49-F238E27FC236}">
              <a16:creationId xmlns:a16="http://schemas.microsoft.com/office/drawing/2014/main" id="{4E790E67-1B61-4A26-BADA-EC2BBF2F70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391582</xdr:colOff>
      <xdr:row>264</xdr:row>
      <xdr:rowOff>189441</xdr:rowOff>
    </xdr:from>
    <xdr:to>
      <xdr:col>15</xdr:col>
      <xdr:colOff>920750</xdr:colOff>
      <xdr:row>271</xdr:row>
      <xdr:rowOff>550332</xdr:rowOff>
    </xdr:to>
    <xdr:graphicFrame macro="">
      <xdr:nvGraphicFramePr>
        <xdr:cNvPr id="10" name="Chart 9">
          <a:extLst>
            <a:ext uri="{FF2B5EF4-FFF2-40B4-BE49-F238E27FC236}">
              <a16:creationId xmlns:a16="http://schemas.microsoft.com/office/drawing/2014/main" id="{77521874-20E8-4197-888D-6926A2A044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589643</xdr:colOff>
      <xdr:row>274</xdr:row>
      <xdr:rowOff>190500</xdr:rowOff>
    </xdr:from>
    <xdr:to>
      <xdr:col>14</xdr:col>
      <xdr:colOff>671286</xdr:colOff>
      <xdr:row>282</xdr:row>
      <xdr:rowOff>27214</xdr:rowOff>
    </xdr:to>
    <xdr:graphicFrame macro="">
      <xdr:nvGraphicFramePr>
        <xdr:cNvPr id="11" name="Chart 10">
          <a:extLst>
            <a:ext uri="{FF2B5EF4-FFF2-40B4-BE49-F238E27FC236}">
              <a16:creationId xmlns:a16="http://schemas.microsoft.com/office/drawing/2014/main" id="{C1D4009A-0D58-4CD5-84CF-C4C58C5A19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0.9031</cdr:x>
      <cdr:y>0.22879</cdr:y>
    </cdr:from>
    <cdr:to>
      <cdr:x>0.98902</cdr:x>
      <cdr:y>0.27691</cdr:y>
    </cdr:to>
    <cdr:sp macro="" textlink="">
      <cdr:nvSpPr>
        <cdr:cNvPr id="2" name="TextBox 1">
          <a:extLst xmlns:a="http://schemas.openxmlformats.org/drawingml/2006/main">
            <a:ext uri="{FF2B5EF4-FFF2-40B4-BE49-F238E27FC236}">
              <a16:creationId xmlns:a16="http://schemas.microsoft.com/office/drawing/2014/main" id="{2461A0E2-864E-4433-B0F9-92ACA5607C19}"/>
            </a:ext>
          </a:extLst>
        </cdr:cNvPr>
        <cdr:cNvSpPr txBox="1"/>
      </cdr:nvSpPr>
      <cdr:spPr>
        <a:xfrm xmlns:a="http://schemas.openxmlformats.org/drawingml/2006/main">
          <a:off x="6865258" y="1250949"/>
          <a:ext cx="653143" cy="2630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solidFill>
                <a:srgbClr val="0070C0"/>
              </a:solidFill>
            </a:rPr>
            <a:t>+11,289</a:t>
          </a:r>
        </a:p>
      </cdr:txBody>
    </cdr:sp>
  </cdr:relSizeAnchor>
  <cdr:relSizeAnchor xmlns:cdr="http://schemas.openxmlformats.org/drawingml/2006/chartDrawing">
    <cdr:from>
      <cdr:x>0.91408</cdr:x>
      <cdr:y>0.49376</cdr:y>
    </cdr:from>
    <cdr:to>
      <cdr:x>1</cdr:x>
      <cdr:y>0.54187</cdr:y>
    </cdr:to>
    <cdr:sp macro="" textlink="">
      <cdr:nvSpPr>
        <cdr:cNvPr id="3" name="TextBox 1">
          <a:extLst xmlns:a="http://schemas.openxmlformats.org/drawingml/2006/main">
            <a:ext uri="{FF2B5EF4-FFF2-40B4-BE49-F238E27FC236}">
              <a16:creationId xmlns:a16="http://schemas.microsoft.com/office/drawing/2014/main" id="{F6B9AAFF-7CA7-4F4E-A2E9-59A821AEC9B8}"/>
            </a:ext>
          </a:extLst>
        </cdr:cNvPr>
        <cdr:cNvSpPr txBox="1"/>
      </cdr:nvSpPr>
      <cdr:spPr>
        <a:xfrm xmlns:a="http://schemas.openxmlformats.org/drawingml/2006/main">
          <a:off x="6948716" y="2699657"/>
          <a:ext cx="653143" cy="2630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1">
              <a:solidFill>
                <a:srgbClr val="0070C0"/>
              </a:solidFill>
            </a:rPr>
            <a:t>+1,626</a:t>
          </a:r>
        </a:p>
      </cdr:txBody>
    </cdr:sp>
  </cdr:relSizeAnchor>
  <cdr:relSizeAnchor xmlns:cdr="http://schemas.openxmlformats.org/drawingml/2006/chartDrawing">
    <cdr:from>
      <cdr:x>0.91408</cdr:x>
      <cdr:y>0.63012</cdr:y>
    </cdr:from>
    <cdr:to>
      <cdr:x>1</cdr:x>
      <cdr:y>0.67823</cdr:y>
    </cdr:to>
    <cdr:sp macro="" textlink="">
      <cdr:nvSpPr>
        <cdr:cNvPr id="4" name="TextBox 1">
          <a:extLst xmlns:a="http://schemas.openxmlformats.org/drawingml/2006/main">
            <a:ext uri="{FF2B5EF4-FFF2-40B4-BE49-F238E27FC236}">
              <a16:creationId xmlns:a16="http://schemas.microsoft.com/office/drawing/2014/main" id="{CF854898-C8F9-4519-921E-DE0D9A4CFE52}"/>
            </a:ext>
          </a:extLst>
        </cdr:cNvPr>
        <cdr:cNvSpPr txBox="1"/>
      </cdr:nvSpPr>
      <cdr:spPr>
        <a:xfrm xmlns:a="http://schemas.openxmlformats.org/drawingml/2006/main">
          <a:off x="9257203" y="3454400"/>
          <a:ext cx="870141" cy="263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1">
              <a:solidFill>
                <a:srgbClr val="0070C0"/>
              </a:solidFill>
            </a:rPr>
            <a:t>+7,820</a:t>
          </a:r>
        </a:p>
      </cdr:txBody>
    </cdr:sp>
  </cdr:relSizeAnchor>
</c:userShapes>
</file>

<file path=xl/drawings/drawing6.xml><?xml version="1.0" encoding="utf-8"?>
<c:userShapes xmlns:c="http://schemas.openxmlformats.org/drawingml/2006/chart">
  <cdr:relSizeAnchor xmlns:cdr="http://schemas.openxmlformats.org/drawingml/2006/chartDrawing">
    <cdr:from>
      <cdr:x>0.86801</cdr:x>
      <cdr:y>0.69786</cdr:y>
    </cdr:from>
    <cdr:to>
      <cdr:x>1</cdr:x>
      <cdr:y>0.75803</cdr:y>
    </cdr:to>
    <cdr:sp macro="" textlink="">
      <cdr:nvSpPr>
        <cdr:cNvPr id="2" name="TextBox 1">
          <a:extLst xmlns:a="http://schemas.openxmlformats.org/drawingml/2006/main">
            <a:ext uri="{FF2B5EF4-FFF2-40B4-BE49-F238E27FC236}">
              <a16:creationId xmlns:a16="http://schemas.microsoft.com/office/drawing/2014/main" id="{03AD4CED-AB55-4299-BC69-4EDE377E8B46}"/>
            </a:ext>
          </a:extLst>
        </cdr:cNvPr>
        <cdr:cNvSpPr txBox="1"/>
      </cdr:nvSpPr>
      <cdr:spPr>
        <a:xfrm xmlns:a="http://schemas.openxmlformats.org/drawingml/2006/main">
          <a:off x="4526292" y="3338286"/>
          <a:ext cx="688295" cy="2878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1">
              <a:solidFill>
                <a:srgbClr val="0070C0"/>
              </a:solidFill>
            </a:rPr>
            <a:t>+6,285</a:t>
          </a:r>
        </a:p>
      </cdr:txBody>
    </cdr:sp>
  </cdr:relSizeAnchor>
</c:userShapes>
</file>

<file path=xl/drawings/drawing7.xml><?xml version="1.0" encoding="utf-8"?>
<xdr:wsDr xmlns:xdr="http://schemas.openxmlformats.org/drawingml/2006/spreadsheetDrawing" xmlns:a="http://schemas.openxmlformats.org/drawingml/2006/main">
  <xdr:twoCellAnchor>
    <xdr:from>
      <xdr:col>5</xdr:col>
      <xdr:colOff>633273</xdr:colOff>
      <xdr:row>218</xdr:row>
      <xdr:rowOff>192775</xdr:rowOff>
    </xdr:from>
    <xdr:to>
      <xdr:col>9</xdr:col>
      <xdr:colOff>249590</xdr:colOff>
      <xdr:row>231</xdr:row>
      <xdr:rowOff>130533</xdr:rowOff>
    </xdr:to>
    <xdr:graphicFrame macro="">
      <xdr:nvGraphicFramePr>
        <xdr:cNvPr id="17" name="Chart 16">
          <a:extLst>
            <a:ext uri="{FF2B5EF4-FFF2-40B4-BE49-F238E27FC236}">
              <a16:creationId xmlns:a16="http://schemas.microsoft.com/office/drawing/2014/main" id="{00000000-0008-0000-0A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517071</xdr:colOff>
      <xdr:row>152</xdr:row>
      <xdr:rowOff>46181</xdr:rowOff>
    </xdr:from>
    <xdr:to>
      <xdr:col>9</xdr:col>
      <xdr:colOff>561138</xdr:colOff>
      <xdr:row>166</xdr:row>
      <xdr:rowOff>65230</xdr:rowOff>
    </xdr:to>
    <xdr:graphicFrame macro="">
      <xdr:nvGraphicFramePr>
        <xdr:cNvPr id="31" name="Chart 30">
          <a:extLst>
            <a:ext uri="{FF2B5EF4-FFF2-40B4-BE49-F238E27FC236}">
              <a16:creationId xmlns:a16="http://schemas.microsoft.com/office/drawing/2014/main" id="{00000000-0008-0000-0A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575815</xdr:colOff>
      <xdr:row>152</xdr:row>
      <xdr:rowOff>57763</xdr:rowOff>
    </xdr:from>
    <xdr:to>
      <xdr:col>15</xdr:col>
      <xdr:colOff>238358</xdr:colOff>
      <xdr:row>166</xdr:row>
      <xdr:rowOff>10138</xdr:rowOff>
    </xdr:to>
    <xdr:graphicFrame macro="">
      <xdr:nvGraphicFramePr>
        <xdr:cNvPr id="37" name="Chart 36">
          <a:extLst>
            <a:ext uri="{FF2B5EF4-FFF2-40B4-BE49-F238E27FC236}">
              <a16:creationId xmlns:a16="http://schemas.microsoft.com/office/drawing/2014/main" id="{00000000-0008-0000-0A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452570</xdr:colOff>
      <xdr:row>169</xdr:row>
      <xdr:rowOff>67128</xdr:rowOff>
    </xdr:from>
    <xdr:to>
      <xdr:col>9</xdr:col>
      <xdr:colOff>580572</xdr:colOff>
      <xdr:row>181</xdr:row>
      <xdr:rowOff>86178</xdr:rowOff>
    </xdr:to>
    <xdr:graphicFrame macro="">
      <xdr:nvGraphicFramePr>
        <xdr:cNvPr id="28" name="Chart 27">
          <a:extLst>
            <a:ext uri="{FF2B5EF4-FFF2-40B4-BE49-F238E27FC236}">
              <a16:creationId xmlns:a16="http://schemas.microsoft.com/office/drawing/2014/main" id="{00000000-0008-0000-0A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76200</xdr:colOff>
      <xdr:row>169</xdr:row>
      <xdr:rowOff>38100</xdr:rowOff>
    </xdr:from>
    <xdr:to>
      <xdr:col>15</xdr:col>
      <xdr:colOff>552450</xdr:colOff>
      <xdr:row>181</xdr:row>
      <xdr:rowOff>38100</xdr:rowOff>
    </xdr:to>
    <xdr:graphicFrame macro="">
      <xdr:nvGraphicFramePr>
        <xdr:cNvPr id="38" name="Chart 37">
          <a:extLst>
            <a:ext uri="{FF2B5EF4-FFF2-40B4-BE49-F238E27FC236}">
              <a16:creationId xmlns:a16="http://schemas.microsoft.com/office/drawing/2014/main" id="{00000000-0008-0000-0A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239756</xdr:colOff>
      <xdr:row>34</xdr:row>
      <xdr:rowOff>50465</xdr:rowOff>
    </xdr:from>
    <xdr:to>
      <xdr:col>7</xdr:col>
      <xdr:colOff>1597763</xdr:colOff>
      <xdr:row>47</xdr:row>
      <xdr:rowOff>48125</xdr:rowOff>
    </xdr:to>
    <xdr:graphicFrame macro="">
      <xdr:nvGraphicFramePr>
        <xdr:cNvPr id="29" name="Chart 28">
          <a:extLst>
            <a:ext uri="{FF2B5EF4-FFF2-40B4-BE49-F238E27FC236}">
              <a16:creationId xmlns:a16="http://schemas.microsoft.com/office/drawing/2014/main" id="{00000000-0008-0000-0A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353678</xdr:colOff>
      <xdr:row>34</xdr:row>
      <xdr:rowOff>130008</xdr:rowOff>
    </xdr:from>
    <xdr:to>
      <xdr:col>15</xdr:col>
      <xdr:colOff>582278</xdr:colOff>
      <xdr:row>47</xdr:row>
      <xdr:rowOff>99093</xdr:rowOff>
    </xdr:to>
    <xdr:graphicFrame macro="">
      <xdr:nvGraphicFramePr>
        <xdr:cNvPr id="39" name="Chart 38">
          <a:extLst>
            <a:ext uri="{FF2B5EF4-FFF2-40B4-BE49-F238E27FC236}">
              <a16:creationId xmlns:a16="http://schemas.microsoft.com/office/drawing/2014/main" id="{00000000-0008-0000-0A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719522</xdr:colOff>
      <xdr:row>219</xdr:row>
      <xdr:rowOff>396</xdr:rowOff>
    </xdr:from>
    <xdr:to>
      <xdr:col>5</xdr:col>
      <xdr:colOff>163239</xdr:colOff>
      <xdr:row>231</xdr:row>
      <xdr:rowOff>139700</xdr:rowOff>
    </xdr:to>
    <xdr:graphicFrame macro="">
      <xdr:nvGraphicFramePr>
        <xdr:cNvPr id="40" name="Chart 39">
          <a:extLst>
            <a:ext uri="{FF2B5EF4-FFF2-40B4-BE49-F238E27FC236}">
              <a16:creationId xmlns:a16="http://schemas.microsoft.com/office/drawing/2014/main" id="{00000000-0008-0000-0A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862012</xdr:colOff>
      <xdr:row>322</xdr:row>
      <xdr:rowOff>142875</xdr:rowOff>
    </xdr:from>
    <xdr:to>
      <xdr:col>14</xdr:col>
      <xdr:colOff>597550</xdr:colOff>
      <xdr:row>334</xdr:row>
      <xdr:rowOff>4746</xdr:rowOff>
    </xdr:to>
    <mc:AlternateContent xmlns:mc="http://schemas.openxmlformats.org/markup-compatibility/2006" xmlns:a14="http://schemas.microsoft.com/office/drawing/2010/main">
      <mc:Choice Requires="a14">
        <xdr:graphicFrame macro="">
          <xdr:nvGraphicFramePr>
            <xdr:cNvPr id="3" name="State">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microsoft.com/office/drawing/2010/slicer">
              <sle:slicer xmlns:sle="http://schemas.microsoft.com/office/drawing/2010/slicer" name="State"/>
            </a:graphicData>
          </a:graphic>
        </xdr:graphicFrame>
      </mc:Choice>
      <mc:Fallback xmlns="">
        <xdr:sp macro="" textlink="">
          <xdr:nvSpPr>
            <xdr:cNvPr id="0" name=""/>
            <xdr:cNvSpPr>
              <a:spLocks noTextEdit="1"/>
            </xdr:cNvSpPr>
          </xdr:nvSpPr>
          <xdr:spPr>
            <a:xfrm>
              <a:off x="15411450" y="62793563"/>
              <a:ext cx="1830300" cy="1552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250664</xdr:colOff>
      <xdr:row>122</xdr:row>
      <xdr:rowOff>7705</xdr:rowOff>
    </xdr:from>
    <xdr:to>
      <xdr:col>7</xdr:col>
      <xdr:colOff>1099458</xdr:colOff>
      <xdr:row>141</xdr:row>
      <xdr:rowOff>174171</xdr:rowOff>
    </xdr:to>
    <xdr:grpSp>
      <xdr:nvGrpSpPr>
        <xdr:cNvPr id="4" name="Group 3">
          <a:extLst>
            <a:ext uri="{FF2B5EF4-FFF2-40B4-BE49-F238E27FC236}">
              <a16:creationId xmlns:a16="http://schemas.microsoft.com/office/drawing/2014/main" id="{00000000-0008-0000-0A00-000004000000}"/>
            </a:ext>
          </a:extLst>
        </xdr:cNvPr>
        <xdr:cNvGrpSpPr/>
      </xdr:nvGrpSpPr>
      <xdr:grpSpPr>
        <a:xfrm>
          <a:off x="250664" y="24409848"/>
          <a:ext cx="7824723" cy="4811037"/>
          <a:chOff x="695325" y="15468602"/>
          <a:chExt cx="5871393" cy="4618717"/>
        </a:xfrm>
      </xdr:grpSpPr>
      <xdr:graphicFrame macro="">
        <xdr:nvGraphicFramePr>
          <xdr:cNvPr id="9" name="Chart 8">
            <a:extLst>
              <a:ext uri="{FF2B5EF4-FFF2-40B4-BE49-F238E27FC236}">
                <a16:creationId xmlns:a16="http://schemas.microsoft.com/office/drawing/2014/main" id="{00000000-0008-0000-0A00-000009000000}"/>
              </a:ext>
            </a:extLst>
          </xdr:cNvPr>
          <xdr:cNvGraphicFramePr/>
        </xdr:nvGraphicFramePr>
        <xdr:xfrm>
          <a:off x="3638549" y="15468602"/>
          <a:ext cx="2926080" cy="2295376"/>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1" name="Chart 10">
            <a:extLst>
              <a:ext uri="{FF2B5EF4-FFF2-40B4-BE49-F238E27FC236}">
                <a16:creationId xmlns:a16="http://schemas.microsoft.com/office/drawing/2014/main" id="{00000000-0008-0000-0A00-00000B000000}"/>
              </a:ext>
            </a:extLst>
          </xdr:cNvPr>
          <xdr:cNvGraphicFramePr/>
        </xdr:nvGraphicFramePr>
        <xdr:xfrm>
          <a:off x="720676" y="17801319"/>
          <a:ext cx="2926080" cy="2286000"/>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5" name="Chart 14">
            <a:extLst>
              <a:ext uri="{FF2B5EF4-FFF2-40B4-BE49-F238E27FC236}">
                <a16:creationId xmlns:a16="http://schemas.microsoft.com/office/drawing/2014/main" id="{00000000-0008-0000-0A00-00000F000000}"/>
              </a:ext>
            </a:extLst>
          </xdr:cNvPr>
          <xdr:cNvGraphicFramePr/>
        </xdr:nvGraphicFramePr>
        <xdr:xfrm>
          <a:off x="3640638" y="17790006"/>
          <a:ext cx="2926080" cy="2285999"/>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4" name="Chart 13">
            <a:extLst>
              <a:ext uri="{FF2B5EF4-FFF2-40B4-BE49-F238E27FC236}">
                <a16:creationId xmlns:a16="http://schemas.microsoft.com/office/drawing/2014/main" id="{00000000-0008-0000-0A00-00000E000000}"/>
              </a:ext>
            </a:extLst>
          </xdr:cNvPr>
          <xdr:cNvGraphicFramePr/>
        </xdr:nvGraphicFramePr>
        <xdr:xfrm>
          <a:off x="695325" y="15492411"/>
          <a:ext cx="2926080" cy="2285999"/>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12</xdr:col>
      <xdr:colOff>226392</xdr:colOff>
      <xdr:row>133</xdr:row>
      <xdr:rowOff>30552</xdr:rowOff>
    </xdr:from>
    <xdr:to>
      <xdr:col>21</xdr:col>
      <xdr:colOff>291090</xdr:colOff>
      <xdr:row>148</xdr:row>
      <xdr:rowOff>171435</xdr:rowOff>
    </xdr:to>
    <xdr:grpSp>
      <xdr:nvGrpSpPr>
        <xdr:cNvPr id="12" name="Group 11">
          <a:extLst>
            <a:ext uri="{FF2B5EF4-FFF2-40B4-BE49-F238E27FC236}">
              <a16:creationId xmlns:a16="http://schemas.microsoft.com/office/drawing/2014/main" id="{00000000-0008-0000-0A00-00000C000000}"/>
            </a:ext>
          </a:extLst>
        </xdr:cNvPr>
        <xdr:cNvGrpSpPr/>
      </xdr:nvGrpSpPr>
      <xdr:grpSpPr>
        <a:xfrm>
          <a:off x="14940249" y="26609838"/>
          <a:ext cx="8401341" cy="3932740"/>
          <a:chOff x="12944474" y="15440025"/>
          <a:chExt cx="5869306" cy="4600575"/>
        </a:xfrm>
      </xdr:grpSpPr>
      <xdr:graphicFrame macro="">
        <xdr:nvGraphicFramePr>
          <xdr:cNvPr id="13" name="Chart 12">
            <a:extLst>
              <a:ext uri="{FF2B5EF4-FFF2-40B4-BE49-F238E27FC236}">
                <a16:creationId xmlns:a16="http://schemas.microsoft.com/office/drawing/2014/main" id="{00000000-0008-0000-0A00-00000D000000}"/>
              </a:ext>
            </a:extLst>
          </xdr:cNvPr>
          <xdr:cNvGraphicFramePr/>
        </xdr:nvGraphicFramePr>
        <xdr:xfrm>
          <a:off x="15868651" y="15440025"/>
          <a:ext cx="2926080" cy="2286000"/>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47" name="Chart 46">
            <a:extLst>
              <a:ext uri="{FF2B5EF4-FFF2-40B4-BE49-F238E27FC236}">
                <a16:creationId xmlns:a16="http://schemas.microsoft.com/office/drawing/2014/main" id="{00000000-0008-0000-0A00-00002F000000}"/>
              </a:ext>
            </a:extLst>
          </xdr:cNvPr>
          <xdr:cNvGraphicFramePr>
            <a:graphicFrameLocks/>
          </xdr:cNvGraphicFramePr>
        </xdr:nvGraphicFramePr>
        <xdr:xfrm>
          <a:off x="12944474" y="17745075"/>
          <a:ext cx="2926080" cy="228600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48" name="Chart 47">
            <a:extLst>
              <a:ext uri="{FF2B5EF4-FFF2-40B4-BE49-F238E27FC236}">
                <a16:creationId xmlns:a16="http://schemas.microsoft.com/office/drawing/2014/main" id="{00000000-0008-0000-0A00-000030000000}"/>
              </a:ext>
            </a:extLst>
          </xdr:cNvPr>
          <xdr:cNvGraphicFramePr>
            <a:graphicFrameLocks/>
          </xdr:cNvGraphicFramePr>
        </xdr:nvGraphicFramePr>
        <xdr:xfrm>
          <a:off x="15887700" y="17754600"/>
          <a:ext cx="2926080" cy="2286000"/>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18" name="Chart 17">
            <a:extLst>
              <a:ext uri="{FF2B5EF4-FFF2-40B4-BE49-F238E27FC236}">
                <a16:creationId xmlns:a16="http://schemas.microsoft.com/office/drawing/2014/main" id="{00000000-0008-0000-0A00-000012000000}"/>
              </a:ext>
            </a:extLst>
          </xdr:cNvPr>
          <xdr:cNvGraphicFramePr/>
        </xdr:nvGraphicFramePr>
        <xdr:xfrm>
          <a:off x="12949236" y="15444787"/>
          <a:ext cx="2926080" cy="2286000"/>
        </xdr:xfrm>
        <a:graphic>
          <a:graphicData uri="http://schemas.openxmlformats.org/drawingml/2006/chart">
            <c:chart xmlns:c="http://schemas.openxmlformats.org/drawingml/2006/chart" xmlns:r="http://schemas.openxmlformats.org/officeDocument/2006/relationships" r:id="rId16"/>
          </a:graphicData>
        </a:graphic>
      </xdr:graphicFrame>
    </xdr:grpSp>
    <xdr:clientData/>
  </xdr:twoCellAnchor>
  <xdr:twoCellAnchor>
    <xdr:from>
      <xdr:col>1</xdr:col>
      <xdr:colOff>423862</xdr:colOff>
      <xdr:row>386</xdr:row>
      <xdr:rowOff>121443</xdr:rowOff>
    </xdr:from>
    <xdr:to>
      <xdr:col>6</xdr:col>
      <xdr:colOff>766762</xdr:colOff>
      <xdr:row>401</xdr:row>
      <xdr:rowOff>169068</xdr:rowOff>
    </xdr:to>
    <xdr:graphicFrame macro="">
      <xdr:nvGraphicFramePr>
        <xdr:cNvPr id="22" name="Chart 21">
          <a:extLst>
            <a:ext uri="{FF2B5EF4-FFF2-40B4-BE49-F238E27FC236}">
              <a16:creationId xmlns:a16="http://schemas.microsoft.com/office/drawing/2014/main" id="{00000000-0008-0000-0A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197757</xdr:colOff>
      <xdr:row>386</xdr:row>
      <xdr:rowOff>30389</xdr:rowOff>
    </xdr:from>
    <xdr:to>
      <xdr:col>12</xdr:col>
      <xdr:colOff>664482</xdr:colOff>
      <xdr:row>401</xdr:row>
      <xdr:rowOff>59418</xdr:rowOff>
    </xdr:to>
    <xdr:graphicFrame macro="">
      <xdr:nvGraphicFramePr>
        <xdr:cNvPr id="49" name="Chart 48">
          <a:extLst>
            <a:ext uri="{FF2B5EF4-FFF2-40B4-BE49-F238E27FC236}">
              <a16:creationId xmlns:a16="http://schemas.microsoft.com/office/drawing/2014/main" id="{00000000-0008-0000-0A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273524</xdr:colOff>
      <xdr:row>292</xdr:row>
      <xdr:rowOff>38516</xdr:rowOff>
    </xdr:from>
    <xdr:to>
      <xdr:col>6</xdr:col>
      <xdr:colOff>199095</xdr:colOff>
      <xdr:row>311</xdr:row>
      <xdr:rowOff>145540</xdr:rowOff>
    </xdr:to>
    <xdr:graphicFrame macro="">
      <xdr:nvGraphicFramePr>
        <xdr:cNvPr id="52" name="Chart 51">
          <a:extLst>
            <a:ext uri="{FF2B5EF4-FFF2-40B4-BE49-F238E27FC236}">
              <a16:creationId xmlns:a16="http://schemas.microsoft.com/office/drawing/2014/main" id="{00000000-0008-0000-0A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602343</xdr:colOff>
      <xdr:row>293</xdr:row>
      <xdr:rowOff>193670</xdr:rowOff>
    </xdr:from>
    <xdr:to>
      <xdr:col>10</xdr:col>
      <xdr:colOff>175985</xdr:colOff>
      <xdr:row>313</xdr:row>
      <xdr:rowOff>70691</xdr:rowOff>
    </xdr:to>
    <xdr:graphicFrame macro="">
      <xdr:nvGraphicFramePr>
        <xdr:cNvPr id="62" name="Chart 61">
          <a:extLst>
            <a:ext uri="{FF2B5EF4-FFF2-40B4-BE49-F238E27FC236}">
              <a16:creationId xmlns:a16="http://schemas.microsoft.com/office/drawing/2014/main" id="{00000000-0008-0000-0A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452891</xdr:colOff>
      <xdr:row>79</xdr:row>
      <xdr:rowOff>4988</xdr:rowOff>
    </xdr:from>
    <xdr:to>
      <xdr:col>10</xdr:col>
      <xdr:colOff>506616</xdr:colOff>
      <xdr:row>96</xdr:row>
      <xdr:rowOff>199118</xdr:rowOff>
    </xdr:to>
    <xdr:graphicFrame macro="">
      <xdr:nvGraphicFramePr>
        <xdr:cNvPr id="19" name="Chart 18">
          <a:extLst>
            <a:ext uri="{FF2B5EF4-FFF2-40B4-BE49-F238E27FC236}">
              <a16:creationId xmlns:a16="http://schemas.microsoft.com/office/drawing/2014/main" id="{00000000-0008-0000-0A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xdr:col>
      <xdr:colOff>548768</xdr:colOff>
      <xdr:row>99</xdr:row>
      <xdr:rowOff>62074</xdr:rowOff>
    </xdr:from>
    <xdr:to>
      <xdr:col>9</xdr:col>
      <xdr:colOff>310395</xdr:colOff>
      <xdr:row>114</xdr:row>
      <xdr:rowOff>159355</xdr:rowOff>
    </xdr:to>
    <xdr:graphicFrame macro="">
      <xdr:nvGraphicFramePr>
        <xdr:cNvPr id="25" name="Chart 24">
          <a:extLst>
            <a:ext uri="{FF2B5EF4-FFF2-40B4-BE49-F238E27FC236}">
              <a16:creationId xmlns:a16="http://schemas.microsoft.com/office/drawing/2014/main" id="{00000000-0008-0000-0A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368156</xdr:colOff>
      <xdr:row>186</xdr:row>
      <xdr:rowOff>132066</xdr:rowOff>
    </xdr:from>
    <xdr:to>
      <xdr:col>8</xdr:col>
      <xdr:colOff>1587501</xdr:colOff>
      <xdr:row>203</xdr:row>
      <xdr:rowOff>145143</xdr:rowOff>
    </xdr:to>
    <xdr:graphicFrame macro="">
      <xdr:nvGraphicFramePr>
        <xdr:cNvPr id="27" name="Chart 26">
          <a:extLst>
            <a:ext uri="{FF2B5EF4-FFF2-40B4-BE49-F238E27FC236}">
              <a16:creationId xmlns:a16="http://schemas.microsoft.com/office/drawing/2014/main" id="{00000000-0008-0000-0A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12</xdr:col>
      <xdr:colOff>377432</xdr:colOff>
      <xdr:row>185</xdr:row>
      <xdr:rowOff>164377</xdr:rowOff>
    </xdr:from>
    <xdr:to>
      <xdr:col>18</xdr:col>
      <xdr:colOff>700130</xdr:colOff>
      <xdr:row>201</xdr:row>
      <xdr:rowOff>89807</xdr:rowOff>
    </xdr:to>
    <xdr:graphicFrame macro="">
      <xdr:nvGraphicFramePr>
        <xdr:cNvPr id="30" name="Chart 29">
          <a:extLst>
            <a:ext uri="{FF2B5EF4-FFF2-40B4-BE49-F238E27FC236}">
              <a16:creationId xmlns:a16="http://schemas.microsoft.com/office/drawing/2014/main" id="{00000000-0008-0000-0A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65478</xdr:colOff>
      <xdr:row>264</xdr:row>
      <xdr:rowOff>195657</xdr:rowOff>
    </xdr:from>
    <xdr:to>
      <xdr:col>9</xdr:col>
      <xdr:colOff>640772</xdr:colOff>
      <xdr:row>282</xdr:row>
      <xdr:rowOff>121228</xdr:rowOff>
    </xdr:to>
    <xdr:graphicFrame macro="">
      <xdr:nvGraphicFramePr>
        <xdr:cNvPr id="56" name="Chart 55">
          <a:extLst>
            <a:ext uri="{FF2B5EF4-FFF2-40B4-BE49-F238E27FC236}">
              <a16:creationId xmlns:a16="http://schemas.microsoft.com/office/drawing/2014/main" id="{00000000-0008-0000-0A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13</xdr:col>
      <xdr:colOff>98071</xdr:colOff>
      <xdr:row>263</xdr:row>
      <xdr:rowOff>164523</xdr:rowOff>
    </xdr:from>
    <xdr:to>
      <xdr:col>19</xdr:col>
      <xdr:colOff>122102</xdr:colOff>
      <xdr:row>282</xdr:row>
      <xdr:rowOff>60615</xdr:rowOff>
    </xdr:to>
    <xdr:graphicFrame macro="">
      <xdr:nvGraphicFramePr>
        <xdr:cNvPr id="61" name="Chart 60">
          <a:extLst>
            <a:ext uri="{FF2B5EF4-FFF2-40B4-BE49-F238E27FC236}">
              <a16:creationId xmlns:a16="http://schemas.microsoft.com/office/drawing/2014/main" id="{00000000-0008-0000-0A00-00003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15</xdr:col>
      <xdr:colOff>293327</xdr:colOff>
      <xdr:row>322</xdr:row>
      <xdr:rowOff>160627</xdr:rowOff>
    </xdr:from>
    <xdr:to>
      <xdr:col>17</xdr:col>
      <xdr:colOff>513881</xdr:colOff>
      <xdr:row>343</xdr:row>
      <xdr:rowOff>154845</xdr:rowOff>
    </xdr:to>
    <mc:AlternateContent xmlns:mc="http://schemas.openxmlformats.org/markup-compatibility/2006" xmlns:a14="http://schemas.microsoft.com/office/drawing/2010/main">
      <mc:Choice Requires="a14">
        <xdr:graphicFrame macro="">
          <xdr:nvGraphicFramePr>
            <xdr:cNvPr id="21" name="Type of accommodation">
              <a:extLst>
                <a:ext uri="{FF2B5EF4-FFF2-40B4-BE49-F238E27FC236}">
                  <a16:creationId xmlns:a16="http://schemas.microsoft.com/office/drawing/2014/main" id="{00000000-0008-0000-0A00-000015000000}"/>
                </a:ext>
              </a:extLst>
            </xdr:cNvPr>
            <xdr:cNvGraphicFramePr/>
          </xdr:nvGraphicFramePr>
          <xdr:xfrm>
            <a:off x="0" y="0"/>
            <a:ext cx="0" cy="0"/>
          </xdr:xfrm>
          <a:graphic>
            <a:graphicData uri="http://schemas.microsoft.com/office/drawing/2010/slicer">
              <sle:slicer xmlns:sle="http://schemas.microsoft.com/office/drawing/2010/slicer" name="Type of accommodation"/>
            </a:graphicData>
          </a:graphic>
        </xdr:graphicFrame>
      </mc:Choice>
      <mc:Fallback xmlns="">
        <xdr:sp macro="" textlink="">
          <xdr:nvSpPr>
            <xdr:cNvPr id="0" name=""/>
            <xdr:cNvSpPr>
              <a:spLocks noTextEdit="1"/>
            </xdr:cNvSpPr>
          </xdr:nvSpPr>
          <xdr:spPr>
            <a:xfrm>
              <a:off x="16139463" y="66835627"/>
              <a:ext cx="1830964" cy="245441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817686</xdr:colOff>
      <xdr:row>335</xdr:row>
      <xdr:rowOff>17329</xdr:rowOff>
    </xdr:from>
    <xdr:to>
      <xdr:col>14</xdr:col>
      <xdr:colOff>551050</xdr:colOff>
      <xdr:row>347</xdr:row>
      <xdr:rowOff>50873</xdr:rowOff>
    </xdr:to>
    <mc:AlternateContent xmlns:mc="http://schemas.openxmlformats.org/markup-compatibility/2006" xmlns:a14="http://schemas.microsoft.com/office/drawing/2010/main">
      <mc:Choice Requires="a14">
        <xdr:graphicFrame macro="">
          <xdr:nvGraphicFramePr>
            <xdr:cNvPr id="24" name="Location Type 1 1">
              <a:extLst>
                <a:ext uri="{FF2B5EF4-FFF2-40B4-BE49-F238E27FC236}">
                  <a16:creationId xmlns:a16="http://schemas.microsoft.com/office/drawing/2014/main" id="{00000000-0008-0000-0A00-000018000000}"/>
                </a:ext>
              </a:extLst>
            </xdr:cNvPr>
            <xdr:cNvGraphicFramePr/>
          </xdr:nvGraphicFramePr>
          <xdr:xfrm>
            <a:off x="0" y="0"/>
            <a:ext cx="0" cy="0"/>
          </xdr:xfrm>
          <a:graphic>
            <a:graphicData uri="http://schemas.microsoft.com/office/drawing/2010/slicer">
              <sle:slicer xmlns:sle="http://schemas.microsoft.com/office/drawing/2010/slicer" name="Location Type 1 1"/>
            </a:graphicData>
          </a:graphic>
        </xdr:graphicFrame>
      </mc:Choice>
      <mc:Fallback xmlns="">
        <xdr:sp macro="" textlink="">
          <xdr:nvSpPr>
            <xdr:cNvPr id="0" name=""/>
            <xdr:cNvSpPr>
              <a:spLocks noTextEdit="1"/>
            </xdr:cNvSpPr>
          </xdr:nvSpPr>
          <xdr:spPr>
            <a:xfrm>
              <a:off x="15540615" y="66175258"/>
              <a:ext cx="1856078" cy="221068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5</xdr:col>
      <xdr:colOff>577707</xdr:colOff>
      <xdr:row>49</xdr:row>
      <xdr:rowOff>152742</xdr:rowOff>
    </xdr:from>
    <xdr:to>
      <xdr:col>11</xdr:col>
      <xdr:colOff>603537</xdr:colOff>
      <xdr:row>61</xdr:row>
      <xdr:rowOff>126426</xdr:rowOff>
    </xdr:to>
    <xdr:grpSp>
      <xdr:nvGrpSpPr>
        <xdr:cNvPr id="7" name="Group 6">
          <a:extLst>
            <a:ext uri="{FF2B5EF4-FFF2-40B4-BE49-F238E27FC236}">
              <a16:creationId xmlns:a16="http://schemas.microsoft.com/office/drawing/2014/main" id="{13515ECA-51AB-46E4-BDFD-0B638F3F293E}"/>
            </a:ext>
          </a:extLst>
        </xdr:cNvPr>
        <xdr:cNvGrpSpPr/>
      </xdr:nvGrpSpPr>
      <xdr:grpSpPr>
        <a:xfrm>
          <a:off x="5957064" y="9968028"/>
          <a:ext cx="8562044" cy="2268755"/>
          <a:chOff x="44642" y="11767417"/>
          <a:chExt cx="6287692" cy="2295015"/>
        </a:xfrm>
      </xdr:grpSpPr>
      <xdr:graphicFrame macro="">
        <xdr:nvGraphicFramePr>
          <xdr:cNvPr id="67" name="Chart 66">
            <a:extLst>
              <a:ext uri="{FF2B5EF4-FFF2-40B4-BE49-F238E27FC236}">
                <a16:creationId xmlns:a16="http://schemas.microsoft.com/office/drawing/2014/main" id="{00000000-0008-0000-0A00-000043000000}"/>
              </a:ext>
            </a:extLst>
          </xdr:cNvPr>
          <xdr:cNvGraphicFramePr/>
        </xdr:nvGraphicFramePr>
        <xdr:xfrm>
          <a:off x="44642" y="11767417"/>
          <a:ext cx="2927597" cy="2291828"/>
        </xdr:xfrm>
        <a:graphic>
          <a:graphicData uri="http://schemas.openxmlformats.org/drawingml/2006/chart">
            <c:chart xmlns:c="http://schemas.openxmlformats.org/drawingml/2006/chart" xmlns:r="http://schemas.openxmlformats.org/officeDocument/2006/relationships" r:id="rId27"/>
          </a:graphicData>
        </a:graphic>
      </xdr:graphicFrame>
      <xdr:graphicFrame macro="">
        <xdr:nvGraphicFramePr>
          <xdr:cNvPr id="69" name="Chart 68">
            <a:extLst>
              <a:ext uri="{FF2B5EF4-FFF2-40B4-BE49-F238E27FC236}">
                <a16:creationId xmlns:a16="http://schemas.microsoft.com/office/drawing/2014/main" id="{00000000-0008-0000-0A00-000045000000}"/>
              </a:ext>
            </a:extLst>
          </xdr:cNvPr>
          <xdr:cNvGraphicFramePr>
            <a:graphicFrameLocks/>
          </xdr:cNvGraphicFramePr>
        </xdr:nvGraphicFramePr>
        <xdr:xfrm>
          <a:off x="3107203" y="11768540"/>
          <a:ext cx="3225131" cy="2293892"/>
        </xdr:xfrm>
        <a:graphic>
          <a:graphicData uri="http://schemas.openxmlformats.org/drawingml/2006/chart">
            <c:chart xmlns:c="http://schemas.openxmlformats.org/drawingml/2006/chart" xmlns:r="http://schemas.openxmlformats.org/officeDocument/2006/relationships" r:id="rId28"/>
          </a:graphicData>
        </a:graphic>
      </xdr:graphicFrame>
    </xdr:grpSp>
    <xdr:clientData/>
  </xdr:twoCellAnchor>
  <xdr:twoCellAnchor>
    <xdr:from>
      <xdr:col>6</xdr:col>
      <xdr:colOff>326339</xdr:colOff>
      <xdr:row>62</xdr:row>
      <xdr:rowOff>24494</xdr:rowOff>
    </xdr:from>
    <xdr:to>
      <xdr:col>9</xdr:col>
      <xdr:colOff>961622</xdr:colOff>
      <xdr:row>73</xdr:row>
      <xdr:rowOff>108265</xdr:rowOff>
    </xdr:to>
    <xdr:graphicFrame macro="">
      <xdr:nvGraphicFramePr>
        <xdr:cNvPr id="70" name="Chart 69">
          <a:extLst>
            <a:ext uri="{FF2B5EF4-FFF2-40B4-BE49-F238E27FC236}">
              <a16:creationId xmlns:a16="http://schemas.microsoft.com/office/drawing/2014/main" id="{00000000-0008-0000-0A00-00004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20</xdr:col>
      <xdr:colOff>600528</xdr:colOff>
      <xdr:row>47</xdr:row>
      <xdr:rowOff>50610</xdr:rowOff>
    </xdr:from>
    <xdr:to>
      <xdr:col>22</xdr:col>
      <xdr:colOff>396659</xdr:colOff>
      <xdr:row>59</xdr:row>
      <xdr:rowOff>95967</xdr:rowOff>
    </xdr:to>
    <xdr:graphicFrame macro="">
      <xdr:nvGraphicFramePr>
        <xdr:cNvPr id="72" name="Chart 71">
          <a:extLst>
            <a:ext uri="{FF2B5EF4-FFF2-40B4-BE49-F238E27FC236}">
              <a16:creationId xmlns:a16="http://schemas.microsoft.com/office/drawing/2014/main" id="{00000000-0008-0000-0A00-00004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22</xdr:col>
      <xdr:colOff>509388</xdr:colOff>
      <xdr:row>47</xdr:row>
      <xdr:rowOff>43543</xdr:rowOff>
    </xdr:from>
    <xdr:to>
      <xdr:col>25</xdr:col>
      <xdr:colOff>468850</xdr:colOff>
      <xdr:row>59</xdr:row>
      <xdr:rowOff>81632</xdr:rowOff>
    </xdr:to>
    <xdr:graphicFrame macro="">
      <xdr:nvGraphicFramePr>
        <xdr:cNvPr id="74" name="Chart 73">
          <a:extLst>
            <a:ext uri="{FF2B5EF4-FFF2-40B4-BE49-F238E27FC236}">
              <a16:creationId xmlns:a16="http://schemas.microsoft.com/office/drawing/2014/main" id="{00000000-0008-0000-0A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20</xdr:col>
      <xdr:colOff>564623</xdr:colOff>
      <xdr:row>59</xdr:row>
      <xdr:rowOff>171030</xdr:rowOff>
    </xdr:from>
    <xdr:to>
      <xdr:col>23</xdr:col>
      <xdr:colOff>707526</xdr:colOff>
      <xdr:row>71</xdr:row>
      <xdr:rowOff>111340</xdr:rowOff>
    </xdr:to>
    <xdr:graphicFrame macro="">
      <xdr:nvGraphicFramePr>
        <xdr:cNvPr id="75" name="Chart 74">
          <a:extLst>
            <a:ext uri="{FF2B5EF4-FFF2-40B4-BE49-F238E27FC236}">
              <a16:creationId xmlns:a16="http://schemas.microsoft.com/office/drawing/2014/main" id="{00000000-0008-0000-0A00-00004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764147</xdr:colOff>
      <xdr:row>245</xdr:row>
      <xdr:rowOff>121939</xdr:rowOff>
    </xdr:from>
    <xdr:to>
      <xdr:col>9</xdr:col>
      <xdr:colOff>274686</xdr:colOff>
      <xdr:row>260</xdr:row>
      <xdr:rowOff>130404</xdr:rowOff>
    </xdr:to>
    <xdr:graphicFrame macro="">
      <xdr:nvGraphicFramePr>
        <xdr:cNvPr id="10" name="Chart 9">
          <a:extLst>
            <a:ext uri="{FF2B5EF4-FFF2-40B4-BE49-F238E27FC236}">
              <a16:creationId xmlns:a16="http://schemas.microsoft.com/office/drawing/2014/main" id="{00000000-0008-0000-0A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9</xdr:col>
      <xdr:colOff>1070293</xdr:colOff>
      <xdr:row>246</xdr:row>
      <xdr:rowOff>47898</xdr:rowOff>
    </xdr:from>
    <xdr:to>
      <xdr:col>15</xdr:col>
      <xdr:colOff>169333</xdr:colOff>
      <xdr:row>261</xdr:row>
      <xdr:rowOff>25306</xdr:rowOff>
    </xdr:to>
    <xdr:graphicFrame macro="">
      <xdr:nvGraphicFramePr>
        <xdr:cNvPr id="16" name="Chart 15">
          <a:extLst>
            <a:ext uri="{FF2B5EF4-FFF2-40B4-BE49-F238E27FC236}">
              <a16:creationId xmlns:a16="http://schemas.microsoft.com/office/drawing/2014/main" id="{00000000-0008-0000-0A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12</xdr:col>
      <xdr:colOff>1292305</xdr:colOff>
      <xdr:row>119</xdr:row>
      <xdr:rowOff>95604</xdr:rowOff>
    </xdr:from>
    <xdr:to>
      <xdr:col>17</xdr:col>
      <xdr:colOff>1109959</xdr:colOff>
      <xdr:row>132</xdr:row>
      <xdr:rowOff>115198</xdr:rowOff>
    </xdr:to>
    <xdr:graphicFrame macro="">
      <xdr:nvGraphicFramePr>
        <xdr:cNvPr id="20" name="Chart 19">
          <a:extLst>
            <a:ext uri="{FF2B5EF4-FFF2-40B4-BE49-F238E27FC236}">
              <a16:creationId xmlns:a16="http://schemas.microsoft.com/office/drawing/2014/main" id="{00000000-0008-0000-0A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23</xdr:col>
      <xdr:colOff>32658</xdr:colOff>
      <xdr:row>127</xdr:row>
      <xdr:rowOff>9186</xdr:rowOff>
    </xdr:from>
    <xdr:to>
      <xdr:col>28</xdr:col>
      <xdr:colOff>261258</xdr:colOff>
      <xdr:row>138</xdr:row>
      <xdr:rowOff>234749</xdr:rowOff>
    </xdr:to>
    <xdr:graphicFrame macro="">
      <xdr:nvGraphicFramePr>
        <xdr:cNvPr id="23" name="Chart 22">
          <a:extLst>
            <a:ext uri="{FF2B5EF4-FFF2-40B4-BE49-F238E27FC236}">
              <a16:creationId xmlns:a16="http://schemas.microsoft.com/office/drawing/2014/main" id="{00000000-0008-0000-0A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9</xdr:col>
      <xdr:colOff>728104</xdr:colOff>
      <xdr:row>219</xdr:row>
      <xdr:rowOff>36714</xdr:rowOff>
    </xdr:from>
    <xdr:to>
      <xdr:col>14</xdr:col>
      <xdr:colOff>215569</xdr:colOff>
      <xdr:row>231</xdr:row>
      <xdr:rowOff>108570</xdr:rowOff>
    </xdr:to>
    <xdr:graphicFrame macro="">
      <xdr:nvGraphicFramePr>
        <xdr:cNvPr id="6" name="Chart 5">
          <a:extLst>
            <a:ext uri="{FF2B5EF4-FFF2-40B4-BE49-F238E27FC236}">
              <a16:creationId xmlns:a16="http://schemas.microsoft.com/office/drawing/2014/main" id="{2127CB1B-CF52-4934-9A31-67D012EEDD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37</xdr:col>
      <xdr:colOff>385535</xdr:colOff>
      <xdr:row>123</xdr:row>
      <xdr:rowOff>20863</xdr:rowOff>
    </xdr:from>
    <xdr:to>
      <xdr:col>44</xdr:col>
      <xdr:colOff>99786</xdr:colOff>
      <xdr:row>136</xdr:row>
      <xdr:rowOff>344714</xdr:rowOff>
    </xdr:to>
    <xdr:graphicFrame macro="">
      <xdr:nvGraphicFramePr>
        <xdr:cNvPr id="2" name="Chart 1">
          <a:extLst>
            <a:ext uri="{FF2B5EF4-FFF2-40B4-BE49-F238E27FC236}">
              <a16:creationId xmlns:a16="http://schemas.microsoft.com/office/drawing/2014/main" id="{0D1B7F5B-1385-45C1-80CD-6E269BEB2C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37</xdr:col>
      <xdr:colOff>349250</xdr:colOff>
      <xdr:row>137</xdr:row>
      <xdr:rowOff>329293</xdr:rowOff>
    </xdr:from>
    <xdr:to>
      <xdr:col>43</xdr:col>
      <xdr:colOff>358321</xdr:colOff>
      <xdr:row>151</xdr:row>
      <xdr:rowOff>27214</xdr:rowOff>
    </xdr:to>
    <xdr:graphicFrame macro="">
      <xdr:nvGraphicFramePr>
        <xdr:cNvPr id="5" name="Chart 4">
          <a:extLst>
            <a:ext uri="{FF2B5EF4-FFF2-40B4-BE49-F238E27FC236}">
              <a16:creationId xmlns:a16="http://schemas.microsoft.com/office/drawing/2014/main" id="{E6BD2C48-5C12-40E5-B489-62254BFEC2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6</xdr:col>
      <xdr:colOff>56577</xdr:colOff>
      <xdr:row>406</xdr:row>
      <xdr:rowOff>13633</xdr:rowOff>
    </xdr:from>
    <xdr:to>
      <xdr:col>8</xdr:col>
      <xdr:colOff>1752600</xdr:colOff>
      <xdr:row>421</xdr:row>
      <xdr:rowOff>14399</xdr:rowOff>
    </xdr:to>
    <xdr:graphicFrame macro="">
      <xdr:nvGraphicFramePr>
        <xdr:cNvPr id="26" name="Chart 25">
          <a:extLst>
            <a:ext uri="{FF2B5EF4-FFF2-40B4-BE49-F238E27FC236}">
              <a16:creationId xmlns:a16="http://schemas.microsoft.com/office/drawing/2014/main" id="{91A5155A-7E4E-439A-81E1-09D1A5B525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6</xdr:col>
      <xdr:colOff>12128</xdr:colOff>
      <xdr:row>422</xdr:row>
      <xdr:rowOff>132633</xdr:rowOff>
    </xdr:from>
    <xdr:to>
      <xdr:col>8</xdr:col>
      <xdr:colOff>1755656</xdr:colOff>
      <xdr:row>437</xdr:row>
      <xdr:rowOff>87754</xdr:rowOff>
    </xdr:to>
    <xdr:graphicFrame macro="">
      <xdr:nvGraphicFramePr>
        <xdr:cNvPr id="32" name="Chart 31">
          <a:extLst>
            <a:ext uri="{FF2B5EF4-FFF2-40B4-BE49-F238E27FC236}">
              <a16:creationId xmlns:a16="http://schemas.microsoft.com/office/drawing/2014/main" id="{24710C20-E08A-407F-B39D-D123BFA1C7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21</xdr:col>
      <xdr:colOff>426357</xdr:colOff>
      <xdr:row>6</xdr:row>
      <xdr:rowOff>66221</xdr:rowOff>
    </xdr:from>
    <xdr:to>
      <xdr:col>22</xdr:col>
      <xdr:colOff>1533071</xdr:colOff>
      <xdr:row>17</xdr:row>
      <xdr:rowOff>172357</xdr:rowOff>
    </xdr:to>
    <xdr:graphicFrame macro="">
      <xdr:nvGraphicFramePr>
        <xdr:cNvPr id="33" name="Chart 32">
          <a:extLst>
            <a:ext uri="{FF2B5EF4-FFF2-40B4-BE49-F238E27FC236}">
              <a16:creationId xmlns:a16="http://schemas.microsoft.com/office/drawing/2014/main" id="{2CD75C80-BE57-47D0-B1AA-8330055E88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7</xdr:col>
      <xdr:colOff>539750</xdr:colOff>
      <xdr:row>460</xdr:row>
      <xdr:rowOff>138792</xdr:rowOff>
    </xdr:from>
    <xdr:to>
      <xdr:col>7</xdr:col>
      <xdr:colOff>2368550</xdr:colOff>
      <xdr:row>477</xdr:row>
      <xdr:rowOff>174618</xdr:rowOff>
    </xdr:to>
    <mc:AlternateContent xmlns:mc="http://schemas.openxmlformats.org/markup-compatibility/2006" xmlns:a14="http://schemas.microsoft.com/office/drawing/2010/main">
      <mc:Choice Requires="a14">
        <xdr:graphicFrame macro="">
          <xdr:nvGraphicFramePr>
            <xdr:cNvPr id="8" name="Township 3">
              <a:extLst>
                <a:ext uri="{FF2B5EF4-FFF2-40B4-BE49-F238E27FC236}">
                  <a16:creationId xmlns:a16="http://schemas.microsoft.com/office/drawing/2014/main" id="{2A53C130-B48F-475B-9DD9-BE933A4358C4}"/>
                </a:ext>
              </a:extLst>
            </xdr:cNvPr>
            <xdr:cNvGraphicFramePr/>
          </xdr:nvGraphicFramePr>
          <xdr:xfrm>
            <a:off x="0" y="0"/>
            <a:ext cx="0" cy="0"/>
          </xdr:xfrm>
          <a:graphic>
            <a:graphicData uri="http://schemas.microsoft.com/office/drawing/2010/slicer">
              <sle:slicer xmlns:sle="http://schemas.microsoft.com/office/drawing/2010/slicer" name="Township 3"/>
            </a:graphicData>
          </a:graphic>
        </xdr:graphicFrame>
      </mc:Choice>
      <mc:Fallback xmlns="">
        <xdr:sp macro="" textlink="">
          <xdr:nvSpPr>
            <xdr:cNvPr id="0" name=""/>
            <xdr:cNvSpPr>
              <a:spLocks noTextEdit="1"/>
            </xdr:cNvSpPr>
          </xdr:nvSpPr>
          <xdr:spPr>
            <a:xfrm>
              <a:off x="7524750" y="91633221"/>
              <a:ext cx="1828800" cy="300036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512535</xdr:colOff>
      <xdr:row>453</xdr:row>
      <xdr:rowOff>12700</xdr:rowOff>
    </xdr:from>
    <xdr:to>
      <xdr:col>7</xdr:col>
      <xdr:colOff>2341335</xdr:colOff>
      <xdr:row>461</xdr:row>
      <xdr:rowOff>18143</xdr:rowOff>
    </xdr:to>
    <mc:AlternateContent xmlns:mc="http://schemas.openxmlformats.org/markup-compatibility/2006" xmlns:a14="http://schemas.microsoft.com/office/drawing/2010/main">
      <mc:Choice Requires="a14">
        <xdr:graphicFrame macro="">
          <xdr:nvGraphicFramePr>
            <xdr:cNvPr id="34" name="State 4">
              <a:extLst>
                <a:ext uri="{FF2B5EF4-FFF2-40B4-BE49-F238E27FC236}">
                  <a16:creationId xmlns:a16="http://schemas.microsoft.com/office/drawing/2014/main" id="{823403A2-A951-40DD-B44A-79A83390A2D9}"/>
                </a:ext>
              </a:extLst>
            </xdr:cNvPr>
            <xdr:cNvGraphicFramePr/>
          </xdr:nvGraphicFramePr>
          <xdr:xfrm>
            <a:off x="0" y="0"/>
            <a:ext cx="0" cy="0"/>
          </xdr:xfrm>
          <a:graphic>
            <a:graphicData uri="http://schemas.microsoft.com/office/drawing/2010/slicer">
              <sle:slicer xmlns:sle="http://schemas.microsoft.com/office/drawing/2010/slicer" name="State 4"/>
            </a:graphicData>
          </a:graphic>
        </xdr:graphicFrame>
      </mc:Choice>
      <mc:Fallback xmlns="">
        <xdr:sp macro="" textlink="">
          <xdr:nvSpPr>
            <xdr:cNvPr id="0" name=""/>
            <xdr:cNvSpPr>
              <a:spLocks noTextEdit="1"/>
            </xdr:cNvSpPr>
          </xdr:nvSpPr>
          <xdr:spPr>
            <a:xfrm>
              <a:off x="7497535" y="90164557"/>
              <a:ext cx="1828800" cy="152944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492579</xdr:colOff>
      <xdr:row>479</xdr:row>
      <xdr:rowOff>45357</xdr:rowOff>
    </xdr:from>
    <xdr:to>
      <xdr:col>7</xdr:col>
      <xdr:colOff>2321379</xdr:colOff>
      <xdr:row>496</xdr:row>
      <xdr:rowOff>102954</xdr:rowOff>
    </xdr:to>
    <mc:AlternateContent xmlns:mc="http://schemas.openxmlformats.org/markup-compatibility/2006" xmlns:a14="http://schemas.microsoft.com/office/drawing/2010/main">
      <mc:Choice Requires="a14">
        <xdr:graphicFrame macro="">
          <xdr:nvGraphicFramePr>
            <xdr:cNvPr id="35" name="WASH project agency 1">
              <a:extLst>
                <a:ext uri="{FF2B5EF4-FFF2-40B4-BE49-F238E27FC236}">
                  <a16:creationId xmlns:a16="http://schemas.microsoft.com/office/drawing/2014/main" id="{BDAA6529-ED15-4F1B-A8A9-2DEFFFCD1C9C}"/>
                </a:ext>
              </a:extLst>
            </xdr:cNvPr>
            <xdr:cNvGraphicFramePr/>
          </xdr:nvGraphicFramePr>
          <xdr:xfrm>
            <a:off x="0" y="0"/>
            <a:ext cx="0" cy="0"/>
          </xdr:xfrm>
          <a:graphic>
            <a:graphicData uri="http://schemas.microsoft.com/office/drawing/2010/slicer">
              <sle:slicer xmlns:sle="http://schemas.microsoft.com/office/drawing/2010/slicer" name="WASH project agency 1"/>
            </a:graphicData>
          </a:graphic>
        </xdr:graphicFrame>
      </mc:Choice>
      <mc:Fallback xmlns="">
        <xdr:sp macro="" textlink="">
          <xdr:nvSpPr>
            <xdr:cNvPr id="0" name=""/>
            <xdr:cNvSpPr>
              <a:spLocks noTextEdit="1"/>
            </xdr:cNvSpPr>
          </xdr:nvSpPr>
          <xdr:spPr>
            <a:xfrm>
              <a:off x="7448550" y="95567500"/>
              <a:ext cx="1828800" cy="320357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106680</xdr:colOff>
      <xdr:row>4</xdr:row>
      <xdr:rowOff>190500</xdr:rowOff>
    </xdr:from>
    <xdr:to>
      <xdr:col>12</xdr:col>
      <xdr:colOff>594360</xdr:colOff>
      <xdr:row>20</xdr:row>
      <xdr:rowOff>59055</xdr:rowOff>
    </xdr:to>
    <mc:AlternateContent xmlns:mc="http://schemas.openxmlformats.org/markup-compatibility/2006" xmlns:a14="http://schemas.microsoft.com/office/drawing/2010/main">
      <mc:Choice Requires="a14">
        <xdr:graphicFrame macro="">
          <xdr:nvGraphicFramePr>
            <xdr:cNvPr id="2" name="Township 4">
              <a:extLst>
                <a:ext uri="{FF2B5EF4-FFF2-40B4-BE49-F238E27FC236}">
                  <a16:creationId xmlns:a16="http://schemas.microsoft.com/office/drawing/2014/main" id="{B2BE789A-C3AB-4DA8-A2F0-4BEFC3A529B3}"/>
                </a:ext>
              </a:extLst>
            </xdr:cNvPr>
            <xdr:cNvGraphicFramePr/>
          </xdr:nvGraphicFramePr>
          <xdr:xfrm>
            <a:off x="0" y="0"/>
            <a:ext cx="0" cy="0"/>
          </xdr:xfrm>
          <a:graphic>
            <a:graphicData uri="http://schemas.microsoft.com/office/drawing/2010/slicer">
              <sle:slicer xmlns:sle="http://schemas.microsoft.com/office/drawing/2010/slicer" name="Township 4"/>
            </a:graphicData>
          </a:graphic>
        </xdr:graphicFrame>
      </mc:Choice>
      <mc:Fallback xmlns="">
        <xdr:sp macro="" textlink="">
          <xdr:nvSpPr>
            <xdr:cNvPr id="0" name=""/>
            <xdr:cNvSpPr>
              <a:spLocks noTextEdit="1"/>
            </xdr:cNvSpPr>
          </xdr:nvSpPr>
          <xdr:spPr>
            <a:xfrm>
              <a:off x="13289280" y="982980"/>
              <a:ext cx="1828800" cy="3038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xdr:from>
      <xdr:col>1</xdr:col>
      <xdr:colOff>79680</xdr:colOff>
      <xdr:row>86</xdr:row>
      <xdr:rowOff>76201</xdr:rowOff>
    </xdr:from>
    <xdr:to>
      <xdr:col>7</xdr:col>
      <xdr:colOff>967834</xdr:colOff>
      <xdr:row>97</xdr:row>
      <xdr:rowOff>63502</xdr:rowOff>
    </xdr:to>
    <xdr:grpSp>
      <xdr:nvGrpSpPr>
        <xdr:cNvPr id="9" name="Group 8">
          <a:extLst>
            <a:ext uri="{FF2B5EF4-FFF2-40B4-BE49-F238E27FC236}">
              <a16:creationId xmlns:a16="http://schemas.microsoft.com/office/drawing/2014/main" id="{00000000-0008-0000-0C00-000009000000}"/>
            </a:ext>
          </a:extLst>
        </xdr:cNvPr>
        <xdr:cNvGrpSpPr/>
      </xdr:nvGrpSpPr>
      <xdr:grpSpPr>
        <a:xfrm>
          <a:off x="170394" y="19461844"/>
          <a:ext cx="7129297" cy="2182587"/>
          <a:chOff x="-24494075" y="6950822"/>
          <a:chExt cx="9945725" cy="943267"/>
        </a:xfrm>
      </xdr:grpSpPr>
      <xdr:graphicFrame macro="">
        <xdr:nvGraphicFramePr>
          <xdr:cNvPr id="10" name="Chart 9">
            <a:extLst>
              <a:ext uri="{FF2B5EF4-FFF2-40B4-BE49-F238E27FC236}">
                <a16:creationId xmlns:a16="http://schemas.microsoft.com/office/drawing/2014/main" id="{00000000-0008-0000-0C00-00000A000000}"/>
              </a:ext>
            </a:extLst>
          </xdr:cNvPr>
          <xdr:cNvGraphicFramePr>
            <a:graphicFrameLocks/>
          </xdr:cNvGraphicFramePr>
        </xdr:nvGraphicFramePr>
        <xdr:xfrm>
          <a:off x="-24494075" y="6950822"/>
          <a:ext cx="9945725" cy="94326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1" name="TextBox 10">
            <a:hlinkClick xmlns:r="http://schemas.openxmlformats.org/officeDocument/2006/relationships" r:id="rId2"/>
            <a:extLst>
              <a:ext uri="{FF2B5EF4-FFF2-40B4-BE49-F238E27FC236}">
                <a16:creationId xmlns:a16="http://schemas.microsoft.com/office/drawing/2014/main" id="{00000000-0008-0000-0C00-00000B000000}"/>
              </a:ext>
            </a:extLst>
          </xdr:cNvPr>
          <xdr:cNvSpPr txBox="1"/>
        </xdr:nvSpPr>
        <xdr:spPr>
          <a:xfrm>
            <a:off x="-17033444" y="6993275"/>
            <a:ext cx="2362965" cy="215317"/>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More</a:t>
            </a:r>
            <a:r>
              <a:rPr lang="en-US" sz="1400" b="1" baseline="0">
                <a:solidFill>
                  <a:schemeClr val="bg1"/>
                </a:solidFill>
              </a:rPr>
              <a:t> info on gaps </a:t>
            </a:r>
            <a:r>
              <a:rPr lang="en-US" sz="1000" b="1" baseline="0">
                <a:solidFill>
                  <a:schemeClr val="bg1"/>
                </a:solidFill>
              </a:rPr>
              <a:t>(click here)</a:t>
            </a:r>
            <a:endParaRPr lang="en-US" sz="1000" b="1">
              <a:solidFill>
                <a:schemeClr val="bg1"/>
              </a:solidFill>
            </a:endParaRPr>
          </a:p>
        </xdr:txBody>
      </xdr:sp>
    </xdr:grpSp>
    <xdr:clientData/>
  </xdr:twoCellAnchor>
  <xdr:twoCellAnchor>
    <xdr:from>
      <xdr:col>8</xdr:col>
      <xdr:colOff>59210</xdr:colOff>
      <xdr:row>55</xdr:row>
      <xdr:rowOff>21440</xdr:rowOff>
    </xdr:from>
    <xdr:to>
      <xdr:col>19</xdr:col>
      <xdr:colOff>341150</xdr:colOff>
      <xdr:row>56</xdr:row>
      <xdr:rowOff>152069</xdr:rowOff>
    </xdr:to>
    <xdr:sp macro="" textlink="">
      <xdr:nvSpPr>
        <xdr:cNvPr id="18" name="TextBox 17">
          <a:extLst>
            <a:ext uri="{FF2B5EF4-FFF2-40B4-BE49-F238E27FC236}">
              <a16:creationId xmlns:a16="http://schemas.microsoft.com/office/drawing/2014/main" id="{00000000-0008-0000-0C00-000012000000}"/>
            </a:ext>
          </a:extLst>
        </xdr:cNvPr>
        <xdr:cNvSpPr txBox="1"/>
      </xdr:nvSpPr>
      <xdr:spPr>
        <a:xfrm>
          <a:off x="7452424" y="13410869"/>
          <a:ext cx="9226369" cy="457200"/>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 Facilities &amp; Sanitation services in protracted camps</a:t>
          </a:r>
          <a:endParaRPr lang="en-US" sz="1400">
            <a:solidFill>
              <a:schemeClr val="bg1"/>
            </a:solidFill>
            <a:effectLst/>
          </a:endParaRPr>
        </a:p>
      </xdr:txBody>
    </xdr:sp>
    <xdr:clientData/>
  </xdr:twoCellAnchor>
  <xdr:twoCellAnchor>
    <xdr:from>
      <xdr:col>8</xdr:col>
      <xdr:colOff>73101</xdr:colOff>
      <xdr:row>83</xdr:row>
      <xdr:rowOff>193626</xdr:rowOff>
    </xdr:from>
    <xdr:to>
      <xdr:col>19</xdr:col>
      <xdr:colOff>355041</xdr:colOff>
      <xdr:row>85</xdr:row>
      <xdr:rowOff>190500</xdr:rowOff>
    </xdr:to>
    <xdr:sp macro="" textlink="">
      <xdr:nvSpPr>
        <xdr:cNvPr id="19" name="TextBox 45">
          <a:extLst>
            <a:ext uri="{FF2B5EF4-FFF2-40B4-BE49-F238E27FC236}">
              <a16:creationId xmlns:a16="http://schemas.microsoft.com/office/drawing/2014/main" id="{00000000-0008-0000-0C00-000013000000}"/>
            </a:ext>
          </a:extLst>
        </xdr:cNvPr>
        <xdr:cNvSpPr txBox="1"/>
      </xdr:nvSpPr>
      <xdr:spPr>
        <a:xfrm>
          <a:off x="7375601" y="19031959"/>
          <a:ext cx="9235440" cy="504874"/>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Promotion &amp; Hygiene Items	</a:t>
          </a:r>
          <a:r>
            <a:rPr lang="en-US" sz="1200" b="1" i="0" baseline="0">
              <a:solidFill>
                <a:schemeClr val="bg1"/>
              </a:solidFill>
              <a:effectLst/>
              <a:latin typeface="+mn-lt"/>
              <a:ea typeface="+mn-ea"/>
              <a:cs typeface="+mn-cs"/>
            </a:rPr>
            <a:t>                                      </a:t>
          </a:r>
          <a:endParaRPr lang="en-US" sz="1200">
            <a:solidFill>
              <a:schemeClr val="bg1"/>
            </a:solidFill>
            <a:effectLst/>
          </a:endParaRPr>
        </a:p>
      </xdr:txBody>
    </xdr:sp>
    <xdr:clientData/>
  </xdr:twoCellAnchor>
  <xdr:twoCellAnchor>
    <xdr:from>
      <xdr:col>8</xdr:col>
      <xdr:colOff>67610</xdr:colOff>
      <xdr:row>39</xdr:row>
      <xdr:rowOff>117479</xdr:rowOff>
    </xdr:from>
    <xdr:to>
      <xdr:col>19</xdr:col>
      <xdr:colOff>349550</xdr:colOff>
      <xdr:row>42</xdr:row>
      <xdr:rowOff>26992</xdr:rowOff>
    </xdr:to>
    <xdr:sp macro="" textlink="">
      <xdr:nvSpPr>
        <xdr:cNvPr id="20" name="Rectangle 19">
          <a:extLst>
            <a:ext uri="{FF2B5EF4-FFF2-40B4-BE49-F238E27FC236}">
              <a16:creationId xmlns:a16="http://schemas.microsoft.com/office/drawing/2014/main" id="{00000000-0008-0000-0C00-000014000000}"/>
            </a:ext>
          </a:extLst>
        </xdr:cNvPr>
        <xdr:cNvSpPr/>
      </xdr:nvSpPr>
      <xdr:spPr>
        <a:xfrm>
          <a:off x="7449485" y="7729542"/>
          <a:ext cx="9211628" cy="45720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&amp; Water Quality in protracted camps</a:t>
          </a:r>
        </a:p>
      </xdr:txBody>
    </xdr:sp>
    <xdr:clientData/>
  </xdr:twoCellAnchor>
  <xdr:twoCellAnchor>
    <xdr:from>
      <xdr:col>1</xdr:col>
      <xdr:colOff>81206</xdr:colOff>
      <xdr:row>97</xdr:row>
      <xdr:rowOff>104588</xdr:rowOff>
    </xdr:from>
    <xdr:to>
      <xdr:col>7</xdr:col>
      <xdr:colOff>969360</xdr:colOff>
      <xdr:row>106</xdr:row>
      <xdr:rowOff>214313</xdr:rowOff>
    </xdr:to>
    <xdr:graphicFrame macro="">
      <xdr:nvGraphicFramePr>
        <xdr:cNvPr id="23" name="Chart 22">
          <a:extLst>
            <a:ext uri="{FF2B5EF4-FFF2-40B4-BE49-F238E27FC236}">
              <a16:creationId xmlns:a16="http://schemas.microsoft.com/office/drawing/2014/main" id="{00000000-0008-0000-0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62268</xdr:colOff>
      <xdr:row>42</xdr:row>
      <xdr:rowOff>97140</xdr:rowOff>
    </xdr:from>
    <xdr:to>
      <xdr:col>19</xdr:col>
      <xdr:colOff>308891</xdr:colOff>
      <xdr:row>54</xdr:row>
      <xdr:rowOff>172357</xdr:rowOff>
    </xdr:to>
    <xdr:grpSp>
      <xdr:nvGrpSpPr>
        <xdr:cNvPr id="7" name="Group 6">
          <a:extLst>
            <a:ext uri="{FF2B5EF4-FFF2-40B4-BE49-F238E27FC236}">
              <a16:creationId xmlns:a16="http://schemas.microsoft.com/office/drawing/2014/main" id="{00000000-0008-0000-0C00-000007000000}"/>
            </a:ext>
          </a:extLst>
        </xdr:cNvPr>
        <xdr:cNvGrpSpPr/>
      </xdr:nvGrpSpPr>
      <xdr:grpSpPr>
        <a:xfrm>
          <a:off x="7373839" y="8442854"/>
          <a:ext cx="9191052" cy="3712860"/>
          <a:chOff x="6497086" y="7543800"/>
          <a:chExt cx="9200114" cy="2924176"/>
        </a:xfrm>
      </xdr:grpSpPr>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6497086" y="7553069"/>
          <a:ext cx="3094589" cy="2908481"/>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30" name="Chart 29">
            <a:extLst>
              <a:ext uri="{FF2B5EF4-FFF2-40B4-BE49-F238E27FC236}">
                <a16:creationId xmlns:a16="http://schemas.microsoft.com/office/drawing/2014/main" id="{00000000-0008-0000-0C00-00001E000000}"/>
              </a:ext>
            </a:extLst>
          </xdr:cNvPr>
          <xdr:cNvGraphicFramePr>
            <a:graphicFrameLocks/>
          </xdr:cNvGraphicFramePr>
        </xdr:nvGraphicFramePr>
        <xdr:xfrm>
          <a:off x="9629776" y="7543800"/>
          <a:ext cx="3121336" cy="2924174"/>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35" name="Chart 34">
            <a:extLst>
              <a:ext uri="{FF2B5EF4-FFF2-40B4-BE49-F238E27FC236}">
                <a16:creationId xmlns:a16="http://schemas.microsoft.com/office/drawing/2014/main" id="{00000000-0008-0000-0C00-000023000000}"/>
              </a:ext>
            </a:extLst>
          </xdr:cNvPr>
          <xdr:cNvGraphicFramePr>
            <a:graphicFrameLocks/>
          </xdr:cNvGraphicFramePr>
        </xdr:nvGraphicFramePr>
        <xdr:xfrm>
          <a:off x="12849225" y="7543800"/>
          <a:ext cx="2847975" cy="2924176"/>
        </xdr:xfrm>
        <a:graphic>
          <a:graphicData uri="http://schemas.openxmlformats.org/drawingml/2006/chart">
            <c:chart xmlns:c="http://schemas.openxmlformats.org/drawingml/2006/chart" xmlns:r="http://schemas.openxmlformats.org/officeDocument/2006/relationships" r:id="rId6"/>
          </a:graphicData>
        </a:graphic>
      </xdr:graphicFrame>
      <xdr:cxnSp macro="">
        <xdr:nvCxnSpPr>
          <xdr:cNvPr id="38" name="Connector: Elbow 37">
            <a:extLst>
              <a:ext uri="{FF2B5EF4-FFF2-40B4-BE49-F238E27FC236}">
                <a16:creationId xmlns:a16="http://schemas.microsoft.com/office/drawing/2014/main" id="{00000000-0008-0000-0C00-000026000000}"/>
              </a:ext>
            </a:extLst>
          </xdr:cNvPr>
          <xdr:cNvCxnSpPr/>
        </xdr:nvCxnSpPr>
        <xdr:spPr>
          <a:xfrm>
            <a:off x="10615562" y="8636316"/>
            <a:ext cx="736619" cy="597508"/>
          </a:xfrm>
          <a:prstGeom prst="bentConnector3">
            <a:avLst>
              <a:gd name="adj1" fmla="val 99492"/>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52386</xdr:colOff>
      <xdr:row>1</xdr:row>
      <xdr:rowOff>38100</xdr:rowOff>
    </xdr:from>
    <xdr:to>
      <xdr:col>19</xdr:col>
      <xdr:colOff>331564</xdr:colOff>
      <xdr:row>3</xdr:row>
      <xdr:rowOff>80010</xdr:rowOff>
    </xdr:to>
    <xdr:sp macro="" textlink="">
      <xdr:nvSpPr>
        <xdr:cNvPr id="48" name="Rectangle 47">
          <a:extLst>
            <a:ext uri="{FF2B5EF4-FFF2-40B4-BE49-F238E27FC236}">
              <a16:creationId xmlns:a16="http://schemas.microsoft.com/office/drawing/2014/main" id="{00000000-0008-0000-0C00-000030000000}"/>
            </a:ext>
          </a:extLst>
        </xdr:cNvPr>
        <xdr:cNvSpPr/>
      </xdr:nvSpPr>
      <xdr:spPr>
        <a:xfrm>
          <a:off x="6469855" y="585788"/>
          <a:ext cx="9244584" cy="375285"/>
        </a:xfrm>
        <a:prstGeom prst="rect">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Accountability to Affected</a:t>
          </a:r>
          <a:r>
            <a:rPr lang="en-US" sz="1400" b="1" baseline="0"/>
            <a:t> Population</a:t>
          </a:r>
          <a:endParaRPr lang="en-US" sz="1400" b="1"/>
        </a:p>
      </xdr:txBody>
    </xdr:sp>
    <xdr:clientData/>
  </xdr:twoCellAnchor>
  <xdr:twoCellAnchor>
    <xdr:from>
      <xdr:col>8</xdr:col>
      <xdr:colOff>68036</xdr:colOff>
      <xdr:row>86</xdr:row>
      <xdr:rowOff>67848</xdr:rowOff>
    </xdr:from>
    <xdr:to>
      <xdr:col>19</xdr:col>
      <xdr:colOff>327741</xdr:colOff>
      <xdr:row>106</xdr:row>
      <xdr:rowOff>232833</xdr:rowOff>
    </xdr:to>
    <xdr:grpSp>
      <xdr:nvGrpSpPr>
        <xdr:cNvPr id="8" name="Group 7">
          <a:extLst>
            <a:ext uri="{FF2B5EF4-FFF2-40B4-BE49-F238E27FC236}">
              <a16:creationId xmlns:a16="http://schemas.microsoft.com/office/drawing/2014/main" id="{11483734-8CB3-436C-98DF-5D5348F702D6}"/>
            </a:ext>
          </a:extLst>
        </xdr:cNvPr>
        <xdr:cNvGrpSpPr/>
      </xdr:nvGrpSpPr>
      <xdr:grpSpPr>
        <a:xfrm>
          <a:off x="7379607" y="19453491"/>
          <a:ext cx="9204134" cy="4156413"/>
          <a:chOff x="7270750" y="17596823"/>
          <a:chExt cx="9204134" cy="2520687"/>
        </a:xfrm>
      </xdr:grpSpPr>
      <xdr:graphicFrame macro="">
        <xdr:nvGraphicFramePr>
          <xdr:cNvPr id="40" name="Chart 39">
            <a:extLst>
              <a:ext uri="{FF2B5EF4-FFF2-40B4-BE49-F238E27FC236}">
                <a16:creationId xmlns:a16="http://schemas.microsoft.com/office/drawing/2014/main" id="{00000000-0008-0000-0C00-000028000000}"/>
              </a:ext>
            </a:extLst>
          </xdr:cNvPr>
          <xdr:cNvGraphicFramePr>
            <a:graphicFrameLocks/>
          </xdr:cNvGraphicFramePr>
        </xdr:nvGraphicFramePr>
        <xdr:xfrm>
          <a:off x="7270750" y="17608618"/>
          <a:ext cx="3131639" cy="2497199"/>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44" name="Chart 43">
            <a:extLst>
              <a:ext uri="{FF2B5EF4-FFF2-40B4-BE49-F238E27FC236}">
                <a16:creationId xmlns:a16="http://schemas.microsoft.com/office/drawing/2014/main" id="{00000000-0008-0000-0C00-00002C000000}"/>
              </a:ext>
            </a:extLst>
          </xdr:cNvPr>
          <xdr:cNvGraphicFramePr>
            <a:graphicFrameLocks/>
          </xdr:cNvGraphicFramePr>
        </xdr:nvGraphicFramePr>
        <xdr:xfrm>
          <a:off x="10450285" y="17608096"/>
          <a:ext cx="3003913" cy="2503261"/>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41" name="Chart 40">
            <a:extLst>
              <a:ext uri="{FF2B5EF4-FFF2-40B4-BE49-F238E27FC236}">
                <a16:creationId xmlns:a16="http://schemas.microsoft.com/office/drawing/2014/main" id="{7B4253C0-2FAE-4231-81E5-48C463600506}"/>
              </a:ext>
            </a:extLst>
          </xdr:cNvPr>
          <xdr:cNvGraphicFramePr>
            <a:graphicFrameLocks/>
          </xdr:cNvGraphicFramePr>
        </xdr:nvGraphicFramePr>
        <xdr:xfrm>
          <a:off x="13510284" y="17596823"/>
          <a:ext cx="2964600" cy="2520687"/>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xdr:col>
      <xdr:colOff>59266</xdr:colOff>
      <xdr:row>1</xdr:row>
      <xdr:rowOff>46075</xdr:rowOff>
    </xdr:from>
    <xdr:to>
      <xdr:col>7</xdr:col>
      <xdr:colOff>947420</xdr:colOff>
      <xdr:row>21</xdr:row>
      <xdr:rowOff>115697</xdr:rowOff>
    </xdr:to>
    <xdr:graphicFrame macro="">
      <xdr:nvGraphicFramePr>
        <xdr:cNvPr id="45" name="Chart 44">
          <a:extLst>
            <a:ext uri="{FF2B5EF4-FFF2-40B4-BE49-F238E27FC236}">
              <a16:creationId xmlns:a16="http://schemas.microsoft.com/office/drawing/2014/main" id="{128EB93A-D761-40C7-98C1-A9D91E8C0F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74085</xdr:colOff>
      <xdr:row>56</xdr:row>
      <xdr:rowOff>174314</xdr:rowOff>
    </xdr:from>
    <xdr:to>
      <xdr:col>19</xdr:col>
      <xdr:colOff>328083</xdr:colOff>
      <xdr:row>83</xdr:row>
      <xdr:rowOff>179917</xdr:rowOff>
    </xdr:to>
    <xdr:grpSp>
      <xdr:nvGrpSpPr>
        <xdr:cNvPr id="2" name="Group 1">
          <a:extLst>
            <a:ext uri="{FF2B5EF4-FFF2-40B4-BE49-F238E27FC236}">
              <a16:creationId xmlns:a16="http://schemas.microsoft.com/office/drawing/2014/main" id="{8FCB4A4B-E66F-4156-A942-7EC04951706D}"/>
            </a:ext>
          </a:extLst>
        </xdr:cNvPr>
        <xdr:cNvGrpSpPr/>
      </xdr:nvGrpSpPr>
      <xdr:grpSpPr>
        <a:xfrm>
          <a:off x="7385656" y="12683814"/>
          <a:ext cx="9198427" cy="6174174"/>
          <a:chOff x="7266216" y="11436493"/>
          <a:chExt cx="9198427" cy="5608721"/>
        </a:xfrm>
      </xdr:grpSpPr>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13578506" y="15205605"/>
          <a:ext cx="2886137" cy="182880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13592014" y="13324563"/>
          <a:ext cx="2847681" cy="1828801"/>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13" name="Chart 12">
            <a:extLst>
              <a:ext uri="{FF2B5EF4-FFF2-40B4-BE49-F238E27FC236}">
                <a16:creationId xmlns:a16="http://schemas.microsoft.com/office/drawing/2014/main" id="{00000000-0008-0000-0C00-00000D000000}"/>
              </a:ext>
            </a:extLst>
          </xdr:cNvPr>
          <xdr:cNvGraphicFramePr>
            <a:graphicFrameLocks/>
          </xdr:cNvGraphicFramePr>
        </xdr:nvGraphicFramePr>
        <xdr:xfrm>
          <a:off x="10743865" y="13332487"/>
          <a:ext cx="2743200" cy="1828801"/>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4" name="Chart 13">
            <a:extLst>
              <a:ext uri="{FF2B5EF4-FFF2-40B4-BE49-F238E27FC236}">
                <a16:creationId xmlns:a16="http://schemas.microsoft.com/office/drawing/2014/main" id="{00000000-0008-0000-0C00-00000E000000}"/>
              </a:ext>
            </a:extLst>
          </xdr:cNvPr>
          <xdr:cNvGraphicFramePr>
            <a:graphicFrameLocks/>
          </xdr:cNvGraphicFramePr>
        </xdr:nvGraphicFramePr>
        <xdr:xfrm>
          <a:off x="10749115" y="15211123"/>
          <a:ext cx="2750995" cy="182880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17" name="Chart 16">
            <a:extLst>
              <a:ext uri="{FF2B5EF4-FFF2-40B4-BE49-F238E27FC236}">
                <a16:creationId xmlns:a16="http://schemas.microsoft.com/office/drawing/2014/main" id="{00000000-0008-0000-0C00-000011000000}"/>
              </a:ext>
            </a:extLst>
          </xdr:cNvPr>
          <xdr:cNvGraphicFramePr>
            <a:graphicFrameLocks/>
          </xdr:cNvGraphicFramePr>
        </xdr:nvGraphicFramePr>
        <xdr:xfrm>
          <a:off x="13597391" y="11436493"/>
          <a:ext cx="2847681" cy="1835150"/>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39" name="Chart 38">
            <a:extLst>
              <a:ext uri="{FF2B5EF4-FFF2-40B4-BE49-F238E27FC236}">
                <a16:creationId xmlns:a16="http://schemas.microsoft.com/office/drawing/2014/main" id="{00000000-0008-0000-0C00-000027000000}"/>
              </a:ext>
            </a:extLst>
          </xdr:cNvPr>
          <xdr:cNvGraphicFramePr>
            <a:graphicFrameLocks/>
          </xdr:cNvGraphicFramePr>
        </xdr:nvGraphicFramePr>
        <xdr:xfrm>
          <a:off x="10745067" y="11445565"/>
          <a:ext cx="2743200" cy="1828800"/>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46" name="Chart 45">
            <a:extLst>
              <a:ext uri="{FF2B5EF4-FFF2-40B4-BE49-F238E27FC236}">
                <a16:creationId xmlns:a16="http://schemas.microsoft.com/office/drawing/2014/main" id="{C6A6BC89-97F6-44BB-B559-24294095819B}"/>
              </a:ext>
            </a:extLst>
          </xdr:cNvPr>
          <xdr:cNvGraphicFramePr>
            <a:graphicFrameLocks/>
          </xdr:cNvGraphicFramePr>
        </xdr:nvGraphicFramePr>
        <xdr:xfrm>
          <a:off x="7266216" y="11448142"/>
          <a:ext cx="3383280" cy="5597072"/>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8</xdr:col>
      <xdr:colOff>80961</xdr:colOff>
      <xdr:row>21</xdr:row>
      <xdr:rowOff>130174</xdr:rowOff>
    </xdr:from>
    <xdr:to>
      <xdr:col>19</xdr:col>
      <xdr:colOff>279399</xdr:colOff>
      <xdr:row>39</xdr:row>
      <xdr:rowOff>57150</xdr:rowOff>
    </xdr:to>
    <xdr:graphicFrame macro="">
      <xdr:nvGraphicFramePr>
        <xdr:cNvPr id="52" name="Chart 51">
          <a:extLst>
            <a:ext uri="{FF2B5EF4-FFF2-40B4-BE49-F238E27FC236}">
              <a16:creationId xmlns:a16="http://schemas.microsoft.com/office/drawing/2014/main" id="{8A553494-1F74-4643-A146-E0A82E9B5F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23</xdr:col>
      <xdr:colOff>69895</xdr:colOff>
      <xdr:row>18</xdr:row>
      <xdr:rowOff>58330</xdr:rowOff>
    </xdr:from>
    <xdr:to>
      <xdr:col>25</xdr:col>
      <xdr:colOff>400486</xdr:colOff>
      <xdr:row>22</xdr:row>
      <xdr:rowOff>113464</xdr:rowOff>
    </xdr:to>
    <xdr:sp macro="" textlink="">
      <xdr:nvSpPr>
        <xdr:cNvPr id="43" name="TextBox 42">
          <a:hlinkClick xmlns:r="http://schemas.openxmlformats.org/officeDocument/2006/relationships" r:id="rId19"/>
          <a:extLst>
            <a:ext uri="{FF2B5EF4-FFF2-40B4-BE49-F238E27FC236}">
              <a16:creationId xmlns:a16="http://schemas.microsoft.com/office/drawing/2014/main" id="{890EB8F2-86A5-4091-83A7-C653522F231C}"/>
            </a:ext>
          </a:extLst>
        </xdr:cNvPr>
        <xdr:cNvSpPr txBox="1"/>
      </xdr:nvSpPr>
      <xdr:spPr>
        <a:xfrm>
          <a:off x="18149252" y="3686901"/>
          <a:ext cx="1564305" cy="780849"/>
        </a:xfrm>
        <a:prstGeom prst="rect">
          <a:avLst/>
        </a:prstGeom>
        <a:solidFill>
          <a:schemeClr val="accent4">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rPr>
            <a:t>Specific WASH community feedback</a:t>
          </a:r>
        </a:p>
        <a:p>
          <a:r>
            <a:rPr lang="en-US" sz="1000" b="1" baseline="0">
              <a:solidFill>
                <a:schemeClr val="bg1"/>
              </a:solidFill>
            </a:rPr>
            <a:t>(click here)</a:t>
          </a:r>
          <a:endParaRPr lang="en-US" sz="1000" b="1">
            <a:solidFill>
              <a:schemeClr val="bg1"/>
            </a:solidFill>
          </a:endParaRPr>
        </a:p>
      </xdr:txBody>
    </xdr:sp>
    <xdr:clientData/>
  </xdr:twoCellAnchor>
  <xdr:twoCellAnchor>
    <xdr:from>
      <xdr:col>12</xdr:col>
      <xdr:colOff>558801</xdr:colOff>
      <xdr:row>49</xdr:row>
      <xdr:rowOff>592667</xdr:rowOff>
    </xdr:from>
    <xdr:to>
      <xdr:col>15</xdr:col>
      <xdr:colOff>1068615</xdr:colOff>
      <xdr:row>54</xdr:row>
      <xdr:rowOff>153399</xdr:rowOff>
    </xdr:to>
    <xdr:graphicFrame macro="">
      <xdr:nvGraphicFramePr>
        <xdr:cNvPr id="50" name="Chart 49">
          <a:extLst>
            <a:ext uri="{FF2B5EF4-FFF2-40B4-BE49-F238E27FC236}">
              <a16:creationId xmlns:a16="http://schemas.microsoft.com/office/drawing/2014/main" id="{F499DDC2-7DD8-4B65-B67F-66C1AC7BC5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15</xdr:col>
      <xdr:colOff>1185333</xdr:colOff>
      <xdr:row>49</xdr:row>
      <xdr:rowOff>582083</xdr:rowOff>
    </xdr:from>
    <xdr:to>
      <xdr:col>19</xdr:col>
      <xdr:colOff>293913</xdr:colOff>
      <xdr:row>54</xdr:row>
      <xdr:rowOff>150813</xdr:rowOff>
    </xdr:to>
    <xdr:graphicFrame macro="">
      <xdr:nvGraphicFramePr>
        <xdr:cNvPr id="51" name="Chart 50">
          <a:extLst>
            <a:ext uri="{FF2B5EF4-FFF2-40B4-BE49-F238E27FC236}">
              <a16:creationId xmlns:a16="http://schemas.microsoft.com/office/drawing/2014/main" id="{926C9612-0381-48CF-B180-8D6E34D087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495120</xdr:colOff>
      <xdr:row>5</xdr:row>
      <xdr:rowOff>143873</xdr:rowOff>
    </xdr:from>
    <xdr:to>
      <xdr:col>17</xdr:col>
      <xdr:colOff>497968</xdr:colOff>
      <xdr:row>15</xdr:row>
      <xdr:rowOff>32469</xdr:rowOff>
    </xdr:to>
    <xdr:sp macro="" textlink="">
      <xdr:nvSpPr>
        <xdr:cNvPr id="54" name="TextBox 53">
          <a:hlinkClick xmlns:r="http://schemas.openxmlformats.org/officeDocument/2006/relationships" r:id="rId22"/>
          <a:extLst>
            <a:ext uri="{FF2B5EF4-FFF2-40B4-BE49-F238E27FC236}">
              <a16:creationId xmlns:a16="http://schemas.microsoft.com/office/drawing/2014/main" id="{A1FAA943-758B-4379-823D-78A54CCC4B88}"/>
            </a:ext>
          </a:extLst>
        </xdr:cNvPr>
        <xdr:cNvSpPr txBox="1"/>
      </xdr:nvSpPr>
      <xdr:spPr>
        <a:xfrm>
          <a:off x="8577763" y="1413873"/>
          <a:ext cx="6878991" cy="1702882"/>
        </a:xfrm>
        <a:prstGeom prst="rect">
          <a:avLst/>
        </a:prstGeom>
        <a:solidFill>
          <a:schemeClr val="accent4">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solidFill>
                <a:schemeClr val="bg1"/>
              </a:solidFill>
            </a:rPr>
            <a:t>No WASH cluster</a:t>
          </a:r>
          <a:r>
            <a:rPr lang="en-US" sz="2000" b="1" baseline="0">
              <a:solidFill>
                <a:schemeClr val="bg1"/>
              </a:solidFill>
            </a:rPr>
            <a:t> team field visits in Q2. For more information on WASH Clsuter team field visists, Click </a:t>
          </a:r>
          <a:r>
            <a:rPr lang="en-US" sz="2000" b="1" u="sng" baseline="0">
              <a:solidFill>
                <a:schemeClr val="bg1"/>
              </a:solidFill>
            </a:rPr>
            <a:t>here</a:t>
          </a:r>
          <a:endParaRPr lang="en-US" sz="2000" b="1" u="sng">
            <a:solidFill>
              <a:schemeClr val="bg1"/>
            </a:solidFill>
          </a:endParaRPr>
        </a:p>
      </xdr:txBody>
    </xdr:sp>
    <xdr:clientData/>
  </xdr:twoCellAnchor>
  <xdr:twoCellAnchor>
    <xdr:from>
      <xdr:col>1</xdr:col>
      <xdr:colOff>67734</xdr:colOff>
      <xdr:row>22</xdr:row>
      <xdr:rowOff>8465</xdr:rowOff>
    </xdr:from>
    <xdr:to>
      <xdr:col>7</xdr:col>
      <xdr:colOff>955888</xdr:colOff>
      <xdr:row>32</xdr:row>
      <xdr:rowOff>142872</xdr:rowOff>
    </xdr:to>
    <xdr:graphicFrame macro="">
      <xdr:nvGraphicFramePr>
        <xdr:cNvPr id="37" name="Chart 36">
          <a:extLst>
            <a:ext uri="{FF2B5EF4-FFF2-40B4-BE49-F238E27FC236}">
              <a16:creationId xmlns:a16="http://schemas.microsoft.com/office/drawing/2014/main" id="{108F50CE-207D-485D-B67D-EF75D29866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xdr:col>
      <xdr:colOff>1566333</xdr:colOff>
      <xdr:row>48</xdr:row>
      <xdr:rowOff>42334</xdr:rowOff>
    </xdr:from>
    <xdr:to>
      <xdr:col>8</xdr:col>
      <xdr:colOff>11087</xdr:colOff>
      <xdr:row>48</xdr:row>
      <xdr:rowOff>396944</xdr:rowOff>
    </xdr:to>
    <xdr:sp macro="" textlink="">
      <xdr:nvSpPr>
        <xdr:cNvPr id="42" name="TextBox 45">
          <a:extLst>
            <a:ext uri="{FF2B5EF4-FFF2-40B4-BE49-F238E27FC236}">
              <a16:creationId xmlns:a16="http://schemas.microsoft.com/office/drawing/2014/main" id="{83C5BF0B-B33C-4C10-B8F7-FD311DB60BC6}"/>
            </a:ext>
          </a:extLst>
        </xdr:cNvPr>
        <xdr:cNvSpPr txBox="1"/>
      </xdr:nvSpPr>
      <xdr:spPr>
        <a:xfrm>
          <a:off x="2547055" y="9906001"/>
          <a:ext cx="4717143" cy="354610"/>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US" sz="1200" b="1" i="0" baseline="0">
              <a:solidFill>
                <a:schemeClr val="bg1"/>
              </a:solidFill>
              <a:effectLst/>
              <a:latin typeface="+mn-lt"/>
              <a:ea typeface="+mn-ea"/>
              <a:cs typeface="+mn-cs"/>
            </a:rPr>
            <a:t>GAP Analysis based on community own and WASH actors management			                                      </a:t>
          </a:r>
          <a:endParaRPr lang="en-US" sz="1200">
            <a:solidFill>
              <a:schemeClr val="bg1"/>
            </a:solidFill>
            <a:effectLst/>
          </a:endParaRPr>
        </a:p>
      </xdr:txBody>
    </xdr:sp>
    <xdr:clientData/>
  </xdr:twoCellAnchor>
  <xdr:twoCellAnchor>
    <xdr:from>
      <xdr:col>1</xdr:col>
      <xdr:colOff>90703</xdr:colOff>
      <xdr:row>70</xdr:row>
      <xdr:rowOff>5822</xdr:rowOff>
    </xdr:from>
    <xdr:to>
      <xdr:col>8</xdr:col>
      <xdr:colOff>5190</xdr:colOff>
      <xdr:row>73</xdr:row>
      <xdr:rowOff>58034</xdr:rowOff>
    </xdr:to>
    <xdr:sp macro="" textlink="">
      <xdr:nvSpPr>
        <xdr:cNvPr id="47" name="Rectangle 46">
          <a:extLst>
            <a:ext uri="{FF2B5EF4-FFF2-40B4-BE49-F238E27FC236}">
              <a16:creationId xmlns:a16="http://schemas.microsoft.com/office/drawing/2014/main" id="{F4480FCC-9BFE-4D7B-8560-BED1F599485B}"/>
            </a:ext>
          </a:extLst>
        </xdr:cNvPr>
        <xdr:cNvSpPr/>
      </xdr:nvSpPr>
      <xdr:spPr>
        <a:xfrm>
          <a:off x="175370" y="16134822"/>
          <a:ext cx="7132320" cy="655462"/>
        </a:xfrm>
        <a:prstGeom prst="rect">
          <a:avLst/>
        </a:prstGeom>
        <a:ln>
          <a:solidFill>
            <a:schemeClr val="accent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 MHF, SIDA, UNICEF, WHH, UNOPS</a:t>
          </a:r>
        </a:p>
      </xdr:txBody>
    </xdr:sp>
    <xdr:clientData/>
  </xdr:twoCellAnchor>
  <xdr:twoCellAnchor>
    <xdr:from>
      <xdr:col>1</xdr:col>
      <xdr:colOff>74081</xdr:colOff>
      <xdr:row>53</xdr:row>
      <xdr:rowOff>63500</xdr:rowOff>
    </xdr:from>
    <xdr:to>
      <xdr:col>7</xdr:col>
      <xdr:colOff>962235</xdr:colOff>
      <xdr:row>60</xdr:row>
      <xdr:rowOff>217301</xdr:rowOff>
    </xdr:to>
    <xdr:graphicFrame macro="">
      <xdr:nvGraphicFramePr>
        <xdr:cNvPr id="53" name="Chart 52">
          <a:extLst>
            <a:ext uri="{FF2B5EF4-FFF2-40B4-BE49-F238E27FC236}">
              <a16:creationId xmlns:a16="http://schemas.microsoft.com/office/drawing/2014/main" id="{553B442B-990D-436A-8F28-33FB2AE8C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93411</xdr:colOff>
      <xdr:row>60</xdr:row>
      <xdr:rowOff>254778</xdr:rowOff>
    </xdr:from>
    <xdr:to>
      <xdr:col>8</xdr:col>
      <xdr:colOff>7898</xdr:colOff>
      <xdr:row>69</xdr:row>
      <xdr:rowOff>169339</xdr:rowOff>
    </xdr:to>
    <xdr:graphicFrame macro="">
      <xdr:nvGraphicFramePr>
        <xdr:cNvPr id="58" name="Chart 57">
          <a:extLst>
            <a:ext uri="{FF2B5EF4-FFF2-40B4-BE49-F238E27FC236}">
              <a16:creationId xmlns:a16="http://schemas.microsoft.com/office/drawing/2014/main" id="{033C8697-9694-4631-98C8-43FC116A2B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95247</xdr:colOff>
      <xdr:row>73</xdr:row>
      <xdr:rowOff>105833</xdr:rowOff>
    </xdr:from>
    <xdr:to>
      <xdr:col>8</xdr:col>
      <xdr:colOff>9734</xdr:colOff>
      <xdr:row>85</xdr:row>
      <xdr:rowOff>105835</xdr:rowOff>
    </xdr:to>
    <xdr:graphicFrame macro="">
      <xdr:nvGraphicFramePr>
        <xdr:cNvPr id="59" name="Chart 58">
          <a:extLst>
            <a:ext uri="{FF2B5EF4-FFF2-40B4-BE49-F238E27FC236}">
              <a16:creationId xmlns:a16="http://schemas.microsoft.com/office/drawing/2014/main" id="{5B02C215-FAE4-4E10-936D-D2BEA402E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nance\Delegates\Delegate%20Per%20Diem%20Shee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thaw/Mee%20Mee/2.%20Information%20Management/B_%204%20W/002.%204Ws%20matrix/001.New%204%20W/2019/Data%20Entry/Core_File_Myanmar_WASH_4W_2019_Q2%20-%2017062019%20-KachinSh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thaw\Mee%20Mee\2.%20Information%20Management\B_%204%20W\002.%204Ws%20matrix\004.Yangon\Working\2019\Q2_2019\20190730_Myanmar_WASH_4W_2019_Q2_Rakhine_camp_Consolidate_DRAF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rsonal/mthaw_unicef_org/Documents/Mee%20Mee_backup/2.%20Information%20Management/B_%204%20W/002.%204Ws%20matrix/001.New%204%20W/2022/Q3_2022/Core_File_Myanmar_WASH_4W_2022_Q3_KachinShan_Camp.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thaw\Mee%20Mee\2.%20Information%20Management\C_Camp%20Info\2.%20CCCM%20Camp%20list\Kachin\2019\shelter-nfi-cccm_kachin_northern_shan_cluster_analysis_report_march_2019.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personal/mthaw_unicef_org/Documents/Mee%20Mee_backup/2.%20Information%20Management/B_%204%20W/002.%204Ws%20matrix/006.HPM%20&amp;HAC&amp;%20HRP/2023/2023_Q2/HRP%202023%20mid-year%20report%20-%20people%20reached%20data%20collection%20template_WASH.xlsx?438763A6" TargetMode="External"/><Relationship Id="rId1" Type="http://schemas.openxmlformats.org/officeDocument/2006/relationships/externalLinkPath" Target="file:///\\438763A6\HRP%202023%20mid-year%20report%20-%20people%20reached%20data%20collection%20template_WAS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ersonal/mthaw_unicef_org/Documents/Mee%20Mee_backup/2.%20Information%20Management/J_Funding/2023/2023_Q2/20230728_Funding%20Matrix_2023_Q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ty Sheet"/>
      <sheetName val="PD Sheet"/>
      <sheetName val="Data"/>
      <sheetName val="Sheet5"/>
      <sheetName val="Fund_Analysis_Rakhine"/>
      <sheetName val="Lookup"/>
      <sheetName val="Site_DB"/>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2"/>
      <sheetName val="DATABASE"/>
      <sheetName val="Site_DB"/>
      <sheetName val="Indicator Summary  Eng"/>
      <sheetName val="Indicator Summary  MM"/>
      <sheetName val="HRP Calculations"/>
      <sheetName val="Sheet1"/>
      <sheetName val="Lookup"/>
      <sheetName val="Core_File_Myanmar_WASH_4W_2019_"/>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2"/>
      <sheetName val="DATABASE"/>
      <sheetName val="Site_DB"/>
      <sheetName val="HRP Calculations"/>
      <sheetName val="Indicator Summary  Eng"/>
      <sheetName val="Indicator Summary  MM"/>
      <sheetName val="HRP"/>
      <sheetName val="Sheet1"/>
      <sheetName val="Analysis"/>
      <sheetName val="Quarterly Dashboard"/>
      <sheetName val="Rakhine"/>
      <sheetName val="AAP-community Feedback"/>
      <sheetName val="By Camps"/>
      <sheetName val="Tracking Dashboard"/>
      <sheetName val="Lookup"/>
      <sheetName val="20190730_Myanmar_WASH_4W_2019_Q"/>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
          <cell r="AB3" t="str">
            <v>State_list</v>
          </cell>
        </row>
        <row r="4">
          <cell r="AB4" t="str">
            <v>Central Rakhine</v>
          </cell>
        </row>
        <row r="5">
          <cell r="AB5" t="str">
            <v>Central Rakhine</v>
          </cell>
        </row>
        <row r="6">
          <cell r="AB6" t="str">
            <v>Central Rakhine</v>
          </cell>
        </row>
        <row r="7">
          <cell r="AB7" t="str">
            <v>Central Rakhine</v>
          </cell>
        </row>
        <row r="8">
          <cell r="AB8" t="str">
            <v>Central Rakhine</v>
          </cell>
        </row>
        <row r="9">
          <cell r="AB9" t="str">
            <v>Central Rakhine</v>
          </cell>
        </row>
        <row r="10">
          <cell r="AB10" t="str">
            <v>Central Rakhine</v>
          </cell>
        </row>
        <row r="11">
          <cell r="AB11" t="str">
            <v>Central Rakhine</v>
          </cell>
        </row>
        <row r="12">
          <cell r="AB12" t="str">
            <v>Central Rakhine</v>
          </cell>
        </row>
        <row r="13">
          <cell r="AB13" t="str">
            <v>Kachin</v>
          </cell>
        </row>
        <row r="14">
          <cell r="AB14" t="str">
            <v>Kachin</v>
          </cell>
        </row>
        <row r="15">
          <cell r="AB15" t="str">
            <v>Kachin</v>
          </cell>
        </row>
        <row r="16">
          <cell r="AB16" t="str">
            <v>Kachin</v>
          </cell>
        </row>
        <row r="17">
          <cell r="AB17" t="str">
            <v>Kachin</v>
          </cell>
        </row>
        <row r="18">
          <cell r="AB18" t="str">
            <v>Kachin</v>
          </cell>
        </row>
        <row r="19">
          <cell r="AB19" t="str">
            <v>Kachin</v>
          </cell>
        </row>
        <row r="20">
          <cell r="AB20" t="str">
            <v>Kachin</v>
          </cell>
        </row>
        <row r="21">
          <cell r="AB21" t="str">
            <v>Kachin</v>
          </cell>
        </row>
        <row r="22">
          <cell r="AB22" t="str">
            <v>Kachin</v>
          </cell>
        </row>
        <row r="23">
          <cell r="AB23" t="str">
            <v>Kachin</v>
          </cell>
        </row>
        <row r="24">
          <cell r="AB24" t="str">
            <v>Kachin</v>
          </cell>
        </row>
        <row r="25">
          <cell r="AB25" t="str">
            <v>Kachin</v>
          </cell>
        </row>
        <row r="26">
          <cell r="AB26" t="str">
            <v>Kachin</v>
          </cell>
        </row>
        <row r="27">
          <cell r="AB27" t="str">
            <v>Kachin</v>
          </cell>
        </row>
        <row r="28">
          <cell r="AB28" t="str">
            <v>Kachin</v>
          </cell>
        </row>
        <row r="29">
          <cell r="AB29" t="str">
            <v>Kachin</v>
          </cell>
        </row>
        <row r="30">
          <cell r="AB30" t="str">
            <v>Kachin</v>
          </cell>
        </row>
        <row r="31">
          <cell r="AB31" t="str">
            <v>Kachin</v>
          </cell>
        </row>
        <row r="32">
          <cell r="AB32" t="str">
            <v>Northern Rakhine</v>
          </cell>
        </row>
        <row r="33">
          <cell r="AB33" t="str">
            <v>Northern Rakhine</v>
          </cell>
        </row>
        <row r="34">
          <cell r="AB34" t="str">
            <v>Northern Rakhine</v>
          </cell>
        </row>
        <row r="35">
          <cell r="AB35" t="str">
            <v>Rakhine</v>
          </cell>
        </row>
        <row r="36">
          <cell r="AB36" t="str">
            <v>Rakhine</v>
          </cell>
        </row>
        <row r="37">
          <cell r="AB37" t="str">
            <v>Rakhine</v>
          </cell>
        </row>
        <row r="38">
          <cell r="AB38" t="str">
            <v>Rakhine</v>
          </cell>
        </row>
        <row r="39">
          <cell r="AB39" t="str">
            <v>Rakhine</v>
          </cell>
        </row>
        <row r="40">
          <cell r="AB40" t="str">
            <v>Shan (North)</v>
          </cell>
        </row>
        <row r="41">
          <cell r="AB41" t="str">
            <v>Shan (North)</v>
          </cell>
        </row>
        <row r="42">
          <cell r="AB42" t="str">
            <v>Shan (North)</v>
          </cell>
        </row>
        <row r="43">
          <cell r="AB43" t="str">
            <v>Shan (North)</v>
          </cell>
        </row>
        <row r="44">
          <cell r="AB44" t="str">
            <v>Shan (North)</v>
          </cell>
        </row>
        <row r="45">
          <cell r="AB45" t="str">
            <v>Shan (North)</v>
          </cell>
        </row>
        <row r="46">
          <cell r="AB46" t="str">
            <v>Shan (North)</v>
          </cell>
        </row>
        <row r="47">
          <cell r="AB47" t="str">
            <v>Shan (North)</v>
          </cell>
        </row>
        <row r="48">
          <cell r="AB48" t="str">
            <v>Shan (North)</v>
          </cell>
        </row>
        <row r="49">
          <cell r="AB49" t="str">
            <v>Shan (North)</v>
          </cell>
        </row>
        <row r="50">
          <cell r="AB50" t="str">
            <v>Shan (North)</v>
          </cell>
        </row>
        <row r="51">
          <cell r="AB51" t="str">
            <v>Shan (North)</v>
          </cell>
        </row>
        <row r="52">
          <cell r="AB52" t="str">
            <v>Shan (North)</v>
          </cell>
        </row>
        <row r="53">
          <cell r="AB53" t="str">
            <v>Shan (North)</v>
          </cell>
        </row>
        <row r="54">
          <cell r="AB54" t="str">
            <v>Shan (North)</v>
          </cell>
        </row>
        <row r="55">
          <cell r="AB55" t="str">
            <v>Shan (North)</v>
          </cell>
        </row>
        <row r="56">
          <cell r="AB56" t="str">
            <v>Shan (North)</v>
          </cell>
        </row>
        <row r="57">
          <cell r="AB57" t="str">
            <v>Shan (North)</v>
          </cell>
        </row>
        <row r="58">
          <cell r="AB58" t="str">
            <v>Shan (North)</v>
          </cell>
        </row>
        <row r="59">
          <cell r="AB59" t="str">
            <v>Shan (North)</v>
          </cell>
        </row>
        <row r="60">
          <cell r="AB60" t="str">
            <v>Shan (North)</v>
          </cell>
        </row>
        <row r="61">
          <cell r="AB61" t="str">
            <v>Shan (North)</v>
          </cell>
        </row>
        <row r="62">
          <cell r="AB62" t="str">
            <v>Shan (North)</v>
          </cell>
        </row>
        <row r="63">
          <cell r="AB63" t="str">
            <v>Shan (North)</v>
          </cell>
        </row>
        <row r="64">
          <cell r="AB64" t="str">
            <v>Shan (North)</v>
          </cell>
        </row>
        <row r="65">
          <cell r="AB65" t="str">
            <v>Shan (North)</v>
          </cell>
        </row>
        <row r="66">
          <cell r="AB66" t="str">
            <v>Shan (North)</v>
          </cell>
        </row>
        <row r="67">
          <cell r="AB67" t="str">
            <v>Shan (North)</v>
          </cell>
        </row>
        <row r="68">
          <cell r="AB68" t="str">
            <v>Shan (North)</v>
          </cell>
        </row>
        <row r="69">
          <cell r="AB69" t="str">
            <v>Shan (North)</v>
          </cell>
        </row>
        <row r="70">
          <cell r="AB70" t="str">
            <v>Shan (North)</v>
          </cell>
        </row>
        <row r="71">
          <cell r="AB71" t="str">
            <v>Shan (North)</v>
          </cell>
        </row>
        <row r="72">
          <cell r="AB72" t="str">
            <v>Shan (North)</v>
          </cell>
        </row>
        <row r="73">
          <cell r="AB73" t="str">
            <v>Shan (North)</v>
          </cell>
        </row>
        <row r="74">
          <cell r="AB74" t="str">
            <v>Shan (North)</v>
          </cell>
        </row>
        <row r="75">
          <cell r="AB75" t="str">
            <v>Shan (North)</v>
          </cell>
        </row>
        <row r="76">
          <cell r="AB76" t="str">
            <v>Shan (North)</v>
          </cell>
        </row>
        <row r="77">
          <cell r="AB77" t="str">
            <v>Shan (North)</v>
          </cell>
        </row>
        <row r="78">
          <cell r="AB78" t="str">
            <v>Shan (North)</v>
          </cell>
        </row>
        <row r="79">
          <cell r="AB79" t="str">
            <v>Shan (North)</v>
          </cell>
        </row>
        <row r="80">
          <cell r="AB80" t="str">
            <v>Shan (North)</v>
          </cell>
        </row>
        <row r="81">
          <cell r="AB81" t="str">
            <v>Shan (North)</v>
          </cell>
        </row>
        <row r="82">
          <cell r="AB82" t="str">
            <v>Shan (North)</v>
          </cell>
        </row>
        <row r="83">
          <cell r="AB83" t="str">
            <v>Shan (North)</v>
          </cell>
        </row>
      </sheetData>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HWS"/>
      <sheetName val="DATABASE"/>
      <sheetName val="Site_DB"/>
      <sheetName val="Indicator Summary  Eng"/>
      <sheetName val="Indicator Summary  MM"/>
      <sheetName val="HRP Calculations"/>
      <sheetName val="HRP"/>
      <sheetName val="HRP ref"/>
      <sheetName val="Analysis"/>
      <sheetName val="Sheet2"/>
      <sheetName val="partners_Q1"/>
      <sheetName val="partners_Q2"/>
      <sheetName val="Kachin"/>
      <sheetName val="Shan(n)"/>
      <sheetName val="AAP-community Feedback"/>
      <sheetName val="Quarterly Dashboard"/>
      <sheetName val="By Camps"/>
      <sheetName val="Tracking Dashboard"/>
      <sheetName val="Lookup"/>
      <sheetName val="Core_File_Myanmar_WASH_4W_2022_"/>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refreshError="1"/>
      <sheetData sheetId="16"/>
      <sheetData sheetId="17"/>
      <sheetData sheetId="18"/>
      <sheetData sheetId="19">
        <row r="3">
          <cell r="AB3" t="str">
            <v>State_list</v>
          </cell>
        </row>
        <row r="4">
          <cell r="AB4" t="str">
            <v>Central Rakhine</v>
          </cell>
        </row>
        <row r="5">
          <cell r="AB5" t="str">
            <v>Central Rakhine</v>
          </cell>
        </row>
        <row r="6">
          <cell r="AB6" t="str">
            <v>Central Rakhine</v>
          </cell>
        </row>
        <row r="7">
          <cell r="AB7" t="str">
            <v>Central Rakhine</v>
          </cell>
        </row>
        <row r="8">
          <cell r="AB8" t="str">
            <v>Central Rakhine</v>
          </cell>
        </row>
        <row r="9">
          <cell r="AB9" t="str">
            <v>Central Rakhine</v>
          </cell>
        </row>
        <row r="10">
          <cell r="AB10" t="str">
            <v>Central Rakhine</v>
          </cell>
        </row>
        <row r="11">
          <cell r="AB11" t="str">
            <v>Central Rakhine</v>
          </cell>
        </row>
        <row r="12">
          <cell r="AB12" t="str">
            <v>Central Rakhine</v>
          </cell>
        </row>
        <row r="13">
          <cell r="AB13" t="str">
            <v>Kachin</v>
          </cell>
        </row>
        <row r="14">
          <cell r="AB14" t="str">
            <v>Kachin</v>
          </cell>
        </row>
        <row r="15">
          <cell r="AB15" t="str">
            <v>Kachin</v>
          </cell>
        </row>
        <row r="16">
          <cell r="AB16" t="str">
            <v>Kachin</v>
          </cell>
        </row>
        <row r="17">
          <cell r="AB17" t="str">
            <v>Kachin</v>
          </cell>
        </row>
        <row r="18">
          <cell r="AB18" t="str">
            <v>Kachin</v>
          </cell>
        </row>
        <row r="19">
          <cell r="AB19" t="str">
            <v>Kachin</v>
          </cell>
        </row>
        <row r="20">
          <cell r="AB20" t="str">
            <v>Kachin</v>
          </cell>
        </row>
        <row r="21">
          <cell r="AB21" t="str">
            <v>Kachin</v>
          </cell>
        </row>
        <row r="22">
          <cell r="AB22" t="str">
            <v>Kachin</v>
          </cell>
        </row>
        <row r="23">
          <cell r="AB23" t="str">
            <v>Kachin</v>
          </cell>
        </row>
        <row r="24">
          <cell r="AB24" t="str">
            <v>Kachin</v>
          </cell>
        </row>
        <row r="25">
          <cell r="AB25" t="str">
            <v>Kachin</v>
          </cell>
        </row>
        <row r="26">
          <cell r="AB26" t="str">
            <v>Kachin</v>
          </cell>
        </row>
        <row r="27">
          <cell r="AB27" t="str">
            <v>Kachin</v>
          </cell>
        </row>
        <row r="28">
          <cell r="AB28" t="str">
            <v>Kachin</v>
          </cell>
        </row>
        <row r="29">
          <cell r="AB29" t="str">
            <v>Kachin</v>
          </cell>
        </row>
        <row r="30">
          <cell r="AB30" t="str">
            <v>Kachin</v>
          </cell>
        </row>
        <row r="31">
          <cell r="AB31" t="str">
            <v>Kachin</v>
          </cell>
        </row>
        <row r="32">
          <cell r="AB32" t="str">
            <v>Northern Rakhine</v>
          </cell>
        </row>
        <row r="33">
          <cell r="AB33" t="str">
            <v>Northern Rakhine</v>
          </cell>
        </row>
        <row r="34">
          <cell r="AB34" t="str">
            <v>Northern Rakhine</v>
          </cell>
        </row>
        <row r="35">
          <cell r="AB35" t="str">
            <v>Rakhine</v>
          </cell>
        </row>
        <row r="36">
          <cell r="AB36" t="str">
            <v>Rakhine</v>
          </cell>
        </row>
        <row r="37">
          <cell r="AB37" t="str">
            <v>Rakhine</v>
          </cell>
        </row>
        <row r="38">
          <cell r="AB38" t="str">
            <v>Rakhine</v>
          </cell>
        </row>
        <row r="39">
          <cell r="AB39" t="str">
            <v>Rakhine</v>
          </cell>
        </row>
        <row r="40">
          <cell r="AB40" t="str">
            <v>Shan (North)</v>
          </cell>
        </row>
        <row r="41">
          <cell r="AB41" t="str">
            <v>Shan (North)</v>
          </cell>
        </row>
        <row r="42">
          <cell r="AB42" t="str">
            <v>Shan (North)</v>
          </cell>
        </row>
        <row r="43">
          <cell r="AB43" t="str">
            <v>Shan (North)</v>
          </cell>
        </row>
        <row r="44">
          <cell r="AB44" t="str">
            <v>Shan (North)</v>
          </cell>
        </row>
        <row r="45">
          <cell r="AB45" t="str">
            <v>Shan (North)</v>
          </cell>
        </row>
        <row r="46">
          <cell r="AB46" t="str">
            <v>Shan (North)</v>
          </cell>
        </row>
        <row r="47">
          <cell r="AB47" t="str">
            <v>Shan (North)</v>
          </cell>
        </row>
        <row r="48">
          <cell r="AB48" t="str">
            <v>Shan (North)</v>
          </cell>
        </row>
        <row r="49">
          <cell r="AB49" t="str">
            <v>Shan (North)</v>
          </cell>
        </row>
        <row r="50">
          <cell r="AB50" t="str">
            <v>Shan (North)</v>
          </cell>
        </row>
        <row r="51">
          <cell r="AB51" t="str">
            <v>Shan (North)</v>
          </cell>
        </row>
        <row r="52">
          <cell r="AB52" t="str">
            <v>Shan (North)</v>
          </cell>
        </row>
        <row r="53">
          <cell r="AB53" t="str">
            <v>Shan (North)</v>
          </cell>
        </row>
        <row r="54">
          <cell r="AB54" t="str">
            <v>Shan (North)</v>
          </cell>
        </row>
        <row r="55">
          <cell r="AB55" t="str">
            <v>Shan (North)</v>
          </cell>
        </row>
        <row r="56">
          <cell r="AB56" t="str">
            <v>Shan (North)</v>
          </cell>
        </row>
        <row r="57">
          <cell r="AB57" t="str">
            <v>Shan (North)</v>
          </cell>
        </row>
        <row r="58">
          <cell r="AB58" t="str">
            <v>Shan (North)</v>
          </cell>
        </row>
        <row r="59">
          <cell r="AB59" t="str">
            <v>Shan (North)</v>
          </cell>
        </row>
        <row r="60">
          <cell r="AB60" t="str">
            <v>Shan (North)</v>
          </cell>
        </row>
        <row r="61">
          <cell r="AB61" t="str">
            <v>Shan (North)</v>
          </cell>
        </row>
        <row r="62">
          <cell r="AB62" t="str">
            <v>Shan (North)</v>
          </cell>
        </row>
        <row r="63">
          <cell r="AB63" t="str">
            <v>Shan (North)</v>
          </cell>
        </row>
        <row r="64">
          <cell r="AB64" t="str">
            <v>Shan (North)</v>
          </cell>
        </row>
        <row r="65">
          <cell r="AB65" t="str">
            <v>Shan (North)</v>
          </cell>
        </row>
        <row r="66">
          <cell r="AB66" t="str">
            <v>Shan (North)</v>
          </cell>
        </row>
        <row r="67">
          <cell r="AB67" t="str">
            <v>Shan (North)</v>
          </cell>
        </row>
        <row r="68">
          <cell r="AB68" t="str">
            <v>Shan (North)</v>
          </cell>
        </row>
        <row r="69">
          <cell r="AB69" t="str">
            <v>Shan (North)</v>
          </cell>
        </row>
        <row r="70">
          <cell r="AB70" t="str">
            <v>Shan (North)</v>
          </cell>
        </row>
        <row r="71">
          <cell r="AB71" t="str">
            <v>Shan (North)</v>
          </cell>
        </row>
        <row r="72">
          <cell r="AB72" t="str">
            <v>Shan (North)</v>
          </cell>
        </row>
        <row r="73">
          <cell r="AB73" t="str">
            <v>Shan (North)</v>
          </cell>
        </row>
        <row r="74">
          <cell r="AB74" t="str">
            <v>Shan (North)</v>
          </cell>
        </row>
        <row r="75">
          <cell r="AB75" t="str">
            <v>Shan (North)</v>
          </cell>
        </row>
        <row r="76">
          <cell r="AB76" t="str">
            <v>Shan (North)</v>
          </cell>
        </row>
        <row r="77">
          <cell r="AB77" t="str">
            <v>Shan (North)</v>
          </cell>
        </row>
        <row r="78">
          <cell r="AB78" t="str">
            <v>Shan (North)</v>
          </cell>
        </row>
        <row r="79">
          <cell r="AB79" t="str">
            <v>Shan (North)</v>
          </cell>
        </row>
        <row r="80">
          <cell r="AB80" t="str">
            <v>Shan (North)</v>
          </cell>
        </row>
        <row r="81">
          <cell r="AB81" t="str">
            <v>Shan (North)</v>
          </cell>
        </row>
        <row r="82">
          <cell r="AB82" t="str">
            <v>Shan (North)</v>
          </cell>
        </row>
        <row r="83">
          <cell r="AB83" t="str">
            <v>Shan (North)</v>
          </cell>
        </row>
      </sheetData>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
      <sheetName val="IDP locations"/>
      <sheetName val="DistanceToCamp"/>
      <sheetName val="Graphs"/>
      <sheetName val="IDP location Analysis"/>
      <sheetName val="CCCM Dashboard"/>
      <sheetName val="Map"/>
      <sheetName val="ForGIS"/>
      <sheetName val="Shelter Cross Check"/>
      <sheetName val="IDP locations (printable)"/>
      <sheetName val="Relocation"/>
      <sheetName val="Shelter Gap Analysis"/>
      <sheetName val="Define_TCL"/>
      <sheetName val="Shelter Coverage Camp"/>
      <sheetName val="Shelter Solution"/>
      <sheetName val="Shelter overview"/>
      <sheetName val="NFI Stock and Pipeline"/>
      <sheetName val="NFI Distributions"/>
      <sheetName val="Winter Item"/>
      <sheetName val="NFI Summary"/>
      <sheetName val="data"/>
      <sheetName val="Nationa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s"/>
      <sheetName val="Summary Inputs"/>
      <sheetName val="3W Inputs"/>
      <sheetName val="Education indicators"/>
      <sheetName val="FSC indicators"/>
      <sheetName val="Health indicators"/>
      <sheetName val="Nutrition indicators"/>
      <sheetName val="Protection indicators"/>
      <sheetName val="Shelter indicators"/>
      <sheetName val="WASH indicators"/>
    </sheetNames>
    <sheetDataSet>
      <sheetData sheetId="0">
        <row r="2">
          <cell r="G2" t="str">
            <v>Border Based Organization</v>
          </cell>
          <cell r="H2" t="str">
            <v>Karen Department of Health and Welfare</v>
          </cell>
          <cell r="I2" t="str">
            <v>KDHW</v>
          </cell>
        </row>
        <row r="3">
          <cell r="G3" t="str">
            <v>Border Based Organization</v>
          </cell>
          <cell r="H3" t="str">
            <v>The Border Consortium (Back Pack Health Worker Team)</v>
          </cell>
          <cell r="I3" t="str">
            <v>TBC (BPHWT)</v>
          </cell>
        </row>
        <row r="4">
          <cell r="G4" t="str">
            <v>Border Based Organization</v>
          </cell>
          <cell r="H4" t="str">
            <v>The Border Consortium (Karen Department of Health and Welfare)</v>
          </cell>
          <cell r="I4" t="str">
            <v>TBC (KDHW)</v>
          </cell>
        </row>
        <row r="5">
          <cell r="G5" t="str">
            <v>Border Based Organization</v>
          </cell>
          <cell r="H5" t="str">
            <v>The Border Consortium (Karen Environmental and Social Action Network)</v>
          </cell>
          <cell r="I5" t="str">
            <v>TBC (KESAN)</v>
          </cell>
        </row>
        <row r="6">
          <cell r="G6" t="str">
            <v>Border Based Organization</v>
          </cell>
          <cell r="H6" t="str">
            <v>The Border Consortium (Karen Office of Relief and Development)</v>
          </cell>
          <cell r="I6" t="str">
            <v>TBC (KORD)</v>
          </cell>
        </row>
        <row r="7">
          <cell r="G7" t="str">
            <v>Border Based Organization</v>
          </cell>
          <cell r="H7" t="str">
            <v>The Border Consortium (Karenni Mobile Health Committee)</v>
          </cell>
          <cell r="I7" t="str">
            <v>TBC (KMHC)</v>
          </cell>
        </row>
        <row r="8">
          <cell r="G8" t="str">
            <v>Border Based Organization</v>
          </cell>
          <cell r="H8" t="str">
            <v>The Border Consortium (Mon National Health Committee)</v>
          </cell>
          <cell r="I8" t="str">
            <v>TBC (MNHC)</v>
          </cell>
        </row>
        <row r="9">
          <cell r="G9" t="str">
            <v>Border Based Organization</v>
          </cell>
          <cell r="H9" t="str">
            <v>The Border Consortium (Tenasserim Rivers and Indigenous People Network)</v>
          </cell>
          <cell r="I9" t="str">
            <v>TBC (TRIPNET)</v>
          </cell>
        </row>
        <row r="10">
          <cell r="G10" t="str">
            <v>Civil Society Organization</v>
          </cell>
          <cell r="H10" t="str">
            <v>Action Based Community Development</v>
          </cell>
          <cell r="I10" t="str">
            <v>ABCD</v>
          </cell>
        </row>
        <row r="11">
          <cell r="G11" t="str">
            <v>Civil Society Organization</v>
          </cell>
          <cell r="H11" t="str">
            <v>Align</v>
          </cell>
          <cell r="I11" t="str">
            <v>Align</v>
          </cell>
        </row>
        <row r="12">
          <cell r="G12" t="str">
            <v>Civil Society Organization</v>
          </cell>
          <cell r="H12" t="str">
            <v>Alinn Bamaw</v>
          </cell>
          <cell r="I12" t="str">
            <v>AB</v>
          </cell>
        </row>
        <row r="13">
          <cell r="G13" t="str">
            <v>Civil Society Organization</v>
          </cell>
          <cell r="H13" t="str">
            <v>Alinn Thit</v>
          </cell>
          <cell r="I13" t="str">
            <v>Alinn Thit</v>
          </cell>
        </row>
        <row r="14">
          <cell r="G14" t="str">
            <v>Civil Society Organization</v>
          </cell>
          <cell r="H14" t="str">
            <v>All Arakan Youth Organizations - Network</v>
          </cell>
          <cell r="I14" t="str">
            <v>AAYON</v>
          </cell>
        </row>
        <row r="15">
          <cell r="G15" t="str">
            <v>Civil Society Organization</v>
          </cell>
          <cell r="H15" t="str">
            <v>Ar Yone Oo Social Development Association</v>
          </cell>
          <cell r="I15" t="str">
            <v>AYOSDA</v>
          </cell>
        </row>
        <row r="16">
          <cell r="G16" t="str">
            <v>Civil Society Organization</v>
          </cell>
          <cell r="H16" t="str">
            <v>Arr Man Thit</v>
          </cell>
          <cell r="I16" t="str">
            <v>AMT</v>
          </cell>
        </row>
        <row r="17">
          <cell r="G17" t="str">
            <v>Civil Society Organization</v>
          </cell>
          <cell r="H17" t="str">
            <v>Bawanu Foundation</v>
          </cell>
          <cell r="I17" t="str">
            <v>BF</v>
          </cell>
        </row>
        <row r="18">
          <cell r="G18" t="str">
            <v>Civil Society Organization</v>
          </cell>
          <cell r="H18" t="str">
            <v>BCKMSST Lawyer Network</v>
          </cell>
          <cell r="I18" t="str">
            <v>BCKMSST</v>
          </cell>
        </row>
        <row r="19">
          <cell r="G19" t="str">
            <v>Civil Society Organization</v>
          </cell>
          <cell r="H19" t="str">
            <v>Bramaso Social Welfare Asso:</v>
          </cell>
          <cell r="I19" t="str">
            <v>BSWA</v>
          </cell>
        </row>
        <row r="20">
          <cell r="G20" t="str">
            <v>Civil Society Organization</v>
          </cell>
          <cell r="H20" t="str">
            <v>Chin Ethnic Peasant Union</v>
          </cell>
          <cell r="I20" t="str">
            <v>CEPU</v>
          </cell>
        </row>
        <row r="21">
          <cell r="G21" t="str">
            <v>Civil Society Organization</v>
          </cell>
          <cell r="H21" t="str">
            <v>Commitee for Internally Displaced Karen People</v>
          </cell>
          <cell r="I21" t="str">
            <v>CIDKP</v>
          </cell>
        </row>
        <row r="22">
          <cell r="G22" t="str">
            <v>Civil Society Organization</v>
          </cell>
          <cell r="H22" t="str">
            <v>Community Based Health Service and Support</v>
          </cell>
          <cell r="I22" t="str">
            <v>CCASN</v>
          </cell>
        </row>
        <row r="23">
          <cell r="G23" t="str">
            <v>Civil Society Organization</v>
          </cell>
          <cell r="H23" t="str">
            <v>Eastern Naga Development Organization</v>
          </cell>
          <cell r="I23" t="str">
            <v>ENDO</v>
          </cell>
        </row>
        <row r="24">
          <cell r="G24" t="str">
            <v>Civil Society Organization</v>
          </cell>
          <cell r="H24" t="str">
            <v>Future Light</v>
          </cell>
          <cell r="I24" t="str">
            <v>FL</v>
          </cell>
        </row>
        <row r="25">
          <cell r="G25" t="str">
            <v>Civil Society Organization</v>
          </cell>
          <cell r="H25" t="str">
            <v>Geba Karen Literature and Culture Organization</v>
          </cell>
          <cell r="I25" t="str">
            <v>GKLCO</v>
          </cell>
        </row>
        <row r="26">
          <cell r="G26" t="str">
            <v>Civil Society Organization</v>
          </cell>
          <cell r="H26" t="str">
            <v>Green Life Alliance for Development, Myanmar Council of Churches</v>
          </cell>
          <cell r="I26" t="str">
            <v>GLAD</v>
          </cell>
        </row>
        <row r="27">
          <cell r="G27" t="str">
            <v>Civil Society Organization</v>
          </cell>
          <cell r="H27" t="str">
            <v>Grip Hands</v>
          </cell>
          <cell r="I27" t="str">
            <v>Grip Hands</v>
          </cell>
        </row>
        <row r="28">
          <cell r="G28" t="str">
            <v>Civil Society Organization</v>
          </cell>
          <cell r="H28" t="str">
            <v>Grip Hands Organisation</v>
          </cell>
          <cell r="I28" t="str">
            <v>GHO</v>
          </cell>
        </row>
        <row r="29">
          <cell r="G29" t="str">
            <v>Civil Society Organization</v>
          </cell>
          <cell r="H29" t="str">
            <v>Kamma Youth Development Organization</v>
          </cell>
          <cell r="I29" t="str">
            <v>KYDO</v>
          </cell>
        </row>
        <row r="30">
          <cell r="G30" t="str">
            <v>Civil Society Organization</v>
          </cell>
          <cell r="H30" t="str">
            <v>Kanlat Metta</v>
          </cell>
          <cell r="I30" t="str">
            <v>KM</v>
          </cell>
        </row>
        <row r="31">
          <cell r="G31" t="str">
            <v>Civil Society Organization</v>
          </cell>
          <cell r="H31" t="str">
            <v>Karen National Tribal Association</v>
          </cell>
          <cell r="I31" t="str">
            <v>KNTA</v>
          </cell>
        </row>
        <row r="32">
          <cell r="G32" t="str">
            <v>Civil Society Organization</v>
          </cell>
          <cell r="H32" t="str">
            <v>Kayah Pho Social Service and Development Association</v>
          </cell>
          <cell r="I32" t="str">
            <v>KPSSDA</v>
          </cell>
        </row>
        <row r="33">
          <cell r="G33" t="str">
            <v>Civil Society Organization</v>
          </cell>
          <cell r="H33" t="str">
            <v>Kayin Ethnic Health Organization Consortium</v>
          </cell>
          <cell r="I33" t="str">
            <v>KEHOC</v>
          </cell>
        </row>
        <row r="34">
          <cell r="G34" t="str">
            <v>Civil Society Organization</v>
          </cell>
          <cell r="H34" t="str">
            <v>Lin Let Kyal Pwint</v>
          </cell>
          <cell r="I34" t="str">
            <v>LLKP</v>
          </cell>
        </row>
        <row r="35">
          <cell r="G35" t="str">
            <v>Civil Society Organization</v>
          </cell>
          <cell r="H35" t="str">
            <v>Local Development Network</v>
          </cell>
          <cell r="I35" t="str">
            <v>LDN</v>
          </cell>
        </row>
        <row r="36">
          <cell r="G36" t="str">
            <v>Civil Society Organization</v>
          </cell>
          <cell r="H36" t="str">
            <v>Loi Kham WO</v>
          </cell>
          <cell r="I36" t="str">
            <v>LKWO</v>
          </cell>
        </row>
        <row r="37">
          <cell r="G37" t="str">
            <v>Civil Society Organization</v>
          </cell>
          <cell r="H37" t="str">
            <v>Loikham Women Organization</v>
          </cell>
          <cell r="I37" t="str">
            <v>LWO</v>
          </cell>
        </row>
        <row r="38">
          <cell r="G38" t="str">
            <v>Civil Society Organization</v>
          </cell>
          <cell r="H38" t="str">
            <v>Maw Du Klar Mae Social Development Association</v>
          </cell>
          <cell r="I38" t="str">
            <v>MSDA</v>
          </cell>
        </row>
        <row r="39">
          <cell r="G39" t="str">
            <v>Civil Society Organization</v>
          </cell>
          <cell r="H39" t="str">
            <v>Migrants Monitoring Group- Myawaddy</v>
          </cell>
          <cell r="I39" t="str">
            <v>MMG</v>
          </cell>
        </row>
        <row r="40">
          <cell r="G40" t="str">
            <v>Civil Society Organization</v>
          </cell>
          <cell r="H40" t="str">
            <v>Mon Women's Organization</v>
          </cell>
          <cell r="I40" t="str">
            <v>MWO</v>
          </cell>
        </row>
        <row r="41">
          <cell r="G41" t="str">
            <v>Civil Society Organization</v>
          </cell>
          <cell r="H41" t="str">
            <v>Mrauk U Youth Association</v>
          </cell>
          <cell r="I41" t="str">
            <v>MUYA</v>
          </cell>
        </row>
        <row r="42">
          <cell r="G42" t="str">
            <v>Civil Society Organization</v>
          </cell>
          <cell r="H42" t="str">
            <v>Myaing Youth Development Organisation</v>
          </cell>
          <cell r="I42" t="str">
            <v>MYDO</v>
          </cell>
        </row>
        <row r="43">
          <cell r="G43" t="str">
            <v>Civil Society Organization</v>
          </cell>
          <cell r="H43" t="str">
            <v>MyoeSat-Generation</v>
          </cell>
          <cell r="I43" t="str">
            <v>MSG</v>
          </cell>
        </row>
        <row r="44">
          <cell r="G44" t="str">
            <v>Civil Society Organization</v>
          </cell>
          <cell r="H44" t="str">
            <v>NGO Gender Group</v>
          </cell>
          <cell r="I44" t="str">
            <v>NGOGG</v>
          </cell>
        </row>
        <row r="45">
          <cell r="G45" t="str">
            <v>Civil Society Organization</v>
          </cell>
          <cell r="H45" t="str">
            <v>Nway Htwe Thaw Yin Khwin</v>
          </cell>
          <cell r="I45" t="str">
            <v>NHTYK</v>
          </cell>
        </row>
        <row r="46">
          <cell r="G46" t="str">
            <v>Civil Society Organization</v>
          </cell>
          <cell r="H46" t="str">
            <v>Pa Dauk Min</v>
          </cell>
          <cell r="I46" t="str">
            <v>Pa Dauk Min</v>
          </cell>
        </row>
        <row r="47">
          <cell r="G47" t="str">
            <v>Civil Society Organization</v>
          </cell>
          <cell r="H47" t="str">
            <v>Pan Pyo Lat</v>
          </cell>
          <cell r="I47" t="str">
            <v>Pan Pyo Lat</v>
          </cell>
        </row>
        <row r="48">
          <cell r="G48" t="str">
            <v>Civil Society Organization</v>
          </cell>
          <cell r="H48" t="str">
            <v>Pan Taing Shin</v>
          </cell>
          <cell r="I48" t="str">
            <v>PTS</v>
          </cell>
        </row>
        <row r="49">
          <cell r="G49" t="str">
            <v>Civil Society Organization</v>
          </cell>
          <cell r="H49" t="str">
            <v>Pa-O Women Affair Committee</v>
          </cell>
          <cell r="I49" t="str">
            <v>PWAC</v>
          </cell>
        </row>
        <row r="50">
          <cell r="G50" t="str">
            <v>Civil Society Organization</v>
          </cell>
          <cell r="H50" t="str">
            <v>Parami Development Network</v>
          </cell>
          <cell r="I50" t="str">
            <v>PDN</v>
          </cell>
        </row>
        <row r="51">
          <cell r="G51" t="str">
            <v>Civil Society Organization</v>
          </cell>
          <cell r="H51" t="str">
            <v>Peace &amp; Development Initiative-Kintha</v>
          </cell>
          <cell r="I51" t="str">
            <v>PDIK</v>
          </cell>
        </row>
        <row r="52">
          <cell r="G52" t="str">
            <v>Civil Society Organization</v>
          </cell>
          <cell r="H52" t="str">
            <v>Purified Drinking Water Factory Association</v>
          </cell>
          <cell r="I52" t="str">
            <v>PDW</v>
          </cell>
        </row>
        <row r="53">
          <cell r="G53" t="str">
            <v>Civil Society Organization</v>
          </cell>
          <cell r="H53" t="str">
            <v>Rainbow</v>
          </cell>
          <cell r="I53" t="str">
            <v>Rainbow</v>
          </cell>
        </row>
        <row r="54">
          <cell r="G54" t="str">
            <v>Civil Society Organization</v>
          </cell>
          <cell r="H54" t="str">
            <v>Rakhine Ethnic Congress</v>
          </cell>
          <cell r="I54" t="str">
            <v>REC</v>
          </cell>
        </row>
        <row r="55">
          <cell r="G55" t="str">
            <v>Civil Society Organization</v>
          </cell>
          <cell r="H55" t="str">
            <v>Rakhine Women Netwotk</v>
          </cell>
          <cell r="I55" t="str">
            <v>RWN</v>
          </cell>
        </row>
        <row r="56">
          <cell r="G56" t="str">
            <v>Civil Society Organization</v>
          </cell>
          <cell r="H56" t="str">
            <v>Rays of Light</v>
          </cell>
          <cell r="I56" t="str">
            <v>RoL</v>
          </cell>
        </row>
        <row r="57">
          <cell r="G57" t="str">
            <v>Civil Society Organization</v>
          </cell>
          <cell r="H57" t="str">
            <v>SHCDO</v>
          </cell>
          <cell r="I57" t="str">
            <v>SHCDO</v>
          </cell>
        </row>
        <row r="58">
          <cell r="G58" t="str">
            <v>Civil Society Organization</v>
          </cell>
          <cell r="H58" t="str">
            <v>Shwe Danu SHG</v>
          </cell>
          <cell r="I58" t="str">
            <v>SDSHG</v>
          </cell>
        </row>
        <row r="59">
          <cell r="G59" t="str">
            <v>Civil Society Organization</v>
          </cell>
          <cell r="H59" t="str">
            <v>Social Care Volunteer Group</v>
          </cell>
          <cell r="I59" t="str">
            <v>SCVG</v>
          </cell>
        </row>
        <row r="60">
          <cell r="G60" t="str">
            <v>Civil Society Organization</v>
          </cell>
          <cell r="H60" t="str">
            <v>Southern Shan State Women Organizations Network</v>
          </cell>
          <cell r="I60" t="str">
            <v>SSSWON</v>
          </cell>
        </row>
        <row r="61">
          <cell r="G61" t="str">
            <v>Civil Society Organization</v>
          </cell>
          <cell r="H61" t="str">
            <v>Swan Yee Development Foundation</v>
          </cell>
          <cell r="I61" t="str">
            <v>SDF</v>
          </cell>
        </row>
        <row r="62">
          <cell r="G62" t="str">
            <v>Civil Society Organization</v>
          </cell>
          <cell r="H62" t="str">
            <v>Thandaunggyi Women Group</v>
          </cell>
          <cell r="I62" t="str">
            <v>TWG</v>
          </cell>
        </row>
        <row r="63">
          <cell r="G63" t="str">
            <v>Civil Society Organization</v>
          </cell>
          <cell r="H63" t="str">
            <v>Thantlang Placement Affairs Committee</v>
          </cell>
          <cell r="I63" t="str">
            <v>TPAC</v>
          </cell>
        </row>
        <row r="64">
          <cell r="G64" t="str">
            <v>Civil Society Organization</v>
          </cell>
          <cell r="H64" t="str">
            <v>Thazin Legal Aid</v>
          </cell>
          <cell r="I64" t="str">
            <v>TLA</v>
          </cell>
        </row>
        <row r="65">
          <cell r="G65" t="str">
            <v>Civil Society Organization</v>
          </cell>
          <cell r="H65" t="str">
            <v>Thazin Legal Institute</v>
          </cell>
          <cell r="I65" t="str">
            <v>Thazin</v>
          </cell>
        </row>
        <row r="66">
          <cell r="G66" t="str">
            <v>Civil Society Organization</v>
          </cell>
          <cell r="H66" t="str">
            <v>Wakema Township Association</v>
          </cell>
          <cell r="I66" t="str">
            <v>WTA</v>
          </cell>
        </row>
        <row r="67">
          <cell r="G67" t="str">
            <v>Civil Society Organization</v>
          </cell>
          <cell r="H67" t="str">
            <v>WAPAN</v>
          </cell>
          <cell r="I67" t="str">
            <v>WAPAN</v>
          </cell>
        </row>
        <row r="68">
          <cell r="G68" t="str">
            <v>Civil Society Organization</v>
          </cell>
          <cell r="H68" t="str">
            <v>Women Can Do It</v>
          </cell>
          <cell r="I68" t="str">
            <v>WCDI</v>
          </cell>
        </row>
        <row r="69">
          <cell r="G69" t="str">
            <v>Civil Society Organization</v>
          </cell>
          <cell r="H69" t="str">
            <v>Women Empowerment Development Organization</v>
          </cell>
          <cell r="I69" t="str">
            <v>WEDO</v>
          </cell>
        </row>
        <row r="70">
          <cell r="G70" t="str">
            <v>Civil Society Organization</v>
          </cell>
          <cell r="H70" t="str">
            <v>Women’s Organizations Network</v>
          </cell>
          <cell r="I70" t="str">
            <v>WON</v>
          </cell>
        </row>
        <row r="71">
          <cell r="G71" t="str">
            <v>Civil Society Organization</v>
          </cell>
          <cell r="H71" t="str">
            <v xml:space="preserve">Yaung Chi Thit </v>
          </cell>
          <cell r="I71" t="str">
            <v>YCT</v>
          </cell>
        </row>
        <row r="72">
          <cell r="G72" t="str">
            <v>Civil Society Organization</v>
          </cell>
          <cell r="H72" t="str">
            <v>YOUNITY</v>
          </cell>
          <cell r="I72" t="str">
            <v>YOUNITY</v>
          </cell>
        </row>
        <row r="73">
          <cell r="G73" t="str">
            <v>Community Based Organization</v>
          </cell>
          <cell r="H73" t="str">
            <v>COLDA</v>
          </cell>
          <cell r="I73" t="str">
            <v>COLDA</v>
          </cell>
        </row>
        <row r="74">
          <cell r="G74" t="str">
            <v>Community Based Organization</v>
          </cell>
          <cell r="H74" t="str">
            <v>Faith Hope Love Volunteer Group</v>
          </cell>
          <cell r="I74" t="str">
            <v>FHLVG</v>
          </cell>
        </row>
        <row r="75">
          <cell r="G75" t="str">
            <v>Community Based Organization</v>
          </cell>
          <cell r="H75" t="str">
            <v>Karen Culture and Literature Association</v>
          </cell>
          <cell r="I75" t="str">
            <v>KCLA</v>
          </cell>
        </row>
        <row r="76">
          <cell r="G76" t="str">
            <v>Community Based Organization</v>
          </cell>
          <cell r="H76" t="str">
            <v>NKWD</v>
          </cell>
          <cell r="I76" t="str">
            <v>NKWD</v>
          </cell>
        </row>
        <row r="77">
          <cell r="G77" t="str">
            <v>Community Based Organization</v>
          </cell>
          <cell r="H77" t="str">
            <v>Pyi Kant Kaw</v>
          </cell>
          <cell r="I77" t="str">
            <v>PKK</v>
          </cell>
        </row>
        <row r="78">
          <cell r="G78" t="str">
            <v>Community Based Organization</v>
          </cell>
          <cell r="H78" t="str">
            <v>Religion for Peace - Myanmar</v>
          </cell>
          <cell r="I78" t="str">
            <v>RPM</v>
          </cell>
        </row>
        <row r="79">
          <cell r="G79" t="str">
            <v>Community Based Organization</v>
          </cell>
          <cell r="H79" t="str">
            <v>Shwe Nyar Myea</v>
          </cell>
          <cell r="I79" t="str">
            <v>Shwe Nyar Myea</v>
          </cell>
        </row>
        <row r="80">
          <cell r="G80" t="str">
            <v>Community Based Organization</v>
          </cell>
          <cell r="H80" t="str">
            <v>Swan In Thit</v>
          </cell>
          <cell r="I80" t="str">
            <v>SIT</v>
          </cell>
        </row>
        <row r="81">
          <cell r="G81" t="str">
            <v>Community Based Organization</v>
          </cell>
          <cell r="H81" t="str">
            <v>Thutimanaw</v>
          </cell>
          <cell r="I81" t="str">
            <v>Thutimanaw</v>
          </cell>
        </row>
        <row r="82">
          <cell r="G82" t="str">
            <v>Community Based Organization</v>
          </cell>
          <cell r="H82" t="str">
            <v>Victims Support Community Myebon</v>
          </cell>
          <cell r="I82" t="str">
            <v>VSCM</v>
          </cell>
        </row>
        <row r="83">
          <cell r="G83" t="str">
            <v>Community Based Organization</v>
          </cell>
          <cell r="H83" t="str">
            <v>Women Empowerment Program, Sisters of Reparation</v>
          </cell>
          <cell r="I83" t="str">
            <v>WEP</v>
          </cell>
        </row>
        <row r="84">
          <cell r="G84" t="str">
            <v>International NGO</v>
          </cell>
          <cell r="H84" t="str">
            <v>Action Contre la Faim</v>
          </cell>
          <cell r="I84" t="str">
            <v>ACF</v>
          </cell>
        </row>
        <row r="85">
          <cell r="G85" t="str">
            <v>International NGO</v>
          </cell>
          <cell r="H85" t="str">
            <v>ActionAid International</v>
          </cell>
          <cell r="I85" t="str">
            <v>ActionAid</v>
          </cell>
        </row>
        <row r="86">
          <cell r="G86" t="str">
            <v>International NGO</v>
          </cell>
          <cell r="H86" t="str">
            <v>ADRA Myanmar</v>
          </cell>
          <cell r="I86" t="str">
            <v>ADRA</v>
          </cell>
        </row>
        <row r="87">
          <cell r="G87" t="str">
            <v>International NGO</v>
          </cell>
          <cell r="H87" t="str">
            <v>Agency for Technical Cooperation and Development</v>
          </cell>
          <cell r="I87" t="str">
            <v>ACTED</v>
          </cell>
        </row>
        <row r="88">
          <cell r="G88" t="str">
            <v>International NGO</v>
          </cell>
          <cell r="H88" t="str">
            <v>American Refugee Committee</v>
          </cell>
          <cell r="I88" t="str">
            <v>ARC</v>
          </cell>
        </row>
        <row r="89">
          <cell r="G89" t="str">
            <v>International NGO</v>
          </cell>
          <cell r="H89" t="str">
            <v>Arche Nova</v>
          </cell>
          <cell r="I89" t="str">
            <v>AN</v>
          </cell>
        </row>
        <row r="90">
          <cell r="G90" t="str">
            <v>International NGO</v>
          </cell>
          <cell r="H90" t="str">
            <v>Asian Disaster Preparedness Center</v>
          </cell>
          <cell r="I90" t="str">
            <v>ADPC</v>
          </cell>
        </row>
        <row r="91">
          <cell r="G91" t="str">
            <v>International NGO</v>
          </cell>
          <cell r="H91" t="str">
            <v>Asian Harm Reduction Network</v>
          </cell>
          <cell r="I91" t="str">
            <v>AHRN</v>
          </cell>
        </row>
        <row r="92">
          <cell r="G92" t="str">
            <v>International NGO</v>
          </cell>
          <cell r="H92" t="str">
            <v>Association for Aid and Relief Japan</v>
          </cell>
          <cell r="I92" t="str">
            <v>AAR Japan</v>
          </cell>
        </row>
        <row r="93">
          <cell r="G93" t="str">
            <v>International NGO</v>
          </cell>
          <cell r="H93" t="str">
            <v>Association François-Xavier Bagnoud</v>
          </cell>
          <cell r="I93" t="str">
            <v>AFXB</v>
          </cell>
        </row>
        <row r="94">
          <cell r="G94" t="str">
            <v>International NGO</v>
          </cell>
          <cell r="H94" t="str">
            <v>Association of Volunteers in International Service</v>
          </cell>
          <cell r="I94" t="str">
            <v>AVSI</v>
          </cell>
        </row>
        <row r="95">
          <cell r="G95" t="str">
            <v>International NGO</v>
          </cell>
          <cell r="H95" t="str">
            <v>BRAC Myanmar</v>
          </cell>
          <cell r="I95" t="str">
            <v>BRAC</v>
          </cell>
        </row>
        <row r="96">
          <cell r="G96" t="str">
            <v>International NGO</v>
          </cell>
          <cell r="H96" t="str">
            <v>Care International</v>
          </cell>
          <cell r="I96" t="str">
            <v>CARE</v>
          </cell>
        </row>
        <row r="97">
          <cell r="G97" t="str">
            <v>International NGO</v>
          </cell>
          <cell r="H97" t="str">
            <v>Catholic Organization for Relief and Development Aid</v>
          </cell>
          <cell r="I97" t="str">
            <v>CORDAID</v>
          </cell>
        </row>
        <row r="98">
          <cell r="G98" t="str">
            <v>International NGO</v>
          </cell>
          <cell r="H98" t="str">
            <v>Catholic Relief Services</v>
          </cell>
          <cell r="I98" t="str">
            <v>CRS</v>
          </cell>
        </row>
        <row r="99">
          <cell r="G99" t="str">
            <v>International NGO</v>
          </cell>
          <cell r="H99" t="str">
            <v>CDN - ZOA</v>
          </cell>
          <cell r="I99" t="str">
            <v>CDN - ZOA</v>
          </cell>
        </row>
        <row r="100">
          <cell r="G100" t="str">
            <v>International NGO</v>
          </cell>
          <cell r="H100" t="str">
            <v>Center for Social Integrity</v>
          </cell>
          <cell r="I100" t="str">
            <v>CSI</v>
          </cell>
        </row>
        <row r="101">
          <cell r="G101" t="str">
            <v>International NGO</v>
          </cell>
          <cell r="H101" t="str">
            <v>CESVI Foundation</v>
          </cell>
          <cell r="I101" t="str">
            <v>CESVI</v>
          </cell>
        </row>
        <row r="102">
          <cell r="G102" t="str">
            <v>International NGO</v>
          </cell>
          <cell r="H102" t="str">
            <v>Christian Aid</v>
          </cell>
          <cell r="I102" t="str">
            <v>CA</v>
          </cell>
        </row>
        <row r="103">
          <cell r="G103" t="str">
            <v>International NGO</v>
          </cell>
          <cell r="H103" t="str">
            <v>Community and Family Services International</v>
          </cell>
          <cell r="I103" t="str">
            <v>CFSI</v>
          </cell>
        </row>
        <row r="104">
          <cell r="G104" t="str">
            <v>International NGO</v>
          </cell>
          <cell r="H104" t="str">
            <v>Community Empowerment and Resilience Association</v>
          </cell>
          <cell r="I104" t="str">
            <v>CERA</v>
          </cell>
        </row>
        <row r="105">
          <cell r="G105" t="str">
            <v>International NGO</v>
          </cell>
          <cell r="H105" t="str">
            <v>Community Partners International</v>
          </cell>
          <cell r="I105" t="str">
            <v>CPI</v>
          </cell>
        </row>
        <row r="106">
          <cell r="G106" t="str">
            <v>International NGO</v>
          </cell>
          <cell r="H106" t="str">
            <v>Consortium Dutch NGO's</v>
          </cell>
          <cell r="I106" t="str">
            <v>CDN</v>
          </cell>
        </row>
        <row r="107">
          <cell r="G107" t="str">
            <v>International NGO</v>
          </cell>
          <cell r="H107" t="str">
            <v>Dan Church Aid</v>
          </cell>
          <cell r="I107" t="str">
            <v>DCA</v>
          </cell>
        </row>
        <row r="108">
          <cell r="G108" t="str">
            <v>International NGO</v>
          </cell>
          <cell r="H108" t="str">
            <v>Dan Church Aid &amp; Norwegian Church Aid</v>
          </cell>
          <cell r="I108" t="str">
            <v>DCA-NCA</v>
          </cell>
        </row>
        <row r="109">
          <cell r="G109" t="str">
            <v>International NGO</v>
          </cell>
          <cell r="H109" t="str">
            <v>Danish Refugee Council</v>
          </cell>
          <cell r="I109" t="str">
            <v>DRC</v>
          </cell>
        </row>
        <row r="110">
          <cell r="G110" t="str">
            <v>International NGO</v>
          </cell>
          <cell r="H110" t="str">
            <v>Diakonia</v>
          </cell>
          <cell r="I110" t="str">
            <v>Diakonia</v>
          </cell>
        </row>
        <row r="111">
          <cell r="G111" t="str">
            <v>International NGO</v>
          </cell>
          <cell r="H111" t="str">
            <v>Ente Nazionale Idrocarburi Foundation</v>
          </cell>
          <cell r="I111" t="str">
            <v>ENI</v>
          </cell>
        </row>
        <row r="112">
          <cell r="G112" t="str">
            <v>International NGO</v>
          </cell>
          <cell r="H112" t="str">
            <v>Finn Church Aid</v>
          </cell>
          <cell r="I112" t="str">
            <v>FCA</v>
          </cell>
        </row>
        <row r="113">
          <cell r="G113" t="str">
            <v>International NGO</v>
          </cell>
          <cell r="H113" t="str">
            <v>Finnish Refugee Council</v>
          </cell>
          <cell r="I113" t="str">
            <v>FRC</v>
          </cell>
        </row>
        <row r="114">
          <cell r="G114" t="str">
            <v>International NGO</v>
          </cell>
          <cell r="H114" t="str">
            <v>Gender Equality Network</v>
          </cell>
          <cell r="I114" t="str">
            <v>GEN</v>
          </cell>
        </row>
        <row r="115">
          <cell r="G115" t="str">
            <v>International NGO</v>
          </cell>
          <cell r="H115" t="str">
            <v>Good Shepherd Myanmar Foundation</v>
          </cell>
          <cell r="I115" t="str">
            <v>GSMF</v>
          </cell>
        </row>
        <row r="116">
          <cell r="G116" t="str">
            <v>International NGO</v>
          </cell>
          <cell r="H116" t="str">
            <v>Groupe de Recherche et d'Echanges Technologiques</v>
          </cell>
          <cell r="I116" t="str">
            <v>GRET</v>
          </cell>
        </row>
        <row r="117">
          <cell r="G117" t="str">
            <v>International NGO</v>
          </cell>
          <cell r="H117" t="str">
            <v>Health Poverty Action</v>
          </cell>
          <cell r="I117" t="str">
            <v>HPA</v>
          </cell>
        </row>
        <row r="118">
          <cell r="G118" t="str">
            <v>International NGO</v>
          </cell>
          <cell r="H118" t="str">
            <v>Helen Keller International</v>
          </cell>
          <cell r="I118" t="str">
            <v>HKI</v>
          </cell>
        </row>
        <row r="119">
          <cell r="G119" t="str">
            <v>International NGO</v>
          </cell>
          <cell r="H119" t="str">
            <v>Help Age International</v>
          </cell>
          <cell r="I119" t="str">
            <v>HAI</v>
          </cell>
        </row>
        <row r="120">
          <cell r="G120" t="str">
            <v>International NGO</v>
          </cell>
          <cell r="H120" t="str">
            <v>HELVETAS Swiss Intercooperation</v>
          </cell>
          <cell r="I120" t="str">
            <v>HELVETAS</v>
          </cell>
        </row>
        <row r="121">
          <cell r="G121" t="str">
            <v>International NGO</v>
          </cell>
          <cell r="H121" t="str">
            <v>Humanity &amp; Inclusion (formerly Handicap International)</v>
          </cell>
          <cell r="I121" t="str">
            <v>HI</v>
          </cell>
        </row>
        <row r="122">
          <cell r="G122" t="str">
            <v>International NGO</v>
          </cell>
          <cell r="H122" t="str">
            <v>International Rescue Committee</v>
          </cell>
          <cell r="I122" t="str">
            <v>IRC</v>
          </cell>
        </row>
        <row r="123">
          <cell r="G123" t="str">
            <v>International NGO</v>
          </cell>
          <cell r="H123" t="str">
            <v>International Union Against Tuberculosis And Lung Disease</v>
          </cell>
          <cell r="I123" t="str">
            <v>The Union</v>
          </cell>
        </row>
        <row r="124">
          <cell r="G124" t="str">
            <v>International NGO</v>
          </cell>
          <cell r="H124" t="str">
            <v>Ipas Myanmar</v>
          </cell>
          <cell r="I124" t="str">
            <v>Ipas</v>
          </cell>
        </row>
        <row r="125">
          <cell r="G125" t="str">
            <v>International NGO</v>
          </cell>
          <cell r="H125" t="str">
            <v>Isituto Oikos</v>
          </cell>
          <cell r="I125" t="str">
            <v>Isituto Oikos</v>
          </cell>
        </row>
        <row r="126">
          <cell r="G126" t="str">
            <v>International NGO</v>
          </cell>
          <cell r="H126" t="str">
            <v>Islamic Relief Worldwide</v>
          </cell>
          <cell r="I126" t="str">
            <v>IRW</v>
          </cell>
        </row>
        <row r="127">
          <cell r="G127" t="str">
            <v>International NGO</v>
          </cell>
          <cell r="H127" t="str">
            <v>Jesuit Refugee Services</v>
          </cell>
          <cell r="I127" t="str">
            <v>JRS</v>
          </cell>
        </row>
        <row r="128">
          <cell r="G128" t="str">
            <v>International NGO</v>
          </cell>
          <cell r="H128" t="str">
            <v>Jhpiego - an affiliate of Johns Hopkins University</v>
          </cell>
          <cell r="I128" t="str">
            <v>Jhpiego</v>
          </cell>
        </row>
        <row r="129">
          <cell r="G129" t="str">
            <v>International NGO</v>
          </cell>
          <cell r="H129" t="str">
            <v>Lutheran World Federation</v>
          </cell>
          <cell r="I129" t="str">
            <v>LWF</v>
          </cell>
        </row>
        <row r="130">
          <cell r="G130" t="str">
            <v>International NGO</v>
          </cell>
          <cell r="H130" t="str">
            <v>Malteser International</v>
          </cell>
          <cell r="I130" t="str">
            <v>Malteser</v>
          </cell>
        </row>
        <row r="131">
          <cell r="G131" t="str">
            <v>International NGO</v>
          </cell>
          <cell r="H131" t="str">
            <v>Marie Stopes International</v>
          </cell>
          <cell r="I131" t="str">
            <v>MSI</v>
          </cell>
        </row>
        <row r="132">
          <cell r="G132" t="str">
            <v>International NGO</v>
          </cell>
          <cell r="H132" t="str">
            <v>MA-UK</v>
          </cell>
          <cell r="I132" t="str">
            <v>MA-UK</v>
          </cell>
        </row>
        <row r="133">
          <cell r="G133" t="str">
            <v>International NGO</v>
          </cell>
          <cell r="H133" t="str">
            <v>MA-UK Myanmar</v>
          </cell>
          <cell r="I133" t="str">
            <v>MAUK</v>
          </cell>
        </row>
        <row r="134">
          <cell r="G134" t="str">
            <v>International NGO</v>
          </cell>
          <cell r="H134" t="str">
            <v>Médecins du Monde</v>
          </cell>
          <cell r="I134" t="str">
            <v>MDM</v>
          </cell>
        </row>
        <row r="135">
          <cell r="G135" t="str">
            <v>International NGO</v>
          </cell>
          <cell r="H135" t="str">
            <v>Médecins Sans Frontières - Holland</v>
          </cell>
          <cell r="I135" t="str">
            <v>MSF</v>
          </cell>
        </row>
        <row r="136">
          <cell r="G136" t="str">
            <v>International NGO</v>
          </cell>
          <cell r="H136" t="str">
            <v>Médecins Sans Frontières - Switzerland</v>
          </cell>
          <cell r="I136" t="str">
            <v>MSF-CH</v>
          </cell>
        </row>
        <row r="137">
          <cell r="G137" t="str">
            <v>International NGO</v>
          </cell>
          <cell r="H137" t="str">
            <v>Mercy Corps</v>
          </cell>
          <cell r="I137" t="str">
            <v>MC</v>
          </cell>
        </row>
        <row r="138">
          <cell r="G138" t="str">
            <v>International NGO</v>
          </cell>
          <cell r="H138" t="str">
            <v>Mercy Malaysia</v>
          </cell>
          <cell r="I138" t="str">
            <v>MERCY</v>
          </cell>
        </row>
        <row r="139">
          <cell r="G139" t="str">
            <v>International NGO</v>
          </cell>
          <cell r="H139" t="str">
            <v>Mine Advisory Group</v>
          </cell>
          <cell r="I139" t="str">
            <v>MAG</v>
          </cell>
        </row>
        <row r="140">
          <cell r="G140" t="str">
            <v>International NGO</v>
          </cell>
          <cell r="H140" t="str">
            <v>Myanmar Institute for Integrated Development</v>
          </cell>
          <cell r="I140" t="str">
            <v>MIID</v>
          </cell>
        </row>
        <row r="141">
          <cell r="G141" t="str">
            <v>International NGO</v>
          </cell>
          <cell r="H141" t="str">
            <v>New Humanity International</v>
          </cell>
          <cell r="I141" t="str">
            <v>New Humanity</v>
          </cell>
        </row>
        <row r="142">
          <cell r="G142" t="str">
            <v>International NGO</v>
          </cell>
          <cell r="H142" t="str">
            <v>Norwegian People's Aid</v>
          </cell>
          <cell r="I142" t="str">
            <v>NPA</v>
          </cell>
        </row>
        <row r="143">
          <cell r="G143" t="str">
            <v>International NGO</v>
          </cell>
          <cell r="H143" t="str">
            <v>Norwegian Refugee Council</v>
          </cell>
          <cell r="I143" t="str">
            <v>NRC</v>
          </cell>
        </row>
        <row r="144">
          <cell r="G144" t="str">
            <v>International NGO</v>
          </cell>
          <cell r="H144" t="str">
            <v>OXFAM International</v>
          </cell>
          <cell r="I144" t="str">
            <v>Oxfam</v>
          </cell>
        </row>
        <row r="145">
          <cell r="G145" t="str">
            <v>International NGO</v>
          </cell>
          <cell r="H145" t="str">
            <v>Peace Winds Japan</v>
          </cell>
          <cell r="I145" t="str">
            <v>PWJ</v>
          </cell>
        </row>
        <row r="146">
          <cell r="G146" t="str">
            <v>International NGO</v>
          </cell>
          <cell r="H146" t="str">
            <v>People in Need</v>
          </cell>
          <cell r="I146" t="str">
            <v>PIN</v>
          </cell>
        </row>
        <row r="147">
          <cell r="G147" t="str">
            <v>International NGO</v>
          </cell>
          <cell r="H147" t="str">
            <v>Plan International</v>
          </cell>
          <cell r="I147" t="str">
            <v>PLAN</v>
          </cell>
        </row>
        <row r="148">
          <cell r="G148" t="str">
            <v>International NGO</v>
          </cell>
          <cell r="H148" t="str">
            <v>Population Services International</v>
          </cell>
          <cell r="I148" t="str">
            <v>PSI</v>
          </cell>
        </row>
        <row r="149">
          <cell r="G149" t="str">
            <v>International NGO</v>
          </cell>
          <cell r="H149" t="str">
            <v>Premiere Urgence Internationale</v>
          </cell>
          <cell r="I149" t="str">
            <v>PUI</v>
          </cell>
        </row>
        <row r="150">
          <cell r="G150" t="str">
            <v>International NGO</v>
          </cell>
          <cell r="H150" t="str">
            <v>Private Agencies Cooperating together</v>
          </cell>
          <cell r="I150" t="str">
            <v>PACT</v>
          </cell>
        </row>
        <row r="151">
          <cell r="G151" t="str">
            <v>International NGO</v>
          </cell>
          <cell r="H151" t="str">
            <v>Progetto Continenti Myanmar</v>
          </cell>
          <cell r="I151" t="str">
            <v>PCM</v>
          </cell>
        </row>
        <row r="152">
          <cell r="G152" t="str">
            <v>International NGO</v>
          </cell>
          <cell r="H152" t="str">
            <v>Program for Appropriate Technology in Health</v>
          </cell>
          <cell r="I152" t="str">
            <v>PATH</v>
          </cell>
        </row>
        <row r="153">
          <cell r="G153" t="str">
            <v>International NGO</v>
          </cell>
          <cell r="H153" t="str">
            <v>Relief International</v>
          </cell>
          <cell r="I153" t="str">
            <v>RI</v>
          </cell>
        </row>
        <row r="154">
          <cell r="G154" t="str">
            <v>International NGO</v>
          </cell>
          <cell r="H154" t="str">
            <v>Religions for Peace</v>
          </cell>
          <cell r="I154" t="str">
            <v>RfP</v>
          </cell>
        </row>
        <row r="155">
          <cell r="G155" t="str">
            <v>International NGO</v>
          </cell>
          <cell r="H155" t="str">
            <v>Samaritan's Purse</v>
          </cell>
          <cell r="I155" t="str">
            <v>SP</v>
          </cell>
        </row>
        <row r="156">
          <cell r="G156" t="str">
            <v>International NGO</v>
          </cell>
          <cell r="H156" t="str">
            <v>Save the Children</v>
          </cell>
          <cell r="I156" t="str">
            <v>SC</v>
          </cell>
        </row>
        <row r="157">
          <cell r="G157" t="str">
            <v>International NGO</v>
          </cell>
          <cell r="H157" t="str">
            <v>Save the Children International</v>
          </cell>
          <cell r="I157" t="str">
            <v>SCI</v>
          </cell>
        </row>
        <row r="158">
          <cell r="G158" t="str">
            <v>International NGO</v>
          </cell>
          <cell r="H158" t="str">
            <v>Shanti Volunteer Association</v>
          </cell>
          <cell r="I158" t="str">
            <v>SVA</v>
          </cell>
        </row>
        <row r="159">
          <cell r="G159" t="str">
            <v>International NGO</v>
          </cell>
          <cell r="H159" t="str">
            <v>SOAL</v>
          </cell>
          <cell r="I159" t="str">
            <v>SOAL</v>
          </cell>
        </row>
        <row r="160">
          <cell r="G160" t="str">
            <v>International NGO</v>
          </cell>
          <cell r="H160" t="str">
            <v>Solidarites International</v>
          </cell>
          <cell r="I160" t="str">
            <v>SI</v>
          </cell>
        </row>
        <row r="161">
          <cell r="G161" t="str">
            <v>International NGO</v>
          </cell>
          <cell r="H161" t="str">
            <v xml:space="preserve">Sowers Action Hong Kong </v>
          </cell>
          <cell r="I161" t="str">
            <v>SAHK</v>
          </cell>
        </row>
        <row r="162">
          <cell r="G162" t="str">
            <v>International NGO</v>
          </cell>
          <cell r="H162" t="str">
            <v>Suwannimit Foundation</v>
          </cell>
          <cell r="I162" t="str">
            <v>Suwannimit</v>
          </cell>
        </row>
        <row r="163">
          <cell r="G163" t="str">
            <v>International NGO</v>
          </cell>
          <cell r="H163" t="str">
            <v>Terre des hommes</v>
          </cell>
          <cell r="I163" t="str">
            <v>TDH</v>
          </cell>
        </row>
        <row r="164">
          <cell r="G164" t="str">
            <v>International NGO</v>
          </cell>
          <cell r="H164" t="str">
            <v>The HALO Trust</v>
          </cell>
          <cell r="I164" t="str">
            <v>HALO</v>
          </cell>
        </row>
        <row r="165">
          <cell r="G165" t="str">
            <v>International NGO</v>
          </cell>
          <cell r="H165" t="str">
            <v>The International Legal Foundation</v>
          </cell>
          <cell r="I165" t="str">
            <v>ILF</v>
          </cell>
        </row>
        <row r="166">
          <cell r="G166" t="str">
            <v>International NGO</v>
          </cell>
          <cell r="H166" t="str">
            <v>Triangle Generation Humanitaire</v>
          </cell>
          <cell r="I166" t="str">
            <v>TGH</v>
          </cell>
        </row>
        <row r="167">
          <cell r="G167" t="str">
            <v>International NGO</v>
          </cell>
          <cell r="H167" t="str">
            <v>Trocaire</v>
          </cell>
          <cell r="I167" t="str">
            <v>Trocaire</v>
          </cell>
        </row>
        <row r="168">
          <cell r="G168" t="str">
            <v>International NGO</v>
          </cell>
          <cell r="H168" t="str">
            <v>University Research Co.,LLC</v>
          </cell>
          <cell r="I168" t="str">
            <v>URC</v>
          </cell>
        </row>
        <row r="169">
          <cell r="G169" t="str">
            <v>International NGO</v>
          </cell>
          <cell r="H169" t="str">
            <v>Vitens Evides International</v>
          </cell>
          <cell r="I169" t="str">
            <v>VEI</v>
          </cell>
        </row>
        <row r="170">
          <cell r="G170" t="str">
            <v>International NGO</v>
          </cell>
          <cell r="H170" t="str">
            <v>Volunteer Service Oversea</v>
          </cell>
          <cell r="I170" t="str">
            <v>VSO</v>
          </cell>
        </row>
        <row r="171">
          <cell r="G171" t="str">
            <v>International NGO</v>
          </cell>
          <cell r="H171" t="str">
            <v>WaterAid</v>
          </cell>
          <cell r="I171" t="str">
            <v>WAMM</v>
          </cell>
        </row>
        <row r="172">
          <cell r="G172" t="str">
            <v>International NGO</v>
          </cell>
          <cell r="H172" t="str">
            <v>Welthungerhilfe</v>
          </cell>
          <cell r="I172" t="str">
            <v>WHH</v>
          </cell>
        </row>
        <row r="173">
          <cell r="G173" t="str">
            <v>International NGO</v>
          </cell>
          <cell r="H173" t="str">
            <v>World Concern Myanmar</v>
          </cell>
          <cell r="I173" t="str">
            <v>WCM</v>
          </cell>
        </row>
        <row r="174">
          <cell r="G174" t="str">
            <v>International NGO</v>
          </cell>
          <cell r="H174" t="str">
            <v>World Vision International</v>
          </cell>
          <cell r="I174" t="str">
            <v>WV</v>
          </cell>
        </row>
        <row r="175">
          <cell r="G175" t="str">
            <v>National NGO</v>
          </cell>
          <cell r="H175" t="str">
            <v>Access Advisory Myanmar</v>
          </cell>
          <cell r="I175" t="str">
            <v>ADM</v>
          </cell>
        </row>
        <row r="176">
          <cell r="G176" t="str">
            <v>National NGO</v>
          </cell>
          <cell r="H176" t="str">
            <v xml:space="preserve">Action for Community Resilience Organization </v>
          </cell>
          <cell r="I176" t="str">
            <v>ACRO</v>
          </cell>
        </row>
        <row r="177">
          <cell r="G177" t="str">
            <v>National NGO</v>
          </cell>
          <cell r="H177" t="str">
            <v>Action for Green Earth</v>
          </cell>
          <cell r="I177" t="str">
            <v>AGE</v>
          </cell>
        </row>
        <row r="178">
          <cell r="G178" t="str">
            <v>National NGO</v>
          </cell>
          <cell r="H178" t="str">
            <v>Adventist Community Service</v>
          </cell>
          <cell r="I178" t="str">
            <v>ACS</v>
          </cell>
        </row>
        <row r="179">
          <cell r="G179" t="str">
            <v>National NGO</v>
          </cell>
          <cell r="H179" t="str">
            <v>Alinn LDO</v>
          </cell>
          <cell r="I179" t="str">
            <v>Alinn LDO</v>
          </cell>
        </row>
        <row r="180">
          <cell r="G180" t="str">
            <v>National NGO</v>
          </cell>
          <cell r="H180" t="str">
            <v>Arkan Research and Watch</v>
          </cell>
          <cell r="I180" t="str">
            <v xml:space="preserve">Arkan </v>
          </cell>
        </row>
        <row r="181">
          <cell r="G181" t="str">
            <v>National NGO</v>
          </cell>
          <cell r="H181" t="str">
            <v>Asho Women Organization</v>
          </cell>
          <cell r="I181" t="str">
            <v>AWO</v>
          </cell>
        </row>
        <row r="182">
          <cell r="G182" t="str">
            <v>National NGO</v>
          </cell>
          <cell r="H182" t="str">
            <v>Baptist Church Association (Shan South)</v>
          </cell>
          <cell r="I182" t="str">
            <v>BCA</v>
          </cell>
        </row>
        <row r="183">
          <cell r="G183" t="str">
            <v>National NGO</v>
          </cell>
          <cell r="H183" t="str">
            <v xml:space="preserve">Best Shelter </v>
          </cell>
          <cell r="I183" t="str">
            <v>BS</v>
          </cell>
        </row>
        <row r="184">
          <cell r="G184" t="str">
            <v>National NGO</v>
          </cell>
          <cell r="H184" t="str">
            <v>Boarder Area Development Association</v>
          </cell>
          <cell r="I184" t="str">
            <v>BDA</v>
          </cell>
        </row>
        <row r="185">
          <cell r="G185" t="str">
            <v>National NGO</v>
          </cell>
          <cell r="H185" t="str">
            <v>CBC</v>
          </cell>
          <cell r="I185" t="str">
            <v>CBC</v>
          </cell>
        </row>
        <row r="186">
          <cell r="G186" t="str">
            <v>National NGO</v>
          </cell>
          <cell r="H186" t="str">
            <v>Center for Rural Education and Development</v>
          </cell>
          <cell r="I186" t="str">
            <v>CRED</v>
          </cell>
        </row>
        <row r="187">
          <cell r="G187" t="str">
            <v>National NGO</v>
          </cell>
          <cell r="H187" t="str">
            <v>Chin Human Rights Organization</v>
          </cell>
          <cell r="I187" t="str">
            <v>CHRO</v>
          </cell>
        </row>
        <row r="188">
          <cell r="G188" t="str">
            <v>National NGO</v>
          </cell>
          <cell r="H188" t="str">
            <v>Civil Health and Development Network</v>
          </cell>
          <cell r="I188" t="str">
            <v>CHDN</v>
          </cell>
        </row>
        <row r="189">
          <cell r="G189" t="str">
            <v>National NGO</v>
          </cell>
          <cell r="H189" t="str">
            <v>Community Agency for Rural Development</v>
          </cell>
          <cell r="I189" t="str">
            <v>CAD</v>
          </cell>
        </row>
        <row r="190">
          <cell r="G190" t="str">
            <v>National NGO</v>
          </cell>
          <cell r="H190" t="str">
            <v>Community Care for Emergency Response and Rehabilitation</v>
          </cell>
          <cell r="I190" t="str">
            <v>CCERR</v>
          </cell>
        </row>
        <row r="191">
          <cell r="G191" t="str">
            <v>National NGO</v>
          </cell>
          <cell r="H191" t="str">
            <v>Community Development Association</v>
          </cell>
          <cell r="I191" t="str">
            <v>CDA</v>
          </cell>
        </row>
        <row r="192">
          <cell r="G192" t="str">
            <v>National NGO</v>
          </cell>
          <cell r="H192" t="str">
            <v>Community Health and Development (Alliance with Catholic Eiocese)</v>
          </cell>
          <cell r="I192" t="str">
            <v>CHAD</v>
          </cell>
        </row>
        <row r="193">
          <cell r="G193" t="str">
            <v>National NGO</v>
          </cell>
          <cell r="H193" t="str">
            <v>Dai Fin  Social Services</v>
          </cell>
          <cell r="I193" t="str">
            <v>Daifin</v>
          </cell>
        </row>
        <row r="194">
          <cell r="G194" t="str">
            <v>National NGO</v>
          </cell>
          <cell r="H194" t="str">
            <v>Da-Nu National Affairs organization</v>
          </cell>
          <cell r="I194" t="str">
            <v>DNAO</v>
          </cell>
        </row>
        <row r="195">
          <cell r="G195" t="str">
            <v>National NGO</v>
          </cell>
          <cell r="H195" t="str">
            <v xml:space="preserve">Diocesan Commission for Education </v>
          </cell>
          <cell r="I195" t="str">
            <v>DCE</v>
          </cell>
        </row>
        <row r="196">
          <cell r="G196" t="str">
            <v>National NGO</v>
          </cell>
          <cell r="H196" t="str">
            <v xml:space="preserve">Ethinic Equality Initiative </v>
          </cell>
          <cell r="I196" t="str">
            <v>EEI</v>
          </cell>
        </row>
        <row r="197">
          <cell r="G197" t="str">
            <v>National NGO</v>
          </cell>
          <cell r="H197" t="str">
            <v>Family World (Formerly called Global Family -org_2160)</v>
          </cell>
          <cell r="I197" t="str">
            <v>FW</v>
          </cell>
        </row>
        <row r="198">
          <cell r="G198" t="str">
            <v>National NGO</v>
          </cell>
          <cell r="H198" t="str">
            <v>Green Journey</v>
          </cell>
          <cell r="I198" t="str">
            <v>GJ</v>
          </cell>
        </row>
        <row r="199">
          <cell r="G199" t="str">
            <v>National NGO</v>
          </cell>
          <cell r="H199" t="str">
            <v xml:space="preserve">Guardian </v>
          </cell>
          <cell r="I199" t="str">
            <v>Guardian</v>
          </cell>
        </row>
        <row r="200">
          <cell r="G200" t="str">
            <v>National NGO</v>
          </cell>
          <cell r="H200" t="str">
            <v>Hakha Baptist Association (HBA)</v>
          </cell>
          <cell r="I200" t="str">
            <v>HBA</v>
          </cell>
        </row>
        <row r="201">
          <cell r="G201" t="str">
            <v>National NGO</v>
          </cell>
          <cell r="H201" t="str">
            <v>Harmony Youth Association</v>
          </cell>
          <cell r="I201" t="str">
            <v>HYA</v>
          </cell>
        </row>
        <row r="202">
          <cell r="G202" t="str">
            <v>National NGO</v>
          </cell>
          <cell r="H202" t="str">
            <v>Helping Hands from Cherry Land Organization</v>
          </cell>
          <cell r="I202" t="str">
            <v>HHFCLO</v>
          </cell>
        </row>
        <row r="203">
          <cell r="G203" t="str">
            <v>National NGO</v>
          </cell>
          <cell r="H203" t="str">
            <v>Highland Development Initiative</v>
          </cell>
          <cell r="I203" t="str">
            <v>HDI</v>
          </cell>
        </row>
        <row r="204">
          <cell r="G204" t="str">
            <v>National NGO</v>
          </cell>
          <cell r="H204" t="str">
            <v>Hlaingthayar Development Network</v>
          </cell>
          <cell r="I204" t="str">
            <v>HTYDN</v>
          </cell>
        </row>
        <row r="205">
          <cell r="G205" t="str">
            <v>National NGO</v>
          </cell>
          <cell r="H205" t="str">
            <v>Hlaingthayar Youth Network</v>
          </cell>
          <cell r="I205" t="str">
            <v>HTYYN</v>
          </cell>
        </row>
        <row r="206">
          <cell r="G206" t="str">
            <v>National NGO</v>
          </cell>
          <cell r="H206" t="str">
            <v>Hpa-An Orthopedic Rehabilitation Center</v>
          </cell>
          <cell r="I206" t="str">
            <v>HORC</v>
          </cell>
        </row>
        <row r="207">
          <cell r="G207" t="str">
            <v>National NGO</v>
          </cell>
          <cell r="H207" t="str">
            <v>Hualngo Land Development Organization</v>
          </cell>
          <cell r="I207" t="str">
            <v>HLDO</v>
          </cell>
        </row>
        <row r="208">
          <cell r="G208" t="str">
            <v>National NGO</v>
          </cell>
          <cell r="H208" t="str">
            <v>Indigenous People Partnership</v>
          </cell>
          <cell r="I208" t="str">
            <v>IPP</v>
          </cell>
        </row>
        <row r="209">
          <cell r="G209" t="str">
            <v>National NGO</v>
          </cell>
          <cell r="H209" t="str">
            <v>Kachin Back Pack Health Workers Team</v>
          </cell>
          <cell r="I209" t="str">
            <v>KBPHW</v>
          </cell>
        </row>
        <row r="210">
          <cell r="G210" t="str">
            <v>National NGO</v>
          </cell>
          <cell r="H210" t="str">
            <v>Kachin Backpack Health Worker Team</v>
          </cell>
          <cell r="I210" t="str">
            <v>KBHWT</v>
          </cell>
        </row>
        <row r="211">
          <cell r="G211" t="str">
            <v>National NGO</v>
          </cell>
          <cell r="H211" t="str">
            <v>Kachin Baptist Convention</v>
          </cell>
          <cell r="I211" t="str">
            <v>KBC</v>
          </cell>
        </row>
        <row r="212">
          <cell r="G212" t="str">
            <v>National NGO</v>
          </cell>
          <cell r="H212" t="str">
            <v>Kachin Development Group</v>
          </cell>
          <cell r="I212" t="str">
            <v>KDG</v>
          </cell>
        </row>
        <row r="213">
          <cell r="G213" t="str">
            <v>National NGO</v>
          </cell>
          <cell r="H213" t="str">
            <v>Kachin Women's Association Thailand</v>
          </cell>
          <cell r="I213" t="str">
            <v>KWAT</v>
          </cell>
        </row>
        <row r="214">
          <cell r="G214" t="str">
            <v>National NGO</v>
          </cell>
          <cell r="H214" t="str">
            <v>Kalyana Mitta FounEation</v>
          </cell>
          <cell r="I214" t="str">
            <v>KMF</v>
          </cell>
        </row>
        <row r="215">
          <cell r="G215" t="str">
            <v>National NGO</v>
          </cell>
          <cell r="H215" t="str">
            <v>Karen Teacher Working Group</v>
          </cell>
          <cell r="I215" t="str">
            <v>KTWG</v>
          </cell>
        </row>
        <row r="216">
          <cell r="G216" t="str">
            <v>National NGO</v>
          </cell>
          <cell r="H216" t="str">
            <v>Karen Youth Network</v>
          </cell>
          <cell r="I216" t="str">
            <v>KYN</v>
          </cell>
        </row>
        <row r="217">
          <cell r="G217" t="str">
            <v>National NGO</v>
          </cell>
          <cell r="H217" t="str">
            <v>Karuna Mission Social Solidarity</v>
          </cell>
          <cell r="I217" t="str">
            <v>KMSS</v>
          </cell>
        </row>
        <row r="218">
          <cell r="G218" t="str">
            <v>National NGO</v>
          </cell>
          <cell r="H218" t="str">
            <v>Kaw Lah Foundation</v>
          </cell>
          <cell r="I218" t="str">
            <v>KLF</v>
          </cell>
        </row>
        <row r="219">
          <cell r="G219" t="str">
            <v>National NGO</v>
          </cell>
          <cell r="H219" t="str">
            <v>Kayan Women's Organization</v>
          </cell>
          <cell r="I219" t="str">
            <v>KyWo</v>
          </cell>
        </row>
        <row r="220">
          <cell r="G220" t="str">
            <v>National NGO</v>
          </cell>
          <cell r="H220" t="str">
            <v>Kyal Sin May</v>
          </cell>
          <cell r="I220" t="str">
            <v>KSM</v>
          </cell>
        </row>
        <row r="221">
          <cell r="G221" t="str">
            <v>National NGO</v>
          </cell>
          <cell r="H221" t="str">
            <v>LCD</v>
          </cell>
          <cell r="I221" t="str">
            <v>LCD</v>
          </cell>
        </row>
        <row r="222">
          <cell r="G222" t="str">
            <v>National NGO</v>
          </cell>
          <cell r="H222" t="str">
            <v>Legal Clinic Myanmar</v>
          </cell>
          <cell r="I222" t="str">
            <v>LCM</v>
          </cell>
        </row>
        <row r="223">
          <cell r="G223" t="str">
            <v>National NGO</v>
          </cell>
          <cell r="H223" t="str">
            <v>Lisu Civil Society Organization</v>
          </cell>
          <cell r="I223" t="str">
            <v>LCSO</v>
          </cell>
        </row>
        <row r="224">
          <cell r="G224" t="str">
            <v>National NGO</v>
          </cell>
          <cell r="H224" t="str">
            <v>Local Resource Center</v>
          </cell>
          <cell r="I224" t="str">
            <v>LRC</v>
          </cell>
        </row>
        <row r="225">
          <cell r="G225" t="str">
            <v>National NGO</v>
          </cell>
          <cell r="H225" t="str">
            <v>Loikaung Baptist Church</v>
          </cell>
          <cell r="I225" t="str">
            <v>LBC</v>
          </cell>
        </row>
        <row r="226">
          <cell r="G226" t="str">
            <v>National NGO</v>
          </cell>
          <cell r="H226" t="str">
            <v>Magway Volunteer Group</v>
          </cell>
          <cell r="I226" t="str">
            <v>Magway Volunteer Group</v>
          </cell>
        </row>
        <row r="227">
          <cell r="G227" t="str">
            <v>National NGO</v>
          </cell>
          <cell r="H227" t="str">
            <v>Mandalay Regional Committee for Women</v>
          </cell>
          <cell r="I227" t="str">
            <v>MRCW</v>
          </cell>
        </row>
        <row r="228">
          <cell r="G228" t="str">
            <v>National NGO</v>
          </cell>
          <cell r="H228" t="str">
            <v>Mangrove Service Network</v>
          </cell>
          <cell r="I228" t="str">
            <v>MSN</v>
          </cell>
        </row>
        <row r="229">
          <cell r="G229" t="str">
            <v>National NGO</v>
          </cell>
          <cell r="H229" t="str">
            <v>Mawk Kone Local Development Network</v>
          </cell>
          <cell r="I229" t="str">
            <v>MKLDO</v>
          </cell>
        </row>
        <row r="230">
          <cell r="G230" t="str">
            <v>National NGO</v>
          </cell>
          <cell r="H230" t="str">
            <v>Medical Action Myanmar</v>
          </cell>
          <cell r="I230" t="str">
            <v>MAM</v>
          </cell>
        </row>
        <row r="231">
          <cell r="G231" t="str">
            <v>National NGO</v>
          </cell>
          <cell r="H231" t="str">
            <v>Meikswe Myanmar</v>
          </cell>
          <cell r="I231" t="str">
            <v>Meikswe MM</v>
          </cell>
        </row>
        <row r="232">
          <cell r="G232" t="str">
            <v>National NGO</v>
          </cell>
          <cell r="H232" t="str">
            <v>Metta Development Foundation</v>
          </cell>
          <cell r="I232" t="str">
            <v>MDF</v>
          </cell>
        </row>
        <row r="233">
          <cell r="G233" t="str">
            <v>National NGO</v>
          </cell>
          <cell r="H233" t="str">
            <v>Mi Organization</v>
          </cell>
          <cell r="I233" t="str">
            <v>Mi</v>
          </cell>
        </row>
        <row r="234">
          <cell r="G234" t="str">
            <v>National NGO</v>
          </cell>
          <cell r="H234" t="str">
            <v>Mi Women and Child right organization</v>
          </cell>
          <cell r="I234" t="str">
            <v>MiWCRO</v>
          </cell>
        </row>
        <row r="235">
          <cell r="G235" t="str">
            <v>National NGO</v>
          </cell>
          <cell r="H235" t="str">
            <v>Mingalar Myanmar</v>
          </cell>
          <cell r="I235" t="str">
            <v>MM</v>
          </cell>
        </row>
        <row r="236">
          <cell r="G236" t="str">
            <v>National NGO</v>
          </cell>
          <cell r="H236" t="str">
            <v>MMA-ASRH Project</v>
          </cell>
          <cell r="I236" t="str">
            <v>MMA-ASRH Project</v>
          </cell>
        </row>
        <row r="237">
          <cell r="G237" t="str">
            <v>National NGO</v>
          </cell>
          <cell r="H237" t="str">
            <v>Mong Pyoe Charity Youths</v>
          </cell>
          <cell r="I237" t="str">
            <v>MPCY</v>
          </cell>
        </row>
        <row r="238">
          <cell r="G238" t="str">
            <v>National NGO</v>
          </cell>
          <cell r="H238" t="str">
            <v>Myanmar Business Coalition on AIDS</v>
          </cell>
          <cell r="I238" t="str">
            <v>MBCA</v>
          </cell>
        </row>
        <row r="239">
          <cell r="G239" t="str">
            <v>National NGO</v>
          </cell>
          <cell r="H239" t="str">
            <v>Myanmar Deaf Community Development Association</v>
          </cell>
          <cell r="I239" t="str">
            <v>MDCDA</v>
          </cell>
        </row>
        <row r="240">
          <cell r="G240" t="str">
            <v>National NGO</v>
          </cell>
          <cell r="H240" t="str">
            <v>Myanmar Enhancement to Empower Tribal</v>
          </cell>
          <cell r="I240" t="str">
            <v>MEET</v>
          </cell>
        </row>
        <row r="241">
          <cell r="G241" t="str">
            <v>National NGO</v>
          </cell>
          <cell r="H241" t="str">
            <v>Myanmar Health Assistant Association</v>
          </cell>
          <cell r="I241" t="str">
            <v>MHAA</v>
          </cell>
        </row>
        <row r="242">
          <cell r="G242" t="str">
            <v>National NGO</v>
          </cell>
          <cell r="H242" t="str">
            <v>Myanmar Heart Development Organization</v>
          </cell>
          <cell r="I242" t="str">
            <v>MHDO</v>
          </cell>
        </row>
        <row r="243">
          <cell r="G243" t="str">
            <v>National NGO</v>
          </cell>
          <cell r="H243" t="str">
            <v>Myanmar Maternal and Child Welfare Association</v>
          </cell>
          <cell r="I243" t="str">
            <v>MMCWA</v>
          </cell>
        </row>
        <row r="244">
          <cell r="G244" t="str">
            <v>National NGO</v>
          </cell>
          <cell r="H244" t="str">
            <v>Myanmar Medical Association</v>
          </cell>
          <cell r="I244" t="str">
            <v>MMA</v>
          </cell>
        </row>
        <row r="245">
          <cell r="G245" t="str">
            <v>National NGO</v>
          </cell>
          <cell r="H245" t="str">
            <v>Myanmar Partners in Policy and Research</v>
          </cell>
          <cell r="I245" t="str">
            <v>MPPR</v>
          </cell>
        </row>
        <row r="246">
          <cell r="G246" t="str">
            <v>National NGO</v>
          </cell>
          <cell r="H246" t="str">
            <v>Myanmar Woman and Child Development Foundation</v>
          </cell>
          <cell r="I246" t="str">
            <v>MWCDF</v>
          </cell>
        </row>
        <row r="247">
          <cell r="G247" t="str">
            <v>National NGO</v>
          </cell>
          <cell r="H247" t="str">
            <v>Myanmar-Anti-Narcotics Association</v>
          </cell>
          <cell r="I247" t="str">
            <v>MANA</v>
          </cell>
        </row>
        <row r="248">
          <cell r="G248" t="str">
            <v>National NGO</v>
          </cell>
          <cell r="H248" t="str">
            <v>Network Activities Group</v>
          </cell>
          <cell r="I248" t="str">
            <v>NAG</v>
          </cell>
        </row>
        <row r="249">
          <cell r="G249" t="str">
            <v>National NGO</v>
          </cell>
          <cell r="H249" t="str">
            <v>Nyein (Shalom) Foundation</v>
          </cell>
          <cell r="I249" t="str">
            <v>Shalom</v>
          </cell>
        </row>
        <row r="250">
          <cell r="G250" t="str">
            <v>National NGO</v>
          </cell>
          <cell r="H250" t="str">
            <v>Open Data Myanmar</v>
          </cell>
          <cell r="I250" t="str">
            <v>ODM</v>
          </cell>
        </row>
        <row r="251">
          <cell r="G251" t="str">
            <v>National NGO</v>
          </cell>
          <cell r="H251" t="str">
            <v>People for People</v>
          </cell>
          <cell r="I251" t="str">
            <v>PFP</v>
          </cell>
        </row>
        <row r="252">
          <cell r="G252" t="str">
            <v>National NGO</v>
          </cell>
          <cell r="H252" t="str">
            <v>People Hope Community Development</v>
          </cell>
          <cell r="I252" t="str">
            <v>PHCD</v>
          </cell>
        </row>
        <row r="253">
          <cell r="G253" t="str">
            <v>National NGO</v>
          </cell>
          <cell r="H253" t="str">
            <v>Phyu Sin Saydanar Action Group</v>
          </cell>
          <cell r="I253" t="str">
            <v>PSSAG</v>
          </cell>
        </row>
        <row r="254">
          <cell r="G254" t="str">
            <v>National NGO</v>
          </cell>
          <cell r="H254" t="str">
            <v>Pyi Gyi Khin</v>
          </cell>
          <cell r="I254" t="str">
            <v>PGK</v>
          </cell>
        </row>
        <row r="255">
          <cell r="G255" t="str">
            <v>National NGO</v>
          </cell>
          <cell r="H255" t="str">
            <v>Pyo Development Organisation</v>
          </cell>
          <cell r="I255" t="str">
            <v>PYO</v>
          </cell>
        </row>
        <row r="256">
          <cell r="G256" t="str">
            <v>National NGO</v>
          </cell>
          <cell r="H256" t="str">
            <v>RMO</v>
          </cell>
          <cell r="I256" t="str">
            <v>RMO</v>
          </cell>
        </row>
        <row r="257">
          <cell r="G257" t="str">
            <v>National NGO</v>
          </cell>
          <cell r="H257" t="str">
            <v>Rural Indigenous Sustainable Education</v>
          </cell>
          <cell r="I257" t="str">
            <v>RISE</v>
          </cell>
        </row>
        <row r="258">
          <cell r="G258" t="str">
            <v>National NGO</v>
          </cell>
          <cell r="H258" t="str">
            <v>Scholar Insitute</v>
          </cell>
          <cell r="I258" t="str">
            <v>Scholar Insitute</v>
          </cell>
        </row>
        <row r="259">
          <cell r="G259" t="str">
            <v>National NGO</v>
          </cell>
          <cell r="H259" t="str">
            <v>Sein Lei Ayeyar</v>
          </cell>
          <cell r="I259" t="str">
            <v>SLA</v>
          </cell>
        </row>
        <row r="260">
          <cell r="G260" t="str">
            <v>National NGO</v>
          </cell>
          <cell r="H260" t="str">
            <v>Servant of Vulnerable People</v>
          </cell>
          <cell r="I260" t="str">
            <v>SVP</v>
          </cell>
        </row>
        <row r="261">
          <cell r="G261" t="str">
            <v>National NGO</v>
          </cell>
          <cell r="H261" t="str">
            <v>Serve The World</v>
          </cell>
          <cell r="I261" t="str">
            <v>STW</v>
          </cell>
        </row>
        <row r="262">
          <cell r="G262" t="str">
            <v>National NGO</v>
          </cell>
          <cell r="H262" t="str">
            <v>Sex Worker Network Myanmar</v>
          </cell>
          <cell r="I262" t="str">
            <v>SWNM</v>
          </cell>
        </row>
        <row r="263">
          <cell r="G263" t="str">
            <v>National NGO</v>
          </cell>
          <cell r="H263" t="str">
            <v>Shan State Youth Capacity Building Centre</v>
          </cell>
          <cell r="I263" t="str">
            <v>SSYCBC</v>
          </cell>
        </row>
        <row r="264">
          <cell r="G264" t="str">
            <v>National NGO</v>
          </cell>
          <cell r="H264" t="str">
            <v>Shingnip</v>
          </cell>
          <cell r="I264" t="str">
            <v>Shingnip</v>
          </cell>
        </row>
        <row r="265">
          <cell r="G265" t="str">
            <v>National NGO</v>
          </cell>
          <cell r="H265" t="str">
            <v>Shwe Danu</v>
          </cell>
          <cell r="I265" t="str">
            <v>Shwe Danu</v>
          </cell>
        </row>
        <row r="266">
          <cell r="G266" t="str">
            <v>National NGO</v>
          </cell>
          <cell r="H266" t="str">
            <v>Shwe Inn Thu</v>
          </cell>
          <cell r="I266" t="str">
            <v>Shwe Inn Thu</v>
          </cell>
        </row>
        <row r="267">
          <cell r="G267" t="str">
            <v>National NGO</v>
          </cell>
          <cell r="H267" t="str">
            <v>Shwe Kanbawza Self Help Group</v>
          </cell>
          <cell r="I267" t="str">
            <v>SKSHG</v>
          </cell>
        </row>
        <row r="268">
          <cell r="G268" t="str">
            <v>National NGO</v>
          </cell>
          <cell r="H268" t="str">
            <v>Shwe Kyun Thar</v>
          </cell>
          <cell r="I268" t="str">
            <v>SKT</v>
          </cell>
        </row>
        <row r="269">
          <cell r="G269" t="str">
            <v>National NGO</v>
          </cell>
          <cell r="H269" t="str">
            <v>Sopyay Myanmar Development Organization</v>
          </cell>
          <cell r="I269" t="str">
            <v>SMDO</v>
          </cell>
        </row>
        <row r="270">
          <cell r="G270" t="str">
            <v>National NGO</v>
          </cell>
          <cell r="H270" t="str">
            <v>Stars Do Shine</v>
          </cell>
          <cell r="I270" t="str">
            <v>SDS</v>
          </cell>
        </row>
        <row r="271">
          <cell r="G271" t="str">
            <v>National NGO</v>
          </cell>
          <cell r="H271" t="str">
            <v>Substance Abuse Research Association</v>
          </cell>
          <cell r="I271" t="str">
            <v>SARA</v>
          </cell>
        </row>
        <row r="272">
          <cell r="G272" t="str">
            <v>National NGO</v>
          </cell>
          <cell r="H272" t="str">
            <v>Succor Foudnation</v>
          </cell>
          <cell r="I272" t="str">
            <v>SF</v>
          </cell>
        </row>
        <row r="273">
          <cell r="G273" t="str">
            <v>National NGO</v>
          </cell>
          <cell r="H273" t="str">
            <v>Swan Saung Shin</v>
          </cell>
          <cell r="I273" t="str">
            <v>SSS</v>
          </cell>
        </row>
        <row r="274">
          <cell r="G274" t="str">
            <v>National NGO</v>
          </cell>
          <cell r="H274" t="str">
            <v>Swanyee Shae Saung (Capacity Building Initiative)</v>
          </cell>
          <cell r="I274" t="str">
            <v>CBI</v>
          </cell>
        </row>
        <row r="275">
          <cell r="G275" t="str">
            <v>National NGO</v>
          </cell>
          <cell r="H275" t="str">
            <v>Swe Tha Har</v>
          </cell>
          <cell r="I275" t="str">
            <v>STH</v>
          </cell>
        </row>
        <row r="276">
          <cell r="G276" t="str">
            <v>National NGO</v>
          </cell>
          <cell r="H276" t="str">
            <v>Ta'ang Education Institute</v>
          </cell>
          <cell r="I276" t="str">
            <v>TEI</v>
          </cell>
        </row>
        <row r="277">
          <cell r="G277" t="str">
            <v>National NGO</v>
          </cell>
          <cell r="H277" t="str">
            <v>Thazin Community Development Institute</v>
          </cell>
          <cell r="I277" t="str">
            <v>TCDI</v>
          </cell>
        </row>
        <row r="278">
          <cell r="G278" t="str">
            <v>National NGO</v>
          </cell>
          <cell r="H278" t="str">
            <v>The border Consortium</v>
          </cell>
          <cell r="I278" t="str">
            <v>TBC</v>
          </cell>
        </row>
        <row r="279">
          <cell r="G279" t="str">
            <v>National NGO</v>
          </cell>
          <cell r="H279" t="str">
            <v>Together for Sustainable Development</v>
          </cell>
          <cell r="I279" t="str">
            <v>TSD</v>
          </cell>
        </row>
        <row r="280">
          <cell r="G280" t="str">
            <v>National NGO</v>
          </cell>
          <cell r="H280" t="str">
            <v>Treasure Land Development Association</v>
          </cell>
          <cell r="I280" t="str">
            <v>TLDA</v>
          </cell>
        </row>
        <row r="281">
          <cell r="G281" t="str">
            <v>National NGO</v>
          </cell>
          <cell r="H281" t="str">
            <v>Urban Strength</v>
          </cell>
          <cell r="I281" t="str">
            <v>US</v>
          </cell>
        </row>
        <row r="282">
          <cell r="G282" t="str">
            <v>National NGO</v>
          </cell>
          <cell r="H282" t="str">
            <v>Volunteer Lawyer Network</v>
          </cell>
          <cell r="I282" t="str">
            <v>VLN</v>
          </cell>
        </row>
        <row r="283">
          <cell r="G283" t="str">
            <v>National NGO</v>
          </cell>
          <cell r="H283" t="str">
            <v>Women Development Center</v>
          </cell>
          <cell r="I283" t="str">
            <v>WDC</v>
          </cell>
        </row>
        <row r="284">
          <cell r="G284" t="str">
            <v>National NGO</v>
          </cell>
          <cell r="H284" t="str">
            <v>Women Light</v>
          </cell>
          <cell r="I284" t="str">
            <v>Women Light</v>
          </cell>
        </row>
        <row r="285">
          <cell r="G285" t="str">
            <v>National NGO</v>
          </cell>
          <cell r="H285" t="str">
            <v>Women's LEAD</v>
          </cell>
          <cell r="I285" t="str">
            <v>WL</v>
          </cell>
        </row>
        <row r="286">
          <cell r="G286" t="str">
            <v>National NGO</v>
          </cell>
          <cell r="H286" t="str">
            <v xml:space="preserve">Wunpawng Ninghtoi </v>
          </cell>
          <cell r="I286" t="str">
            <v>WPN</v>
          </cell>
        </row>
        <row r="287">
          <cell r="G287" t="str">
            <v>National NGO</v>
          </cell>
          <cell r="H287" t="str">
            <v>Zigway</v>
          </cell>
          <cell r="I287" t="str">
            <v>Zigway</v>
          </cell>
        </row>
        <row r="288">
          <cell r="G288" t="str">
            <v>Other</v>
          </cell>
          <cell r="H288" t="str">
            <v xml:space="preserve">Gesellschaft für Internationale Zusammenarbeit </v>
          </cell>
          <cell r="I288" t="str">
            <v>GIZ</v>
          </cell>
        </row>
        <row r="289">
          <cell r="G289" t="str">
            <v>Other</v>
          </cell>
          <cell r="H289" t="str">
            <v>KNU Education Department</v>
          </cell>
          <cell r="I289" t="str">
            <v>KECD</v>
          </cell>
        </row>
        <row r="290">
          <cell r="G290" t="str">
            <v>Other</v>
          </cell>
          <cell r="H290" t="str">
            <v xml:space="preserve">KNU PC Education </v>
          </cell>
          <cell r="I290" t="str">
            <v xml:space="preserve">KNU/KNLA PC </v>
          </cell>
        </row>
        <row r="291">
          <cell r="G291" t="str">
            <v>Other</v>
          </cell>
          <cell r="H291" t="str">
            <v xml:space="preserve">Mon National Education Committee </v>
          </cell>
          <cell r="I291" t="str">
            <v>MNEC</v>
          </cell>
        </row>
        <row r="292">
          <cell r="G292" t="str">
            <v>Other</v>
          </cell>
          <cell r="H292" t="str">
            <v>Myanmar Council of Churches</v>
          </cell>
          <cell r="I292" t="str">
            <v>MCC</v>
          </cell>
        </row>
        <row r="293">
          <cell r="G293" t="str">
            <v>Other</v>
          </cell>
          <cell r="H293" t="str">
            <v>Shan State Development Foundation</v>
          </cell>
          <cell r="I293" t="str">
            <v>SSDF</v>
          </cell>
        </row>
        <row r="294">
          <cell r="G294" t="str">
            <v>Other</v>
          </cell>
          <cell r="H294" t="str">
            <v>Single Touch Point Company Limited</v>
          </cell>
          <cell r="I294" t="str">
            <v>STP</v>
          </cell>
        </row>
        <row r="295">
          <cell r="G295" t="str">
            <v>Other</v>
          </cell>
          <cell r="H295" t="str">
            <v>Swiss Agency for Development and Cooperation</v>
          </cell>
          <cell r="I295" t="str">
            <v>SDC</v>
          </cell>
        </row>
        <row r="296">
          <cell r="G296" t="str">
            <v>Private Sector</v>
          </cell>
          <cell r="H296" t="str">
            <v>Neo Prospect Company Limited</v>
          </cell>
          <cell r="I296" t="str">
            <v>NPCltd</v>
          </cell>
        </row>
        <row r="297">
          <cell r="G297" t="str">
            <v>Red Cross</v>
          </cell>
          <cell r="H297" t="str">
            <v>International Committee of the Red Cross</v>
          </cell>
          <cell r="I297" t="str">
            <v>ICRC</v>
          </cell>
        </row>
        <row r="298">
          <cell r="G298" t="str">
            <v>Red Cross</v>
          </cell>
          <cell r="H298" t="str">
            <v>Intl Federation of Red Cross &amp; Red Crescent Societies</v>
          </cell>
          <cell r="I298" t="str">
            <v>IFRC</v>
          </cell>
        </row>
        <row r="299">
          <cell r="G299" t="str">
            <v>Red Cross</v>
          </cell>
          <cell r="H299" t="str">
            <v>Myanmar Red Cross Society</v>
          </cell>
          <cell r="I299" t="str">
            <v>MRCS</v>
          </cell>
        </row>
        <row r="300">
          <cell r="G300" t="str">
            <v>Red Cross</v>
          </cell>
          <cell r="H300" t="str">
            <v>Myanmar Red Society Crescent</v>
          </cell>
          <cell r="I300" t="str">
            <v>MRSC</v>
          </cell>
        </row>
        <row r="301">
          <cell r="G301" t="str">
            <v>United Nations</v>
          </cell>
          <cell r="H301" t="str">
            <v>Food and Agriculture Organization</v>
          </cell>
          <cell r="I301" t="str">
            <v>FAO</v>
          </cell>
        </row>
        <row r="302">
          <cell r="G302" t="str">
            <v>United Nations</v>
          </cell>
          <cell r="H302" t="str">
            <v>International Organization for Migration</v>
          </cell>
          <cell r="I302" t="str">
            <v>IOM</v>
          </cell>
        </row>
        <row r="303">
          <cell r="G303" t="str">
            <v>United Nations</v>
          </cell>
          <cell r="H303" t="str">
            <v>UN Women</v>
          </cell>
          <cell r="I303" t="str">
            <v>UNW</v>
          </cell>
        </row>
        <row r="304">
          <cell r="G304" t="str">
            <v>United Nations</v>
          </cell>
          <cell r="H304" t="str">
            <v>United Nations Children's Fund</v>
          </cell>
          <cell r="I304" t="str">
            <v>UNICEF</v>
          </cell>
        </row>
        <row r="305">
          <cell r="G305" t="str">
            <v>United Nations</v>
          </cell>
          <cell r="H305" t="str">
            <v>United Nations Development Programme</v>
          </cell>
          <cell r="I305" t="str">
            <v>UNDP</v>
          </cell>
        </row>
        <row r="306">
          <cell r="G306" t="str">
            <v>United Nations</v>
          </cell>
          <cell r="H306" t="str">
            <v>United Nations for Women</v>
          </cell>
          <cell r="I306" t="str">
            <v>UN WOMEN</v>
          </cell>
        </row>
        <row r="307">
          <cell r="G307" t="str">
            <v>United Nations</v>
          </cell>
          <cell r="H307" t="str">
            <v>United Nations High Commissioner for Refugees</v>
          </cell>
          <cell r="I307" t="str">
            <v>UNHCR</v>
          </cell>
        </row>
        <row r="308">
          <cell r="G308" t="str">
            <v>United Nations</v>
          </cell>
          <cell r="H308" t="str">
            <v>United Nations Human Settlements Programme</v>
          </cell>
          <cell r="I308" t="str">
            <v>UN-Habitat</v>
          </cell>
        </row>
        <row r="309">
          <cell r="G309" t="str">
            <v>United Nations</v>
          </cell>
          <cell r="H309" t="str">
            <v xml:space="preserve">United Nations Office for Project Services </v>
          </cell>
          <cell r="I309" t="str">
            <v>UNOPS</v>
          </cell>
        </row>
        <row r="310">
          <cell r="G310" t="str">
            <v>United Nations</v>
          </cell>
          <cell r="H310" t="str">
            <v>United Nations Office for the Coordination of Humanitarian Affairs</v>
          </cell>
          <cell r="I310" t="str">
            <v>UNOCHA</v>
          </cell>
        </row>
        <row r="311">
          <cell r="G311" t="str">
            <v>United Nations</v>
          </cell>
          <cell r="H311" t="str">
            <v>United Nations population fund</v>
          </cell>
          <cell r="I311" t="str">
            <v>UNFPA</v>
          </cell>
        </row>
        <row r="312">
          <cell r="G312" t="str">
            <v>United Nations</v>
          </cell>
          <cell r="H312" t="str">
            <v>World Food Programme</v>
          </cell>
          <cell r="I312" t="str">
            <v>WFP</v>
          </cell>
        </row>
        <row r="313">
          <cell r="G313" t="str">
            <v>United Nations</v>
          </cell>
          <cell r="H313" t="str">
            <v>World Health Organization</v>
          </cell>
          <cell r="I313" t="str">
            <v>WHO</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state_donor"/>
      <sheetName val="Rakhine_funding_matrix"/>
      <sheetName val="Kachin-shan_funding_matrix"/>
      <sheetName val="Other_StateRegio_funding_matrix"/>
      <sheetName val="Funding Tracking"/>
      <sheetName val="Timelinebysite"/>
      <sheetName val="Sheet1"/>
      <sheetName val="National_Analysis by donor"/>
      <sheetName val="National_analysis by state"/>
      <sheetName val="Covid"/>
      <sheetName val="National"/>
      <sheetName val="other_Analysis"/>
      <sheetName val="Fund_Analysis_Rakhine"/>
      <sheetName val="Fund_Analysis_Kachin-shan"/>
      <sheetName val="Rakhine Analysis 2"/>
      <sheetName val="Kachin Analysis 2"/>
    </sheetNames>
    <sheetDataSet>
      <sheetData sheetId="0"/>
      <sheetData sheetId="1"/>
      <sheetData sheetId="2"/>
      <sheetData sheetId="3"/>
      <sheetData sheetId="4"/>
      <sheetData sheetId="5"/>
      <sheetData sheetId="6"/>
      <sheetData sheetId="7"/>
      <sheetData sheetId="8"/>
      <sheetData sheetId="9"/>
      <sheetData sheetId="10"/>
      <sheetData sheetId="11">
        <row r="3">
          <cell r="F3" t="str">
            <v>Cumulative Funding Received for 2023</v>
          </cell>
          <cell r="G3" t="str">
            <v>Gap</v>
          </cell>
        </row>
        <row r="6">
          <cell r="B6" t="str">
            <v>Mon</v>
          </cell>
          <cell r="G6">
            <v>1853240.182604447</v>
          </cell>
        </row>
        <row r="7">
          <cell r="B7" t="str">
            <v>Ayeyarwady</v>
          </cell>
          <cell r="G7">
            <v>134631.20129620383</v>
          </cell>
        </row>
        <row r="8">
          <cell r="B8" t="str">
            <v>Bago (East)</v>
          </cell>
          <cell r="G8">
            <v>2490802.2051830729</v>
          </cell>
        </row>
        <row r="9">
          <cell r="B9" t="str">
            <v>Chin</v>
          </cell>
          <cell r="G9">
            <v>8755415.3312578183</v>
          </cell>
        </row>
        <row r="10">
          <cell r="B10" t="str">
            <v>Kachin/Shan (North)</v>
          </cell>
          <cell r="F10">
            <v>1319171.3086415359</v>
          </cell>
          <cell r="G10">
            <v>11522189.930062734</v>
          </cell>
        </row>
        <row r="11">
          <cell r="B11" t="str">
            <v>Kayah</v>
          </cell>
          <cell r="G11">
            <v>4667835.8539725961</v>
          </cell>
        </row>
        <row r="12">
          <cell r="B12" t="str">
            <v>Kayin</v>
          </cell>
          <cell r="G12">
            <v>4425611.9797762176</v>
          </cell>
        </row>
        <row r="13">
          <cell r="B13" t="str">
            <v>Magway</v>
          </cell>
          <cell r="G13">
            <v>8335534.7865400575</v>
          </cell>
        </row>
        <row r="14">
          <cell r="B14" t="str">
            <v>Rakhine</v>
          </cell>
          <cell r="F14">
            <v>5002768.1223946474</v>
          </cell>
          <cell r="G14">
            <v>48950297.686292902</v>
          </cell>
        </row>
        <row r="15">
          <cell r="B15" t="str">
            <v>Sagaing</v>
          </cell>
          <cell r="G15">
            <v>21963994.419368315</v>
          </cell>
        </row>
        <row r="16">
          <cell r="B16" t="str">
            <v>Shan (South)</v>
          </cell>
          <cell r="G16">
            <v>6191612.0047773272</v>
          </cell>
        </row>
        <row r="17">
          <cell r="B17" t="str">
            <v>Tanintharyi</v>
          </cell>
          <cell r="G17">
            <v>1491708.8500778582</v>
          </cell>
        </row>
        <row r="18">
          <cell r="B18" t="str">
            <v>Yangon</v>
          </cell>
          <cell r="F18">
            <v>160688.02668969988</v>
          </cell>
          <cell r="G18">
            <v>249131.82420741292</v>
          </cell>
        </row>
      </sheetData>
      <sheetData sheetId="12"/>
      <sheetData sheetId="13"/>
      <sheetData sheetId="14"/>
      <sheetData sheetId="15">
        <row r="2">
          <cell r="C2" t="str">
            <v>Camps</v>
          </cell>
        </row>
      </sheetData>
      <sheetData sheetId="16"/>
    </sheetDataSet>
  </externalBook>
</externalLink>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5159.654637962965" backgroundQuery="1" createdVersion="6" refreshedVersion="7" minRefreshableVersion="3" recordCount="0" supportSubquery="1" supportAdvancedDrill="1" xr:uid="{2424A037-BCF7-4B15-A4AE-1757238DB756}">
  <cacheSource type="external" connectionId="1"/>
  <cacheFields count="6">
    <cacheField name="[WWWW].[State].[State]" caption="State" numFmtId="0" hierarchy="4" level="1">
      <sharedItems count="1">
        <s v="Kachin"/>
      </sharedItems>
    </cacheField>
    <cacheField name="[WWWW].[Covered].[Covered]" caption="Covered" numFmtId="0" hierarchy="146" level="1">
      <sharedItems containsSemiMixedTypes="0" containsNonDate="0" containsString="0"/>
    </cacheField>
    <cacheField name="[WWWW].[#_Water sources tested for fecal coliform].[#_Water sources tested for fecal coliform]" caption="#_Water sources tested for fecal coliform" numFmtId="0" hierarchy="34" level="1">
      <sharedItems containsSemiMixedTypes="0" containsNonDate="0" containsString="0"/>
    </cacheField>
    <cacheField name="[Measures].[Distinct Count of Site Name]" caption="Distinct Count of Site Name" numFmtId="0" hierarchy="154" level="32767"/>
    <cacheField name="[WWWW].[#_Household water samples tested for fecal coliform].[#_Household water samples tested for fecal coliform]" caption="#_Household water samples tested for fecal coliform" numFmtId="0" hierarchy="36" level="1">
      <sharedItems containsSemiMixedTypes="0" containsNonDate="0" containsString="0"/>
    </cacheField>
    <cacheField name="[WWWW].[Remark].[Remark]" caption="Remark" numFmtId="0" hierarchy="147" level="1">
      <sharedItems containsSemiMixedTypes="0" containsNonDate="0" containsString="0"/>
    </cacheField>
  </cacheFields>
  <cacheHierarchies count="155">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2" memberValueDatatype="130" unbalanced="0">
      <fieldsUsage count="2">
        <fieldUsage x="-1"/>
        <fieldUsage x="0"/>
      </fieldsUsage>
    </cacheHierarchy>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0" memberValueDatatype="130" unbalanced="0"/>
    <cacheHierarchy uniqueName="[WWWW].[Total HH]" caption="Total HH" attribute="1" defaultMemberUniqueName="[WWWW].[Total HH].[All]" allUniqueName="[WWWW].[Total HH].[All]" dimensionUniqueName="[WWWW]" displayFolder="" count="0" memberValueDatatype="5" unbalanced="0"/>
    <cacheHierarchy uniqueName="[WWWW].[Total PoP]" caption="Total PoP" attribute="1" defaultMemberUniqueName="[WWWW].[Total PoP].[All]" allUniqueName="[WWWW].[Total PoP].[All]" dimensionUniqueName="[WWWW]" displayFolder="" count="0" memberValueDatatype="20"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 paid camp based WASH skilled labor]" caption="#_ paid camp based WASH skilled labor" attribute="1" defaultMemberUniqueName="[WWWW].[#_ paid camp based WASH skilled labor].[All]" allUniqueName="[WWWW].[#_ paid camp based WASH skilled labor].[All]" dimensionUniqueName="[WWWW]" displayFolder="" count="0" memberValueDatatype="20" unbalanced="0"/>
    <cacheHierarchy uniqueName="[WWWW].[#_paid camp based unskilled WASH unskilled labor]" caption="#_paid camp based unskilled WASH unskilled labor" attribute="1" defaultMemberUniqueName="[WWWW].[#_paid camp based unskilled WASH unskilled labor].[All]" allUniqueName="[WWWW].[#_paid camp based unskilled WASH unskilled labor].[All]" dimensionUniqueName="[WWWW]" displayFolder="" count="0" memberValueDatatype="20" unbalanced="0"/>
    <cacheHierarchy uniqueName="[WWWW].[# Work days (approx) lost in this site due to access restrictions]" caption="# Work days (approx) lost in this site due to access restrictions" attribute="1" defaultMemberUniqueName="[WWWW].[# Work days (approx) lost in this site due to access restrictions].[All]" allUniqueName="[WWWW].[# Work days (approx) lost in this site due to access restrictions].[All]" dimensionUniqueName="[WWWW]" displayFolder="" count="0" memberValueDatatype="20" unbalanced="0"/>
    <cacheHierarchy uniqueName="[WWWW].[WASH Focal in camp management structure?]" caption="WASH Focal in camp management structure?" attribute="1" defaultMemberUniqueName="[WWWW].[WASH Focal in camp management structure?].[All]" allUniqueName="[WWWW].[WASH Focal in camp management structure?].[All]" dimensionUniqueName="[WWWW]" displayFolder="" count="0" memberValueDatatype="130" unbalanced="0"/>
    <cacheHierarchy uniqueName="[WWWW].[#_men on camp WASH team]" caption="#_men on camp WASH team" attribute="1" defaultMemberUniqueName="[WWWW].[#_men on camp WASH team].[All]" allUniqueName="[WWWW].[#_men on camp WASH team].[All]" dimensionUniqueName="[WWWW]" displayFolder="" count="0" memberValueDatatype="20" unbalanced="0"/>
    <cacheHierarchy uniqueName="[WWWW].[#_women on camp WASH team]" caption="#_women on camp WASH team" attribute="1" defaultMemberUniqueName="[WWWW].[#_women on camp WASH team].[All]" allUniqueName="[WWWW].[#_women on camp WASH team].[All]" dimensionUniqueName="[WWWW]" displayFolder="" count="0" memberValueDatatype="20" unbalanced="0"/>
    <cacheHierarchy uniqueName="[WWWW].[#_Constructed/existing protected hand dug well]" caption="#_Constructed/existing protected hand dug well" attribute="1" defaultMemberUniqueName="[WWWW].[#_Constructed/existing protected hand dug well].[All]" allUniqueName="[WWWW].[#_Constructed/existing protected hand dug well].[All]" dimensionUniqueName="[WWWW]" displayFolder="" count="0" memberValueDatatype="20" unbalanced="0"/>
    <cacheHierarchy uniqueName="[WWWW].[#_Non-functional protected hand dug well]" caption="#_Non-functional protected hand dug well" attribute="1" defaultMemberUniqueName="[WWWW].[#_Non-functional protected hand dug well].[All]" allUniqueName="[WWWW].[#_Non-functional protected hand dug well].[All]" dimensionUniqueName="[WWWW]" displayFolder="" count="0" memberValueDatatype="20" unbalanced="0"/>
    <cacheHierarchy uniqueName="[WWWW].[#_Operation &amp; Maintenance of hand dug well]" caption="#_Operation &amp; Maintenance of hand dug well" attribute="1" defaultMemberUniqueName="[WWWW].[#_Operation &amp; Maintenance of hand dug well].[All]" allUniqueName="[WWWW].[#_Operation &amp; Maintenance of hand dug well].[All]" dimensionUniqueName="[WWWW]" displayFolder="" count="0" memberValueDatatype="20" unbalanced="0"/>
    <cacheHierarchy uniqueName="[WWWW].[#_Constructed/Existing tube wells/boreholes/handpumps_WASH_agency]" caption="#_Constructed/Existing tube wells/boreholes/handpumps_WASH_agency" attribute="1" defaultMemberUniqueName="[WWWW].[#_Constructed/Existing tube wells/boreholes/handpumps_WASH_agency].[All]" allUniqueName="[WWWW].[#_Constructed/Existing tube wells/boreholes/handpumps_WASH_agency].[All]" dimensionUniqueName="[WWWW]" displayFolder="" count="0" memberValueDatatype="20" unbalanced="0"/>
    <cacheHierarchy uniqueName="[WWWW].[#_Non-Cluster partner water tube-wells/boreholes/handpumps]" caption="#_Non-Cluster partner water tube-wells/boreholes/handpumps" attribute="1" defaultMemberUniqueName="[WWWW].[#_Non-Cluster partner water tube-wells/boreholes/handpumps].[All]" allUniqueName="[WWWW].[#_Non-Cluster partner water tube-wells/boreholes/handpumps].[All]" dimensionUniqueName="[WWWW]" displayFolder="" count="0" memberValueDatatype="20" unbalanced="0"/>
    <cacheHierarchy uniqueName="[WWWW].[#_Non-functional tube wells/boreholes/handpumps]" caption="#_Non-functional tube wells/boreholes/handpumps" attribute="1" defaultMemberUniqueName="[WWWW].[#_Non-functional tube wells/boreholes/handpumps].[All]" allUniqueName="[WWWW].[#_Non-functional tube wells/boreholes/handpumps].[All]" dimensionUniqueName="[WWWW]" displayFolder="" count="0" memberValueDatatype="20" unbalanced="0"/>
    <cacheHierarchy uniqueName="[WWWW].[#_Operation &amp; Maintenance of tube wells/boreholes/handpumps]" caption="#_Operation &amp; Maintenance of tube wells/boreholes/handpumps" attribute="1" defaultMemberUniqueName="[WWWW].[#_Operation &amp; Maintenance of tube wells/boreholes/handpumps].[All]" allUniqueName="[WWWW].[#_Operation &amp; Maintenance of tube wells/boreholes/handpumps].[All]" dimensionUniqueName="[WWWW]" displayFolder="" count="0" memberValueDatatype="20" unbalanced="0"/>
    <cacheHierarchy uniqueName="[WWWW].[#_Constructed/Existingwater storage tank with gravity fed reticulation system]" caption="#_Constructed/Existingwater storage tank with gravity fed reticulation system" attribute="1" defaultMemberUniqueName="[WWWW].[#_Constructed/Existingwater storage tank with gravity fed reticulation system].[All]" allUniqueName="[WWWW].[#_Constructed/Existingwater storage tank with gravity fed reticulation system].[All]" dimensionUniqueName="[WWWW]" displayFolder="" count="0" memberValueDatatype="20" unbalanced="0"/>
    <cacheHierarchy uniqueName="[WWWW].[#_Non-functional storage tank gravity fed reticulation system]" caption="#_Non-functional storage tank gravity fed reticulation system" attribute="1" defaultMemberUniqueName="[WWWW].[#_Non-functional storage tank gravity fed reticulation system].[All]" allUniqueName="[WWWW].[#_Non-functional storage tank gravity fed reticulation system].[All]" dimensionUniqueName="[WWWW]" displayFolder="" count="0" memberValueDatatype="20" unbalanced="0"/>
    <cacheHierarchy uniqueName="[WWWW].[#_Operation &amp; maintenance of storage tank and reticulation system]" caption="#_Operation &amp; maintenance of storage tank and reticulation system" attribute="1" defaultMemberUniqueName="[WWWW].[#_Operation &amp; maintenance of storage tank and reticulation system].[All]" allUniqueName="[WWWW].[#_Operation &amp; maintenance of storage tank and reticulation system].[All]" dimensionUniqueName="[WWWW]" displayFolder="" count="0" memberValueDatatype="5" unbalanced="0"/>
    <cacheHierarchy uniqueName="[WWWW].[#_Water_Liters_supplied_by_Water boating or water trucking]" caption="#_Water_Liters_supplied_by_Water boating or water trucking" attribute="1" defaultMemberUniqueName="[WWWW].[#_Water_Liters_supplied_by_Water boating or water trucking].[All]" allUniqueName="[WWWW].[#_Water_Liters_supplied_by_Water boating or water trucking].[All]" dimensionUniqueName="[WWWW]" displayFolder="" count="0" memberValueDatatype="20" unbalanced="0"/>
    <cacheHierarchy uniqueName="[WWWW].[#_Constructed/Existing protected/fenced ponds]" caption="#_Constructed/Existing protected/fenced ponds" attribute="1" defaultMemberUniqueName="[WWWW].[#_Constructed/Existing protected/fenced ponds].[All]" allUniqueName="[WWWW].[#_Constructed/Existing protected/fenced ponds].[All]" dimensionUniqueName="[WWWW]" displayFolder="" count="0" memberValueDatatype="20" unbalanced="0"/>
    <cacheHierarchy uniqueName="[WWWW].[#_Water_Liters_from_Constructed/Existing water distribution system from river or natural spring]" caption="#_Water_Liters_from_Constructed/Existing water distribution system from river or natural spring" attribute="1" defaultMemberUniqueName="[WWWW].[#_Water_Liters_from_Constructed/Existing water distribution system from river or natural spring].[All]" allUniqueName="[WWWW].[#_Water_Liters_from_Constructed/Existing water distribution system from river or natural spring].[All]" dimensionUniqueName="[WWWW]" displayFolder="" count="0" memberValueDatatype="130" unbalanced="0"/>
    <cacheHierarchy uniqueName="[WWWW].[#_committes/technicians trained and maintaining the water points]" caption="#_committes/technicians trained and maintaining the water points" attribute="1" defaultMemberUniqueName="[WWWW].[#_committes/technicians trained and maintaining the water points].[All]" allUniqueName="[WWWW].[#_committes/technicians trained and maintaining the water points].[All]" dimensionUniqueName="[WWWW]" displayFolder="" count="0" memberValueDatatype="20" unbalanced="0"/>
    <cacheHierarchy uniqueName="[WWWW].[#_Water points fully handed over]" caption="#_Water points fully handed over" attribute="1" defaultMemberUniqueName="[WWWW].[#_Water points fully handed over].[All]" allUniqueName="[WWWW].[#_Water points fully handed over].[All]" dimensionUniqueName="[WWWW]" displayFolder="" count="0" memberValueDatatype="20" unbalanced="0"/>
    <cacheHierarchy uniqueName="[WWWW].[#_Water sources tested for fecal coliform]" caption="#_Water sources tested for fecal coliform" attribute="1" defaultMemberUniqueName="[WWWW].[#_Water sources tested for fecal coliform].[All]" allUniqueName="[WWWW].[#_Water sources tested for fecal coliform].[All]" dimensionUniqueName="[WWWW]" displayFolder="" count="2" memberValueDatatype="20" unbalanced="0">
      <fieldsUsage count="2">
        <fieldUsage x="-1"/>
        <fieldUsage x="2"/>
      </fieldsUsage>
    </cacheHierarchy>
    <cacheHierarchy uniqueName="[WWWW].[#_Water sources passed]" caption="#_Water sources passed" attribute="1" defaultMemberUniqueName="[WWWW].[#_Water sources passed].[All]" allUniqueName="[WWWW].[#_Water sources passed].[All]" dimensionUniqueName="[WWWW]" displayFolder="" count="0" memberValueDatatype="20" unbalanced="0"/>
    <cacheHierarchy uniqueName="[WWWW].[#_Household water samples tested for fecal coliform]" caption="#_Household water samples tested for fecal coliform" attribute="1" defaultMemberUniqueName="[WWWW].[#_Household water samples tested for fecal coliform].[All]" allUniqueName="[WWWW].[#_Household water samples tested for fecal coliform].[All]" dimensionUniqueName="[WWWW]" displayFolder="" count="2" memberValueDatatype="20" unbalanced="0">
      <fieldsUsage count="2">
        <fieldUsage x="-1"/>
        <fieldUsage x="4"/>
      </fieldsUsage>
    </cacheHierarchy>
    <cacheHierarchy uniqueName="[WWWW].[#_Household passed]" caption="#_Household passed" attribute="1" defaultMemberUniqueName="[WWWW].[#_Household passed].[All]" allUniqueName="[WWWW].[#_Household passed].[All]" dimensionUniqueName="[WWWW]" displayFolder="" count="0" memberValueDatatype="20" unbalanced="0"/>
    <cacheHierarchy uniqueName="[WWWW].[#_Constructed/Existing hand washing stations at TLS/CFS/THF]" caption="#_Constructed/Existing hand washing stations at TLS/CFS/THF" attribute="1" defaultMemberUniqueName="[WWWW].[#_Constructed/Existing hand washing stations at TLS/CFS/THF].[All]" allUniqueName="[WWWW].[#_Constructed/Existing hand washing stations at TLS/CFS/THF].[All]" dimensionUniqueName="[WWWW]" displayFolder="" count="0" memberValueDatatype="20" unbalanced="0"/>
    <cacheHierarchy uniqueName="[WWWW].[#_of water points in TLS/CFS]" caption="#_of water points in TLS/CFS" attribute="1" defaultMemberUniqueName="[WWWW].[#_of water points in TLS/CFS].[All]" allUniqueName="[WWWW].[#_of water points in TLS/CFS].[All]" dimensionUniqueName="[WWWW]" displayFolder="" count="0" memberValueDatatype="20" unbalanced="0"/>
    <cacheHierarchy uniqueName="[WWWW].[#_of water points in THF]" caption="#_of water points in THF" attribute="1" defaultMemberUniqueName="[WWWW].[#_of water points in THF].[All]" allUniqueName="[WWWW].[#_of water points in THF].[All]" dimensionUniqueName="[WWWW]" displayFolder="" count="0" memberValueDatatype="20" unbalanced="0"/>
    <cacheHierarchy uniqueName="[WWWW].[WATER Comments]" caption="WATER Comments" attribute="1" defaultMemberUniqueName="[WWWW].[WATER Comments].[All]" allUniqueName="[WWWW].[WATER Comments].[All]" dimensionUniqueName="[WWWW]" displayFolder="" count="0" memberValueDatatype="130" unbalanced="0"/>
    <cacheHierarchy uniqueName="[WWWW].[#_Constructed latrines_by_WASHAgencies]" caption="#_Constructed latrines_by_WASHAgencies" attribute="1" defaultMemberUniqueName="[WWWW].[#_Constructed latrines_by_WASHAgencies].[All]" allUniqueName="[WWWW].[#_Constructed latrines_by_WASHAgencies].[All]" dimensionUniqueName="[WWWW]" displayFolder="" count="0" memberValueDatatype="20" unbalanced="0"/>
    <cacheHierarchy uniqueName="[WWWW].[#_Non Cluster partner latrines]" caption="#_Non Cluster partner latrines" attribute="1" defaultMemberUniqueName="[WWWW].[#_Non Cluster partner latrines].[All]" allUniqueName="[WWWW].[#_Non Cluster partner latrines].[All]" dimensionUniqueName="[WWWW]" displayFolder="" count="0" memberValueDatatype="20" unbalanced="0"/>
    <cacheHierarchy uniqueName="[WWWW].[Name of Non-Cluster partner who constructed latrines]" caption="Name of Non-Cluster partner who constructed latrines" attribute="1" defaultMemberUniqueName="[WWWW].[Name of Non-Cluster partner who constructed latrines].[All]" allUniqueName="[WWWW].[Name of Non-Cluster partner who constructed latrines].[All]" dimensionUniqueName="[WWWW]" displayFolder="" count="0" memberValueDatatype="130" unbalanced="0"/>
    <cacheHierarchy uniqueName="[WWWW].[#_Non-functional latrines]" caption="#_Non-functional latrines" attribute="1" defaultMemberUniqueName="[WWWW].[#_Non-functional latrines].[All]" allUniqueName="[WWWW].[#_Non-functional latrines].[All]" dimensionUniqueName="[WWWW]" displayFolder="" count="0" memberValueDatatype="20" unbalanced="0"/>
    <cacheHierarchy uniqueName="[WWWW].[#_Operation &amp; maintenance of latrines]" caption="#_Operation &amp; maintenance of latrines" attribute="1" defaultMemberUniqueName="[WWWW].[#_Operation &amp; maintenance of latrines].[All]" allUniqueName="[WWWW].[#_Operation &amp; maintenance of latrines].[All]" dimensionUniqueName="[WWWW]" displayFolder="" count="0" memberValueDatatype="20" unbalanced="0"/>
    <cacheHierarchy uniqueName="[WWWW].[#_Latrines desludged during the past quarter]" caption="#_Latrines desludged during the past quarter" attribute="1" defaultMemberUniqueName="[WWWW].[#_Latrines desludged during the past quarter].[All]" allUniqueName="[WWWW].[#_Latrines desludged during the past quarter].[All]" dimensionUniqueName="[WWWW]" displayFolder="" count="0" memberValueDatatype="20" unbalanced="0"/>
    <cacheHierarchy uniqueName="[WWWW].[#_Cubic meters of desludging in past quarter]" caption="#_Cubic meters of desludging in past quarter" attribute="1" defaultMemberUniqueName="[WWWW].[#_Cubic meters of desludging in past quarter].[All]" allUniqueName="[WWWW].[#_Cubic meters of desludging in past quarter].[All]" dimensionUniqueName="[WWWW]" displayFolder="" count="0" memberValueDatatype="5" unbalanced="0"/>
    <cacheHierarchy uniqueName="[WWWW].[#_Latrines fully handed over]" caption="#_Latrines fully handed over" attribute="1" defaultMemberUniqueName="[WWWW].[#_Latrines fully handed over].[All]" allUniqueName="[WWWW].[#_Latrines fully handed over].[All]" dimensionUniqueName="[WWWW]" displayFolder="" count="0" memberValueDatatype="20" unbalanced="0"/>
    <cacheHierarchy uniqueName="[WWWW].[Is there provision of solid waste management equipment?]" caption="Is there provision of solid waste management equipment?" attribute="1" defaultMemberUniqueName="[WWWW].[Is there provision of solid waste management equipment?].[All]" allUniqueName="[WWWW].[Is there provision of solid waste management equipment?].[All]" dimensionUniqueName="[WWWW]" displayFolder="" count="0" memberValueDatatype="130" unbalanced="0"/>
    <cacheHierarchy uniqueName="[WWWW].[Is there constructed surface water drainage system?]" caption="Is there constructed surface water drainage system?" attribute="1" defaultMemberUniqueName="[WWWW].[Is there constructed surface water drainage system?].[All]" allUniqueName="[WWWW].[Is there constructed surface water drainage system?].[All]" dimensionUniqueName="[WWWW]" displayFolder="" count="0" memberValueDatatype="130" unbalanced="0"/>
    <cacheHierarchy uniqueName="[WWWW].[#_Constructed/Existing child friendly latrines]" caption="#_Constructed/Existing child friendly latrines" attribute="1" defaultMemberUniqueName="[WWWW].[#_Constructed/Existing child friendly latrines].[All]" allUniqueName="[WWWW].[#_Constructed/Existing child friendly latrines].[All]" dimensionUniqueName="[WWWW]" displayFolder="" count="0" memberValueDatatype="20" unbalanced="0"/>
    <cacheHierarchy uniqueName="[WWWW].[#_Constructed/Existing disabled &amp; elderly friendly latrines]" caption="#_Constructed/Existing disabled &amp; elderly friendly latrines" attribute="1" defaultMemberUniqueName="[WWWW].[#_Constructed/Existing disabled &amp; elderly friendly latrines].[All]" allUniqueName="[WWWW].[#_Constructed/Existing disabled &amp; elderly friendly latrines].[All]" dimensionUniqueName="[WWWW]" displayFolder="" count="0" memberValueDatatype="20" unbalanced="0"/>
    <cacheHierarchy uniqueName="[WWWW].[# of functional latrines in TLS/CFS supported by WASH partners during the reporting period]" caption="# of functional latrines in TLS/CFS supported by WASH partners during the reporting period" attribute="1" defaultMemberUniqueName="[WWWW].[# of functional latrines in TLS/CFS supported by WASH partners during the reporting period].[All]" allUniqueName="[WWWW].[# of functional latrines in TLS/CFS supported by WASH partners during the reporting period].[All]" dimensionUniqueName="[WWWW]" displayFolder="" count="0" memberValueDatatype="20" unbalanced="0"/>
    <cacheHierarchy uniqueName="[WWWW].[# of functional latrines in THF supported by WASH partners during the reporting period2]" caption="# of functional latrines in THF supported by WASH partners during the reporting period2" attribute="1" defaultMemberUniqueName="[WWWW].[# of functional latrines in THF supported by WASH partners during the reporting period2].[All]" allUniqueName="[WWWW].[# of functional latrines in THF supported by WASH partners during the reporting period2].[All]" dimensionUniqueName="[WWWW]" displayFolder="" count="0" memberValueDatatype="5" unbalanced="0"/>
    <cacheHierarchy uniqueName="[WWWW].[#_of_persons_with_disabilities_with_adapted_sanitation_option]" caption="#_of_persons_with_disabilities_with_adapted_sanitation_option" attribute="1" defaultMemberUniqueName="[WWWW].[#_of_persons_with_disabilities_with_adapted_sanitation_option].[All]" allUniqueName="[WWWW].[#_of_persons_with_disabilities_with_adapted_sanitation_option].[All]" dimensionUniqueName="[WWWW]" displayFolder="" count="0" memberValueDatatype="2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Constructed/Existing hand washing stations]" caption="#_Constructed/Existing hand washing stations" attribute="1" defaultMemberUniqueName="[WWWW].[#_Constructed/Existing hand washing stations].[All]" allUniqueName="[WWWW].[#_Constructed/Existing hand washing stations].[All]" dimensionUniqueName="[WWWW]" displayFolder="" count="0" memberValueDatatype="20" unbalanced="0"/>
    <cacheHierarchy uniqueName="[WWWW].[#_Non-Functional_hand_washing_stations]" caption="#_Non-Functional_hand_washing_stations" attribute="1" defaultMemberUniqueName="[WWWW].[#_Non-Functional_hand_washing_stations].[All]" allUniqueName="[WWWW].[#_Non-Functional_hand_washing_stations].[All]" dimensionUniqueName="[WWWW]" displayFolder="" count="0" memberValueDatatype="20" unbalanced="0"/>
    <cacheHierarchy uniqueName="[WWWW].[#_Constructed/Existing_individual_bathing_spaces]" caption="#_Constructed/Existing_individual_bathing_spaces" attribute="1" defaultMemberUniqueName="[WWWW].[#_Constructed/Existing_individual_bathing_spaces].[All]" allUniqueName="[WWWW].[#_Constructed/Existing_individual_bathing_spaces].[All]" dimensionUniqueName="[WWWW]" displayFolder="" count="0" memberValueDatatype="20" unbalanced="0"/>
    <cacheHierarchy uniqueName="[WWWW].[#_Constructed/Existing communal bathing spaces]" caption="#_Constructed/Existing communal bathing spaces" attribute="1" defaultMemberUniqueName="[WWWW].[#_Constructed/Existing communal bathing spaces].[All]" allUniqueName="[WWWW].[#_Constructed/Existing communal bathing spaces].[All]" dimensionUniqueName="[WWWW]" displayFolder="" count="0" memberValueDatatype="20" unbalanced="0"/>
    <cacheHierarchy uniqueName="[WWWW].[#_Non-Functional communal_bathing spaces]" caption="#_Non-Functional communal_bathing spaces" attribute="1" defaultMemberUniqueName="[WWWW].[#_Non-Functional communal_bathing spaces].[All]" allUniqueName="[WWWW].[#_Non-Functional communal_bathing spaces].[All]" dimensionUniqueName="[WWWW]" displayFolder="" count="0" memberValueDatatype="20" unbalanced="0"/>
    <cacheHierarchy uniqueName="[WWWW].[#_male hygiene promoters]" caption="#_male hygiene promoters" attribute="1" defaultMemberUniqueName="[WWWW].[#_male hygiene promoters].[All]" allUniqueName="[WWWW].[#_male hygiene promoters].[All]" dimensionUniqueName="[WWWW]" displayFolder="" count="0" memberValueDatatype="20" unbalanced="0"/>
    <cacheHierarchy uniqueName="[WWWW].[#_female hygiene promoters]" caption="#_female hygiene promoters" attribute="1" defaultMemberUniqueName="[WWWW].[#_female hygiene promoters].[All]" allUniqueName="[WWWW].[#_female hygiene promoters].[All]" dimensionUniqueName="[WWWW]" displayFolder="" count="0" memberValueDatatype="20" unbalanced="0"/>
    <cacheHierarchy uniqueName="[WWWW].[#_households that received standard amount of soap for this quarter]" caption="#_households that received standard amount of soap for this quarter" attribute="1" defaultMemberUniqueName="[WWWW].[#_households that received standard amount of soap for this quarter].[All]" allUniqueName="[WWWW].[#_households that received standard amount of soap for this quarter].[All]" dimensionUniqueName="[WWWW]" displayFolder="" count="0" memberValueDatatype="20" unbalanced="0"/>
    <cacheHierarchy uniqueName="[WWWW].[# of affected women and girls receiving a sufficient quantity of sanitary pads from direct distribut]" caption="# of affected women and girls receiving a sufficient quantity of sanitary pads from direct distribut" attribute="1" defaultMemberUniqueName="[WWWW].[# of affected women and girls receiving a sufficient quantity of sanitary pads from direct distribut].[All]" allUniqueName="[WWWW].[# of affected women and girls receiving a sufficient quantity of sanitary pads from direct distribut].[All]" dimensionUniqueName="[WWWW]" displayFolder="" count="0" memberValueDatatype="130" unbalanced="0"/>
    <cacheHierarchy uniqueName="[WWWW].[Is sufficient soap available for TLS? (Yes/No)]" caption="Is sufficient soap available for TLS? (Yes/No)" attribute="1" defaultMemberUniqueName="[WWWW].[Is sufficient soap available for TLS? (Yes/No)].[All]" allUniqueName="[WWWW].[Is sufficient soap available for TLS? (Yes/No)].[All]" dimensionUniqueName="[WWWW]" displayFolder="" count="0" memberValueDatatype="130" unbalanced="0"/>
    <cacheHierarchy uniqueName="[WWWW].[#_Hygiene Promotion activities (sessions) in TLS?]" caption="#_Hygiene Promotion activities (sessions) in TLS?" attribute="1" defaultMemberUniqueName="[WWWW].[#_Hygiene Promotion activities (sessions) in TLS?].[All]" allUniqueName="[WWWW].[#_Hygiene Promotion activities (sessions) in TLS?].[All]" dimensionUniqueName="[WWWW]" displayFolder="" count="0" memberValueDatatype="20" unbalanced="0"/>
    <cacheHierarchy uniqueName="[WWWW].[% of students reached by HP activities]" caption="% of students reached by HP activities" attribute="1" defaultMemberUniqueName="[WWWW].[% of students reached by HP activities].[All]" allUniqueName="[WWWW].[% of students reached by HP activities].[All]" dimensionUniqueName="[WWWW]" displayFolder="" count="0" memberValueDatatype="5" unbalanced="0"/>
    <cacheHierarchy uniqueName="[WWWW].[Hygiene Comments]" caption="Hygiene Comments" attribute="1" defaultMemberUniqueName="[WWWW].[Hygiene Comments].[All]" allUniqueName="[WWWW].[Hygiene 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 of sanitation facilities (latrines) built/repaired/rehabilitated following risk-sensitive programm]" caption="# of sanitation facilities (latrines) built/repaired/rehabilitated following risk-sensitive programm" attribute="1" defaultMemberUniqueName="[WWWW].[# of sanitation facilities (latrines) built/repaired/rehabilitated following risk-sensitive programm].[All]" allUniqueName="[WWWW].[# of sanitation facilities (latrines) built/repaired/rehabilitated following risk-sensitive programm].[All]" dimensionUniqueName="[WWWW]" displayFolder="" count="0" memberValueDatatype="20" unbalanced="0"/>
    <cacheHierarchy uniqueName="[WWWW].[# of sanitation facilities (HH sanitation devices) distributed following risk-sensitive programming]" caption="# of sanitation facilities (HH sanitation devices) distributed following risk-sensitive programming" attribute="1" defaultMemberUniqueName="[WWWW].[# of sanitation facilities (HH sanitation devices) distributed following risk-sensitive programming].[All]" allUniqueName="[WWWW].[# of sanitation facilities (HH sanitation devices) distributed following risk-sensitive programming].[All]" dimensionUniqueName="[WWWW]" displayFolder="" count="0" memberValueDatatype="2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20" unbalanced="0"/>
    <cacheHierarchy uniqueName="[WWWW].[amount_of_MMK/Voucher_or_Token_distributed_per_HH/Family]" caption="amount_of_MMK/Voucher_or_Token_distributed_per_HH/Family" attribute="1" defaultMemberUniqueName="[WWWW].[amount_of_MMK/Voucher_or_Token_distributed_per_HH/Family].[All]" allUniqueName="[WWWW].[amount_of_MMK/Voucher_or_Token_distributed_per_HH/Family].[All]" dimensionUniqueName="[WWWW]" displayFolder="" count="0" memberValueDatatype="130" unbalanced="0"/>
    <cacheHierarchy uniqueName="[WWWW].[#_of_Family/HH_Reached]" caption="#_of_Family/HH_Reached" attribute="1" defaultMemberUniqueName="[WWWW].[#_of_Family/HH_Reached].[All]" allUniqueName="[WWWW].[#_of_Family/HH_Reached].[All]" dimensionUniqueName="[WWWW]" displayFolder="" count="0" memberValueDatatype="130" unbalanced="0"/>
    <cacheHierarchy uniqueName="[WWWW].[Date_of_Cash_distribution]" caption="Date_of_Cash_distribution" attribute="1" defaultMemberUniqueName="[WWWW].[Date_of_Cash_distribution].[All]" allUniqueName="[WWWW].[Date_of_Cash_distribution].[All]" dimensionUniqueName="[WWWW]" displayFolder="" count="0" memberValueDatatype="130" unbalanced="0"/>
    <cacheHierarchy uniqueName="[WWWW].[Cash_distributed_for_which_items]" caption="Cash_distributed_for_which_items" attribute="1" defaultMemberUniqueName="[WWWW].[Cash_distributed_for_which_items].[All]" allUniqueName="[WWWW].[Cash_distributed_for_which_items].[All]" dimensionUniqueName="[WWWW]" displayFolder="" count="0" memberValueDatatype="130" unbalanced="0"/>
    <cacheHierarchy uniqueName="[WWWW].[% of water sources passed]" caption="% of water sources passed" attribute="1" defaultMemberUniqueName="[WWWW].[% of water sources passed].[All]" allUniqueName="[WWWW].[% of water sources passed].[All]" dimensionUniqueName="[WWWW]" displayFolder="" count="0" memberValueDatatype="130" unbalanced="0"/>
    <cacheHierarchy uniqueName="[WWWW].[% Household passed]" caption="% Household passed" attribute="1" defaultMemberUniqueName="[WWWW].[% Household passed].[All]" allUniqueName="[WWWW].[% Household passed].[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Functional protected hand dug well]" caption="Functional protected hand dug well" attribute="1" defaultMemberUniqueName="[WWWW].[Functional protected hand dug well].[All]" allUniqueName="[WWWW].[Functional protected hand dug well].[All]" dimensionUniqueName="[WWWW]" displayFolder="" count="0" memberValueDatatype="20" unbalanced="0"/>
    <cacheHierarchy uniqueName="[WWWW].[Functional tube wells/boreholes/handpumps (including non-cluster partners)]" caption="Functional tube wells/boreholes/handpumps (including non-cluster partners)" attribute="1" defaultMemberUniqueName="[WWWW].[Functional tube wells/boreholes/handpumps (including non-cluster partners)].[All]" allUniqueName="[WWWW].[Functional tube wells/boreholes/handpumps (including non-cluster partners)].[All]" dimensionUniqueName="[WWWW]" displayFolder="" count="0" memberValueDatatype="20" unbalanced="0"/>
    <cacheHierarchy uniqueName="[WWWW].[Functional storage tank with gravity fed reticulation system]" caption="Functional storage tank with gravity fed reticulation system" attribute="1" defaultMemberUniqueName="[WWWW].[Functional storage tank with gravity fed reticulation system].[All]" allUniqueName="[WWWW].[Functional storage tank with gravity fed reticulation system].[All]" dimensionUniqueName="[WWWW]" displayFolder="" count="0" memberValueDatatype="20" unbalanced="0"/>
    <cacheHierarchy uniqueName="[WWWW].[Liters_Water boating or water trucking]" caption="Liters_Water boating or water trucking" attribute="1" defaultMemberUniqueName="[WWWW].[Liters_Water boating or water trucking].[All]" allUniqueName="[WWWW].[Liters_Water boating or water trucking].[All]" dimensionUniqueName="[WWWW]" displayFolder="" count="0" memberValueDatatype="5" unbalanced="0"/>
    <cacheHierarchy uniqueName="[WWWW].[Liters_Constructed water distribution system from river]" caption="Liters_Constructed water distribution system from river" attribute="1" defaultMemberUniqueName="[WWWW].[Liters_Constructed water distribution system from river].[All]" allUniqueName="[WWWW].[Liters_Constructed water distribution system from river].[All]" dimensionUniqueName="[WWWW]" displayFolder="" count="0" memberValueDatatype="20" unbalanced="0"/>
    <cacheHierarchy uniqueName="[WWWW].[# People access to functional water points or water provision supported by WASH partners in TLS/CFS_]" caption="# People access to functional water points or water provision supported by WASH partners in TLS/CFS_" attribute="1" defaultMemberUniqueName="[WWWW].[# People access to functional water points or water provision supported by WASH partners in TLS/CFS_].[All]" allUniqueName="[WWWW].[# People access to functional water points or water provision supported by WASH partners in TLS/CFS_].[All]" dimensionUniqueName="[WWWW]" displayFolder="" count="0" memberValueDatatype="20" unbalanced="0"/>
    <cacheHierarchy uniqueName="[WWWW].[# People access to functional water points or water provision supported by WASH partners in THF_HRP6]" caption="# People access to functional water points or water provision supported by WASH partners in THF_HRP6" attribute="1" defaultMemberUniqueName="[WWWW].[# People access to functional water points or water provision supported by WASH partners in THF_HRP6].[All]" allUniqueName="[WWWW].[# People access to functional water points or water provision supported by WASH partners in THF_HRP6].[All]" dimensionUniqueName="[WWWW]" displayFolder="" count="0" memberValueDatatype="20" unbalanced="0"/>
    <cacheHierarchy uniqueName="[WWWW].[# People access to functional water points or water provision supported by WASH partners in TLS/CFS/]" caption="# People access to functional water points or water provision supported by WASH partners in TLS/CFS/" attribute="1" defaultMemberUniqueName="[WWWW].[# People access to functional water points or water provision supported by WASH partners in TLS/CFS/].[All]" allUniqueName="[WWWW].[# People access to functional water points or water provision supported by WASH partners in TLS/CFS/].[All]" dimensionUniqueName="[WWWW]" displayFolder="" count="0" memberValueDatatype="130" unbalanced="0"/>
    <cacheHierarchy uniqueName="[WWWW].[Access to safe drinking water for Camp]" caption="Access to safe drinking water for Camp" attribute="1" defaultMemberUniqueName="[WWWW].[Access to safe drinking water for Camp].[All]" allUniqueName="[WWWW].[Access to safe drinking water for Camp].[All]" dimensionUniqueName="[WWWW]" displayFolder="" count="0" memberValueDatatype="130" unbalanced="0"/>
    <cacheHierarchy uniqueName="[WWWW].[Access to safe drinking water for Village]" caption="Access to safe drinking water for Village" attribute="1" defaultMemberUniqueName="[WWWW].[Access to safe drinking water for Village].[All]" allUniqueName="[WWWW].[Access to safe drinking water for Village].[All]" dimensionUniqueName="[WWWW]" displayFolder="" count="0" memberValueDatatype="130" unbalanced="0"/>
    <cacheHierarchy uniqueName="[WWWW].[%Equitable and continuous access to sufficient quantity of safe drinking water]" caption="%Equitable and continuous access to sufficient quantity of safe drinking water" attribute="1" defaultMemberUniqueName="[WWWW].[%Equitable and continuous access to sufficient quantity of safe drinking water].[All]" allUniqueName="[WWWW].[%Equitable and continuous access to sufficient quantity of safe drinking water].[All]" dimensionUniqueName="[WWWW]" displayFolder="" count="0" memberValueDatatype="130" unbalanced="0"/>
    <cacheHierarchy uniqueName="[WWWW].[# people with equitable and continuous access to sufficient quantity of safe drinking water]" caption="# people with equitable and continuous access to sufficient quantity of safe drinking water" attribute="1" defaultMemberUniqueName="[WWWW].[# people with equitable and continuous access to sufficient quantity of safe drinking water].[All]" allUniqueName="[WWWW].[# people with equitable and continuous access to sufficient quantity of safe drinking water].[All]" dimensionUniqueName="[WWWW]" displayFolder="" count="0" memberValueDatatype="5" unbalanced="0"/>
    <cacheHierarchy uniqueName="[WWWW].[% Access to unimproved water points]" caption="% Access to unimproved water points" attribute="1" defaultMemberUniqueName="[WWWW].[% Access to unimproved water points].[All]" allUniqueName="[WWWW].[% Access to unimproved water points].[All]" dimensionUniqueName="[WWWW]" displayFolder="" count="0" memberValueDatatype="5" unbalanced="0"/>
    <cacheHierarchy uniqueName="[WWWW].[#People access to unimproved water sources]" caption="#People access to unimproved water sources" attribute="1" defaultMemberUniqueName="[WWWW].[#People access to unimproved water sources].[All]" allUniqueName="[WWWW].[#People access to unimproved water sources].[All]" dimensionUniqueName="[WWWW]" displayFolder="" count="0" memberValueDatatype="5" unbalanced="0"/>
    <cacheHierarchy uniqueName="[WWWW].[% Equitable and continuous access to sufficient quantity of domestic water]" caption="% Equitable and continuous access to sufficient quantity of domestic water" attribute="1" defaultMemberUniqueName="[WWWW].[% Equitable and continuous access to sufficient quantity of domestic water].[All]" allUniqueName="[WWWW].[% Equitable and continuous access to sufficient quantity of domestic water].[All]" dimensionUniqueName="[WWWW]" displayFolder="" count="0" memberValueDatatype="5" unbalanced="0"/>
    <cacheHierarchy uniqueName="[WWWW].[HRP1]" caption="HRP1" attribute="1" defaultMemberUniqueName="[WWWW].[HRP1].[All]" allUniqueName="[WWWW].[HRP1].[All]" dimensionUniqueName="[WWWW]" displayFolder="" count="0" memberValueDatatype="5"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5"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5"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 of Functioning latrine]" caption="# of Functioning latrine" attribute="1" defaultMemberUniqueName="[WWWW].[# of Functioning latrine].[All]" allUniqueName="[WWWW].[# of Functioning latrine].[All]" dimensionUniqueName="[WWWW]" displayFolder="" count="0" memberValueDatatype="20" unbalanced="0"/>
    <cacheHierarchy uniqueName="[WWWW].[% people access to functioning Latrine]" caption="% people access to functioning Latrine" attribute="1" defaultMemberUniqueName="[WWWW].[% people access to functioning Latrine].[All]" allUniqueName="[WWWW].[% people access to functioning Latrine].[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 people access to continuous sanitation services desluding]" caption="# people access to continuous sanitation services desluding" attribute="1" defaultMemberUniqueName="[WWWW].[# people access to continuous sanitation services desluding].[All]" allUniqueName="[WWWW].[# people access to continuous sanitation services desluding].[All]" dimensionUniqueName="[WWWW]" displayFolder="" count="0" memberValueDatatype="20"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6]" caption="# People access to functioning latrines in THF_HRP6" attribute="1" defaultMemberUniqueName="[WWWW].[# People access to functioning latrines in THF_HRP6].[All]" allUniqueName="[WWWW].[# People access to functioning latrines in THF_HRP6].[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20"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20" unbalanced="0"/>
    <cacheHierarchy uniqueName="[WWWW].[HRP3]" caption="HRP3" attribute="1" defaultMemberUniqueName="[WWWW].[HRP3].[All]" allUniqueName="[WWWW].[HRP3].[All]" dimensionUniqueName="[WWWW]" displayFolder="" count="0" memberValueDatatype="20" unbalanced="0"/>
    <cacheHierarchy uniqueName="[WWWW].[Hygiene Coverage%]" caption="Hygiene Coverage%" attribute="1" defaultMemberUniqueName="[WWWW].[Hygiene Coverage%].[All]" allUniqueName="[WWWW].[Hygiene Coverage%].[All]" dimensionUniqueName="[WWWW]" displayFolder="" count="0" memberValueDatatype="130" unbalanced="0"/>
    <cacheHierarchy uniqueName="[WWWW].[Hygiene Gap%]" caption="Hygiene Gap%" attribute="1" defaultMemberUniqueName="[WWWW].[Hygiene Gap%].[All]" allUniqueName="[WWWW].[Hygiene Gap%].[All]" dimensionUniqueName="[WWWW]" displayFolder="" count="0" memberValueDatatype="130"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130" unbalanced="0"/>
    <cacheHierarchy uniqueName="[WWWW].[%HH with access to soap]" caption="%HH with access to soap" attribute="1" defaultMemberUniqueName="[WWWW].[%HH with access to soap].[All]" allUniqueName="[WWWW].[%HH with access to soap].[All]" dimensionUniqueName="[WWWW]" displayFolder="" count="0" memberValueDatatype="130" unbalanced="0"/>
    <cacheHierarchy uniqueName="[WWWW].[% of HH with access to Sanitary Pad]" caption="% of HH with access to Sanitary Pad" attribute="1" defaultMemberUniqueName="[WWWW].[% of HH with access to Sanitary Pad].[All]" allUniqueName="[WWWW].[% of HH with access to Sanitary Pad].[All]" dimensionUniqueName="[WWWW]" displayFolder="" count="0" memberValueDatatype="130" unbalanced="0"/>
    <cacheHierarchy uniqueName="[WWWW].[# Functional hand washing stations during reporting period]" caption="# Functional hand washing stations during reporting period" attribute="1" defaultMemberUniqueName="[WWWW].[# Functional hand washing stations during reporting period].[All]" allUniqueName="[WWWW].[# Functional hand washing stations during reporting period].[All]" dimensionUniqueName="[WWWW]" displayFolder="" count="0" memberValueDatatype="20" unbalanced="0"/>
    <cacheHierarchy uniqueName="[WWWW].[#HH with access to Hand Washing Station]" caption="#HH with access to Hand Washing Station" attribute="1" defaultMemberUniqueName="[WWWW].[#HH with access to Hand Washing Station].[All]" allUniqueName="[WWWW].[#HH with access to Hand Washing Station].[All]" dimensionUniqueName="[WWWW]" displayFolder="" count="0" memberValueDatatype="20" unbalanced="0"/>
    <cacheHierarchy uniqueName="[WWWW].[# of hand washing stations with soap in TLS]" caption="# of hand washing stations with soap in TLS" attribute="1" defaultMemberUniqueName="[WWWW].[# of hand washing stations with soap in TLS].[All]" allUniqueName="[WWWW].[# of hand washing stations with soap in TLS].[All]" dimensionUniqueName="[WWWW]" displayFolder="" count="0" memberValueDatatype="20" unbalanced="0"/>
    <cacheHierarchy uniqueName="[WWWW].[# People access to Handwashing Station]" caption="# People access to Handwashing Station" attribute="1" defaultMemberUniqueName="[WWWW].[# People access to Handwashing Station].[All]" allUniqueName="[WWWW].[# People access to Handwashing Station].[All]" dimensionUniqueName="[WWWW]" displayFolder="" count="0" memberValueDatatype="20"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130" unbalanced="0"/>
    <cacheHierarchy uniqueName="[WWWW].[# of affected people surveyed who report feeling satistfied with the latrine design and sanitation s]" caption="# of affected people surveyed who report feeling satistfied with the latrine design and sanitation s" attribute="1" defaultMemberUniqueName="[WWWW].[# of affected people surveyed who report feeling satistfied with the latrine design and sanitation s].[All]" allUniqueName="[WWWW].[# of affected people surveyed who report feeling satistfied with the latrine design and sanitation s].[All]" dimensionUniqueName="[WWWW]" displayFolder="" count="0" memberValueDatatype="5" unbalanced="0"/>
    <cacheHierarchy uniqueName="[WWWW].[# of affected people surveyed who report feeling satistfied with the water point design and water se]" caption="# of affected people surveyed who report feeling satistfied with the water point design and water se" attribute="1" defaultMemberUniqueName="[WWWW].[# of affected people surveyed who report feeling satistfied with the water point design and water se].[All]" allUniqueName="[WWWW].[# of affected people surveyed who report feeling satistfied with the water point design and water se].[All]" dimensionUniqueName="[WWWW]" displayFolder="" count="0" memberValueDatatype="5" unbalanced="0"/>
    <cacheHierarchy uniqueName="[WWWW].[# complaints received that result in timely, corrective action and feedback to the community]" caption="# complaints received that result in timely, corrective action and feedback to the community" attribute="1" defaultMemberUniqueName="[WWWW].[# complaints received that result in timely, corrective action and feedback to the community].[All]" allUniqueName="[WWWW].[# complaints received that result in timely, corrective action and feedback to the community].[All]" dimensionUniqueName="[WWWW]" displayFolder="" count="0" memberValueDatatype="5" unbalanced="0"/>
    <cacheHierarchy uniqueName="[WWWW].[HRP4]" caption="HRP4" attribute="1" defaultMemberUniqueName="[WWWW].[HRP4].[All]" allUniqueName="[WWWW].[HRP4].[All]" dimensionUniqueName="[WWWW]" displayFolder="" count="0" memberValueDatatype="5" unbalanced="0"/>
    <cacheHierarchy uniqueName="[WWWW].[HRP5]" caption="HRP5" attribute="1" defaultMemberUniqueName="[WWWW].[HRP5].[All]" allUniqueName="[WWWW].[HRP5].[All]" dimensionUniqueName="[WWWW]" displayFolder="" count="0" memberValueDatatype="20" unbalanced="0"/>
    <cacheHierarchy uniqueName="[WWWW].[HRP6]" caption="HRP6" attribute="1" defaultMemberUniqueName="[WWWW].[HRP6].[All]" allUniqueName="[WWWW].[HRP6].[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130" unbalanced="0"/>
    <cacheHierarchy uniqueName="[WWWW].[Long]" caption="Long" attribute="1" defaultMemberUniqueName="[WWWW].[Long].[All]" allUniqueName="[WWWW].[Long].[All]" dimensionUniqueName="[WWWW]" displayFolder="" count="0" memberValueDatatype="130"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2" memberValueDatatype="130" unbalanced="0">
      <fieldsUsage count="2">
        <fieldUsage x="-1"/>
        <fieldUsage x="1"/>
      </fieldsUsage>
    </cacheHierarchy>
    <cacheHierarchy uniqueName="[WWWW].[Remark]" caption="Remark" attribute="1" defaultMemberUniqueName="[WWWW].[Remark].[All]" allUniqueName="[WWWW].[Remark].[All]" dimensionUniqueName="[WWWW]" displayFolder="" count="2" memberValueDatatype="130" unbalanced="0">
      <fieldsUsage count="2">
        <fieldUsage x="-1"/>
        <fieldUsage x="5"/>
      </fieldsUsage>
    </cacheHierarchy>
    <cacheHierarchy uniqueName="[WWWW].[checking]" caption="checking" attribute="1" defaultMemberUniqueName="[WWWW].[checking].[All]" allUniqueName="[WWWW].[checking].[All]" dimensionUniqueName="[WWWW]" displayFolder="" count="0" memberValueDatatype="130" unbalanced="0"/>
    <cacheHierarchy uniqueName="[WWWW].[HH]" caption="HH" attribute="1" defaultMemberUniqueName="[WWWW].[HH].[All]" allUniqueName="[WWWW].[HH].[All]" dimensionUniqueName="[WWWW]" displayFolder="" count="0" memberValueDatatype="130" unbalanced="0"/>
    <cacheHierarchy uniqueName="[WWWW].[Population]" caption="Population" attribute="1" defaultMemberUniqueName="[WWWW].[Population].[All]" allUniqueName="[WWWW].[Population].[All]" dimensionUniqueName="[WWWW]" displayFolder="" count="0" memberValueDatatype="13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3"/>
      </fieldsUsage>
      <extLst>
        <ext xmlns:x15="http://schemas.microsoft.com/office/spreadsheetml/2010/11/main" uri="{B97F6D7D-B522-45F9-BDA1-12C45D357490}">
          <x15:cacheHierarchy aggregatedColumn="7"/>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5159.654639236112" backgroundQuery="1" createdVersion="6" refreshedVersion="7" minRefreshableVersion="3" recordCount="0" supportSubquery="1" supportAdvancedDrill="1" xr:uid="{980E0D70-0E92-48B4-B9FF-724DC0CAF19E}">
  <cacheSource type="external" connectionId="1"/>
  <cacheFields count="4">
    <cacheField name="[WWWW].[State].[State]" caption="State" numFmtId="0" hierarchy="4" level="1">
      <sharedItems count="1">
        <s v="Kachin"/>
      </sharedItems>
    </cacheField>
    <cacheField name="[WWWW].[Covered].[Covered]" caption="Covered" numFmtId="0" hierarchy="146" level="1">
      <sharedItems containsSemiMixedTypes="0" containsNonDate="0" containsString="0"/>
    </cacheField>
    <cacheField name="[WWWW].[#_Water sources tested for fecal coliform].[#_Water sources tested for fecal coliform]" caption="#_Water sources tested for fecal coliform" numFmtId="0" hierarchy="34" level="1">
      <sharedItems containsSemiMixedTypes="0" containsNonDate="0" containsString="0"/>
    </cacheField>
    <cacheField name="[Measures].[Distinct Count of Site Name]" caption="Distinct Count of Site Name" numFmtId="0" hierarchy="154" level="32767"/>
  </cacheFields>
  <cacheHierarchies count="155">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2" memberValueDatatype="130" unbalanced="0">
      <fieldsUsage count="2">
        <fieldUsage x="-1"/>
        <fieldUsage x="0"/>
      </fieldsUsage>
    </cacheHierarchy>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0" memberValueDatatype="130" unbalanced="0"/>
    <cacheHierarchy uniqueName="[WWWW].[Total HH]" caption="Total HH" attribute="1" defaultMemberUniqueName="[WWWW].[Total HH].[All]" allUniqueName="[WWWW].[Total HH].[All]" dimensionUniqueName="[WWWW]" displayFolder="" count="0" memberValueDatatype="5" unbalanced="0"/>
    <cacheHierarchy uniqueName="[WWWW].[Total PoP]" caption="Total PoP" attribute="1" defaultMemberUniqueName="[WWWW].[Total PoP].[All]" allUniqueName="[WWWW].[Total PoP].[All]" dimensionUniqueName="[WWWW]" displayFolder="" count="0" memberValueDatatype="20"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 paid camp based WASH skilled labor]" caption="#_ paid camp based WASH skilled labor" attribute="1" defaultMemberUniqueName="[WWWW].[#_ paid camp based WASH skilled labor].[All]" allUniqueName="[WWWW].[#_ paid camp based WASH skilled labor].[All]" dimensionUniqueName="[WWWW]" displayFolder="" count="0" memberValueDatatype="20" unbalanced="0"/>
    <cacheHierarchy uniqueName="[WWWW].[#_paid camp based unskilled WASH unskilled labor]" caption="#_paid camp based unskilled WASH unskilled labor" attribute="1" defaultMemberUniqueName="[WWWW].[#_paid camp based unskilled WASH unskilled labor].[All]" allUniqueName="[WWWW].[#_paid camp based unskilled WASH unskilled labor].[All]" dimensionUniqueName="[WWWW]" displayFolder="" count="0" memberValueDatatype="20" unbalanced="0"/>
    <cacheHierarchy uniqueName="[WWWW].[# Work days (approx) lost in this site due to access restrictions]" caption="# Work days (approx) lost in this site due to access restrictions" attribute="1" defaultMemberUniqueName="[WWWW].[# Work days (approx) lost in this site due to access restrictions].[All]" allUniqueName="[WWWW].[# Work days (approx) lost in this site due to access restrictions].[All]" dimensionUniqueName="[WWWW]" displayFolder="" count="0" memberValueDatatype="20" unbalanced="0"/>
    <cacheHierarchy uniqueName="[WWWW].[WASH Focal in camp management structure?]" caption="WASH Focal in camp management structure?" attribute="1" defaultMemberUniqueName="[WWWW].[WASH Focal in camp management structure?].[All]" allUniqueName="[WWWW].[WASH Focal in camp management structure?].[All]" dimensionUniqueName="[WWWW]" displayFolder="" count="0" memberValueDatatype="130" unbalanced="0"/>
    <cacheHierarchy uniqueName="[WWWW].[#_men on camp WASH team]" caption="#_men on camp WASH team" attribute="1" defaultMemberUniqueName="[WWWW].[#_men on camp WASH team].[All]" allUniqueName="[WWWW].[#_men on camp WASH team].[All]" dimensionUniqueName="[WWWW]" displayFolder="" count="0" memberValueDatatype="20" unbalanced="0"/>
    <cacheHierarchy uniqueName="[WWWW].[#_women on camp WASH team]" caption="#_women on camp WASH team" attribute="1" defaultMemberUniqueName="[WWWW].[#_women on camp WASH team].[All]" allUniqueName="[WWWW].[#_women on camp WASH team].[All]" dimensionUniqueName="[WWWW]" displayFolder="" count="0" memberValueDatatype="20" unbalanced="0"/>
    <cacheHierarchy uniqueName="[WWWW].[#_Constructed/existing protected hand dug well]" caption="#_Constructed/existing protected hand dug well" attribute="1" defaultMemberUniqueName="[WWWW].[#_Constructed/existing protected hand dug well].[All]" allUniqueName="[WWWW].[#_Constructed/existing protected hand dug well].[All]" dimensionUniqueName="[WWWW]" displayFolder="" count="0" memberValueDatatype="20" unbalanced="0"/>
    <cacheHierarchy uniqueName="[WWWW].[#_Non-functional protected hand dug well]" caption="#_Non-functional protected hand dug well" attribute="1" defaultMemberUniqueName="[WWWW].[#_Non-functional protected hand dug well].[All]" allUniqueName="[WWWW].[#_Non-functional protected hand dug well].[All]" dimensionUniqueName="[WWWW]" displayFolder="" count="0" memberValueDatatype="20" unbalanced="0"/>
    <cacheHierarchy uniqueName="[WWWW].[#_Operation &amp; Maintenance of hand dug well]" caption="#_Operation &amp; Maintenance of hand dug well" attribute="1" defaultMemberUniqueName="[WWWW].[#_Operation &amp; Maintenance of hand dug well].[All]" allUniqueName="[WWWW].[#_Operation &amp; Maintenance of hand dug well].[All]" dimensionUniqueName="[WWWW]" displayFolder="" count="0" memberValueDatatype="20" unbalanced="0"/>
    <cacheHierarchy uniqueName="[WWWW].[#_Constructed/Existing tube wells/boreholes/handpumps_WASH_agency]" caption="#_Constructed/Existing tube wells/boreholes/handpumps_WASH_agency" attribute="1" defaultMemberUniqueName="[WWWW].[#_Constructed/Existing tube wells/boreholes/handpumps_WASH_agency].[All]" allUniqueName="[WWWW].[#_Constructed/Existing tube wells/boreholes/handpumps_WASH_agency].[All]" dimensionUniqueName="[WWWW]" displayFolder="" count="0" memberValueDatatype="20" unbalanced="0"/>
    <cacheHierarchy uniqueName="[WWWW].[#_Non-Cluster partner water tube-wells/boreholes/handpumps]" caption="#_Non-Cluster partner water tube-wells/boreholes/handpumps" attribute="1" defaultMemberUniqueName="[WWWW].[#_Non-Cluster partner water tube-wells/boreholes/handpumps].[All]" allUniqueName="[WWWW].[#_Non-Cluster partner water tube-wells/boreholes/handpumps].[All]" dimensionUniqueName="[WWWW]" displayFolder="" count="0" memberValueDatatype="20" unbalanced="0"/>
    <cacheHierarchy uniqueName="[WWWW].[#_Non-functional tube wells/boreholes/handpumps]" caption="#_Non-functional tube wells/boreholes/handpumps" attribute="1" defaultMemberUniqueName="[WWWW].[#_Non-functional tube wells/boreholes/handpumps].[All]" allUniqueName="[WWWW].[#_Non-functional tube wells/boreholes/handpumps].[All]" dimensionUniqueName="[WWWW]" displayFolder="" count="0" memberValueDatatype="20" unbalanced="0"/>
    <cacheHierarchy uniqueName="[WWWW].[#_Operation &amp; Maintenance of tube wells/boreholes/handpumps]" caption="#_Operation &amp; Maintenance of tube wells/boreholes/handpumps" attribute="1" defaultMemberUniqueName="[WWWW].[#_Operation &amp; Maintenance of tube wells/boreholes/handpumps].[All]" allUniqueName="[WWWW].[#_Operation &amp; Maintenance of tube wells/boreholes/handpumps].[All]" dimensionUniqueName="[WWWW]" displayFolder="" count="0" memberValueDatatype="20" unbalanced="0"/>
    <cacheHierarchy uniqueName="[WWWW].[#_Constructed/Existingwater storage tank with gravity fed reticulation system]" caption="#_Constructed/Existingwater storage tank with gravity fed reticulation system" attribute="1" defaultMemberUniqueName="[WWWW].[#_Constructed/Existingwater storage tank with gravity fed reticulation system].[All]" allUniqueName="[WWWW].[#_Constructed/Existingwater storage tank with gravity fed reticulation system].[All]" dimensionUniqueName="[WWWW]" displayFolder="" count="0" memberValueDatatype="20" unbalanced="0"/>
    <cacheHierarchy uniqueName="[WWWW].[#_Non-functional storage tank gravity fed reticulation system]" caption="#_Non-functional storage tank gravity fed reticulation system" attribute="1" defaultMemberUniqueName="[WWWW].[#_Non-functional storage tank gravity fed reticulation system].[All]" allUniqueName="[WWWW].[#_Non-functional storage tank gravity fed reticulation system].[All]" dimensionUniqueName="[WWWW]" displayFolder="" count="0" memberValueDatatype="20" unbalanced="0"/>
    <cacheHierarchy uniqueName="[WWWW].[#_Operation &amp; maintenance of storage tank and reticulation system]" caption="#_Operation &amp; maintenance of storage tank and reticulation system" attribute="1" defaultMemberUniqueName="[WWWW].[#_Operation &amp; maintenance of storage tank and reticulation system].[All]" allUniqueName="[WWWW].[#_Operation &amp; maintenance of storage tank and reticulation system].[All]" dimensionUniqueName="[WWWW]" displayFolder="" count="0" memberValueDatatype="5" unbalanced="0"/>
    <cacheHierarchy uniqueName="[WWWW].[#_Water_Liters_supplied_by_Water boating or water trucking]" caption="#_Water_Liters_supplied_by_Water boating or water trucking" attribute="1" defaultMemberUniqueName="[WWWW].[#_Water_Liters_supplied_by_Water boating or water trucking].[All]" allUniqueName="[WWWW].[#_Water_Liters_supplied_by_Water boating or water trucking].[All]" dimensionUniqueName="[WWWW]" displayFolder="" count="0" memberValueDatatype="20" unbalanced="0"/>
    <cacheHierarchy uniqueName="[WWWW].[#_Constructed/Existing protected/fenced ponds]" caption="#_Constructed/Existing protected/fenced ponds" attribute="1" defaultMemberUniqueName="[WWWW].[#_Constructed/Existing protected/fenced ponds].[All]" allUniqueName="[WWWW].[#_Constructed/Existing protected/fenced ponds].[All]" dimensionUniqueName="[WWWW]" displayFolder="" count="0" memberValueDatatype="20" unbalanced="0"/>
    <cacheHierarchy uniqueName="[WWWW].[#_Water_Liters_from_Constructed/Existing water distribution system from river or natural spring]" caption="#_Water_Liters_from_Constructed/Existing water distribution system from river or natural spring" attribute="1" defaultMemberUniqueName="[WWWW].[#_Water_Liters_from_Constructed/Existing water distribution system from river or natural spring].[All]" allUniqueName="[WWWW].[#_Water_Liters_from_Constructed/Existing water distribution system from river or natural spring].[All]" dimensionUniqueName="[WWWW]" displayFolder="" count="0" memberValueDatatype="130" unbalanced="0"/>
    <cacheHierarchy uniqueName="[WWWW].[#_committes/technicians trained and maintaining the water points]" caption="#_committes/technicians trained and maintaining the water points" attribute="1" defaultMemberUniqueName="[WWWW].[#_committes/technicians trained and maintaining the water points].[All]" allUniqueName="[WWWW].[#_committes/technicians trained and maintaining the water points].[All]" dimensionUniqueName="[WWWW]" displayFolder="" count="0" memberValueDatatype="20" unbalanced="0"/>
    <cacheHierarchy uniqueName="[WWWW].[#_Water points fully handed over]" caption="#_Water points fully handed over" attribute="1" defaultMemberUniqueName="[WWWW].[#_Water points fully handed over].[All]" allUniqueName="[WWWW].[#_Water points fully handed over].[All]" dimensionUniqueName="[WWWW]" displayFolder="" count="0" memberValueDatatype="20" unbalanced="0"/>
    <cacheHierarchy uniqueName="[WWWW].[#_Water sources tested for fecal coliform]" caption="#_Water sources tested for fecal coliform" attribute="1" defaultMemberUniqueName="[WWWW].[#_Water sources tested for fecal coliform].[All]" allUniqueName="[WWWW].[#_Water sources tested for fecal coliform].[All]" dimensionUniqueName="[WWWW]" displayFolder="" count="2" memberValueDatatype="20" unbalanced="0">
      <fieldsUsage count="2">
        <fieldUsage x="-1"/>
        <fieldUsage x="2"/>
      </fieldsUsage>
    </cacheHierarchy>
    <cacheHierarchy uniqueName="[WWWW].[#_Water sources passed]" caption="#_Water sources passed" attribute="1" defaultMemberUniqueName="[WWWW].[#_Water sources passed].[All]" allUniqueName="[WWWW].[#_Water sources passed].[All]" dimensionUniqueName="[WWWW]" displayFolder="" count="0" memberValueDatatype="20" unbalanced="0"/>
    <cacheHierarchy uniqueName="[WWWW].[#_Household water samples tested for fecal coliform]" caption="#_Household water samples tested for fecal coliform" attribute="1" defaultMemberUniqueName="[WWWW].[#_Household water samples tested for fecal coliform].[All]" allUniqueName="[WWWW].[#_Household water samples tested for fecal coliform].[All]" dimensionUniqueName="[WWWW]" displayFolder="" count="0" memberValueDatatype="20" unbalanced="0"/>
    <cacheHierarchy uniqueName="[WWWW].[#_Household passed]" caption="#_Household passed" attribute="1" defaultMemberUniqueName="[WWWW].[#_Household passed].[All]" allUniqueName="[WWWW].[#_Household passed].[All]" dimensionUniqueName="[WWWW]" displayFolder="" count="0" memberValueDatatype="20" unbalanced="0"/>
    <cacheHierarchy uniqueName="[WWWW].[#_Constructed/Existing hand washing stations at TLS/CFS/THF]" caption="#_Constructed/Existing hand washing stations at TLS/CFS/THF" attribute="1" defaultMemberUniqueName="[WWWW].[#_Constructed/Existing hand washing stations at TLS/CFS/THF].[All]" allUniqueName="[WWWW].[#_Constructed/Existing hand washing stations at TLS/CFS/THF].[All]" dimensionUniqueName="[WWWW]" displayFolder="" count="0" memberValueDatatype="20" unbalanced="0"/>
    <cacheHierarchy uniqueName="[WWWW].[#_of water points in TLS/CFS]" caption="#_of water points in TLS/CFS" attribute="1" defaultMemberUniqueName="[WWWW].[#_of water points in TLS/CFS].[All]" allUniqueName="[WWWW].[#_of water points in TLS/CFS].[All]" dimensionUniqueName="[WWWW]" displayFolder="" count="0" memberValueDatatype="20" unbalanced="0"/>
    <cacheHierarchy uniqueName="[WWWW].[#_of water points in THF]" caption="#_of water points in THF" attribute="1" defaultMemberUniqueName="[WWWW].[#_of water points in THF].[All]" allUniqueName="[WWWW].[#_of water points in THF].[All]" dimensionUniqueName="[WWWW]" displayFolder="" count="0" memberValueDatatype="20" unbalanced="0"/>
    <cacheHierarchy uniqueName="[WWWW].[WATER Comments]" caption="WATER Comments" attribute="1" defaultMemberUniqueName="[WWWW].[WATER Comments].[All]" allUniqueName="[WWWW].[WATER Comments].[All]" dimensionUniqueName="[WWWW]" displayFolder="" count="0" memberValueDatatype="130" unbalanced="0"/>
    <cacheHierarchy uniqueName="[WWWW].[#_Constructed latrines_by_WASHAgencies]" caption="#_Constructed latrines_by_WASHAgencies" attribute="1" defaultMemberUniqueName="[WWWW].[#_Constructed latrines_by_WASHAgencies].[All]" allUniqueName="[WWWW].[#_Constructed latrines_by_WASHAgencies].[All]" dimensionUniqueName="[WWWW]" displayFolder="" count="0" memberValueDatatype="20" unbalanced="0"/>
    <cacheHierarchy uniqueName="[WWWW].[#_Non Cluster partner latrines]" caption="#_Non Cluster partner latrines" attribute="1" defaultMemberUniqueName="[WWWW].[#_Non Cluster partner latrines].[All]" allUniqueName="[WWWW].[#_Non Cluster partner latrines].[All]" dimensionUniqueName="[WWWW]" displayFolder="" count="0" memberValueDatatype="20" unbalanced="0"/>
    <cacheHierarchy uniqueName="[WWWW].[Name of Non-Cluster partner who constructed latrines]" caption="Name of Non-Cluster partner who constructed latrines" attribute="1" defaultMemberUniqueName="[WWWW].[Name of Non-Cluster partner who constructed latrines].[All]" allUniqueName="[WWWW].[Name of Non-Cluster partner who constructed latrines].[All]" dimensionUniqueName="[WWWW]" displayFolder="" count="0" memberValueDatatype="130" unbalanced="0"/>
    <cacheHierarchy uniqueName="[WWWW].[#_Non-functional latrines]" caption="#_Non-functional latrines" attribute="1" defaultMemberUniqueName="[WWWW].[#_Non-functional latrines].[All]" allUniqueName="[WWWW].[#_Non-functional latrines].[All]" dimensionUniqueName="[WWWW]" displayFolder="" count="0" memberValueDatatype="20" unbalanced="0"/>
    <cacheHierarchy uniqueName="[WWWW].[#_Operation &amp; maintenance of latrines]" caption="#_Operation &amp; maintenance of latrines" attribute="1" defaultMemberUniqueName="[WWWW].[#_Operation &amp; maintenance of latrines].[All]" allUniqueName="[WWWW].[#_Operation &amp; maintenance of latrines].[All]" dimensionUniqueName="[WWWW]" displayFolder="" count="0" memberValueDatatype="20" unbalanced="0"/>
    <cacheHierarchy uniqueName="[WWWW].[#_Latrines desludged during the past quarter]" caption="#_Latrines desludged during the past quarter" attribute="1" defaultMemberUniqueName="[WWWW].[#_Latrines desludged during the past quarter].[All]" allUniqueName="[WWWW].[#_Latrines desludged during the past quarter].[All]" dimensionUniqueName="[WWWW]" displayFolder="" count="0" memberValueDatatype="20" unbalanced="0"/>
    <cacheHierarchy uniqueName="[WWWW].[#_Cubic meters of desludging in past quarter]" caption="#_Cubic meters of desludging in past quarter" attribute="1" defaultMemberUniqueName="[WWWW].[#_Cubic meters of desludging in past quarter].[All]" allUniqueName="[WWWW].[#_Cubic meters of desludging in past quarter].[All]" dimensionUniqueName="[WWWW]" displayFolder="" count="0" memberValueDatatype="5" unbalanced="0"/>
    <cacheHierarchy uniqueName="[WWWW].[#_Latrines fully handed over]" caption="#_Latrines fully handed over" attribute="1" defaultMemberUniqueName="[WWWW].[#_Latrines fully handed over].[All]" allUniqueName="[WWWW].[#_Latrines fully handed over].[All]" dimensionUniqueName="[WWWW]" displayFolder="" count="0" memberValueDatatype="20" unbalanced="0"/>
    <cacheHierarchy uniqueName="[WWWW].[Is there provision of solid waste management equipment?]" caption="Is there provision of solid waste management equipment?" attribute="1" defaultMemberUniqueName="[WWWW].[Is there provision of solid waste management equipment?].[All]" allUniqueName="[WWWW].[Is there provision of solid waste management equipment?].[All]" dimensionUniqueName="[WWWW]" displayFolder="" count="0" memberValueDatatype="130" unbalanced="0"/>
    <cacheHierarchy uniqueName="[WWWW].[Is there constructed surface water drainage system?]" caption="Is there constructed surface water drainage system?" attribute="1" defaultMemberUniqueName="[WWWW].[Is there constructed surface water drainage system?].[All]" allUniqueName="[WWWW].[Is there constructed surface water drainage system?].[All]" dimensionUniqueName="[WWWW]" displayFolder="" count="0" memberValueDatatype="130" unbalanced="0"/>
    <cacheHierarchy uniqueName="[WWWW].[#_Constructed/Existing child friendly latrines]" caption="#_Constructed/Existing child friendly latrines" attribute="1" defaultMemberUniqueName="[WWWW].[#_Constructed/Existing child friendly latrines].[All]" allUniqueName="[WWWW].[#_Constructed/Existing child friendly latrines].[All]" dimensionUniqueName="[WWWW]" displayFolder="" count="0" memberValueDatatype="20" unbalanced="0"/>
    <cacheHierarchy uniqueName="[WWWW].[#_Constructed/Existing disabled &amp; elderly friendly latrines]" caption="#_Constructed/Existing disabled &amp; elderly friendly latrines" attribute="1" defaultMemberUniqueName="[WWWW].[#_Constructed/Existing disabled &amp; elderly friendly latrines].[All]" allUniqueName="[WWWW].[#_Constructed/Existing disabled &amp; elderly friendly latrines].[All]" dimensionUniqueName="[WWWW]" displayFolder="" count="0" memberValueDatatype="20" unbalanced="0"/>
    <cacheHierarchy uniqueName="[WWWW].[# of functional latrines in TLS/CFS supported by WASH partners during the reporting period]" caption="# of functional latrines in TLS/CFS supported by WASH partners during the reporting period" attribute="1" defaultMemberUniqueName="[WWWW].[# of functional latrines in TLS/CFS supported by WASH partners during the reporting period].[All]" allUniqueName="[WWWW].[# of functional latrines in TLS/CFS supported by WASH partners during the reporting period].[All]" dimensionUniqueName="[WWWW]" displayFolder="" count="0" memberValueDatatype="20" unbalanced="0"/>
    <cacheHierarchy uniqueName="[WWWW].[# of functional latrines in THF supported by WASH partners during the reporting period2]" caption="# of functional latrines in THF supported by WASH partners during the reporting period2" attribute="1" defaultMemberUniqueName="[WWWW].[# of functional latrines in THF supported by WASH partners during the reporting period2].[All]" allUniqueName="[WWWW].[# of functional latrines in THF supported by WASH partners during the reporting period2].[All]" dimensionUniqueName="[WWWW]" displayFolder="" count="0" memberValueDatatype="5" unbalanced="0"/>
    <cacheHierarchy uniqueName="[WWWW].[#_of_persons_with_disabilities_with_adapted_sanitation_option]" caption="#_of_persons_with_disabilities_with_adapted_sanitation_option" attribute="1" defaultMemberUniqueName="[WWWW].[#_of_persons_with_disabilities_with_adapted_sanitation_option].[All]" allUniqueName="[WWWW].[#_of_persons_with_disabilities_with_adapted_sanitation_option].[All]" dimensionUniqueName="[WWWW]" displayFolder="" count="0" memberValueDatatype="2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Constructed/Existing hand washing stations]" caption="#_Constructed/Existing hand washing stations" attribute="1" defaultMemberUniqueName="[WWWW].[#_Constructed/Existing hand washing stations].[All]" allUniqueName="[WWWW].[#_Constructed/Existing hand washing stations].[All]" dimensionUniqueName="[WWWW]" displayFolder="" count="0" memberValueDatatype="20" unbalanced="0"/>
    <cacheHierarchy uniqueName="[WWWW].[#_Non-Functional_hand_washing_stations]" caption="#_Non-Functional_hand_washing_stations" attribute="1" defaultMemberUniqueName="[WWWW].[#_Non-Functional_hand_washing_stations].[All]" allUniqueName="[WWWW].[#_Non-Functional_hand_washing_stations].[All]" dimensionUniqueName="[WWWW]" displayFolder="" count="0" memberValueDatatype="20" unbalanced="0"/>
    <cacheHierarchy uniqueName="[WWWW].[#_Constructed/Existing_individual_bathing_spaces]" caption="#_Constructed/Existing_individual_bathing_spaces" attribute="1" defaultMemberUniqueName="[WWWW].[#_Constructed/Existing_individual_bathing_spaces].[All]" allUniqueName="[WWWW].[#_Constructed/Existing_individual_bathing_spaces].[All]" dimensionUniqueName="[WWWW]" displayFolder="" count="0" memberValueDatatype="20" unbalanced="0"/>
    <cacheHierarchy uniqueName="[WWWW].[#_Constructed/Existing communal bathing spaces]" caption="#_Constructed/Existing communal bathing spaces" attribute="1" defaultMemberUniqueName="[WWWW].[#_Constructed/Existing communal bathing spaces].[All]" allUniqueName="[WWWW].[#_Constructed/Existing communal bathing spaces].[All]" dimensionUniqueName="[WWWW]" displayFolder="" count="0" memberValueDatatype="20" unbalanced="0"/>
    <cacheHierarchy uniqueName="[WWWW].[#_Non-Functional communal_bathing spaces]" caption="#_Non-Functional communal_bathing spaces" attribute="1" defaultMemberUniqueName="[WWWW].[#_Non-Functional communal_bathing spaces].[All]" allUniqueName="[WWWW].[#_Non-Functional communal_bathing spaces].[All]" dimensionUniqueName="[WWWW]" displayFolder="" count="0" memberValueDatatype="20" unbalanced="0"/>
    <cacheHierarchy uniqueName="[WWWW].[#_male hygiene promoters]" caption="#_male hygiene promoters" attribute="1" defaultMemberUniqueName="[WWWW].[#_male hygiene promoters].[All]" allUniqueName="[WWWW].[#_male hygiene promoters].[All]" dimensionUniqueName="[WWWW]" displayFolder="" count="0" memberValueDatatype="20" unbalanced="0"/>
    <cacheHierarchy uniqueName="[WWWW].[#_female hygiene promoters]" caption="#_female hygiene promoters" attribute="1" defaultMemberUniqueName="[WWWW].[#_female hygiene promoters].[All]" allUniqueName="[WWWW].[#_female hygiene promoters].[All]" dimensionUniqueName="[WWWW]" displayFolder="" count="0" memberValueDatatype="20" unbalanced="0"/>
    <cacheHierarchy uniqueName="[WWWW].[#_households that received standard amount of soap for this quarter]" caption="#_households that received standard amount of soap for this quarter" attribute="1" defaultMemberUniqueName="[WWWW].[#_households that received standard amount of soap for this quarter].[All]" allUniqueName="[WWWW].[#_households that received standard amount of soap for this quarter].[All]" dimensionUniqueName="[WWWW]" displayFolder="" count="0" memberValueDatatype="20" unbalanced="0"/>
    <cacheHierarchy uniqueName="[WWWW].[# of affected women and girls receiving a sufficient quantity of sanitary pads from direct distribut]" caption="# of affected women and girls receiving a sufficient quantity of sanitary pads from direct distribut" attribute="1" defaultMemberUniqueName="[WWWW].[# of affected women and girls receiving a sufficient quantity of sanitary pads from direct distribut].[All]" allUniqueName="[WWWW].[# of affected women and girls receiving a sufficient quantity of sanitary pads from direct distribut].[All]" dimensionUniqueName="[WWWW]" displayFolder="" count="0" memberValueDatatype="130" unbalanced="0"/>
    <cacheHierarchy uniqueName="[WWWW].[Is sufficient soap available for TLS? (Yes/No)]" caption="Is sufficient soap available for TLS? (Yes/No)" attribute="1" defaultMemberUniqueName="[WWWW].[Is sufficient soap available for TLS? (Yes/No)].[All]" allUniqueName="[WWWW].[Is sufficient soap available for TLS? (Yes/No)].[All]" dimensionUniqueName="[WWWW]" displayFolder="" count="0" memberValueDatatype="130" unbalanced="0"/>
    <cacheHierarchy uniqueName="[WWWW].[#_Hygiene Promotion activities (sessions) in TLS?]" caption="#_Hygiene Promotion activities (sessions) in TLS?" attribute="1" defaultMemberUniqueName="[WWWW].[#_Hygiene Promotion activities (sessions) in TLS?].[All]" allUniqueName="[WWWW].[#_Hygiene Promotion activities (sessions) in TLS?].[All]" dimensionUniqueName="[WWWW]" displayFolder="" count="0" memberValueDatatype="20" unbalanced="0"/>
    <cacheHierarchy uniqueName="[WWWW].[% of students reached by HP activities]" caption="% of students reached by HP activities" attribute="1" defaultMemberUniqueName="[WWWW].[% of students reached by HP activities].[All]" allUniqueName="[WWWW].[% of students reached by HP activities].[All]" dimensionUniqueName="[WWWW]" displayFolder="" count="0" memberValueDatatype="5" unbalanced="0"/>
    <cacheHierarchy uniqueName="[WWWW].[Hygiene Comments]" caption="Hygiene Comments" attribute="1" defaultMemberUniqueName="[WWWW].[Hygiene Comments].[All]" allUniqueName="[WWWW].[Hygiene 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 of sanitation facilities (latrines) built/repaired/rehabilitated following risk-sensitive programm]" caption="# of sanitation facilities (latrines) built/repaired/rehabilitated following risk-sensitive programm" attribute="1" defaultMemberUniqueName="[WWWW].[# of sanitation facilities (latrines) built/repaired/rehabilitated following risk-sensitive programm].[All]" allUniqueName="[WWWW].[# of sanitation facilities (latrines) built/repaired/rehabilitated following risk-sensitive programm].[All]" dimensionUniqueName="[WWWW]" displayFolder="" count="0" memberValueDatatype="20" unbalanced="0"/>
    <cacheHierarchy uniqueName="[WWWW].[# of sanitation facilities (HH sanitation devices) distributed following risk-sensitive programming]" caption="# of sanitation facilities (HH sanitation devices) distributed following risk-sensitive programming" attribute="1" defaultMemberUniqueName="[WWWW].[# of sanitation facilities (HH sanitation devices) distributed following risk-sensitive programming].[All]" allUniqueName="[WWWW].[# of sanitation facilities (HH sanitation devices) distributed following risk-sensitive programming].[All]" dimensionUniqueName="[WWWW]" displayFolder="" count="0" memberValueDatatype="2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20" unbalanced="0"/>
    <cacheHierarchy uniqueName="[WWWW].[amount_of_MMK/Voucher_or_Token_distributed_per_HH/Family]" caption="amount_of_MMK/Voucher_or_Token_distributed_per_HH/Family" attribute="1" defaultMemberUniqueName="[WWWW].[amount_of_MMK/Voucher_or_Token_distributed_per_HH/Family].[All]" allUniqueName="[WWWW].[amount_of_MMK/Voucher_or_Token_distributed_per_HH/Family].[All]" dimensionUniqueName="[WWWW]" displayFolder="" count="0" memberValueDatatype="130" unbalanced="0"/>
    <cacheHierarchy uniqueName="[WWWW].[#_of_Family/HH_Reached]" caption="#_of_Family/HH_Reached" attribute="1" defaultMemberUniqueName="[WWWW].[#_of_Family/HH_Reached].[All]" allUniqueName="[WWWW].[#_of_Family/HH_Reached].[All]" dimensionUniqueName="[WWWW]" displayFolder="" count="0" memberValueDatatype="130" unbalanced="0"/>
    <cacheHierarchy uniqueName="[WWWW].[Date_of_Cash_distribution]" caption="Date_of_Cash_distribution" attribute="1" defaultMemberUniqueName="[WWWW].[Date_of_Cash_distribution].[All]" allUniqueName="[WWWW].[Date_of_Cash_distribution].[All]" dimensionUniqueName="[WWWW]" displayFolder="" count="0" memberValueDatatype="130" unbalanced="0"/>
    <cacheHierarchy uniqueName="[WWWW].[Cash_distributed_for_which_items]" caption="Cash_distributed_for_which_items" attribute="1" defaultMemberUniqueName="[WWWW].[Cash_distributed_for_which_items].[All]" allUniqueName="[WWWW].[Cash_distributed_for_which_items].[All]" dimensionUniqueName="[WWWW]" displayFolder="" count="0" memberValueDatatype="130" unbalanced="0"/>
    <cacheHierarchy uniqueName="[WWWW].[% of water sources passed]" caption="% of water sources passed" attribute="1" defaultMemberUniqueName="[WWWW].[% of water sources passed].[All]" allUniqueName="[WWWW].[% of water sources passed].[All]" dimensionUniqueName="[WWWW]" displayFolder="" count="0" memberValueDatatype="130" unbalanced="0"/>
    <cacheHierarchy uniqueName="[WWWW].[% Household passed]" caption="% Household passed" attribute="1" defaultMemberUniqueName="[WWWW].[% Household passed].[All]" allUniqueName="[WWWW].[% Household passed].[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Functional protected hand dug well]" caption="Functional protected hand dug well" attribute="1" defaultMemberUniqueName="[WWWW].[Functional protected hand dug well].[All]" allUniqueName="[WWWW].[Functional protected hand dug well].[All]" dimensionUniqueName="[WWWW]" displayFolder="" count="0" memberValueDatatype="20" unbalanced="0"/>
    <cacheHierarchy uniqueName="[WWWW].[Functional tube wells/boreholes/handpumps (including non-cluster partners)]" caption="Functional tube wells/boreholes/handpumps (including non-cluster partners)" attribute="1" defaultMemberUniqueName="[WWWW].[Functional tube wells/boreholes/handpumps (including non-cluster partners)].[All]" allUniqueName="[WWWW].[Functional tube wells/boreholes/handpumps (including non-cluster partners)].[All]" dimensionUniqueName="[WWWW]" displayFolder="" count="0" memberValueDatatype="20" unbalanced="0"/>
    <cacheHierarchy uniqueName="[WWWW].[Functional storage tank with gravity fed reticulation system]" caption="Functional storage tank with gravity fed reticulation system" attribute="1" defaultMemberUniqueName="[WWWW].[Functional storage tank with gravity fed reticulation system].[All]" allUniqueName="[WWWW].[Functional storage tank with gravity fed reticulation system].[All]" dimensionUniqueName="[WWWW]" displayFolder="" count="0" memberValueDatatype="20" unbalanced="0"/>
    <cacheHierarchy uniqueName="[WWWW].[Liters_Water boating or water trucking]" caption="Liters_Water boating or water trucking" attribute="1" defaultMemberUniqueName="[WWWW].[Liters_Water boating or water trucking].[All]" allUniqueName="[WWWW].[Liters_Water boating or water trucking].[All]" dimensionUniqueName="[WWWW]" displayFolder="" count="0" memberValueDatatype="5" unbalanced="0"/>
    <cacheHierarchy uniqueName="[WWWW].[Liters_Constructed water distribution system from river]" caption="Liters_Constructed water distribution system from river" attribute="1" defaultMemberUniqueName="[WWWW].[Liters_Constructed water distribution system from river].[All]" allUniqueName="[WWWW].[Liters_Constructed water distribution system from river].[All]" dimensionUniqueName="[WWWW]" displayFolder="" count="0" memberValueDatatype="20" unbalanced="0"/>
    <cacheHierarchy uniqueName="[WWWW].[# People access to functional water points or water provision supported by WASH partners in TLS/CFS_]" caption="# People access to functional water points or water provision supported by WASH partners in TLS/CFS_" attribute="1" defaultMemberUniqueName="[WWWW].[# People access to functional water points or water provision supported by WASH partners in TLS/CFS_].[All]" allUniqueName="[WWWW].[# People access to functional water points or water provision supported by WASH partners in TLS/CFS_].[All]" dimensionUniqueName="[WWWW]" displayFolder="" count="0" memberValueDatatype="20" unbalanced="0"/>
    <cacheHierarchy uniqueName="[WWWW].[# People access to functional water points or water provision supported by WASH partners in THF_HRP6]" caption="# People access to functional water points or water provision supported by WASH partners in THF_HRP6" attribute="1" defaultMemberUniqueName="[WWWW].[# People access to functional water points or water provision supported by WASH partners in THF_HRP6].[All]" allUniqueName="[WWWW].[# People access to functional water points or water provision supported by WASH partners in THF_HRP6].[All]" dimensionUniqueName="[WWWW]" displayFolder="" count="0" memberValueDatatype="20" unbalanced="0"/>
    <cacheHierarchy uniqueName="[WWWW].[# People access to functional water points or water provision supported by WASH partners in TLS/CFS/]" caption="# People access to functional water points or water provision supported by WASH partners in TLS/CFS/" attribute="1" defaultMemberUniqueName="[WWWW].[# People access to functional water points or water provision supported by WASH partners in TLS/CFS/].[All]" allUniqueName="[WWWW].[# People access to functional water points or water provision supported by WASH partners in TLS/CFS/].[All]" dimensionUniqueName="[WWWW]" displayFolder="" count="0" memberValueDatatype="130" unbalanced="0"/>
    <cacheHierarchy uniqueName="[WWWW].[Access to safe drinking water for Camp]" caption="Access to safe drinking water for Camp" attribute="1" defaultMemberUniqueName="[WWWW].[Access to safe drinking water for Camp].[All]" allUniqueName="[WWWW].[Access to safe drinking water for Camp].[All]" dimensionUniqueName="[WWWW]" displayFolder="" count="0" memberValueDatatype="130" unbalanced="0"/>
    <cacheHierarchy uniqueName="[WWWW].[Access to safe drinking water for Village]" caption="Access to safe drinking water for Village" attribute="1" defaultMemberUniqueName="[WWWW].[Access to safe drinking water for Village].[All]" allUniqueName="[WWWW].[Access to safe drinking water for Village].[All]" dimensionUniqueName="[WWWW]" displayFolder="" count="0" memberValueDatatype="130" unbalanced="0"/>
    <cacheHierarchy uniqueName="[WWWW].[%Equitable and continuous access to sufficient quantity of safe drinking water]" caption="%Equitable and continuous access to sufficient quantity of safe drinking water" attribute="1" defaultMemberUniqueName="[WWWW].[%Equitable and continuous access to sufficient quantity of safe drinking water].[All]" allUniqueName="[WWWW].[%Equitable and continuous access to sufficient quantity of safe drinking water].[All]" dimensionUniqueName="[WWWW]" displayFolder="" count="0" memberValueDatatype="130" unbalanced="0"/>
    <cacheHierarchy uniqueName="[WWWW].[# people with equitable and continuous access to sufficient quantity of safe drinking water]" caption="# people with equitable and continuous access to sufficient quantity of safe drinking water" attribute="1" defaultMemberUniqueName="[WWWW].[# people with equitable and continuous access to sufficient quantity of safe drinking water].[All]" allUniqueName="[WWWW].[# people with equitable and continuous access to sufficient quantity of safe drinking water].[All]" dimensionUniqueName="[WWWW]" displayFolder="" count="0" memberValueDatatype="5" unbalanced="0"/>
    <cacheHierarchy uniqueName="[WWWW].[% Access to unimproved water points]" caption="% Access to unimproved water points" attribute="1" defaultMemberUniqueName="[WWWW].[% Access to unimproved water points].[All]" allUniqueName="[WWWW].[% Access to unimproved water points].[All]" dimensionUniqueName="[WWWW]" displayFolder="" count="0" memberValueDatatype="5" unbalanced="0"/>
    <cacheHierarchy uniqueName="[WWWW].[#People access to unimproved water sources]" caption="#People access to unimproved water sources" attribute="1" defaultMemberUniqueName="[WWWW].[#People access to unimproved water sources].[All]" allUniqueName="[WWWW].[#People access to unimproved water sources].[All]" dimensionUniqueName="[WWWW]" displayFolder="" count="0" memberValueDatatype="5" unbalanced="0"/>
    <cacheHierarchy uniqueName="[WWWW].[% Equitable and continuous access to sufficient quantity of domestic water]" caption="% Equitable and continuous access to sufficient quantity of domestic water" attribute="1" defaultMemberUniqueName="[WWWW].[% Equitable and continuous access to sufficient quantity of domestic water].[All]" allUniqueName="[WWWW].[% Equitable and continuous access to sufficient quantity of domestic water].[All]" dimensionUniqueName="[WWWW]" displayFolder="" count="0" memberValueDatatype="5" unbalanced="0"/>
    <cacheHierarchy uniqueName="[WWWW].[HRP1]" caption="HRP1" attribute="1" defaultMemberUniqueName="[WWWW].[HRP1].[All]" allUniqueName="[WWWW].[HRP1].[All]" dimensionUniqueName="[WWWW]" displayFolder="" count="0" memberValueDatatype="5"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5"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5"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 of Functioning latrine]" caption="# of Functioning latrine" attribute="1" defaultMemberUniqueName="[WWWW].[# of Functioning latrine].[All]" allUniqueName="[WWWW].[# of Functioning latrine].[All]" dimensionUniqueName="[WWWW]" displayFolder="" count="0" memberValueDatatype="20" unbalanced="0"/>
    <cacheHierarchy uniqueName="[WWWW].[% people access to functioning Latrine]" caption="% people access to functioning Latrine" attribute="1" defaultMemberUniqueName="[WWWW].[% people access to functioning Latrine].[All]" allUniqueName="[WWWW].[% people access to functioning Latrine].[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 people access to continuous sanitation services desluding]" caption="# people access to continuous sanitation services desluding" attribute="1" defaultMemberUniqueName="[WWWW].[# people access to continuous sanitation services desluding].[All]" allUniqueName="[WWWW].[# people access to continuous sanitation services desluding].[All]" dimensionUniqueName="[WWWW]" displayFolder="" count="0" memberValueDatatype="20"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6]" caption="# People access to functioning latrines in THF_HRP6" attribute="1" defaultMemberUniqueName="[WWWW].[# People access to functioning latrines in THF_HRP6].[All]" allUniqueName="[WWWW].[# People access to functioning latrines in THF_HRP6].[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20"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20" unbalanced="0"/>
    <cacheHierarchy uniqueName="[WWWW].[HRP3]" caption="HRP3" attribute="1" defaultMemberUniqueName="[WWWW].[HRP3].[All]" allUniqueName="[WWWW].[HRP3].[All]" dimensionUniqueName="[WWWW]" displayFolder="" count="0" memberValueDatatype="20" unbalanced="0"/>
    <cacheHierarchy uniqueName="[WWWW].[Hygiene Coverage%]" caption="Hygiene Coverage%" attribute="1" defaultMemberUniqueName="[WWWW].[Hygiene Coverage%].[All]" allUniqueName="[WWWW].[Hygiene Coverage%].[All]" dimensionUniqueName="[WWWW]" displayFolder="" count="0" memberValueDatatype="130" unbalanced="0"/>
    <cacheHierarchy uniqueName="[WWWW].[Hygiene Gap%]" caption="Hygiene Gap%" attribute="1" defaultMemberUniqueName="[WWWW].[Hygiene Gap%].[All]" allUniqueName="[WWWW].[Hygiene Gap%].[All]" dimensionUniqueName="[WWWW]" displayFolder="" count="0" memberValueDatatype="130"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130" unbalanced="0"/>
    <cacheHierarchy uniqueName="[WWWW].[%HH with access to soap]" caption="%HH with access to soap" attribute="1" defaultMemberUniqueName="[WWWW].[%HH with access to soap].[All]" allUniqueName="[WWWW].[%HH with access to soap].[All]" dimensionUniqueName="[WWWW]" displayFolder="" count="0" memberValueDatatype="130" unbalanced="0"/>
    <cacheHierarchy uniqueName="[WWWW].[% of HH with access to Sanitary Pad]" caption="% of HH with access to Sanitary Pad" attribute="1" defaultMemberUniqueName="[WWWW].[% of HH with access to Sanitary Pad].[All]" allUniqueName="[WWWW].[% of HH with access to Sanitary Pad].[All]" dimensionUniqueName="[WWWW]" displayFolder="" count="0" memberValueDatatype="130" unbalanced="0"/>
    <cacheHierarchy uniqueName="[WWWW].[# Functional hand washing stations during reporting period]" caption="# Functional hand washing stations during reporting period" attribute="1" defaultMemberUniqueName="[WWWW].[# Functional hand washing stations during reporting period].[All]" allUniqueName="[WWWW].[# Functional hand washing stations during reporting period].[All]" dimensionUniqueName="[WWWW]" displayFolder="" count="0" memberValueDatatype="20" unbalanced="0"/>
    <cacheHierarchy uniqueName="[WWWW].[#HH with access to Hand Washing Station]" caption="#HH with access to Hand Washing Station" attribute="1" defaultMemberUniqueName="[WWWW].[#HH with access to Hand Washing Station].[All]" allUniqueName="[WWWW].[#HH with access to Hand Washing Station].[All]" dimensionUniqueName="[WWWW]" displayFolder="" count="0" memberValueDatatype="20" unbalanced="0"/>
    <cacheHierarchy uniqueName="[WWWW].[# of hand washing stations with soap in TLS]" caption="# of hand washing stations with soap in TLS" attribute="1" defaultMemberUniqueName="[WWWW].[# of hand washing stations with soap in TLS].[All]" allUniqueName="[WWWW].[# of hand washing stations with soap in TLS].[All]" dimensionUniqueName="[WWWW]" displayFolder="" count="0" memberValueDatatype="20" unbalanced="0"/>
    <cacheHierarchy uniqueName="[WWWW].[# People access to Handwashing Station]" caption="# People access to Handwashing Station" attribute="1" defaultMemberUniqueName="[WWWW].[# People access to Handwashing Station].[All]" allUniqueName="[WWWW].[# People access to Handwashing Station].[All]" dimensionUniqueName="[WWWW]" displayFolder="" count="0" memberValueDatatype="20"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130" unbalanced="0"/>
    <cacheHierarchy uniqueName="[WWWW].[# of affected people surveyed who report feeling satistfied with the latrine design and sanitation s]" caption="# of affected people surveyed who report feeling satistfied with the latrine design and sanitation s" attribute="1" defaultMemberUniqueName="[WWWW].[# of affected people surveyed who report feeling satistfied with the latrine design and sanitation s].[All]" allUniqueName="[WWWW].[# of affected people surveyed who report feeling satistfied with the latrine design and sanitation s].[All]" dimensionUniqueName="[WWWW]" displayFolder="" count="0" memberValueDatatype="5" unbalanced="0"/>
    <cacheHierarchy uniqueName="[WWWW].[# of affected people surveyed who report feeling satistfied with the water point design and water se]" caption="# of affected people surveyed who report feeling satistfied with the water point design and water se" attribute="1" defaultMemberUniqueName="[WWWW].[# of affected people surveyed who report feeling satistfied with the water point design and water se].[All]" allUniqueName="[WWWW].[# of affected people surveyed who report feeling satistfied with the water point design and water se].[All]" dimensionUniqueName="[WWWW]" displayFolder="" count="0" memberValueDatatype="5" unbalanced="0"/>
    <cacheHierarchy uniqueName="[WWWW].[# complaints received that result in timely, corrective action and feedback to the community]" caption="# complaints received that result in timely, corrective action and feedback to the community" attribute="1" defaultMemberUniqueName="[WWWW].[# complaints received that result in timely, corrective action and feedback to the community].[All]" allUniqueName="[WWWW].[# complaints received that result in timely, corrective action and feedback to the community].[All]" dimensionUniqueName="[WWWW]" displayFolder="" count="0" memberValueDatatype="5" unbalanced="0"/>
    <cacheHierarchy uniqueName="[WWWW].[HRP4]" caption="HRP4" attribute="1" defaultMemberUniqueName="[WWWW].[HRP4].[All]" allUniqueName="[WWWW].[HRP4].[All]" dimensionUniqueName="[WWWW]" displayFolder="" count="0" memberValueDatatype="5" unbalanced="0"/>
    <cacheHierarchy uniqueName="[WWWW].[HRP5]" caption="HRP5" attribute="1" defaultMemberUniqueName="[WWWW].[HRP5].[All]" allUniqueName="[WWWW].[HRP5].[All]" dimensionUniqueName="[WWWW]" displayFolder="" count="0" memberValueDatatype="20" unbalanced="0"/>
    <cacheHierarchy uniqueName="[WWWW].[HRP6]" caption="HRP6" attribute="1" defaultMemberUniqueName="[WWWW].[HRP6].[All]" allUniqueName="[WWWW].[HRP6].[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130" unbalanced="0"/>
    <cacheHierarchy uniqueName="[WWWW].[Long]" caption="Long" attribute="1" defaultMemberUniqueName="[WWWW].[Long].[All]" allUniqueName="[WWWW].[Long].[All]" dimensionUniqueName="[WWWW]" displayFolder="" count="0" memberValueDatatype="130"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2" memberValueDatatype="130" unbalanced="0">
      <fieldsUsage count="2">
        <fieldUsage x="-1"/>
        <fieldUsage x="1"/>
      </fieldsUsage>
    </cacheHierarchy>
    <cacheHierarchy uniqueName="[WWWW].[Remark]" caption="Remark" attribute="1" defaultMemberUniqueName="[WWWW].[Remark].[All]" allUniqueName="[WWWW].[Remark].[All]" dimensionUniqueName="[WWWW]" displayFolder="" count="0" memberValueDatatype="130" unbalanced="0"/>
    <cacheHierarchy uniqueName="[WWWW].[checking]" caption="checking" attribute="1" defaultMemberUniqueName="[WWWW].[checking].[All]" allUniqueName="[WWWW].[checking].[All]" dimensionUniqueName="[WWWW]" displayFolder="" count="0" memberValueDatatype="130" unbalanced="0"/>
    <cacheHierarchy uniqueName="[WWWW].[HH]" caption="HH" attribute="1" defaultMemberUniqueName="[WWWW].[HH].[All]" allUniqueName="[WWWW].[HH].[All]" dimensionUniqueName="[WWWW]" displayFolder="" count="0" memberValueDatatype="130" unbalanced="0"/>
    <cacheHierarchy uniqueName="[WWWW].[Population]" caption="Population" attribute="1" defaultMemberUniqueName="[WWWW].[Population].[All]" allUniqueName="[WWWW].[Population].[All]" dimensionUniqueName="[WWWW]" displayFolder="" count="0" memberValueDatatype="13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3"/>
      </fieldsUsage>
      <extLst>
        <ext xmlns:x15="http://schemas.microsoft.com/office/spreadsheetml/2010/11/main" uri="{B97F6D7D-B522-45F9-BDA1-12C45D357490}">
          <x15:cacheHierarchy aggregatedColumn="7"/>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159.654640393521" createdVersion="7" refreshedVersion="7" minRefreshableVersion="3" recordCount="105" xr:uid="{C9754723-A904-468B-8792-4986E45A2B8B}">
  <cacheSource type="worksheet">
    <worksheetSource name="Table912"/>
  </cacheSource>
  <cacheFields count="3">
    <cacheField name="State" numFmtId="0">
      <sharedItems containsBlank="1" count="11">
        <s v="Kachin"/>
        <s v="Shan (North)"/>
        <s v="Rakhine"/>
        <s v="Chin"/>
        <s v="Kayah"/>
        <s v="Kayin"/>
        <s v="Shan (South)"/>
        <s v="Magway"/>
        <s v="Mon"/>
        <s v="Sagaing"/>
        <m/>
      </sharedItems>
    </cacheField>
    <cacheField name="Acronym" numFmtId="0">
      <sharedItems containsBlank="1" count="60">
        <s v="IRC"/>
        <s v="KBC"/>
        <s v="KMSS"/>
        <s v="Metta"/>
        <s v="Shalom"/>
        <s v="SI"/>
        <s v="STW"/>
        <s v="UNICEF"/>
        <s v="WPN"/>
        <s v="HPA"/>
        <s v="GLAD"/>
        <s v="CARE"/>
        <s v="Meikswe MM"/>
        <s v="SCI"/>
        <s v="CDA"/>
        <s v="Oxfam"/>
        <s v="RI"/>
        <s v="CHRO"/>
        <s v="MA-UK"/>
        <s v="PIN"/>
        <s v="TGH-RCDF"/>
        <s v="Alinn BLDO"/>
        <s v="DRC"/>
        <s v="MHAA"/>
        <s v="JRS"/>
        <s v="RfP"/>
        <s v="ADRA"/>
        <s v="ACF"/>
        <s v="CERA"/>
        <s v="ARE"/>
        <s v="YCIBO"/>
        <s v="CFSI"/>
        <s v="ERT"/>
        <s v="MF"/>
        <s v="FLER"/>
        <s v="MA_UK"/>
        <s v="SDF"/>
        <s v="TLDA"/>
        <s v="ALARM"/>
        <s v="TEF"/>
        <s v="MRT"/>
        <s v="MSF"/>
        <s v="NRC"/>
        <s v="GSM"/>
        <s v="CIDKP"/>
        <s v="GN"/>
        <s v="CDN"/>
        <s v="LWF"/>
        <s v="TGH-GJ"/>
        <s v="UNHCR"/>
        <s v="WFP"/>
        <s v="AYO"/>
        <s v="Swe Tha Har"/>
        <s v="PDN"/>
        <s v="Shwe Inn Thu"/>
        <s v="SKSHG"/>
        <s v="YVO"/>
        <m/>
        <s v="Meikswe Myanmar" u="1"/>
        <s v="ALinn BLDO " u="1"/>
      </sharedItems>
    </cacheField>
    <cacheField name="reporting"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159.654640509259" createdVersion="6" refreshedVersion="7" minRefreshableVersion="3" recordCount="74" xr:uid="{F2DC6D15-FFB0-4EB3-9F86-717018A7F5AA}">
  <cacheSource type="worksheet">
    <worksheetSource name="Table9"/>
  </cacheSource>
  <cacheFields count="3">
    <cacheField name="State" numFmtId="0">
      <sharedItems containsBlank="1" count="12">
        <s v="Kachin"/>
        <s v="Shan (North)"/>
        <s v="Rakhine"/>
        <s v="Chin"/>
        <s v="Magway"/>
        <s v="Sagaing"/>
        <s v="Kayin"/>
        <s v="Mon"/>
        <m/>
        <s v="Shan (South)" u="1"/>
        <s v="Kayah" u="1"/>
        <s v="Bago (East)" u="1"/>
      </sharedItems>
    </cacheField>
    <cacheField name="Acronym" numFmtId="0">
      <sharedItems containsBlank="1" count="56">
        <s v="IRC"/>
        <s v="KBC"/>
        <s v="KMSS"/>
        <s v="Metta"/>
        <s v="Shalom"/>
        <s v="SI"/>
        <s v="STW"/>
        <s v="UNICEF"/>
        <s v="WPN"/>
        <s v="HPA"/>
        <s v="GLAD"/>
        <s v="CARE"/>
        <s v="Meikswe Myanmar"/>
        <s v="SCI"/>
        <s v="CDA"/>
        <s v="Oxfam"/>
        <s v="RI"/>
        <s v="DRC"/>
        <s v="MA_UK"/>
        <s v="TLDA"/>
        <s v="SDF"/>
        <s v="ALARM"/>
        <s v="TEF"/>
        <s v="Meikswe MM"/>
        <s v="MA-UK"/>
        <s v="PIN"/>
        <s v="CHRO"/>
        <s v="TGH-RCDF"/>
        <s v="GN"/>
        <s v="ACF"/>
        <s v="AYO"/>
        <s v="Swe Tha Har"/>
        <s v="CDN"/>
        <s v="TGH-GJ"/>
        <s v="CERA"/>
        <s v="LWF"/>
        <s v="WFP"/>
        <s v="UNHCR"/>
        <s v="ADRA"/>
        <s v="CIDKP"/>
        <s v="Alinn BLDO"/>
        <m/>
        <s v="W_138" u="1"/>
        <s v="IRW" u="1"/>
        <s v="W_137" u="1"/>
        <s v="W_121" u="1"/>
        <s v="SCI / ICRC" u="1"/>
        <s v="W_098" u="1"/>
        <s v="ICRC" u="1"/>
        <s v="OXSI (Oxfam)" u="1"/>
        <s v="W_005" u="1"/>
        <s v="OXSI (SI)" u="1"/>
        <s v="W_070" u="1"/>
        <s v="Nway Htwe Thaw Yin Khwin" u="1"/>
        <s v="W_057" u="1"/>
        <s v="Metta " u="1"/>
      </sharedItems>
    </cacheField>
    <cacheField name="reporting"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159.654640740744" createdVersion="7" refreshedVersion="7" minRefreshableVersion="3" recordCount="47" xr:uid="{8A2F6903-FAF1-4DB2-A0C3-964E1F478579}">
  <cacheSource type="worksheet">
    <worksheetSource name="Table1215"/>
  </cacheSource>
  <cacheFields count="2">
    <cacheField name="Acronym" numFmtId="0">
      <sharedItems/>
    </cacheField>
    <cacheField name="Type" numFmtId="0">
      <sharedItems count="5">
        <s v="International NGO"/>
        <s v="CSO"/>
        <s v="National NGO"/>
        <s v="Red Cross"/>
        <s v="United Nations"/>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159.654640856483" createdVersion="7" refreshedVersion="7" minRefreshableVersion="3" recordCount="107" xr:uid="{87A334E5-60EE-4591-865F-BD8FCBEB6498}">
  <cacheSource type="worksheet">
    <worksheetSource name="Table1114"/>
  </cacheSource>
  <cacheFields count="3">
    <cacheField name="State" numFmtId="0">
      <sharedItems count="11">
        <s v="Bago (East)"/>
        <s v="Chin"/>
        <s v="Kachin"/>
        <s v="Kayah"/>
        <s v="Kayin"/>
        <s v="Magway"/>
        <s v="Mon"/>
        <s v="Rakhine"/>
        <s v="Sagaing"/>
        <s v="Shan (North)"/>
        <s v="Shan (South)"/>
      </sharedItems>
    </cacheField>
    <cacheField name="Acronym" numFmtId="0">
      <sharedItems count="48">
        <s v="PWJ"/>
        <s v="UNICEF"/>
        <s v="CARE"/>
        <s v="CHRO"/>
        <s v="KMSS"/>
        <s v="MA_UK"/>
        <s v="PIN"/>
        <s v="SCI"/>
        <s v="TGH-RCDF"/>
        <s v="ICRC"/>
        <s v="KBC"/>
        <s v="STW"/>
        <s v="WCM"/>
        <s v="KyWO"/>
        <s v="MC"/>
        <s v="WDC"/>
        <s v="ADRA"/>
        <s v="CIDKP"/>
        <s v="TWG"/>
        <s v="NHTYK"/>
        <s v="CDN"/>
        <s v="CERA"/>
        <s v="DRC"/>
        <s v="IRC"/>
        <s v="LWF"/>
        <s v="RI"/>
        <s v="SI"/>
        <s v="TGH-GJ"/>
        <s v="WFP"/>
        <s v="ACF"/>
        <s v="AYO"/>
        <s v="Swe Tha Har"/>
        <s v="Metta"/>
        <s v="MM"/>
        <s v="HPA"/>
        <s v="Shalom"/>
        <s v="WPN"/>
        <s v="CDA"/>
        <s v="OXFAM"/>
        <s v="WVI"/>
        <s v="IRW"/>
        <s v="Malteser"/>
        <s v="PSSAG"/>
        <s v="SDF"/>
        <s v="TLDA"/>
        <s v="GLAD"/>
        <s v="SPMO"/>
        <s v="MA-UK" u="1"/>
      </sharedItems>
    </cacheField>
    <cacheField name="reporting" numFmtId="0">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159.654641319445" createdVersion="6" refreshedVersion="7" minRefreshableVersion="3" recordCount="401" xr:uid="{00000000-000A-0000-FFFF-FFFF00000000}">
  <cacheSource type="worksheet">
    <worksheetSource name="WWWW"/>
  </cacheSource>
  <cacheFields count="160">
    <cacheField name="Reporting Period" numFmtId="167">
      <sharedItems containsBlank="1" count="28">
        <s v="2023_Q1"/>
        <s v="2023_Q2"/>
        <m u="1"/>
        <s v="2022_Q1" u="1"/>
        <s v="2022_Q2" u="1"/>
        <s v="2021_Q1" u="1"/>
        <s v="2022_Q3" u="1"/>
        <s v="2018-Q1" u="1"/>
        <s v="2021_Q2" u="1"/>
        <s v="2022_Q4" u="1"/>
        <s v="2020_Q1" u="1"/>
        <s v="2021_Q3" u="1"/>
        <s v="2018  Q1" u="1"/>
        <s v="2020_Q2" u="1"/>
        <s v="2021_Q4" u="1"/>
        <s v="2019_Q1" u="1"/>
        <s v="2020_Q3" u="1"/>
        <s v="2019_Q2" u="1"/>
        <s v="2020_Q4" u="1"/>
        <s v="2018_Q1" u="1"/>
        <s v="2019_Q3" u="1"/>
        <s v="2018_Q2" u="1"/>
        <s v="2019_Q4" u="1"/>
        <s v="2018_Q3" u="1"/>
        <s v="2018_Q4" u="1"/>
        <s v="2017_Q3" u="1"/>
        <s v="2017_Q4" u="1"/>
        <s v="2018 -Q1" u="1"/>
      </sharedItems>
    </cacheField>
    <cacheField name="WASH project agency" numFmtId="0">
      <sharedItems containsBlank="1" count="75">
        <s v="CARE"/>
        <s v="HPA"/>
        <s v="IRC"/>
        <s v="KBC"/>
        <s v="KBC, IRC"/>
        <s v="KBC, IRC, Shalom"/>
        <s v="KBC, Metta"/>
        <s v="KBC,IRC"/>
        <s v="KMSS"/>
        <s v="Metta"/>
        <s v="Metta, GLAD"/>
        <s v="Metta, KMSS"/>
        <s v="Metta, Shalom"/>
        <s v="None"/>
        <s v="Shalom"/>
        <s v="SI"/>
        <s v="STW"/>
        <s v="WPN"/>
        <s v="KBC_HDD"/>
        <s v="SCI"/>
        <m u="1"/>
        <s v="OXSI(Oxfam), MA_UK" u="1"/>
        <s v="CARE International in Myanmar" u="1"/>
        <s v="MRCS" u="1"/>
        <s v="MRCS,Others/ WVI" u="1"/>
        <s v="MRCS,Others,UNICEF/ACF" u="1"/>
        <s v="PIN" u="1"/>
        <s v="KMSS, KBC" u="1"/>
        <s v="MRCS,others" u="1"/>
        <s v="MA_UK" u="1"/>
        <s v="OXSI (Oxfam),ACF" u="1"/>
        <s v="Others/ WVI" u="1"/>
        <s v="KBC, KMSS" u="1"/>
        <s v="SI, Shalom" u="1"/>
        <s v="Others,MRCS" u="1"/>
        <s v="Others" u="1"/>
        <s v="WPN,HPA" u="1"/>
        <s v="MRCS, PLAN, RI,Others" u="1"/>
        <s v="KMSS,METTA" u="1"/>
        <s v="UNICEF" u="1"/>
        <s v="ACF" u="1"/>
        <s v="DRC" u="1"/>
        <s v="UNICEF,Others" u="1"/>
        <s v="UNICEF, IRC" u="1"/>
        <s v="PIN,IRC,WCM" u="1"/>
        <s v="MRCS, PLAN, RI" u="1"/>
        <s v="IRC, WCM" u="1"/>
        <s v="MRCS, Others" u="1"/>
        <s v="CDA" u="1"/>
        <s v="GIZ" u="1"/>
        <s v="KBC,HPA" u="1"/>
        <s v="SI,KBC" u="1"/>
        <s v="WVI" u="1"/>
        <s v="OXSI (Oxfam)" u="1"/>
        <s v="Metta, KMSS," u="1"/>
        <s v="RI" u="1"/>
        <s v="Metta, KMSS, GLAD" u="1"/>
        <s v="PIN,IRC" u="1"/>
        <s v="MRCS,Others,UNICEF" u="1"/>
        <s v="UNICEF,IRC" u="1"/>
        <s v="KMSS, METTA" u="1"/>
        <s v="CARE,Others" u="1"/>
        <s v="KBC,PIN" u="1"/>
        <s v="OXSI (SI)" u="1"/>
        <s v="SI/Shalom" u="1"/>
        <s v="SCI,Metta" u="1"/>
        <s v="MRCS,UNICEF" u="1"/>
        <s v="WCM" u="1"/>
        <s v="OXSI (SI), ACF" u="1"/>
        <s v="KBC, PIN" u="1"/>
        <s v="Malteser" u="1"/>
        <s v="SCI, Metta" u="1"/>
        <s v="PIN/ KBC, SI" u="1"/>
        <s v="Metta,KBC" u="1"/>
        <s v="CDN" u="1"/>
      </sharedItems>
    </cacheField>
    <cacheField name="WASH implementing agency" numFmtId="0">
      <sharedItems containsBlank="1" count="82">
        <s v="Meikswe MM"/>
        <s v="Meikswe Myanmar"/>
        <s v="HPA"/>
        <s v="KBC"/>
        <s v="KBC, Shalom"/>
        <s v="KBC, Metta"/>
        <s v="KMSS"/>
        <s v="Metta"/>
        <s v="Metta, GLAD"/>
        <s v="Metta, KMSS"/>
        <s v="Metta, Shalom"/>
        <s v="None"/>
        <s v="Shalom"/>
        <s v="SI"/>
        <s v="STW"/>
        <s v="WPN"/>
        <s v="Shalom, STW"/>
        <s v="Metta, STW"/>
        <s v="Metta, Shalom, STW"/>
        <s v="SI, Shalom"/>
        <s v="KBC_HDD"/>
        <s v="KBC_HDD,IRC"/>
        <s v="KBC, Metta, STW "/>
        <s v="KBC, STW"/>
        <s v="KBC, Metta, STW"/>
        <s v="KBC, KMSS"/>
        <s v="KBC_HDD, IRC"/>
        <s v="KBC_HDD/IRC"/>
        <s v="UNICEF, METTA"/>
        <s v="SCI"/>
        <m u="1"/>
        <s v="CHAD" u="1"/>
        <s v="OXSI(Oxfam), MA_UK" u="1"/>
        <s v="MRCS" u="1"/>
        <s v="MRCS,Others/ WVI" u="1"/>
        <s v="KMSS, KBC" u="1"/>
        <s v="MRCS,others" u="1"/>
        <s v="MA_UK" u="1"/>
        <s v="Others/ WVI" u="1"/>
        <s v="MHDO" u="1"/>
        <s v="SI, KBC" u="1"/>
        <s v="Others,MRCS" u="1"/>
        <s v="Others" u="1"/>
        <s v="WPN,HPA" u="1"/>
        <s v="MRCS, PLAN, RI,Others" u="1"/>
        <s v="KBC,STW" u="1"/>
        <s v="Shalom, Metta" u="1"/>
        <s v="KMSS,METTA" u="1"/>
        <s v="UNICEF" u="1"/>
        <s v="KBC/IRC" u="1"/>
        <s v="ACF" u="1"/>
        <s v="DRC" u="1"/>
        <s v="KBC, SI" u="1"/>
        <s v="MRCS, ACF" u="1"/>
        <s v="UNICEF/ UNHCR/UNFPA" u="1"/>
        <s v="UNICEF,Others" u="1"/>
        <s v="KBC, Metta,STW,WC" u="1"/>
        <s v="WFP" u="1"/>
        <s v="MRCS, PLAN, RI" u="1"/>
        <s v="MRCS, Others" u="1"/>
        <s v="MRCS,Others,ACF" u="1"/>
        <s v="CDA" u="1"/>
        <s v="GIZ" u="1"/>
        <s v="KBC,HPA" u="1"/>
        <s v="SI,KBC" u="1"/>
        <s v="OXSI (Oxfam)" u="1"/>
        <s v="RI" u="1"/>
        <s v="Metta, KMSS, GLAD" u="1"/>
        <s v="CARE" u="1"/>
        <s v="KMSS, METTA" u="1"/>
        <s v="CARE,Others" u="1"/>
        <s v="OXSI (SI)" u="1"/>
        <s v="SI/Shalom" u="1"/>
        <s v="SCI,Metta" u="1"/>
        <s v="WCM" u="1"/>
        <s v="Metta, KMSS, " u="1"/>
        <s v="Malteser" u="1"/>
        <s v="SCI, Metta" u="1"/>
        <s v="PIN/ KBC, SI" u="1"/>
        <s v="Metta,KBC" u="1"/>
        <s v="CDN" u="1"/>
        <s v="MRCS,ACF" u="1"/>
      </sharedItems>
    </cacheField>
    <cacheField name="Primary Donor covering WASH activities at site " numFmtId="0">
      <sharedItems containsBlank="1"/>
    </cacheField>
    <cacheField name="State" numFmtId="0">
      <sharedItems containsBlank="1" count="6">
        <s v="Shan (North)"/>
        <s v="Kachin"/>
        <m u="1"/>
        <s v="Central Rakhine" u="1"/>
        <s v="Rakhine" u="1"/>
        <s v="Northern Rakhine" u="1"/>
      </sharedItems>
    </cacheField>
    <cacheField name="Township" numFmtId="0">
      <sharedItems containsBlank="1" count="48">
        <s v="Hsipaw"/>
        <s v="Lashio"/>
        <s v="Muse"/>
        <s v="Laukkaing (Kokang SAZ)"/>
        <s v="Momauk"/>
        <s v="Chipwi"/>
        <s v="Hpakant"/>
        <s v="Mansi"/>
        <s v="Mogaung"/>
        <s v="Mohnyin"/>
        <s v="Myitkyina"/>
        <s v="Shwegu"/>
        <s v="Sumprabum"/>
        <s v="Tanai"/>
        <s v="Waingmaw"/>
        <s v="Bhamo"/>
        <s v="Hseni"/>
        <s v="Kutkai"/>
        <s v="Kyaukme"/>
        <s v="Manton"/>
        <s v="Namhkan"/>
        <s v="Namtu"/>
        <s v="Injangyang"/>
        <s v="Tangyan "/>
        <s v="Tangyan"/>
        <m u="1"/>
        <s v="Mohyin" u="1"/>
        <s v="Kyauktaw" u="1"/>
        <s v="Nawnghkio" u="1"/>
        <s v="Pangsang" u="1"/>
        <s v="Namhsan" u="1"/>
        <s v="Minbya" u="1"/>
        <s v="Ann" u="1"/>
        <s v="Pauktaw" u="1"/>
        <s v="Namatee" u="1"/>
        <s v="Myebon" u="1"/>
        <s v="Puta-O" u="1"/>
        <s v="Buthidaung " u="1"/>
        <s v="Maungdaw" u="1"/>
        <s v="Ponnagyun" u="1"/>
        <s v="Kyaukpyu" u="1"/>
        <s v="Sittwe" u="1"/>
        <s v="Rathedaung" u="1"/>
        <s v="Mai Ja Yang " u="1"/>
        <s v="Mrauk-U" u="1"/>
        <s v="Buthidaung" u="1"/>
        <s v="Ramree" u="1"/>
        <s v="Laukkaing" u="1"/>
      </sharedItems>
    </cacheField>
    <cacheField name="Location Type" numFmtId="0">
      <sharedItems count="15">
        <s v="Camp"/>
        <s v="Extenshion_camp"/>
        <s v="Camp_not registered"/>
        <s v="Relocated"/>
        <s v="Resettlement" u="1"/>
        <s v="return" u="1"/>
        <s v="Town_New_Displaced" u="1"/>
        <s v="Town" u="1"/>
        <e v="#N/A" u="1"/>
        <s v="New Temporary Site" u="1"/>
        <s v="Village_New_Displaced" u="1"/>
        <s v="New Site" u="1"/>
        <s v="Camp not registered" u="1"/>
        <s v="Village" u="1"/>
        <s v="Village_Not HRP" u="1"/>
      </sharedItems>
    </cacheField>
    <cacheField name="Site Name" numFmtId="0">
      <sharedItems containsBlank="1" count="1102">
        <s v="Man Kaung/Naung Ti Kyar Village"/>
        <s v="Kaung Nyaung Ywar Thit (Ho Piek gyi)"/>
        <s v="Hka San Baptist church "/>
        <s v="Hpai Kawng"/>
        <s v="His Aw (Chyu Fan) "/>
        <s v="Momauk IDP new extension camp (Kye Nan)"/>
        <s v="Hpare Hkyer - BP6"/>
        <s v="Hlaing Naung Baptist"/>
        <s v="Muyin church (Aung Yar pre-school compound)"/>
        <s v="Shar Du Zut KBC church "/>
        <s v="Maing Khaung"/>
        <s v="Kyun Taw Baptist Church "/>
        <s v="Ma Hawng Baptist Church"/>
        <s v="Namatee Kan Hla AG"/>
        <s v="Namti Labraw Yang KBC Camp"/>
        <s v="Nat Gyi Kone Baptist Church "/>
        <s v="Nawng Ing (Indawgyi) Baptist Church "/>
        <s v="Je Yang Hka "/>
        <s v="Laiza Je Yang School"/>
        <s v="Du Kahtawng Baptist"/>
        <s v="Jan Mai Kawng Baptist Church"/>
        <s v="Le Kone Bethlehem Church"/>
        <s v="Maliyang Baptist Church"/>
        <s v="Njang Dung Baptist Church "/>
        <s v="Tat Kone Baptist Church"/>
        <s v="Tat Kone Galile Baptist Church"/>
        <s v="Tat Kone San Pya Baptist Church"/>
        <s v="Trinity Camp"/>
        <s v="Pang Hkawn Yang"/>
        <s v="Ndup Yang"/>
        <s v="Salang Yang"/>
        <s v="Tanai KBC Camp"/>
        <s v="Mading Baptist Church"/>
        <s v="Maina KBC (Bawng Ring)"/>
        <s v="Maina Lawang Baptist Church"/>
        <s v="Qtr. 2 Myoma Baptist Church"/>
        <s v="Shing Jai"/>
        <s v="Jaw Masat Camp"/>
        <s v="Le Kone Ziun Baptist Church "/>
        <s v="Man Hkring Baptist Church"/>
        <s v="Shatapru Sut Ngai Tawng"/>
        <s v="Shwe Zet Baptist Church"/>
        <s v="Hkau Shau (BP 12)"/>
        <s v="Maga Yang "/>
        <s v="Pajau - Jan Mai"/>
        <s v="Sha-It Yang"/>
        <s v="Waimaw Baptist Zonal Office 2"/>
        <s v="Agritural Compound (KBC)"/>
        <s v="Kachin Su Baptist Church (ECCD)"/>
        <s v="Momauk KBC church"/>
        <s v="Shwe Gu Baptist Church"/>
        <s v="Sar Hmaw - KBC"/>
        <s v="Karmaing RC Church"/>
        <s v="Lone Khin Catholic Church"/>
        <s v="Nant Ma Hpit Catholic Church"/>
        <s v="Maing Khaung Catholic Church"/>
        <s v="St.Francis RCC 1"/>
        <s v="St.Francis RCC 2"/>
        <s v="Dum Bung "/>
        <s v="Jan Mai Kawng Catholic Church"/>
        <s v="Ka Bu Dam CoC"/>
        <s v="Nan Kway St. John Catholic Church"/>
        <s v="Pa Dauk Myaing(Pa La Na)"/>
        <s v="Pa Dauk Myaing(Pa La Na)-II"/>
        <s v="Sector 5 Pammati Quarter"/>
        <s v="St. Joseph Tanai RC camp "/>
        <s v="Tanai CoC"/>
        <s v="Border Post 8"/>
        <s v="Maina Catholic Church (St. Joseph)"/>
        <s v="Na ru Kawng (Post 6 camp)"/>
        <s v="Aung Thar Church"/>
        <s v="Htoi San Church"/>
        <s v="Phan Khar Kone"/>
        <s v="Man Wing Baptist Church"/>
        <s v="Man Wing Baptist Church Cultural Compound"/>
        <s v="Man Wing Catholic Church"/>
        <s v="Man Wing Catholic Church II"/>
        <s v="Man Wing- IDPs in Host"/>
        <s v="Mansi Baptist Church"/>
        <s v="Hpun Lum Yang "/>
        <s v="Htang Nya "/>
        <s v="Khar Nan (1) Baptist Church"/>
        <s v="Loi Je Catholic Church"/>
        <s v="Man Bung Catholic compound"/>
        <s v="Momauk Baptist Church"/>
        <s v="Shwe Gu Catholic Church"/>
        <s v="IDP Boarding School, A Len Bum"/>
        <s v="Woi Chyai "/>
        <s v="Woi Chyai (Mong Lai)"/>
        <s v="Woi Chyai host families"/>
        <s v="Nam Sa Larp"/>
        <s v="Tsan Lun - Namjarap"/>
        <s v="Bang Yang Hka (Mung Ji Pa)-relocated"/>
        <s v="Galeng (Palaung) &amp; Kone Khem"/>
        <s v="Galeng Zup Awng ward 5 RC"/>
        <s v="Hu Hku &amp; Ho Hko"/>
        <s v="Kutkai downtown (KBC Church)"/>
        <s v="Kutkai downtown (KBC Church-2)"/>
        <s v="Mai Yu Lay New (Ta'ang)"/>
        <s v="Man Loi"/>
        <s v="Mine Yu Lay village ( Old)"/>
        <s v="Mung Hawm "/>
        <s v="Nam Hpak Ka Mare "/>
        <s v="Nam Hpak Ka Ta'ang ( Aung Tha Pyay)"/>
        <s v="New Pang Ku "/>
        <s v="Pan Law"/>
        <s v="Zup Aung Camp"/>
        <s v="Man Pint community Hall "/>
        <s v="Mong Tin High School"/>
        <s v="Nar Mun Primary School"/>
        <s v="SLCA Building Compound (Kyaukme town)"/>
        <s v="SLCA Building Compound (Moungnawt town)"/>
        <s v="Enai (Man Pyein)"/>
        <s v="Mandung - Jinghpaw"/>
        <s v="Mang Nawng Kawng (host)"/>
        <s v="Theravada Monastery "/>
        <s v="Nam Hkam (KBC Jaw Wang)"/>
        <s v="Nam Hkam (KBC Jaw Wang) II"/>
        <s v="Hseng Ja-Relocated"/>
        <s v="Kyu Sot"/>
        <s v="Lisu Church Namtu"/>
        <s v="Nam Tu Baptist"/>
        <s v="Mandung - RC"/>
        <s v="Nam Hkam - Nay Win Ni (Palawng)"/>
        <s v="Nam Hkam Catholic Church ( St. Thomas I)"/>
        <s v="Lisu Boarding-House"/>
        <s v="(3 mile) Shwe Pyi Tar (SLCA)"/>
        <s v="Bhamo- IDPs in Host "/>
        <s v="Maw Wan, Mu-yin Baptist Church"/>
        <s v="Rawang Baptist Church"/>
        <s v="St.Columban lone Khin camp"/>
        <s v="Nbang Yang camp "/>
        <s v="Mansi- IDPs in Host"/>
        <s v="Yi Hku Man Hkan "/>
        <s v="Emmanuel AG Church"/>
        <s v="Hopin -IDPs in Host"/>
        <s v="Moenyin- IDPs in Host"/>
        <s v="Mohnyin IDP in host (2)"/>
        <s v="Sut Ngai yang camp "/>
        <s v="Momauk-IDPs in Host"/>
        <s v="Myo Thit -IDP in Host"/>
        <s v="Hka Garan Yang "/>
        <s v="Ding Jang Yang (1)"/>
        <s v="Ding Jang Yang (2)"/>
        <s v="LCC UM Camp Hka Shi"/>
        <s v="Lisu Ethnic Youth Development Center "/>
        <s v="Maina Relocation Site"/>
        <s v="Naung Tar Law (Kyet Chan) "/>
        <s v="Phaug Nhae Camp"/>
        <s v="Sadung"/>
        <s v="Sadung KBC"/>
        <s v="Sana Lisu Baptist Church (DTC)"/>
        <s v="Sutaung Taung Chae"/>
        <s v="Waingmaw St.Joseph RC Church"/>
        <s v="Wuyan Lisu (KLCC) "/>
        <s v="Kyaukme Town (host)"/>
        <s v="Chicken Farm "/>
        <s v="Chinese Baptist Church Compound(Oak Hpo)"/>
        <s v="Farmland(Kaung Kye Peik)"/>
        <s v="Farmland(Kyay Zu Taw)"/>
        <s v="Kan Long "/>
        <s v="Pong Mun School"/>
        <s v="Sun Lon monastery "/>
        <s v="Lin Hao chun "/>
        <s v="Pyi Htaung Su"/>
        <s v="Shwe Sin (Ward 3) "/>
        <s v="KBC Church "/>
        <s v="Lisu Church"/>
        <s v="Ward 3 "/>
        <s v="Ward 5 &amp; 9"/>
        <s v="New Nant  Hlaing camp"/>
        <s v="Shan Culutre camp"/>
        <s v="Chipwi KBC camp"/>
        <s v="Lhaovao Baptist Church (LBC)"/>
        <s v="AG Church, Hmaw Si Sa"/>
        <s v="AG Church, Maw Wan"/>
        <s v="Baptist Church, Hmaw Si Sar(Lon Khin)"/>
        <s v="Chin Church, Seik Mu"/>
        <s v="Dhama Rakhita, Nyein Chan Tar Yar Ward(Lon Khin)"/>
        <s v="Hpakant Baptist Church, Nam Ma Hpit"/>
        <s v="Lawng Hkang Shait Yang Camp​ ( Lel Pyin)​ "/>
        <s v="Lisu Baptist Church, Maw Shan Vil,. Seik Mu"/>
        <s v="Lisu Baptist Church, Maw Wan Ward"/>
        <s v="Nam Ma Phyit, COC"/>
        <s v="Rawan Baptist Church, Maw Shan Vil., Seik Mu"/>
        <s v="Ward 2 Sai Taung Baptist Church, Seik Mu "/>
        <s v="Yumar Baptist Church"/>
        <s v="Maw Hpawng Hka Nan Baptist Church"/>
        <s v="Maw Hpawng Lhaovo Baptist Church"/>
        <s v="Saint Matthew (Shin ma ti-sitapru) camp"/>
        <s v="Shatapru Thida Aye Baptist Church"/>
        <s v="Tat Kone COC Baptist - Tat Kone Htoi San"/>
        <s v="Hkat Cho "/>
        <s v="Maina AG Church"/>
        <s v="Maina Mu-yin  Baptist Church"/>
        <s v="Nawng Hee Village"/>
        <s v="Qtr. 2 Lhaovo Baptist Church"/>
        <s v="Thargaya Lisu Baptist Church"/>
        <s v="Waingmaw AG Church"/>
        <s v="AD-2000 Tharthana Compound"/>
        <s v="Nam Hlaing Extension Ward camp"/>
        <s v="Robert Church"/>
        <s v="Loi Je Baptist Church"/>
        <s v="Loi Je Lisu Camp"/>
        <s v="Man Bung Edin Baptist Church"/>
        <s v="Nyaung Na Pin "/>
        <s v="Seng Ja "/>
        <s v="Bum Ra Yang Camp "/>
        <s v="Hka Shi"/>
        <s v="Bum Tsit Pa"/>
        <s v="Lana Zup Ja"/>
        <s v="Nhkawng Pa "/>
        <s v="Pa Kahtawng "/>
        <s v="Dagaw Border"/>
        <s v="Sein Lone Shann Border"/>
        <s v="Lashio ward 7 – IDPs in host"/>
        <s v="Lashio ward 9 – IDPs in host"/>
        <s v="IDP in host community(Mongkoe town)"/>
        <s v="Mong Paw Building"/>
        <s v="Ward 3"/>
        <s v="Pan Wa" u="1"/>
        <m u="1"/>
        <s v="Thet Kae Pyin Village (IDPs in host family)" u="1"/>
        <s v="Ramree Town" u="1"/>
        <s v="Set Yone Su 1" u="1"/>
        <s v="Tanai KBC Church " u="1"/>
        <s v="Gyit Chaung" u="1"/>
        <s v="Let Than Chi (Ywar Thit)" u="1"/>
        <s v="Man Wing Host Families" u="1"/>
        <s v="Tha Bauk Chaung" u="1"/>
        <s v="Nay Pu Khan" u="1"/>
        <s v="Taw Kan" u="1"/>
        <s v="Sa Pe Kong A Nauk Ywa" u="1"/>
        <s v="Sin Thi Pein Hne Taw" u="1"/>
        <s v="Nga/Pyauk Se" u="1"/>
        <s v="Naw Naw(Rakhine)" u="1"/>
        <s v="Dar Let (South)" u="1"/>
        <s v="Thet Kae Pyin " u="1"/>
        <s v="Mang Hawng Baptist Church" u="1"/>
        <s v="Kyun Pin Thar Baptist Church" u="1"/>
        <s v="Yae Hnyin Chaung" u="1"/>
        <s v="Sin Khing Baw (Primary School)" u="1"/>
        <s v="(3 mile) Shwe Pyi Tar " u="1"/>
        <s v="Hla Nyo Kan" u="1"/>
        <s v="Baw Du Pha Village (IDP in host families)" u="1"/>
        <s v="Ywa Haung" u="1"/>
        <s v="Aung Taing" u="1"/>
        <s v="Pan Ta Pyae" u="1"/>
        <s v="HlaKhaing" u="1"/>
        <s v="Pyu Chaing" u="1"/>
        <s v="Taung Htaung Ha Yar" u="1"/>
        <s v="Dam ( Zup Ngai Yang)" u="1"/>
        <s v="Shwe Zin Khin (Rakhine)" u="1"/>
        <s v="Shwe Thee " u="1"/>
        <s v="Hindu" u="1"/>
        <s v="Sin Kae (High School)" u="1"/>
        <s v="Cheit Taung" u="1"/>
        <s v="Za Yan Gyi Monastery" u="1"/>
        <s v="Ba Ra War Monastery" u="1"/>
        <s v="Sin Bo" u="1"/>
        <s v="Wah Net Yone " u="1"/>
        <s v="Zay Di Taung" u="1"/>
        <s v="Thein Taung pyin (Dine Net)" u="1"/>
        <s v="Mee Pho Kone" u="1"/>
        <s v="Tha Yet Taung" u="1"/>
        <s v="Aung Tha Pyay" u="1"/>
        <s v="Ywa Gyi (Tha Yet Kin Ma Nu)" u="1"/>
        <s v="Hpaung Taw Pyin" u="1"/>
        <s v="Ba laung Chaung" u="1"/>
        <s v="YinYeKan" u="1"/>
        <s v="Maw Htet" u="1"/>
        <s v="Zee Khaung" u="1"/>
        <s v="Hopin Host Families" u="1"/>
        <s v="Pyaing Chaung" u="1"/>
        <s v="Lambraw Yang KBC, Namatee" u="1"/>
        <s v="Zay Di Taung  ( Host + Displaced)" u="1"/>
        <s v="Thin Ga Net" u="1"/>
        <s v="Pyeing Chaung" u="1"/>
        <s v="Dar Shey" u="1"/>
        <s v="Chi Laing Hpin" u="1"/>
        <s v="Let Wea Det Pyin Shey" u="1"/>
        <s v="Ywar Thit Monastery/Pan Myaung" u="1"/>
        <s v="Kyaukme Damma Yone" u="1"/>
        <s v="Baw Du Pha 1" u="1"/>
        <s v="Dar Paing Village" u="1"/>
        <s v="Let Than Chi (Haung)" u="1"/>
        <s v="Godzilla (Hteik Tu Pauk Myauk)" u="1"/>
        <s v="Kyauk Hlay Kar" u="1"/>
        <s v="Lawt Awng" u="1"/>
        <s v="Mingalar on" u="1"/>
        <s v="Zedi Pyin" u="1"/>
        <s v="Zin Kha Mar" u="1"/>
        <s v="Kyone Pyin" u="1"/>
        <s v="Mardilla" u="1"/>
        <s v="Ah Htet Gar Pu" u="1"/>
        <s v="Thar Yar Kone (M)" u="1"/>
        <s v="Lu Fan Pyin" u="1"/>
        <s v="Taik Maw" u="1"/>
        <s v="Lawa RC Church" u="1"/>
        <s v="Kha Tin Pike Gyi" u="1"/>
        <s v="Taung Poke Kay" u="1"/>
        <s v="Kyee Kan Pyin ( Temoprary Tent)" u="1"/>
        <s v="Muslim (Aley Ywa)" u="1"/>
        <s v="Kar Di" u="1"/>
        <s v="Kyauk Ta Lone" u="1"/>
        <s v="Ohn Chaung" u="1"/>
        <s v="Langui" u="1"/>
        <s v="Kat Pa Kaung" u="1"/>
        <s v="Inn Chaung (Muslim)" u="1"/>
        <s v="Nyaung Pin Gyi (Rakhine)" u="1"/>
        <s v="Dar Paing Ywar Thit" u="1"/>
        <s v="Yuu Ka lait Kone Camp" u="1"/>
        <s v="War Bo" u="1"/>
        <s v="Nant Yar Gaing (Nant Yar Gaing)" u="1"/>
        <s v="Taung Myint" u="1"/>
        <s v="Set Yone Su 3" u="1"/>
        <s v="Qtr. 4 Monestry (Thargaya Thayett Taw)" u="1"/>
        <s v="Sut Chyai" u="1"/>
        <s v="Laung Don (Myo)" u="1"/>
        <s v="Tha Yet Cho" u="1"/>
        <s v="Shauk Chaung" u="1"/>
        <s v="Har Ra Paing" u="1"/>
        <s v="NiDin" u="1"/>
        <s v="Koe Tan Kauk" u="1"/>
        <s v="Naw Wai" u="1"/>
        <s v="Trinity KBC Church" u="1"/>
        <s v="U Htoe Dan " u="1"/>
        <s v="Shwe Zar (Middle)" u="1"/>
        <s v="Kwayt Shey Ywar Thit_x000a_(Kwayt Shay)" u="1"/>
        <s v="Lan Gwa St.Paul RC Church" u="1"/>
        <s v="6-Miles" u="1"/>
        <s v="Yoe Ta Yoke" u="1"/>
        <s v="Taw Tan" u="1"/>
        <s v="Maw Staw Bis" u="1"/>
        <s v="Mansan" u="1"/>
        <s v="Ywa thit Kay" u="1"/>
        <s v="Kone Khem Camp" u="1"/>
        <s v="Ah Htet Nan Yar" u="1"/>
        <s v="Auk Thin Pone Than/ Phar Kywe" u="1"/>
        <s v="Ah Lel Mu" u="1"/>
        <s v="RAT_Zay Di Pyin" u="1"/>
        <s v="Wa Taung Camp" u="1"/>
        <s v="Let Wea Myan" u="1"/>
        <s v="Lun Kyaw" u="1"/>
        <s v="Kun Thee Pin" u="1"/>
        <s v="Mei Za Li Kaing" u="1"/>
        <s v="Kyauk Se" u="1"/>
        <s v="Hla May Shwe" u="1"/>
        <s v="Maw" u="1"/>
        <s v="Kyein Ni Pyin" u="1"/>
        <s v="Hpar Kywe Wa" u="1"/>
        <s v="Ah Nauk" u="1"/>
        <s v="Pyar" u="1"/>
        <s v="Mya Yaike Kyun" u="1"/>
        <s v="Kyaung Taung" u="1"/>
        <s v="Mi Chaung Yae Thauk" u="1"/>
        <s v="Gan Kya" u="1"/>
        <s v="Momauk KBC church compound" u="1"/>
        <s v="Lone Tin" u="1"/>
        <s v="Tat Oo Anauk" u="1"/>
        <s v="Thit Tone Na Gwa Sone (Ywa Ma)" u="1"/>
        <s v="Ramree Ward 6" u="1"/>
        <s v="Bar Ri Zar" u="1"/>
        <s v="Wa Hmyaung" u="1"/>
        <s v="Kyauk Ka Lay" u="1"/>
        <s v="Mi Nyo Htaunt_Thar Si" u="1"/>
        <s v="Kyar Nyo Pyin (Muslim)" u="1"/>
        <s v="Kar Hpi Chaung" u="1"/>
        <s v="Phwe Yar Kone (Say Tha Mar Gyi)" u="1"/>
        <s v="MiGyaungTet" u="1"/>
        <s v="Thit Ka Toe" u="1"/>
        <s v="Kyar Nin Kan Monastery" u="1"/>
        <s v="Mine Tin " u="1"/>
        <s v="Nga San Baw (Moke Soe Chaung) (Ywar Haung)" u="1"/>
        <s v="Ni Lin Paw" u="1"/>
        <s v="Lahkum" u="1"/>
        <s v="Rakhine Ywa" u="1"/>
        <s v="Hta Ma Rit (Kwet Thit)" u="1"/>
        <s v="Aung Pa" u="1"/>
        <s v="Shwe Baho" u="1"/>
        <s v="Faw Tay Ali " u="1"/>
        <s v="Nget Chaung 1" u="1"/>
        <s v="Ah Du" u="1"/>
        <s v="Kan Pyi Tha Zi" u="1"/>
        <s v="Khaung Doke Khar 1" u="1"/>
        <s v="Sabei Hla" u="1"/>
        <s v="Mandalay Monestry" u="1"/>
        <s v="PyunTo" u="1"/>
        <s v="Ta Man Thar Ah Nauk (Rakhine)" u="1"/>
        <s v="Tein Nyo" u="1"/>
        <s v="Chaung New Min Gan" u="1"/>
        <s v="Nur Ru Lar" u="1"/>
        <s v="Wa Lan Kone" u="1"/>
        <s v="Baw Du Pha 2" u="1"/>
        <s v="Ma Ji Bum" u="1"/>
        <s v="Ngan Chaung_Gone Nar" u="1"/>
        <s v="Post 6 Camp" u="1"/>
        <s v="Ta Khun Taing" u="1"/>
        <s v="Let Kauk Zay Monastery" u="1"/>
        <s v="Kyar Ma Thauk" u="1"/>
        <s v="Kyauk Yan (Rakhine)" u="1"/>
        <s v="Kyauk Yit (Rakhine)" u="1"/>
        <s v="Mungji Pa Dabang (Catholic Church)" u="1"/>
        <s v="Nga/ Pun Ywar Shey" u="1"/>
        <s v="Inn Din (Rakhine)" u="1"/>
        <s v="Chin Ywa(Pyaing Taung)" u="1"/>
        <s v="Khun Sint Village" u="1"/>
        <s v="Ba Da Nar" u="1"/>
        <s v="Kon Tan (U Daung Ah Nauk)" u="1"/>
        <s v="Oke Taung Pyin" u="1"/>
        <s v="Ohn Taw Gyi (South)" u="1"/>
        <s v="Thein Taung pyin (Muslim)" u="1"/>
        <s v="Taung Yin" u="1"/>
        <s v="Thein Tan (Rakhine)" u="1"/>
        <s v="Kyauk Pan Du (NTL)" u="1"/>
        <s v="Tha Yet Oke Ywar Thit" u="1"/>
        <s v="Myo Thit " u="1"/>
        <s v="Nat Maw (Upper)" u="1"/>
        <s v="Palay Taung Ywa Thit" u="1"/>
        <s v="Man Li" u="1"/>
        <s v="Ahr Kar Taung" u="1"/>
        <s v="Kyet Taw Pyin" u="1"/>
        <s v="Inn Lel Yan - Host Families" u="1"/>
        <s v="Min Gyi (Tu Lar Tu Li)" u="1"/>
        <s v="Dar Peit" u="1"/>
        <s v="Nam Hpak Ka Ta'ang" u="1"/>
        <s v="Phyar Pyin" u="1"/>
        <s v="La Mu Ta Pin" u="1"/>
        <s v="Thet Kay Pyin Ywar Ma" u="1"/>
        <s v="Kan Pyin" u="1"/>
        <s v="Thi Ho Kyun Tha Dar ( Myo/ Temporary)" u="1"/>
        <s v="Kan Pyin Ywar Thit" u="1"/>
        <s v="Maung Ni" u="1"/>
        <s v="Tin Nyo Thit Monastery" u="1"/>
        <s v="Kyauk Yit Muslim" u="1"/>
        <s v="Kan Ni" u="1"/>
        <s v="Ward (1)" u="1"/>
        <s v="Sin Tet Maw" u="1"/>
        <s v="Namhkan - Pang Long KBC" u="1"/>
        <s v="DPA" u="1"/>
        <s v="Ban Dang" u="1"/>
        <s v="Nget Chaung 2" u="1"/>
        <s v="Da Wei" u="1"/>
        <s v="Shwe Zar (North)" u="1"/>
        <s v="Mai Yu Lay Ta'ang" u="1"/>
        <s v="Ywar Gyi (Middle)" u="1"/>
        <s v="Ywar Haung Ah Htet" u="1"/>
        <s v="Me la zi Kone" u="1"/>
        <s v="Ku Lar Te" u="1"/>
        <s v="Ah Twin Hnget Thay" u="1"/>
        <s v="Bomu Ywa" u="1"/>
        <s v="Ngar Sar Kyu" u="1"/>
        <s v="Kyauk Tan Chay" u="1"/>
        <s v="Zupra" u="1"/>
        <s v="Auk Myat Hle" u="1"/>
        <s v="Ashit Ywa_M" u="1"/>
        <s v="Bar Sa Yar Host" u="1"/>
        <s v="Ka Yar Lane , 74 Miles" u="1"/>
        <s v="Na ru Kawng " u="1"/>
        <s v="Thein Tan (Ku Lar)" u="1"/>
        <s v="Thein Tan (Muslim)" u="1"/>
        <s v="Htan Shauk Khan" u="1"/>
        <s v="Thar Dar" u="1"/>
        <s v="Kha Yay Myaing (NaTaLa)" u="1"/>
        <s v="Nyaung Pin Hla" u="1"/>
        <s v="Pin Zaing" u="1"/>
        <s v="Wai Thar Le" u="1"/>
        <s v="Win Su" u="1"/>
        <s v="Thu U Lar" u="1"/>
        <s v="Thar Zay Kone (Thar Zi Kone)" u="1"/>
        <s v="Aung Daing " u="1"/>
        <s v="Kauk Kyit" u="1"/>
        <s v="Ashit Ywa_R" u="1"/>
        <s v="Rakhine Ywa_R" u="1"/>
        <s v="Sin Seik" u="1"/>
        <s v="KaLarChaung" u="1"/>
        <s v="Pa Da Kar Ywar Thit" u="1"/>
        <s v="Wet Hla Middle School" u="1"/>
        <s v="Tha Yet Pyin (Rakhine)" u="1"/>
        <s v="Thay Kan (Rakhine)" u="1"/>
        <s v="Pamati Camp" u="1"/>
        <s v="Inn Chaung (Daing Net)" u="1"/>
        <s v="Chan Pyin" u="1"/>
        <s v="Nga Khu Chaung" u="1"/>
        <s v="Kywi Te" u="1"/>
        <s v="Wai Thar Li" u="1"/>
        <s v="Mee Taik" u="1"/>
        <s v="Ann Thar" u="1"/>
        <s v="Chin Ywar Min Pyin" u="1"/>
        <s v="Zee kone Tan (or) Kon Tan Zay" u="1"/>
        <s v="Done Pyin (North)" u="1"/>
        <s v="Shwe Zin Khin (Ku Lar)" u="1"/>
        <s v="Chin Pyin" u="1"/>
        <s v="Ohn Taw Shey" u="1"/>
        <s v="Zaw Pu Gyer" u="1"/>
        <s v="Sar Pyin" u="1"/>
        <s v="Boe Taw monastery" u="1"/>
        <s v="Sapar Seik (Shari)" u="1"/>
        <s v="Kin Chaung" u="1"/>
        <s v="Ah Bu Gyar" u="1"/>
        <s v="Shwe Zar (west)" u="1"/>
        <s v="Teik Tu Pauk" u="1"/>
        <s v="Pyaing Taung" u="1"/>
        <s v="Kan Sauk" u="1"/>
        <s v="Myauk Ywa" u="1"/>
        <s v="Mi Nyo Htaunt" u="1"/>
        <s v="Tha Yet Oke Ywar Haung" u="1"/>
        <s v="Kyauk Yit RK" u="1"/>
        <s v="Lambraw Yang Rc, Namatee" u="1"/>
        <s v="Sin Oe" u="1"/>
        <s v="Thet Kay Pyin" u="1"/>
        <s v="Ah Lar Than" u="1"/>
        <s v="Doke Kan Chaung" u="1"/>
        <s v="Honsara (Zaw Ma Tat)" u="1"/>
        <s v="Hpar Wut Chaung" u="1"/>
        <s v="38 Mine ManPying Monastery" u="1"/>
        <s v="Tanai RC Church - Kinsa Ra " u="1"/>
        <s v="Yai Mya" u="1"/>
        <s v="Let Wea Det Pyin Shey_Ywar Thit" u="1"/>
        <s v="San Thar Pyin" u="1"/>
        <s v="Pyin  Hla Zay Ywa" u="1"/>
        <s v="Maung Ni Pyin" u="1"/>
        <s v="Ngar Yauk Kaing" u="1"/>
        <s v="Aung Thay Pyay (San Suri)" u="1"/>
        <s v="Myet Tauk" u="1"/>
        <s v="Pe Tha Du" u="1"/>
        <s v="A Lei Ywar" u="1"/>
        <s v="Nga/Tauk Tet" u="1"/>
        <s v="Pan Taw Pyin" u="1"/>
        <s v="Thit Tone Nar Gwa Son" u="1"/>
        <s v="Myoma Myauk (Chitta Ywa)" u="1"/>
        <s v="Mong Wee Shan-relocated" u="1"/>
        <s v="Kha Maung Seik North" u="1"/>
        <s v="Nam Sa Lap ,Upper Church " u="1"/>
        <s v="Tat Kone Emanuel Church" u="1"/>
        <s v="Koe Song (2) Village" u="1"/>
        <s v="Mee Chaung Zay_Ywar Thit" u="1"/>
        <s v="Khat Pa Kaung" u="1"/>
        <s v="Bu May Ohn Daw Chay" u="1"/>
        <s v="Lhaovo Baptist Convention  Old Office Camp" u="1"/>
        <s v="Oe Pone" u="1"/>
        <s v="Kine Gyi (Rakhine)" u="1"/>
        <s v="Min Ga Lar Ahr Sheik Kyar" u="1"/>
        <s v="Thein Tan" u="1"/>
        <s v="Shwe Hlaing Rakhine" u="1"/>
        <s v="Thone Gwa" u="1"/>
        <s v="Aung Zay Ya Monastery" u="1"/>
        <s v="Lin Bar Gone Nar" u="1"/>
        <s v="Ka Yin Taw" u="1"/>
        <s v="Pyin Hpyu" u="1"/>
        <s v="Quarter 2 , Edin" u="1"/>
        <s v="Pae Tha Du " u="1"/>
        <s v="Kyan Taik" u="1"/>
        <s v="Phas Kawri" u="1"/>
        <s v="Ywar Thit Kay Monastery" u="1"/>
        <s v="Myo U" u="1"/>
        <s v="Hmanzi " u="1"/>
        <s v="Nga Pwint Gyi" u="1"/>
        <s v="Let Wea Det" u="1"/>
        <s v="Robert -Middle school" u="1"/>
        <s v="Zaw Pu Gyar" u="1"/>
        <s v="Than Chay (Rakhine)" u="1"/>
        <s v="Kan Hpay" u="1"/>
        <s v="Kan Thar Yar" u="1"/>
        <s v="Nyaung Pin Gyi (Ku Lar)" u="1"/>
        <s v="Ohn Taw Gyi" u="1"/>
        <s v="Narte" u="1"/>
        <s v="Ah Nauk Pyin" u="1"/>
        <s v="Set Yone Su 3 (Mingan)" u="1"/>
        <s v="Ma La Kyun" u="1"/>
        <s v="Say Tha Ma" u="1"/>
        <s v="Bo Min Monastery" u="1"/>
        <s v="Quarter 4, Khar Nan " u="1"/>
        <s v="Shar Du Zut SanPya" u="1"/>
        <s v="Thae Chaung(Rakhine)" u="1"/>
        <s v="Sasana 2500 monastery" u="1"/>
        <s v="N-bau Tu" u="1"/>
        <s v="Ka Yin" u="1"/>
        <s v="Mu-yin Baptist Church" u="1"/>
        <s v="Than Shin Ywar Thit" u="1"/>
        <s v="Thin Baw Hla (Rakhine) (Thar Yar Gone)" u="1"/>
        <s v="Kyu Taw Chaing" u="1"/>
        <s v="Auk Tha Kan" u="1"/>
        <s v="Na Htoe Pyin" u="1"/>
        <s v="Phwe Yar Kone" u="1"/>
        <s v="Shaw Me (primary school)" u="1"/>
        <s v="Nga Sin Rine Kine Primary School" u="1"/>
        <s v="Tha Yet Oke" u="1"/>
        <s v="Man Sa" u="1"/>
        <s v="Bhamo_Host Families" u="1"/>
        <s v="Sin Tet Maw Rakhine(Baw Da Li)" u="1"/>
        <s v="Gwa Sone Chin" u="1"/>
        <s v="Thaing Ta Poke" u="1"/>
        <s v="Moenyin Host Families" u="1"/>
        <s v="Kha Yu Chaung (Muslim)" u="1"/>
        <s v="Ku Lar Thein" u="1"/>
        <s v="Khaung Doke Khar 2 (Hmanzi)" u="1"/>
        <s v="St. Patrick Catholic Church " u="1"/>
        <s v="Taung Htaung" u="1"/>
        <s v="Nga Khu Ya (Myauk Ywar)" u="1"/>
        <s v="Shwe Tee " u="1"/>
        <s v="Ka Nyin Chaung" u="1"/>
        <s v="Yar Taik" u="1"/>
        <s v="Pale Taung" u="1"/>
        <s v="Tin Nyo (Primary school)" u="1"/>
        <s v="Yin Chaung" u="1"/>
        <s v="Ah Htet Nan Yar (Muslim)" u="1"/>
        <s v="Na Nwin Ku" u="1"/>
        <s v="Nyaung Chaung" u="1"/>
        <s v="Yai Myet Taung Ywa Thit" u="1"/>
        <s v="Shwe Zar _Hindu" u="1"/>
        <s v="Phwe Yar Gone village" u="1"/>
        <s v="Sai Nai Baptish Church, Maw Shan Vil., Seki Mu" u="1"/>
        <s v="Lan Gwa KBC Church" u="1"/>
        <s v="Let Taw Ri" u="1"/>
        <s v="Be Lar Mi" u="1"/>
        <s v="Momauk IDP new Extension camp_x000a_(Alen Kawng Lawk)" u="1"/>
        <s v="Muse Baptist Church" u="1"/>
        <s v="Sa Khan Maw" u="1"/>
        <s v="Baw Du Pha Village" u="1"/>
        <s v="Zin Baw Gaing (school)" u="1"/>
        <s v="Doe Tan" u="1"/>
        <s v="Kyet Mauk Taung (Myauk Ywar)" u="1"/>
        <s v="Kha Tin Paik" u="1"/>
        <s v="Hmaw Wan, Anglican" u="1"/>
        <s v="Thay Kan (Muslim)" u="1"/>
        <s v="Pyaung Chaung" u="1"/>
        <s v="Nwar Yone Taung" u="1"/>
        <s v="Nga Pha Yone" u="1"/>
        <s v="Gaung Gyi" u="1"/>
        <s v="Aung Tat Ward (Aung Zaydi Hpayar Thin)" u="1"/>
        <s v="Pyein Chaung" u="1"/>
        <s v="Ah Hla Sin" u="1"/>
        <s v="Za Yat Kwin" u="1"/>
        <s v="Zaw Ma Tat ( Kyine Gyi)" u="1"/>
        <s v="Pon Nar" u="1"/>
        <s v="Kutkhai KBC-2 (Block-6)" u="1"/>
        <s v="Ywar Gyi" u="1"/>
        <s v="Taung Htaung Hayar_Wa Lar Kan (Ku Lar)" u="1"/>
        <s v="Nga Ta Paung" u="1"/>
        <s v="Wa Lar Kan" u="1"/>
        <s v="Kha Yan Kyun" u="1"/>
        <s v="Tha Lu Chaung" u="1"/>
        <s v="Thar Si" u="1"/>
        <s v="A Lei Ywar " u="1"/>
        <s v="Sat Kyar" u="1"/>
        <s v="Mansi_Host Families" u="1"/>
        <s v="Thet Kel Pyin Village" u="1"/>
        <s v="Kyu Yaw Chaing" u="1"/>
        <s v="Yae Nauk Ngar Thar" u="1"/>
        <s v="Yun Nyar" u="1"/>
        <s v="San Go Taung" u="1"/>
        <s v="NgaWetSway" u="1"/>
        <s v="Ywet Nyo Taung" u="1"/>
        <s v="Hla Tha Ma" u="1"/>
        <s v="Oe Hpauk Ywar Thit" u="1"/>
        <s v="Wa  Lan" u="1"/>
        <s v="Vote Par Yone monastery" u="1"/>
        <s v="Ci He village" u="1"/>
        <s v="Gaw Yaw Ma Ni" u="1"/>
        <s v="Lisu Baptist Church" u="1"/>
        <s v="Beik Taung" u="1"/>
        <s v="U Daung (NaTaLa)" u="1"/>
        <s v="Gwa Sone Rakhine" u="1"/>
        <s v="Pyin Chay" u="1"/>
        <s v="Kan Sit" u="1"/>
        <s v="Pann Ninn" u="1"/>
        <s v="Sa Par Htar" u="1"/>
        <s v="Thin Ga Zar" u="1"/>
        <s v="Thay Kan Gwa Sone ( Host)" u="1"/>
        <s v="OhnHnanChaung" u="1"/>
        <s v="Kyauk Pyin Seik" u="1"/>
        <s v="BUT_Sa Par Htar" u="1"/>
        <s v="Thit Pok Chaung" u="1"/>
        <s v="Kywe Ta Ma" u="1"/>
        <s v="Nga/Pun Ywar Gyi" u="1"/>
        <s v="Thea Chaung Ywar Thit Kay" u="1"/>
        <s v="Shwe Yin Aye" u="1"/>
        <s v="Done Thein" u="1"/>
        <s v="Kan Kyar Myauk" u="1"/>
        <s v="Paik Thei Ward" u="1"/>
        <s v="Baw Li (Muslim)" u="1"/>
        <s v="Chut Pyin" u="1"/>
        <s v="Nawng Nan, Jaw Ma Sat KBC Church" u="1"/>
        <s v="Dway Cha" u="1"/>
        <s v="Kyauk Yant (Rakhine)" u="1"/>
        <s v="Sin Kay ( High School)" u="1"/>
        <s v="Kan Chaung Wa" u="1"/>
        <s v="Kar Di (Middle)" u="1"/>
        <s v="Thin Khaung Maw" u="1"/>
        <s v="Zin Baw Gaing (Monastery)" u="1"/>
        <s v="Zon Mar" u="1"/>
        <s v="Muse Catholic Church" u="1"/>
        <s v="Htan Ma Rit (Kwet Thit)" u="1"/>
        <s v="Myaung Nar" u="1"/>
        <s v="KAT_Nyaung Chaung" u="1"/>
        <s v="Aung Tat Ward (Naratsar Hpayar Thin)" u="1"/>
        <s v="Hin Thar Ra" u="1"/>
        <s v="Qtr. 3 Mu-yin  Baptist Church" u="1"/>
        <s v="Sin Khone Taing" u="1"/>
        <s v="Sin U Taik" u="1"/>
        <s v="Aung Tat Ward (Dein Kyi Monastery)" u="1"/>
        <s v="Aung Tat Ward (Myo Thit Monastery)" u="1"/>
        <s v="Pyin Shey Ku lar" u="1"/>
        <s v="Pon Sar" u="1"/>
        <s v="Dar Pai (IDP in host families)" u="1"/>
        <s v="Saw Kina Ma" u="1"/>
        <s v="Shar Du Zut RC church" u="1"/>
        <s v="Phwe Ra" u="1"/>
        <s v="Taung (Pale Taung)" u="1"/>
        <s v="Nga Let Kya" u="1"/>
        <s v="Shwe Hlaing" u="1"/>
        <s v="Shwe Yin Aye (NaTaLa)" u="1"/>
        <s v="Aung Zay Ya" u="1"/>
        <s v="Lian Bang village" u="1"/>
        <s v="Nam Hkawng" u="1"/>
        <s v="Kho Long" u="1"/>
        <s v="Yae Nauk Ngar Thar (Daing Nat)" u="1"/>
        <s v="Jwan Jaw KBC" u="1"/>
        <s v="That Kaing Nyar (Thet)" u="1"/>
        <s v="Htai Ra Yang" u="1"/>
        <s v="Laung Chaung (Daing Net)" u="1"/>
        <s v="Zu Kaing" u="1"/>
        <s v="Thin Pan Kaing" u="1"/>
        <s v="Ah Htet Nan Yar (Rakhine)" u="1"/>
        <s v="Nga Khu Ya" u="1"/>
        <s v="Kan Beit" u="1"/>
        <s v="Min Hla Kaing" u="1"/>
        <s v="Say Tha Mar Gyi village" u="1"/>
        <s v="Kyauk Taw" u="1"/>
        <s v="Baw Du Pa" u="1"/>
        <s v="Gwa Sone (Rakhine)" u="1"/>
        <s v="Play Taung Ywa Gyi North" u="1"/>
        <s v="Ba Wan Chaung Wa Su Ward / Monastery" u="1"/>
        <s v="Pi Htu_Wa Lar Kan" u="1"/>
        <s v="Man wing gyi (host school)" u="1"/>
        <s v="Ah Shey (North) Ward" u="1"/>
        <s v="Rakhine" u="1"/>
        <s v="Ah Htet See Maung" u="1"/>
        <s v="Tha Yet Oak" u="1"/>
        <s v="Taung Min Ku Lar" u="1"/>
        <s v="Kyun Pauk Ku Lar" u="1"/>
        <s v="Payar Por Thain Taw Gyi Monastery" u="1"/>
        <s v="Taung Yin School Compound" u="1"/>
        <s v="Mong Wee Shan" u="1"/>
        <s v="Yet Khone Taing" u="1"/>
        <s v="Goke Pi Htaunt (Rakhine)" u="1"/>
        <s v="Thea Chaung Pyu Su" u="1"/>
        <s v="Tha Dar" u="1"/>
        <s v="Hseng Ja" u="1"/>
        <s v="Zin Paing Nyar" u="1"/>
        <s v="MinPauk" u="1"/>
        <s v="Thin Pon Tan" u="1"/>
        <s v="Gar Pu (Lower)" u="1"/>
        <s v="Zay Teit Taung" u="1"/>
        <s v="Thone Saung" u="1"/>
        <s v="Chaung Thit Monastery" u="1"/>
        <s v="Say Tha Ma Gyi" u="1"/>
        <s v="Ah Htet Myat Hle" u="1"/>
        <s v="Quarter -7 , Lashio" u="1"/>
        <s v="Inn Hpauk" u="1"/>
        <s v="Aung Ba La" u="1"/>
        <s v="5 Ward RC Church(lon Khin)" u="1"/>
        <s v="Let Wea Det Pyin Shey_Tha Pyay Taw" u="1"/>
        <s v="Pyin Shey" u="1"/>
        <s v="Sa Bai Pin Yin" u="1"/>
        <s v="Yat Khone Taing" u="1"/>
        <s v="Mya Ta Saung Monastery" u="1"/>
        <s v="Bethela KBC church" u="1"/>
        <s v="Ohn Taw Gyi (North)" u="1"/>
        <s v="Kan Pyin Ywa Haung" u="1"/>
        <s v="Taung Chauk" u="1"/>
        <s v="Lung Sut" u="1"/>
        <s v="N-gum La" u="1"/>
        <s v="Kun Taung" u="1"/>
        <s v="Shwe Taung Monastery" u="1"/>
        <s v="Tauk Sone" u="1"/>
        <s v="Hpai Kawng Mare" u="1"/>
        <s v="Kan Za Li" u="1"/>
        <s v="Waingmaw LBC church " u="1"/>
        <s v="Tote Tan Ward" u="1"/>
        <s v="Khaung Htoke" u="1"/>
        <s v="Hpa Ji Shalat Boarding School ( Daw Hpum Yang)" u="1"/>
        <s v="Hpar Wut Chaung (Myauk Ywar)" u="1"/>
        <s v="Mine Yu Lay village" u="1"/>
        <s v="Chaung Pauk" u="1"/>
        <s v="Tanai AG Church" u="1"/>
        <s v="Ah Nauk Ka Maung Seik" u="1"/>
        <s v="Kin Taung (Taung + Myauk)" u="1"/>
        <s v="Taung Chaung" u="1"/>
        <s v="Zay Di Taung (Rakhine)" u="1"/>
        <s v="Dar Let Ah Lel Kyun" u="1"/>
        <s v="Pi Pin Yin Monastery" u="1"/>
        <s v="In Bar Yi" u="1"/>
        <s v="Kone Tan" u="1"/>
        <s v="Bu May" u="1"/>
        <s v="Momauk_Host Families" u="1"/>
        <s v="Ah Lel Chaung" u="1"/>
        <s v="Aung Thay Pyay (NaTaLa)" u="1"/>
        <s v="Myo Thit Ward" u="1"/>
        <s v="ThonePetChaing" u="1"/>
        <s v="Than Chay RK" u="1"/>
        <s v="Inn Din_new village" u="1"/>
        <s v="Tan Zwei" u="1"/>
        <s v="Ray Zar Chaung" u="1"/>
        <s v="Thit Taw Ywa" u="1"/>
        <s v="Out Thar Kan Monastery" u="1"/>
        <s v="Dar Gyi Zar" u="1"/>
        <s v="Kyar Nyo Inn" u="1"/>
        <s v="Palae' Kaine" u="1"/>
        <s v="Yae Myet" u="1"/>
        <s v="Aung Tat Ward (Aung Mingalar Monastery)" u="1"/>
        <s v="Gwa Sone Muslim" u="1"/>
        <s v="Lisu Zonal camp" u="1"/>
        <s v="Sin Tet Maw (Host)" u="1"/>
        <s v="Yar Tan" u="1"/>
        <s v="Ti Yang Zup" u="1"/>
        <s v="Chein Khar Li" u="1"/>
        <s v="Doke Kan Chaung Monastery" u="1"/>
        <s v="Kin Taung" u="1"/>
        <s v="Nga Ku Ya (Ku Lar)" u="1"/>
        <s v="Goke Pi Htaunt" u="1"/>
        <s v="Kyauk Yan Thar Si" u="1"/>
        <s v="Raza Bil" u="1"/>
        <s v="Sat Roe Kya 1" u="1"/>
        <s v="Chipwi Pan Wa  (Host IDP)" u="1"/>
        <s v="Kan Tha Ya" u="1"/>
        <s v="Taung Pauk" u="1"/>
        <s v="Momauk Baptist Church compound" u="1"/>
        <s v="Pyar Lay Chaung Ywar Haung" u="1"/>
        <s v="Yay Myet" u="1"/>
        <s v="SGZ " u="1"/>
        <s v="Gye Kyaung" u="1"/>
        <s v="Mungji Pa Dabang (Baptist Church)" u="1"/>
        <s v="War Net Chun" u="1"/>
        <s v="Auk Myat Lay" u="1"/>
        <s v="InjangYang  host families" u="1"/>
        <s v="Koe Saung (1) village" u="1"/>
        <s v="Hnget Pyaw Chaung" u="1"/>
        <s v="Kan Paing Nar" u="1"/>
        <s v="Thit Poke Chaung" u="1"/>
        <s v="Say Ti Taung " u="1"/>
        <s v="Shit Thaung Monastery" u="1"/>
        <s v="Shwe Ta Mar" u="1"/>
        <s v="Pauk Pin Yin" u="1"/>
        <s v="Taung Ywa" u="1"/>
        <s v="Kyee Kan Pyin ( Surrounding)" u="1"/>
        <s v="Hpon Nyo Leik" u="1"/>
        <s v="Dar Let (North)" u="1"/>
        <s v="Nan Yah Gone Ahtet" u="1"/>
        <s v="Ta Gun Taing Monastery (Shwe Kyi Na)" u="1"/>
        <s v="Pa Lat Kay" u="1"/>
        <s v="Zay Di Pyin" u="1"/>
        <s v="Athay Kar La" u="1"/>
        <s v="Ah Shae Myauk Quarter" u="1"/>
        <s v="Bum Run" u="1"/>
        <s v="Hat Hlan village (host)" u="1"/>
        <s v="Lawk Awng Mare D. (Sinbo Area)" u="1"/>
        <s v="Win Zar" u="1"/>
        <s v="Baw Li " u="1"/>
        <s v="Baw Ya Par" u="1"/>
        <s v="Saw Zam" u="1"/>
        <s v="Gwa Sone (Muslim)" u="1"/>
        <s v="NgweTwinDway" u="1"/>
        <s v="Wa Khote Chaung" u="1"/>
        <s v="Kyar Nyo Pyin (Rakhine)_x000a_+ Pyar Yae" u="1"/>
        <s v="Alay Mushee" u="1"/>
        <s v="Sin Khone Taing (Rakhine)" u="1"/>
        <s v="Du Than Dar" u="1"/>
        <s v="Sin Aing" u="1"/>
        <s v="Sat Roe Kya 2" u="1"/>
        <s v="Pyin Hpyu Maw" u="1"/>
        <s v="Pyaing Taung (Rakhine)" u="1"/>
        <s v="Robert -High school" u="1"/>
        <s v="U Yin Thar" u="1"/>
        <s v="Ah Kyaw (Arisha Para)" u="1"/>
        <s v="Myin Kan Seik" u="1"/>
        <s v="Kyar Nyo Pyin" u="1"/>
        <s v="Lian He village" u="1"/>
        <s v="Nga Kyi Tauk Daing Nat" u="1"/>
        <s v="Thet Kaing Ngyar" u="1"/>
        <s v="Sin Thay Pyin (Zay Di Pyin)" u="1"/>
        <s v="Shwe Zar Kat Pa Kaung" u="1"/>
        <s v="Sumprabum" u="1"/>
        <s v="Lwegel High School" u="1"/>
        <s v="Sin Thi Pein Hne Taw (Sin Tae)" u="1"/>
        <s v="Naung Pataine/lachid " u="1"/>
        <s v="Wa Lar Kann" u="1"/>
        <s v="U Gar Hton" u="1"/>
        <s v="Ah Nauk Ywe" u="1"/>
        <s v="Tanai AG Church " u="1"/>
        <s v="Nan Hlaing_new camp " u="1"/>
        <s v="Thu Yiya Yaung Chi Monastery" u="1"/>
        <s v="Namtu RC" u="1"/>
        <s v="Taung Pyo ( 3Quarter)" u="1"/>
        <s v="Kyaung Swae Phyu" u="1"/>
        <s v="Say Taung" u="1"/>
        <s v="Ywa Haung_M" u="1"/>
        <s v="Muslim (Taung Ywa)" u="1"/>
        <s v="Din Gar" u="1"/>
        <s v="Baw Di Kone" u="1"/>
        <s v="Phayapaw Phayathein" u="1"/>
        <s v="Kan Kyar Taung " u="1"/>
        <s v="Sat Yon Maw (Rakhine)" u="1"/>
        <s v="Ngar Saung Bet" u="1"/>
        <s v="Nat Chaung (Garapyin)" u="1"/>
        <s v="Mingalar Nyunt (NaTaLa)" u="1"/>
        <s v="Shwe Zin Yaw" u="1"/>
        <s v="Say Tha Mar Nge" u="1"/>
        <s v="Nyaung Chaung_ann" u="1"/>
        <s v="Aung Si Kone" u="1"/>
        <s v="Ah Myet Taung" u="1"/>
        <s v="Sein Hnyin Pyar_Tha Pyay Taw" u="1"/>
        <s v="Ohn Taw Chay" u="1"/>
        <s v="Bang Yang Hka (Mung Ji Pa)" u="1"/>
        <s v="Ywa Haung_R" u="1"/>
        <s v="Ywa Ma" u="1"/>
        <s v="Done Thar" u="1"/>
        <s v="Let Thar Ywa" u="1"/>
        <s v="Ah Pyin Done Chaung" u="1"/>
        <s v="War Taung" u="1"/>
        <s v="Gyin Chaung" u="1"/>
        <s v="Ma Hawng RC " u="1"/>
        <s v="Paung Zar" u="1"/>
        <s v="Wet Mee To" u="1"/>
        <s v="Dar Paing Ywar Haung" u="1"/>
        <s v="Say Tha Mar Gyi" u="1"/>
        <s v="Girl Boarding house, A Len Bum" u="1"/>
        <s v="Ma Gyi Koung" u="1"/>
        <s v="Yan Aung Pyin" u="1"/>
        <s v="Tat U Chaung (West)" u="1"/>
        <s v="Ah Htet Thin Pone Tan" u="1"/>
        <s v="Pyar Pin Yin" u="1"/>
        <s v="Kar Di (Kywe Cho Maw)" u="1"/>
        <s v="Zedi Taung (Muslim)" u="1"/>
        <s v="Tin Htein Kan Monastery" u="1"/>
        <s v="Swi Chaung" u="1"/>
        <s v="Thin Pone Tan" u="1"/>
        <s v="site A" u="1"/>
        <s v="Tan Khoe" u="1"/>
        <s v="Sha Kay Ywa" u="1"/>
        <s v="Oke Hpo (Oe Hpauk)" u="1"/>
        <s v=" Zay Ywar " u="1"/>
        <s v="Thar Yar Kone" u="1"/>
        <s v="Laung Sat" u="1"/>
        <s v="Naunghwe-Naung San Primary School" u="1"/>
        <s v="Maw Ti Ngar" u="1"/>
        <s v="Basare" u="1"/>
        <s v="Kyauk Pan Du" u="1"/>
        <s v="Ah Nauk Ye Ku Lar" u="1"/>
        <s v="Majee Ywa" u="1"/>
        <s v="Ywa Thit" u="1"/>
        <s v="Si Tar (Pa Zun Chaung)" u="1"/>
        <s v="Tan Seik" u="1"/>
        <s v="Pan Myaung (Aung Mingalar Monastery)" u="1"/>
        <s v="Tang Tan" u="1"/>
        <s v="Be Kho" u="1"/>
        <s v="Done Pyin (South)" u="1"/>
        <s v="Kyauk Tan Gyi" u="1"/>
        <s v="Sin Khone Taing (Ku Lar)" u="1"/>
        <s v="Kywe Lan Chaung" u="1"/>
        <s v="Gudar Pyin" u="1"/>
        <s v="Ka Nyin Tan" u="1"/>
        <s v="Pyein Chaung (ngwe Twin Dway tract)" u="1"/>
        <s v="Baw Du Pha (IDP in host families)" u="1"/>
        <s v="Kar Di Ha Yar" u="1"/>
        <s v="Lam Bar Gone Nah" u="1"/>
        <s v="Daung Pyauk Kay" u="1"/>
        <s v="Yae Chan Pyin" u="1"/>
        <s v="Zin Khar Chay Monastery" u="1"/>
        <s v="Taungchay Ywa Muslim" u="1"/>
        <s v="Nga/ Pun Ywar Gyi" u="1"/>
        <s v="Ah Pauk Wa" u="1"/>
        <s v="Kyeik Chaung" u="1"/>
        <s v="Chin Kone" u="1"/>
        <s v="Maung Hpyu (Da Pyu Chaung)" u="1"/>
        <s v="Kyet Mauk Taung (Taung Ywar)" u="1"/>
        <s v="Say Oe Kya ( Host+ Displaced)" u="1"/>
        <s v="Myat Yeik Kyun Monastery" u="1"/>
        <s v="Zaw Ma Tat ( Myo/ Relocation)" u="1"/>
        <s v="Gaung Nyar" u="1"/>
        <s v="Hpa Yar Pyin Thein Tan" u="1"/>
        <s v="Navy Seik" u="1"/>
        <s v="Myet Yeik Kyun Monastery" u="1"/>
        <s v="Ywet Nyo Taung ( Rakhine)" u="1"/>
        <s v="Yay Chan Pyin" u="1"/>
        <s v="Wet Ma Kya" u="1"/>
        <s v="Myo Oo St. Dominic RC Church" u="1"/>
        <s v="Min Kha Maung (NaTaLa)" u="1"/>
        <s v="Ywa Thar Yar" u="1"/>
        <s v="Ka Nyin Taw" u="1"/>
        <s v="Sa Ma Nya Village" u="1"/>
        <s v="Sin Baw Kaing (School)" u="1"/>
        <s v="Naw Naw(Ku Lar)" u="1"/>
        <s v="Ahla Madi" u="1"/>
        <s v="Kyauk Reik Kay Monastery" u="1"/>
        <s v="San Kar Resettlement" u="1"/>
        <s v="Thit Tone Na Gwa Sone (Daung Ywa)" u="1"/>
        <s v="Ngwe Taung" u="1"/>
        <s v="Tha Yet" u="1"/>
        <s v="Ban Bwee" u="1"/>
        <s v="Chaik Taung" u="1"/>
        <s v="Ywar Thit Kay" u="1"/>
        <s v="Hpet Leik" u="1"/>
        <s v="Lwe Mauk Yang Boarding School" u="1"/>
        <s v="Done Pyin Village" u="1"/>
        <s v="Oke Kan" u="1"/>
        <s v="Ah Lel Ywa" u="1"/>
        <s v="Mra_Zay Di Taung" u="1"/>
        <s v="Ar Kya" u="1"/>
        <s v="La Baw Zar" u="1"/>
        <s v="Kyein Chaung" u="1"/>
        <s v="Kan Thar Htwat Wa" u="1"/>
        <s v="Baw Li (Rakhine)" u="1"/>
        <s v="Kyet Yoe Pyin (Ywa Ma)" u="1"/>
        <s v="War Taung Camp" u="1"/>
        <s v="Hpar Wut Chaung (Ywar Thit)" u="1"/>
        <s v="Tan Chaung" u="1"/>
        <s v="Nant Hlaing Church" u="1"/>
        <s v="Ohn Ye Paw" u="1"/>
        <s v="Gone Nar" u="1"/>
        <s v="Mat Chi Nu " u="1"/>
        <s v="Fatar" u="1"/>
        <s v="San Pai Pin Yin" u="1"/>
        <s v="Ngan Chaung" u="1"/>
        <s v="Phat Lake" u="1"/>
        <s v="Myaunk Ywa_R" u="1"/>
        <s v="Than Pyin" u="1"/>
        <s v="Thae Chaung" u="1"/>
        <s v="Rakhine Min Pyin" u="1"/>
        <s v="Pyaung Seik" u="1"/>
        <s v="San Htoe Tan" u="1"/>
        <s v="Thar Yar Kone (Rakhine)" u="1"/>
        <s v="Kyauk Yant" u="1"/>
        <s v="Auk Thar Kan" u="1"/>
        <s v="Bu Chaung" u="1"/>
        <s v="Thaung Paing Nyar" u="1"/>
        <s v="Thea Chaung Let Tha Mar Kone" u="1"/>
        <s v="Dar Pai" u="1"/>
        <s v="Pyin Hlyar Shey" u="1"/>
        <s v="Koun Tan" u="1"/>
        <s v="Yi Ku Man Kan school" u="1"/>
        <s v="Tha Mee Hla" u="1"/>
        <s v="Gan Gaw Myaing ( Na Ta La )" u="1"/>
        <s v="Zaw Ma Tat" u="1"/>
        <s v="Aung Thar Yar" u="1"/>
        <s v="Min Thar Seik" u="1"/>
        <s v="Sar Kon Boke (Hindu Para)" u="1"/>
        <s v="Wet Kyein (Myo)" u="1"/>
        <s v="AD 2000 School" u="1"/>
        <s v="Tha Ray Kon Baung" u="1"/>
        <s v="Namatee AG" u="1"/>
        <s v="Ward-6 (Lay Myaing)" u="1"/>
        <s v="Ka Doe Seik" u="1"/>
        <s v="Kyan Taw" u="1"/>
        <s v="Nyaung Bin Hla Village" u="1"/>
        <s v="Pann Phaw Pyin" u="1"/>
        <s v="Aung Zay Yar" u="1"/>
        <s v="AD-2000 Extension camp" u="1"/>
        <s v="Man Pya San Pya Resettlement" u="1"/>
        <s v="Ywar Thar Yar" u="1"/>
        <s v="Kutkai downtown (RC Church)" u="1"/>
        <s v="Thea Chaung Ku Lar" u="1"/>
        <s v="Min Ga Lar Gyi" u="1"/>
        <s v="Um Uma" u="1"/>
        <s v="Taung Pyo ( 1 Quarter)" u="1"/>
        <s v="Taung Pyo ( 2 Quarter)" u="1"/>
        <s v="Taung Pyo ( 4 Quarter)" u="1"/>
        <s v="Taung Maw" u="1"/>
        <s v="Sin Baw Kaing (Monastery)" u="1"/>
        <s v="Shat Shar Taung" u="1"/>
        <s v="Kha Tin Pike Chay" u="1"/>
        <s v="Tang Hpre RC Church" u="1"/>
        <s v="Kyun Taw" u="1"/>
        <s v="Taung Paw" u="1"/>
        <s v="Kyauk Sar Dine" u="1"/>
        <s v="Shwe Baho+Sein P M" u="1"/>
        <s v="Pa Dauk Myaing (Pa La Na) II" u="1"/>
        <s v="Oak Pho" u="1"/>
        <s v="Pet Khwet Seik" u="1"/>
        <s v="Aung Zay Kone" u="1"/>
        <s v="Boys Boarding house, A Len Bum" u="1"/>
        <s v="Seik Ta Ra" u="1"/>
        <s v="Yoe Ngu" u="1"/>
        <s v="Aung Sit Pyin ( Done Pike)" u="1"/>
        <s v=" A Htet Myat Lay" u="1"/>
        <s v="Aung Mingalar (NaTaLa)" u="1"/>
        <s v="Aung Thar Yar (NaTaLa)" u="1"/>
        <s v="Thit Tone Nar Lay Myo" u="1"/>
        <s v="Khaung Doke Khar" u="1"/>
        <s v="Myauk Ywar" u="1"/>
        <s v="Kyauk Sar Taing" u="1"/>
        <s v="Tha Pyay Seik" u="1"/>
        <s v="New Man Jiu village" u="1"/>
        <s v="Shan Kone" u="1"/>
        <s v="Aung Zay Ya (Su See)" u="1"/>
        <s v="Ta Man Thar (Thar Zay)_(Myo)" u="1"/>
        <s v="Ka Nyin" u="1"/>
        <s v="Yoe Kyi Monastery" u="1"/>
        <s v="Let Saung Kauk" u="1"/>
        <s v="Than Du" u="1"/>
        <s v="Yoe Ta Yote" u="1"/>
      </sharedItems>
    </cacheField>
    <cacheField name="Total HH" numFmtId="164">
      <sharedItems containsString="0" containsBlank="1" containsNumber="1" minValue="3" maxValue="1592"/>
    </cacheField>
    <cacheField name="Total PoP " numFmtId="164">
      <sharedItems containsString="0" containsBlank="1" containsNumber="1" containsInteger="1" minValue="15" maxValue="8225"/>
    </cacheField>
    <cacheField name="Project start date" numFmtId="168">
      <sharedItems containsDate="1" containsBlank="1" containsMixedTypes="1" minDate="2020-10-01T00:00:00" maxDate="2023-04-02T00:00:00"/>
    </cacheField>
    <cacheField name="Project end date" numFmtId="165">
      <sharedItems containsDate="1" containsBlank="1" containsMixedTypes="1" minDate="2022-04-30T00:00:00" maxDate="2024-04-01T00:00:00"/>
    </cacheField>
    <cacheField name="#_students at TLS_CFS" numFmtId="164">
      <sharedItems containsString="0" containsBlank="1" containsNumber="1" containsInteger="1" minValue="0" maxValue="489"/>
    </cacheField>
    <cacheField name="#_ paid camp based WASH skilled labor" numFmtId="164">
      <sharedItems containsString="0" containsBlank="1" containsNumber="1" containsInteger="1" minValue="1" maxValue="6"/>
    </cacheField>
    <cacheField name="#_paid camp based unskilled WASH unskilled labor" numFmtId="164">
      <sharedItems containsString="0" containsBlank="1" containsNumber="1" containsInteger="1" minValue="0" maxValue="6"/>
    </cacheField>
    <cacheField name="# Work days (approx) lost in this site due to access restrictions" numFmtId="164">
      <sharedItems containsString="0" containsBlank="1" containsNumber="1" containsInteger="1" minValue="0" maxValue="1"/>
    </cacheField>
    <cacheField name="WASH Focal in camp management structure?" numFmtId="1">
      <sharedItems containsBlank="1"/>
    </cacheField>
    <cacheField name="#_men on camp WASH team" numFmtId="164">
      <sharedItems containsString="0" containsBlank="1" containsNumber="1" containsInteger="1" minValue="1" maxValue="19"/>
    </cacheField>
    <cacheField name="#_women on camp WASH team" numFmtId="164">
      <sharedItems containsString="0" containsBlank="1" containsNumber="1" containsInteger="1" minValue="1" maxValue="55"/>
    </cacheField>
    <cacheField name="#_Constructed/existing protected hand dug well" numFmtId="164">
      <sharedItems containsString="0" containsBlank="1" containsNumber="1" containsInteger="1" minValue="1" maxValue="27"/>
    </cacheField>
    <cacheField name="#_Non-functional protected hand dug well" numFmtId="164">
      <sharedItems containsString="0" containsBlank="1" containsNumber="1" containsInteger="1" minValue="1" maxValue="12"/>
    </cacheField>
    <cacheField name="#_Operation &amp; Maintenance of hand dug well" numFmtId="164">
      <sharedItems containsString="0" containsBlank="1" containsNumber="1" containsInteger="1" minValue="1" maxValue="1"/>
    </cacheField>
    <cacheField name="#_Constructed/Existing tube wells/boreholes/handpumps_WASH_agency" numFmtId="164">
      <sharedItems containsString="0" containsBlank="1" containsNumber="1" containsInteger="1" minValue="1" maxValue="24"/>
    </cacheField>
    <cacheField name="#_Non-Cluster partner water tube-wells/boreholes/handpumps" numFmtId="164">
      <sharedItems containsString="0" containsBlank="1" containsNumber="1" containsInteger="1" minValue="0" maxValue="2"/>
    </cacheField>
    <cacheField name="#_Non-functional tube wells/boreholes/handpumps" numFmtId="164">
      <sharedItems containsString="0" containsBlank="1" containsNumber="1" containsInteger="1" minValue="1" maxValue="3"/>
    </cacheField>
    <cacheField name="#_Operation &amp; Maintenance of tube wells/boreholes/handpumps" numFmtId="164">
      <sharedItems containsString="0" containsBlank="1" containsNumber="1" containsInteger="1" minValue="1" maxValue="3"/>
    </cacheField>
    <cacheField name="#_Constructed/Existingwater storage tank with gravity fed reticulation system" numFmtId="164">
      <sharedItems containsString="0" containsBlank="1" containsNumber="1" containsInteger="1" minValue="1" maxValue="48"/>
    </cacheField>
    <cacheField name="#_Non-functional storage tank gravity fed reticulation system" numFmtId="164">
      <sharedItems containsString="0" containsBlank="1" containsNumber="1" containsInteger="1" minValue="1" maxValue="2"/>
    </cacheField>
    <cacheField name="#_Operation &amp; maintenance of storage tank and reticulation system" numFmtId="164">
      <sharedItems containsString="0" containsBlank="1" containsNumber="1" minValue="1" maxValue="5.6781180000000004"/>
    </cacheField>
    <cacheField name="#_Water_Liters_supplied_by_Water boating or water trucking" numFmtId="164">
      <sharedItems containsString="0" containsBlank="1" containsNumber="1" containsInteger="1" minValue="5" maxValue="1500"/>
    </cacheField>
    <cacheField name="#_Constructed/Existing protected/fenced ponds" numFmtId="164">
      <sharedItems containsString="0" containsBlank="1" containsNumber="1" containsInteger="1" minValue="1" maxValue="14"/>
    </cacheField>
    <cacheField name="#_Water_Liters_from_Constructed/Existing water distribution system from river or natural spring" numFmtId="164">
      <sharedItems containsNonDate="0" containsString="0" containsBlank="1"/>
    </cacheField>
    <cacheField name="#_committes/technicians trained and maintaining the water points" numFmtId="164">
      <sharedItems containsString="0" containsBlank="1" containsNumber="1" containsInteger="1" minValue="1" maxValue="26"/>
    </cacheField>
    <cacheField name="#_Water points fully handed over" numFmtId="164">
      <sharedItems containsString="0" containsBlank="1" containsNumber="1" containsInteger="1" minValue="1" maxValue="10"/>
    </cacheField>
    <cacheField name="#_Water sources tested for fecal coliform " numFmtId="164">
      <sharedItems containsString="0" containsBlank="1" containsNumber="1" containsInteger="1" minValue="1" maxValue="42"/>
    </cacheField>
    <cacheField name="#_Water sources passed" numFmtId="164">
      <sharedItems containsString="0" containsBlank="1" containsNumber="1" containsInteger="1" minValue="1" maxValue="42"/>
    </cacheField>
    <cacheField name="#_Household water samples tested for fecal coliform" numFmtId="164">
      <sharedItems containsString="0" containsBlank="1" containsNumber="1" containsInteger="1" minValue="1" maxValue="36"/>
    </cacheField>
    <cacheField name="#_Household passed" numFmtId="164">
      <sharedItems containsString="0" containsBlank="1" containsNumber="1" containsInteger="1" minValue="1" maxValue="36"/>
    </cacheField>
    <cacheField name="#_Constructed/Existing hand washing stations at TLS/CFS/THF" numFmtId="164">
      <sharedItems containsString="0" containsBlank="1" containsNumber="1" containsInteger="1" minValue="1" maxValue="21"/>
    </cacheField>
    <cacheField name="#_of water points in TLS/CFS" numFmtId="164">
      <sharedItems containsString="0" containsBlank="1" containsNumber="1" containsInteger="1" minValue="1" maxValue="23"/>
    </cacheField>
    <cacheField name="#_of water points in THF" numFmtId="164">
      <sharedItems containsString="0" containsBlank="1" containsNumber="1" containsInteger="1" minValue="1" maxValue="3"/>
    </cacheField>
    <cacheField name="WATER Comments" numFmtId="0">
      <sharedItems containsBlank="1"/>
    </cacheField>
    <cacheField name="#_Constructed latrines_by_WASHAgencies" numFmtId="164">
      <sharedItems containsString="0" containsBlank="1" containsNumber="1" containsInteger="1" minValue="1" maxValue="676"/>
    </cacheField>
    <cacheField name="#_Non Cluster partner latrines" numFmtId="164">
      <sharedItems containsString="0" containsBlank="1" containsNumber="1" containsInteger="1" minValue="0" maxValue="62"/>
    </cacheField>
    <cacheField name="Name of Non-Cluster partner who constructed latrines" numFmtId="9">
      <sharedItems containsBlank="1"/>
    </cacheField>
    <cacheField name="#_Non-functional latrines" numFmtId="164">
      <sharedItems containsString="0" containsBlank="1" containsNumber="1" containsInteger="1" minValue="1" maxValue="200"/>
    </cacheField>
    <cacheField name="#_Operation &amp; maintenance of latrines" numFmtId="164">
      <sharedItems containsString="0" containsBlank="1" containsNumber="1" containsInteger="1" minValue="1" maxValue="66"/>
    </cacheField>
    <cacheField name="#_Latrines desludged during the past quarter" numFmtId="164">
      <sharedItems containsString="0" containsBlank="1" containsNumber="1" containsInteger="1" minValue="2" maxValue="153"/>
    </cacheField>
    <cacheField name="#_Cubic meters of desludging in past quarter" numFmtId="164">
      <sharedItems containsString="0" containsBlank="1" containsNumber="1" minValue="5" maxValue="172"/>
    </cacheField>
    <cacheField name="#_Latrines fully handed over" numFmtId="164">
      <sharedItems containsString="0" containsBlank="1" containsNumber="1" containsInteger="1" minValue="2" maxValue="413"/>
    </cacheField>
    <cacheField name="Is there provision of solid waste management equipment?" numFmtId="0">
      <sharedItems containsBlank="1" count="4">
        <s v="No"/>
        <s v="Yes"/>
        <s v="NA"/>
        <m/>
      </sharedItems>
    </cacheField>
    <cacheField name="Is there constructed surface water drainage system?_x000a_" numFmtId="0">
      <sharedItems containsBlank="1" count="6">
        <s v="No"/>
        <s v="Functional"/>
        <s v="NA"/>
        <s v="Not_Functional"/>
        <m/>
        <s v="Yes" u="1"/>
      </sharedItems>
    </cacheField>
    <cacheField name="#_Constructed/Existing child friendly latrines" numFmtId="164">
      <sharedItems containsString="0" containsBlank="1" containsNumber="1" containsInteger="1" minValue="1" maxValue="13"/>
    </cacheField>
    <cacheField name="#_Constructed/Existing disabled &amp; elderly friendly latrines " numFmtId="164">
      <sharedItems containsString="0" containsBlank="1" containsNumber="1" containsInteger="1" minValue="1" maxValue="274"/>
    </cacheField>
    <cacheField name="# of functional latrines in TLS/CFS supported by WASH partners during the reporting period" numFmtId="164">
      <sharedItems containsString="0" containsBlank="1" containsNumber="1" containsInteger="1" minValue="1" maxValue="62"/>
    </cacheField>
    <cacheField name="# of functional latrines in THF supported by WASH partners during the reporting period2" numFmtId="164">
      <sharedItems containsString="0" containsBlank="1" containsNumber="1" minValue="0.5" maxValue="5"/>
    </cacheField>
    <cacheField name="#_of_persons_with_disabilities_with_adapted_sanitation_option" numFmtId="164">
      <sharedItems containsString="0" containsBlank="1" containsNumber="1" containsInteger="1" minValue="1" maxValue="78"/>
    </cacheField>
    <cacheField name="Sanitation Comments" numFmtId="0">
      <sharedItems containsBlank="1"/>
    </cacheField>
    <cacheField name="#_Constructed/Existing hand washing stations" numFmtId="164">
      <sharedItems containsString="0" containsBlank="1" containsNumber="1" containsInteger="1" minValue="1" maxValue="315"/>
    </cacheField>
    <cacheField name="#_Non-Functional_hand_washing_stations" numFmtId="164">
      <sharedItems containsString="0" containsBlank="1" containsNumber="1" containsInteger="1" minValue="1" maxValue="60"/>
    </cacheField>
    <cacheField name="#_Constructed/Existing_individual_bathing_spaces " numFmtId="164">
      <sharedItems containsString="0" containsBlank="1" containsNumber="1" containsInteger="1" minValue="1" maxValue="266"/>
    </cacheField>
    <cacheField name="#_Constructed/Existing communal bathing spaces " numFmtId="164">
      <sharedItems containsString="0" containsBlank="1" containsNumber="1" containsInteger="1" minValue="1" maxValue="108"/>
    </cacheField>
    <cacheField name="#_Non-Functional communal_bathing spaces " numFmtId="164">
      <sharedItems containsString="0" containsBlank="1" containsNumber="1" containsInteger="1" minValue="1" maxValue="6"/>
    </cacheField>
    <cacheField name="#_male hygiene promoters" numFmtId="164">
      <sharedItems containsString="0" containsBlank="1" containsNumber="1" containsInteger="1" minValue="1" maxValue="3"/>
    </cacheField>
    <cacheField name="#_female hygiene promoters" numFmtId="164">
      <sharedItems containsString="0" containsBlank="1" containsNumber="1" containsInteger="1" minValue="1" maxValue="14"/>
    </cacheField>
    <cacheField name="#_households that received standard amount of soap for this quarter" numFmtId="164">
      <sharedItems containsString="0" containsBlank="1" containsNumber="1" containsInteger="1" minValue="4" maxValue="1350"/>
    </cacheField>
    <cacheField name="# of affected women and girls receiving a sufficient quantity of sanitary pads from direct distribution or from MHM room facilities" numFmtId="164">
      <sharedItems containsBlank="1" containsMixedTypes="1" containsNumber="1" containsInteger="1" minValue="4" maxValue="1773"/>
    </cacheField>
    <cacheField name="Is sufficient soap available for TLS? (Yes/No)" numFmtId="0">
      <sharedItems containsBlank="1"/>
    </cacheField>
    <cacheField name="#_Hygiene Promotion activities (sessions) in TLS?" numFmtId="1">
      <sharedItems containsString="0" containsBlank="1" containsNumber="1" containsInteger="1" minValue="0" maxValue="12"/>
    </cacheField>
    <cacheField name="% of students reached by HP activities" numFmtId="9">
      <sharedItems containsString="0" containsBlank="1" containsNumber="1" minValue="0.08" maxValue="1"/>
    </cacheField>
    <cacheField name="Hygiene_x000a_Comments " numFmtId="0">
      <sharedItems containsBlank="1"/>
    </cacheField>
    <cacheField name="%_of_affected_people_surveyed_who_report_feeling_satistfied_with_the_latrine_design_and_sanitation_service" numFmtId="9">
      <sharedItems containsString="0" containsBlank="1" containsNumber="1" minValue="0.4" maxValue="1"/>
    </cacheField>
    <cacheField name="%_of_affected_people_surveyed_who_report_feeling_satistfied_with_the_water_point_design_and_water_service" numFmtId="9">
      <sharedItems containsString="0" containsBlank="1" containsNumber="1" minValue="0.2" maxValue="1"/>
    </cacheField>
    <cacheField name="#_of_affected_people_surveyed_who_report_feeling_informed_about_the_different_WASH_services_available_to_them" numFmtId="0">
      <sharedItems containsString="0" containsBlank="1" containsNumber="1" minValue="0.09" maxValue="100"/>
    </cacheField>
    <cacheField name="%_of_complaints_received_that_result_in_timely_corrective_action_and_feedback_to_the_community" numFmtId="9">
      <sharedItems containsString="0" containsBlank="1" containsNumber="1" minValue="0.03" maxValue="1"/>
    </cacheField>
    <cacheField name="# of sanitation facilities (latrines) built/repaired/rehabilitated following risk-sensitive programming and consultation with communities and/or GBV risk-sensitive programming" numFmtId="164">
      <sharedItems containsString="0" containsBlank="1" containsNumber="1" containsInteger="1" minValue="5" maxValue="20"/>
    </cacheField>
    <cacheField name="# of sanitation facilities (HH sanitation devices) distributed following risk-sensitive programming and consultation with communities and/or GBV risk-sensitive programming" numFmtId="164">
      <sharedItems containsString="0" containsBlank="1" containsNumber="1" containsInteger="1" minValue="6" maxValue="25"/>
    </cacheField>
    <cacheField name="# of sanitation facilities (bathing spaces) built following risk-sensitive programming and consultation with communities" numFmtId="164">
      <sharedItems containsString="0" containsBlank="1" containsNumber="1" containsInteger="1" minValue="5" maxValue="5"/>
    </cacheField>
    <cacheField name="amount_of_MMK/Voucher_or_Token_distributed_per_HH/Family" numFmtId="164">
      <sharedItems containsNonDate="0" containsString="0" containsBlank="1"/>
    </cacheField>
    <cacheField name="#_of_Family/HH_Reached" numFmtId="164">
      <sharedItems containsNonDate="0" containsString="0" containsBlank="1"/>
    </cacheField>
    <cacheField name="Date_of_Cash_distribution" numFmtId="168">
      <sharedItems containsNonDate="0" containsString="0" containsBlank="1"/>
    </cacheField>
    <cacheField name="Cash_distributed_for_which_items" numFmtId="164">
      <sharedItems containsNonDate="0" containsString="0" containsBlank="1"/>
    </cacheField>
    <cacheField name="% of water sources passed" numFmtId="9">
      <sharedItems containsMixedTypes="1" containsNumber="1" minValue="0" maxValue="1"/>
    </cacheField>
    <cacheField name="% Household passed" numFmtId="9">
      <sharedItems containsMixedTypes="1" containsNumber="1" minValue="0" maxValue="1"/>
    </cacheField>
    <cacheField name="Warter quality test done" numFmtId="1">
      <sharedItems/>
    </cacheField>
    <cacheField name="Functional protected hand dug well" numFmtId="1">
      <sharedItems containsSemiMixedTypes="0" containsString="0" containsNumber="1" containsInteger="1" minValue="0" maxValue="15"/>
    </cacheField>
    <cacheField name="Functional tube wells/boreholes/handpumps (including non-cluster partners)" numFmtId="1">
      <sharedItems containsSemiMixedTypes="0" containsString="0" containsNumber="1" containsInteger="1" minValue="0" maxValue="24"/>
    </cacheField>
    <cacheField name="Functional storage tank with gravity fed reticulation system" numFmtId="1">
      <sharedItems containsSemiMixedTypes="0" containsString="0" containsNumber="1" containsInteger="1" minValue="-2" maxValue="48"/>
    </cacheField>
    <cacheField name="Liters_Water boating or water trucking" numFmtId="1">
      <sharedItems containsSemiMixedTypes="0" containsString="0" containsNumber="1" minValue="0" maxValue="1.1111111111111112"/>
    </cacheField>
    <cacheField name="Liters_Constructed water distribution system from river" numFmtId="1">
      <sharedItems containsSemiMixedTypes="0" containsString="0" containsNumber="1" containsInteger="1" minValue="0" maxValue="0"/>
    </cacheField>
    <cacheField name="# People access to functional water points or water provision supported by WASH partners in TLS/CFS_HRP5" numFmtId="1">
      <sharedItems containsSemiMixedTypes="0" containsString="0" containsNumber="1" containsInteger="1" minValue="0" maxValue="3000"/>
    </cacheField>
    <cacheField name="# People access to functional water points or water provision supported by WASH partners in THF_HRP6" numFmtId="1">
      <sharedItems containsSemiMixedTypes="0" containsString="0" containsNumber="1" containsInteger="1" minValue="0" maxValue="451"/>
    </cacheField>
    <cacheField name="# People access to functional water points or water provision supported by WASH partners in TLS/CFS/THF_HRP5" numFmtId="1">
      <sharedItems containsNonDate="0" containsString="0" containsBlank="1"/>
    </cacheField>
    <cacheField name="Access to safe drinking water for Camp" numFmtId="9">
      <sharedItems containsMixedTypes="1" containsNumber="1" minValue="0" maxValue="1"/>
    </cacheField>
    <cacheField name="Access to safe drinking water for Village" numFmtId="9">
      <sharedItems containsMixedTypes="1" containsNumber="1" minValue="0" maxValue="1"/>
    </cacheField>
    <cacheField name="%Equitable and continuous access to sufficient quantity of safe drinking water" numFmtId="9">
      <sharedItems containsMixedTypes="1" containsNumber="1" minValue="0" maxValue="1"/>
    </cacheField>
    <cacheField name="# people with equitable and continuous access to sufficient quantity of safe drinking water" numFmtId="1">
      <sharedItems containsSemiMixedTypes="0" containsString="0" containsNumber="1" minValue="0" maxValue="3451"/>
    </cacheField>
    <cacheField name="% Access to unimproved water points" numFmtId="9">
      <sharedItems containsSemiMixedTypes="0" containsString="0" containsNumber="1" minValue="0" maxValue="1"/>
    </cacheField>
    <cacheField name="#People access to unimproved water sources" numFmtId="1">
      <sharedItems containsSemiMixedTypes="0" containsString="0" containsNumber="1" minValue="0" maxValue="1500"/>
    </cacheField>
    <cacheField name="% Equitable and continuous access to sufficient quantity of domestic water" numFmtId="9">
      <sharedItems containsSemiMixedTypes="0" containsString="0" containsNumber="1" minValue="0" maxValue="1"/>
    </cacheField>
    <cacheField name="HRP1" numFmtId="1">
      <sharedItems containsSemiMixedTypes="0" containsString="0" containsNumber="1" minValue="0" maxValue="3451"/>
    </cacheField>
    <cacheField name="#Water points coverage" numFmtId="1">
      <sharedItems containsSemiMixedTypes="0" containsString="0" containsNumber="1" minValue="0" maxValue="6.9020000000000001"/>
    </cacheField>
    <cacheField name="%equitable and continuous access to sufficient quantity of safe drinking and domestic water's GAP" numFmtId="9">
      <sharedItems containsSemiMixedTypes="0" containsString="0" containsNumber="1" minValue="0" maxValue="1"/>
    </cacheField>
    <cacheField name="# people needs equitable and continuous access to sufficient quantity of safe drinking and domestic water GAP" numFmtId="1">
      <sharedItems containsSemiMixedTypes="0" containsString="0" containsNumber="1" minValue="0" maxValue="6660.666666666667"/>
    </cacheField>
    <cacheField name="#Potential required new water points" numFmtId="1">
      <sharedItems containsSemiMixedTypes="0" containsString="0" containsNumber="1" minValue="0" maxValue="13.533333333333333"/>
    </cacheField>
    <cacheField name="Total required water points" numFmtId="1">
      <sharedItems containsSemiMixedTypes="0" containsString="0" containsNumber="1" containsInteger="1" minValue="1" maxValue="16"/>
    </cacheField>
    <cacheField name="# of Functioning latrine" numFmtId="1">
      <sharedItems containsSemiMixedTypes="0" containsString="0" containsNumber="1" containsInteger="1" minValue="0" maxValue="656"/>
    </cacheField>
    <cacheField name="% people access to functioning Latrine" numFmtId="9">
      <sharedItems containsSemiMixedTypes="0" containsString="0" containsNumber="1" minValue="0" maxValue="1"/>
    </cacheField>
    <cacheField name="HRP2" numFmtId="1">
      <sharedItems containsSemiMixedTypes="0" containsString="0" containsNumber="1" containsInteger="1" minValue="0" maxValue="8225"/>
    </cacheField>
    <cacheField name="# people access to continuous sanitation services desluding" numFmtId="1">
      <sharedItems containsSemiMixedTypes="0" containsString="0" containsNumber="1" containsInteger="1" minValue="0" maxValue="3060"/>
    </cacheField>
    <cacheField name="# students access to functioning school latrines_HRP5" numFmtId="1">
      <sharedItems containsSemiMixedTypes="0" containsString="0" containsNumber="1" containsInteger="1" minValue="0" maxValue="90"/>
    </cacheField>
    <cacheField name="# People access to functioning latrines in THF_HRP6" numFmtId="1">
      <sharedItems containsSemiMixedTypes="0" containsString="0" containsNumber="1" containsInteger="1" minValue="0" maxValue="250"/>
    </cacheField>
    <cacheField name="Total required Latrines" numFmtId="1">
      <sharedItems containsSemiMixedTypes="0" containsString="0" containsNumber="1" containsInteger="1" minValue="0" maxValue="464"/>
    </cacheField>
    <cacheField name="# potential required new latrines" numFmtId="1">
      <sharedItems containsSemiMixedTypes="0" containsString="0" containsNumber="1" containsInteger="1" minValue="0" maxValue="464"/>
    </cacheField>
    <cacheField name="% of Latrine Gap" numFmtId="9">
      <sharedItems containsSemiMixedTypes="0" containsString="0" containsNumber="1" minValue="0" maxValue="1"/>
    </cacheField>
    <cacheField name="% Latrines requiring  repairs" numFmtId="9">
      <sharedItems containsSemiMixedTypes="0" containsString="0" containsNumber="1" minValue="0" maxValue="0.9285714285714286"/>
    </cacheField>
    <cacheField name="# people reached by regular dedicated hygiene promotion_5" numFmtId="1">
      <sharedItems containsSemiMixedTypes="0" containsString="0" containsNumber="1" containsInteger="1" minValue="0" maxValue="7000"/>
    </cacheField>
    <cacheField name="# People with access to soap" numFmtId="1">
      <sharedItems containsSemiMixedTypes="0" containsString="0" containsNumber="1" containsInteger="1" minValue="0" maxValue="7394"/>
    </cacheField>
    <cacheField name="# People with access to Sanity Pads" numFmtId="1">
      <sharedItems containsSemiMixedTypes="0" containsString="0" containsNumber="1" containsInteger="1" minValue="0" maxValue="3451"/>
    </cacheField>
    <cacheField name="# People received regular supply of hygiene items_6" numFmtId="1">
      <sharedItems containsSemiMixedTypes="0" containsString="0" containsNumber="1" containsInteger="1" minValue="0" maxValue="7394"/>
    </cacheField>
    <cacheField name="HRP3" numFmtId="1">
      <sharedItems containsSemiMixedTypes="0" containsString="0" containsNumber="1" containsInteger="1" minValue="0" maxValue="7394"/>
    </cacheField>
    <cacheField name="Hygiene Coverage%" numFmtId="9">
      <sharedItems containsMixedTypes="1" containsNumber="1" minValue="0" maxValue="1"/>
    </cacheField>
    <cacheField name="Hygiene Gap%" numFmtId="9">
      <sharedItems containsMixedTypes="1" containsNumber="1" minValue="0" maxValue="1"/>
    </cacheField>
    <cacheField name="%people reached by regular dedicated hygiene promotion" numFmtId="9">
      <sharedItems containsMixedTypes="1" containsNumber="1" minValue="0" maxValue="1"/>
    </cacheField>
    <cacheField name="%HH with access to soap" numFmtId="9">
      <sharedItems containsMixedTypes="1" containsNumber="1" minValue="0" maxValue="1"/>
    </cacheField>
    <cacheField name="% of HH with access to Sanitary Pad" numFmtId="9">
      <sharedItems containsMixedTypes="1" containsNumber="1" minValue="0" maxValue="1"/>
    </cacheField>
    <cacheField name="# Functional hand washing stations during reporting period" numFmtId="1">
      <sharedItems containsSemiMixedTypes="0" containsString="0" containsNumber="1" containsInteger="1" minValue="0" maxValue="315"/>
    </cacheField>
    <cacheField name="#HH with access to Hand Washing Station" numFmtId="1">
      <sharedItems containsSemiMixedTypes="0" containsString="0" containsNumber="1" containsInteger="1" minValue="0" maxValue="1592"/>
    </cacheField>
    <cacheField name="# of hand washing stations with soap in TLS" numFmtId="1">
      <sharedItems containsSemiMixedTypes="0" containsString="0" containsNumber="1" containsInteger="1" minValue="0" maxValue="12"/>
    </cacheField>
    <cacheField name="# People access to Handwashing Station" numFmtId="1">
      <sharedItems containsSemiMixedTypes="0" containsString="0" containsNumber="1" containsInteger="1" minValue="0" maxValue="8225"/>
    </cacheField>
    <cacheField name="Sites with TLS" numFmtId="1">
      <sharedItems/>
    </cacheField>
    <cacheField name="%_of_affected_people_surveyed_who_report_feeling_informed_about_the_different_WASH_services_available_to_them2" numFmtId="9">
      <sharedItems containsMixedTypes="1" containsNumber="1" minValue="3.3027522935779817E-5" maxValue="0.46948356807511737"/>
    </cacheField>
    <cacheField name="# of affected people surveyed who report feeling satistfied with the latrine design and sanitation service " numFmtId="164">
      <sharedItems containsSemiMixedTypes="0" containsString="0" containsNumber="1" minValue="0" maxValue="5757.5"/>
    </cacheField>
    <cacheField name="# of affected people surveyed who report feeling satistfied with the water point design and water service" numFmtId="164">
      <sharedItems containsSemiMixedTypes="0" containsString="0" containsNumber="1" minValue="0" maxValue="6580"/>
    </cacheField>
    <cacheField name="# complaints received that result in timely, corrective action and feedback to the community" numFmtId="164">
      <sharedItems containsSemiMixedTypes="0" containsString="0" containsNumber="1" minValue="0" maxValue="6580"/>
    </cacheField>
    <cacheField name="HRP4" numFmtId="164">
      <sharedItems containsSemiMixedTypes="0" containsString="0" containsNumber="1" minValue="0" maxValue="6580"/>
    </cacheField>
    <cacheField name="HRP5" numFmtId="164">
      <sharedItems containsSemiMixedTypes="0" containsString="0" containsNumber="1" containsInteger="1" minValue="0" maxValue="3000"/>
    </cacheField>
    <cacheField name="HRP6" numFmtId="164">
      <sharedItems containsSemiMixedTypes="0" containsString="0" containsNumber="1" containsInteger="1" minValue="0" maxValue="451"/>
    </cacheField>
    <cacheField name="CCCM Management" numFmtId="0">
      <sharedItems containsMixedTypes="1" containsNumber="1" containsInteger="1" minValue="0" maxValue="0"/>
    </cacheField>
    <cacheField name="CCCM Focal Agency" numFmtId="0">
      <sharedItems containsMixedTypes="1" containsNumber="1" containsInteger="1" minValue="0" maxValue="0"/>
    </cacheField>
    <cacheField name="Location Type 1" numFmtId="0">
      <sharedItems containsBlank="1" count="9">
        <s v="Camp"/>
        <s v="Village Type Camp"/>
        <s v="Relocated"/>
        <m u="1"/>
        <s v="Temporary location" u="1"/>
        <s v="Camp like setting" u="1"/>
        <s v="Town" u="1"/>
        <e v="#N/A" u="1"/>
        <s v="Village" u="1"/>
      </sharedItems>
    </cacheField>
    <cacheField name="Type of accommodation" numFmtId="0">
      <sharedItems containsMixedTypes="1" containsNumber="1" containsInteger="1" minValue="0" maxValue="0" count="9">
        <s v="Camp like setting"/>
        <s v="Closed Camp"/>
        <s v="Camp"/>
        <s v="School"/>
        <s v="IDPs in host"/>
        <s v="Boarding School"/>
        <s v="Relocated-Individual House"/>
        <s v="Temporary closed"/>
        <n v="0" u="1"/>
      </sharedItems>
    </cacheField>
    <cacheField name="Ethnic or GCA/NGCA" numFmtId="0">
      <sharedItems containsMixedTypes="1" containsNumber="1" minValue="0" maxValue="97.49136" count="341">
        <s v="GCA"/>
        <s v="NGCA"/>
        <n v="0" u="1"/>
        <n v="20.181405999999999" u="1"/>
        <n v="20.8550128936768" u="1"/>
        <n v="20.201499999999999" u="1"/>
        <n v="20.645240783999999" u="1"/>
        <n v="23.682887999999998" u="1"/>
        <n v="25.371049444444399" u="1"/>
        <n v="26.569633" u="1"/>
        <n v="19.611209869384801" u="1"/>
        <n v="20.482030868999999" u="1"/>
        <n v="24.200367" u="1"/>
        <n v="24.263786" u="1"/>
        <n v="25.404752999999999" u="1"/>
        <n v="20.0641" u="1"/>
        <n v="20.713259999999998" u="1"/>
        <n v="23.400155999999999" u="1"/>
        <n v="23.4008" u="1"/>
        <n v="25.350809000000002" u="1"/>
        <n v="25.635300000000001" u="1"/>
        <n v="20.183790206909201" u="1"/>
        <n v="20.509660720999999" u="1"/>
        <n v="20.705930709838899" u="1"/>
        <n v="24.996279999999999" u="1"/>
        <n v="25.220278" u="1"/>
        <n v="25.321710740740698" u="1"/>
        <n v="19.424576999999999" u="1"/>
        <n v="20.191719055175799" u="1"/>
        <n v="24.222349999999999" u="1"/>
        <n v="97.49136" u="1"/>
        <n v="20.167421999999998" u="1"/>
        <n v="20.339799880981399" u="1"/>
        <n v="20.394809723000002" u="1"/>
        <n v="20.903770446777301" u="1"/>
        <n v="23.460349999999998" u="1"/>
        <n v="23.83013" u="1"/>
        <n v="19.421102000000001" u="1"/>
        <n v="21.000970840454102" u="1"/>
        <n v="25.493819999999999" u="1"/>
        <n v="20.494340897000001" u="1"/>
        <n v="20.711349487304702" u="1"/>
        <n v="23.591999999999999" u="1"/>
        <n v="27.337499999999999" u="1"/>
        <n v="20.398889541999999" u="1"/>
        <n v="20.569759368896499" u="1"/>
        <n v="23.829599000000002" u="1"/>
        <n v="24.08738" u="1"/>
        <n v="24.2631743589744" u="1"/>
        <n v="25.424529444444399" u="1"/>
        <n v="25.51352" u="1"/>
        <n v="20.731571197509801" u="1"/>
        <n v="22.677008000000001" u="1"/>
        <n v="19.7062797546387" u="1"/>
        <n v="20.179939999999998" u="1"/>
        <n v="20.272630691528299" u="1"/>
        <n v="23.250678000000001" u="1"/>
        <n v="23.828150000000001" u="1"/>
        <n v="24.056132999999999" u="1"/>
        <n v="24.24766" u="1"/>
        <n v="25.299679999999999" u="1"/>
        <n v="20.677059173583999" u="1"/>
        <n v="20.785770416259801" u="1"/>
        <n v="20.057860999999999" u="1"/>
        <n v="20.148584" u="1"/>
        <n v="20.151471999999998" u="1"/>
        <n v="20.16846" u="1"/>
        <n v="20.194370269775401" u="1"/>
        <n v="20.78332" u="1"/>
        <n v="23.099304" u="1"/>
        <n v="23.353999999999999" u="1"/>
        <n v="24.251860000000001" u="1"/>
        <n v="25.362420757575801" u="1"/>
        <n v="25.374343974359" u="1"/>
        <n v="26.548506" u="1"/>
        <n v="19.591590881347699" u="1"/>
        <n v="20.392137999999999" u="1"/>
        <n v="20.495670318603501" u="1"/>
        <n v="20.851089477539102" u="1"/>
        <n v="25.440928" u="1"/>
        <n v="25.656009999999998" u="1"/>
        <n v="19.721389770507798" u="1"/>
        <n v="20.786739349365199" u="1"/>
        <n v="20.806400299072301" u="1"/>
        <n v="24.245100000000001" u="1"/>
        <n v="25.265277999999999" u="1"/>
        <n v="25.415667500000001" u="1"/>
        <n v="19.725629806518601" u="1"/>
        <n v="20.18994" u="1"/>
        <n v="20.260789871215799" u="1"/>
        <n v="20.478969573974599" u="1"/>
        <n v="20.866529464721701" u="1"/>
        <n v="23.450914000000001" u="1"/>
        <n v="25.6145" u="1"/>
        <n v="20.564739227" u="1"/>
        <n v="23.694130000000001" u="1"/>
        <n v="24.200361000000001" u="1"/>
        <n v="24.404876999999999" u="1"/>
        <n v="25.423817" u="1"/>
        <n v="19.962713241577099" u="1"/>
        <n v="20.470119476318398" u="1"/>
        <n v="23.821380000000001" u="1"/>
        <n v="23.828520000000001" u="1"/>
        <n v="24.378167000000001" u="1"/>
        <n v="27.248964999999998" u="1"/>
        <n v="19.925739288330099" u="1"/>
        <n v="20.727589999999999" u="1"/>
        <n v="24.461033" u="1"/>
        <n v="25.403476999999999" u="1"/>
        <n v="25.404015000000001" u="1"/>
        <n v="25.613894999999999" u="1"/>
        <n v="25.920006000000001" u="1"/>
        <n v="20.463909149169901" u="1"/>
        <n v="20.910375595092798" u="1"/>
        <n v="24.260466999999998" u="1"/>
        <n v="25.305669999999999" u="1"/>
        <n v="25.360463124999999" u="1"/>
        <n v="20.037655000000001" u="1"/>
        <n v="24.260719999999999" u="1"/>
        <n v="24.764959999999999" u="1"/>
        <n v="25.418084" u="1"/>
        <n v="20.041981" u="1"/>
        <n v="20.497299194335898" u="1"/>
        <n v="20.8037109375" u="1"/>
        <n v="20.824777999999998" u="1"/>
        <n v="24.268292826086999" u="1"/>
        <n v="24.29138" u="1"/>
        <n v="25.305008999999998" u="1"/>
        <n v="25.401061110000001" u="1"/>
        <n v="25.4118005797101" u="1"/>
        <n v="20.212700000000002" u="1"/>
        <n v="20.596279144" u="1"/>
        <n v="20.946010589599599" u="1"/>
        <n v="24.129059999999999" u="1"/>
        <n v="97.431079999999994" u="1"/>
        <n v="19.991359710693398" u="1"/>
        <n v="20.180194" u="1"/>
        <n v="20.821479797363299" u="1"/>
        <n v="25.647649999999999" u="1"/>
        <n v="19.484790802001999" u="1"/>
        <n v="19.627199172973601" u="1"/>
        <n v="19.639009475708001" u="1"/>
        <n v="20.235199999999999" u="1"/>
        <n v="20.803529739379901" u="1"/>
        <n v="20.886997999999998" u="1"/>
        <n v="25.200333000000001" u="1"/>
        <n v="25.889410000000002" u="1"/>
        <n v="20.0087699890137" u="1"/>
        <n v="20.245159149169901" u="1"/>
        <n v="20.697889328002901" u="1"/>
        <n v="20.723630905151399" u="1"/>
        <n v="20.8490600585938" u="1"/>
        <n v="20.865687000000001" u="1"/>
        <n v="20.8950595855713" u="1"/>
        <n v="23.372409999999999" u="1"/>
        <n v="24.253067000000001" u="1"/>
        <n v="20.4625244140625" u="1"/>
        <n v="23.611999999999998" u="1"/>
        <n v="20.473930358886701" u="1"/>
        <n v="20.831729888916001" u="1"/>
        <n v="20.859569549560501" u="1"/>
        <n v="25.351250396825399" u="1"/>
        <n v="25.423209" u="1"/>
        <n v="20.155805999999998" u="1"/>
        <n v="20.632720946999999" u="1"/>
        <n v="24.002433" u="1"/>
        <n v="19.646549224853501" u="1"/>
        <n v="20.1573600769043" u="1"/>
        <n v="24.752471" u="1"/>
        <n v="25.333683333333301" u="1"/>
        <n v="25.3510167948718" u="1"/>
        <n v="25.3959740909091" u="1"/>
        <n v="20.1438598632813" u="1"/>
        <n v="20.1585" u="1"/>
        <n v="20.179417000000001" u="1"/>
        <n v="20.182987000000001" u="1"/>
        <n v="20.202525000000001" u="1"/>
        <n v="20.5047302246094" u="1"/>
        <n v="23.38503" u="1"/>
        <n v="24.32638" u="1"/>
        <n v="24.755253" u="1"/>
        <n v="25.351724999999998" u="1"/>
        <n v="23.588920000000002" u="1"/>
        <n v="25.415482000000001" u="1"/>
        <n v="20.709970473999999" u="1"/>
        <n v="23.463000000000001" u="1"/>
        <n v="23.976571" u="1"/>
        <n v="24.207332999999998" u="1"/>
        <n v="20.185917" u="1"/>
        <n v="20.218299999999999" u="1"/>
        <n v="20.453830718994102" u="1"/>
        <n v="23.24661" u="1"/>
        <n v="20.807970046997099" u="1"/>
        <n v="20.926780700683601" u="1"/>
        <n v="23.841646999999998" u="1"/>
        <n v="25.410569299999999" u="1"/>
        <n v="25.412313000000001" u="1"/>
        <n v="19.989589691162099" u="1"/>
        <n v="20.181742" u="1"/>
        <n v="20.396680832000001" u="1"/>
        <n v="20.872400283813501" u="1"/>
        <n v="24.006319999999999" u="1"/>
        <n v="24.998349999999999" u="1"/>
        <n v="25.599250000000001" u="1"/>
        <n v="25.616509000000001" u="1"/>
        <n v="97.010629910000006" u="1"/>
        <n v="19.610979080200199" u="1"/>
        <n v="20.361530303999999" u="1"/>
        <n v="20.630609511999999" u="1"/>
        <n v="24.661905999999998" u="1"/>
        <n v="24.980250000000002" u="1"/>
        <n v="25.428910999999999" u="1"/>
        <n v="25.582065" u="1"/>
        <n v="25.754110000000001" u="1"/>
        <n v="20.0839" u="1"/>
        <n v="20.108101999999999" u="1"/>
        <n v="20.1975498199463" u="1"/>
        <n v="25.356632000000001" u="1"/>
        <n v="26.541930000000001" u="1"/>
        <n v="97.104997409999996" u="1"/>
        <n v="20.162599563598601" u="1"/>
        <n v="19.955690383911101" u="1"/>
        <n v="20.1934604644775" u="1"/>
        <n v="20.987419128418001" u="1"/>
        <n v="25.637309999999999" u="1"/>
        <n v="20.480100631713899" u="1"/>
        <n v="20.785699844360401" u="1"/>
        <n v="24.250689999999999" u="1"/>
        <n v="20.206778" u="1"/>
        <n v="20.486930847168001" u="1"/>
        <n v="20.716699600219702" u="1"/>
        <n v="20.864519119262699" u="1"/>
        <n v="20.651939392089801" u="1"/>
        <n v="19.985679626464801" u="1"/>
        <n v="20.608819961999998" u="1"/>
        <n v="23.354268999999999" u="1"/>
        <n v="25.225000000000001" u="1"/>
        <n v="25.409612685185198" u="1"/>
        <n v="19.988689422607401" u="1"/>
        <n v="20.286720275878899" u="1"/>
        <n v="20.581470489501999" u="1"/>
        <n v="20.681715011596701" u="1"/>
        <n v="20.703550338745099" u="1"/>
        <n v="25.577559999999998" u="1"/>
        <n v="25.611160000000002" u="1"/>
        <n v="97.013800000000003" u="1"/>
        <n v="25.351965" u="1"/>
        <n v="20.099340438842798" u="1"/>
        <n v="20.335864000000001" u="1"/>
        <n v="25.60867" u="1"/>
        <n v="20.181778000000001" u="1"/>
        <n v="23.835319999999999" u="1"/>
        <n v="23.838190000000001" u="1"/>
        <n v="23.972453000000002" u="1"/>
        <n v="24.2744" u="1"/>
        <n v="20.204370498657202" u="1"/>
        <n v="20.399269" u="1"/>
        <n v="20.502599716186499" u="1"/>
        <n v="23.094290000000001" u="1"/>
        <n v="23.850999999999999" u="1"/>
        <n v="25.56551" u="1"/>
        <n v="19.434253692626999" u="1"/>
        <n v="19.726810455322301" u="1"/>
        <n v="25.615960999999999" u="1"/>
        <n v="20.229290008544901" u="1"/>
        <n v="20.627639770507798" u="1"/>
        <n v="21.025630950927699" u="1"/>
        <n v="23.933098999999999" u="1"/>
        <n v="20.148910522460898" u="1"/>
        <n v="20.587142" u="1"/>
        <n v="20.809240341186499" u="1"/>
        <n v="20.894269943237301" u="1"/>
        <n v="24.688338999999999" u="1"/>
        <n v="25.61842" u="1"/>
        <n v="24.118618999999999" u="1"/>
        <n v="24.251232000000002" u="1"/>
        <n v="24.764800000000001" u="1"/>
        <n v="25.422194000000001" u="1"/>
        <n v="20.207284999999999" u="1"/>
        <n v="20.805580139160199" u="1"/>
        <n v="20.903369903564499" u="1"/>
        <n v="21.0094203948975" u="1"/>
        <n v="19.615800857543899" u="1"/>
        <n v="19.930080413818398" u="1"/>
        <n v="20.218471527099599" u="1"/>
        <n v="20.46994972229" u="1"/>
        <n v="24.24953" u="1"/>
        <n v="25.3540362037037" u="1"/>
        <n v="20.5199794769287" u="1"/>
        <n v="23.827870999999998" u="1"/>
        <n v="24.205417000000001" u="1"/>
        <n v="25.417733999999999" u="1"/>
        <n v="19.738719940185501" u="1"/>
        <n v="20.506580353" u="1"/>
        <n v="24.200433" u="1"/>
        <n v="25.617998" u="1"/>
        <n v="27.311699999999998" u="1"/>
        <n v="20.2302" u="1"/>
        <n v="20.696819999999999" u="1"/>
        <n v="20.697229385376001" u="1"/>
        <n v="20.720213000000001" u="1"/>
        <n v="20.805734000000001" u="1"/>
        <n v="24.006789000000001" u="1"/>
        <n v="24.377054000000001" u="1"/>
        <n v="20.489089965820298" u="1"/>
        <n v="21.007270812988299" u="1"/>
        <n v="24.831944" u="1"/>
        <n v="25.887339999999998" u="1"/>
        <n v="19.988599777221701" u="1"/>
        <n v="20.090183" u="1"/>
        <n v="20.39902" u="1"/>
        <n v="25.668399999999998" u="1"/>
        <n v="20.128488999999998" u="1"/>
        <n v="20.202400000000001" u="1"/>
        <n v="20.424389999999999" u="1"/>
        <n v="20.644098281860401" u="1"/>
        <n v="20.782770156860401" u="1"/>
        <n v="20.936040878295898" u="1"/>
        <n v="23.833477999999999" u="1"/>
        <n v="25.345918166666699" u="1"/>
        <n v="25.645959999999999" u="1"/>
        <n v="20.064226000000001" u="1"/>
        <n v="20.292100000000001" u="1"/>
        <n v="25.296579999999999" u="1"/>
        <n v="25.3660036111111" u="1"/>
        <n v="19.619289398193398" u="1"/>
        <n v="20.127127999999999" u="1"/>
        <n v="25.30442" u="1"/>
        <n v="19.686580657958999" u="1"/>
        <n v="20.185092000000001" u="1"/>
        <n v="22.765999999999998" u="1"/>
        <n v="20.555610656738299" u="1"/>
        <n v="23.447111" u="1"/>
        <n v="19.9947109222412" u="1"/>
        <n v="20.073437999999999" u="1"/>
        <n v="20.464775085449201" u="1"/>
        <n v="20.6080207824707" u="1"/>
        <n v="25.566510000000001" u="1"/>
        <n v="19.9044303894043" u="1"/>
        <n v="20.268000000000001" u="1"/>
        <n v="24.200972" u="1"/>
      </sharedItems>
    </cacheField>
    <cacheField name="Lat" numFmtId="0">
      <sharedItems containsBlank="1" containsMixedTypes="1" containsNumber="1" minValue="0" maxValue="26.569633"/>
    </cacheField>
    <cacheField name="Long" numFmtId="0">
      <sharedItems containsBlank="1" containsMixedTypes="1" containsNumber="1" minValue="0" maxValue="98.779853500000002"/>
    </cacheField>
    <cacheField name="Pcode" numFmtId="0">
      <sharedItems containsMixedTypes="1" containsNumber="1" containsInteger="1" minValue="0" maxValue="0"/>
    </cacheField>
    <cacheField name="Covered" numFmtId="0">
      <sharedItems containsBlank="1" count="5">
        <s v="Covered"/>
        <s v="Notcovered"/>
        <m u="1"/>
        <s v="cccm_2019July" u="1"/>
        <e v="#REF!" u="1"/>
      </sharedItems>
    </cacheField>
    <cacheField name="Remark" numFmtId="0">
      <sharedItems containsBlank="1" count="52">
        <s v="yes"/>
        <m/>
        <s v="No"/>
        <s v="Extension of Loi Je Catholic ??" u="1"/>
        <s v="Yes. Metta is focal" u="1"/>
        <s v="Yes, focal is SHALOM till march 2024. Metta didn't handover this camp. Metta will meet with Shalom" u="1"/>
        <s v="to check CCCM" u="1"/>
        <s v="Yes, planning to move to Karmaing KawngRa ward. KBC is focal" u="1"/>
        <s v="MHF, HK. Metta is focal like a new village. No camp setting. Moved to 4W village" u="1"/>
        <s v="Yes. KMSS focal" u="1"/>
        <s v="Momauk KBC church. Metta is focal" u="1"/>
        <s v="resettlement or relocate??" u="1"/>
        <s v="closed. Returned to origin." u="1"/>
        <s v="Momauk KBC church. METTA is initital focal.  KBC is focal. STW, WC??" u="1"/>
        <s v="Yes. KBC is focal" u="1"/>
        <s v="Yes, Metta is focal" u="1"/>
        <s v="Metta is focal." u="1"/>
        <s v="Momauk KBC church" u="1"/>
        <s v="Yes. moving to local integration" u="1"/>
        <s v="Yes. KBC is focal planning to lcoal integration" u="1"/>
        <s v="Yes. KBC is focal planning to local integration" u="1"/>
        <s v="Yes. KBC is focal .planning to lcoal integration" u="1"/>
        <s v="Yes. KMSS is focal" u="1"/>
        <s v="Momauk KBC church. Initial KBC " u="1"/>
        <s v="returned to origin.closed. Changed to village setting" u="1"/>
        <s v="Yes. KBC is focal. Planning to relocation" u="1"/>
        <s v="Yes. KBC Bhamo is focal. 1, 2 combined" u="1"/>
        <s v="Yes. Focal is Shalom" u="1"/>
        <s v="Yes. Moving to Mohnyin Aung Tha Pyay.still need humanitatian assistance. KBC is focal. Planned to stop in Q3" u="1"/>
        <s v="Momauk KBC church. KBC is focal" u="1"/>
        <s v="No focal. UNICEF is IP. Metta will confirm as focal since MHF area" u="1"/>
        <s v="Yes. Focal is Shalom .Planning to relocation" u="1"/>
        <s v="Yes, focal is SHALOM till march 2024" u="1"/>
        <s v="Closed, all IDPs moved to host.not closed in CCCM" u="1"/>
        <s v="Yes, Focal is Shalom" u="1"/>
        <s v="Momauk KBC church. Metta is initial focal. KBC is still Q3, Metta, STW, WC. 2 latrines constructed" u="1"/>
        <s v="Closed, Locally integreation within Karmaing township" u="1"/>
        <s v="Yes. KMSS focal Will be closed soon" u="1"/>
        <s v="closed same with Emmanauel AG church" u="1"/>
        <s v="Yes. Metta Kachin is focal" u="1"/>
        <s v="to be confirmed with SCI" u="1"/>
        <s v="Yes.same with Lone Khin Catholic Church" u="1"/>
        <s v="Yes. Focal is Shalom  Waingmaw Lhavo extenion planned to moved to relocation" u="1"/>
        <s v="Yes. KBC is focal. Je Yang camp" u="1"/>
        <s v="Extension of Je Yang Hka. Handover to KMSS" u="1"/>
        <s v="Yes. KBC is initital focal" u="1"/>
        <s v="Yes, Focal is SHALOM till march 2024, SI" u="1"/>
        <s v="closed, started local integration. Moved from Sanpya villlge in Sha Du Zut" u="1"/>
        <s v="Metta is initial focal. KBC is still Q3, Metta, STW, WC. 2 latrines constructed. Momauk KBC church" u="1"/>
        <s v="individual house" u="1"/>
        <s v="Yes. Focal is Shalom " u="1"/>
        <s v="Momauk KBC church. Metta is initital focal. KBC is current focal, STW, WC" u="1"/>
      </sharedItems>
    </cacheField>
    <cacheField name="checking" numFmtId="0">
      <sharedItems containsBlank="1"/>
    </cacheField>
    <cacheField name="HH" numFmtId="0">
      <sharedItems containsBlank="1" containsMixedTypes="1" containsNumber="1" containsInteger="1" minValue="0" maxValue="1525"/>
    </cacheField>
    <cacheField name="Population" numFmtId="0">
      <sharedItems containsBlank="1" containsMixedTypes="1" containsNumber="1" containsInteger="1" minValue="0" maxValue="8205"/>
    </cacheField>
    <cacheField name="Total Latrines" numFmtId="0" formula="'#_Constructed latrines_by_WASHAgencies'+'#_Non Cluster partner latrines'" databaseField="0"/>
    <cacheField name="% Water source Treated" numFmtId="0" formula="#NAME?/#NAME?" databaseField="0"/>
    <cacheField name="% Hygiene Gap" numFmtId="0" formula=" 1-'% Hygiene Coverage'" databaseField="0"/>
    <cacheField name="% Hygiene Coverage" numFmtId="0" formula="HRP3/'Total PoP '" databaseField="0"/>
    <cacheField name="% Water Coverage" numFmtId="0" formula="HRP1/'Total PoP '" databaseField="0"/>
    <cacheField name="% Water GAP" numFmtId="0" formula=" 1-'% Water Coverage'" databaseField="0"/>
    <cacheField name="% Sanitation Coverage" numFmtId="0" formula="HRP2/'Total PoP '" databaseField="0"/>
    <cacheField name="% Sanitation GAP" numFmtId="0" formula=" 1-'% Sanitation Coverage'" databaseField="0"/>
    <cacheField name="# ppl not access to Latrine" numFmtId="0" formula="'Total PoP '-HRP2"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5">
  <r>
    <x v="0"/>
    <x v="0"/>
    <s v="4W Camp"/>
  </r>
  <r>
    <x v="0"/>
    <x v="1"/>
    <s v="4W Camp"/>
  </r>
  <r>
    <x v="0"/>
    <x v="2"/>
    <s v="4W Camp"/>
  </r>
  <r>
    <x v="0"/>
    <x v="3"/>
    <s v="4W Camp"/>
  </r>
  <r>
    <x v="0"/>
    <x v="4"/>
    <s v="4W Camp"/>
  </r>
  <r>
    <x v="0"/>
    <x v="5"/>
    <s v="4W Camp"/>
  </r>
  <r>
    <x v="0"/>
    <x v="6"/>
    <s v="4W Camp"/>
  </r>
  <r>
    <x v="0"/>
    <x v="7"/>
    <s v="4W Camp"/>
  </r>
  <r>
    <x v="0"/>
    <x v="8"/>
    <s v="4W Camp"/>
  </r>
  <r>
    <x v="1"/>
    <x v="9"/>
    <s v="4W Camp"/>
  </r>
  <r>
    <x v="1"/>
    <x v="3"/>
    <s v="4W Camp"/>
  </r>
  <r>
    <x v="1"/>
    <x v="10"/>
    <s v="4W Camp"/>
  </r>
  <r>
    <x v="1"/>
    <x v="2"/>
    <s v="4W Camp"/>
  </r>
  <r>
    <x v="1"/>
    <x v="11"/>
    <s v="4W Camp"/>
  </r>
  <r>
    <x v="1"/>
    <x v="12"/>
    <s v="4W Camp"/>
  </r>
  <r>
    <x v="1"/>
    <x v="13"/>
    <s v="4W Camp"/>
  </r>
  <r>
    <x v="2"/>
    <x v="14"/>
    <s v="4W Camp"/>
  </r>
  <r>
    <x v="2"/>
    <x v="15"/>
    <s v="4W Camp"/>
  </r>
  <r>
    <x v="2"/>
    <x v="5"/>
    <s v="4W Camp"/>
  </r>
  <r>
    <x v="2"/>
    <x v="16"/>
    <s v="4W Camp"/>
  </r>
  <r>
    <x v="2"/>
    <x v="13"/>
    <s v="4W Camp"/>
  </r>
  <r>
    <x v="3"/>
    <x v="11"/>
    <s v="3W"/>
  </r>
  <r>
    <x v="3"/>
    <x v="17"/>
    <s v="3W"/>
  </r>
  <r>
    <x v="3"/>
    <x v="2"/>
    <s v="3W"/>
  </r>
  <r>
    <x v="3"/>
    <x v="18"/>
    <s v="3W"/>
  </r>
  <r>
    <x v="3"/>
    <x v="19"/>
    <s v="3W"/>
  </r>
  <r>
    <x v="3"/>
    <x v="13"/>
    <s v="3W"/>
  </r>
  <r>
    <x v="3"/>
    <x v="20"/>
    <s v="3W"/>
  </r>
  <r>
    <x v="0"/>
    <x v="21"/>
    <s v="3W"/>
  </r>
  <r>
    <x v="0"/>
    <x v="22"/>
    <s v="3W"/>
  </r>
  <r>
    <x v="0"/>
    <x v="2"/>
    <s v="3W-"/>
  </r>
  <r>
    <x v="0"/>
    <x v="23"/>
    <s v="3W-"/>
  </r>
  <r>
    <x v="4"/>
    <x v="14"/>
    <s v="3W-"/>
  </r>
  <r>
    <x v="4"/>
    <x v="0"/>
    <s v="3W-"/>
  </r>
  <r>
    <x v="4"/>
    <x v="24"/>
    <s v="3W-"/>
  </r>
  <r>
    <x v="4"/>
    <x v="25"/>
    <s v="3W-"/>
  </r>
  <r>
    <x v="4"/>
    <x v="13"/>
    <s v="3W-"/>
  </r>
  <r>
    <x v="5"/>
    <x v="26"/>
    <s v="3W"/>
  </r>
  <r>
    <x v="0"/>
    <x v="21"/>
    <s v="4W village"/>
  </r>
  <r>
    <x v="0"/>
    <x v="2"/>
    <s v="4W village"/>
  </r>
  <r>
    <x v="4"/>
    <x v="13"/>
    <s v="4W village"/>
  </r>
  <r>
    <x v="2"/>
    <x v="27"/>
    <s v="4W village"/>
  </r>
  <r>
    <x v="2"/>
    <x v="28"/>
    <s v="4W village"/>
  </r>
  <r>
    <x v="2"/>
    <x v="29"/>
    <s v="4W village"/>
  </r>
  <r>
    <x v="2"/>
    <x v="30"/>
    <s v="4W village"/>
  </r>
  <r>
    <x v="2"/>
    <x v="31"/>
    <s v="4W village"/>
  </r>
  <r>
    <x v="2"/>
    <x v="22"/>
    <s v="4W village"/>
  </r>
  <r>
    <x v="2"/>
    <x v="32"/>
    <s v="4W village"/>
  </r>
  <r>
    <x v="2"/>
    <x v="33"/>
    <s v="4W village"/>
  </r>
  <r>
    <x v="2"/>
    <x v="34"/>
    <s v="4W village"/>
  </r>
  <r>
    <x v="2"/>
    <x v="35"/>
    <s v="4W village"/>
  </r>
  <r>
    <x v="2"/>
    <x v="36"/>
    <s v="4W village"/>
  </r>
  <r>
    <x v="2"/>
    <x v="37"/>
    <s v="4W village"/>
  </r>
  <r>
    <x v="2"/>
    <x v="38"/>
    <s v="4W village"/>
  </r>
  <r>
    <x v="2"/>
    <x v="39"/>
    <s v="4W village"/>
  </r>
  <r>
    <x v="2"/>
    <x v="40"/>
    <s v="4W village"/>
  </r>
  <r>
    <x v="2"/>
    <x v="41"/>
    <s v="4W village"/>
  </r>
  <r>
    <x v="2"/>
    <x v="42"/>
    <s v="4W village"/>
  </r>
  <r>
    <x v="2"/>
    <x v="15"/>
    <s v="4W village"/>
  </r>
  <r>
    <x v="2"/>
    <x v="5"/>
    <s v="4W village"/>
  </r>
  <r>
    <x v="2"/>
    <x v="13"/>
    <s v="4W village"/>
  </r>
  <r>
    <x v="2"/>
    <x v="7"/>
    <s v="4W village"/>
  </r>
  <r>
    <x v="1"/>
    <x v="11"/>
    <s v="4W village"/>
  </r>
  <r>
    <x v="1"/>
    <x v="12"/>
    <s v="4W village"/>
  </r>
  <r>
    <x v="1"/>
    <x v="3"/>
    <s v="4W village"/>
  </r>
  <r>
    <x v="1"/>
    <x v="13"/>
    <s v="4W village"/>
  </r>
  <r>
    <x v="6"/>
    <x v="43"/>
    <s v="4W village"/>
  </r>
  <r>
    <x v="6"/>
    <x v="2"/>
    <s v="4W village"/>
  </r>
  <r>
    <x v="6"/>
    <x v="11"/>
    <s v="4W village"/>
  </r>
  <r>
    <x v="5"/>
    <x v="44"/>
    <s v="3W"/>
  </r>
  <r>
    <x v="7"/>
    <x v="45"/>
    <s v="3W"/>
  </r>
  <r>
    <x v="7"/>
    <x v="2"/>
    <s v="3W"/>
  </r>
  <r>
    <x v="7"/>
    <x v="18"/>
    <s v="3W"/>
  </r>
  <r>
    <x v="7"/>
    <x v="13"/>
    <s v="3W-"/>
  </r>
  <r>
    <x v="8"/>
    <x v="26"/>
    <s v="3W"/>
  </r>
  <r>
    <x v="8"/>
    <x v="44"/>
    <s v="3W"/>
  </r>
  <r>
    <x v="2"/>
    <x v="14"/>
    <s v="3W-"/>
  </r>
  <r>
    <x v="2"/>
    <x v="46"/>
    <s v="3W"/>
  </r>
  <r>
    <x v="2"/>
    <x v="28"/>
    <s v="3W"/>
  </r>
  <r>
    <x v="2"/>
    <x v="22"/>
    <s v="3W"/>
  </r>
  <r>
    <x v="2"/>
    <x v="32"/>
    <s v="3W-"/>
  </r>
  <r>
    <x v="2"/>
    <x v="0"/>
    <s v="3W"/>
  </r>
  <r>
    <x v="2"/>
    <x v="47"/>
    <s v="3W"/>
  </r>
  <r>
    <x v="2"/>
    <x v="19"/>
    <s v="3W"/>
  </r>
  <r>
    <x v="2"/>
    <x v="48"/>
    <s v="3W"/>
  </r>
  <r>
    <x v="2"/>
    <x v="49"/>
    <s v="3W"/>
  </r>
  <r>
    <x v="2"/>
    <x v="7"/>
    <s v="3W"/>
  </r>
  <r>
    <x v="2"/>
    <x v="50"/>
    <s v="3W"/>
  </r>
  <r>
    <x v="9"/>
    <x v="27"/>
    <s v="3W"/>
  </r>
  <r>
    <x v="9"/>
    <x v="51"/>
    <s v="3W"/>
  </r>
  <r>
    <x v="9"/>
    <x v="2"/>
    <s v="3W"/>
  </r>
  <r>
    <x v="9"/>
    <x v="13"/>
    <s v="3W-"/>
  </r>
  <r>
    <x v="9"/>
    <x v="52"/>
    <s v="3W"/>
  </r>
  <r>
    <x v="1"/>
    <x v="11"/>
    <s v="3W"/>
  </r>
  <r>
    <x v="6"/>
    <x v="26"/>
    <s v="3W-"/>
  </r>
  <r>
    <x v="6"/>
    <x v="14"/>
    <s v="3W-"/>
  </r>
  <r>
    <x v="6"/>
    <x v="43"/>
    <s v="3W-"/>
  </r>
  <r>
    <x v="6"/>
    <x v="15"/>
    <s v="3W-"/>
  </r>
  <r>
    <x v="6"/>
    <x v="53"/>
    <s v="3W-"/>
  </r>
  <r>
    <x v="6"/>
    <x v="16"/>
    <s v="3W-"/>
  </r>
  <r>
    <x v="6"/>
    <x v="54"/>
    <s v="3W-"/>
  </r>
  <r>
    <x v="6"/>
    <x v="55"/>
    <s v="3W-"/>
  </r>
  <r>
    <x v="6"/>
    <x v="7"/>
    <s v="3W-"/>
  </r>
  <r>
    <x v="6"/>
    <x v="56"/>
    <s v="3W-"/>
  </r>
  <r>
    <x v="10"/>
    <x v="57"/>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4">
  <r>
    <x v="0"/>
    <x v="0"/>
    <s v="4W Camp"/>
  </r>
  <r>
    <x v="0"/>
    <x v="1"/>
    <s v="4W Camp"/>
  </r>
  <r>
    <x v="0"/>
    <x v="2"/>
    <s v="4W Camp"/>
  </r>
  <r>
    <x v="0"/>
    <x v="3"/>
    <s v="4W Camp"/>
  </r>
  <r>
    <x v="0"/>
    <x v="4"/>
    <s v="4W Camp"/>
  </r>
  <r>
    <x v="0"/>
    <x v="5"/>
    <s v="4W Camp"/>
  </r>
  <r>
    <x v="0"/>
    <x v="6"/>
    <s v="4W Camp"/>
  </r>
  <r>
    <x v="0"/>
    <x v="7"/>
    <s v="4W Camp"/>
  </r>
  <r>
    <x v="0"/>
    <x v="8"/>
    <s v="4W Camp"/>
  </r>
  <r>
    <x v="1"/>
    <x v="9"/>
    <s v="4W Camp"/>
  </r>
  <r>
    <x v="1"/>
    <x v="3"/>
    <s v="4W Camp"/>
  </r>
  <r>
    <x v="1"/>
    <x v="10"/>
    <s v="4W Camp"/>
  </r>
  <r>
    <x v="1"/>
    <x v="2"/>
    <s v="4W Camp"/>
  </r>
  <r>
    <x v="1"/>
    <x v="11"/>
    <s v="4W Camp"/>
  </r>
  <r>
    <x v="1"/>
    <x v="12"/>
    <s v="4W Camp"/>
  </r>
  <r>
    <x v="1"/>
    <x v="13"/>
    <s v="4W Camp"/>
  </r>
  <r>
    <x v="2"/>
    <x v="14"/>
    <s v="4W Camp"/>
  </r>
  <r>
    <x v="2"/>
    <x v="15"/>
    <s v="4W Camp"/>
  </r>
  <r>
    <x v="2"/>
    <x v="5"/>
    <s v="4W Camp"/>
  </r>
  <r>
    <x v="2"/>
    <x v="16"/>
    <s v="4W Camp"/>
  </r>
  <r>
    <x v="2"/>
    <x v="13"/>
    <s v="4W Camp"/>
  </r>
  <r>
    <x v="2"/>
    <x v="17"/>
    <s v="4W village"/>
  </r>
  <r>
    <x v="2"/>
    <x v="18"/>
    <s v="4W village"/>
  </r>
  <r>
    <x v="2"/>
    <x v="19"/>
    <s v="4W village"/>
  </r>
  <r>
    <x v="2"/>
    <x v="20"/>
    <s v="4W village"/>
  </r>
  <r>
    <x v="2"/>
    <x v="21"/>
    <s v="4W village"/>
  </r>
  <r>
    <x v="2"/>
    <x v="22"/>
    <s v="4W village"/>
  </r>
  <r>
    <x v="2"/>
    <x v="15"/>
    <s v="4W village"/>
  </r>
  <r>
    <x v="2"/>
    <x v="5"/>
    <s v="4W village"/>
  </r>
  <r>
    <x v="2"/>
    <x v="13"/>
    <s v="4W village"/>
  </r>
  <r>
    <x v="2"/>
    <x v="23"/>
    <s v="4W village"/>
  </r>
  <r>
    <x v="1"/>
    <x v="11"/>
    <s v="4W village"/>
  </r>
  <r>
    <x v="3"/>
    <x v="2"/>
    <s v="3W"/>
  </r>
  <r>
    <x v="3"/>
    <x v="24"/>
    <s v="3W"/>
  </r>
  <r>
    <x v="3"/>
    <x v="11"/>
    <s v="3W"/>
  </r>
  <r>
    <x v="3"/>
    <x v="13"/>
    <s v="3W"/>
  </r>
  <r>
    <x v="3"/>
    <x v="25"/>
    <s v="3W"/>
  </r>
  <r>
    <x v="3"/>
    <x v="26"/>
    <s v="3W"/>
  </r>
  <r>
    <x v="3"/>
    <x v="27"/>
    <s v="3W"/>
  </r>
  <r>
    <x v="4"/>
    <x v="24"/>
    <s v="3W"/>
  </r>
  <r>
    <x v="4"/>
    <x v="2"/>
    <s v="3W"/>
  </r>
  <r>
    <x v="4"/>
    <x v="2"/>
    <s v="3W"/>
  </r>
  <r>
    <x v="4"/>
    <x v="28"/>
    <s v="3W"/>
  </r>
  <r>
    <x v="5"/>
    <x v="29"/>
    <s v="3W"/>
  </r>
  <r>
    <x v="5"/>
    <x v="30"/>
    <s v="3W"/>
  </r>
  <r>
    <x v="5"/>
    <x v="2"/>
    <s v="3W"/>
  </r>
  <r>
    <x v="5"/>
    <x v="29"/>
    <s v="3W"/>
  </r>
  <r>
    <x v="5"/>
    <x v="31"/>
    <s v="3W"/>
  </r>
  <r>
    <x v="2"/>
    <x v="32"/>
    <s v="3W"/>
  </r>
  <r>
    <x v="2"/>
    <x v="33"/>
    <s v="3W"/>
  </r>
  <r>
    <x v="2"/>
    <x v="7"/>
    <s v="3W"/>
  </r>
  <r>
    <x v="2"/>
    <x v="34"/>
    <s v="3W"/>
  </r>
  <r>
    <x v="2"/>
    <x v="17"/>
    <s v="3W"/>
  </r>
  <r>
    <x v="2"/>
    <x v="0"/>
    <s v="3W"/>
  </r>
  <r>
    <x v="2"/>
    <x v="25"/>
    <s v="3W"/>
  </r>
  <r>
    <x v="2"/>
    <x v="35"/>
    <s v="3W"/>
  </r>
  <r>
    <x v="2"/>
    <x v="36"/>
    <s v="3W"/>
  </r>
  <r>
    <x v="2"/>
    <x v="37"/>
    <s v="3W"/>
  </r>
  <r>
    <x v="6"/>
    <x v="38"/>
    <s v="3W"/>
  </r>
  <r>
    <x v="6"/>
    <x v="39"/>
    <s v="3W"/>
  </r>
  <r>
    <x v="7"/>
    <x v="38"/>
    <s v="3W"/>
  </r>
  <r>
    <x v="7"/>
    <x v="39"/>
    <s v="3W"/>
  </r>
  <r>
    <x v="0"/>
    <x v="17"/>
    <s v="3W"/>
  </r>
  <r>
    <x v="0"/>
    <x v="40"/>
    <s v="3W"/>
  </r>
  <r>
    <x v="1"/>
    <x v="11"/>
    <s v="3W"/>
  </r>
  <r>
    <x v="8"/>
    <x v="41"/>
    <m/>
  </r>
  <r>
    <x v="8"/>
    <x v="41"/>
    <m/>
  </r>
  <r>
    <x v="8"/>
    <x v="41"/>
    <m/>
  </r>
  <r>
    <x v="8"/>
    <x v="41"/>
    <m/>
  </r>
  <r>
    <x v="8"/>
    <x v="41"/>
    <m/>
  </r>
  <r>
    <x v="8"/>
    <x v="41"/>
    <m/>
  </r>
  <r>
    <x v="8"/>
    <x v="41"/>
    <m/>
  </r>
  <r>
    <x v="8"/>
    <x v="41"/>
    <m/>
  </r>
  <r>
    <x v="8"/>
    <x v="4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
  <r>
    <s v="ACF"/>
    <x v="0"/>
  </r>
  <r>
    <s v="ADRA"/>
    <x v="0"/>
  </r>
  <r>
    <s v="AYO"/>
    <x v="1"/>
  </r>
  <r>
    <s v="CARE"/>
    <x v="0"/>
  </r>
  <r>
    <s v="CDA"/>
    <x v="2"/>
  </r>
  <r>
    <s v="CDN"/>
    <x v="0"/>
  </r>
  <r>
    <s v="CERA"/>
    <x v="0"/>
  </r>
  <r>
    <s v="CHRO"/>
    <x v="1"/>
  </r>
  <r>
    <s v="CIDKP"/>
    <x v="1"/>
  </r>
  <r>
    <s v="DRC"/>
    <x v="0"/>
  </r>
  <r>
    <s v="GLAD"/>
    <x v="2"/>
  </r>
  <r>
    <s v="HPA"/>
    <x v="0"/>
  </r>
  <r>
    <s v="ICRC"/>
    <x v="3"/>
  </r>
  <r>
    <s v="IRC"/>
    <x v="0"/>
  </r>
  <r>
    <s v="IRW"/>
    <x v="0"/>
  </r>
  <r>
    <s v="KBC"/>
    <x v="2"/>
  </r>
  <r>
    <s v="KMSS"/>
    <x v="2"/>
  </r>
  <r>
    <s v="KyWO"/>
    <x v="2"/>
  </r>
  <r>
    <s v="LWF"/>
    <x v="0"/>
  </r>
  <r>
    <s v="Malteser"/>
    <x v="0"/>
  </r>
  <r>
    <s v="MA-UK"/>
    <x v="0"/>
  </r>
  <r>
    <s v="MC"/>
    <x v="0"/>
  </r>
  <r>
    <s v="Metta"/>
    <x v="2"/>
  </r>
  <r>
    <s v="MM"/>
    <x v="2"/>
  </r>
  <r>
    <s v="NHTYK"/>
    <x v="1"/>
  </r>
  <r>
    <s v="OXFAM"/>
    <x v="0"/>
  </r>
  <r>
    <s v="PIN"/>
    <x v="0"/>
  </r>
  <r>
    <s v="PSSAG"/>
    <x v="2"/>
  </r>
  <r>
    <s v="PWJ"/>
    <x v="0"/>
  </r>
  <r>
    <s v="RI"/>
    <x v="0"/>
  </r>
  <r>
    <s v="SCI"/>
    <x v="0"/>
  </r>
  <r>
    <s v="SDF"/>
    <x v="1"/>
  </r>
  <r>
    <s v="Shalom"/>
    <x v="2"/>
  </r>
  <r>
    <s v="SI"/>
    <x v="0"/>
  </r>
  <r>
    <s v="SPMO"/>
    <x v="2"/>
  </r>
  <r>
    <s v="STW"/>
    <x v="2"/>
  </r>
  <r>
    <s v="Swe Tha Har"/>
    <x v="2"/>
  </r>
  <r>
    <s v="TGH-GJ"/>
    <x v="0"/>
  </r>
  <r>
    <s v="TGH-RCDF"/>
    <x v="0"/>
  </r>
  <r>
    <s v="TLDA"/>
    <x v="2"/>
  </r>
  <r>
    <s v="TWG"/>
    <x v="2"/>
  </r>
  <r>
    <s v="UNICEF"/>
    <x v="4"/>
  </r>
  <r>
    <s v="WCM"/>
    <x v="0"/>
  </r>
  <r>
    <s v="WDC"/>
    <x v="2"/>
  </r>
  <r>
    <s v="WFP"/>
    <x v="4"/>
  </r>
  <r>
    <s v="WPN"/>
    <x v="2"/>
  </r>
  <r>
    <s v="WV"/>
    <x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
  <r>
    <x v="0"/>
    <x v="0"/>
    <s v="3W"/>
  </r>
  <r>
    <x v="0"/>
    <x v="1"/>
    <s v="3W"/>
  </r>
  <r>
    <x v="1"/>
    <x v="2"/>
    <s v="3W"/>
  </r>
  <r>
    <x v="1"/>
    <x v="3"/>
    <s v="3W"/>
  </r>
  <r>
    <x v="1"/>
    <x v="4"/>
    <s v="3W"/>
  </r>
  <r>
    <x v="1"/>
    <x v="5"/>
    <s v="3W"/>
  </r>
  <r>
    <x v="1"/>
    <x v="6"/>
    <s v="3W"/>
  </r>
  <r>
    <x v="1"/>
    <x v="7"/>
    <s v="3W"/>
  </r>
  <r>
    <x v="1"/>
    <x v="8"/>
    <s v="3W"/>
  </r>
  <r>
    <x v="1"/>
    <x v="1"/>
    <s v="3W"/>
  </r>
  <r>
    <x v="2"/>
    <x v="9"/>
    <s v="3W"/>
  </r>
  <r>
    <x v="2"/>
    <x v="10"/>
    <s v="3W"/>
  </r>
  <r>
    <x v="2"/>
    <x v="4"/>
    <s v="3W"/>
  </r>
  <r>
    <x v="2"/>
    <x v="11"/>
    <s v="3W"/>
  </r>
  <r>
    <x v="2"/>
    <x v="1"/>
    <s v="3W"/>
  </r>
  <r>
    <x v="2"/>
    <x v="12"/>
    <s v="3W"/>
  </r>
  <r>
    <x v="3"/>
    <x v="2"/>
    <s v="3W"/>
  </r>
  <r>
    <x v="3"/>
    <x v="4"/>
    <s v="3W"/>
  </r>
  <r>
    <x v="3"/>
    <x v="13"/>
    <s v="3W"/>
  </r>
  <r>
    <x v="3"/>
    <x v="14"/>
    <s v="3W"/>
  </r>
  <r>
    <x v="3"/>
    <x v="1"/>
    <s v="3W"/>
  </r>
  <r>
    <x v="3"/>
    <x v="15"/>
    <s v="3W"/>
  </r>
  <r>
    <x v="4"/>
    <x v="16"/>
    <s v="3W"/>
  </r>
  <r>
    <x v="4"/>
    <x v="17"/>
    <s v="3W"/>
  </r>
  <r>
    <x v="4"/>
    <x v="4"/>
    <s v="3W"/>
  </r>
  <r>
    <x v="4"/>
    <x v="14"/>
    <s v="3W"/>
  </r>
  <r>
    <x v="4"/>
    <x v="0"/>
    <s v="3W"/>
  </r>
  <r>
    <x v="4"/>
    <x v="18"/>
    <s v="3W"/>
  </r>
  <r>
    <x v="4"/>
    <x v="1"/>
    <s v="3W"/>
  </r>
  <r>
    <x v="5"/>
    <x v="4"/>
    <s v="3W"/>
  </r>
  <r>
    <x v="5"/>
    <x v="5"/>
    <s v="3W"/>
  </r>
  <r>
    <x v="6"/>
    <x v="2"/>
    <s v="3W"/>
  </r>
  <r>
    <x v="6"/>
    <x v="19"/>
    <s v="3W"/>
  </r>
  <r>
    <x v="6"/>
    <x v="0"/>
    <s v="3W"/>
  </r>
  <r>
    <x v="6"/>
    <x v="1"/>
    <s v="3W"/>
  </r>
  <r>
    <x v="7"/>
    <x v="20"/>
    <s v="3W"/>
  </r>
  <r>
    <x v="7"/>
    <x v="21"/>
    <s v="3W"/>
  </r>
  <r>
    <x v="7"/>
    <x v="22"/>
    <s v="3W"/>
  </r>
  <r>
    <x v="7"/>
    <x v="23"/>
    <s v="3W"/>
  </r>
  <r>
    <x v="7"/>
    <x v="24"/>
    <s v="3W"/>
  </r>
  <r>
    <x v="7"/>
    <x v="6"/>
    <s v="3W"/>
  </r>
  <r>
    <x v="7"/>
    <x v="25"/>
    <s v="3W"/>
  </r>
  <r>
    <x v="7"/>
    <x v="26"/>
    <s v="3W"/>
  </r>
  <r>
    <x v="7"/>
    <x v="27"/>
    <s v="3W"/>
  </r>
  <r>
    <x v="7"/>
    <x v="1"/>
    <s v="3W"/>
  </r>
  <r>
    <x v="7"/>
    <x v="28"/>
    <s v="3W"/>
  </r>
  <r>
    <x v="8"/>
    <x v="29"/>
    <s v="3W"/>
  </r>
  <r>
    <x v="8"/>
    <x v="30"/>
    <s v="3W"/>
  </r>
  <r>
    <x v="8"/>
    <x v="4"/>
    <s v="3W"/>
  </r>
  <r>
    <x v="8"/>
    <x v="31"/>
    <s v="3W"/>
  </r>
  <r>
    <x v="8"/>
    <x v="1"/>
    <s v="3W"/>
  </r>
  <r>
    <x v="9"/>
    <x v="2"/>
    <s v="3W"/>
  </r>
  <r>
    <x v="9"/>
    <x v="9"/>
    <s v="3W"/>
  </r>
  <r>
    <x v="9"/>
    <x v="32"/>
    <s v="3W"/>
  </r>
  <r>
    <x v="9"/>
    <x v="33"/>
    <s v="3W"/>
  </r>
  <r>
    <x v="9"/>
    <x v="7"/>
    <s v="3W"/>
  </r>
  <r>
    <x v="9"/>
    <x v="1"/>
    <s v="3W"/>
  </r>
  <r>
    <x v="10"/>
    <x v="2"/>
    <s v="3W"/>
  </r>
  <r>
    <x v="10"/>
    <x v="13"/>
    <s v="3W"/>
  </r>
  <r>
    <x v="10"/>
    <x v="14"/>
    <s v="3W"/>
  </r>
  <r>
    <x v="10"/>
    <x v="25"/>
    <s v="3W"/>
  </r>
  <r>
    <x v="10"/>
    <x v="7"/>
    <s v="3W"/>
  </r>
  <r>
    <x v="10"/>
    <x v="1"/>
    <s v="3W"/>
  </r>
  <r>
    <x v="2"/>
    <x v="34"/>
    <s v="4W Camp"/>
  </r>
  <r>
    <x v="2"/>
    <x v="23"/>
    <s v="4W Camp"/>
  </r>
  <r>
    <x v="2"/>
    <x v="10"/>
    <s v="4W Camp"/>
  </r>
  <r>
    <x v="2"/>
    <x v="4"/>
    <s v="4W Camp"/>
  </r>
  <r>
    <x v="2"/>
    <x v="32"/>
    <s v="4W Camp"/>
  </r>
  <r>
    <x v="2"/>
    <x v="6"/>
    <s v="4W Camp"/>
  </r>
  <r>
    <x v="2"/>
    <x v="35"/>
    <s v="4W Camp"/>
  </r>
  <r>
    <x v="2"/>
    <x v="26"/>
    <s v="4W Camp"/>
  </r>
  <r>
    <x v="2"/>
    <x v="11"/>
    <s v="4W Camp"/>
  </r>
  <r>
    <x v="2"/>
    <x v="12"/>
    <s v="4W Camp"/>
  </r>
  <r>
    <x v="2"/>
    <x v="36"/>
    <s v="4W Camp"/>
  </r>
  <r>
    <x v="7"/>
    <x v="37"/>
    <s v="4W Camp"/>
  </r>
  <r>
    <x v="7"/>
    <x v="38"/>
    <s v="4W Camp"/>
  </r>
  <r>
    <x v="7"/>
    <x v="25"/>
    <s v="4W Camp"/>
  </r>
  <r>
    <x v="7"/>
    <x v="7"/>
    <s v="4W Camp"/>
  </r>
  <r>
    <x v="7"/>
    <x v="26"/>
    <s v="4W Camp"/>
  </r>
  <r>
    <x v="9"/>
    <x v="34"/>
    <s v="4W Camp"/>
  </r>
  <r>
    <x v="9"/>
    <x v="4"/>
    <s v="4W Camp"/>
  </r>
  <r>
    <x v="9"/>
    <x v="32"/>
    <s v="4W Camp"/>
  </r>
  <r>
    <x v="1"/>
    <x v="6"/>
    <s v="4W Village"/>
  </r>
  <r>
    <x v="2"/>
    <x v="34"/>
    <s v="4W Village"/>
  </r>
  <r>
    <x v="2"/>
    <x v="10"/>
    <s v="4W Village"/>
  </r>
  <r>
    <x v="2"/>
    <x v="6"/>
    <s v="4W Village"/>
  </r>
  <r>
    <x v="2"/>
    <x v="11"/>
    <s v="4W Village"/>
  </r>
  <r>
    <x v="2"/>
    <x v="12"/>
    <s v="4W Village"/>
  </r>
  <r>
    <x v="2"/>
    <x v="39"/>
    <s v="4W Village"/>
  </r>
  <r>
    <x v="3"/>
    <x v="2"/>
    <s v="4W Village"/>
  </r>
  <r>
    <x v="6"/>
    <x v="2"/>
    <s v="4W Village"/>
  </r>
  <r>
    <x v="6"/>
    <x v="19"/>
    <s v="4W Village"/>
  </r>
  <r>
    <x v="7"/>
    <x v="22"/>
    <s v="4W Village"/>
  </r>
  <r>
    <x v="7"/>
    <x v="40"/>
    <s v="4W Village"/>
  </r>
  <r>
    <x v="7"/>
    <x v="5"/>
    <s v="4W Village"/>
  </r>
  <r>
    <x v="7"/>
    <x v="41"/>
    <s v="4W Village"/>
  </r>
  <r>
    <x v="7"/>
    <x v="6"/>
    <s v="4W Village"/>
  </r>
  <r>
    <x v="7"/>
    <x v="42"/>
    <s v="4W Village"/>
  </r>
  <r>
    <x v="7"/>
    <x v="7"/>
    <s v="4W Village"/>
  </r>
  <r>
    <x v="7"/>
    <x v="43"/>
    <s v="4W Village"/>
  </r>
  <r>
    <x v="7"/>
    <x v="26"/>
    <s v="4W Village"/>
  </r>
  <r>
    <x v="7"/>
    <x v="44"/>
    <s v="4W Village"/>
  </r>
  <r>
    <x v="7"/>
    <x v="1"/>
    <s v="4W Village"/>
  </r>
  <r>
    <x v="9"/>
    <x v="45"/>
    <s v="4W Village"/>
  </r>
  <r>
    <x v="9"/>
    <x v="4"/>
    <s v="4W Village"/>
  </r>
  <r>
    <x v="9"/>
    <x v="33"/>
    <s v="4W Village"/>
  </r>
  <r>
    <x v="9"/>
    <x v="46"/>
    <s v="4W Village"/>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1">
  <r>
    <x v="0"/>
    <x v="0"/>
    <x v="0"/>
    <s v="Luxemburg MoFA"/>
    <x v="0"/>
    <x v="0"/>
    <x v="0"/>
    <x v="0"/>
    <n v="37"/>
    <n v="120"/>
    <d v="2022-08-01T00:00:00"/>
    <d v="2023-04-30T00:00:00"/>
    <m/>
    <m/>
    <m/>
    <m/>
    <m/>
    <m/>
    <m/>
    <m/>
    <m/>
    <m/>
    <m/>
    <m/>
    <m/>
    <m/>
    <m/>
    <m/>
    <m/>
    <m/>
    <m/>
    <m/>
    <m/>
    <m/>
    <m/>
    <m/>
    <m/>
    <m/>
    <m/>
    <m/>
    <m/>
    <m/>
    <m/>
    <m/>
    <m/>
    <m/>
    <m/>
    <m/>
    <m/>
    <m/>
    <x v="0"/>
    <x v="0"/>
    <m/>
    <m/>
    <m/>
    <m/>
    <m/>
    <m/>
    <m/>
    <m/>
    <m/>
    <m/>
    <m/>
    <m/>
    <m/>
    <n v="9"/>
    <n v="14"/>
    <s v="Yes"/>
    <m/>
    <m/>
    <m/>
    <m/>
    <m/>
    <m/>
    <m/>
    <m/>
    <m/>
    <m/>
    <m/>
    <m/>
    <m/>
    <m/>
    <s v="no test"/>
    <s v="no test"/>
    <s v="No Test"/>
    <n v="0"/>
    <n v="0"/>
    <n v="0"/>
    <n v="0"/>
    <n v="0"/>
    <n v="0"/>
    <n v="0"/>
    <m/>
    <n v="0"/>
    <n v="0"/>
    <n v="0"/>
    <n v="0"/>
    <n v="0"/>
    <n v="0"/>
    <n v="0"/>
    <n v="0"/>
    <n v="0"/>
    <n v="1"/>
    <n v="120"/>
    <n v="1"/>
    <n v="1"/>
    <n v="0"/>
    <n v="0"/>
    <n v="0"/>
    <n v="0"/>
    <n v="0"/>
    <n v="0"/>
    <n v="6"/>
    <n v="6"/>
    <n v="1"/>
    <n v="0"/>
    <n v="0"/>
    <n v="45"/>
    <n v="14"/>
    <n v="45"/>
    <n v="45"/>
    <n v="0.375"/>
    <n v="0.625"/>
    <n v="0"/>
    <n v="0.97297297297297303"/>
    <n v="0.3783783783783784"/>
    <n v="0"/>
    <n v="0"/>
    <n v="0"/>
    <n v="0"/>
    <s v="No"/>
    <s v=""/>
    <n v="0"/>
    <n v="0"/>
    <n v="0"/>
    <n v="0"/>
    <n v="0"/>
    <n v="0"/>
    <n v="0"/>
    <s v="uncovered"/>
    <x v="0"/>
    <x v="0"/>
    <x v="0"/>
    <n v="22.677008000000001"/>
    <n v="97.314762999999999"/>
    <s v="MMR015CMP062"/>
    <x v="0"/>
    <x v="0"/>
    <s v="yes"/>
    <n v="37"/>
    <n v="120"/>
  </r>
  <r>
    <x v="0"/>
    <x v="0"/>
    <x v="1"/>
    <s v="Luxemburg MoFA"/>
    <x v="0"/>
    <x v="1"/>
    <x v="0"/>
    <x v="1"/>
    <n v="96"/>
    <n v="469"/>
    <d v="2022-08-01T00:00:00"/>
    <d v="2023-04-30T00:00:00"/>
    <m/>
    <m/>
    <m/>
    <m/>
    <m/>
    <m/>
    <m/>
    <m/>
    <m/>
    <m/>
    <m/>
    <m/>
    <m/>
    <m/>
    <n v="1"/>
    <m/>
    <m/>
    <m/>
    <m/>
    <m/>
    <n v="9"/>
    <m/>
    <m/>
    <m/>
    <m/>
    <m/>
    <m/>
    <m/>
    <m/>
    <m/>
    <m/>
    <m/>
    <m/>
    <m/>
    <m/>
    <m/>
    <m/>
    <m/>
    <x v="0"/>
    <x v="0"/>
    <m/>
    <m/>
    <m/>
    <m/>
    <m/>
    <m/>
    <m/>
    <m/>
    <m/>
    <m/>
    <m/>
    <m/>
    <m/>
    <m/>
    <m/>
    <m/>
    <m/>
    <m/>
    <m/>
    <m/>
    <m/>
    <m/>
    <m/>
    <m/>
    <m/>
    <m/>
    <m/>
    <m/>
    <m/>
    <m/>
    <s v="no test"/>
    <s v="no test"/>
    <s v="No Test"/>
    <n v="0"/>
    <n v="0"/>
    <n v="1"/>
    <n v="0"/>
    <n v="0"/>
    <n v="0"/>
    <n v="0"/>
    <m/>
    <n v="0.14214641080312723"/>
    <n v="0.14214641080312723"/>
    <n v="0.14214641080312723"/>
    <n v="66.666666666666671"/>
    <n v="0"/>
    <n v="0"/>
    <n v="0.14214641080312723"/>
    <n v="66.666666666666671"/>
    <n v="0.13333333333333333"/>
    <n v="0.85785358919687282"/>
    <n v="402.33333333333337"/>
    <n v="0.8666666666666667"/>
    <n v="1"/>
    <n v="0"/>
    <n v="0"/>
    <n v="0"/>
    <n v="0"/>
    <n v="0"/>
    <n v="0"/>
    <n v="23"/>
    <n v="23"/>
    <n v="1"/>
    <n v="0"/>
    <n v="0"/>
    <n v="0"/>
    <n v="0"/>
    <n v="0"/>
    <n v="0"/>
    <n v="0"/>
    <n v="1"/>
    <n v="0"/>
    <n v="0"/>
    <n v="0"/>
    <n v="0"/>
    <n v="0"/>
    <n v="0"/>
    <n v="0"/>
    <s v="No"/>
    <s v=""/>
    <n v="0"/>
    <n v="0"/>
    <n v="0"/>
    <n v="0"/>
    <n v="0"/>
    <n v="0"/>
    <n v="0"/>
    <s v="uncovered"/>
    <x v="0"/>
    <x v="0"/>
    <x v="0"/>
    <n v="0"/>
    <s v="not available"/>
    <s v="MMR015CMP093"/>
    <x v="0"/>
    <x v="0"/>
    <s v="yes"/>
    <n v="92"/>
    <n v="451"/>
  </r>
  <r>
    <x v="0"/>
    <x v="0"/>
    <x v="1"/>
    <s v="Luxemburg MoFA"/>
    <x v="0"/>
    <x v="2"/>
    <x v="0"/>
    <x v="2"/>
    <n v="11"/>
    <n v="37"/>
    <d v="2022-08-01T00:00:00"/>
    <d v="2023-04-30T00:00:00"/>
    <m/>
    <m/>
    <m/>
    <m/>
    <m/>
    <m/>
    <m/>
    <m/>
    <m/>
    <m/>
    <m/>
    <m/>
    <m/>
    <m/>
    <n v="1"/>
    <m/>
    <m/>
    <m/>
    <m/>
    <m/>
    <n v="26"/>
    <m/>
    <m/>
    <m/>
    <m/>
    <m/>
    <m/>
    <m/>
    <m/>
    <m/>
    <m/>
    <m/>
    <m/>
    <m/>
    <m/>
    <m/>
    <m/>
    <m/>
    <x v="0"/>
    <x v="0"/>
    <m/>
    <m/>
    <m/>
    <m/>
    <m/>
    <m/>
    <m/>
    <m/>
    <m/>
    <m/>
    <m/>
    <m/>
    <m/>
    <m/>
    <m/>
    <m/>
    <m/>
    <m/>
    <m/>
    <m/>
    <m/>
    <m/>
    <m/>
    <m/>
    <m/>
    <m/>
    <m/>
    <m/>
    <m/>
    <m/>
    <s v="no test"/>
    <s v="no test"/>
    <s v="No Test"/>
    <n v="0"/>
    <n v="0"/>
    <n v="1"/>
    <n v="0"/>
    <n v="0"/>
    <n v="0"/>
    <n v="0"/>
    <m/>
    <n v="1"/>
    <n v="1"/>
    <n v="1"/>
    <n v="37"/>
    <n v="0"/>
    <n v="0"/>
    <n v="1"/>
    <n v="37"/>
    <n v="7.3999999999999996E-2"/>
    <n v="0"/>
    <n v="0"/>
    <n v="0.92600000000000005"/>
    <n v="1"/>
    <n v="0"/>
    <n v="0"/>
    <n v="0"/>
    <n v="0"/>
    <n v="0"/>
    <n v="0"/>
    <n v="2"/>
    <n v="2"/>
    <n v="1"/>
    <n v="0"/>
    <n v="0"/>
    <n v="0"/>
    <n v="0"/>
    <n v="0"/>
    <n v="0"/>
    <n v="0"/>
    <n v="1"/>
    <n v="0"/>
    <n v="0"/>
    <n v="0"/>
    <n v="0"/>
    <n v="0"/>
    <n v="0"/>
    <n v="0"/>
    <s v="No"/>
    <s v=""/>
    <n v="0"/>
    <n v="0"/>
    <n v="0"/>
    <n v="0"/>
    <n v="0"/>
    <n v="0"/>
    <n v="0"/>
    <s v="uncovered"/>
    <x v="0"/>
    <x v="1"/>
    <x v="0"/>
    <n v="0"/>
    <s v="not available"/>
    <s v="MMR015CMP089"/>
    <x v="0"/>
    <x v="0"/>
    <s v="yes"/>
    <n v="11"/>
    <n v="32"/>
  </r>
  <r>
    <x v="0"/>
    <x v="0"/>
    <x v="0"/>
    <s v="Luxemburg MoFA"/>
    <x v="0"/>
    <x v="2"/>
    <x v="0"/>
    <x v="3"/>
    <n v="270"/>
    <n v="1414"/>
    <d v="2022-08-01T00:00:00"/>
    <d v="2023-04-30T00:00:00"/>
    <m/>
    <m/>
    <m/>
    <m/>
    <m/>
    <m/>
    <m/>
    <m/>
    <m/>
    <m/>
    <m/>
    <m/>
    <m/>
    <m/>
    <n v="18"/>
    <m/>
    <m/>
    <m/>
    <m/>
    <m/>
    <m/>
    <m/>
    <m/>
    <m/>
    <m/>
    <m/>
    <m/>
    <m/>
    <m/>
    <m/>
    <m/>
    <m/>
    <m/>
    <m/>
    <m/>
    <m/>
    <m/>
    <m/>
    <x v="0"/>
    <x v="0"/>
    <m/>
    <m/>
    <m/>
    <m/>
    <m/>
    <m/>
    <m/>
    <m/>
    <m/>
    <m/>
    <m/>
    <m/>
    <m/>
    <m/>
    <m/>
    <m/>
    <m/>
    <m/>
    <m/>
    <m/>
    <m/>
    <m/>
    <m/>
    <m/>
    <m/>
    <m/>
    <m/>
    <m/>
    <m/>
    <m/>
    <s v="no test"/>
    <s v="no test"/>
    <s v="No Test"/>
    <n v="0"/>
    <n v="0"/>
    <n v="18"/>
    <n v="0"/>
    <n v="0"/>
    <n v="0"/>
    <n v="0"/>
    <m/>
    <n v="0.84865629420084865"/>
    <n v="0.84865629420084865"/>
    <n v="0.84865629420084865"/>
    <n v="1200"/>
    <n v="0"/>
    <n v="0"/>
    <n v="0.84865629420084865"/>
    <n v="1200"/>
    <n v="2.4"/>
    <n v="0.15134370579915135"/>
    <n v="214"/>
    <n v="0.60000000000000009"/>
    <n v="3"/>
    <n v="0"/>
    <n v="0"/>
    <n v="0"/>
    <n v="0"/>
    <n v="0"/>
    <n v="0"/>
    <n v="71"/>
    <n v="71"/>
    <n v="1"/>
    <n v="0"/>
    <n v="0"/>
    <n v="0"/>
    <n v="0"/>
    <n v="0"/>
    <n v="0"/>
    <n v="0"/>
    <n v="1"/>
    <n v="0"/>
    <n v="0"/>
    <n v="0"/>
    <n v="0"/>
    <n v="0"/>
    <n v="0"/>
    <n v="0"/>
    <s v="No"/>
    <s v=""/>
    <n v="0"/>
    <n v="0"/>
    <n v="0"/>
    <n v="0"/>
    <n v="0"/>
    <n v="0"/>
    <s v="Yes"/>
    <s v="KBC-NSS"/>
    <x v="0"/>
    <x v="0"/>
    <x v="0"/>
    <n v="24.08738"/>
    <n v="98.115809999999996"/>
    <s v="MMR015CMP065"/>
    <x v="0"/>
    <x v="0"/>
    <s v="yes"/>
    <n v="307"/>
    <n v="1581"/>
  </r>
  <r>
    <x v="0"/>
    <x v="1"/>
    <x v="2"/>
    <s v="UNICEF"/>
    <x v="0"/>
    <x v="3"/>
    <x v="0"/>
    <x v="4"/>
    <n v="340"/>
    <n v="1674"/>
    <d v="2021-10-19T00:00:00"/>
    <d v="2022-10-18T00:00:00"/>
    <m/>
    <m/>
    <m/>
    <m/>
    <s v="Yes"/>
    <n v="2"/>
    <n v="2"/>
    <m/>
    <m/>
    <m/>
    <m/>
    <m/>
    <m/>
    <m/>
    <n v="24"/>
    <m/>
    <m/>
    <m/>
    <m/>
    <m/>
    <m/>
    <n v="1"/>
    <m/>
    <m/>
    <m/>
    <m/>
    <m/>
    <n v="1"/>
    <m/>
    <m/>
    <n v="30"/>
    <m/>
    <m/>
    <m/>
    <m/>
    <m/>
    <m/>
    <m/>
    <x v="0"/>
    <x v="0"/>
    <m/>
    <m/>
    <m/>
    <m/>
    <m/>
    <m/>
    <n v="3"/>
    <m/>
    <m/>
    <m/>
    <m/>
    <m/>
    <m/>
    <m/>
    <m/>
    <m/>
    <m/>
    <m/>
    <m/>
    <m/>
    <m/>
    <m/>
    <m/>
    <m/>
    <m/>
    <m/>
    <m/>
    <m/>
    <m/>
    <m/>
    <s v="no test"/>
    <s v="no test"/>
    <s v="No Test"/>
    <n v="0"/>
    <n v="0"/>
    <n v="24"/>
    <n v="0"/>
    <n v="0"/>
    <n v="500"/>
    <n v="0"/>
    <m/>
    <n v="0.95579450418160095"/>
    <n v="0.95579450418160095"/>
    <n v="0.95579450418160095"/>
    <n v="1600"/>
    <n v="0"/>
    <n v="0"/>
    <n v="0.95579450418160095"/>
    <n v="1600"/>
    <n v="3.2"/>
    <n v="4.4205495818399054E-2"/>
    <n v="74.000000000000014"/>
    <n v="0"/>
    <n v="3"/>
    <n v="30"/>
    <n v="0.35842293906810035"/>
    <n v="600"/>
    <n v="0"/>
    <n v="0"/>
    <n v="0"/>
    <n v="84"/>
    <n v="54"/>
    <n v="0.64157706093189959"/>
    <n v="0"/>
    <n v="0"/>
    <n v="0"/>
    <n v="0"/>
    <n v="0"/>
    <n v="0"/>
    <n v="0"/>
    <n v="1"/>
    <n v="0"/>
    <n v="0"/>
    <n v="0"/>
    <n v="3"/>
    <n v="60"/>
    <n v="0"/>
    <n v="300"/>
    <s v="No"/>
    <s v=""/>
    <n v="0"/>
    <n v="0"/>
    <n v="0"/>
    <n v="0"/>
    <n v="500"/>
    <n v="0"/>
    <n v="0"/>
    <n v="0"/>
    <x v="0"/>
    <x v="0"/>
    <x v="0"/>
    <n v="23.420603"/>
    <n v="98.451791999999998"/>
    <s v="MMR015CMP069"/>
    <x v="0"/>
    <x v="0"/>
    <s v="yes"/>
    <n v="166"/>
    <n v="830"/>
  </r>
  <r>
    <x v="0"/>
    <x v="2"/>
    <x v="3"/>
    <s v="SIDA"/>
    <x v="1"/>
    <x v="4"/>
    <x v="1"/>
    <x v="5"/>
    <n v="49"/>
    <n v="203"/>
    <d v="2022-04-01T00:00:00"/>
    <d v="2022-10-31T00:00:00"/>
    <m/>
    <m/>
    <m/>
    <m/>
    <s v="Yes"/>
    <n v="1"/>
    <n v="1"/>
    <n v="4"/>
    <m/>
    <m/>
    <m/>
    <m/>
    <m/>
    <m/>
    <m/>
    <m/>
    <m/>
    <m/>
    <m/>
    <m/>
    <m/>
    <m/>
    <m/>
    <m/>
    <m/>
    <m/>
    <n v="1"/>
    <m/>
    <m/>
    <m/>
    <n v="7"/>
    <m/>
    <m/>
    <m/>
    <m/>
    <m/>
    <m/>
    <m/>
    <x v="1"/>
    <x v="1"/>
    <m/>
    <m/>
    <m/>
    <m/>
    <n v="4"/>
    <m/>
    <n v="2"/>
    <m/>
    <m/>
    <n v="2"/>
    <m/>
    <n v="1"/>
    <m/>
    <m/>
    <m/>
    <s v="Yes"/>
    <m/>
    <m/>
    <m/>
    <m/>
    <m/>
    <m/>
    <m/>
    <m/>
    <m/>
    <m/>
    <m/>
    <m/>
    <m/>
    <m/>
    <s v="no test"/>
    <s v="no test"/>
    <s v="No Test"/>
    <n v="4"/>
    <n v="0"/>
    <n v="0"/>
    <n v="0"/>
    <n v="0"/>
    <n v="0"/>
    <n v="0"/>
    <m/>
    <n v="1"/>
    <n v="1"/>
    <n v="1"/>
    <n v="203"/>
    <n v="0"/>
    <n v="0"/>
    <n v="1"/>
    <n v="203"/>
    <n v="0.40600000000000003"/>
    <n v="0"/>
    <n v="0"/>
    <n v="0.59399999999999997"/>
    <n v="1"/>
    <n v="7"/>
    <n v="0.70935960591133007"/>
    <n v="144"/>
    <n v="0"/>
    <n v="0"/>
    <n v="0"/>
    <n v="10"/>
    <n v="3"/>
    <n v="0.29064039408866993"/>
    <n v="0"/>
    <n v="203"/>
    <n v="0"/>
    <n v="0"/>
    <n v="0"/>
    <n v="203"/>
    <n v="1"/>
    <n v="0"/>
    <n v="1"/>
    <n v="0"/>
    <n v="0"/>
    <n v="2"/>
    <n v="40"/>
    <n v="1"/>
    <n v="200"/>
    <s v="No"/>
    <s v=""/>
    <n v="0"/>
    <n v="0"/>
    <n v="0"/>
    <n v="0"/>
    <n v="0"/>
    <n v="0"/>
    <n v="0"/>
    <n v="0"/>
    <x v="0"/>
    <x v="0"/>
    <x v="0"/>
    <n v="0"/>
    <n v="0"/>
    <n v="0"/>
    <x v="0"/>
    <x v="0"/>
    <s v="yes"/>
    <n v="0"/>
    <n v="0"/>
  </r>
  <r>
    <x v="0"/>
    <x v="3"/>
    <x v="3"/>
    <s v="UNICEF"/>
    <x v="1"/>
    <x v="5"/>
    <x v="0"/>
    <x v="6"/>
    <n v="178"/>
    <n v="1075"/>
    <d v="2022-09-07T00:00:00"/>
    <d v="2023-09-06T00:00:00"/>
    <m/>
    <n v="2"/>
    <m/>
    <m/>
    <s v="Yes"/>
    <n v="3"/>
    <n v="1"/>
    <m/>
    <m/>
    <m/>
    <m/>
    <m/>
    <m/>
    <m/>
    <m/>
    <m/>
    <m/>
    <m/>
    <m/>
    <m/>
    <m/>
    <m/>
    <m/>
    <m/>
    <m/>
    <m/>
    <m/>
    <m/>
    <m/>
    <m/>
    <n v="32"/>
    <m/>
    <m/>
    <m/>
    <m/>
    <m/>
    <m/>
    <n v="32"/>
    <x v="1"/>
    <x v="1"/>
    <m/>
    <m/>
    <n v="5"/>
    <m/>
    <m/>
    <m/>
    <n v="8"/>
    <m/>
    <m/>
    <n v="3"/>
    <m/>
    <n v="2"/>
    <m/>
    <m/>
    <m/>
    <m/>
    <m/>
    <m/>
    <m/>
    <m/>
    <m/>
    <m/>
    <m/>
    <m/>
    <m/>
    <m/>
    <m/>
    <m/>
    <m/>
    <m/>
    <s v="no test"/>
    <s v="no test"/>
    <s v="No Test"/>
    <n v="0"/>
    <n v="0"/>
    <n v="0"/>
    <n v="0"/>
    <n v="0"/>
    <n v="0"/>
    <n v="0"/>
    <m/>
    <n v="0"/>
    <n v="0"/>
    <n v="0"/>
    <n v="0"/>
    <n v="0"/>
    <n v="0"/>
    <n v="0"/>
    <n v="0"/>
    <n v="0"/>
    <n v="1"/>
    <n v="1075"/>
    <n v="2"/>
    <n v="2"/>
    <n v="32"/>
    <n v="0.59534883720930232"/>
    <n v="640"/>
    <n v="0"/>
    <n v="0"/>
    <n v="0"/>
    <n v="54"/>
    <n v="22"/>
    <n v="0.40465116279069768"/>
    <n v="0"/>
    <n v="1000"/>
    <n v="0"/>
    <n v="0"/>
    <n v="0"/>
    <n v="1000"/>
    <n v="0.93023255813953487"/>
    <n v="6.9767441860465129E-2"/>
    <n v="0.93023255813953487"/>
    <n v="0"/>
    <n v="0"/>
    <n v="8"/>
    <n v="160"/>
    <n v="0"/>
    <n v="800"/>
    <s v="No"/>
    <s v=""/>
    <n v="0"/>
    <n v="0"/>
    <n v="0"/>
    <n v="0"/>
    <n v="0"/>
    <n v="0"/>
    <s v="Yes"/>
    <s v="KBC-MYT"/>
    <x v="0"/>
    <x v="2"/>
    <x v="1"/>
    <n v="25.754110000000001"/>
    <n v="98.475719999999995"/>
    <s v="MMR001CMP043"/>
    <x v="0"/>
    <x v="0"/>
    <s v="yes"/>
    <n v="178"/>
    <n v="1089"/>
  </r>
  <r>
    <x v="0"/>
    <x v="3"/>
    <x v="3"/>
    <s v="UNICEF"/>
    <x v="1"/>
    <x v="6"/>
    <x v="0"/>
    <x v="7"/>
    <n v="25"/>
    <n v="128"/>
    <d v="2022-09-07T00:00:00"/>
    <d v="2023-09-06T00:00:00"/>
    <m/>
    <n v="1"/>
    <m/>
    <m/>
    <s v="Yes"/>
    <n v="3"/>
    <n v="3"/>
    <m/>
    <m/>
    <m/>
    <n v="1"/>
    <m/>
    <m/>
    <m/>
    <m/>
    <m/>
    <m/>
    <m/>
    <m/>
    <m/>
    <m/>
    <m/>
    <m/>
    <m/>
    <m/>
    <m/>
    <m/>
    <m/>
    <m/>
    <m/>
    <n v="4"/>
    <m/>
    <m/>
    <m/>
    <m/>
    <m/>
    <m/>
    <n v="4"/>
    <x v="1"/>
    <x v="1"/>
    <m/>
    <m/>
    <m/>
    <m/>
    <m/>
    <m/>
    <n v="1"/>
    <m/>
    <m/>
    <n v="1"/>
    <m/>
    <m/>
    <m/>
    <m/>
    <m/>
    <m/>
    <m/>
    <m/>
    <m/>
    <m/>
    <m/>
    <m/>
    <m/>
    <m/>
    <m/>
    <m/>
    <m/>
    <m/>
    <m/>
    <m/>
    <s v="no test"/>
    <s v="no test"/>
    <s v="No Test"/>
    <n v="0"/>
    <n v="1"/>
    <n v="0"/>
    <n v="0"/>
    <n v="0"/>
    <n v="0"/>
    <n v="0"/>
    <m/>
    <n v="1"/>
    <n v="1"/>
    <n v="1"/>
    <n v="128"/>
    <n v="0"/>
    <n v="0"/>
    <n v="1"/>
    <n v="128"/>
    <n v="0.25600000000000001"/>
    <n v="0"/>
    <n v="0"/>
    <n v="0.74399999999999999"/>
    <n v="1"/>
    <n v="4"/>
    <n v="0.625"/>
    <n v="80"/>
    <n v="0"/>
    <n v="0"/>
    <n v="0"/>
    <n v="6"/>
    <n v="2"/>
    <n v="0.375"/>
    <n v="0"/>
    <n v="0"/>
    <n v="0"/>
    <n v="0"/>
    <n v="0"/>
    <n v="0"/>
    <n v="0"/>
    <n v="1"/>
    <n v="0"/>
    <n v="0"/>
    <n v="0"/>
    <n v="1"/>
    <n v="20"/>
    <n v="0"/>
    <n v="100"/>
    <s v="No"/>
    <s v=""/>
    <n v="0"/>
    <n v="0"/>
    <n v="0"/>
    <n v="0"/>
    <n v="0"/>
    <n v="0"/>
    <s v="Yes"/>
    <s v="KBC-MYT"/>
    <x v="0"/>
    <x v="2"/>
    <x v="0"/>
    <n v="25.51352"/>
    <n v="96.705960000000005"/>
    <s v="MMR001CMP148"/>
    <x v="0"/>
    <x v="0"/>
    <s v="yes"/>
    <n v="26"/>
    <n v="128"/>
  </r>
  <r>
    <x v="0"/>
    <x v="3"/>
    <x v="3"/>
    <s v="UNICEF"/>
    <x v="1"/>
    <x v="6"/>
    <x v="0"/>
    <x v="8"/>
    <n v="24"/>
    <n v="105"/>
    <d v="2022-09-07T00:00:00"/>
    <d v="2023-09-06T00:00:00"/>
    <m/>
    <n v="1"/>
    <m/>
    <m/>
    <m/>
    <n v="2"/>
    <n v="2"/>
    <n v="1"/>
    <m/>
    <m/>
    <n v="1"/>
    <m/>
    <m/>
    <m/>
    <m/>
    <m/>
    <m/>
    <m/>
    <m/>
    <m/>
    <m/>
    <m/>
    <m/>
    <m/>
    <m/>
    <m/>
    <m/>
    <m/>
    <m/>
    <m/>
    <m/>
    <m/>
    <m/>
    <m/>
    <m/>
    <m/>
    <m/>
    <m/>
    <x v="2"/>
    <x v="2"/>
    <m/>
    <m/>
    <m/>
    <m/>
    <m/>
    <m/>
    <n v="5"/>
    <m/>
    <m/>
    <n v="3"/>
    <m/>
    <m/>
    <m/>
    <m/>
    <m/>
    <m/>
    <m/>
    <m/>
    <m/>
    <m/>
    <m/>
    <m/>
    <m/>
    <m/>
    <m/>
    <m/>
    <m/>
    <m/>
    <m/>
    <m/>
    <s v="no test"/>
    <s v="no test"/>
    <s v="No Test"/>
    <n v="1"/>
    <n v="1"/>
    <n v="0"/>
    <n v="0"/>
    <n v="0"/>
    <n v="0"/>
    <n v="0"/>
    <m/>
    <n v="1"/>
    <n v="1"/>
    <n v="1"/>
    <n v="105"/>
    <n v="0"/>
    <n v="0"/>
    <n v="1"/>
    <n v="105"/>
    <n v="0.21"/>
    <n v="0"/>
    <n v="0"/>
    <n v="0.79"/>
    <n v="1"/>
    <n v="0"/>
    <n v="0"/>
    <n v="0"/>
    <n v="0"/>
    <n v="0"/>
    <n v="0"/>
    <n v="5"/>
    <n v="5"/>
    <n v="1"/>
    <n v="0"/>
    <n v="0"/>
    <n v="0"/>
    <n v="0"/>
    <n v="0"/>
    <n v="0"/>
    <n v="0"/>
    <n v="1"/>
    <n v="0"/>
    <n v="0"/>
    <n v="0"/>
    <n v="5"/>
    <n v="24"/>
    <n v="0"/>
    <n v="105"/>
    <s v="No"/>
    <s v=""/>
    <n v="0"/>
    <n v="0"/>
    <n v="0"/>
    <n v="0"/>
    <n v="0"/>
    <n v="0"/>
    <s v="Yes"/>
    <s v="KMSS-MYT"/>
    <x v="0"/>
    <x v="2"/>
    <x v="0"/>
    <n v="25.920006000000001"/>
    <n v="96.662092000000001"/>
    <s v="MMR001CMP247"/>
    <x v="0"/>
    <x v="0"/>
    <s v="yes"/>
    <n v="24"/>
    <n v="103"/>
  </r>
  <r>
    <x v="0"/>
    <x v="3"/>
    <x v="3"/>
    <s v="UNICEF"/>
    <x v="1"/>
    <x v="6"/>
    <x v="0"/>
    <x v="9"/>
    <n v="24"/>
    <n v="116"/>
    <d v="2022-09-07T00:00:00"/>
    <d v="2023-09-06T00:00:00"/>
    <m/>
    <n v="1"/>
    <m/>
    <m/>
    <s v="Yes"/>
    <n v="2"/>
    <n v="2"/>
    <n v="1"/>
    <m/>
    <m/>
    <n v="2"/>
    <m/>
    <m/>
    <m/>
    <m/>
    <m/>
    <m/>
    <m/>
    <m/>
    <m/>
    <m/>
    <m/>
    <m/>
    <m/>
    <m/>
    <m/>
    <m/>
    <m/>
    <m/>
    <m/>
    <n v="5"/>
    <m/>
    <m/>
    <m/>
    <m/>
    <m/>
    <m/>
    <n v="5"/>
    <x v="1"/>
    <x v="3"/>
    <m/>
    <m/>
    <m/>
    <m/>
    <m/>
    <m/>
    <n v="2"/>
    <m/>
    <m/>
    <n v="2"/>
    <m/>
    <m/>
    <m/>
    <m/>
    <m/>
    <m/>
    <m/>
    <m/>
    <m/>
    <m/>
    <m/>
    <m/>
    <m/>
    <m/>
    <m/>
    <m/>
    <m/>
    <m/>
    <m/>
    <m/>
    <s v="no test"/>
    <s v="no test"/>
    <s v="No Test"/>
    <n v="1"/>
    <n v="2"/>
    <n v="0"/>
    <n v="0"/>
    <n v="0"/>
    <n v="0"/>
    <n v="0"/>
    <m/>
    <n v="1"/>
    <n v="1"/>
    <n v="1"/>
    <n v="116"/>
    <n v="0"/>
    <n v="0"/>
    <n v="1"/>
    <n v="116"/>
    <n v="0.23200000000000001"/>
    <n v="0"/>
    <n v="0"/>
    <n v="0.76800000000000002"/>
    <n v="1"/>
    <n v="5"/>
    <n v="0.86206896551724133"/>
    <n v="100"/>
    <n v="0"/>
    <n v="0"/>
    <n v="0"/>
    <n v="6"/>
    <n v="1"/>
    <n v="0.13793103448275867"/>
    <n v="0"/>
    <n v="0"/>
    <n v="0"/>
    <n v="0"/>
    <n v="0"/>
    <n v="0"/>
    <n v="0"/>
    <n v="1"/>
    <n v="0"/>
    <n v="0"/>
    <n v="0"/>
    <n v="2"/>
    <n v="24"/>
    <n v="0"/>
    <n v="116"/>
    <s v="No"/>
    <s v=""/>
    <n v="0"/>
    <n v="0"/>
    <n v="0"/>
    <n v="0"/>
    <n v="0"/>
    <n v="0"/>
    <s v="Yes"/>
    <s v="KBC-MYT"/>
    <x v="0"/>
    <x v="2"/>
    <x v="0"/>
    <n v="25.920006000000001"/>
    <n v="96.662092000000001"/>
    <s v="MMR001CMP244"/>
    <x v="0"/>
    <x v="0"/>
    <s v="yes"/>
    <n v="24"/>
    <n v="111"/>
  </r>
  <r>
    <x v="0"/>
    <x v="3"/>
    <x v="3"/>
    <s v="SIDA"/>
    <x v="1"/>
    <x v="7"/>
    <x v="0"/>
    <x v="10"/>
    <n v="365"/>
    <n v="1517"/>
    <d v="2022-12-01T00:00:00"/>
    <d v="2023-03-31T00:00:00"/>
    <m/>
    <m/>
    <m/>
    <m/>
    <s v="Yes"/>
    <n v="4"/>
    <n v="4"/>
    <n v="1"/>
    <m/>
    <n v="1"/>
    <n v="1"/>
    <m/>
    <m/>
    <m/>
    <m/>
    <m/>
    <m/>
    <m/>
    <m/>
    <m/>
    <m/>
    <m/>
    <m/>
    <m/>
    <m/>
    <m/>
    <m/>
    <m/>
    <m/>
    <s v="NA"/>
    <n v="90"/>
    <m/>
    <m/>
    <n v="1"/>
    <m/>
    <n v="79"/>
    <n v="169.43503000000001"/>
    <m/>
    <x v="1"/>
    <x v="1"/>
    <m/>
    <m/>
    <m/>
    <m/>
    <m/>
    <s v="NA"/>
    <n v="25"/>
    <n v="10"/>
    <n v="2"/>
    <n v="2"/>
    <m/>
    <m/>
    <n v="4"/>
    <m/>
    <m/>
    <s v="No"/>
    <m/>
    <n v="0.3"/>
    <s v="NA"/>
    <n v="0.8"/>
    <n v="0.8"/>
    <n v="20"/>
    <n v="0.8"/>
    <m/>
    <m/>
    <m/>
    <m/>
    <m/>
    <m/>
    <m/>
    <s v="no test"/>
    <s v="no test"/>
    <s v="No Test"/>
    <n v="1"/>
    <n v="1"/>
    <n v="0"/>
    <n v="0"/>
    <n v="0"/>
    <n v="0"/>
    <n v="0"/>
    <m/>
    <n v="0.59327620303230055"/>
    <n v="0.32959789057350031"/>
    <n v="0.59327620303230055"/>
    <n v="899.99999999999989"/>
    <n v="0"/>
    <n v="0"/>
    <n v="0.59327620303230055"/>
    <n v="899.99999999999989"/>
    <n v="1.7999999999999998"/>
    <n v="0.40672379696769945"/>
    <n v="617.00000000000011"/>
    <n v="1.2000000000000002"/>
    <n v="3"/>
    <n v="89"/>
    <n v="1"/>
    <n v="1517"/>
    <n v="1517"/>
    <n v="0"/>
    <n v="0"/>
    <n v="76"/>
    <n v="0"/>
    <n v="0"/>
    <n v="1.1111111111111112E-2"/>
    <n v="1517"/>
    <n v="0"/>
    <n v="0"/>
    <n v="0"/>
    <n v="1517"/>
    <n v="1"/>
    <n v="0"/>
    <n v="1"/>
    <n v="0"/>
    <n v="0"/>
    <n v="15"/>
    <n v="300"/>
    <n v="0"/>
    <n v="1500"/>
    <s v="No"/>
    <n v="1.3183915622940013E-2"/>
    <n v="1213.6000000000001"/>
    <n v="1213.6000000000001"/>
    <n v="1213.6000000000001"/>
    <n v="1213.6000000000001"/>
    <n v="0"/>
    <n v="0"/>
    <s v="Yes"/>
    <s v="KBC-BMO"/>
    <x v="0"/>
    <x v="2"/>
    <x v="0"/>
    <n v="23.972453000000002"/>
    <n v="97.225881000000001"/>
    <s v="MMR001CMP218"/>
    <x v="0"/>
    <x v="0"/>
    <s v="yes"/>
    <n v="365"/>
    <n v="1718"/>
  </r>
  <r>
    <x v="0"/>
    <x v="3"/>
    <x v="3"/>
    <s v="UNICEF"/>
    <x v="1"/>
    <x v="8"/>
    <x v="0"/>
    <x v="11"/>
    <n v="13"/>
    <n v="74"/>
    <d v="2022-09-07T00:00:00"/>
    <d v="2023-09-06T00:00:00"/>
    <m/>
    <n v="1"/>
    <m/>
    <m/>
    <s v="Yes"/>
    <n v="2"/>
    <n v="3"/>
    <n v="1"/>
    <m/>
    <m/>
    <n v="1"/>
    <m/>
    <m/>
    <m/>
    <m/>
    <m/>
    <m/>
    <m/>
    <m/>
    <m/>
    <m/>
    <n v="2"/>
    <m/>
    <m/>
    <m/>
    <m/>
    <m/>
    <m/>
    <m/>
    <m/>
    <n v="6"/>
    <m/>
    <m/>
    <m/>
    <m/>
    <m/>
    <m/>
    <n v="6"/>
    <x v="1"/>
    <x v="3"/>
    <m/>
    <m/>
    <m/>
    <m/>
    <m/>
    <m/>
    <n v="4"/>
    <m/>
    <m/>
    <n v="2"/>
    <m/>
    <m/>
    <m/>
    <m/>
    <m/>
    <m/>
    <m/>
    <m/>
    <m/>
    <m/>
    <m/>
    <m/>
    <m/>
    <m/>
    <m/>
    <m/>
    <m/>
    <m/>
    <m/>
    <m/>
    <s v="no test"/>
    <s v="no test"/>
    <s v="No Test"/>
    <n v="1"/>
    <n v="1"/>
    <n v="0"/>
    <n v="0"/>
    <n v="0"/>
    <n v="0"/>
    <n v="0"/>
    <m/>
    <n v="1"/>
    <n v="1"/>
    <n v="1"/>
    <n v="74"/>
    <n v="0"/>
    <n v="0"/>
    <n v="1"/>
    <n v="74"/>
    <n v="0.14799999999999999"/>
    <n v="0"/>
    <n v="0"/>
    <n v="0.85199999999999998"/>
    <n v="1"/>
    <n v="6"/>
    <n v="1"/>
    <n v="74"/>
    <n v="0"/>
    <n v="0"/>
    <n v="0"/>
    <n v="4"/>
    <n v="0"/>
    <n v="0"/>
    <n v="0"/>
    <n v="0"/>
    <n v="0"/>
    <n v="0"/>
    <n v="0"/>
    <n v="0"/>
    <n v="0"/>
    <n v="1"/>
    <n v="0"/>
    <n v="0"/>
    <n v="0"/>
    <n v="4"/>
    <n v="13"/>
    <n v="0"/>
    <n v="74"/>
    <s v="No"/>
    <s v=""/>
    <n v="0"/>
    <n v="0"/>
    <n v="0"/>
    <n v="0"/>
    <n v="0"/>
    <n v="0"/>
    <s v="Yes"/>
    <s v="KBC-MYT"/>
    <x v="0"/>
    <x v="2"/>
    <x v="0"/>
    <n v="25.305669999999999"/>
    <n v="96.922619999999995"/>
    <s v="MMR001CMP078"/>
    <x v="0"/>
    <x v="0"/>
    <s v="yes"/>
    <n v="13"/>
    <n v="77"/>
  </r>
  <r>
    <x v="0"/>
    <x v="3"/>
    <x v="3"/>
    <s v="UNICEF"/>
    <x v="1"/>
    <x v="8"/>
    <x v="0"/>
    <x v="12"/>
    <n v="15"/>
    <n v="76"/>
    <d v="2022-09-07T00:00:00"/>
    <d v="2023-09-06T00:00:00"/>
    <m/>
    <n v="1"/>
    <m/>
    <m/>
    <s v="Yes"/>
    <n v="2"/>
    <n v="3"/>
    <n v="1"/>
    <m/>
    <m/>
    <n v="1"/>
    <m/>
    <m/>
    <m/>
    <m/>
    <m/>
    <m/>
    <m/>
    <m/>
    <m/>
    <m/>
    <n v="2"/>
    <m/>
    <m/>
    <m/>
    <m/>
    <m/>
    <m/>
    <m/>
    <m/>
    <n v="3"/>
    <m/>
    <m/>
    <m/>
    <m/>
    <m/>
    <m/>
    <n v="2"/>
    <x v="1"/>
    <x v="1"/>
    <m/>
    <m/>
    <m/>
    <m/>
    <m/>
    <m/>
    <n v="2"/>
    <m/>
    <m/>
    <n v="2"/>
    <m/>
    <m/>
    <m/>
    <m/>
    <m/>
    <m/>
    <m/>
    <m/>
    <m/>
    <m/>
    <m/>
    <m/>
    <m/>
    <m/>
    <m/>
    <m/>
    <m/>
    <m/>
    <m/>
    <m/>
    <s v="no test"/>
    <s v="no test"/>
    <s v="No Test"/>
    <n v="1"/>
    <n v="1"/>
    <n v="0"/>
    <n v="0"/>
    <n v="0"/>
    <n v="0"/>
    <n v="0"/>
    <m/>
    <n v="1"/>
    <n v="1"/>
    <n v="1"/>
    <n v="76"/>
    <n v="0"/>
    <n v="0"/>
    <n v="1"/>
    <n v="76"/>
    <n v="0.152"/>
    <n v="0"/>
    <n v="0"/>
    <n v="0.84799999999999998"/>
    <n v="1"/>
    <n v="3"/>
    <n v="0.78947368421052633"/>
    <n v="60"/>
    <n v="0"/>
    <n v="0"/>
    <n v="0"/>
    <n v="4"/>
    <n v="1"/>
    <n v="0.21052631578947367"/>
    <n v="0"/>
    <n v="0"/>
    <n v="0"/>
    <n v="0"/>
    <n v="0"/>
    <n v="0"/>
    <n v="0"/>
    <n v="1"/>
    <n v="0"/>
    <n v="0"/>
    <n v="0"/>
    <n v="2"/>
    <n v="15"/>
    <n v="0"/>
    <n v="76"/>
    <s v="No"/>
    <s v=""/>
    <n v="0"/>
    <n v="0"/>
    <n v="0"/>
    <n v="0"/>
    <n v="0"/>
    <n v="0"/>
    <s v="Yes"/>
    <s v="KBC-MYT"/>
    <x v="0"/>
    <x v="2"/>
    <x v="0"/>
    <n v="25.296579999999999"/>
    <n v="96.942279999999997"/>
    <s v="MMR001CMP077"/>
    <x v="0"/>
    <x v="0"/>
    <s v="yes"/>
    <n v="16"/>
    <n v="74"/>
  </r>
  <r>
    <x v="0"/>
    <x v="3"/>
    <x v="3"/>
    <s v="UNICEF"/>
    <x v="1"/>
    <x v="8"/>
    <x v="2"/>
    <x v="13"/>
    <n v="5"/>
    <n v="32"/>
    <d v="2022-09-07T00:00:00"/>
    <d v="2023-09-06T00:00:00"/>
    <m/>
    <n v="1"/>
    <m/>
    <m/>
    <s v="Yes"/>
    <n v="3"/>
    <m/>
    <n v="1"/>
    <m/>
    <m/>
    <n v="1"/>
    <m/>
    <m/>
    <m/>
    <m/>
    <m/>
    <m/>
    <m/>
    <m/>
    <m/>
    <m/>
    <n v="3"/>
    <m/>
    <m/>
    <m/>
    <m/>
    <m/>
    <m/>
    <m/>
    <m/>
    <n v="2"/>
    <m/>
    <m/>
    <m/>
    <m/>
    <m/>
    <m/>
    <n v="2"/>
    <x v="1"/>
    <x v="1"/>
    <m/>
    <m/>
    <m/>
    <m/>
    <m/>
    <m/>
    <n v="1"/>
    <m/>
    <m/>
    <n v="2"/>
    <m/>
    <m/>
    <m/>
    <m/>
    <m/>
    <m/>
    <m/>
    <m/>
    <m/>
    <m/>
    <m/>
    <m/>
    <m/>
    <m/>
    <m/>
    <m/>
    <m/>
    <m/>
    <m/>
    <m/>
    <s v="no test"/>
    <s v="no test"/>
    <s v="No Test"/>
    <n v="1"/>
    <n v="1"/>
    <n v="0"/>
    <n v="0"/>
    <n v="0"/>
    <n v="0"/>
    <n v="0"/>
    <m/>
    <n v="1"/>
    <n v="1"/>
    <n v="1"/>
    <n v="32"/>
    <n v="0"/>
    <n v="0"/>
    <n v="1"/>
    <n v="32"/>
    <n v="6.4000000000000001E-2"/>
    <n v="0"/>
    <n v="0"/>
    <n v="0.93599999999999994"/>
    <n v="1"/>
    <n v="2"/>
    <n v="1"/>
    <n v="32"/>
    <n v="0"/>
    <n v="0"/>
    <n v="0"/>
    <n v="2"/>
    <n v="0"/>
    <n v="0"/>
    <n v="0"/>
    <n v="0"/>
    <n v="0"/>
    <n v="0"/>
    <n v="0"/>
    <n v="0"/>
    <n v="0"/>
    <n v="1"/>
    <n v="0"/>
    <n v="0"/>
    <n v="0"/>
    <n v="1"/>
    <n v="5"/>
    <n v="0"/>
    <n v="32"/>
    <s v="No"/>
    <s v=""/>
    <n v="0"/>
    <n v="0"/>
    <n v="0"/>
    <n v="0"/>
    <n v="0"/>
    <n v="0"/>
    <n v="0"/>
    <n v="0"/>
    <x v="0"/>
    <x v="0"/>
    <x v="0"/>
    <n v="0"/>
    <n v="0"/>
    <n v="0"/>
    <x v="0"/>
    <x v="0"/>
    <s v="yes"/>
    <n v="0"/>
    <n v="0"/>
  </r>
  <r>
    <x v="0"/>
    <x v="3"/>
    <x v="3"/>
    <s v="UNICEF"/>
    <x v="1"/>
    <x v="8"/>
    <x v="0"/>
    <x v="14"/>
    <n v="112"/>
    <n v="607"/>
    <d v="2022-09-07T00:00:00"/>
    <d v="2023-09-06T00:00:00"/>
    <m/>
    <n v="2"/>
    <m/>
    <m/>
    <s v="Yes"/>
    <n v="1"/>
    <n v="2"/>
    <n v="5"/>
    <m/>
    <m/>
    <n v="3"/>
    <m/>
    <m/>
    <m/>
    <m/>
    <m/>
    <m/>
    <m/>
    <m/>
    <m/>
    <m/>
    <n v="2"/>
    <m/>
    <m/>
    <m/>
    <m/>
    <m/>
    <m/>
    <m/>
    <m/>
    <n v="20"/>
    <m/>
    <m/>
    <m/>
    <m/>
    <m/>
    <m/>
    <n v="12"/>
    <x v="1"/>
    <x v="1"/>
    <m/>
    <m/>
    <m/>
    <m/>
    <m/>
    <m/>
    <n v="4"/>
    <m/>
    <m/>
    <n v="5"/>
    <m/>
    <n v="2"/>
    <n v="1"/>
    <m/>
    <m/>
    <m/>
    <m/>
    <m/>
    <m/>
    <m/>
    <m/>
    <m/>
    <m/>
    <m/>
    <m/>
    <m/>
    <m/>
    <m/>
    <m/>
    <m/>
    <s v="no test"/>
    <s v="no test"/>
    <s v="No Test"/>
    <n v="5"/>
    <n v="3"/>
    <n v="0"/>
    <n v="0"/>
    <n v="0"/>
    <n v="0"/>
    <n v="0"/>
    <m/>
    <n v="1"/>
    <n v="1"/>
    <n v="1"/>
    <n v="607"/>
    <n v="0"/>
    <n v="0"/>
    <n v="1"/>
    <n v="607"/>
    <n v="1.214"/>
    <n v="0"/>
    <n v="0"/>
    <n v="0"/>
    <n v="1"/>
    <n v="20"/>
    <n v="0.65897858319604607"/>
    <n v="400"/>
    <n v="0"/>
    <n v="0"/>
    <n v="0"/>
    <n v="30"/>
    <n v="10"/>
    <n v="0.34102141680395393"/>
    <n v="0"/>
    <n v="607"/>
    <n v="0"/>
    <n v="0"/>
    <n v="0"/>
    <n v="607"/>
    <n v="1"/>
    <n v="0"/>
    <n v="1"/>
    <n v="0"/>
    <n v="0"/>
    <n v="4"/>
    <n v="80"/>
    <n v="0"/>
    <n v="400"/>
    <s v="No"/>
    <s v=""/>
    <n v="0"/>
    <n v="0"/>
    <n v="0"/>
    <n v="0"/>
    <n v="0"/>
    <n v="0"/>
    <n v="0"/>
    <s v="KBC-MYT"/>
    <x v="0"/>
    <x v="2"/>
    <x v="0"/>
    <n v="25.2226"/>
    <n v="97.012299999999996"/>
    <s v="MMR001CMP261"/>
    <x v="0"/>
    <x v="0"/>
    <s v="yes"/>
    <n v="110"/>
    <n v="590"/>
  </r>
  <r>
    <x v="0"/>
    <x v="3"/>
    <x v="3"/>
    <s v="UNICEF"/>
    <x v="1"/>
    <x v="8"/>
    <x v="0"/>
    <x v="15"/>
    <n v="10"/>
    <n v="51"/>
    <d v="2022-09-07T00:00:00"/>
    <d v="2023-09-06T00:00:00"/>
    <m/>
    <n v="1"/>
    <m/>
    <m/>
    <s v="Yes"/>
    <n v="2"/>
    <n v="1"/>
    <n v="2"/>
    <n v="1"/>
    <m/>
    <n v="2"/>
    <m/>
    <m/>
    <m/>
    <m/>
    <m/>
    <m/>
    <m/>
    <m/>
    <m/>
    <m/>
    <n v="3"/>
    <m/>
    <m/>
    <m/>
    <m/>
    <m/>
    <m/>
    <m/>
    <m/>
    <n v="4"/>
    <m/>
    <m/>
    <m/>
    <m/>
    <m/>
    <m/>
    <n v="3"/>
    <x v="1"/>
    <x v="1"/>
    <m/>
    <m/>
    <m/>
    <m/>
    <m/>
    <m/>
    <n v="3"/>
    <m/>
    <m/>
    <n v="2"/>
    <m/>
    <m/>
    <m/>
    <m/>
    <m/>
    <m/>
    <m/>
    <m/>
    <m/>
    <m/>
    <m/>
    <m/>
    <m/>
    <m/>
    <m/>
    <m/>
    <m/>
    <m/>
    <m/>
    <m/>
    <s v="no test"/>
    <s v="no test"/>
    <s v="No Test"/>
    <n v="1"/>
    <n v="2"/>
    <n v="0"/>
    <n v="0"/>
    <n v="0"/>
    <n v="0"/>
    <n v="0"/>
    <m/>
    <n v="1"/>
    <n v="1"/>
    <n v="1"/>
    <n v="51"/>
    <n v="0"/>
    <n v="0"/>
    <n v="1"/>
    <n v="51"/>
    <n v="0.10199999999999999"/>
    <n v="0"/>
    <n v="0"/>
    <n v="0.89800000000000002"/>
    <n v="1"/>
    <n v="4"/>
    <n v="1"/>
    <n v="51"/>
    <n v="0"/>
    <n v="0"/>
    <n v="0"/>
    <n v="3"/>
    <n v="0"/>
    <n v="0"/>
    <n v="0"/>
    <n v="0"/>
    <n v="0"/>
    <n v="0"/>
    <n v="0"/>
    <n v="0"/>
    <n v="0"/>
    <n v="1"/>
    <n v="0"/>
    <n v="0"/>
    <n v="0"/>
    <n v="3"/>
    <n v="10"/>
    <n v="0"/>
    <n v="51"/>
    <s v="No"/>
    <s v=""/>
    <n v="0"/>
    <n v="0"/>
    <n v="0"/>
    <n v="0"/>
    <n v="0"/>
    <n v="0"/>
    <s v="Yes"/>
    <s v="KBC-MYT"/>
    <x v="0"/>
    <x v="2"/>
    <x v="0"/>
    <n v="25.30442"/>
    <n v="96.948740000000001"/>
    <s v="MMR001CMP079"/>
    <x v="0"/>
    <x v="0"/>
    <s v="yes"/>
    <n v="10"/>
    <n v="48"/>
  </r>
  <r>
    <x v="0"/>
    <x v="3"/>
    <x v="3"/>
    <s v="UNICEF"/>
    <x v="1"/>
    <x v="9"/>
    <x v="0"/>
    <x v="16"/>
    <n v="27"/>
    <n v="127"/>
    <d v="2022-09-07T00:00:00"/>
    <d v="2023-09-06T00:00:00"/>
    <m/>
    <n v="1"/>
    <m/>
    <m/>
    <s v="Yes"/>
    <n v="2"/>
    <n v="2"/>
    <n v="2"/>
    <m/>
    <m/>
    <n v="1"/>
    <m/>
    <m/>
    <m/>
    <m/>
    <m/>
    <m/>
    <m/>
    <m/>
    <m/>
    <m/>
    <m/>
    <m/>
    <m/>
    <m/>
    <m/>
    <m/>
    <m/>
    <m/>
    <m/>
    <n v="5"/>
    <m/>
    <m/>
    <m/>
    <m/>
    <m/>
    <m/>
    <m/>
    <x v="1"/>
    <x v="3"/>
    <m/>
    <m/>
    <m/>
    <m/>
    <m/>
    <m/>
    <n v="4"/>
    <m/>
    <m/>
    <n v="2"/>
    <m/>
    <m/>
    <m/>
    <m/>
    <m/>
    <m/>
    <m/>
    <m/>
    <m/>
    <m/>
    <m/>
    <m/>
    <m/>
    <m/>
    <m/>
    <m/>
    <m/>
    <m/>
    <m/>
    <m/>
    <s v="no test"/>
    <s v="no test"/>
    <s v="No Test"/>
    <n v="2"/>
    <n v="1"/>
    <n v="0"/>
    <n v="0"/>
    <n v="0"/>
    <n v="0"/>
    <n v="0"/>
    <m/>
    <n v="1"/>
    <n v="1"/>
    <n v="1"/>
    <n v="127"/>
    <n v="0"/>
    <n v="0"/>
    <n v="1"/>
    <n v="127"/>
    <n v="0.254"/>
    <n v="0"/>
    <n v="0"/>
    <n v="0.746"/>
    <n v="1"/>
    <n v="5"/>
    <n v="0.78740157480314965"/>
    <n v="100"/>
    <n v="0"/>
    <n v="0"/>
    <n v="0"/>
    <n v="6"/>
    <n v="1"/>
    <n v="0.21259842519685035"/>
    <n v="0"/>
    <n v="0"/>
    <n v="0"/>
    <n v="0"/>
    <n v="0"/>
    <n v="0"/>
    <n v="0"/>
    <n v="1"/>
    <n v="0"/>
    <n v="0"/>
    <n v="0"/>
    <n v="4"/>
    <n v="27"/>
    <n v="0"/>
    <n v="127"/>
    <s v="No"/>
    <s v=""/>
    <n v="0"/>
    <n v="0"/>
    <n v="0"/>
    <n v="0"/>
    <n v="0"/>
    <n v="0"/>
    <s v="Yes"/>
    <s v="KBC-MYT"/>
    <x v="0"/>
    <x v="2"/>
    <x v="0"/>
    <n v="24.998349999999999"/>
    <n v="96.364949999999993"/>
    <s v="MMR001CMP152"/>
    <x v="0"/>
    <x v="0"/>
    <s v="yes"/>
    <n v="28"/>
    <n v="131"/>
  </r>
  <r>
    <x v="0"/>
    <x v="3"/>
    <x v="3"/>
    <s v="MHF"/>
    <x v="1"/>
    <x v="4"/>
    <x v="0"/>
    <x v="17"/>
    <n v="1592"/>
    <n v="8225"/>
    <d v="2022-10-01T00:00:00"/>
    <d v="2023-06-30T00:00:00"/>
    <m/>
    <n v="1"/>
    <m/>
    <m/>
    <s v="Yes"/>
    <n v="8"/>
    <n v="14"/>
    <n v="2"/>
    <m/>
    <m/>
    <n v="2"/>
    <m/>
    <m/>
    <m/>
    <n v="5"/>
    <n v="2"/>
    <m/>
    <m/>
    <n v="3"/>
    <m/>
    <m/>
    <m/>
    <m/>
    <m/>
    <m/>
    <m/>
    <m/>
    <m/>
    <m/>
    <s v="No Comment"/>
    <n v="614"/>
    <m/>
    <m/>
    <n v="5"/>
    <n v="5"/>
    <n v="153"/>
    <n v="171.70627999999999"/>
    <m/>
    <x v="1"/>
    <x v="1"/>
    <m/>
    <m/>
    <m/>
    <m/>
    <m/>
    <s v="NA"/>
    <n v="130"/>
    <n v="60"/>
    <m/>
    <n v="20"/>
    <n v="2"/>
    <m/>
    <n v="14"/>
    <m/>
    <m/>
    <s v="No"/>
    <m/>
    <n v="0.6"/>
    <s v="NA"/>
    <n v="0.7"/>
    <n v="0.8"/>
    <n v="50"/>
    <n v="0.8"/>
    <m/>
    <m/>
    <m/>
    <m/>
    <m/>
    <m/>
    <m/>
    <s v="no test"/>
    <s v="no test"/>
    <s v="No Test"/>
    <n v="2"/>
    <n v="2"/>
    <n v="3"/>
    <n v="0"/>
    <n v="0"/>
    <n v="0"/>
    <n v="0"/>
    <m/>
    <n v="0.24316109422492402"/>
    <n v="0.1458966565349544"/>
    <n v="0.24316109422492402"/>
    <n v="2000"/>
    <n v="9.1185410334346503E-2"/>
    <n v="750"/>
    <n v="0.33434650455927051"/>
    <n v="2750"/>
    <n v="5.5"/>
    <n v="0.66565349544072949"/>
    <n v="5475"/>
    <n v="10.5"/>
    <n v="16"/>
    <n v="609"/>
    <n v="1"/>
    <n v="8225"/>
    <n v="3060"/>
    <n v="0"/>
    <n v="0"/>
    <n v="411"/>
    <n v="0"/>
    <n v="0"/>
    <n v="8.1433224755700327E-3"/>
    <n v="7000"/>
    <n v="0"/>
    <n v="0"/>
    <n v="0"/>
    <n v="7000"/>
    <n v="0.85106382978723405"/>
    <n v="0.14893617021276595"/>
    <n v="0.85106382978723405"/>
    <n v="0"/>
    <n v="0"/>
    <n v="70"/>
    <n v="1400"/>
    <n v="0"/>
    <n v="7000"/>
    <s v="No"/>
    <n v="6.0790273556231003E-3"/>
    <n v="5757.5"/>
    <n v="6580"/>
    <n v="6580"/>
    <n v="6580"/>
    <n v="0"/>
    <n v="0"/>
    <s v="Yes"/>
    <s v="KMSS-MYT"/>
    <x v="0"/>
    <x v="2"/>
    <x v="1"/>
    <n v="24.688338999999999"/>
    <n v="97.568331999999998"/>
    <s v="MMR001CMP121"/>
    <x v="0"/>
    <x v="0"/>
    <s v="yes"/>
    <m/>
    <m/>
  </r>
  <r>
    <x v="0"/>
    <x v="3"/>
    <x v="3"/>
    <s v="UNICEF"/>
    <x v="1"/>
    <x v="4"/>
    <x v="1"/>
    <x v="18"/>
    <n v="440"/>
    <n v="2199"/>
    <d v="2020-10-01T00:00:00"/>
    <d v="2022-04-30T00:00:00"/>
    <m/>
    <m/>
    <m/>
    <m/>
    <s v="Yes"/>
    <m/>
    <m/>
    <m/>
    <m/>
    <m/>
    <n v="1"/>
    <m/>
    <m/>
    <m/>
    <m/>
    <m/>
    <m/>
    <m/>
    <m/>
    <m/>
    <m/>
    <m/>
    <m/>
    <m/>
    <m/>
    <m/>
    <n v="20"/>
    <m/>
    <m/>
    <m/>
    <m/>
    <m/>
    <m/>
    <m/>
    <m/>
    <m/>
    <m/>
    <m/>
    <x v="2"/>
    <x v="2"/>
    <m/>
    <m/>
    <n v="51"/>
    <m/>
    <m/>
    <m/>
    <n v="3"/>
    <m/>
    <m/>
    <n v="2"/>
    <m/>
    <m/>
    <m/>
    <m/>
    <m/>
    <m/>
    <m/>
    <m/>
    <m/>
    <m/>
    <m/>
    <m/>
    <m/>
    <m/>
    <m/>
    <m/>
    <m/>
    <m/>
    <m/>
    <m/>
    <s v="no test"/>
    <s v="no test"/>
    <s v="No Test"/>
    <n v="0"/>
    <n v="1"/>
    <n v="0"/>
    <n v="0"/>
    <n v="0"/>
    <n v="0"/>
    <n v="0"/>
    <m/>
    <n v="0.22737608003638018"/>
    <n v="0.11368804001819009"/>
    <n v="0.22737608003638018"/>
    <n v="500"/>
    <n v="0"/>
    <n v="0"/>
    <n v="0.22737608003638018"/>
    <n v="500"/>
    <n v="1"/>
    <n v="0.77262391996361979"/>
    <n v="1699"/>
    <n v="3"/>
    <n v="4"/>
    <n v="0"/>
    <n v="0"/>
    <n v="0"/>
    <n v="0"/>
    <n v="0"/>
    <n v="0"/>
    <n v="110"/>
    <n v="110"/>
    <n v="1"/>
    <n v="0"/>
    <n v="0"/>
    <n v="0"/>
    <n v="0"/>
    <n v="0"/>
    <n v="0"/>
    <n v="0"/>
    <n v="1"/>
    <n v="0"/>
    <n v="0"/>
    <n v="0"/>
    <n v="3"/>
    <n v="60"/>
    <n v="0"/>
    <n v="300"/>
    <s v="No"/>
    <s v=""/>
    <n v="0"/>
    <n v="0"/>
    <n v="0"/>
    <n v="0"/>
    <n v="0"/>
    <n v="0"/>
    <n v="0"/>
    <n v="0"/>
    <x v="0"/>
    <x v="3"/>
    <x v="1"/>
    <n v="0"/>
    <n v="0"/>
    <n v="0"/>
    <x v="0"/>
    <x v="0"/>
    <s v="yes"/>
    <n v="0"/>
    <n v="0"/>
  </r>
  <r>
    <x v="0"/>
    <x v="3"/>
    <x v="3"/>
    <s v="UNICEF"/>
    <x v="1"/>
    <x v="10"/>
    <x v="0"/>
    <x v="19"/>
    <n v="43"/>
    <n v="198"/>
    <d v="2022-09-07T00:00:00"/>
    <d v="2023-09-06T00:00:00"/>
    <m/>
    <n v="1"/>
    <m/>
    <m/>
    <s v="Yes"/>
    <n v="2"/>
    <n v="2"/>
    <n v="3"/>
    <m/>
    <m/>
    <n v="3"/>
    <m/>
    <m/>
    <m/>
    <m/>
    <m/>
    <m/>
    <m/>
    <n v="3"/>
    <m/>
    <m/>
    <n v="3"/>
    <m/>
    <m/>
    <m/>
    <m/>
    <m/>
    <m/>
    <m/>
    <m/>
    <n v="6"/>
    <m/>
    <m/>
    <m/>
    <m/>
    <m/>
    <m/>
    <n v="6"/>
    <x v="1"/>
    <x v="1"/>
    <m/>
    <m/>
    <m/>
    <m/>
    <m/>
    <m/>
    <n v="5"/>
    <m/>
    <m/>
    <n v="3"/>
    <m/>
    <n v="1"/>
    <m/>
    <m/>
    <m/>
    <m/>
    <m/>
    <m/>
    <m/>
    <m/>
    <m/>
    <m/>
    <m/>
    <m/>
    <m/>
    <m/>
    <m/>
    <m/>
    <m/>
    <m/>
    <s v="no test"/>
    <s v="no test"/>
    <s v="No Test"/>
    <n v="3"/>
    <n v="3"/>
    <n v="0"/>
    <n v="0"/>
    <n v="0"/>
    <n v="0"/>
    <n v="0"/>
    <m/>
    <n v="1"/>
    <n v="1"/>
    <n v="1"/>
    <n v="198"/>
    <n v="1"/>
    <n v="198"/>
    <n v="1"/>
    <n v="198"/>
    <n v="0.39600000000000002"/>
    <n v="0"/>
    <n v="0"/>
    <n v="0.60399999999999998"/>
    <n v="1"/>
    <n v="6"/>
    <n v="0.60606060606060608"/>
    <n v="120"/>
    <n v="0"/>
    <n v="0"/>
    <n v="0"/>
    <n v="10"/>
    <n v="4"/>
    <n v="0.39393939393939392"/>
    <n v="0"/>
    <n v="198"/>
    <n v="0"/>
    <n v="0"/>
    <n v="0"/>
    <n v="198"/>
    <n v="1"/>
    <n v="0"/>
    <n v="1"/>
    <n v="0"/>
    <n v="0"/>
    <n v="5"/>
    <n v="43"/>
    <n v="0"/>
    <n v="198"/>
    <s v="No"/>
    <s v=""/>
    <n v="0"/>
    <n v="0"/>
    <n v="0"/>
    <n v="0"/>
    <n v="0"/>
    <n v="0"/>
    <s v="Yes"/>
    <s v="KBC-MYT"/>
    <x v="0"/>
    <x v="2"/>
    <x v="0"/>
    <n v="25.3959740909091"/>
    <n v="97.382997575757599"/>
    <s v="MMR001CMP010"/>
    <x v="0"/>
    <x v="0"/>
    <s v="yes"/>
    <n v="43"/>
    <n v="192"/>
  </r>
  <r>
    <x v="0"/>
    <x v="3"/>
    <x v="3"/>
    <s v="UNICEF"/>
    <x v="1"/>
    <x v="10"/>
    <x v="0"/>
    <x v="20"/>
    <n v="136"/>
    <n v="742"/>
    <d v="2022-09-07T00:00:00"/>
    <d v="2023-09-06T00:00:00"/>
    <m/>
    <n v="3"/>
    <m/>
    <m/>
    <s v="Yes"/>
    <n v="1"/>
    <n v="4"/>
    <n v="7"/>
    <m/>
    <m/>
    <n v="4"/>
    <m/>
    <m/>
    <m/>
    <m/>
    <m/>
    <m/>
    <m/>
    <m/>
    <m/>
    <m/>
    <n v="5"/>
    <m/>
    <m/>
    <m/>
    <m/>
    <m/>
    <m/>
    <m/>
    <m/>
    <n v="45"/>
    <m/>
    <m/>
    <m/>
    <m/>
    <m/>
    <m/>
    <n v="45"/>
    <x v="1"/>
    <x v="1"/>
    <m/>
    <m/>
    <m/>
    <m/>
    <m/>
    <m/>
    <n v="7"/>
    <m/>
    <m/>
    <n v="7"/>
    <m/>
    <n v="1"/>
    <m/>
    <m/>
    <m/>
    <m/>
    <m/>
    <m/>
    <m/>
    <m/>
    <m/>
    <m/>
    <m/>
    <m/>
    <m/>
    <m/>
    <m/>
    <m/>
    <m/>
    <m/>
    <s v="no test"/>
    <s v="no test"/>
    <s v="No Test"/>
    <n v="7"/>
    <n v="4"/>
    <n v="0"/>
    <n v="0"/>
    <n v="0"/>
    <n v="0"/>
    <n v="0"/>
    <m/>
    <n v="1"/>
    <n v="1"/>
    <n v="1"/>
    <n v="742"/>
    <n v="0"/>
    <n v="0"/>
    <n v="1"/>
    <n v="742"/>
    <n v="1.484"/>
    <n v="0"/>
    <n v="0"/>
    <n v="0"/>
    <n v="1"/>
    <n v="45"/>
    <n v="1"/>
    <n v="742"/>
    <n v="0"/>
    <n v="0"/>
    <n v="0"/>
    <n v="37"/>
    <n v="0"/>
    <n v="0"/>
    <n v="0"/>
    <n v="500"/>
    <n v="0"/>
    <n v="0"/>
    <n v="0"/>
    <n v="500"/>
    <n v="0.67385444743935308"/>
    <n v="0.32614555256064692"/>
    <n v="0.67385444743935308"/>
    <n v="0"/>
    <n v="0"/>
    <n v="7"/>
    <n v="136"/>
    <n v="0"/>
    <n v="700"/>
    <s v="No"/>
    <s v=""/>
    <n v="0"/>
    <n v="0"/>
    <n v="0"/>
    <n v="0"/>
    <n v="0"/>
    <n v="0"/>
    <s v="Yes"/>
    <s v="KBC-MYT"/>
    <x v="0"/>
    <x v="2"/>
    <x v="0"/>
    <n v="25.397850999999999"/>
    <n v="97.370900000000006"/>
    <s v="MMR001CMP018"/>
    <x v="0"/>
    <x v="0"/>
    <s v="yes"/>
    <n v="134"/>
    <n v="732"/>
  </r>
  <r>
    <x v="0"/>
    <x v="3"/>
    <x v="3"/>
    <s v="UNICEF"/>
    <x v="1"/>
    <x v="10"/>
    <x v="0"/>
    <x v="21"/>
    <n v="133"/>
    <n v="678"/>
    <d v="2022-09-07T00:00:00"/>
    <d v="2023-09-06T00:00:00"/>
    <m/>
    <n v="2"/>
    <m/>
    <m/>
    <s v="Yes"/>
    <n v="2"/>
    <n v="3"/>
    <n v="1"/>
    <m/>
    <m/>
    <n v="3"/>
    <m/>
    <m/>
    <m/>
    <m/>
    <m/>
    <m/>
    <m/>
    <m/>
    <m/>
    <m/>
    <n v="2"/>
    <m/>
    <m/>
    <m/>
    <m/>
    <m/>
    <m/>
    <m/>
    <m/>
    <n v="8"/>
    <m/>
    <m/>
    <m/>
    <m/>
    <m/>
    <m/>
    <n v="8"/>
    <x v="1"/>
    <x v="3"/>
    <m/>
    <m/>
    <m/>
    <m/>
    <m/>
    <m/>
    <n v="3"/>
    <m/>
    <m/>
    <n v="2"/>
    <m/>
    <m/>
    <m/>
    <m/>
    <m/>
    <m/>
    <m/>
    <m/>
    <m/>
    <m/>
    <m/>
    <m/>
    <m/>
    <m/>
    <m/>
    <m/>
    <m/>
    <m/>
    <m/>
    <m/>
    <s v="no test"/>
    <s v="no test"/>
    <s v="No Test"/>
    <n v="1"/>
    <n v="3"/>
    <n v="0"/>
    <n v="0"/>
    <n v="0"/>
    <n v="0"/>
    <n v="0"/>
    <m/>
    <n v="1"/>
    <n v="1"/>
    <n v="1"/>
    <n v="678"/>
    <n v="0"/>
    <n v="0"/>
    <n v="1"/>
    <n v="678"/>
    <n v="1.3560000000000001"/>
    <n v="0"/>
    <n v="0"/>
    <n v="0"/>
    <n v="1"/>
    <n v="8"/>
    <n v="0.2359882005899705"/>
    <n v="160"/>
    <n v="0"/>
    <n v="0"/>
    <n v="0"/>
    <n v="34"/>
    <n v="26"/>
    <n v="0.7640117994100295"/>
    <n v="0"/>
    <n v="0"/>
    <n v="0"/>
    <n v="0"/>
    <n v="0"/>
    <n v="0"/>
    <n v="0"/>
    <n v="1"/>
    <n v="0"/>
    <n v="0"/>
    <n v="0"/>
    <n v="3"/>
    <n v="60"/>
    <n v="0"/>
    <n v="300"/>
    <s v="No"/>
    <s v=""/>
    <n v="0"/>
    <n v="0"/>
    <n v="0"/>
    <n v="0"/>
    <n v="0"/>
    <n v="0"/>
    <s v="Yes"/>
    <s v="KBC-MYT"/>
    <x v="0"/>
    <x v="2"/>
    <x v="0"/>
    <n v="25.362420757575801"/>
    <n v="97.409035000000003"/>
    <s v="MMR001CMP015"/>
    <x v="0"/>
    <x v="0"/>
    <s v="yes"/>
    <n v="122"/>
    <n v="625"/>
  </r>
  <r>
    <x v="0"/>
    <x v="3"/>
    <x v="3"/>
    <s v="UNICEF"/>
    <x v="1"/>
    <x v="10"/>
    <x v="0"/>
    <x v="22"/>
    <n v="58"/>
    <n v="322"/>
    <d v="2022-09-07T00:00:00"/>
    <d v="2023-09-06T00:00:00"/>
    <m/>
    <n v="1"/>
    <m/>
    <m/>
    <s v="Yes"/>
    <n v="1"/>
    <n v="2"/>
    <n v="3"/>
    <m/>
    <m/>
    <m/>
    <m/>
    <m/>
    <m/>
    <m/>
    <m/>
    <m/>
    <m/>
    <m/>
    <m/>
    <m/>
    <n v="2"/>
    <m/>
    <m/>
    <m/>
    <m/>
    <m/>
    <m/>
    <m/>
    <m/>
    <n v="7"/>
    <m/>
    <m/>
    <m/>
    <m/>
    <m/>
    <m/>
    <n v="7"/>
    <x v="1"/>
    <x v="3"/>
    <m/>
    <m/>
    <m/>
    <m/>
    <m/>
    <m/>
    <n v="3"/>
    <m/>
    <m/>
    <n v="2"/>
    <m/>
    <m/>
    <m/>
    <m/>
    <m/>
    <m/>
    <m/>
    <m/>
    <m/>
    <m/>
    <m/>
    <m/>
    <m/>
    <m/>
    <m/>
    <m/>
    <m/>
    <m/>
    <m/>
    <m/>
    <s v="no test"/>
    <s v="no test"/>
    <s v="No Test"/>
    <n v="3"/>
    <n v="0"/>
    <n v="0"/>
    <n v="0"/>
    <n v="0"/>
    <n v="0"/>
    <n v="0"/>
    <m/>
    <n v="1"/>
    <n v="1"/>
    <n v="1"/>
    <n v="322"/>
    <n v="0"/>
    <n v="0"/>
    <n v="1"/>
    <n v="322"/>
    <n v="0.64400000000000002"/>
    <n v="0"/>
    <n v="0"/>
    <n v="0.35599999999999998"/>
    <n v="1"/>
    <n v="7"/>
    <n v="0.43478260869565216"/>
    <n v="140"/>
    <n v="0"/>
    <n v="0"/>
    <n v="0"/>
    <n v="16"/>
    <n v="9"/>
    <n v="0.56521739130434789"/>
    <n v="0"/>
    <n v="0"/>
    <n v="0"/>
    <n v="0"/>
    <n v="0"/>
    <n v="0"/>
    <n v="0"/>
    <n v="1"/>
    <n v="0"/>
    <n v="0"/>
    <n v="0"/>
    <n v="3"/>
    <n v="58"/>
    <n v="0"/>
    <n v="300"/>
    <s v="No"/>
    <s v=""/>
    <n v="0"/>
    <n v="0"/>
    <n v="0"/>
    <n v="0"/>
    <n v="0"/>
    <n v="0"/>
    <s v="Yes"/>
    <s v="KBC-MYT"/>
    <x v="0"/>
    <x v="2"/>
    <x v="0"/>
    <n v="25.360463124999999"/>
    <n v="97.4113064583333"/>
    <s v="MMR001CMP016"/>
    <x v="0"/>
    <x v="0"/>
    <s v="yes"/>
    <n v="49"/>
    <n v="277"/>
  </r>
  <r>
    <x v="0"/>
    <x v="3"/>
    <x v="3"/>
    <s v="UNICEF"/>
    <x v="1"/>
    <x v="10"/>
    <x v="0"/>
    <x v="23"/>
    <n v="72"/>
    <n v="320"/>
    <d v="2022-09-07T00:00:00"/>
    <d v="2023-09-06T00:00:00"/>
    <m/>
    <n v="1"/>
    <m/>
    <m/>
    <s v="Yes"/>
    <n v="2"/>
    <n v="2"/>
    <n v="2"/>
    <m/>
    <m/>
    <n v="2"/>
    <m/>
    <m/>
    <m/>
    <m/>
    <m/>
    <m/>
    <m/>
    <m/>
    <m/>
    <m/>
    <n v="3"/>
    <m/>
    <m/>
    <m/>
    <m/>
    <m/>
    <m/>
    <m/>
    <m/>
    <n v="15"/>
    <m/>
    <m/>
    <m/>
    <m/>
    <m/>
    <m/>
    <n v="15"/>
    <x v="1"/>
    <x v="1"/>
    <m/>
    <m/>
    <m/>
    <m/>
    <m/>
    <m/>
    <n v="1"/>
    <m/>
    <m/>
    <n v="1"/>
    <m/>
    <m/>
    <m/>
    <m/>
    <m/>
    <m/>
    <m/>
    <m/>
    <m/>
    <m/>
    <m/>
    <m/>
    <m/>
    <m/>
    <m/>
    <m/>
    <m/>
    <m/>
    <m/>
    <m/>
    <s v="no test"/>
    <s v="no test"/>
    <s v="No Test"/>
    <n v="2"/>
    <n v="2"/>
    <n v="0"/>
    <n v="0"/>
    <n v="0"/>
    <n v="0"/>
    <n v="0"/>
    <m/>
    <n v="1"/>
    <n v="1"/>
    <n v="1"/>
    <n v="320"/>
    <n v="0"/>
    <n v="0"/>
    <n v="1"/>
    <n v="320"/>
    <n v="0.64"/>
    <n v="0"/>
    <n v="0"/>
    <n v="0.36"/>
    <n v="1"/>
    <n v="15"/>
    <n v="0.9375"/>
    <n v="300"/>
    <n v="0"/>
    <n v="0"/>
    <n v="0"/>
    <n v="16"/>
    <n v="1"/>
    <n v="6.25E-2"/>
    <n v="0"/>
    <n v="0"/>
    <n v="0"/>
    <n v="0"/>
    <n v="0"/>
    <n v="0"/>
    <n v="0"/>
    <n v="1"/>
    <n v="0"/>
    <n v="0"/>
    <n v="0"/>
    <n v="1"/>
    <n v="20"/>
    <n v="0"/>
    <n v="100"/>
    <s v="No"/>
    <s v=""/>
    <n v="0"/>
    <n v="0"/>
    <n v="0"/>
    <n v="0"/>
    <n v="0"/>
    <n v="0"/>
    <s v="Yes"/>
    <s v="KBC-MYT"/>
    <x v="0"/>
    <x v="2"/>
    <x v="0"/>
    <n v="25.422194000000001"/>
    <n v="97.394547000000003"/>
    <s v="MMR001CMP002"/>
    <x v="0"/>
    <x v="0"/>
    <s v="yes"/>
    <n v="39"/>
    <n v="180"/>
  </r>
  <r>
    <x v="0"/>
    <x v="3"/>
    <x v="3"/>
    <s v="UNICEF"/>
    <x v="1"/>
    <x v="10"/>
    <x v="0"/>
    <x v="24"/>
    <n v="99"/>
    <n v="543"/>
    <d v="2022-09-07T00:00:00"/>
    <d v="2023-09-06T00:00:00"/>
    <m/>
    <n v="1"/>
    <m/>
    <m/>
    <s v="Yes"/>
    <n v="2"/>
    <n v="2"/>
    <n v="2"/>
    <m/>
    <m/>
    <n v="3"/>
    <m/>
    <m/>
    <m/>
    <m/>
    <m/>
    <m/>
    <m/>
    <m/>
    <m/>
    <m/>
    <n v="2"/>
    <m/>
    <m/>
    <m/>
    <m/>
    <m/>
    <m/>
    <m/>
    <m/>
    <n v="11"/>
    <m/>
    <m/>
    <m/>
    <m/>
    <m/>
    <m/>
    <n v="11"/>
    <x v="1"/>
    <x v="1"/>
    <m/>
    <m/>
    <m/>
    <m/>
    <m/>
    <m/>
    <n v="3"/>
    <m/>
    <m/>
    <n v="2"/>
    <m/>
    <n v="1"/>
    <m/>
    <m/>
    <m/>
    <m/>
    <m/>
    <m/>
    <m/>
    <m/>
    <m/>
    <m/>
    <m/>
    <m/>
    <m/>
    <m/>
    <m/>
    <m/>
    <m/>
    <m/>
    <s v="no test"/>
    <s v="no test"/>
    <s v="No Test"/>
    <n v="2"/>
    <n v="3"/>
    <n v="0"/>
    <n v="0"/>
    <n v="0"/>
    <n v="0"/>
    <n v="0"/>
    <m/>
    <n v="1"/>
    <n v="1"/>
    <n v="1"/>
    <n v="543"/>
    <n v="0"/>
    <n v="0"/>
    <n v="1"/>
    <n v="543"/>
    <n v="1.0860000000000001"/>
    <n v="0"/>
    <n v="0"/>
    <n v="0"/>
    <n v="1"/>
    <n v="11"/>
    <n v="0.40515653775322286"/>
    <n v="220"/>
    <n v="0"/>
    <n v="0"/>
    <n v="0"/>
    <n v="27"/>
    <n v="16"/>
    <n v="0.59484346224677709"/>
    <n v="0"/>
    <n v="500"/>
    <n v="0"/>
    <n v="0"/>
    <n v="0"/>
    <n v="500"/>
    <n v="0.92081031307550643"/>
    <n v="7.9189686924493574E-2"/>
    <n v="0.92081031307550643"/>
    <n v="0"/>
    <n v="0"/>
    <n v="3"/>
    <n v="60"/>
    <n v="0"/>
    <n v="300"/>
    <s v="No"/>
    <s v=""/>
    <n v="0"/>
    <n v="0"/>
    <n v="0"/>
    <n v="0"/>
    <n v="0"/>
    <n v="0"/>
    <s v="Yes"/>
    <s v="KBC-MYT"/>
    <x v="0"/>
    <x v="2"/>
    <x v="0"/>
    <n v="25.415482000000001"/>
    <n v="97.386718999999999"/>
    <s v="MMR001CMP001"/>
    <x v="0"/>
    <x v="0"/>
    <s v="yes"/>
    <n v="97"/>
    <n v="539"/>
  </r>
  <r>
    <x v="0"/>
    <x v="3"/>
    <x v="3"/>
    <s v="UNICEF"/>
    <x v="1"/>
    <x v="10"/>
    <x v="0"/>
    <x v="25"/>
    <n v="32"/>
    <n v="169"/>
    <d v="2022-09-07T00:00:00"/>
    <d v="2023-09-06T00:00:00"/>
    <m/>
    <n v="1"/>
    <m/>
    <m/>
    <s v="Yes"/>
    <n v="2"/>
    <n v="2"/>
    <n v="3"/>
    <m/>
    <m/>
    <n v="4"/>
    <m/>
    <m/>
    <m/>
    <m/>
    <m/>
    <m/>
    <m/>
    <m/>
    <m/>
    <m/>
    <n v="3"/>
    <m/>
    <m/>
    <m/>
    <m/>
    <m/>
    <m/>
    <m/>
    <m/>
    <n v="5"/>
    <m/>
    <m/>
    <m/>
    <m/>
    <m/>
    <m/>
    <n v="5"/>
    <x v="1"/>
    <x v="1"/>
    <m/>
    <m/>
    <m/>
    <m/>
    <m/>
    <m/>
    <n v="1"/>
    <m/>
    <m/>
    <n v="3"/>
    <m/>
    <m/>
    <m/>
    <m/>
    <m/>
    <m/>
    <m/>
    <m/>
    <m/>
    <m/>
    <m/>
    <m/>
    <m/>
    <m/>
    <m/>
    <m/>
    <m/>
    <m/>
    <m/>
    <m/>
    <s v="no test"/>
    <s v="no test"/>
    <s v="No Test"/>
    <n v="3"/>
    <n v="4"/>
    <n v="0"/>
    <n v="0"/>
    <n v="0"/>
    <n v="0"/>
    <n v="0"/>
    <m/>
    <n v="1"/>
    <n v="1"/>
    <n v="1"/>
    <n v="169"/>
    <n v="0"/>
    <n v="0"/>
    <n v="1"/>
    <n v="169"/>
    <n v="0.33800000000000002"/>
    <n v="0"/>
    <n v="0"/>
    <n v="0.66199999999999992"/>
    <n v="1"/>
    <n v="5"/>
    <n v="0.59171597633136097"/>
    <n v="100"/>
    <n v="0"/>
    <n v="0"/>
    <n v="0"/>
    <n v="8"/>
    <n v="3"/>
    <n v="0.40828402366863903"/>
    <n v="0"/>
    <n v="0"/>
    <n v="0"/>
    <n v="0"/>
    <n v="0"/>
    <n v="0"/>
    <n v="0"/>
    <n v="1"/>
    <n v="0"/>
    <n v="0"/>
    <n v="0"/>
    <n v="1"/>
    <n v="20"/>
    <n v="0"/>
    <n v="100"/>
    <s v="No"/>
    <s v=""/>
    <n v="0"/>
    <n v="0"/>
    <n v="0"/>
    <n v="0"/>
    <n v="0"/>
    <n v="0"/>
    <s v="Yes"/>
    <s v="KBC-MYT"/>
    <x v="0"/>
    <x v="2"/>
    <x v="0"/>
    <n v="25.404752999999999"/>
    <n v="97.377662999999998"/>
    <s v="MMR001CMP003"/>
    <x v="0"/>
    <x v="0"/>
    <s v="yes"/>
    <n v="28"/>
    <n v="137"/>
  </r>
  <r>
    <x v="0"/>
    <x v="3"/>
    <x v="3"/>
    <s v="UNICEF"/>
    <x v="1"/>
    <x v="10"/>
    <x v="0"/>
    <x v="26"/>
    <n v="47"/>
    <n v="241"/>
    <d v="2022-09-07T00:00:00"/>
    <d v="2023-09-06T00:00:00"/>
    <m/>
    <n v="1"/>
    <m/>
    <m/>
    <s v="Yes"/>
    <n v="2"/>
    <n v="3"/>
    <n v="2"/>
    <m/>
    <m/>
    <n v="1"/>
    <m/>
    <m/>
    <m/>
    <m/>
    <m/>
    <m/>
    <m/>
    <m/>
    <m/>
    <m/>
    <n v="3"/>
    <m/>
    <m/>
    <m/>
    <m/>
    <m/>
    <m/>
    <m/>
    <m/>
    <n v="13"/>
    <m/>
    <m/>
    <m/>
    <m/>
    <m/>
    <m/>
    <n v="13"/>
    <x v="1"/>
    <x v="1"/>
    <m/>
    <m/>
    <m/>
    <m/>
    <m/>
    <m/>
    <n v="1"/>
    <m/>
    <m/>
    <n v="1"/>
    <m/>
    <m/>
    <m/>
    <m/>
    <m/>
    <m/>
    <m/>
    <m/>
    <m/>
    <m/>
    <m/>
    <m/>
    <m/>
    <m/>
    <m/>
    <m/>
    <m/>
    <m/>
    <m/>
    <m/>
    <s v="no test"/>
    <s v="no test"/>
    <s v="No Test"/>
    <n v="2"/>
    <n v="1"/>
    <n v="0"/>
    <n v="0"/>
    <n v="0"/>
    <n v="0"/>
    <n v="0"/>
    <m/>
    <n v="1"/>
    <n v="1"/>
    <n v="1"/>
    <n v="241"/>
    <n v="0"/>
    <n v="0"/>
    <n v="1"/>
    <n v="241"/>
    <n v="0.48199999999999998"/>
    <n v="0"/>
    <n v="0"/>
    <n v="0.51800000000000002"/>
    <n v="1"/>
    <n v="13"/>
    <n v="1"/>
    <n v="241"/>
    <n v="0"/>
    <n v="0"/>
    <n v="0"/>
    <n v="12"/>
    <n v="0"/>
    <n v="0"/>
    <n v="0"/>
    <n v="0"/>
    <n v="0"/>
    <n v="0"/>
    <n v="0"/>
    <n v="0"/>
    <n v="0"/>
    <n v="1"/>
    <n v="0"/>
    <n v="0"/>
    <n v="0"/>
    <n v="1"/>
    <n v="20"/>
    <n v="0"/>
    <n v="100"/>
    <s v="No"/>
    <s v=""/>
    <n v="0"/>
    <n v="0"/>
    <n v="0"/>
    <n v="0"/>
    <n v="0"/>
    <n v="0"/>
    <s v="Yes"/>
    <s v="KBC-MYT"/>
    <x v="0"/>
    <x v="2"/>
    <x v="0"/>
    <n v="25.437125999999999"/>
    <n v="97.387276"/>
    <s v="MMR001CMP005"/>
    <x v="0"/>
    <x v="0"/>
    <s v="yes"/>
    <n v="47"/>
    <n v="240"/>
  </r>
  <r>
    <x v="0"/>
    <x v="3"/>
    <x v="3"/>
    <s v="UNICEF"/>
    <x v="1"/>
    <x v="10"/>
    <x v="0"/>
    <x v="27"/>
    <n v="156"/>
    <n v="973"/>
    <d v="2022-09-07T00:00:00"/>
    <d v="2023-09-06T00:00:00"/>
    <m/>
    <n v="2"/>
    <m/>
    <m/>
    <s v="Yes"/>
    <n v="2"/>
    <n v="3"/>
    <n v="2"/>
    <m/>
    <m/>
    <n v="3"/>
    <m/>
    <m/>
    <m/>
    <m/>
    <m/>
    <m/>
    <m/>
    <m/>
    <m/>
    <m/>
    <n v="4"/>
    <m/>
    <m/>
    <m/>
    <m/>
    <m/>
    <m/>
    <m/>
    <m/>
    <n v="28"/>
    <m/>
    <m/>
    <m/>
    <m/>
    <m/>
    <m/>
    <n v="10"/>
    <x v="1"/>
    <x v="1"/>
    <m/>
    <m/>
    <m/>
    <m/>
    <m/>
    <m/>
    <n v="3"/>
    <m/>
    <m/>
    <n v="2"/>
    <m/>
    <n v="1"/>
    <m/>
    <m/>
    <m/>
    <m/>
    <m/>
    <m/>
    <m/>
    <m/>
    <m/>
    <m/>
    <m/>
    <m/>
    <m/>
    <m/>
    <m/>
    <m/>
    <m/>
    <m/>
    <s v="no test"/>
    <s v="no test"/>
    <s v="No Test"/>
    <n v="2"/>
    <n v="3"/>
    <n v="0"/>
    <n v="0"/>
    <n v="0"/>
    <n v="0"/>
    <n v="0"/>
    <m/>
    <n v="1"/>
    <n v="1"/>
    <n v="1"/>
    <n v="973"/>
    <n v="0"/>
    <n v="0"/>
    <n v="1"/>
    <n v="973"/>
    <n v="1.946"/>
    <n v="0"/>
    <n v="0"/>
    <n v="5.4000000000000048E-2"/>
    <n v="2"/>
    <n v="28"/>
    <n v="0.57553956834532372"/>
    <n v="560"/>
    <n v="0"/>
    <n v="0"/>
    <n v="0"/>
    <n v="49"/>
    <n v="21"/>
    <n v="0.42446043165467628"/>
    <n v="0"/>
    <n v="500"/>
    <n v="0"/>
    <n v="0"/>
    <n v="0"/>
    <n v="500"/>
    <n v="0.51387461459403905"/>
    <n v="0.48612538540596095"/>
    <n v="0.51387461459403905"/>
    <n v="0"/>
    <n v="0"/>
    <n v="3"/>
    <n v="60"/>
    <n v="0"/>
    <n v="300"/>
    <s v="No"/>
    <s v=""/>
    <n v="0"/>
    <n v="0"/>
    <n v="0"/>
    <n v="0"/>
    <n v="0"/>
    <n v="0"/>
    <s v="Yes"/>
    <s v="KBC-MYT"/>
    <x v="0"/>
    <x v="2"/>
    <x v="0"/>
    <n v="25.480989999999998"/>
    <n v="97.431079999999994"/>
    <s v="MMR001CMP263"/>
    <x v="0"/>
    <x v="0"/>
    <s v="yes"/>
    <n v="197"/>
    <n v="981"/>
  </r>
  <r>
    <x v="0"/>
    <x v="3"/>
    <x v="3"/>
    <s v="MHF,UNICEF"/>
    <x v="1"/>
    <x v="11"/>
    <x v="0"/>
    <x v="28"/>
    <n v="386"/>
    <n v="1397"/>
    <d v="2022-09-07T00:00:00"/>
    <d v="2023-09-06T00:00:00"/>
    <m/>
    <m/>
    <m/>
    <m/>
    <m/>
    <n v="19"/>
    <n v="55"/>
    <n v="13"/>
    <m/>
    <m/>
    <n v="1"/>
    <m/>
    <m/>
    <m/>
    <m/>
    <m/>
    <m/>
    <m/>
    <m/>
    <m/>
    <m/>
    <m/>
    <m/>
    <m/>
    <m/>
    <m/>
    <m/>
    <m/>
    <m/>
    <m/>
    <n v="5"/>
    <m/>
    <m/>
    <m/>
    <m/>
    <m/>
    <m/>
    <m/>
    <x v="1"/>
    <x v="2"/>
    <m/>
    <m/>
    <n v="50"/>
    <m/>
    <m/>
    <m/>
    <n v="1"/>
    <m/>
    <m/>
    <n v="3"/>
    <m/>
    <m/>
    <m/>
    <m/>
    <m/>
    <m/>
    <m/>
    <m/>
    <m/>
    <m/>
    <m/>
    <m/>
    <m/>
    <m/>
    <m/>
    <m/>
    <m/>
    <m/>
    <m/>
    <m/>
    <s v="no test"/>
    <s v="no test"/>
    <s v="No Test"/>
    <n v="13"/>
    <n v="1"/>
    <n v="0"/>
    <n v="0"/>
    <n v="0"/>
    <n v="0"/>
    <n v="0"/>
    <m/>
    <n v="1"/>
    <n v="1"/>
    <n v="1"/>
    <n v="1397"/>
    <n v="0"/>
    <n v="0"/>
    <n v="1"/>
    <n v="1397"/>
    <n v="2.794"/>
    <n v="0"/>
    <n v="0"/>
    <n v="0.20599999999999996"/>
    <n v="3"/>
    <n v="5"/>
    <n v="7.158196134574088E-2"/>
    <n v="100"/>
    <n v="0"/>
    <n v="0"/>
    <n v="0"/>
    <n v="70"/>
    <n v="65"/>
    <n v="0.92841803865425909"/>
    <n v="0"/>
    <n v="0"/>
    <n v="0"/>
    <n v="0"/>
    <n v="0"/>
    <n v="0"/>
    <n v="0"/>
    <n v="1"/>
    <n v="0"/>
    <n v="0"/>
    <n v="0"/>
    <n v="1"/>
    <n v="20"/>
    <n v="0"/>
    <n v="100"/>
    <s v="No"/>
    <s v=""/>
    <n v="0"/>
    <n v="0"/>
    <n v="0"/>
    <n v="0"/>
    <n v="0"/>
    <n v="0"/>
    <n v="0"/>
    <s v="uncovered"/>
    <x v="0"/>
    <x v="0"/>
    <x v="1"/>
    <n v="24.590350000000001"/>
    <n v="96.95626"/>
    <s v="MMR001CMP273"/>
    <x v="0"/>
    <x v="0"/>
    <s v="yes"/>
    <n v="292"/>
    <n v="1299"/>
  </r>
  <r>
    <x v="0"/>
    <x v="3"/>
    <x v="3"/>
    <s v="UNICEF"/>
    <x v="1"/>
    <x v="12"/>
    <x v="0"/>
    <x v="29"/>
    <n v="116"/>
    <n v="673"/>
    <d v="2022-09-07T00:00:00"/>
    <d v="2023-09-06T00:00:00"/>
    <m/>
    <n v="2"/>
    <m/>
    <m/>
    <s v="Yes"/>
    <n v="3"/>
    <n v="1"/>
    <n v="27"/>
    <n v="12"/>
    <m/>
    <m/>
    <m/>
    <m/>
    <m/>
    <m/>
    <m/>
    <m/>
    <m/>
    <m/>
    <m/>
    <m/>
    <m/>
    <m/>
    <m/>
    <m/>
    <m/>
    <m/>
    <m/>
    <m/>
    <m/>
    <n v="65"/>
    <n v="15"/>
    <m/>
    <m/>
    <m/>
    <m/>
    <m/>
    <m/>
    <x v="1"/>
    <x v="1"/>
    <m/>
    <n v="2"/>
    <m/>
    <m/>
    <m/>
    <m/>
    <n v="3"/>
    <m/>
    <m/>
    <n v="2"/>
    <m/>
    <n v="1"/>
    <m/>
    <m/>
    <m/>
    <m/>
    <m/>
    <m/>
    <m/>
    <m/>
    <m/>
    <m/>
    <m/>
    <m/>
    <m/>
    <m/>
    <m/>
    <m/>
    <m/>
    <m/>
    <s v="no test"/>
    <s v="no test"/>
    <s v="No Test"/>
    <n v="15"/>
    <n v="0"/>
    <n v="0"/>
    <n v="0"/>
    <n v="0"/>
    <n v="0"/>
    <n v="0"/>
    <m/>
    <n v="1"/>
    <n v="1"/>
    <n v="1"/>
    <n v="673"/>
    <n v="0"/>
    <n v="0"/>
    <n v="1"/>
    <n v="673"/>
    <n v="1.3460000000000001"/>
    <n v="0"/>
    <n v="0"/>
    <n v="0"/>
    <n v="1"/>
    <n v="80"/>
    <n v="1"/>
    <n v="673"/>
    <n v="0"/>
    <n v="0"/>
    <n v="0"/>
    <n v="34"/>
    <n v="0"/>
    <n v="0"/>
    <n v="0"/>
    <n v="500"/>
    <n v="0"/>
    <n v="0"/>
    <n v="0"/>
    <n v="500"/>
    <n v="0.74294205052005946"/>
    <n v="0.25705794947994054"/>
    <n v="0.74294205052005946"/>
    <n v="0"/>
    <n v="0"/>
    <n v="3"/>
    <n v="60"/>
    <n v="0"/>
    <n v="300"/>
    <s v="No"/>
    <s v=""/>
    <n v="0"/>
    <n v="0"/>
    <n v="0"/>
    <n v="0"/>
    <n v="0"/>
    <n v="0"/>
    <s v="Yes"/>
    <s v="KBC-MYT"/>
    <x v="0"/>
    <x v="2"/>
    <x v="1"/>
    <n v="26.569633"/>
    <n v="97.745480999999998"/>
    <s v="MMR001CMP238"/>
    <x v="0"/>
    <x v="0"/>
    <s v="yes"/>
    <n v="123"/>
    <n v="646"/>
  </r>
  <r>
    <x v="0"/>
    <x v="3"/>
    <x v="3"/>
    <s v="UNICEF"/>
    <x v="1"/>
    <x v="12"/>
    <x v="0"/>
    <x v="30"/>
    <n v="71"/>
    <n v="362"/>
    <d v="2022-09-07T00:00:00"/>
    <d v="2023-09-06T00:00:00"/>
    <m/>
    <n v="2"/>
    <m/>
    <m/>
    <s v="Yes"/>
    <n v="3"/>
    <n v="2"/>
    <n v="16"/>
    <n v="8"/>
    <m/>
    <m/>
    <m/>
    <m/>
    <m/>
    <m/>
    <m/>
    <m/>
    <m/>
    <m/>
    <m/>
    <m/>
    <m/>
    <m/>
    <m/>
    <m/>
    <m/>
    <m/>
    <m/>
    <m/>
    <m/>
    <n v="73"/>
    <n v="23"/>
    <m/>
    <m/>
    <m/>
    <m/>
    <m/>
    <m/>
    <x v="1"/>
    <x v="1"/>
    <m/>
    <n v="24"/>
    <n v="5"/>
    <n v="5"/>
    <m/>
    <m/>
    <n v="1"/>
    <m/>
    <m/>
    <n v="1"/>
    <m/>
    <m/>
    <m/>
    <m/>
    <m/>
    <m/>
    <m/>
    <m/>
    <m/>
    <m/>
    <m/>
    <m/>
    <m/>
    <m/>
    <m/>
    <m/>
    <m/>
    <m/>
    <m/>
    <m/>
    <s v="no test"/>
    <s v="no test"/>
    <s v="No Test"/>
    <n v="8"/>
    <n v="0"/>
    <n v="0"/>
    <n v="0"/>
    <n v="0"/>
    <n v="0"/>
    <n v="0"/>
    <m/>
    <n v="1"/>
    <n v="1"/>
    <n v="1"/>
    <n v="362"/>
    <n v="0"/>
    <n v="0"/>
    <n v="1"/>
    <n v="362"/>
    <n v="0.72399999999999998"/>
    <n v="0"/>
    <n v="0"/>
    <n v="0.27600000000000002"/>
    <n v="1"/>
    <n v="96"/>
    <n v="1"/>
    <n v="362"/>
    <n v="0"/>
    <n v="0"/>
    <n v="250"/>
    <n v="18"/>
    <n v="0"/>
    <n v="0"/>
    <n v="0"/>
    <n v="0"/>
    <n v="0"/>
    <n v="0"/>
    <n v="0"/>
    <n v="0"/>
    <n v="0"/>
    <n v="1"/>
    <n v="0"/>
    <n v="0"/>
    <n v="0"/>
    <n v="1"/>
    <n v="20"/>
    <n v="0"/>
    <n v="100"/>
    <s v="No"/>
    <s v=""/>
    <n v="0"/>
    <n v="0"/>
    <n v="0"/>
    <n v="0"/>
    <n v="0"/>
    <n v="250"/>
    <s v="Yes"/>
    <s v="KBC-MYT"/>
    <x v="0"/>
    <x v="2"/>
    <x v="1"/>
    <n v="26.548506"/>
    <n v="97.75609"/>
    <s v="MMR001CMP239"/>
    <x v="0"/>
    <x v="0"/>
    <s v="yes"/>
    <n v="72"/>
    <n v="341"/>
  </r>
  <r>
    <x v="0"/>
    <x v="3"/>
    <x v="3"/>
    <s v="UNICEF"/>
    <x v="1"/>
    <x v="13"/>
    <x v="0"/>
    <x v="31"/>
    <n v="96"/>
    <n v="413"/>
    <d v="2022-09-07T00:00:00"/>
    <d v="2023-09-06T00:00:00"/>
    <m/>
    <n v="2"/>
    <m/>
    <m/>
    <s v="Yes"/>
    <n v="2"/>
    <n v="2"/>
    <n v="4"/>
    <m/>
    <m/>
    <n v="3"/>
    <m/>
    <m/>
    <m/>
    <m/>
    <m/>
    <m/>
    <m/>
    <m/>
    <m/>
    <m/>
    <m/>
    <m/>
    <m/>
    <m/>
    <m/>
    <m/>
    <m/>
    <m/>
    <m/>
    <n v="30"/>
    <n v="30"/>
    <m/>
    <m/>
    <m/>
    <m/>
    <m/>
    <m/>
    <x v="2"/>
    <x v="2"/>
    <m/>
    <m/>
    <m/>
    <m/>
    <m/>
    <m/>
    <n v="3"/>
    <m/>
    <n v="5"/>
    <n v="3"/>
    <m/>
    <m/>
    <m/>
    <m/>
    <m/>
    <m/>
    <m/>
    <m/>
    <m/>
    <m/>
    <m/>
    <m/>
    <m/>
    <m/>
    <m/>
    <m/>
    <m/>
    <m/>
    <m/>
    <m/>
    <s v="no test"/>
    <s v="no test"/>
    <s v="No Test"/>
    <n v="4"/>
    <n v="3"/>
    <n v="0"/>
    <n v="0"/>
    <n v="0"/>
    <n v="0"/>
    <n v="0"/>
    <m/>
    <n v="1"/>
    <n v="1"/>
    <n v="1"/>
    <n v="413"/>
    <n v="0"/>
    <n v="0"/>
    <n v="1"/>
    <n v="413"/>
    <n v="0.82599999999999996"/>
    <n v="0"/>
    <n v="0"/>
    <n v="0.17400000000000004"/>
    <n v="1"/>
    <n v="60"/>
    <n v="1"/>
    <n v="413"/>
    <n v="0"/>
    <n v="0"/>
    <n v="0"/>
    <n v="21"/>
    <n v="0"/>
    <n v="0"/>
    <n v="0"/>
    <n v="0"/>
    <n v="0"/>
    <n v="0"/>
    <n v="0"/>
    <n v="0"/>
    <n v="0"/>
    <n v="1"/>
    <n v="0"/>
    <n v="0"/>
    <n v="0"/>
    <n v="3"/>
    <n v="60"/>
    <n v="0"/>
    <n v="300"/>
    <s v="No"/>
    <s v=""/>
    <n v="0"/>
    <n v="0"/>
    <n v="0"/>
    <n v="0"/>
    <n v="0"/>
    <n v="0"/>
    <s v="Yes"/>
    <s v="KBC-MYT"/>
    <x v="0"/>
    <x v="2"/>
    <x v="0"/>
    <n v="26.356223"/>
    <n v="96.721439000000004"/>
    <s v="MMR001CMP253"/>
    <x v="0"/>
    <x v="0"/>
    <s v="yes"/>
    <n v="108"/>
    <n v="479"/>
  </r>
  <r>
    <x v="0"/>
    <x v="3"/>
    <x v="3"/>
    <s v="UNICEF"/>
    <x v="1"/>
    <x v="14"/>
    <x v="0"/>
    <x v="32"/>
    <n v="27"/>
    <n v="140"/>
    <d v="2022-09-07T00:00:00"/>
    <d v="2023-09-06T00:00:00"/>
    <m/>
    <n v="1"/>
    <m/>
    <m/>
    <s v="Yes"/>
    <n v="3"/>
    <n v="4"/>
    <n v="2"/>
    <m/>
    <m/>
    <n v="1"/>
    <m/>
    <m/>
    <m/>
    <m/>
    <m/>
    <m/>
    <m/>
    <m/>
    <m/>
    <m/>
    <n v="3"/>
    <m/>
    <m/>
    <m/>
    <m/>
    <m/>
    <m/>
    <m/>
    <m/>
    <n v="6"/>
    <m/>
    <m/>
    <m/>
    <m/>
    <m/>
    <m/>
    <n v="6"/>
    <x v="1"/>
    <x v="1"/>
    <m/>
    <m/>
    <m/>
    <m/>
    <m/>
    <m/>
    <n v="8"/>
    <m/>
    <m/>
    <n v="3"/>
    <m/>
    <m/>
    <n v="1"/>
    <m/>
    <m/>
    <m/>
    <m/>
    <m/>
    <m/>
    <m/>
    <m/>
    <m/>
    <m/>
    <m/>
    <m/>
    <m/>
    <m/>
    <m/>
    <m/>
    <m/>
    <s v="no test"/>
    <s v="no test"/>
    <s v="No Test"/>
    <n v="2"/>
    <n v="1"/>
    <n v="0"/>
    <n v="0"/>
    <n v="0"/>
    <n v="0"/>
    <n v="0"/>
    <m/>
    <n v="1"/>
    <n v="1"/>
    <n v="1"/>
    <n v="140"/>
    <n v="0"/>
    <n v="0"/>
    <n v="1"/>
    <n v="140"/>
    <n v="0.28000000000000003"/>
    <n v="0"/>
    <n v="0"/>
    <n v="0.72"/>
    <n v="1"/>
    <n v="6"/>
    <n v="0.8571428571428571"/>
    <n v="120"/>
    <n v="0"/>
    <n v="0"/>
    <n v="0"/>
    <n v="7"/>
    <n v="1"/>
    <n v="0.1428571428571429"/>
    <n v="0"/>
    <n v="140"/>
    <n v="0"/>
    <n v="0"/>
    <n v="0"/>
    <n v="140"/>
    <n v="1"/>
    <n v="0"/>
    <n v="1"/>
    <n v="0"/>
    <n v="0"/>
    <n v="8"/>
    <n v="27"/>
    <n v="0"/>
    <n v="140"/>
    <s v="No"/>
    <s v=""/>
    <n v="0"/>
    <n v="0"/>
    <n v="0"/>
    <n v="0"/>
    <n v="0"/>
    <n v="0"/>
    <s v="Yes"/>
    <s v="KBC-MYT"/>
    <x v="0"/>
    <x v="2"/>
    <x v="0"/>
    <n v="25.356632000000001"/>
    <n v="97.451965000000001"/>
    <s v="MMR001CMP027"/>
    <x v="0"/>
    <x v="0"/>
    <s v="yes"/>
    <n v="34"/>
    <n v="213"/>
  </r>
  <r>
    <x v="0"/>
    <x v="3"/>
    <x v="3"/>
    <s v="UNICEF"/>
    <x v="1"/>
    <x v="14"/>
    <x v="0"/>
    <x v="33"/>
    <n v="530"/>
    <n v="2973"/>
    <d v="2022-09-07T00:00:00"/>
    <d v="2023-09-06T00:00:00"/>
    <m/>
    <n v="5"/>
    <m/>
    <m/>
    <s v="Yes"/>
    <n v="3"/>
    <n v="4"/>
    <n v="13"/>
    <m/>
    <m/>
    <n v="2"/>
    <m/>
    <m/>
    <m/>
    <m/>
    <m/>
    <m/>
    <m/>
    <m/>
    <m/>
    <m/>
    <n v="9"/>
    <m/>
    <m/>
    <m/>
    <m/>
    <m/>
    <m/>
    <m/>
    <m/>
    <n v="130"/>
    <m/>
    <m/>
    <m/>
    <m/>
    <m/>
    <m/>
    <n v="130"/>
    <x v="1"/>
    <x v="1"/>
    <m/>
    <m/>
    <m/>
    <m/>
    <m/>
    <m/>
    <n v="7"/>
    <m/>
    <m/>
    <n v="7"/>
    <m/>
    <n v="2"/>
    <n v="4"/>
    <m/>
    <m/>
    <m/>
    <m/>
    <m/>
    <m/>
    <m/>
    <m/>
    <m/>
    <m/>
    <m/>
    <m/>
    <m/>
    <m/>
    <m/>
    <m/>
    <m/>
    <s v="no test"/>
    <s v="no test"/>
    <s v="No Test"/>
    <n v="13"/>
    <n v="2"/>
    <n v="0"/>
    <n v="0"/>
    <n v="0"/>
    <n v="0"/>
    <n v="0"/>
    <m/>
    <n v="1"/>
    <n v="1"/>
    <n v="1"/>
    <n v="2973"/>
    <n v="0"/>
    <n v="0"/>
    <n v="1"/>
    <n v="2973"/>
    <n v="5.9459999999999997"/>
    <n v="0"/>
    <n v="0"/>
    <n v="5.400000000000027E-2"/>
    <n v="6"/>
    <n v="130"/>
    <n v="0.87453750420450727"/>
    <n v="2600"/>
    <n v="0"/>
    <n v="0"/>
    <n v="0"/>
    <n v="149"/>
    <n v="19"/>
    <n v="0.12546249579549273"/>
    <n v="0"/>
    <n v="2973"/>
    <n v="0"/>
    <n v="0"/>
    <n v="0"/>
    <n v="2973"/>
    <n v="1"/>
    <n v="0"/>
    <n v="1"/>
    <n v="0"/>
    <n v="0"/>
    <n v="7"/>
    <n v="140"/>
    <n v="0"/>
    <n v="700"/>
    <s v="No"/>
    <s v=""/>
    <n v="0"/>
    <n v="0"/>
    <n v="0"/>
    <n v="0"/>
    <n v="0"/>
    <n v="0"/>
    <s v="Yes"/>
    <s v="KBC-MYT"/>
    <x v="0"/>
    <x v="2"/>
    <x v="0"/>
    <n v="25.4118005797101"/>
    <n v="97.434855869565197"/>
    <s v="MMR001CMP040"/>
    <x v="0"/>
    <x v="0"/>
    <s v="yes"/>
    <n v="431"/>
    <n v="2370"/>
  </r>
  <r>
    <x v="0"/>
    <x v="3"/>
    <x v="3"/>
    <s v="UNICEF"/>
    <x v="1"/>
    <x v="14"/>
    <x v="0"/>
    <x v="34"/>
    <n v="55"/>
    <n v="198"/>
    <d v="2022-09-07T00:00:00"/>
    <d v="2023-09-06T00:00:00"/>
    <m/>
    <n v="1"/>
    <m/>
    <m/>
    <s v="Yes"/>
    <n v="1"/>
    <n v="3"/>
    <n v="1"/>
    <m/>
    <m/>
    <m/>
    <m/>
    <m/>
    <m/>
    <m/>
    <m/>
    <m/>
    <m/>
    <m/>
    <m/>
    <m/>
    <n v="2"/>
    <m/>
    <m/>
    <m/>
    <m/>
    <m/>
    <m/>
    <m/>
    <m/>
    <n v="10"/>
    <m/>
    <m/>
    <m/>
    <m/>
    <m/>
    <m/>
    <n v="10"/>
    <x v="1"/>
    <x v="1"/>
    <m/>
    <m/>
    <m/>
    <m/>
    <m/>
    <m/>
    <n v="7"/>
    <m/>
    <m/>
    <n v="4"/>
    <m/>
    <n v="1"/>
    <m/>
    <m/>
    <m/>
    <m/>
    <m/>
    <m/>
    <m/>
    <m/>
    <m/>
    <m/>
    <m/>
    <m/>
    <m/>
    <m/>
    <m/>
    <m/>
    <m/>
    <m/>
    <s v="no test"/>
    <s v="no test"/>
    <s v="No Test"/>
    <n v="1"/>
    <n v="0"/>
    <n v="0"/>
    <n v="0"/>
    <n v="0"/>
    <n v="0"/>
    <n v="0"/>
    <m/>
    <n v="1"/>
    <n v="1"/>
    <n v="1"/>
    <n v="198"/>
    <n v="0"/>
    <n v="0"/>
    <n v="1"/>
    <n v="198"/>
    <n v="0.39600000000000002"/>
    <n v="0"/>
    <n v="0"/>
    <n v="0.60399999999999998"/>
    <n v="1"/>
    <n v="10"/>
    <n v="1"/>
    <n v="198"/>
    <n v="0"/>
    <n v="0"/>
    <n v="0"/>
    <n v="10"/>
    <n v="0"/>
    <n v="0"/>
    <n v="0"/>
    <n v="198"/>
    <n v="0"/>
    <n v="0"/>
    <n v="0"/>
    <n v="198"/>
    <n v="1"/>
    <n v="0"/>
    <n v="1"/>
    <n v="0"/>
    <n v="0"/>
    <n v="7"/>
    <n v="55"/>
    <n v="0"/>
    <n v="198"/>
    <s v="No"/>
    <s v=""/>
    <n v="0"/>
    <n v="0"/>
    <n v="0"/>
    <n v="0"/>
    <n v="0"/>
    <n v="0"/>
    <s v="Yes"/>
    <s v="KBC-MYT"/>
    <x v="0"/>
    <x v="2"/>
    <x v="0"/>
    <n v="25.409612685185198"/>
    <n v="97.426536944444507"/>
    <s v="MMR001CMP039"/>
    <x v="0"/>
    <x v="0"/>
    <s v="yes"/>
    <n v="55"/>
    <n v="279"/>
  </r>
  <r>
    <x v="0"/>
    <x v="3"/>
    <x v="3"/>
    <s v="UNICEF"/>
    <x v="1"/>
    <x v="14"/>
    <x v="0"/>
    <x v="35"/>
    <n v="37"/>
    <n v="193"/>
    <d v="2022-09-07T00:00:00"/>
    <d v="2023-09-06T00:00:00"/>
    <m/>
    <n v="1"/>
    <m/>
    <m/>
    <s v="Yes"/>
    <n v="3"/>
    <n v="3"/>
    <n v="2"/>
    <m/>
    <m/>
    <m/>
    <m/>
    <m/>
    <m/>
    <m/>
    <m/>
    <m/>
    <m/>
    <m/>
    <m/>
    <m/>
    <n v="1"/>
    <m/>
    <m/>
    <m/>
    <m/>
    <m/>
    <m/>
    <m/>
    <m/>
    <n v="14"/>
    <m/>
    <m/>
    <m/>
    <m/>
    <m/>
    <m/>
    <n v="10"/>
    <x v="1"/>
    <x v="1"/>
    <m/>
    <m/>
    <m/>
    <m/>
    <m/>
    <m/>
    <n v="1"/>
    <m/>
    <m/>
    <n v="3"/>
    <m/>
    <n v="1"/>
    <n v="1"/>
    <m/>
    <m/>
    <m/>
    <m/>
    <m/>
    <m/>
    <m/>
    <m/>
    <m/>
    <m/>
    <m/>
    <m/>
    <m/>
    <m/>
    <m/>
    <m/>
    <m/>
    <s v="no test"/>
    <s v="no test"/>
    <s v="No Test"/>
    <n v="2"/>
    <n v="0"/>
    <n v="0"/>
    <n v="0"/>
    <n v="0"/>
    <n v="0"/>
    <n v="0"/>
    <m/>
    <n v="1"/>
    <n v="1"/>
    <n v="1"/>
    <n v="193"/>
    <n v="0"/>
    <n v="0"/>
    <n v="1"/>
    <n v="193"/>
    <n v="0.38600000000000001"/>
    <n v="0"/>
    <n v="0"/>
    <n v="0.61399999999999999"/>
    <n v="1"/>
    <n v="14"/>
    <n v="1"/>
    <n v="193"/>
    <n v="0"/>
    <n v="0"/>
    <n v="0"/>
    <n v="10"/>
    <n v="0"/>
    <n v="0"/>
    <n v="0"/>
    <n v="193"/>
    <n v="0"/>
    <n v="0"/>
    <n v="0"/>
    <n v="193"/>
    <n v="1"/>
    <n v="0"/>
    <n v="1"/>
    <n v="0"/>
    <n v="0"/>
    <n v="1"/>
    <n v="20"/>
    <n v="0"/>
    <n v="100"/>
    <s v="No"/>
    <s v=""/>
    <n v="0"/>
    <n v="0"/>
    <n v="0"/>
    <n v="0"/>
    <n v="0"/>
    <n v="0"/>
    <s v="Yes"/>
    <s v="KBC-MYT"/>
    <x v="0"/>
    <x v="2"/>
    <x v="0"/>
    <n v="25.351724999999998"/>
    <n v="97.438432380952406"/>
    <s v="MMR001CMP025"/>
    <x v="0"/>
    <x v="0"/>
    <s v="yes"/>
    <n v="67"/>
    <n v="337"/>
  </r>
  <r>
    <x v="0"/>
    <x v="3"/>
    <x v="3"/>
    <s v="UNICEF"/>
    <x v="1"/>
    <x v="14"/>
    <x v="0"/>
    <x v="36"/>
    <n v="206"/>
    <n v="1050"/>
    <d v="2022-09-07T00:00:00"/>
    <d v="2023-09-06T00:00:00"/>
    <m/>
    <n v="1"/>
    <m/>
    <m/>
    <s v="Yes"/>
    <n v="2"/>
    <n v="3"/>
    <m/>
    <m/>
    <m/>
    <m/>
    <m/>
    <m/>
    <m/>
    <m/>
    <m/>
    <m/>
    <m/>
    <m/>
    <m/>
    <m/>
    <m/>
    <m/>
    <m/>
    <m/>
    <m/>
    <m/>
    <m/>
    <m/>
    <m/>
    <n v="158"/>
    <m/>
    <m/>
    <m/>
    <m/>
    <m/>
    <m/>
    <n v="158"/>
    <x v="1"/>
    <x v="1"/>
    <m/>
    <m/>
    <m/>
    <m/>
    <m/>
    <m/>
    <n v="7"/>
    <m/>
    <m/>
    <n v="4"/>
    <m/>
    <n v="2"/>
    <n v="1"/>
    <m/>
    <m/>
    <m/>
    <m/>
    <m/>
    <m/>
    <m/>
    <m/>
    <m/>
    <m/>
    <m/>
    <m/>
    <m/>
    <m/>
    <m/>
    <m/>
    <m/>
    <s v="no test"/>
    <s v="no test"/>
    <s v="No Test"/>
    <n v="0"/>
    <n v="0"/>
    <n v="0"/>
    <n v="0"/>
    <n v="0"/>
    <n v="0"/>
    <n v="0"/>
    <m/>
    <n v="0"/>
    <n v="0"/>
    <n v="0"/>
    <n v="0"/>
    <n v="0"/>
    <n v="0"/>
    <n v="0"/>
    <n v="0"/>
    <n v="0"/>
    <n v="1"/>
    <n v="1050"/>
    <n v="2"/>
    <n v="2"/>
    <n v="158"/>
    <n v="1"/>
    <n v="1050"/>
    <n v="0"/>
    <n v="0"/>
    <n v="0"/>
    <n v="53"/>
    <n v="0"/>
    <n v="0"/>
    <n v="0"/>
    <n v="1050"/>
    <n v="0"/>
    <n v="0"/>
    <n v="0"/>
    <n v="1050"/>
    <n v="1"/>
    <n v="0"/>
    <n v="1"/>
    <n v="0"/>
    <n v="0"/>
    <n v="7"/>
    <n v="140"/>
    <n v="0"/>
    <n v="700"/>
    <s v="No"/>
    <s v=""/>
    <n v="0"/>
    <n v="0"/>
    <n v="0"/>
    <n v="0"/>
    <n v="0"/>
    <n v="0"/>
    <s v="Yes"/>
    <s v="KBC-MYT"/>
    <x v="0"/>
    <x v="2"/>
    <x v="0"/>
    <n v="25.418084"/>
    <n v="98.025662999999994"/>
    <s v="MMR001CMP041"/>
    <x v="0"/>
    <x v="0"/>
    <s v="yes"/>
    <n v="216"/>
    <n v="1190"/>
  </r>
  <r>
    <x v="0"/>
    <x v="4"/>
    <x v="3"/>
    <s v="UNICEF, SIDA"/>
    <x v="1"/>
    <x v="10"/>
    <x v="0"/>
    <x v="37"/>
    <n v="126"/>
    <n v="661"/>
    <s v="9/7/2022,"/>
    <d v="2023-09-06T00:00:00"/>
    <m/>
    <n v="2"/>
    <m/>
    <m/>
    <s v="Yes"/>
    <n v="2"/>
    <n v="4"/>
    <n v="9"/>
    <n v="3"/>
    <m/>
    <n v="4"/>
    <m/>
    <m/>
    <m/>
    <m/>
    <m/>
    <m/>
    <m/>
    <m/>
    <m/>
    <m/>
    <n v="6"/>
    <m/>
    <m/>
    <m/>
    <m/>
    <m/>
    <m/>
    <m/>
    <m/>
    <n v="16"/>
    <m/>
    <m/>
    <m/>
    <m/>
    <m/>
    <m/>
    <n v="8"/>
    <x v="1"/>
    <x v="1"/>
    <m/>
    <m/>
    <m/>
    <m/>
    <m/>
    <m/>
    <n v="12"/>
    <m/>
    <m/>
    <n v="8"/>
    <m/>
    <n v="1"/>
    <m/>
    <m/>
    <m/>
    <m/>
    <m/>
    <m/>
    <m/>
    <m/>
    <m/>
    <m/>
    <m/>
    <m/>
    <m/>
    <m/>
    <m/>
    <m/>
    <m/>
    <m/>
    <s v="no test"/>
    <s v="no test"/>
    <s v="No Test"/>
    <n v="6"/>
    <n v="4"/>
    <n v="0"/>
    <n v="0"/>
    <n v="0"/>
    <n v="0"/>
    <n v="0"/>
    <m/>
    <n v="1"/>
    <n v="1"/>
    <n v="1"/>
    <n v="661"/>
    <n v="0"/>
    <n v="0"/>
    <n v="1"/>
    <n v="661"/>
    <n v="1.3220000000000001"/>
    <n v="0"/>
    <n v="0"/>
    <n v="0"/>
    <n v="1"/>
    <n v="16"/>
    <n v="0.48411497730711045"/>
    <n v="320"/>
    <n v="0"/>
    <n v="0"/>
    <n v="0"/>
    <n v="33"/>
    <n v="17"/>
    <n v="0.51588502269288949"/>
    <n v="0"/>
    <n v="500"/>
    <n v="0"/>
    <n v="0"/>
    <n v="0"/>
    <n v="500"/>
    <n v="0.75642965204236001"/>
    <n v="0.24357034795763999"/>
    <n v="0.75642965204236001"/>
    <n v="0"/>
    <n v="0"/>
    <n v="12"/>
    <n v="126"/>
    <n v="0"/>
    <n v="661"/>
    <s v="No"/>
    <s v=""/>
    <n v="0"/>
    <n v="0"/>
    <n v="0"/>
    <n v="0"/>
    <n v="0"/>
    <n v="0"/>
    <n v="0"/>
    <s v="KBC-MYT"/>
    <x v="0"/>
    <x v="2"/>
    <x v="0"/>
    <n v="25.489669799804702"/>
    <n v="97.458778381347699"/>
    <s v="MMR001CMP265"/>
    <x v="0"/>
    <x v="0"/>
    <s v="yes"/>
    <n v="138"/>
    <n v="667"/>
  </r>
  <r>
    <x v="0"/>
    <x v="4"/>
    <x v="3"/>
    <s v="UNICEF,SIDA"/>
    <x v="1"/>
    <x v="10"/>
    <x v="0"/>
    <x v="38"/>
    <n v="130"/>
    <n v="640"/>
    <d v="2022-09-07T00:00:00"/>
    <d v="2023-09-06T00:00:00"/>
    <m/>
    <n v="3"/>
    <m/>
    <m/>
    <s v="Yes"/>
    <n v="2"/>
    <n v="3"/>
    <n v="3"/>
    <m/>
    <m/>
    <n v="3"/>
    <m/>
    <m/>
    <m/>
    <m/>
    <m/>
    <m/>
    <m/>
    <m/>
    <m/>
    <m/>
    <n v="2"/>
    <m/>
    <m/>
    <m/>
    <m/>
    <m/>
    <m/>
    <m/>
    <m/>
    <n v="32"/>
    <m/>
    <m/>
    <m/>
    <m/>
    <m/>
    <m/>
    <n v="32"/>
    <x v="1"/>
    <x v="1"/>
    <m/>
    <m/>
    <m/>
    <m/>
    <m/>
    <m/>
    <n v="3"/>
    <m/>
    <m/>
    <n v="2"/>
    <m/>
    <m/>
    <m/>
    <m/>
    <m/>
    <m/>
    <m/>
    <m/>
    <m/>
    <m/>
    <m/>
    <m/>
    <m/>
    <m/>
    <m/>
    <m/>
    <m/>
    <m/>
    <m/>
    <m/>
    <s v="no test"/>
    <s v="no test"/>
    <s v="No Test"/>
    <n v="3"/>
    <n v="3"/>
    <n v="0"/>
    <n v="0"/>
    <n v="0"/>
    <n v="0"/>
    <n v="0"/>
    <m/>
    <n v="1"/>
    <n v="1"/>
    <n v="1"/>
    <n v="640"/>
    <n v="0"/>
    <n v="0"/>
    <n v="1"/>
    <n v="640"/>
    <n v="1.28"/>
    <n v="0"/>
    <n v="0"/>
    <n v="0"/>
    <n v="1"/>
    <n v="32"/>
    <n v="1"/>
    <n v="640"/>
    <n v="0"/>
    <n v="0"/>
    <n v="0"/>
    <n v="32"/>
    <n v="0"/>
    <n v="0"/>
    <n v="0"/>
    <n v="0"/>
    <n v="0"/>
    <n v="0"/>
    <n v="0"/>
    <n v="0"/>
    <n v="0"/>
    <n v="1"/>
    <n v="0"/>
    <n v="0"/>
    <n v="0"/>
    <n v="3"/>
    <n v="60"/>
    <n v="0"/>
    <n v="300"/>
    <s v="No"/>
    <s v=""/>
    <n v="0"/>
    <n v="0"/>
    <n v="0"/>
    <n v="0"/>
    <n v="0"/>
    <n v="0"/>
    <s v="Yes"/>
    <s v="KBC-MYT"/>
    <x v="0"/>
    <x v="2"/>
    <x v="0"/>
    <n v="25.3510167948718"/>
    <n v="97.403402307692303"/>
    <s v="MMR001CMP014"/>
    <x v="0"/>
    <x v="0"/>
    <s v="yes"/>
    <n v="126"/>
    <n v="623"/>
  </r>
  <r>
    <x v="0"/>
    <x v="4"/>
    <x v="3"/>
    <s v="UNICEF, SIDA"/>
    <x v="1"/>
    <x v="10"/>
    <x v="0"/>
    <x v="39"/>
    <n v="87"/>
    <n v="506"/>
    <d v="2022-09-07T00:00:00"/>
    <d v="2023-09-06T00:00:00"/>
    <m/>
    <n v="2"/>
    <m/>
    <m/>
    <s v="Yes"/>
    <n v="2"/>
    <n v="3"/>
    <n v="2"/>
    <m/>
    <m/>
    <n v="3"/>
    <m/>
    <m/>
    <m/>
    <m/>
    <m/>
    <m/>
    <m/>
    <m/>
    <m/>
    <m/>
    <n v="3"/>
    <m/>
    <m/>
    <m/>
    <m/>
    <m/>
    <m/>
    <m/>
    <m/>
    <n v="34"/>
    <m/>
    <m/>
    <m/>
    <m/>
    <m/>
    <m/>
    <n v="34"/>
    <x v="1"/>
    <x v="3"/>
    <m/>
    <m/>
    <m/>
    <m/>
    <m/>
    <m/>
    <n v="3"/>
    <m/>
    <m/>
    <n v="2"/>
    <m/>
    <m/>
    <m/>
    <m/>
    <m/>
    <m/>
    <m/>
    <m/>
    <m/>
    <m/>
    <m/>
    <m/>
    <m/>
    <m/>
    <m/>
    <m/>
    <m/>
    <m/>
    <m/>
    <m/>
    <s v="no test"/>
    <s v="no test"/>
    <s v="No Test"/>
    <n v="2"/>
    <n v="3"/>
    <n v="0"/>
    <n v="0"/>
    <n v="0"/>
    <n v="0"/>
    <n v="0"/>
    <m/>
    <n v="1"/>
    <n v="1"/>
    <n v="1"/>
    <n v="506"/>
    <n v="0"/>
    <n v="0"/>
    <n v="1"/>
    <n v="506"/>
    <n v="1.012"/>
    <n v="0"/>
    <n v="0"/>
    <n v="0"/>
    <n v="1"/>
    <n v="34"/>
    <n v="1"/>
    <n v="506"/>
    <n v="0"/>
    <n v="0"/>
    <n v="0"/>
    <n v="25"/>
    <n v="0"/>
    <n v="0"/>
    <n v="0"/>
    <n v="0"/>
    <n v="0"/>
    <n v="0"/>
    <n v="0"/>
    <n v="0"/>
    <n v="0"/>
    <n v="1"/>
    <n v="0"/>
    <n v="0"/>
    <n v="0"/>
    <n v="3"/>
    <n v="60"/>
    <n v="0"/>
    <n v="300"/>
    <s v="No"/>
    <s v=""/>
    <n v="0"/>
    <n v="0"/>
    <n v="0"/>
    <n v="0"/>
    <n v="0"/>
    <n v="0"/>
    <s v="Yes"/>
    <s v="KBC-MYT"/>
    <x v="0"/>
    <x v="2"/>
    <x v="0"/>
    <n v="25.428910999999999"/>
    <n v="97.418694000000002"/>
    <s v="MMR001CMP008"/>
    <x v="0"/>
    <x v="0"/>
    <s v="yes"/>
    <n v="86"/>
    <n v="502"/>
  </r>
  <r>
    <x v="0"/>
    <x v="4"/>
    <x v="3"/>
    <s v="UNICEF, SIDA"/>
    <x v="1"/>
    <x v="10"/>
    <x v="0"/>
    <x v="40"/>
    <n v="111"/>
    <n v="595"/>
    <d v="2022-09-07T00:00:00"/>
    <d v="2023-09-06T00:00:00"/>
    <m/>
    <n v="2"/>
    <m/>
    <m/>
    <s v="Yes"/>
    <n v="2"/>
    <n v="2"/>
    <n v="2"/>
    <m/>
    <m/>
    <n v="3"/>
    <m/>
    <m/>
    <m/>
    <m/>
    <m/>
    <m/>
    <m/>
    <m/>
    <m/>
    <m/>
    <n v="2"/>
    <m/>
    <m/>
    <m/>
    <m/>
    <m/>
    <m/>
    <m/>
    <m/>
    <n v="13"/>
    <m/>
    <m/>
    <m/>
    <m/>
    <m/>
    <m/>
    <n v="13"/>
    <x v="1"/>
    <x v="1"/>
    <m/>
    <m/>
    <m/>
    <m/>
    <m/>
    <m/>
    <n v="7"/>
    <m/>
    <m/>
    <n v="4"/>
    <m/>
    <n v="1"/>
    <m/>
    <m/>
    <m/>
    <m/>
    <m/>
    <m/>
    <m/>
    <m/>
    <m/>
    <m/>
    <m/>
    <m/>
    <m/>
    <m/>
    <m/>
    <m/>
    <m/>
    <m/>
    <s v="no test"/>
    <s v="no test"/>
    <s v="No Test"/>
    <n v="2"/>
    <n v="3"/>
    <n v="0"/>
    <n v="0"/>
    <n v="0"/>
    <n v="0"/>
    <n v="0"/>
    <m/>
    <n v="1"/>
    <n v="1"/>
    <n v="1"/>
    <n v="595"/>
    <n v="0"/>
    <n v="0"/>
    <n v="1"/>
    <n v="595"/>
    <n v="1.19"/>
    <n v="0"/>
    <n v="0"/>
    <n v="0"/>
    <n v="1"/>
    <n v="13"/>
    <n v="0.43697478991596639"/>
    <n v="260"/>
    <n v="0"/>
    <n v="0"/>
    <n v="0"/>
    <n v="30"/>
    <n v="17"/>
    <n v="0.56302521008403361"/>
    <n v="0"/>
    <n v="500"/>
    <n v="0"/>
    <n v="0"/>
    <n v="0"/>
    <n v="500"/>
    <n v="0.84033613445378152"/>
    <n v="0.15966386554621848"/>
    <n v="0.84033613445378152"/>
    <n v="0"/>
    <n v="0"/>
    <n v="7"/>
    <n v="111"/>
    <n v="0"/>
    <n v="595"/>
    <s v="No"/>
    <s v=""/>
    <n v="0"/>
    <n v="0"/>
    <n v="0"/>
    <n v="0"/>
    <n v="0"/>
    <n v="0"/>
    <s v="Yes"/>
    <s v="KBC-MYT"/>
    <x v="0"/>
    <x v="2"/>
    <x v="0"/>
    <n v="25.412313000000001"/>
    <n v="97.399628000000007"/>
    <s v="MMR001CMP006"/>
    <x v="0"/>
    <x v="0"/>
    <s v="yes"/>
    <n v="111"/>
    <n v="569"/>
  </r>
  <r>
    <x v="0"/>
    <x v="4"/>
    <x v="3"/>
    <s v="SIDA"/>
    <x v="1"/>
    <x v="10"/>
    <x v="0"/>
    <x v="41"/>
    <n v="104"/>
    <n v="629"/>
    <d v="2022-09-07T00:00:00"/>
    <d v="2023-09-06T00:00:00"/>
    <m/>
    <n v="2"/>
    <m/>
    <m/>
    <s v="Yes"/>
    <n v="2"/>
    <n v="2"/>
    <n v="3"/>
    <m/>
    <m/>
    <n v="2"/>
    <m/>
    <m/>
    <m/>
    <m/>
    <m/>
    <m/>
    <m/>
    <m/>
    <m/>
    <m/>
    <n v="2"/>
    <m/>
    <m/>
    <m/>
    <m/>
    <m/>
    <m/>
    <m/>
    <m/>
    <n v="17"/>
    <m/>
    <m/>
    <m/>
    <m/>
    <m/>
    <m/>
    <n v="17"/>
    <x v="1"/>
    <x v="1"/>
    <m/>
    <m/>
    <m/>
    <m/>
    <m/>
    <m/>
    <n v="3"/>
    <m/>
    <m/>
    <n v="2"/>
    <m/>
    <m/>
    <m/>
    <m/>
    <m/>
    <m/>
    <m/>
    <m/>
    <m/>
    <m/>
    <m/>
    <m/>
    <m/>
    <m/>
    <m/>
    <m/>
    <m/>
    <m/>
    <m/>
    <m/>
    <s v="no test"/>
    <s v="no test"/>
    <s v="No Test"/>
    <n v="3"/>
    <n v="2"/>
    <n v="0"/>
    <n v="0"/>
    <n v="0"/>
    <n v="0"/>
    <n v="0"/>
    <m/>
    <n v="1"/>
    <n v="1"/>
    <n v="1"/>
    <n v="629"/>
    <n v="0"/>
    <n v="0"/>
    <n v="1"/>
    <n v="629"/>
    <n v="1.258"/>
    <n v="0"/>
    <n v="0"/>
    <n v="0"/>
    <n v="1"/>
    <n v="17"/>
    <n v="0.54054054054054057"/>
    <n v="340"/>
    <n v="0"/>
    <n v="0"/>
    <n v="0"/>
    <n v="31"/>
    <n v="14"/>
    <n v="0.45945945945945943"/>
    <n v="0"/>
    <n v="0"/>
    <n v="0"/>
    <n v="0"/>
    <n v="0"/>
    <n v="0"/>
    <n v="0"/>
    <n v="1"/>
    <n v="0"/>
    <n v="0"/>
    <n v="0"/>
    <n v="3"/>
    <n v="60"/>
    <n v="0"/>
    <n v="300"/>
    <s v="No"/>
    <s v=""/>
    <n v="0"/>
    <n v="0"/>
    <n v="0"/>
    <n v="0"/>
    <n v="0"/>
    <n v="0"/>
    <s v="Yes"/>
    <s v="KBC-MYT"/>
    <x v="0"/>
    <x v="2"/>
    <x v="0"/>
    <n v="25.440928"/>
    <n v="97.419403000000003"/>
    <s v="MMR001CMP009"/>
    <x v="0"/>
    <x v="0"/>
    <s v="yes"/>
    <n v="105"/>
    <n v="624"/>
  </r>
  <r>
    <x v="0"/>
    <x v="4"/>
    <x v="3"/>
    <s v="UNICEF, SIDA"/>
    <x v="1"/>
    <x v="14"/>
    <x v="0"/>
    <x v="42"/>
    <n v="138"/>
    <n v="856"/>
    <d v="2022-09-07T00:00:00"/>
    <d v="2023-09-06T00:00:00"/>
    <m/>
    <n v="2"/>
    <m/>
    <m/>
    <s v="Yes"/>
    <n v="2"/>
    <n v="3"/>
    <n v="2"/>
    <m/>
    <m/>
    <m/>
    <m/>
    <m/>
    <m/>
    <n v="2"/>
    <m/>
    <m/>
    <m/>
    <m/>
    <m/>
    <m/>
    <m/>
    <m/>
    <m/>
    <m/>
    <m/>
    <m/>
    <m/>
    <m/>
    <m/>
    <n v="50"/>
    <n v="62"/>
    <m/>
    <m/>
    <m/>
    <m/>
    <m/>
    <n v="50"/>
    <x v="1"/>
    <x v="1"/>
    <m/>
    <m/>
    <m/>
    <m/>
    <m/>
    <m/>
    <n v="8"/>
    <m/>
    <m/>
    <n v="2"/>
    <m/>
    <m/>
    <n v="2"/>
    <m/>
    <m/>
    <m/>
    <m/>
    <m/>
    <m/>
    <m/>
    <m/>
    <m/>
    <m/>
    <m/>
    <m/>
    <m/>
    <m/>
    <m/>
    <m/>
    <m/>
    <s v="no test"/>
    <s v="no test"/>
    <s v="No Test"/>
    <n v="2"/>
    <n v="0"/>
    <n v="2"/>
    <n v="0"/>
    <n v="0"/>
    <n v="0"/>
    <n v="0"/>
    <m/>
    <n v="1"/>
    <n v="0.73987538940809972"/>
    <n v="1"/>
    <n v="856"/>
    <n v="0"/>
    <n v="0"/>
    <n v="1"/>
    <n v="856"/>
    <n v="1.712"/>
    <n v="0"/>
    <n v="0"/>
    <n v="0.28800000000000003"/>
    <n v="2"/>
    <n v="112"/>
    <n v="1"/>
    <n v="856"/>
    <n v="0"/>
    <n v="0"/>
    <n v="0"/>
    <n v="43"/>
    <n v="0"/>
    <n v="0"/>
    <n v="0"/>
    <n v="856"/>
    <n v="0"/>
    <n v="0"/>
    <n v="0"/>
    <n v="856"/>
    <n v="1"/>
    <n v="0"/>
    <n v="1"/>
    <n v="0"/>
    <n v="0"/>
    <n v="8"/>
    <n v="138"/>
    <n v="0"/>
    <n v="800"/>
    <s v="No"/>
    <s v=""/>
    <n v="0"/>
    <n v="0"/>
    <n v="0"/>
    <n v="0"/>
    <n v="0"/>
    <n v="0"/>
    <s v="Yes"/>
    <s v="KBC-MYT"/>
    <x v="0"/>
    <x v="2"/>
    <x v="1"/>
    <n v="25.200333000000001"/>
    <n v="97.807182999999995"/>
    <s v="MMR001CMP115"/>
    <x v="0"/>
    <x v="0"/>
    <s v="yes"/>
    <n v="138"/>
    <n v="896"/>
  </r>
  <r>
    <x v="0"/>
    <x v="4"/>
    <x v="3"/>
    <s v="UNICEF,SIDA"/>
    <x v="1"/>
    <x v="14"/>
    <x v="0"/>
    <x v="43"/>
    <n v="428"/>
    <n v="1342"/>
    <d v="2022-09-07T00:00:00"/>
    <d v="2023-09-06T00:00:00"/>
    <m/>
    <n v="6"/>
    <m/>
    <m/>
    <s v="Yes"/>
    <n v="3"/>
    <n v="2"/>
    <n v="1"/>
    <m/>
    <m/>
    <m/>
    <m/>
    <m/>
    <m/>
    <m/>
    <m/>
    <m/>
    <m/>
    <m/>
    <m/>
    <m/>
    <m/>
    <m/>
    <m/>
    <m/>
    <m/>
    <m/>
    <m/>
    <m/>
    <m/>
    <n v="407"/>
    <m/>
    <m/>
    <m/>
    <m/>
    <m/>
    <m/>
    <m/>
    <x v="1"/>
    <x v="1"/>
    <n v="3"/>
    <m/>
    <m/>
    <m/>
    <m/>
    <m/>
    <n v="177"/>
    <m/>
    <n v="12"/>
    <n v="6"/>
    <m/>
    <n v="1"/>
    <n v="5"/>
    <m/>
    <m/>
    <m/>
    <m/>
    <m/>
    <m/>
    <m/>
    <m/>
    <m/>
    <m/>
    <m/>
    <m/>
    <m/>
    <m/>
    <m/>
    <m/>
    <m/>
    <s v="no test"/>
    <s v="no test"/>
    <s v="No Test"/>
    <n v="1"/>
    <n v="0"/>
    <n v="0"/>
    <n v="0"/>
    <n v="0"/>
    <n v="0"/>
    <n v="0"/>
    <m/>
    <n v="0.29806259314456035"/>
    <n v="0.18628912071535023"/>
    <n v="0.29806259314456035"/>
    <n v="400"/>
    <n v="0"/>
    <n v="0"/>
    <n v="0.29806259314456035"/>
    <n v="400"/>
    <n v="0.8"/>
    <n v="0.70193740685543959"/>
    <n v="941.99999999999989"/>
    <n v="2.2000000000000002"/>
    <n v="3"/>
    <n v="407"/>
    <n v="1"/>
    <n v="1342"/>
    <n v="0"/>
    <n v="0"/>
    <n v="0"/>
    <n v="224"/>
    <n v="0"/>
    <n v="0"/>
    <n v="0"/>
    <n v="1342"/>
    <n v="0"/>
    <n v="0"/>
    <n v="0"/>
    <n v="1342"/>
    <n v="1"/>
    <n v="0"/>
    <n v="1"/>
    <n v="0"/>
    <n v="0"/>
    <n v="177"/>
    <n v="428"/>
    <n v="0"/>
    <n v="1342"/>
    <s v="No"/>
    <s v=""/>
    <n v="0"/>
    <n v="0"/>
    <n v="0"/>
    <n v="0"/>
    <n v="0"/>
    <n v="0"/>
    <s v="Yes"/>
    <s v="KMSS-MYT"/>
    <x v="1"/>
    <x v="2"/>
    <x v="1"/>
    <n v="24.980250000000002"/>
    <n v="97.715230000000005"/>
    <s v="MMR001CMP119"/>
    <x v="0"/>
    <x v="0"/>
    <s v="yes"/>
    <n v="419"/>
    <n v="1607"/>
  </r>
  <r>
    <x v="0"/>
    <x v="4"/>
    <x v="3"/>
    <s v="UNICEF,SIDA"/>
    <x v="1"/>
    <x v="14"/>
    <x v="0"/>
    <x v="44"/>
    <n v="171"/>
    <n v="1059"/>
    <d v="2022-09-07T00:00:00"/>
    <d v="2023-09-06T00:00:00"/>
    <m/>
    <n v="3"/>
    <m/>
    <m/>
    <s v="Yes"/>
    <n v="3"/>
    <n v="2"/>
    <n v="3"/>
    <m/>
    <m/>
    <m/>
    <m/>
    <m/>
    <m/>
    <n v="4"/>
    <m/>
    <m/>
    <m/>
    <m/>
    <m/>
    <m/>
    <m/>
    <m/>
    <m/>
    <m/>
    <m/>
    <m/>
    <m/>
    <m/>
    <m/>
    <n v="170"/>
    <m/>
    <m/>
    <m/>
    <m/>
    <m/>
    <m/>
    <n v="150"/>
    <x v="1"/>
    <x v="1"/>
    <m/>
    <m/>
    <m/>
    <m/>
    <m/>
    <m/>
    <n v="25"/>
    <m/>
    <n v="5"/>
    <m/>
    <m/>
    <n v="1"/>
    <n v="2"/>
    <m/>
    <m/>
    <m/>
    <m/>
    <m/>
    <m/>
    <m/>
    <m/>
    <m/>
    <m/>
    <m/>
    <m/>
    <m/>
    <m/>
    <m/>
    <m/>
    <m/>
    <s v="no test"/>
    <s v="no test"/>
    <s v="No Test"/>
    <n v="3"/>
    <n v="0"/>
    <n v="4"/>
    <n v="0"/>
    <n v="0"/>
    <n v="0"/>
    <n v="0"/>
    <m/>
    <n v="1"/>
    <n v="0.96002518098835388"/>
    <n v="1"/>
    <n v="1059"/>
    <n v="0"/>
    <n v="0"/>
    <n v="1"/>
    <n v="1059"/>
    <n v="2.1179999999999999"/>
    <n v="0"/>
    <n v="0"/>
    <n v="0"/>
    <n v="2"/>
    <n v="170"/>
    <n v="0.80264400377714828"/>
    <n v="850"/>
    <n v="0"/>
    <n v="0"/>
    <n v="0"/>
    <n v="177"/>
    <n v="7"/>
    <n v="0.19735599622285172"/>
    <n v="0"/>
    <n v="1059"/>
    <n v="0"/>
    <n v="0"/>
    <n v="0"/>
    <n v="1059"/>
    <n v="1"/>
    <n v="0"/>
    <n v="1"/>
    <n v="0"/>
    <n v="0"/>
    <n v="25"/>
    <n v="171"/>
    <n v="0"/>
    <n v="1059"/>
    <s v="No"/>
    <s v=""/>
    <n v="0"/>
    <n v="0"/>
    <n v="0"/>
    <n v="0"/>
    <n v="0"/>
    <n v="0"/>
    <s v="Yes"/>
    <s v="KBC-MYT"/>
    <x v="1"/>
    <x v="2"/>
    <x v="1"/>
    <n v="24.831944"/>
    <n v="97.751389000000003"/>
    <s v="MMR001CMP120"/>
    <x v="0"/>
    <x v="0"/>
    <s v="yes"/>
    <n v="169"/>
    <n v="970"/>
  </r>
  <r>
    <x v="0"/>
    <x v="4"/>
    <x v="3"/>
    <s v="UNICEF,SIDA"/>
    <x v="1"/>
    <x v="14"/>
    <x v="0"/>
    <x v="45"/>
    <n v="286"/>
    <n v="1438"/>
    <d v="2022-09-07T00:00:00"/>
    <d v="2023-09-06T00:00:00"/>
    <m/>
    <n v="5"/>
    <m/>
    <m/>
    <s v="Yes"/>
    <n v="9"/>
    <n v="6"/>
    <m/>
    <m/>
    <m/>
    <n v="5"/>
    <m/>
    <m/>
    <m/>
    <m/>
    <m/>
    <m/>
    <m/>
    <m/>
    <m/>
    <m/>
    <m/>
    <m/>
    <m/>
    <m/>
    <m/>
    <m/>
    <m/>
    <m/>
    <m/>
    <n v="413"/>
    <m/>
    <m/>
    <m/>
    <m/>
    <m/>
    <m/>
    <n v="413"/>
    <x v="1"/>
    <x v="1"/>
    <m/>
    <m/>
    <m/>
    <m/>
    <m/>
    <m/>
    <n v="315"/>
    <m/>
    <n v="5"/>
    <n v="1"/>
    <m/>
    <n v="1"/>
    <n v="3"/>
    <m/>
    <m/>
    <m/>
    <m/>
    <m/>
    <m/>
    <m/>
    <m/>
    <m/>
    <m/>
    <m/>
    <m/>
    <m/>
    <m/>
    <m/>
    <m/>
    <m/>
    <s v="no test"/>
    <s v="no test"/>
    <s v="No Test"/>
    <n v="0"/>
    <n v="5"/>
    <n v="0"/>
    <n v="0"/>
    <n v="0"/>
    <n v="0"/>
    <n v="0"/>
    <m/>
    <n v="1"/>
    <n v="0.86926286509040329"/>
    <n v="1"/>
    <n v="1438"/>
    <n v="0"/>
    <n v="0"/>
    <n v="1"/>
    <n v="1438"/>
    <n v="2.8759999999999999"/>
    <n v="0"/>
    <n v="0"/>
    <n v="0.12400000000000011"/>
    <n v="3"/>
    <n v="413"/>
    <n v="1"/>
    <n v="1438"/>
    <n v="0"/>
    <n v="0"/>
    <n v="0"/>
    <n v="72"/>
    <n v="0"/>
    <n v="0"/>
    <n v="0"/>
    <n v="1438"/>
    <n v="0"/>
    <n v="0"/>
    <n v="0"/>
    <n v="1438"/>
    <n v="1"/>
    <n v="0"/>
    <n v="1"/>
    <n v="0"/>
    <n v="0"/>
    <n v="315"/>
    <n v="286"/>
    <n v="0"/>
    <n v="1438"/>
    <s v="No"/>
    <s v=""/>
    <n v="0"/>
    <n v="0"/>
    <n v="0"/>
    <n v="0"/>
    <n v="0"/>
    <n v="0"/>
    <s v="Yes"/>
    <s v="KBC-MYT"/>
    <x v="0"/>
    <x v="2"/>
    <x v="1"/>
    <n v="25.418084"/>
    <n v="98.025662999999994"/>
    <s v="MMR001CMP249"/>
    <x v="0"/>
    <x v="0"/>
    <s v="yes"/>
    <n v="298"/>
    <n v="1458"/>
  </r>
  <r>
    <x v="0"/>
    <x v="5"/>
    <x v="4"/>
    <s v="(UNICEF,SIDA), ANCHOR"/>
    <x v="1"/>
    <x v="14"/>
    <x v="0"/>
    <x v="46"/>
    <n v="55"/>
    <n v="253"/>
    <s v="9/7/2022,1-1-2023"/>
    <s v="9/6/2023,12-31-2023"/>
    <m/>
    <n v="1"/>
    <n v="1"/>
    <m/>
    <s v="Yes"/>
    <n v="3"/>
    <n v="6"/>
    <n v="2"/>
    <m/>
    <m/>
    <m/>
    <n v="1"/>
    <m/>
    <m/>
    <m/>
    <m/>
    <m/>
    <m/>
    <m/>
    <m/>
    <m/>
    <n v="3"/>
    <m/>
    <m/>
    <m/>
    <m/>
    <n v="1"/>
    <m/>
    <m/>
    <s v="need for water taste  "/>
    <n v="9"/>
    <m/>
    <m/>
    <n v="1"/>
    <n v="1"/>
    <n v="6"/>
    <m/>
    <n v="6"/>
    <x v="1"/>
    <x v="1"/>
    <m/>
    <m/>
    <m/>
    <m/>
    <n v="1"/>
    <s v="မိလ္လာစုပ်ထုတ်ရန် အခက်အခဲဖြစ်"/>
    <n v="10"/>
    <n v="2"/>
    <m/>
    <n v="2"/>
    <m/>
    <n v="1"/>
    <n v="2"/>
    <m/>
    <m/>
    <m/>
    <n v="1"/>
    <n v="0.89"/>
    <m/>
    <n v="0.99"/>
    <n v="1"/>
    <n v="80"/>
    <n v="0.99"/>
    <m/>
    <m/>
    <m/>
    <m/>
    <m/>
    <m/>
    <m/>
    <s v="no test"/>
    <s v="no test"/>
    <s v="No Test"/>
    <n v="2"/>
    <n v="1"/>
    <n v="0"/>
    <n v="0"/>
    <n v="0"/>
    <n v="0"/>
    <n v="0"/>
    <m/>
    <n v="1"/>
    <n v="1"/>
    <n v="1"/>
    <n v="253"/>
    <n v="0"/>
    <n v="0"/>
    <n v="1"/>
    <n v="253"/>
    <n v="0.50600000000000001"/>
    <n v="0"/>
    <n v="0"/>
    <n v="0.49399999999999999"/>
    <n v="1"/>
    <n v="8"/>
    <n v="0.63636363636363635"/>
    <n v="161"/>
    <n v="120"/>
    <n v="0"/>
    <n v="0"/>
    <n v="13"/>
    <n v="4"/>
    <n v="0.36363636363636365"/>
    <n v="0.1111111111111111"/>
    <n v="253"/>
    <n v="0"/>
    <n v="0"/>
    <n v="0"/>
    <n v="253"/>
    <n v="1"/>
    <n v="0"/>
    <n v="1"/>
    <n v="0"/>
    <n v="0"/>
    <n v="8"/>
    <n v="55"/>
    <n v="0"/>
    <n v="253"/>
    <s v="No"/>
    <n v="0.31620553359683795"/>
    <n v="250.47"/>
    <n v="253"/>
    <n v="250.47"/>
    <n v="253"/>
    <n v="0"/>
    <n v="0"/>
    <s v="Yes"/>
    <s v="KBC-MYT"/>
    <x v="0"/>
    <x v="2"/>
    <x v="0"/>
    <n v="25.350989999999999"/>
    <n v="97.442809999999994"/>
    <s v="MMR001CMP269"/>
    <x v="0"/>
    <x v="0"/>
    <s v="yes"/>
    <n v="81"/>
    <n v="387"/>
  </r>
  <r>
    <x v="0"/>
    <x v="6"/>
    <x v="5"/>
    <s v="ECHO 2739,USAID/HOPE-94"/>
    <x v="1"/>
    <x v="4"/>
    <x v="1"/>
    <x v="47"/>
    <n v="110"/>
    <n v="502"/>
    <s v="6/1/2022,(13-8-2021, 6-1-2020)"/>
    <s v="11/30/2022,(30-6-2022, 30.4.2021)"/>
    <m/>
    <m/>
    <m/>
    <m/>
    <s v="Yes"/>
    <n v="2"/>
    <n v="3"/>
    <n v="3"/>
    <m/>
    <m/>
    <n v="2"/>
    <m/>
    <m/>
    <m/>
    <m/>
    <m/>
    <m/>
    <m/>
    <m/>
    <m/>
    <n v="1"/>
    <m/>
    <m/>
    <m/>
    <m/>
    <m/>
    <m/>
    <m/>
    <m/>
    <m/>
    <n v="31"/>
    <m/>
    <m/>
    <m/>
    <m/>
    <m/>
    <m/>
    <m/>
    <x v="1"/>
    <x v="1"/>
    <m/>
    <m/>
    <m/>
    <m/>
    <m/>
    <m/>
    <n v="11"/>
    <m/>
    <m/>
    <n v="3"/>
    <m/>
    <m/>
    <m/>
    <m/>
    <m/>
    <m/>
    <m/>
    <m/>
    <m/>
    <m/>
    <m/>
    <m/>
    <m/>
    <m/>
    <m/>
    <m/>
    <m/>
    <m/>
    <m/>
    <m/>
    <s v="no test"/>
    <s v="no test"/>
    <s v="No Test"/>
    <n v="3"/>
    <n v="2"/>
    <n v="0"/>
    <n v="0"/>
    <n v="0"/>
    <n v="0"/>
    <n v="0"/>
    <m/>
    <n v="1"/>
    <n v="1"/>
    <n v="1"/>
    <n v="502"/>
    <n v="0"/>
    <n v="0"/>
    <n v="1"/>
    <n v="502"/>
    <n v="1.004"/>
    <n v="0"/>
    <n v="0"/>
    <n v="0"/>
    <n v="1"/>
    <n v="31"/>
    <n v="1"/>
    <n v="502"/>
    <n v="0"/>
    <n v="0"/>
    <n v="0"/>
    <n v="25"/>
    <n v="0"/>
    <n v="0"/>
    <n v="0"/>
    <n v="0"/>
    <n v="0"/>
    <n v="0"/>
    <n v="0"/>
    <n v="0"/>
    <n v="0"/>
    <n v="1"/>
    <n v="0"/>
    <n v="0"/>
    <n v="0"/>
    <n v="11"/>
    <n v="110"/>
    <n v="0"/>
    <n v="502"/>
    <s v="No"/>
    <s v=""/>
    <n v="0"/>
    <n v="0"/>
    <n v="0"/>
    <n v="0"/>
    <n v="0"/>
    <n v="0"/>
    <n v="0"/>
    <n v="0"/>
    <x v="0"/>
    <x v="2"/>
    <x v="0"/>
    <n v="0"/>
    <n v="0"/>
    <n v="0"/>
    <x v="0"/>
    <x v="0"/>
    <s v="yes"/>
    <n v="0"/>
    <n v="0"/>
  </r>
  <r>
    <x v="0"/>
    <x v="6"/>
    <x v="5"/>
    <s v="ECHO 2739,USAID/HOPE-94"/>
    <x v="1"/>
    <x v="4"/>
    <x v="1"/>
    <x v="48"/>
    <n v="10"/>
    <n v="57"/>
    <s v="6/1/2022,(13-8-2021, 6-1-2020)"/>
    <s v="11/30/2022,(30-6-2022, 30.4.2021)"/>
    <m/>
    <m/>
    <m/>
    <m/>
    <s v="Yes"/>
    <n v="1"/>
    <n v="5"/>
    <n v="1"/>
    <m/>
    <m/>
    <m/>
    <m/>
    <m/>
    <m/>
    <m/>
    <m/>
    <m/>
    <m/>
    <m/>
    <m/>
    <n v="1"/>
    <m/>
    <m/>
    <m/>
    <m/>
    <m/>
    <m/>
    <m/>
    <m/>
    <m/>
    <n v="8"/>
    <m/>
    <m/>
    <m/>
    <m/>
    <m/>
    <m/>
    <m/>
    <x v="1"/>
    <x v="1"/>
    <m/>
    <m/>
    <m/>
    <m/>
    <m/>
    <m/>
    <m/>
    <m/>
    <m/>
    <n v="2"/>
    <m/>
    <m/>
    <m/>
    <m/>
    <m/>
    <m/>
    <m/>
    <m/>
    <m/>
    <m/>
    <m/>
    <m/>
    <m/>
    <m/>
    <m/>
    <m/>
    <m/>
    <m/>
    <m/>
    <m/>
    <s v="no test"/>
    <s v="no test"/>
    <s v="No Test"/>
    <n v="1"/>
    <n v="0"/>
    <n v="0"/>
    <n v="0"/>
    <n v="0"/>
    <n v="0"/>
    <n v="0"/>
    <m/>
    <n v="1"/>
    <n v="1"/>
    <n v="1"/>
    <n v="57"/>
    <n v="0"/>
    <n v="0"/>
    <n v="1"/>
    <n v="57"/>
    <n v="0.114"/>
    <n v="0"/>
    <n v="0"/>
    <n v="0.88600000000000001"/>
    <n v="1"/>
    <n v="8"/>
    <n v="1"/>
    <n v="57"/>
    <n v="0"/>
    <n v="0"/>
    <n v="0"/>
    <n v="3"/>
    <n v="0"/>
    <n v="0"/>
    <n v="0"/>
    <n v="0"/>
    <n v="0"/>
    <n v="0"/>
    <n v="0"/>
    <n v="0"/>
    <n v="0"/>
    <n v="1"/>
    <n v="0"/>
    <n v="0"/>
    <n v="0"/>
    <n v="0"/>
    <n v="0"/>
    <n v="0"/>
    <n v="0"/>
    <s v="No"/>
    <s v=""/>
    <n v="0"/>
    <n v="0"/>
    <n v="0"/>
    <n v="0"/>
    <n v="0"/>
    <n v="0"/>
    <n v="0"/>
    <n v="0"/>
    <x v="0"/>
    <x v="2"/>
    <x v="0"/>
    <n v="0"/>
    <n v="0"/>
    <n v="0"/>
    <x v="0"/>
    <x v="0"/>
    <s v="yes"/>
    <n v="0"/>
    <n v="0"/>
  </r>
  <r>
    <x v="0"/>
    <x v="6"/>
    <x v="5"/>
    <s v="MHF,USAID/HOPE-94"/>
    <x v="1"/>
    <x v="4"/>
    <x v="1"/>
    <x v="49"/>
    <n v="416"/>
    <n v="1936"/>
    <s v="10/1/2022,(13-8-2021, 6-1-2020)"/>
    <s v="6/30/2023, (30-6-2022, 30.4.2021)"/>
    <n v="153"/>
    <m/>
    <m/>
    <m/>
    <s v="Yes"/>
    <n v="2"/>
    <n v="6"/>
    <n v="3"/>
    <n v="1"/>
    <m/>
    <m/>
    <m/>
    <m/>
    <m/>
    <m/>
    <m/>
    <m/>
    <m/>
    <m/>
    <m/>
    <m/>
    <m/>
    <m/>
    <m/>
    <m/>
    <m/>
    <n v="5"/>
    <m/>
    <m/>
    <s v="NA"/>
    <n v="73"/>
    <m/>
    <m/>
    <n v="1"/>
    <n v="1"/>
    <n v="18"/>
    <n v="28.920549999999999"/>
    <m/>
    <x v="1"/>
    <x v="1"/>
    <m/>
    <m/>
    <m/>
    <m/>
    <m/>
    <s v="NA"/>
    <n v="20"/>
    <n v="5"/>
    <m/>
    <n v="2"/>
    <m/>
    <n v="3"/>
    <n v="12"/>
    <m/>
    <m/>
    <s v="Yes"/>
    <n v="1"/>
    <n v="0.3"/>
    <s v="NA"/>
    <n v="0.8"/>
    <n v="0.8"/>
    <n v="20"/>
    <n v="0.8"/>
    <m/>
    <m/>
    <m/>
    <m/>
    <m/>
    <m/>
    <m/>
    <s v="no test"/>
    <s v="no test"/>
    <s v="No Test"/>
    <n v="2"/>
    <n v="0"/>
    <n v="0"/>
    <n v="0"/>
    <n v="0"/>
    <n v="0"/>
    <n v="0"/>
    <m/>
    <n v="0.41322314049586778"/>
    <n v="0.25826446280991733"/>
    <n v="0.41322314049586778"/>
    <n v="800"/>
    <n v="0"/>
    <n v="0"/>
    <n v="0.41322314049586778"/>
    <n v="800"/>
    <n v="1.6"/>
    <n v="0.58677685950413228"/>
    <n v="1136"/>
    <n v="2.4"/>
    <n v="4"/>
    <n v="72"/>
    <n v="0.74380165289256195"/>
    <n v="1440"/>
    <n v="360"/>
    <n v="0"/>
    <n v="0"/>
    <n v="97"/>
    <n v="24"/>
    <n v="0.25619834710743805"/>
    <n v="1.3698630136986301E-2"/>
    <n v="1936"/>
    <n v="0"/>
    <n v="0"/>
    <n v="0"/>
    <n v="1936"/>
    <n v="1"/>
    <n v="0"/>
    <n v="1"/>
    <n v="0"/>
    <n v="0"/>
    <n v="15"/>
    <n v="300"/>
    <n v="5"/>
    <n v="1500"/>
    <s v="Yes"/>
    <n v="1.0330578512396695E-2"/>
    <n v="1548.8000000000002"/>
    <n v="1548.8000000000002"/>
    <n v="1548.8000000000002"/>
    <n v="1548.8000000000002"/>
    <n v="0"/>
    <n v="0"/>
    <n v="0"/>
    <n v="0"/>
    <x v="0"/>
    <x v="2"/>
    <x v="0"/>
    <n v="0"/>
    <n v="0"/>
    <n v="0"/>
    <x v="0"/>
    <x v="0"/>
    <s v="yes"/>
    <n v="0"/>
    <n v="0"/>
  </r>
  <r>
    <x v="0"/>
    <x v="6"/>
    <x v="5"/>
    <s v="SIDA, USAID/HOPE-94"/>
    <x v="1"/>
    <x v="11"/>
    <x v="0"/>
    <x v="50"/>
    <n v="60"/>
    <n v="300"/>
    <s v="13-8-2021, 6-1-2020"/>
    <s v="30-6-2022, 30.4.2021"/>
    <n v="95"/>
    <n v="4"/>
    <m/>
    <m/>
    <s v="Yes"/>
    <n v="2"/>
    <n v="4"/>
    <n v="1"/>
    <m/>
    <m/>
    <n v="2"/>
    <n v="2"/>
    <m/>
    <m/>
    <m/>
    <m/>
    <m/>
    <m/>
    <m/>
    <m/>
    <n v="1"/>
    <m/>
    <m/>
    <m/>
    <m/>
    <m/>
    <n v="2"/>
    <m/>
    <m/>
    <s v="NA"/>
    <n v="13"/>
    <m/>
    <m/>
    <n v="1"/>
    <m/>
    <m/>
    <m/>
    <m/>
    <x v="1"/>
    <x v="1"/>
    <n v="2"/>
    <m/>
    <m/>
    <m/>
    <n v="4"/>
    <s v="NA"/>
    <n v="15"/>
    <n v="10"/>
    <n v="2"/>
    <n v="9"/>
    <m/>
    <n v="3"/>
    <n v="2"/>
    <m/>
    <m/>
    <s v="Yes"/>
    <m/>
    <n v="0.3"/>
    <s v="NA"/>
    <n v="0.8"/>
    <n v="0.8"/>
    <n v="5"/>
    <n v="0.8"/>
    <m/>
    <m/>
    <m/>
    <m/>
    <m/>
    <m/>
    <m/>
    <s v="no test"/>
    <s v="no test"/>
    <s v="No Test"/>
    <n v="1"/>
    <n v="4"/>
    <n v="0"/>
    <n v="0"/>
    <n v="0"/>
    <n v="0"/>
    <n v="0"/>
    <m/>
    <n v="1"/>
    <n v="1"/>
    <n v="1"/>
    <n v="300"/>
    <n v="0"/>
    <n v="0"/>
    <n v="1"/>
    <n v="300"/>
    <n v="0.6"/>
    <n v="0"/>
    <n v="0"/>
    <n v="0.4"/>
    <n v="1"/>
    <n v="12"/>
    <n v="0.94666666666666666"/>
    <n v="284"/>
    <n v="0"/>
    <n v="0"/>
    <n v="0"/>
    <n v="15"/>
    <n v="2"/>
    <n v="5.3333333333333344E-2"/>
    <n v="7.6923076923076927E-2"/>
    <n v="300"/>
    <n v="0"/>
    <n v="0"/>
    <n v="0"/>
    <n v="300"/>
    <n v="1"/>
    <n v="0"/>
    <n v="1"/>
    <n v="0"/>
    <n v="0"/>
    <n v="5"/>
    <n v="60"/>
    <n v="2"/>
    <n v="300"/>
    <s v="Yes"/>
    <n v="1.6666666666666666E-2"/>
    <n v="240"/>
    <n v="240"/>
    <n v="240"/>
    <n v="240"/>
    <n v="0"/>
    <n v="0"/>
    <s v="Yes"/>
    <s v="KBC-BMO"/>
    <x v="0"/>
    <x v="2"/>
    <x v="0"/>
    <n v="24.200361000000001"/>
    <n v="96.807353000000006"/>
    <s v="MMR001CMP067"/>
    <x v="0"/>
    <x v="0"/>
    <s v="yes"/>
    <n v="46"/>
    <n v="249"/>
  </r>
  <r>
    <x v="0"/>
    <x v="7"/>
    <x v="3"/>
    <s v="UNICEF,SIDA"/>
    <x v="1"/>
    <x v="8"/>
    <x v="0"/>
    <x v="51"/>
    <n v="27"/>
    <n v="141"/>
    <d v="2022-09-07T00:00:00"/>
    <d v="2023-09-06T00:00:00"/>
    <m/>
    <n v="1"/>
    <m/>
    <m/>
    <s v="Yes"/>
    <n v="2"/>
    <n v="2"/>
    <m/>
    <m/>
    <m/>
    <n v="1"/>
    <m/>
    <m/>
    <m/>
    <m/>
    <m/>
    <m/>
    <m/>
    <m/>
    <m/>
    <m/>
    <n v="3"/>
    <m/>
    <m/>
    <m/>
    <m/>
    <m/>
    <m/>
    <m/>
    <m/>
    <n v="12"/>
    <m/>
    <m/>
    <m/>
    <m/>
    <m/>
    <m/>
    <n v="12"/>
    <x v="1"/>
    <x v="3"/>
    <m/>
    <m/>
    <m/>
    <m/>
    <m/>
    <m/>
    <n v="8"/>
    <m/>
    <m/>
    <n v="3"/>
    <m/>
    <m/>
    <m/>
    <m/>
    <m/>
    <m/>
    <m/>
    <m/>
    <m/>
    <m/>
    <m/>
    <m/>
    <m/>
    <m/>
    <m/>
    <m/>
    <m/>
    <m/>
    <m/>
    <m/>
    <s v="no test"/>
    <s v="no test"/>
    <s v="No Test"/>
    <n v="0"/>
    <n v="1"/>
    <n v="0"/>
    <n v="0"/>
    <n v="0"/>
    <n v="0"/>
    <n v="0"/>
    <m/>
    <n v="1"/>
    <n v="1"/>
    <n v="1"/>
    <n v="141"/>
    <n v="0"/>
    <n v="0"/>
    <n v="1"/>
    <n v="141"/>
    <n v="0.28199999999999997"/>
    <n v="0"/>
    <n v="0"/>
    <n v="0.71799999999999997"/>
    <n v="1"/>
    <n v="12"/>
    <n v="1"/>
    <n v="141"/>
    <n v="0"/>
    <n v="0"/>
    <n v="0"/>
    <n v="7"/>
    <n v="0"/>
    <n v="0"/>
    <n v="0"/>
    <n v="0"/>
    <n v="0"/>
    <n v="0"/>
    <n v="0"/>
    <n v="0"/>
    <n v="0"/>
    <n v="1"/>
    <n v="0"/>
    <n v="0"/>
    <n v="0"/>
    <n v="8"/>
    <n v="27"/>
    <n v="0"/>
    <n v="141"/>
    <s v="No"/>
    <s v=""/>
    <n v="0"/>
    <n v="0"/>
    <n v="0"/>
    <n v="0"/>
    <n v="0"/>
    <n v="0"/>
    <s v="Yes"/>
    <s v="KBC-MYT"/>
    <x v="0"/>
    <x v="2"/>
    <x v="0"/>
    <n v="25.225000000000001"/>
    <n v="96.793999999999997"/>
    <s v="MMR001CMP236"/>
    <x v="0"/>
    <x v="0"/>
    <s v="yes"/>
    <n v="25"/>
    <n v="138"/>
  </r>
  <r>
    <x v="0"/>
    <x v="8"/>
    <x v="6"/>
    <s v="UNICEF"/>
    <x v="1"/>
    <x v="6"/>
    <x v="0"/>
    <x v="52"/>
    <n v="14"/>
    <n v="52"/>
    <d v="2023-02-16T00:00:00"/>
    <d v="2024-02-15T00:00:00"/>
    <n v="155"/>
    <n v="3"/>
    <m/>
    <m/>
    <s v="Yes"/>
    <n v="3"/>
    <n v="2"/>
    <n v="1"/>
    <m/>
    <m/>
    <n v="1"/>
    <m/>
    <m/>
    <m/>
    <n v="1"/>
    <m/>
    <m/>
    <m/>
    <m/>
    <m/>
    <m/>
    <n v="7"/>
    <m/>
    <m/>
    <m/>
    <m/>
    <n v="2"/>
    <n v="1"/>
    <m/>
    <m/>
    <n v="4"/>
    <m/>
    <m/>
    <m/>
    <m/>
    <m/>
    <m/>
    <m/>
    <x v="1"/>
    <x v="0"/>
    <n v="2"/>
    <m/>
    <m/>
    <m/>
    <m/>
    <m/>
    <n v="2"/>
    <m/>
    <m/>
    <n v="2"/>
    <m/>
    <m/>
    <n v="1"/>
    <m/>
    <m/>
    <s v="Yes"/>
    <n v="1"/>
    <m/>
    <m/>
    <m/>
    <m/>
    <m/>
    <m/>
    <m/>
    <m/>
    <m/>
    <m/>
    <m/>
    <m/>
    <m/>
    <s v="no test"/>
    <s v="no test"/>
    <s v="No Test"/>
    <n v="1"/>
    <n v="1"/>
    <n v="1"/>
    <n v="0"/>
    <n v="0"/>
    <n v="52"/>
    <n v="0"/>
    <m/>
    <n v="1"/>
    <n v="1"/>
    <n v="1"/>
    <n v="52"/>
    <n v="0"/>
    <n v="0"/>
    <n v="1"/>
    <n v="52"/>
    <n v="0.104"/>
    <n v="0"/>
    <n v="0"/>
    <n v="0.89600000000000002"/>
    <n v="1"/>
    <n v="4"/>
    <n v="1"/>
    <n v="52"/>
    <n v="0"/>
    <n v="0"/>
    <n v="0"/>
    <n v="3"/>
    <n v="0"/>
    <n v="0"/>
    <n v="0"/>
    <n v="52"/>
    <n v="0"/>
    <n v="0"/>
    <n v="0"/>
    <n v="52"/>
    <n v="1"/>
    <n v="0"/>
    <n v="1"/>
    <n v="0"/>
    <n v="0"/>
    <n v="2"/>
    <n v="14"/>
    <n v="2"/>
    <n v="52"/>
    <s v="Yes"/>
    <s v=""/>
    <n v="0"/>
    <n v="0"/>
    <n v="0"/>
    <n v="0"/>
    <n v="52"/>
    <n v="0"/>
    <n v="0"/>
    <s v="KMSS-MYT"/>
    <x v="0"/>
    <x v="1"/>
    <x v="0"/>
    <n v="25.522594999999999"/>
    <n v="96.711534"/>
    <s v="MMR001CMP270"/>
    <x v="0"/>
    <x v="0"/>
    <s v="yes"/>
    <n v="14"/>
    <n v="52"/>
  </r>
  <r>
    <x v="0"/>
    <x v="8"/>
    <x v="6"/>
    <s v="UNICEF"/>
    <x v="1"/>
    <x v="6"/>
    <x v="2"/>
    <x v="53"/>
    <n v="92"/>
    <n v="460"/>
    <d v="2023-02-16T00:00:00"/>
    <d v="2024-02-15T00:00:00"/>
    <m/>
    <n v="5"/>
    <m/>
    <m/>
    <s v="Yes"/>
    <n v="2"/>
    <n v="5"/>
    <n v="1"/>
    <m/>
    <m/>
    <m/>
    <m/>
    <m/>
    <m/>
    <m/>
    <m/>
    <m/>
    <m/>
    <m/>
    <m/>
    <m/>
    <n v="7"/>
    <m/>
    <m/>
    <m/>
    <m/>
    <m/>
    <m/>
    <m/>
    <m/>
    <n v="12"/>
    <m/>
    <m/>
    <m/>
    <m/>
    <m/>
    <m/>
    <m/>
    <x v="1"/>
    <x v="1"/>
    <n v="3"/>
    <m/>
    <m/>
    <m/>
    <m/>
    <m/>
    <n v="1"/>
    <m/>
    <m/>
    <n v="2"/>
    <m/>
    <m/>
    <n v="1"/>
    <m/>
    <m/>
    <s v="Yes"/>
    <n v="1"/>
    <m/>
    <m/>
    <m/>
    <m/>
    <m/>
    <m/>
    <m/>
    <m/>
    <m/>
    <m/>
    <m/>
    <m/>
    <m/>
    <s v="no test"/>
    <s v="no test"/>
    <s v="No Test"/>
    <n v="1"/>
    <n v="0"/>
    <n v="0"/>
    <n v="0"/>
    <n v="0"/>
    <n v="0"/>
    <n v="0"/>
    <m/>
    <n v="0.86956521739130432"/>
    <n v="0.54347826086956519"/>
    <n v="0.86956521739130432"/>
    <n v="400"/>
    <n v="0"/>
    <n v="0"/>
    <n v="0.86956521739130432"/>
    <n v="400"/>
    <n v="0.8"/>
    <n v="0.13043478260869568"/>
    <n v="60.000000000000014"/>
    <n v="0.19999999999999996"/>
    <n v="1"/>
    <n v="12"/>
    <n v="0.65217391304347827"/>
    <n v="300"/>
    <n v="0"/>
    <n v="0"/>
    <n v="0"/>
    <n v="23"/>
    <n v="11"/>
    <n v="0.34782608695652173"/>
    <n v="0"/>
    <n v="460"/>
    <n v="0"/>
    <n v="0"/>
    <n v="0"/>
    <n v="460"/>
    <n v="1"/>
    <n v="0"/>
    <n v="1"/>
    <n v="0"/>
    <n v="0"/>
    <n v="1"/>
    <n v="20"/>
    <n v="0"/>
    <n v="100"/>
    <s v="No"/>
    <s v=""/>
    <n v="0"/>
    <n v="0"/>
    <n v="0"/>
    <n v="0"/>
    <n v="0"/>
    <n v="0"/>
    <n v="0"/>
    <n v="0"/>
    <x v="0"/>
    <x v="0"/>
    <x v="0"/>
    <n v="0"/>
    <n v="0"/>
    <n v="0"/>
    <x v="0"/>
    <x v="0"/>
    <s v="yes"/>
    <n v="0"/>
    <n v="0"/>
  </r>
  <r>
    <x v="0"/>
    <x v="8"/>
    <x v="6"/>
    <s v="UNICEF"/>
    <x v="1"/>
    <x v="6"/>
    <x v="0"/>
    <x v="54"/>
    <n v="47"/>
    <n v="228"/>
    <d v="2023-02-16T00:00:00"/>
    <d v="2024-02-15T00:00:00"/>
    <m/>
    <n v="2"/>
    <m/>
    <m/>
    <s v="Yes"/>
    <n v="3"/>
    <n v="3"/>
    <n v="1"/>
    <m/>
    <m/>
    <m/>
    <m/>
    <m/>
    <m/>
    <m/>
    <m/>
    <m/>
    <m/>
    <m/>
    <m/>
    <m/>
    <n v="5"/>
    <m/>
    <m/>
    <m/>
    <m/>
    <n v="4"/>
    <m/>
    <m/>
    <m/>
    <n v="16"/>
    <m/>
    <m/>
    <m/>
    <m/>
    <m/>
    <m/>
    <m/>
    <x v="1"/>
    <x v="1"/>
    <m/>
    <m/>
    <m/>
    <m/>
    <m/>
    <m/>
    <n v="7"/>
    <m/>
    <m/>
    <n v="2"/>
    <m/>
    <m/>
    <n v="1"/>
    <m/>
    <m/>
    <s v="Yes"/>
    <n v="1"/>
    <m/>
    <m/>
    <m/>
    <m/>
    <m/>
    <m/>
    <m/>
    <m/>
    <m/>
    <m/>
    <m/>
    <m/>
    <m/>
    <s v="no test"/>
    <s v="no test"/>
    <s v="No Test"/>
    <n v="1"/>
    <n v="0"/>
    <n v="0"/>
    <n v="0"/>
    <n v="0"/>
    <n v="0"/>
    <n v="0"/>
    <m/>
    <n v="1"/>
    <n v="1"/>
    <n v="1"/>
    <n v="228"/>
    <n v="0"/>
    <n v="0"/>
    <n v="1"/>
    <n v="228"/>
    <n v="0.45600000000000002"/>
    <n v="0"/>
    <n v="0"/>
    <n v="0.54400000000000004"/>
    <n v="1"/>
    <n v="16"/>
    <n v="1"/>
    <n v="228"/>
    <n v="0"/>
    <n v="0"/>
    <n v="0"/>
    <n v="11"/>
    <n v="0"/>
    <n v="0"/>
    <n v="0"/>
    <n v="228"/>
    <n v="0"/>
    <n v="0"/>
    <n v="0"/>
    <n v="228"/>
    <n v="1"/>
    <n v="0"/>
    <n v="1"/>
    <n v="0"/>
    <n v="0"/>
    <n v="7"/>
    <n v="47"/>
    <n v="4"/>
    <n v="228"/>
    <s v="No"/>
    <s v=""/>
    <n v="0"/>
    <n v="0"/>
    <n v="0"/>
    <n v="0"/>
    <n v="0"/>
    <n v="0"/>
    <s v="Yes"/>
    <s v="KMSS-MYT"/>
    <x v="0"/>
    <x v="2"/>
    <x v="0"/>
    <n v="25.613894999999999"/>
    <n v="96.341352999999998"/>
    <s v="MMR001CMP103"/>
    <x v="0"/>
    <x v="0"/>
    <s v="yes"/>
    <n v="46"/>
    <n v="227"/>
  </r>
  <r>
    <x v="0"/>
    <x v="8"/>
    <x v="6"/>
    <s v="UNICEF"/>
    <x v="1"/>
    <x v="7"/>
    <x v="0"/>
    <x v="55"/>
    <n v="154"/>
    <n v="694"/>
    <d v="2021-08-06T00:00:00"/>
    <d v="2022-08-05T00:00:00"/>
    <m/>
    <n v="5"/>
    <m/>
    <m/>
    <s v="Yes"/>
    <n v="3"/>
    <n v="4"/>
    <n v="1"/>
    <m/>
    <m/>
    <n v="3"/>
    <n v="2"/>
    <m/>
    <m/>
    <m/>
    <m/>
    <m/>
    <m/>
    <m/>
    <m/>
    <m/>
    <m/>
    <m/>
    <m/>
    <m/>
    <m/>
    <m/>
    <m/>
    <m/>
    <m/>
    <n v="61"/>
    <m/>
    <m/>
    <m/>
    <m/>
    <m/>
    <m/>
    <m/>
    <x v="1"/>
    <x v="1"/>
    <m/>
    <m/>
    <m/>
    <m/>
    <m/>
    <m/>
    <n v="10"/>
    <m/>
    <m/>
    <n v="7"/>
    <m/>
    <m/>
    <n v="2"/>
    <m/>
    <m/>
    <s v="Yes"/>
    <m/>
    <m/>
    <m/>
    <m/>
    <m/>
    <m/>
    <m/>
    <m/>
    <m/>
    <m/>
    <m/>
    <m/>
    <m/>
    <m/>
    <s v="no test"/>
    <s v="no test"/>
    <s v="No Test"/>
    <n v="1"/>
    <n v="5"/>
    <n v="0"/>
    <n v="0"/>
    <n v="0"/>
    <n v="0"/>
    <n v="0"/>
    <m/>
    <n v="1"/>
    <n v="1"/>
    <n v="1"/>
    <n v="694"/>
    <n v="0"/>
    <n v="0"/>
    <n v="1"/>
    <n v="694"/>
    <n v="1.3879999999999999"/>
    <n v="0"/>
    <n v="0"/>
    <n v="0"/>
    <n v="1"/>
    <n v="61"/>
    <n v="1"/>
    <n v="694"/>
    <n v="0"/>
    <n v="0"/>
    <n v="0"/>
    <n v="35"/>
    <n v="0"/>
    <n v="0"/>
    <n v="0"/>
    <n v="694"/>
    <n v="0"/>
    <n v="0"/>
    <n v="0"/>
    <n v="694"/>
    <n v="1"/>
    <n v="0"/>
    <n v="1"/>
    <n v="0"/>
    <n v="0"/>
    <n v="10"/>
    <n v="154"/>
    <n v="0"/>
    <n v="694"/>
    <s v="No"/>
    <s v=""/>
    <n v="0"/>
    <n v="0"/>
    <n v="0"/>
    <n v="0"/>
    <n v="0"/>
    <n v="0"/>
    <s v="Yes"/>
    <s v="KMSS-BMO"/>
    <x v="0"/>
    <x v="2"/>
    <x v="0"/>
    <n v="23.976571"/>
    <n v="97.227057000000002"/>
    <s v="MMR001CMP223"/>
    <x v="0"/>
    <x v="0"/>
    <s v="yes"/>
    <n v="143"/>
    <n v="687"/>
  </r>
  <r>
    <x v="0"/>
    <x v="8"/>
    <x v="6"/>
    <s v="UNICEF"/>
    <x v="1"/>
    <x v="8"/>
    <x v="0"/>
    <x v="56"/>
    <n v="48"/>
    <n v="275"/>
    <d v="2023-02-16T00:00:00"/>
    <d v="2024-02-15T00:00:00"/>
    <m/>
    <n v="3"/>
    <m/>
    <m/>
    <s v="Yes"/>
    <n v="3"/>
    <n v="1"/>
    <n v="2"/>
    <m/>
    <m/>
    <m/>
    <m/>
    <m/>
    <m/>
    <m/>
    <m/>
    <m/>
    <m/>
    <m/>
    <m/>
    <m/>
    <m/>
    <m/>
    <m/>
    <m/>
    <m/>
    <n v="5"/>
    <m/>
    <m/>
    <m/>
    <n v="18"/>
    <m/>
    <m/>
    <m/>
    <m/>
    <m/>
    <m/>
    <m/>
    <x v="1"/>
    <x v="3"/>
    <m/>
    <m/>
    <m/>
    <m/>
    <m/>
    <m/>
    <n v="5"/>
    <m/>
    <n v="2"/>
    <n v="2"/>
    <m/>
    <m/>
    <n v="1"/>
    <m/>
    <m/>
    <s v="Yes"/>
    <n v="1"/>
    <m/>
    <s v="Hygiene kits"/>
    <m/>
    <m/>
    <m/>
    <m/>
    <m/>
    <m/>
    <m/>
    <m/>
    <m/>
    <m/>
    <m/>
    <s v="no test"/>
    <s v="no test"/>
    <s v="No Test"/>
    <n v="2"/>
    <n v="0"/>
    <n v="0"/>
    <n v="0"/>
    <n v="0"/>
    <n v="0"/>
    <n v="0"/>
    <m/>
    <n v="1"/>
    <n v="1"/>
    <n v="1"/>
    <n v="275"/>
    <n v="0"/>
    <n v="0"/>
    <n v="1"/>
    <n v="275"/>
    <n v="0.55000000000000004"/>
    <n v="0"/>
    <n v="0"/>
    <n v="0.44999999999999996"/>
    <n v="1"/>
    <n v="18"/>
    <n v="1"/>
    <n v="275"/>
    <n v="0"/>
    <n v="0"/>
    <n v="0"/>
    <n v="14"/>
    <n v="0"/>
    <n v="0"/>
    <n v="0"/>
    <n v="275"/>
    <n v="0"/>
    <n v="0"/>
    <n v="0"/>
    <n v="275"/>
    <n v="1"/>
    <n v="0"/>
    <n v="1"/>
    <n v="0"/>
    <n v="0"/>
    <n v="5"/>
    <n v="48"/>
    <n v="5"/>
    <n v="275"/>
    <s v="No"/>
    <s v=""/>
    <n v="0"/>
    <n v="0"/>
    <n v="0"/>
    <n v="0"/>
    <n v="0"/>
    <n v="0"/>
    <n v="0"/>
    <s v="KMSS-MYT"/>
    <x v="0"/>
    <x v="2"/>
    <x v="0"/>
    <n v="25.383058999999999"/>
    <n v="97.014313000000001"/>
    <s v="MMR001CMP259"/>
    <x v="0"/>
    <x v="0"/>
    <s v="yes"/>
    <n v="48"/>
    <n v="275"/>
  </r>
  <r>
    <x v="0"/>
    <x v="8"/>
    <x v="6"/>
    <s v="UNICEF"/>
    <x v="1"/>
    <x v="8"/>
    <x v="0"/>
    <x v="57"/>
    <n v="83"/>
    <n v="430"/>
    <d v="2023-02-16T00:00:00"/>
    <d v="2024-02-15T00:00:00"/>
    <m/>
    <n v="2"/>
    <m/>
    <m/>
    <s v="Yes"/>
    <n v="2"/>
    <n v="3"/>
    <n v="3"/>
    <m/>
    <m/>
    <m/>
    <m/>
    <m/>
    <m/>
    <m/>
    <m/>
    <m/>
    <m/>
    <m/>
    <m/>
    <m/>
    <m/>
    <m/>
    <m/>
    <m/>
    <m/>
    <n v="10"/>
    <m/>
    <m/>
    <m/>
    <n v="14"/>
    <m/>
    <m/>
    <m/>
    <m/>
    <m/>
    <m/>
    <m/>
    <x v="1"/>
    <x v="0"/>
    <n v="1"/>
    <m/>
    <m/>
    <m/>
    <m/>
    <m/>
    <n v="10"/>
    <m/>
    <n v="2"/>
    <n v="2"/>
    <m/>
    <m/>
    <n v="1"/>
    <m/>
    <m/>
    <s v="Yes"/>
    <n v="1"/>
    <m/>
    <s v="Hygiene kits"/>
    <m/>
    <m/>
    <m/>
    <m/>
    <m/>
    <m/>
    <m/>
    <m/>
    <m/>
    <m/>
    <m/>
    <s v="no test"/>
    <s v="no test"/>
    <s v="No Test"/>
    <n v="3"/>
    <n v="0"/>
    <n v="0"/>
    <n v="0"/>
    <n v="0"/>
    <n v="0"/>
    <n v="0"/>
    <m/>
    <n v="1"/>
    <n v="1"/>
    <n v="1"/>
    <n v="430"/>
    <n v="0"/>
    <n v="0"/>
    <n v="1"/>
    <n v="430"/>
    <n v="0.86"/>
    <n v="0"/>
    <n v="0"/>
    <n v="0.14000000000000001"/>
    <n v="1"/>
    <n v="14"/>
    <n v="0.69767441860465118"/>
    <n v="300"/>
    <n v="0"/>
    <n v="0"/>
    <n v="0"/>
    <n v="22"/>
    <n v="8"/>
    <n v="0.30232558139534882"/>
    <n v="0"/>
    <n v="430"/>
    <n v="0"/>
    <n v="0"/>
    <n v="0"/>
    <n v="430"/>
    <n v="1"/>
    <n v="0"/>
    <n v="1"/>
    <n v="0"/>
    <n v="0"/>
    <n v="10"/>
    <n v="83"/>
    <n v="10"/>
    <n v="430"/>
    <s v="No"/>
    <s v=""/>
    <n v="0"/>
    <n v="0"/>
    <n v="0"/>
    <n v="0"/>
    <n v="0"/>
    <n v="0"/>
    <n v="0"/>
    <s v="KMSS-MYT"/>
    <x v="0"/>
    <x v="2"/>
    <x v="0"/>
    <n v="25.383058999999999"/>
    <n v="97.014313000000001"/>
    <s v="MMR001CMP260"/>
    <x v="0"/>
    <x v="0"/>
    <s v="yes"/>
    <n v="83"/>
    <n v="433"/>
  </r>
  <r>
    <x v="0"/>
    <x v="8"/>
    <x v="6"/>
    <s v="UNICEF"/>
    <x v="1"/>
    <x v="4"/>
    <x v="0"/>
    <x v="58"/>
    <n v="72"/>
    <n v="404"/>
    <d v="2023-02-16T00:00:00"/>
    <d v="2024-02-15T00:00:00"/>
    <m/>
    <n v="2"/>
    <m/>
    <m/>
    <s v="Yes"/>
    <n v="3"/>
    <n v="3"/>
    <n v="3"/>
    <m/>
    <m/>
    <n v="1"/>
    <m/>
    <m/>
    <m/>
    <n v="1"/>
    <m/>
    <m/>
    <m/>
    <m/>
    <m/>
    <m/>
    <m/>
    <m/>
    <m/>
    <m/>
    <m/>
    <n v="4"/>
    <m/>
    <m/>
    <m/>
    <n v="20"/>
    <m/>
    <m/>
    <m/>
    <m/>
    <m/>
    <m/>
    <m/>
    <x v="1"/>
    <x v="1"/>
    <n v="1"/>
    <m/>
    <m/>
    <m/>
    <m/>
    <m/>
    <m/>
    <m/>
    <m/>
    <n v="3"/>
    <m/>
    <m/>
    <n v="2"/>
    <m/>
    <m/>
    <s v="Yes"/>
    <n v="1"/>
    <m/>
    <m/>
    <m/>
    <m/>
    <m/>
    <m/>
    <m/>
    <m/>
    <m/>
    <m/>
    <m/>
    <m/>
    <m/>
    <s v="no test"/>
    <s v="no test"/>
    <s v="No Test"/>
    <n v="3"/>
    <n v="1"/>
    <n v="1"/>
    <n v="0"/>
    <n v="0"/>
    <n v="0"/>
    <n v="0"/>
    <m/>
    <n v="1"/>
    <n v="1"/>
    <n v="1"/>
    <n v="404"/>
    <n v="0"/>
    <n v="0"/>
    <n v="1"/>
    <n v="404"/>
    <n v="0.80800000000000005"/>
    <n v="0"/>
    <n v="0"/>
    <n v="0.19199999999999995"/>
    <n v="1"/>
    <n v="20"/>
    <n v="1"/>
    <n v="404"/>
    <n v="0"/>
    <n v="0"/>
    <n v="0"/>
    <n v="20"/>
    <n v="0"/>
    <n v="0"/>
    <n v="0"/>
    <n v="404"/>
    <n v="0"/>
    <n v="0"/>
    <n v="0"/>
    <n v="404"/>
    <n v="1"/>
    <n v="0"/>
    <n v="1"/>
    <n v="0"/>
    <n v="0"/>
    <n v="0"/>
    <n v="0"/>
    <n v="4"/>
    <n v="0"/>
    <s v="No"/>
    <s v=""/>
    <n v="0"/>
    <n v="0"/>
    <n v="0"/>
    <n v="0"/>
    <n v="0"/>
    <n v="0"/>
    <s v="Yes"/>
    <s v="KMSS-MYT"/>
    <x v="0"/>
    <x v="2"/>
    <x v="1"/>
    <n v="24.461033"/>
    <n v="97.537099999999995"/>
    <s v="MMR001CMP123"/>
    <x v="0"/>
    <x v="0"/>
    <s v="yes"/>
    <n v="72"/>
    <n v="391"/>
  </r>
  <r>
    <x v="0"/>
    <x v="8"/>
    <x v="6"/>
    <s v="UNICEF"/>
    <x v="1"/>
    <x v="10"/>
    <x v="0"/>
    <x v="59"/>
    <n v="53"/>
    <n v="278"/>
    <d v="2023-02-16T00:00:00"/>
    <d v="2024-02-15T00:00:00"/>
    <m/>
    <n v="3"/>
    <m/>
    <m/>
    <s v="Yes"/>
    <n v="2"/>
    <n v="8"/>
    <n v="1"/>
    <m/>
    <m/>
    <m/>
    <m/>
    <m/>
    <m/>
    <m/>
    <m/>
    <m/>
    <m/>
    <m/>
    <m/>
    <m/>
    <m/>
    <m/>
    <m/>
    <m/>
    <m/>
    <n v="5"/>
    <m/>
    <m/>
    <m/>
    <n v="22"/>
    <m/>
    <m/>
    <m/>
    <m/>
    <m/>
    <m/>
    <m/>
    <x v="1"/>
    <x v="1"/>
    <n v="1"/>
    <m/>
    <m/>
    <m/>
    <m/>
    <m/>
    <n v="7"/>
    <m/>
    <m/>
    <n v="3"/>
    <m/>
    <m/>
    <n v="2"/>
    <m/>
    <m/>
    <s v="Yes"/>
    <n v="1"/>
    <m/>
    <m/>
    <m/>
    <m/>
    <m/>
    <m/>
    <m/>
    <m/>
    <m/>
    <m/>
    <m/>
    <m/>
    <m/>
    <s v="no test"/>
    <s v="no test"/>
    <s v="No Test"/>
    <n v="1"/>
    <n v="0"/>
    <n v="0"/>
    <n v="0"/>
    <n v="0"/>
    <n v="0"/>
    <n v="0"/>
    <m/>
    <n v="1"/>
    <n v="0.89928057553956831"/>
    <n v="1"/>
    <n v="278"/>
    <n v="0"/>
    <n v="0"/>
    <n v="1"/>
    <n v="278"/>
    <n v="0.55600000000000005"/>
    <n v="0"/>
    <n v="0"/>
    <n v="0.44399999999999995"/>
    <n v="1"/>
    <n v="22"/>
    <n v="1"/>
    <n v="278"/>
    <n v="0"/>
    <n v="0"/>
    <n v="0"/>
    <n v="14"/>
    <n v="0"/>
    <n v="0"/>
    <n v="0"/>
    <n v="278"/>
    <n v="0"/>
    <n v="0"/>
    <n v="0"/>
    <n v="278"/>
    <n v="1"/>
    <n v="0"/>
    <n v="1"/>
    <n v="0"/>
    <n v="0"/>
    <n v="7"/>
    <n v="53"/>
    <n v="5"/>
    <n v="278"/>
    <s v="No"/>
    <s v=""/>
    <n v="0"/>
    <n v="0"/>
    <n v="0"/>
    <n v="0"/>
    <n v="0"/>
    <n v="0"/>
    <s v="Yes"/>
    <s v="KMSS-MYT"/>
    <x v="0"/>
    <x v="2"/>
    <x v="0"/>
    <n v="25.403476999999999"/>
    <n v="97.373361000000003"/>
    <s v="MMR001CMP019"/>
    <x v="0"/>
    <x v="0"/>
    <s v="yes"/>
    <n v="53"/>
    <n v="279"/>
  </r>
  <r>
    <x v="0"/>
    <x v="8"/>
    <x v="6"/>
    <s v="UNICEF"/>
    <x v="1"/>
    <x v="10"/>
    <x v="0"/>
    <x v="60"/>
    <n v="18"/>
    <n v="62"/>
    <d v="2023-02-16T00:00:00"/>
    <d v="2024-02-15T00:00:00"/>
    <n v="489"/>
    <n v="2"/>
    <m/>
    <m/>
    <s v="Yes"/>
    <n v="1"/>
    <n v="2"/>
    <n v="1"/>
    <m/>
    <m/>
    <n v="1"/>
    <m/>
    <m/>
    <m/>
    <m/>
    <m/>
    <m/>
    <m/>
    <m/>
    <m/>
    <m/>
    <m/>
    <m/>
    <m/>
    <m/>
    <m/>
    <n v="4"/>
    <m/>
    <m/>
    <m/>
    <n v="4"/>
    <m/>
    <m/>
    <m/>
    <m/>
    <m/>
    <m/>
    <m/>
    <x v="1"/>
    <x v="1"/>
    <m/>
    <m/>
    <m/>
    <m/>
    <m/>
    <m/>
    <n v="2"/>
    <m/>
    <m/>
    <n v="1"/>
    <m/>
    <m/>
    <n v="1"/>
    <m/>
    <m/>
    <s v="Yes"/>
    <n v="1"/>
    <m/>
    <m/>
    <m/>
    <m/>
    <m/>
    <m/>
    <m/>
    <m/>
    <m/>
    <m/>
    <m/>
    <m/>
    <m/>
    <s v="no test"/>
    <s v="no test"/>
    <s v="No Test"/>
    <n v="1"/>
    <n v="1"/>
    <n v="0"/>
    <n v="0"/>
    <n v="0"/>
    <n v="0"/>
    <n v="0"/>
    <m/>
    <n v="1"/>
    <n v="1"/>
    <n v="1"/>
    <n v="62"/>
    <n v="0"/>
    <n v="0"/>
    <n v="1"/>
    <n v="62"/>
    <n v="0.124"/>
    <n v="0"/>
    <n v="0"/>
    <n v="0.876"/>
    <n v="1"/>
    <n v="4"/>
    <n v="1"/>
    <n v="62"/>
    <n v="0"/>
    <n v="0"/>
    <n v="0"/>
    <n v="3"/>
    <n v="0"/>
    <n v="0"/>
    <n v="0"/>
    <n v="62"/>
    <n v="0"/>
    <n v="0"/>
    <n v="0"/>
    <n v="62"/>
    <n v="1"/>
    <n v="0"/>
    <n v="1"/>
    <n v="0"/>
    <n v="0"/>
    <n v="2"/>
    <n v="18"/>
    <n v="4"/>
    <n v="62"/>
    <s v="Yes"/>
    <s v=""/>
    <n v="0"/>
    <n v="0"/>
    <n v="0"/>
    <n v="0"/>
    <n v="0"/>
    <n v="0"/>
    <n v="0"/>
    <s v="KMSS-MYT"/>
    <x v="0"/>
    <x v="2"/>
    <x v="0"/>
    <n v="25.244700000000002"/>
    <n v="97.2209"/>
    <s v="MMR001CMP256"/>
    <x v="0"/>
    <x v="0"/>
    <s v="yes"/>
    <n v="18"/>
    <n v="64"/>
  </r>
  <r>
    <x v="0"/>
    <x v="8"/>
    <x v="6"/>
    <s v="UNICEF"/>
    <x v="1"/>
    <x v="10"/>
    <x v="0"/>
    <x v="61"/>
    <n v="59"/>
    <n v="274"/>
    <d v="2023-02-16T00:00:00"/>
    <d v="2024-02-15T00:00:00"/>
    <m/>
    <n v="2"/>
    <m/>
    <m/>
    <s v="Yes"/>
    <n v="2"/>
    <n v="9"/>
    <m/>
    <m/>
    <m/>
    <n v="4"/>
    <m/>
    <m/>
    <m/>
    <m/>
    <m/>
    <m/>
    <m/>
    <m/>
    <m/>
    <m/>
    <m/>
    <m/>
    <m/>
    <m/>
    <m/>
    <n v="4"/>
    <m/>
    <m/>
    <m/>
    <n v="20"/>
    <m/>
    <m/>
    <m/>
    <m/>
    <m/>
    <m/>
    <m/>
    <x v="1"/>
    <x v="1"/>
    <n v="1"/>
    <m/>
    <m/>
    <m/>
    <m/>
    <m/>
    <n v="7"/>
    <m/>
    <m/>
    <n v="2"/>
    <m/>
    <m/>
    <n v="1"/>
    <m/>
    <m/>
    <s v="Yes"/>
    <n v="1"/>
    <m/>
    <m/>
    <m/>
    <m/>
    <m/>
    <m/>
    <m/>
    <m/>
    <m/>
    <m/>
    <m/>
    <m/>
    <m/>
    <s v="no test"/>
    <s v="no test"/>
    <s v="No Test"/>
    <n v="0"/>
    <n v="4"/>
    <n v="0"/>
    <n v="0"/>
    <n v="0"/>
    <n v="0"/>
    <n v="0"/>
    <m/>
    <n v="1"/>
    <n v="1"/>
    <n v="1"/>
    <n v="274"/>
    <n v="0"/>
    <n v="0"/>
    <n v="1"/>
    <n v="274"/>
    <n v="0.54800000000000004"/>
    <n v="0"/>
    <n v="0"/>
    <n v="0.45199999999999996"/>
    <n v="1"/>
    <n v="20"/>
    <n v="1"/>
    <n v="274"/>
    <n v="0"/>
    <n v="0"/>
    <n v="0"/>
    <n v="14"/>
    <n v="0"/>
    <n v="0"/>
    <n v="0"/>
    <n v="274"/>
    <n v="0"/>
    <n v="0"/>
    <n v="0"/>
    <n v="274"/>
    <n v="1"/>
    <n v="0"/>
    <n v="1"/>
    <n v="0"/>
    <n v="0"/>
    <n v="7"/>
    <n v="59"/>
    <n v="4"/>
    <n v="274"/>
    <s v="No"/>
    <s v=""/>
    <n v="0"/>
    <n v="0"/>
    <n v="0"/>
    <n v="0"/>
    <n v="0"/>
    <n v="0"/>
    <s v="Yes"/>
    <s v="KMSS-MYT"/>
    <x v="0"/>
    <x v="2"/>
    <x v="0"/>
    <n v="25.410569299999999"/>
    <n v="97.359320179999997"/>
    <s v="MMR001CMP024"/>
    <x v="0"/>
    <x v="0"/>
    <s v="yes"/>
    <n v="59"/>
    <n v="275"/>
  </r>
  <r>
    <x v="0"/>
    <x v="8"/>
    <x v="6"/>
    <s v="UNICEF"/>
    <x v="1"/>
    <x v="10"/>
    <x v="0"/>
    <x v="62"/>
    <n v="140"/>
    <n v="948"/>
    <d v="2023-02-16T00:00:00"/>
    <d v="2024-02-15T00:00:00"/>
    <m/>
    <n v="4"/>
    <m/>
    <m/>
    <s v="Yes"/>
    <n v="1"/>
    <n v="4"/>
    <n v="4"/>
    <m/>
    <m/>
    <n v="2"/>
    <m/>
    <m/>
    <m/>
    <n v="1"/>
    <m/>
    <m/>
    <m/>
    <m/>
    <m/>
    <m/>
    <m/>
    <m/>
    <m/>
    <m/>
    <m/>
    <n v="12"/>
    <m/>
    <m/>
    <m/>
    <n v="33"/>
    <m/>
    <m/>
    <m/>
    <m/>
    <m/>
    <m/>
    <m/>
    <x v="1"/>
    <x v="1"/>
    <n v="1"/>
    <m/>
    <m/>
    <m/>
    <m/>
    <m/>
    <n v="8"/>
    <m/>
    <m/>
    <n v="5"/>
    <m/>
    <m/>
    <n v="2"/>
    <m/>
    <m/>
    <s v="Yes"/>
    <n v="1"/>
    <m/>
    <m/>
    <m/>
    <m/>
    <m/>
    <m/>
    <m/>
    <m/>
    <m/>
    <m/>
    <m/>
    <m/>
    <m/>
    <s v="no test"/>
    <s v="no test"/>
    <s v="No Test"/>
    <n v="4"/>
    <n v="2"/>
    <n v="1"/>
    <n v="0"/>
    <n v="0"/>
    <n v="0"/>
    <n v="0"/>
    <m/>
    <n v="1"/>
    <n v="1"/>
    <n v="1"/>
    <n v="948"/>
    <n v="0"/>
    <n v="0"/>
    <n v="1"/>
    <n v="948"/>
    <n v="1.8959999999999999"/>
    <n v="0"/>
    <n v="0"/>
    <n v="0.10400000000000009"/>
    <n v="2"/>
    <n v="33"/>
    <n v="0.71729957805907174"/>
    <n v="680"/>
    <n v="0"/>
    <n v="0"/>
    <n v="0"/>
    <n v="47"/>
    <n v="14"/>
    <n v="0.28270042194092826"/>
    <n v="0"/>
    <n v="948"/>
    <n v="0"/>
    <n v="0"/>
    <n v="0"/>
    <n v="948"/>
    <n v="1"/>
    <n v="0"/>
    <n v="1"/>
    <n v="0"/>
    <n v="0"/>
    <n v="8"/>
    <n v="140"/>
    <n v="12"/>
    <n v="800"/>
    <s v="No"/>
    <s v=""/>
    <n v="0"/>
    <n v="0"/>
    <n v="0"/>
    <n v="0"/>
    <n v="0"/>
    <n v="0"/>
    <s v="Yes"/>
    <s v="KMSS-MYT"/>
    <x v="0"/>
    <x v="2"/>
    <x v="0"/>
    <n v="25.493819999999999"/>
    <n v="97.4345"/>
    <s v="MMR001CMP162"/>
    <x v="0"/>
    <x v="0"/>
    <s v="yes"/>
    <n v="141"/>
    <n v="972"/>
  </r>
  <r>
    <x v="0"/>
    <x v="8"/>
    <x v="6"/>
    <s v="UNICEF"/>
    <x v="1"/>
    <x v="10"/>
    <x v="0"/>
    <x v="63"/>
    <n v="216"/>
    <n v="1213"/>
    <d v="2023-02-16T00:00:00"/>
    <d v="2024-02-15T00:00:00"/>
    <m/>
    <n v="2"/>
    <m/>
    <m/>
    <s v="Yes"/>
    <n v="2"/>
    <n v="4"/>
    <n v="4"/>
    <m/>
    <m/>
    <m/>
    <m/>
    <m/>
    <m/>
    <m/>
    <m/>
    <m/>
    <m/>
    <m/>
    <m/>
    <m/>
    <m/>
    <m/>
    <m/>
    <m/>
    <m/>
    <m/>
    <m/>
    <m/>
    <m/>
    <n v="66"/>
    <m/>
    <m/>
    <m/>
    <m/>
    <m/>
    <m/>
    <m/>
    <x v="1"/>
    <x v="1"/>
    <n v="1"/>
    <m/>
    <m/>
    <m/>
    <m/>
    <m/>
    <n v="4"/>
    <m/>
    <n v="7"/>
    <n v="11"/>
    <m/>
    <m/>
    <n v="1"/>
    <m/>
    <m/>
    <s v="Yes"/>
    <n v="1"/>
    <m/>
    <m/>
    <m/>
    <m/>
    <m/>
    <m/>
    <m/>
    <m/>
    <m/>
    <m/>
    <m/>
    <m/>
    <m/>
    <s v="no test"/>
    <s v="no test"/>
    <s v="No Test"/>
    <n v="4"/>
    <n v="0"/>
    <n v="0"/>
    <n v="0"/>
    <n v="0"/>
    <n v="0"/>
    <n v="0"/>
    <m/>
    <n v="1"/>
    <n v="0.82440230832646333"/>
    <n v="1"/>
    <n v="1213"/>
    <n v="0"/>
    <n v="0"/>
    <n v="1"/>
    <n v="1213"/>
    <n v="2.4260000000000002"/>
    <n v="0"/>
    <n v="0"/>
    <n v="0"/>
    <n v="2"/>
    <n v="66"/>
    <n v="1"/>
    <n v="1213"/>
    <n v="0"/>
    <n v="0"/>
    <n v="0"/>
    <n v="61"/>
    <n v="0"/>
    <n v="0"/>
    <n v="0"/>
    <n v="500"/>
    <n v="0"/>
    <n v="0"/>
    <n v="0"/>
    <n v="500"/>
    <n v="0.41220115416323166"/>
    <n v="0.58779884583676834"/>
    <n v="0.41220115416323166"/>
    <n v="0"/>
    <n v="0"/>
    <n v="4"/>
    <n v="80"/>
    <n v="0"/>
    <n v="400"/>
    <s v="No"/>
    <s v=""/>
    <n v="0"/>
    <n v="0"/>
    <n v="0"/>
    <n v="0"/>
    <n v="0"/>
    <n v="0"/>
    <s v="Yes"/>
    <s v="KMSS-MYT"/>
    <x v="0"/>
    <x v="2"/>
    <x v="0"/>
    <n v="25.493819999999999"/>
    <n v="97.4345"/>
    <s v="MMR001CMP271"/>
    <x v="0"/>
    <x v="0"/>
    <s v="yes"/>
    <n v="216"/>
    <n v="1213"/>
  </r>
  <r>
    <x v="0"/>
    <x v="8"/>
    <x v="6"/>
    <s v="UNICEF"/>
    <x v="1"/>
    <x v="10"/>
    <x v="0"/>
    <x v="64"/>
    <n v="72"/>
    <n v="404"/>
    <d v="2023-02-16T00:00:00"/>
    <d v="2024-02-15T00:00:00"/>
    <m/>
    <n v="2"/>
    <m/>
    <m/>
    <s v="Yes"/>
    <n v="2"/>
    <n v="2"/>
    <m/>
    <m/>
    <m/>
    <n v="2"/>
    <m/>
    <m/>
    <m/>
    <m/>
    <m/>
    <m/>
    <m/>
    <m/>
    <m/>
    <m/>
    <m/>
    <m/>
    <m/>
    <m/>
    <m/>
    <n v="3"/>
    <m/>
    <m/>
    <m/>
    <n v="6"/>
    <m/>
    <m/>
    <m/>
    <m/>
    <m/>
    <m/>
    <m/>
    <x v="1"/>
    <x v="0"/>
    <m/>
    <m/>
    <m/>
    <m/>
    <m/>
    <m/>
    <n v="3"/>
    <m/>
    <m/>
    <n v="2"/>
    <m/>
    <m/>
    <n v="1"/>
    <m/>
    <m/>
    <s v="Yes"/>
    <m/>
    <m/>
    <m/>
    <m/>
    <m/>
    <m/>
    <m/>
    <m/>
    <m/>
    <m/>
    <m/>
    <m/>
    <m/>
    <m/>
    <s v="no test"/>
    <s v="no test"/>
    <s v="No Test"/>
    <n v="0"/>
    <n v="2"/>
    <n v="0"/>
    <n v="0"/>
    <n v="0"/>
    <n v="0"/>
    <n v="0"/>
    <m/>
    <n v="1"/>
    <n v="1"/>
    <n v="1"/>
    <n v="404"/>
    <n v="0"/>
    <n v="0"/>
    <n v="1"/>
    <n v="404"/>
    <n v="0.80800000000000005"/>
    <n v="0"/>
    <n v="0"/>
    <n v="0.19199999999999995"/>
    <n v="1"/>
    <n v="6"/>
    <n v="0.29702970297029702"/>
    <n v="120"/>
    <n v="0"/>
    <n v="0"/>
    <n v="0"/>
    <n v="20"/>
    <n v="14"/>
    <n v="0.70297029702970293"/>
    <n v="0"/>
    <n v="404"/>
    <n v="0"/>
    <n v="0"/>
    <n v="0"/>
    <n v="404"/>
    <n v="1"/>
    <n v="0"/>
    <n v="1"/>
    <n v="0"/>
    <n v="0"/>
    <n v="3"/>
    <n v="60"/>
    <n v="3"/>
    <n v="300"/>
    <s v="No"/>
    <s v=""/>
    <n v="0"/>
    <n v="0"/>
    <n v="0"/>
    <n v="0"/>
    <n v="0"/>
    <n v="0"/>
    <n v="0"/>
    <s v="uncovered"/>
    <x v="0"/>
    <x v="2"/>
    <x v="0"/>
    <n v="25.387892000000001"/>
    <n v="97.325181999999998"/>
    <s v="MMR001CMP276"/>
    <x v="0"/>
    <x v="0"/>
    <s v="yes"/>
    <n v="25"/>
    <n v="127"/>
  </r>
  <r>
    <x v="0"/>
    <x v="8"/>
    <x v="6"/>
    <s v="UNICEF"/>
    <x v="1"/>
    <x v="13"/>
    <x v="0"/>
    <x v="65"/>
    <n v="133"/>
    <n v="628"/>
    <d v="2023-02-16T00:00:00"/>
    <d v="2024-02-15T00:00:00"/>
    <m/>
    <n v="3"/>
    <m/>
    <m/>
    <s v="Yes"/>
    <n v="4"/>
    <n v="2"/>
    <n v="1"/>
    <m/>
    <m/>
    <n v="1"/>
    <m/>
    <m/>
    <m/>
    <m/>
    <m/>
    <m/>
    <m/>
    <m/>
    <m/>
    <m/>
    <m/>
    <m/>
    <m/>
    <m/>
    <m/>
    <n v="5"/>
    <m/>
    <m/>
    <m/>
    <n v="1"/>
    <m/>
    <m/>
    <m/>
    <m/>
    <m/>
    <m/>
    <m/>
    <x v="1"/>
    <x v="1"/>
    <m/>
    <m/>
    <m/>
    <m/>
    <m/>
    <m/>
    <n v="5"/>
    <m/>
    <m/>
    <n v="7"/>
    <m/>
    <m/>
    <n v="1"/>
    <m/>
    <m/>
    <s v="Yes"/>
    <n v="1"/>
    <m/>
    <s v="Hygiene kits"/>
    <m/>
    <m/>
    <m/>
    <m/>
    <m/>
    <m/>
    <m/>
    <m/>
    <m/>
    <m/>
    <m/>
    <s v="no test"/>
    <s v="no test"/>
    <s v="No Test"/>
    <n v="1"/>
    <n v="1"/>
    <n v="0"/>
    <n v="0"/>
    <n v="0"/>
    <n v="0"/>
    <n v="0"/>
    <m/>
    <n v="1"/>
    <n v="0.79617834394904463"/>
    <n v="1"/>
    <n v="628"/>
    <n v="0"/>
    <n v="0"/>
    <n v="1"/>
    <n v="628"/>
    <n v="1.256"/>
    <n v="0"/>
    <n v="0"/>
    <n v="0"/>
    <n v="1"/>
    <n v="1"/>
    <n v="3.1847133757961783E-2"/>
    <n v="20"/>
    <n v="0"/>
    <n v="0"/>
    <n v="0"/>
    <n v="31"/>
    <n v="30"/>
    <n v="0.96815286624203822"/>
    <n v="0"/>
    <n v="500"/>
    <n v="0"/>
    <n v="0"/>
    <n v="0"/>
    <n v="500"/>
    <n v="0.79617834394904463"/>
    <n v="0.20382165605095537"/>
    <n v="0.79617834394904463"/>
    <n v="0"/>
    <n v="0"/>
    <n v="5"/>
    <n v="100"/>
    <n v="5"/>
    <n v="500"/>
    <s v="No"/>
    <s v=""/>
    <n v="0"/>
    <n v="0"/>
    <n v="0"/>
    <n v="0"/>
    <n v="0"/>
    <n v="0"/>
    <s v="Yes"/>
    <s v="KMSS-MYT"/>
    <x v="0"/>
    <x v="2"/>
    <x v="0"/>
    <n v="26.350176000000001"/>
    <n v="96.711387999999999"/>
    <s v="MMR001CMP251"/>
    <x v="0"/>
    <x v="0"/>
    <s v="yes"/>
    <n v="133"/>
    <n v="628"/>
  </r>
  <r>
    <x v="0"/>
    <x v="8"/>
    <x v="6"/>
    <s v="UNICEF"/>
    <x v="1"/>
    <x v="13"/>
    <x v="0"/>
    <x v="66"/>
    <n v="36"/>
    <n v="174"/>
    <d v="2023-02-16T00:00:00"/>
    <d v="2024-02-15T00:00:00"/>
    <m/>
    <n v="1"/>
    <m/>
    <m/>
    <s v="Yes"/>
    <n v="4"/>
    <n v="1"/>
    <m/>
    <m/>
    <m/>
    <n v="2"/>
    <m/>
    <m/>
    <m/>
    <m/>
    <m/>
    <m/>
    <m/>
    <m/>
    <m/>
    <m/>
    <m/>
    <m/>
    <m/>
    <m/>
    <m/>
    <n v="5"/>
    <m/>
    <m/>
    <m/>
    <n v="2"/>
    <m/>
    <m/>
    <m/>
    <m/>
    <m/>
    <m/>
    <m/>
    <x v="1"/>
    <x v="0"/>
    <m/>
    <m/>
    <m/>
    <m/>
    <m/>
    <m/>
    <n v="7"/>
    <m/>
    <n v="2"/>
    <n v="2"/>
    <m/>
    <m/>
    <n v="1"/>
    <m/>
    <m/>
    <s v="Yes"/>
    <n v="1"/>
    <m/>
    <s v="Hygiene kits"/>
    <m/>
    <m/>
    <m/>
    <m/>
    <m/>
    <m/>
    <m/>
    <m/>
    <m/>
    <m/>
    <m/>
    <s v="no test"/>
    <s v="no test"/>
    <s v="No Test"/>
    <n v="0"/>
    <n v="2"/>
    <n v="0"/>
    <n v="0"/>
    <n v="0"/>
    <n v="0"/>
    <n v="0"/>
    <m/>
    <n v="1"/>
    <n v="1"/>
    <n v="1"/>
    <n v="174"/>
    <n v="0"/>
    <n v="0"/>
    <n v="1"/>
    <n v="174"/>
    <n v="0.34799999999999998"/>
    <n v="0"/>
    <n v="0"/>
    <n v="0.65200000000000002"/>
    <n v="1"/>
    <n v="2"/>
    <n v="0.22988505747126436"/>
    <n v="40"/>
    <n v="0"/>
    <n v="0"/>
    <n v="0"/>
    <n v="9"/>
    <n v="7"/>
    <n v="0.77011494252873569"/>
    <n v="0"/>
    <n v="174"/>
    <n v="0"/>
    <n v="0"/>
    <n v="0"/>
    <n v="174"/>
    <n v="1"/>
    <n v="0"/>
    <n v="1"/>
    <n v="0"/>
    <n v="0"/>
    <n v="7"/>
    <n v="36"/>
    <n v="5"/>
    <n v="174"/>
    <s v="No"/>
    <s v=""/>
    <n v="0"/>
    <n v="0"/>
    <n v="0"/>
    <n v="0"/>
    <n v="0"/>
    <n v="0"/>
    <s v="Yes"/>
    <s v="KMSS-MYT"/>
    <x v="0"/>
    <x v="2"/>
    <x v="0"/>
    <n v="26.351690999999999"/>
    <n v="96.690871999999999"/>
    <s v="MMR001CMP254"/>
    <x v="0"/>
    <x v="0"/>
    <s v="yes"/>
    <n v="37"/>
    <n v="175"/>
  </r>
  <r>
    <x v="0"/>
    <x v="8"/>
    <x v="6"/>
    <s v="UNICEF"/>
    <x v="1"/>
    <x v="14"/>
    <x v="0"/>
    <x v="67"/>
    <n v="115"/>
    <n v="405"/>
    <d v="2023-02-16T00:00:00"/>
    <d v="2024-02-15T00:00:00"/>
    <m/>
    <n v="3"/>
    <m/>
    <m/>
    <s v="Yes"/>
    <n v="4"/>
    <n v="3"/>
    <n v="3"/>
    <m/>
    <m/>
    <n v="2"/>
    <m/>
    <m/>
    <m/>
    <n v="1"/>
    <m/>
    <m/>
    <m/>
    <m/>
    <m/>
    <m/>
    <m/>
    <m/>
    <m/>
    <m/>
    <m/>
    <n v="4"/>
    <m/>
    <m/>
    <m/>
    <n v="90"/>
    <m/>
    <m/>
    <m/>
    <m/>
    <m/>
    <m/>
    <m/>
    <x v="1"/>
    <x v="1"/>
    <m/>
    <m/>
    <m/>
    <m/>
    <m/>
    <m/>
    <n v="2"/>
    <m/>
    <m/>
    <n v="3"/>
    <m/>
    <m/>
    <n v="2"/>
    <m/>
    <m/>
    <s v="Yes"/>
    <n v="1"/>
    <m/>
    <s v="Hygiene kits"/>
    <m/>
    <m/>
    <m/>
    <m/>
    <m/>
    <m/>
    <m/>
    <m/>
    <m/>
    <m/>
    <m/>
    <s v="no test"/>
    <s v="no test"/>
    <s v="No Test"/>
    <n v="3"/>
    <n v="2"/>
    <n v="1"/>
    <n v="0"/>
    <n v="0"/>
    <n v="0"/>
    <n v="0"/>
    <m/>
    <n v="1"/>
    <n v="1"/>
    <n v="1"/>
    <n v="405"/>
    <n v="0"/>
    <n v="0"/>
    <n v="1"/>
    <n v="405"/>
    <n v="0.81"/>
    <n v="0"/>
    <n v="0"/>
    <n v="0.18999999999999995"/>
    <n v="1"/>
    <n v="90"/>
    <n v="1"/>
    <n v="405"/>
    <n v="0"/>
    <n v="0"/>
    <n v="0"/>
    <n v="20"/>
    <n v="0"/>
    <n v="0"/>
    <n v="0"/>
    <n v="405"/>
    <n v="0"/>
    <n v="0"/>
    <n v="0"/>
    <n v="405"/>
    <n v="1"/>
    <n v="0"/>
    <n v="1"/>
    <n v="0"/>
    <n v="0"/>
    <n v="2"/>
    <n v="40"/>
    <n v="4"/>
    <n v="200"/>
    <s v="No"/>
    <s v=""/>
    <n v="0"/>
    <n v="0"/>
    <n v="0"/>
    <n v="0"/>
    <n v="0"/>
    <n v="0"/>
    <s v="Yes"/>
    <s v="KMSS-MYT"/>
    <x v="0"/>
    <x v="2"/>
    <x v="1"/>
    <n v="25.220278"/>
    <n v="97.915833000000006"/>
    <s v="MMR001CMP113"/>
    <x v="0"/>
    <x v="0"/>
    <s v="yes"/>
    <n v="48"/>
    <n v="258"/>
  </r>
  <r>
    <x v="0"/>
    <x v="8"/>
    <x v="6"/>
    <s v="UNICEF"/>
    <x v="1"/>
    <x v="14"/>
    <x v="0"/>
    <x v="68"/>
    <n v="216"/>
    <n v="1189"/>
    <d v="2023-02-16T00:00:00"/>
    <d v="2024-02-15T00:00:00"/>
    <m/>
    <n v="5"/>
    <m/>
    <m/>
    <s v="Yes"/>
    <n v="4"/>
    <n v="3"/>
    <n v="11"/>
    <m/>
    <m/>
    <m/>
    <m/>
    <m/>
    <m/>
    <m/>
    <m/>
    <m/>
    <m/>
    <m/>
    <m/>
    <m/>
    <m/>
    <m/>
    <m/>
    <m/>
    <m/>
    <n v="5"/>
    <m/>
    <m/>
    <m/>
    <n v="97"/>
    <m/>
    <m/>
    <m/>
    <m/>
    <m/>
    <m/>
    <m/>
    <x v="1"/>
    <x v="1"/>
    <m/>
    <m/>
    <m/>
    <m/>
    <m/>
    <m/>
    <n v="1"/>
    <m/>
    <m/>
    <n v="4"/>
    <m/>
    <m/>
    <n v="2"/>
    <m/>
    <m/>
    <s v="Yes"/>
    <n v="1"/>
    <m/>
    <s v="Hygiene kits"/>
    <m/>
    <m/>
    <m/>
    <m/>
    <m/>
    <m/>
    <m/>
    <m/>
    <m/>
    <m/>
    <m/>
    <s v="no test"/>
    <s v="no test"/>
    <s v="No Test"/>
    <n v="11"/>
    <n v="0"/>
    <n v="0"/>
    <n v="0"/>
    <n v="0"/>
    <n v="0"/>
    <n v="0"/>
    <m/>
    <n v="1"/>
    <n v="1"/>
    <n v="1"/>
    <n v="1189"/>
    <n v="0"/>
    <n v="0"/>
    <n v="1"/>
    <n v="1189"/>
    <n v="2.3780000000000001"/>
    <n v="0"/>
    <n v="0"/>
    <n v="0"/>
    <n v="2"/>
    <n v="97"/>
    <n v="1"/>
    <n v="1189"/>
    <n v="0"/>
    <n v="0"/>
    <n v="0"/>
    <n v="59"/>
    <n v="0"/>
    <n v="0"/>
    <n v="0"/>
    <n v="1000"/>
    <n v="0"/>
    <n v="0"/>
    <n v="0"/>
    <n v="1000"/>
    <n v="0.84104289318755254"/>
    <n v="0.15895710681244746"/>
    <n v="0.84104289318755254"/>
    <n v="0"/>
    <n v="0"/>
    <n v="1"/>
    <n v="20"/>
    <n v="5"/>
    <n v="100"/>
    <s v="No"/>
    <s v=""/>
    <n v="0"/>
    <n v="0"/>
    <n v="0"/>
    <n v="0"/>
    <n v="0"/>
    <n v="0"/>
    <s v="Yes"/>
    <s v="KMSS-MYT"/>
    <x v="0"/>
    <x v="2"/>
    <x v="0"/>
    <n v="25.415667500000001"/>
    <n v="97.437782499999997"/>
    <s v="MMR001CMP029"/>
    <x v="0"/>
    <x v="0"/>
    <s v="yes"/>
    <n v="214"/>
    <n v="1245"/>
  </r>
  <r>
    <x v="0"/>
    <x v="8"/>
    <x v="6"/>
    <s v="UNICEF"/>
    <x v="1"/>
    <x v="14"/>
    <x v="0"/>
    <x v="69"/>
    <n v="57"/>
    <n v="344"/>
    <d v="2021-08-06T00:00:00"/>
    <d v="2022-08-05T00:00:00"/>
    <m/>
    <n v="3"/>
    <m/>
    <m/>
    <s v="Yes"/>
    <n v="3"/>
    <n v="4"/>
    <n v="2"/>
    <m/>
    <m/>
    <n v="1"/>
    <m/>
    <m/>
    <m/>
    <n v="1"/>
    <m/>
    <m/>
    <m/>
    <m/>
    <m/>
    <m/>
    <m/>
    <m/>
    <m/>
    <m/>
    <m/>
    <n v="4"/>
    <m/>
    <m/>
    <m/>
    <n v="98"/>
    <m/>
    <m/>
    <m/>
    <m/>
    <m/>
    <m/>
    <m/>
    <x v="1"/>
    <x v="1"/>
    <n v="3"/>
    <m/>
    <m/>
    <m/>
    <m/>
    <m/>
    <n v="1"/>
    <m/>
    <m/>
    <n v="4"/>
    <m/>
    <m/>
    <n v="1"/>
    <m/>
    <m/>
    <s v="Yes"/>
    <m/>
    <m/>
    <m/>
    <m/>
    <m/>
    <m/>
    <m/>
    <m/>
    <m/>
    <m/>
    <m/>
    <m/>
    <m/>
    <m/>
    <s v="no test"/>
    <s v="no test"/>
    <s v="No Test"/>
    <n v="2"/>
    <n v="1"/>
    <n v="1"/>
    <n v="0"/>
    <n v="0"/>
    <n v="0"/>
    <n v="0"/>
    <m/>
    <n v="1"/>
    <n v="1"/>
    <n v="1"/>
    <n v="344"/>
    <n v="0"/>
    <n v="0"/>
    <n v="1"/>
    <n v="344"/>
    <n v="0.68799999999999994"/>
    <n v="0"/>
    <n v="0"/>
    <n v="0.31200000000000006"/>
    <n v="1"/>
    <n v="98"/>
    <n v="1"/>
    <n v="344"/>
    <n v="0"/>
    <n v="0"/>
    <n v="0"/>
    <n v="17"/>
    <n v="0"/>
    <n v="0"/>
    <n v="0"/>
    <n v="344"/>
    <n v="0"/>
    <n v="0"/>
    <n v="0"/>
    <n v="344"/>
    <n v="1"/>
    <n v="0"/>
    <n v="1"/>
    <n v="0"/>
    <n v="0"/>
    <n v="1"/>
    <n v="20"/>
    <n v="4"/>
    <n v="100"/>
    <s v="No"/>
    <s v=""/>
    <n v="0"/>
    <n v="0"/>
    <n v="0"/>
    <n v="0"/>
    <n v="0"/>
    <n v="0"/>
    <n v="0"/>
    <n v="0"/>
    <x v="0"/>
    <x v="1"/>
    <x v="0"/>
    <n v="25.428995"/>
    <n v="97.957487999999998"/>
    <s v="MMR001CMP279"/>
    <x v="0"/>
    <x v="0"/>
    <s v="yes"/>
    <n v="38"/>
    <n v="222"/>
  </r>
  <r>
    <x v="0"/>
    <x v="9"/>
    <x v="7"/>
    <s v="USAID/HOPE-94"/>
    <x v="1"/>
    <x v="15"/>
    <x v="0"/>
    <x v="70"/>
    <n v="36"/>
    <n v="222"/>
    <s v="13-8-2021, 6-1-2020"/>
    <s v="30-6-2022, 30.4.2021"/>
    <m/>
    <m/>
    <m/>
    <m/>
    <s v="Yes"/>
    <n v="1"/>
    <n v="1"/>
    <n v="1"/>
    <m/>
    <m/>
    <n v="1"/>
    <m/>
    <m/>
    <m/>
    <m/>
    <m/>
    <m/>
    <m/>
    <m/>
    <m/>
    <n v="1"/>
    <m/>
    <m/>
    <m/>
    <m/>
    <m/>
    <m/>
    <m/>
    <m/>
    <m/>
    <n v="2"/>
    <m/>
    <m/>
    <m/>
    <m/>
    <m/>
    <m/>
    <m/>
    <x v="1"/>
    <x v="1"/>
    <m/>
    <m/>
    <m/>
    <m/>
    <m/>
    <m/>
    <m/>
    <m/>
    <n v="3"/>
    <m/>
    <m/>
    <m/>
    <m/>
    <m/>
    <m/>
    <m/>
    <m/>
    <m/>
    <m/>
    <m/>
    <m/>
    <m/>
    <m/>
    <m/>
    <m/>
    <m/>
    <m/>
    <m/>
    <m/>
    <m/>
    <s v="no test"/>
    <s v="no test"/>
    <s v="No Test"/>
    <n v="1"/>
    <n v="1"/>
    <n v="0"/>
    <n v="0"/>
    <n v="0"/>
    <n v="0"/>
    <n v="0"/>
    <m/>
    <n v="1"/>
    <n v="1"/>
    <n v="1"/>
    <n v="222"/>
    <n v="0"/>
    <n v="0"/>
    <n v="1"/>
    <n v="222"/>
    <n v="0.44400000000000001"/>
    <n v="0"/>
    <n v="0"/>
    <n v="0.55600000000000005"/>
    <n v="1"/>
    <n v="2"/>
    <n v="0.18018018018018017"/>
    <n v="40"/>
    <n v="0"/>
    <n v="0"/>
    <n v="0"/>
    <n v="11"/>
    <n v="9"/>
    <n v="0.81981981981981988"/>
    <n v="0"/>
    <n v="0"/>
    <n v="0"/>
    <n v="0"/>
    <n v="0"/>
    <n v="0"/>
    <n v="0"/>
    <n v="1"/>
    <n v="0"/>
    <n v="0"/>
    <n v="0"/>
    <n v="0"/>
    <n v="0"/>
    <n v="0"/>
    <n v="0"/>
    <s v="No"/>
    <s v=""/>
    <n v="0"/>
    <n v="0"/>
    <n v="0"/>
    <n v="0"/>
    <n v="0"/>
    <n v="0"/>
    <s v="Yes"/>
    <s v="KBC-BMO"/>
    <x v="0"/>
    <x v="2"/>
    <x v="0"/>
    <n v="24.260466999999998"/>
    <n v="97.252650000000003"/>
    <s v="MMR001CMP194"/>
    <x v="0"/>
    <x v="0"/>
    <s v="yes"/>
    <n v="5"/>
    <n v="23"/>
  </r>
  <r>
    <x v="0"/>
    <x v="9"/>
    <x v="7"/>
    <s v="ECHO 2739"/>
    <x v="1"/>
    <x v="15"/>
    <x v="0"/>
    <x v="71"/>
    <n v="38"/>
    <n v="226"/>
    <m/>
    <m/>
    <m/>
    <m/>
    <m/>
    <m/>
    <s v="Yes"/>
    <m/>
    <n v="5"/>
    <m/>
    <m/>
    <m/>
    <n v="2"/>
    <m/>
    <m/>
    <m/>
    <m/>
    <m/>
    <m/>
    <m/>
    <m/>
    <m/>
    <n v="1"/>
    <m/>
    <m/>
    <m/>
    <m/>
    <m/>
    <m/>
    <m/>
    <m/>
    <m/>
    <n v="11"/>
    <m/>
    <m/>
    <m/>
    <m/>
    <m/>
    <m/>
    <m/>
    <x v="1"/>
    <x v="1"/>
    <m/>
    <m/>
    <m/>
    <m/>
    <m/>
    <m/>
    <m/>
    <m/>
    <m/>
    <n v="2"/>
    <m/>
    <m/>
    <m/>
    <m/>
    <m/>
    <m/>
    <m/>
    <m/>
    <m/>
    <m/>
    <m/>
    <m/>
    <m/>
    <m/>
    <m/>
    <m/>
    <m/>
    <m/>
    <m/>
    <m/>
    <s v="no test"/>
    <s v="no test"/>
    <s v="No Test"/>
    <n v="0"/>
    <n v="2"/>
    <n v="0"/>
    <n v="0"/>
    <n v="0"/>
    <n v="0"/>
    <n v="0"/>
    <m/>
    <n v="1"/>
    <n v="1"/>
    <n v="1"/>
    <n v="226"/>
    <n v="0"/>
    <n v="0"/>
    <n v="1"/>
    <n v="226"/>
    <n v="0.45200000000000001"/>
    <n v="0"/>
    <n v="0"/>
    <n v="0.54800000000000004"/>
    <n v="1"/>
    <n v="11"/>
    <n v="0.97345132743362828"/>
    <n v="220"/>
    <n v="0"/>
    <n v="0"/>
    <n v="0"/>
    <n v="11"/>
    <n v="0"/>
    <n v="2.6548672566371723E-2"/>
    <n v="0"/>
    <n v="0"/>
    <n v="0"/>
    <n v="0"/>
    <n v="0"/>
    <n v="0"/>
    <n v="0"/>
    <n v="1"/>
    <n v="0"/>
    <n v="0"/>
    <n v="0"/>
    <n v="0"/>
    <n v="0"/>
    <n v="0"/>
    <n v="0"/>
    <s v="No"/>
    <s v=""/>
    <n v="0"/>
    <n v="0"/>
    <n v="0"/>
    <n v="0"/>
    <n v="0"/>
    <n v="0"/>
    <s v="Yes"/>
    <s v="KBC-BMO"/>
    <x v="0"/>
    <x v="2"/>
    <x v="0"/>
    <n v="24.24766"/>
    <n v="97.236919999999998"/>
    <s v="MMR001CMP052"/>
    <x v="0"/>
    <x v="0"/>
    <s v="yes"/>
    <n v="39"/>
    <n v="229"/>
  </r>
  <r>
    <x v="0"/>
    <x v="9"/>
    <x v="7"/>
    <s v="USAID/HOPE-94"/>
    <x v="1"/>
    <x v="15"/>
    <x v="0"/>
    <x v="72"/>
    <n v="65"/>
    <n v="334"/>
    <s v="13-8-2021, 6-1-2020"/>
    <s v="30-6-2022, 30.4.2021"/>
    <m/>
    <m/>
    <m/>
    <m/>
    <s v="Yes"/>
    <n v="2"/>
    <n v="4"/>
    <n v="1"/>
    <m/>
    <m/>
    <n v="2"/>
    <m/>
    <m/>
    <m/>
    <m/>
    <m/>
    <m/>
    <m/>
    <m/>
    <m/>
    <n v="1"/>
    <m/>
    <m/>
    <m/>
    <m/>
    <m/>
    <m/>
    <m/>
    <m/>
    <m/>
    <n v="33"/>
    <m/>
    <m/>
    <m/>
    <m/>
    <m/>
    <m/>
    <m/>
    <x v="1"/>
    <x v="1"/>
    <m/>
    <m/>
    <m/>
    <m/>
    <m/>
    <m/>
    <n v="19"/>
    <m/>
    <m/>
    <n v="7"/>
    <m/>
    <m/>
    <m/>
    <m/>
    <m/>
    <m/>
    <m/>
    <m/>
    <m/>
    <m/>
    <m/>
    <m/>
    <m/>
    <m/>
    <m/>
    <m/>
    <m/>
    <m/>
    <m/>
    <m/>
    <s v="no test"/>
    <s v="no test"/>
    <s v="No Test"/>
    <n v="1"/>
    <n v="2"/>
    <n v="0"/>
    <n v="0"/>
    <n v="0"/>
    <n v="0"/>
    <n v="0"/>
    <m/>
    <n v="1"/>
    <n v="1"/>
    <n v="1"/>
    <n v="334"/>
    <n v="0"/>
    <n v="0"/>
    <n v="1"/>
    <n v="334"/>
    <n v="0.66800000000000004"/>
    <n v="0"/>
    <n v="0"/>
    <n v="0.33199999999999996"/>
    <n v="1"/>
    <n v="33"/>
    <n v="1"/>
    <n v="334"/>
    <n v="0"/>
    <n v="0"/>
    <n v="0"/>
    <n v="17"/>
    <n v="0"/>
    <n v="0"/>
    <n v="0"/>
    <n v="0"/>
    <n v="0"/>
    <n v="0"/>
    <n v="0"/>
    <n v="0"/>
    <n v="0"/>
    <n v="1"/>
    <n v="0"/>
    <n v="0"/>
    <n v="0"/>
    <n v="19"/>
    <n v="65"/>
    <n v="0"/>
    <n v="334"/>
    <s v="No"/>
    <s v=""/>
    <n v="0"/>
    <n v="0"/>
    <n v="0"/>
    <n v="0"/>
    <n v="0"/>
    <n v="0"/>
    <s v="Yes"/>
    <s v="KBC-BMO"/>
    <x v="0"/>
    <x v="2"/>
    <x v="0"/>
    <n v="24.222349999999999"/>
    <n v="97.252650000000003"/>
    <s v="MMR001CMP193"/>
    <x v="0"/>
    <x v="0"/>
    <s v="yes"/>
    <n v="58"/>
    <n v="314"/>
  </r>
  <r>
    <x v="0"/>
    <x v="9"/>
    <x v="7"/>
    <s v="UNICEF, USAID"/>
    <x v="1"/>
    <x v="7"/>
    <x v="0"/>
    <x v="73"/>
    <n v="155"/>
    <n v="655"/>
    <s v="8/6/2021,11-11-2021"/>
    <s v="8/5/2022, 12-31-22"/>
    <m/>
    <n v="2"/>
    <m/>
    <m/>
    <s v="Yes"/>
    <n v="4"/>
    <n v="3"/>
    <n v="2"/>
    <m/>
    <m/>
    <m/>
    <n v="1"/>
    <m/>
    <m/>
    <n v="1"/>
    <m/>
    <m/>
    <m/>
    <m/>
    <m/>
    <m/>
    <m/>
    <m/>
    <m/>
    <m/>
    <m/>
    <m/>
    <m/>
    <m/>
    <m/>
    <n v="18"/>
    <m/>
    <m/>
    <m/>
    <m/>
    <m/>
    <m/>
    <m/>
    <x v="2"/>
    <x v="2"/>
    <m/>
    <m/>
    <m/>
    <m/>
    <m/>
    <m/>
    <n v="3"/>
    <m/>
    <m/>
    <n v="2"/>
    <m/>
    <m/>
    <n v="1"/>
    <m/>
    <m/>
    <s v="Yes"/>
    <m/>
    <m/>
    <m/>
    <m/>
    <m/>
    <m/>
    <m/>
    <m/>
    <m/>
    <m/>
    <m/>
    <m/>
    <m/>
    <m/>
    <s v="no test"/>
    <s v="no test"/>
    <s v="No Test"/>
    <n v="2"/>
    <n v="1"/>
    <n v="1"/>
    <n v="0"/>
    <n v="0"/>
    <n v="0"/>
    <n v="0"/>
    <m/>
    <n v="1"/>
    <n v="1"/>
    <n v="1"/>
    <n v="655"/>
    <n v="0"/>
    <n v="0"/>
    <n v="1"/>
    <n v="655"/>
    <n v="1.31"/>
    <n v="0"/>
    <n v="0"/>
    <n v="0"/>
    <n v="1"/>
    <n v="18"/>
    <n v="0.54961832061068705"/>
    <n v="360"/>
    <n v="0"/>
    <n v="0"/>
    <n v="0"/>
    <n v="33"/>
    <n v="15"/>
    <n v="0.45038167938931295"/>
    <n v="0"/>
    <n v="500"/>
    <n v="0"/>
    <n v="0"/>
    <n v="0"/>
    <n v="500"/>
    <n v="0.76335877862595425"/>
    <n v="0.23664122137404575"/>
    <n v="0.76335877862595425"/>
    <n v="0"/>
    <n v="0"/>
    <n v="3"/>
    <n v="60"/>
    <n v="0"/>
    <n v="300"/>
    <s v="No"/>
    <s v=""/>
    <n v="0"/>
    <n v="0"/>
    <n v="0"/>
    <n v="0"/>
    <n v="0"/>
    <n v="0"/>
    <s v="Yes"/>
    <s v="KBC-NSS"/>
    <x v="0"/>
    <x v="2"/>
    <x v="0"/>
    <n v="23.83013"/>
    <n v="97.589979999999997"/>
    <s v="MMR001CMP133"/>
    <x v="0"/>
    <x v="0"/>
    <s v="yes"/>
    <n v="138"/>
    <n v="633"/>
  </r>
  <r>
    <x v="0"/>
    <x v="9"/>
    <x v="7"/>
    <s v="UNICEF, USAID"/>
    <x v="1"/>
    <x v="7"/>
    <x v="0"/>
    <x v="74"/>
    <n v="119"/>
    <n v="538"/>
    <s v="8/6/2021,11-11-2021"/>
    <s v="8/5/2022, 12-31-22"/>
    <m/>
    <n v="2"/>
    <m/>
    <m/>
    <s v="Yes"/>
    <n v="3"/>
    <n v="4"/>
    <n v="3"/>
    <m/>
    <m/>
    <m/>
    <n v="2"/>
    <m/>
    <m/>
    <n v="1"/>
    <m/>
    <m/>
    <m/>
    <m/>
    <m/>
    <m/>
    <m/>
    <m/>
    <m/>
    <m/>
    <m/>
    <m/>
    <m/>
    <m/>
    <m/>
    <n v="29"/>
    <m/>
    <m/>
    <m/>
    <m/>
    <m/>
    <m/>
    <m/>
    <x v="2"/>
    <x v="2"/>
    <m/>
    <m/>
    <m/>
    <m/>
    <m/>
    <m/>
    <n v="3"/>
    <m/>
    <m/>
    <n v="2"/>
    <m/>
    <m/>
    <n v="2"/>
    <m/>
    <m/>
    <s v="Yes"/>
    <m/>
    <m/>
    <m/>
    <m/>
    <m/>
    <m/>
    <m/>
    <m/>
    <m/>
    <m/>
    <m/>
    <m/>
    <m/>
    <m/>
    <s v="no test"/>
    <s v="no test"/>
    <s v="No Test"/>
    <n v="3"/>
    <n v="2"/>
    <n v="1"/>
    <n v="0"/>
    <n v="0"/>
    <n v="0"/>
    <n v="0"/>
    <m/>
    <n v="1"/>
    <n v="1"/>
    <n v="1"/>
    <n v="538"/>
    <n v="0"/>
    <n v="0"/>
    <n v="1"/>
    <n v="538"/>
    <n v="1.0760000000000001"/>
    <n v="0"/>
    <n v="0"/>
    <n v="0"/>
    <n v="1"/>
    <n v="29"/>
    <n v="1"/>
    <n v="538"/>
    <n v="0"/>
    <n v="0"/>
    <n v="0"/>
    <n v="27"/>
    <n v="0"/>
    <n v="0"/>
    <n v="0"/>
    <n v="538"/>
    <n v="0"/>
    <n v="0"/>
    <n v="0"/>
    <n v="538"/>
    <n v="1"/>
    <n v="0"/>
    <n v="1"/>
    <n v="0"/>
    <n v="0"/>
    <n v="3"/>
    <n v="60"/>
    <n v="0"/>
    <n v="300"/>
    <s v="No"/>
    <s v=""/>
    <n v="0"/>
    <n v="0"/>
    <n v="0"/>
    <n v="0"/>
    <n v="0"/>
    <n v="0"/>
    <s v="Yes"/>
    <s v="KBC-NSS"/>
    <x v="0"/>
    <x v="2"/>
    <x v="0"/>
    <n v="23.829599000000002"/>
    <n v="97.590767"/>
    <s v="MMR001CMP230"/>
    <x v="0"/>
    <x v="0"/>
    <s v="yes"/>
    <n v="150"/>
    <n v="655"/>
  </r>
  <r>
    <x v="0"/>
    <x v="9"/>
    <x v="7"/>
    <s v="UNICEF, USAID"/>
    <x v="1"/>
    <x v="7"/>
    <x v="0"/>
    <x v="75"/>
    <n v="454"/>
    <n v="2354"/>
    <s v="8/1/2021, 11-11-2021"/>
    <s v="31-12-22"/>
    <m/>
    <n v="3"/>
    <m/>
    <m/>
    <s v="Yes"/>
    <n v="4"/>
    <n v="3"/>
    <n v="2"/>
    <m/>
    <m/>
    <m/>
    <n v="1"/>
    <m/>
    <m/>
    <n v="1"/>
    <m/>
    <m/>
    <m/>
    <m/>
    <m/>
    <m/>
    <m/>
    <m/>
    <m/>
    <m/>
    <m/>
    <m/>
    <m/>
    <m/>
    <m/>
    <n v="147"/>
    <m/>
    <m/>
    <m/>
    <m/>
    <m/>
    <m/>
    <m/>
    <x v="2"/>
    <x v="2"/>
    <m/>
    <m/>
    <m/>
    <m/>
    <m/>
    <m/>
    <n v="1"/>
    <m/>
    <m/>
    <n v="3"/>
    <m/>
    <m/>
    <n v="1"/>
    <m/>
    <m/>
    <s v="Yes"/>
    <m/>
    <m/>
    <m/>
    <m/>
    <m/>
    <m/>
    <m/>
    <m/>
    <m/>
    <m/>
    <m/>
    <m/>
    <m/>
    <m/>
    <s v="no test"/>
    <s v="no test"/>
    <s v="No Test"/>
    <n v="2"/>
    <n v="1"/>
    <n v="1"/>
    <n v="0"/>
    <n v="0"/>
    <n v="0"/>
    <n v="0"/>
    <m/>
    <n v="0.5805720758991787"/>
    <n v="0.34692721608609456"/>
    <n v="0.5805720758991787"/>
    <n v="1366.6666666666667"/>
    <n v="0"/>
    <n v="0"/>
    <n v="0.5805720758991787"/>
    <n v="1366.6666666666667"/>
    <n v="2.7333333333333334"/>
    <n v="0.4194279241008213"/>
    <n v="987.33333333333337"/>
    <n v="2.2666666666666666"/>
    <n v="5"/>
    <n v="147"/>
    <n v="1"/>
    <n v="2354"/>
    <n v="0"/>
    <n v="0"/>
    <n v="0"/>
    <n v="118"/>
    <n v="0"/>
    <n v="0"/>
    <n v="0"/>
    <n v="500"/>
    <n v="0"/>
    <n v="0"/>
    <n v="0"/>
    <n v="500"/>
    <n v="0.21240441801189464"/>
    <n v="0.78759558198810531"/>
    <n v="0.21240441801189464"/>
    <n v="0"/>
    <n v="0"/>
    <n v="1"/>
    <n v="20"/>
    <n v="0"/>
    <n v="100"/>
    <s v="No"/>
    <s v=""/>
    <n v="0"/>
    <n v="0"/>
    <n v="0"/>
    <n v="0"/>
    <n v="0"/>
    <n v="0"/>
    <s v="Yes"/>
    <s v="KMSS-BMO"/>
    <x v="0"/>
    <x v="2"/>
    <x v="0"/>
    <n v="23.835319999999999"/>
    <n v="97.578490000000002"/>
    <s v="MMR001CMP132"/>
    <x v="0"/>
    <x v="0"/>
    <s v="yes"/>
    <n v="625"/>
    <n v="3397"/>
  </r>
  <r>
    <x v="0"/>
    <x v="9"/>
    <x v="7"/>
    <s v="UNICEF, USAID"/>
    <x v="1"/>
    <x v="7"/>
    <x v="0"/>
    <x v="76"/>
    <n v="142"/>
    <n v="737"/>
    <d v="2021-11-11T00:00:00"/>
    <s v="31-12-22"/>
    <m/>
    <n v="3"/>
    <m/>
    <m/>
    <s v="Yes"/>
    <n v="3"/>
    <n v="4"/>
    <n v="1"/>
    <m/>
    <m/>
    <m/>
    <n v="1"/>
    <m/>
    <m/>
    <n v="1"/>
    <m/>
    <m/>
    <m/>
    <m/>
    <m/>
    <m/>
    <m/>
    <m/>
    <m/>
    <m/>
    <m/>
    <m/>
    <m/>
    <m/>
    <m/>
    <n v="48"/>
    <m/>
    <m/>
    <m/>
    <m/>
    <m/>
    <m/>
    <m/>
    <x v="2"/>
    <x v="2"/>
    <m/>
    <m/>
    <m/>
    <m/>
    <m/>
    <m/>
    <n v="1"/>
    <m/>
    <m/>
    <n v="1"/>
    <m/>
    <m/>
    <n v="2"/>
    <m/>
    <m/>
    <s v="Yes"/>
    <m/>
    <m/>
    <m/>
    <m/>
    <m/>
    <m/>
    <m/>
    <m/>
    <m/>
    <m/>
    <m/>
    <m/>
    <m/>
    <m/>
    <s v="no test"/>
    <s v="no test"/>
    <s v="No Test"/>
    <n v="1"/>
    <n v="1"/>
    <n v="1"/>
    <n v="0"/>
    <n v="0"/>
    <n v="0"/>
    <n v="0"/>
    <m/>
    <n v="1"/>
    <n v="0.76888285843509718"/>
    <n v="1"/>
    <n v="737"/>
    <n v="0"/>
    <n v="0"/>
    <n v="1"/>
    <n v="737"/>
    <n v="1.474"/>
    <n v="0"/>
    <n v="0"/>
    <n v="0"/>
    <n v="1"/>
    <n v="48"/>
    <n v="1"/>
    <n v="737"/>
    <n v="0"/>
    <n v="0"/>
    <n v="0"/>
    <n v="37"/>
    <n v="0"/>
    <n v="0"/>
    <n v="0"/>
    <n v="737"/>
    <n v="0"/>
    <n v="0"/>
    <n v="0"/>
    <n v="737"/>
    <n v="1"/>
    <n v="0"/>
    <n v="1"/>
    <n v="0"/>
    <n v="0"/>
    <n v="1"/>
    <n v="20"/>
    <n v="0"/>
    <n v="100"/>
    <s v="No"/>
    <s v=""/>
    <n v="0"/>
    <n v="0"/>
    <n v="0"/>
    <n v="0"/>
    <n v="0"/>
    <n v="0"/>
    <s v="Yes"/>
    <s v="KMSS-BMO"/>
    <x v="0"/>
    <x v="2"/>
    <x v="0"/>
    <n v="23.833477999999999"/>
    <n v="97.578367"/>
    <s v="MMR001CMP228"/>
    <x v="0"/>
    <x v="0"/>
    <s v="yes"/>
    <n v="140"/>
    <n v="830"/>
  </r>
  <r>
    <x v="0"/>
    <x v="9"/>
    <x v="7"/>
    <s v="UNICEF, USAID"/>
    <x v="1"/>
    <x v="7"/>
    <x v="0"/>
    <x v="77"/>
    <n v="97"/>
    <n v="544"/>
    <d v="2021-11-11T00:00:00"/>
    <s v="31-12-22"/>
    <m/>
    <m/>
    <m/>
    <m/>
    <m/>
    <m/>
    <m/>
    <n v="3"/>
    <m/>
    <m/>
    <m/>
    <m/>
    <m/>
    <m/>
    <m/>
    <m/>
    <m/>
    <m/>
    <m/>
    <m/>
    <m/>
    <m/>
    <m/>
    <m/>
    <m/>
    <m/>
    <m/>
    <m/>
    <m/>
    <m/>
    <m/>
    <m/>
    <m/>
    <m/>
    <m/>
    <m/>
    <m/>
    <m/>
    <x v="2"/>
    <x v="2"/>
    <m/>
    <m/>
    <m/>
    <m/>
    <m/>
    <m/>
    <n v="7"/>
    <m/>
    <m/>
    <n v="7"/>
    <m/>
    <m/>
    <m/>
    <m/>
    <m/>
    <s v="Yes"/>
    <m/>
    <m/>
    <m/>
    <m/>
    <m/>
    <m/>
    <m/>
    <m/>
    <m/>
    <m/>
    <m/>
    <m/>
    <m/>
    <m/>
    <s v="no test"/>
    <s v="no test"/>
    <s v="No Test"/>
    <n v="3"/>
    <n v="0"/>
    <n v="0"/>
    <n v="0"/>
    <n v="0"/>
    <n v="0"/>
    <n v="0"/>
    <m/>
    <n v="1"/>
    <n v="1"/>
    <n v="1"/>
    <n v="544"/>
    <n v="0"/>
    <n v="0"/>
    <n v="1"/>
    <n v="544"/>
    <n v="1.0880000000000001"/>
    <n v="0"/>
    <n v="0"/>
    <n v="0"/>
    <n v="1"/>
    <n v="0"/>
    <n v="0"/>
    <n v="0"/>
    <n v="0"/>
    <n v="0"/>
    <n v="0"/>
    <n v="27"/>
    <n v="27"/>
    <n v="1"/>
    <n v="0"/>
    <n v="0"/>
    <n v="0"/>
    <n v="0"/>
    <n v="0"/>
    <n v="0"/>
    <n v="0"/>
    <n v="1"/>
    <n v="0"/>
    <n v="0"/>
    <n v="0"/>
    <n v="7"/>
    <n v="97"/>
    <n v="0"/>
    <n v="544"/>
    <s v="No"/>
    <s v=""/>
    <n v="0"/>
    <n v="0"/>
    <n v="0"/>
    <n v="0"/>
    <n v="0"/>
    <n v="0"/>
    <n v="0"/>
    <s v="uncovered"/>
    <x v="0"/>
    <x v="4"/>
    <x v="0"/>
    <n v="23.827870999999998"/>
    <n v="97.588291999999996"/>
    <s v="MMR001CMP134"/>
    <x v="0"/>
    <x v="0"/>
    <s v="yes"/>
    <n v="120"/>
    <n v="664"/>
  </r>
  <r>
    <x v="0"/>
    <x v="9"/>
    <x v="7"/>
    <s v="USAID/HOPE-94"/>
    <x v="1"/>
    <x v="7"/>
    <x v="0"/>
    <x v="78"/>
    <n v="172"/>
    <n v="789"/>
    <s v="13-8-2021, 6-1-2020"/>
    <s v="30-6-2022, 30.4.2021"/>
    <m/>
    <m/>
    <m/>
    <m/>
    <s v="Yes"/>
    <m/>
    <n v="7"/>
    <n v="4"/>
    <m/>
    <m/>
    <n v="4"/>
    <m/>
    <m/>
    <m/>
    <m/>
    <m/>
    <m/>
    <m/>
    <m/>
    <m/>
    <n v="1"/>
    <m/>
    <m/>
    <m/>
    <m/>
    <m/>
    <m/>
    <m/>
    <m/>
    <m/>
    <n v="44"/>
    <m/>
    <m/>
    <m/>
    <m/>
    <m/>
    <m/>
    <m/>
    <x v="1"/>
    <x v="1"/>
    <m/>
    <n v="1"/>
    <m/>
    <m/>
    <n v="1"/>
    <m/>
    <n v="4"/>
    <m/>
    <m/>
    <n v="5"/>
    <m/>
    <m/>
    <m/>
    <m/>
    <m/>
    <m/>
    <m/>
    <m/>
    <m/>
    <m/>
    <m/>
    <m/>
    <m/>
    <m/>
    <m/>
    <m/>
    <m/>
    <m/>
    <m/>
    <m/>
    <s v="no test"/>
    <s v="no test"/>
    <s v="No Test"/>
    <n v="4"/>
    <n v="4"/>
    <n v="0"/>
    <n v="0"/>
    <n v="0"/>
    <n v="0"/>
    <n v="0"/>
    <m/>
    <n v="1"/>
    <n v="1"/>
    <n v="1"/>
    <n v="789"/>
    <n v="0"/>
    <n v="0"/>
    <n v="1"/>
    <n v="789"/>
    <n v="1.5780000000000001"/>
    <n v="0"/>
    <n v="0"/>
    <n v="0.42199999999999993"/>
    <n v="2"/>
    <n v="44"/>
    <n v="1"/>
    <n v="789"/>
    <n v="0"/>
    <n v="0"/>
    <n v="0"/>
    <n v="39"/>
    <n v="0"/>
    <n v="0"/>
    <n v="0"/>
    <n v="0"/>
    <n v="0"/>
    <n v="0"/>
    <n v="0"/>
    <n v="0"/>
    <n v="0"/>
    <n v="1"/>
    <n v="0"/>
    <n v="0"/>
    <n v="0"/>
    <n v="4"/>
    <n v="80"/>
    <n v="0"/>
    <n v="400"/>
    <s v="No"/>
    <s v=""/>
    <n v="0"/>
    <n v="0"/>
    <n v="0"/>
    <n v="0"/>
    <n v="0"/>
    <n v="0"/>
    <s v="Yes"/>
    <s v="KBC-BMO"/>
    <x v="0"/>
    <x v="2"/>
    <x v="0"/>
    <n v="24.129059999999999"/>
    <n v="97.291820000000001"/>
    <s v="MMR001CMP066"/>
    <x v="0"/>
    <x v="0"/>
    <s v="yes"/>
    <n v="114"/>
    <n v="547"/>
  </r>
  <r>
    <x v="0"/>
    <x v="9"/>
    <x v="7"/>
    <s v="USAID/HOPE-94"/>
    <x v="1"/>
    <x v="4"/>
    <x v="0"/>
    <x v="79"/>
    <n v="689"/>
    <n v="3545"/>
    <s v="13-8-2021, 6-1-2020"/>
    <s v="30-6-2022, 30.4.2021"/>
    <m/>
    <m/>
    <m/>
    <m/>
    <s v="Yes"/>
    <n v="1"/>
    <n v="3"/>
    <n v="3"/>
    <m/>
    <m/>
    <m/>
    <m/>
    <m/>
    <m/>
    <n v="11"/>
    <m/>
    <m/>
    <m/>
    <m/>
    <m/>
    <n v="1"/>
    <m/>
    <m/>
    <m/>
    <m/>
    <m/>
    <n v="5"/>
    <n v="3"/>
    <m/>
    <m/>
    <n v="313"/>
    <m/>
    <m/>
    <m/>
    <m/>
    <m/>
    <m/>
    <m/>
    <x v="1"/>
    <x v="1"/>
    <n v="13"/>
    <m/>
    <n v="46"/>
    <n v="4"/>
    <m/>
    <m/>
    <n v="1"/>
    <m/>
    <m/>
    <n v="22"/>
    <m/>
    <m/>
    <m/>
    <n v="681"/>
    <n v="1773"/>
    <m/>
    <m/>
    <m/>
    <m/>
    <m/>
    <m/>
    <m/>
    <m/>
    <m/>
    <m/>
    <m/>
    <m/>
    <m/>
    <m/>
    <m/>
    <s v="no test"/>
    <s v="no test"/>
    <s v="No Test"/>
    <n v="3"/>
    <n v="0"/>
    <n v="11"/>
    <n v="0"/>
    <n v="0"/>
    <n v="1500"/>
    <n v="0"/>
    <m/>
    <n v="0.54536906440996713"/>
    <n v="0.41842971321109546"/>
    <n v="0.54536906440996713"/>
    <n v="1933.3333333333335"/>
    <n v="0"/>
    <n v="0"/>
    <n v="0.54536906440996713"/>
    <n v="1933.3333333333335"/>
    <n v="3.8666666666666671"/>
    <n v="0.45463093559003287"/>
    <n v="1611.6666666666665"/>
    <n v="3.1333333333333329"/>
    <n v="7"/>
    <n v="313"/>
    <n v="1"/>
    <n v="3545"/>
    <n v="0"/>
    <n v="0"/>
    <n v="200"/>
    <n v="177"/>
    <n v="0"/>
    <n v="0"/>
    <n v="0"/>
    <n v="0"/>
    <n v="3405"/>
    <n v="1773"/>
    <n v="3405"/>
    <n v="3405"/>
    <n v="0.96050775740479544"/>
    <n v="3.9492242595204563E-2"/>
    <n v="0"/>
    <n v="0.98838896952104505"/>
    <n v="1"/>
    <n v="1"/>
    <n v="20"/>
    <n v="0"/>
    <n v="100"/>
    <s v="No"/>
    <s v=""/>
    <n v="0"/>
    <n v="0"/>
    <n v="0"/>
    <n v="0"/>
    <n v="1500"/>
    <n v="200"/>
    <s v="Yes"/>
    <s v="KMSS-MYT"/>
    <x v="0"/>
    <x v="2"/>
    <x v="1"/>
    <n v="24.661905999999998"/>
    <n v="97.573126000000002"/>
    <s v="MMR001CMP122"/>
    <x v="0"/>
    <x v="0"/>
    <s v="yes"/>
    <n v="676"/>
    <n v="3508"/>
  </r>
  <r>
    <x v="0"/>
    <x v="9"/>
    <x v="7"/>
    <s v="ECHO 2739"/>
    <x v="1"/>
    <x v="4"/>
    <x v="1"/>
    <x v="80"/>
    <n v="11"/>
    <n v="32"/>
    <m/>
    <m/>
    <m/>
    <m/>
    <n v="1"/>
    <m/>
    <s v="Yes"/>
    <n v="3"/>
    <n v="8"/>
    <m/>
    <m/>
    <m/>
    <n v="1"/>
    <m/>
    <m/>
    <m/>
    <n v="1"/>
    <m/>
    <m/>
    <m/>
    <m/>
    <m/>
    <n v="1"/>
    <m/>
    <m/>
    <m/>
    <m/>
    <m/>
    <m/>
    <m/>
    <m/>
    <m/>
    <n v="12"/>
    <m/>
    <m/>
    <m/>
    <m/>
    <m/>
    <m/>
    <m/>
    <x v="1"/>
    <x v="1"/>
    <m/>
    <m/>
    <m/>
    <m/>
    <m/>
    <m/>
    <n v="7"/>
    <m/>
    <m/>
    <n v="2"/>
    <m/>
    <m/>
    <n v="1"/>
    <m/>
    <m/>
    <m/>
    <m/>
    <m/>
    <m/>
    <m/>
    <m/>
    <m/>
    <m/>
    <m/>
    <m/>
    <m/>
    <m/>
    <m/>
    <m/>
    <m/>
    <s v="no test"/>
    <s v="no test"/>
    <s v="No Test"/>
    <n v="0"/>
    <n v="1"/>
    <n v="1"/>
    <n v="0"/>
    <n v="0"/>
    <n v="0"/>
    <n v="0"/>
    <m/>
    <n v="1"/>
    <n v="1"/>
    <n v="1"/>
    <n v="32"/>
    <n v="0"/>
    <n v="0"/>
    <n v="1"/>
    <n v="32"/>
    <n v="6.4000000000000001E-2"/>
    <n v="0"/>
    <n v="0"/>
    <n v="0.93599999999999994"/>
    <n v="1"/>
    <n v="12"/>
    <n v="1"/>
    <n v="32"/>
    <n v="0"/>
    <n v="0"/>
    <n v="0"/>
    <n v="2"/>
    <n v="0"/>
    <n v="0"/>
    <n v="0"/>
    <n v="32"/>
    <n v="0"/>
    <n v="0"/>
    <n v="0"/>
    <n v="32"/>
    <n v="1"/>
    <n v="0"/>
    <n v="1"/>
    <n v="0"/>
    <n v="0"/>
    <n v="7"/>
    <n v="11"/>
    <n v="0"/>
    <n v="32"/>
    <s v="No"/>
    <s v=""/>
    <n v="0"/>
    <n v="0"/>
    <n v="0"/>
    <n v="0"/>
    <n v="0"/>
    <n v="0"/>
    <n v="0"/>
    <n v="0"/>
    <x v="0"/>
    <x v="2"/>
    <x v="0"/>
    <n v="0"/>
    <n v="0"/>
    <n v="0"/>
    <x v="0"/>
    <x v="0"/>
    <s v="yes"/>
    <n v="0"/>
    <n v="0"/>
  </r>
  <r>
    <x v="0"/>
    <x v="9"/>
    <x v="7"/>
    <s v="ECHO 2739"/>
    <x v="1"/>
    <x v="4"/>
    <x v="1"/>
    <x v="81"/>
    <n v="46"/>
    <n v="263"/>
    <s v="13-8-2021, 6-1-2020"/>
    <s v="30-6-2022, 30.4.2021"/>
    <m/>
    <m/>
    <m/>
    <m/>
    <s v="Yes"/>
    <n v="4"/>
    <m/>
    <n v="1"/>
    <m/>
    <m/>
    <n v="2"/>
    <m/>
    <m/>
    <m/>
    <m/>
    <m/>
    <m/>
    <m/>
    <m/>
    <m/>
    <n v="1"/>
    <m/>
    <m/>
    <m/>
    <m/>
    <m/>
    <m/>
    <m/>
    <m/>
    <m/>
    <n v="5"/>
    <m/>
    <m/>
    <m/>
    <m/>
    <m/>
    <m/>
    <m/>
    <x v="1"/>
    <x v="1"/>
    <m/>
    <m/>
    <m/>
    <m/>
    <m/>
    <m/>
    <n v="2"/>
    <m/>
    <m/>
    <n v="2"/>
    <m/>
    <m/>
    <m/>
    <m/>
    <m/>
    <m/>
    <m/>
    <m/>
    <m/>
    <m/>
    <m/>
    <m/>
    <m/>
    <m/>
    <m/>
    <m/>
    <m/>
    <m/>
    <m/>
    <m/>
    <s v="no test"/>
    <s v="no test"/>
    <s v="No Test"/>
    <n v="1"/>
    <n v="2"/>
    <n v="0"/>
    <n v="0"/>
    <n v="0"/>
    <n v="0"/>
    <n v="0"/>
    <m/>
    <n v="1"/>
    <n v="1"/>
    <n v="1"/>
    <n v="263"/>
    <n v="0"/>
    <n v="0"/>
    <n v="1"/>
    <n v="263"/>
    <n v="0.52600000000000002"/>
    <n v="0"/>
    <n v="0"/>
    <n v="0.47399999999999998"/>
    <n v="1"/>
    <n v="5"/>
    <n v="0.38022813688212925"/>
    <n v="100"/>
    <n v="0"/>
    <n v="0"/>
    <n v="0"/>
    <n v="13"/>
    <n v="8"/>
    <n v="0.6197718631178708"/>
    <n v="0"/>
    <n v="0"/>
    <n v="0"/>
    <n v="0"/>
    <n v="0"/>
    <n v="0"/>
    <n v="0"/>
    <n v="1"/>
    <n v="0"/>
    <n v="0"/>
    <n v="0"/>
    <n v="2"/>
    <n v="40"/>
    <n v="0"/>
    <n v="200"/>
    <s v="No"/>
    <s v=""/>
    <n v="0"/>
    <n v="0"/>
    <n v="0"/>
    <n v="0"/>
    <n v="0"/>
    <n v="0"/>
    <n v="0"/>
    <n v="0"/>
    <x v="0"/>
    <x v="2"/>
    <x v="0"/>
    <n v="0"/>
    <n v="0"/>
    <n v="0"/>
    <x v="0"/>
    <x v="0"/>
    <s v="yes"/>
    <n v="0"/>
    <n v="0"/>
  </r>
  <r>
    <x v="0"/>
    <x v="9"/>
    <x v="7"/>
    <s v="ECHO 2739"/>
    <x v="1"/>
    <x v="4"/>
    <x v="0"/>
    <x v="82"/>
    <n v="68"/>
    <n v="426"/>
    <m/>
    <m/>
    <m/>
    <m/>
    <n v="1"/>
    <m/>
    <s v="Yes"/>
    <n v="5"/>
    <n v="6"/>
    <m/>
    <m/>
    <m/>
    <n v="1"/>
    <m/>
    <m/>
    <m/>
    <n v="1"/>
    <m/>
    <m/>
    <m/>
    <m/>
    <m/>
    <n v="1"/>
    <m/>
    <m/>
    <m/>
    <m/>
    <m/>
    <m/>
    <m/>
    <m/>
    <m/>
    <n v="6"/>
    <m/>
    <m/>
    <m/>
    <m/>
    <m/>
    <m/>
    <m/>
    <x v="1"/>
    <x v="1"/>
    <m/>
    <n v="1"/>
    <m/>
    <m/>
    <n v="6"/>
    <m/>
    <n v="3"/>
    <m/>
    <m/>
    <n v="1"/>
    <m/>
    <m/>
    <n v="1"/>
    <m/>
    <m/>
    <m/>
    <m/>
    <m/>
    <m/>
    <n v="0.92"/>
    <n v="0.92"/>
    <m/>
    <m/>
    <m/>
    <m/>
    <m/>
    <m/>
    <m/>
    <m/>
    <m/>
    <s v="no test"/>
    <s v="no test"/>
    <s v="No Test"/>
    <n v="0"/>
    <n v="1"/>
    <n v="1"/>
    <n v="0"/>
    <n v="0"/>
    <n v="0"/>
    <n v="0"/>
    <m/>
    <n v="1"/>
    <n v="0.74334898278560257"/>
    <n v="1"/>
    <n v="426"/>
    <n v="0"/>
    <n v="0"/>
    <n v="1"/>
    <n v="426"/>
    <n v="0.85199999999999998"/>
    <n v="0"/>
    <n v="0"/>
    <n v="0.14800000000000002"/>
    <n v="1"/>
    <n v="6"/>
    <n v="0.29577464788732394"/>
    <n v="126"/>
    <n v="0"/>
    <n v="0"/>
    <n v="0"/>
    <n v="21"/>
    <n v="15"/>
    <n v="0.70422535211267601"/>
    <n v="0"/>
    <n v="426"/>
    <n v="0"/>
    <n v="0"/>
    <n v="0"/>
    <n v="426"/>
    <n v="1"/>
    <n v="0"/>
    <n v="1"/>
    <n v="0"/>
    <n v="0"/>
    <n v="3"/>
    <n v="60"/>
    <n v="0"/>
    <n v="300"/>
    <s v="No"/>
    <s v=""/>
    <n v="391.92"/>
    <n v="391.92"/>
    <n v="0"/>
    <n v="391.92"/>
    <n v="0"/>
    <n v="0"/>
    <s v="Yes"/>
    <s v="KMSS-BMO"/>
    <x v="0"/>
    <x v="2"/>
    <x v="0"/>
    <n v="24.205417000000001"/>
    <n v="97.724566999999993"/>
    <s v="MMR001CMP069"/>
    <x v="0"/>
    <x v="0"/>
    <s v="yes"/>
    <n v="81"/>
    <n v="451"/>
  </r>
  <r>
    <x v="0"/>
    <x v="9"/>
    <x v="7"/>
    <s v="ECHO 2739"/>
    <x v="1"/>
    <x v="4"/>
    <x v="0"/>
    <x v="83"/>
    <n v="127"/>
    <n v="741"/>
    <m/>
    <m/>
    <m/>
    <m/>
    <m/>
    <m/>
    <s v="Yes"/>
    <n v="3"/>
    <n v="3"/>
    <m/>
    <m/>
    <m/>
    <n v="3"/>
    <m/>
    <m/>
    <m/>
    <m/>
    <m/>
    <m/>
    <m/>
    <m/>
    <m/>
    <n v="1"/>
    <m/>
    <m/>
    <m/>
    <m/>
    <m/>
    <m/>
    <m/>
    <m/>
    <m/>
    <n v="50"/>
    <m/>
    <m/>
    <m/>
    <m/>
    <m/>
    <m/>
    <m/>
    <x v="1"/>
    <x v="1"/>
    <m/>
    <m/>
    <m/>
    <m/>
    <m/>
    <m/>
    <n v="8"/>
    <m/>
    <m/>
    <n v="7"/>
    <m/>
    <m/>
    <m/>
    <m/>
    <m/>
    <m/>
    <m/>
    <m/>
    <m/>
    <m/>
    <m/>
    <m/>
    <m/>
    <m/>
    <m/>
    <m/>
    <m/>
    <m/>
    <m/>
    <m/>
    <s v="no test"/>
    <s v="no test"/>
    <s v="No Test"/>
    <n v="0"/>
    <n v="3"/>
    <n v="0"/>
    <n v="0"/>
    <n v="0"/>
    <n v="0"/>
    <n v="0"/>
    <m/>
    <n v="1"/>
    <n v="1"/>
    <n v="1"/>
    <n v="741"/>
    <n v="0"/>
    <n v="0"/>
    <n v="1"/>
    <n v="741"/>
    <n v="1.482"/>
    <n v="0"/>
    <n v="0"/>
    <n v="0"/>
    <n v="1"/>
    <n v="50"/>
    <n v="1"/>
    <n v="741"/>
    <n v="0"/>
    <n v="0"/>
    <n v="0"/>
    <n v="37"/>
    <n v="0"/>
    <n v="0"/>
    <n v="0"/>
    <n v="0"/>
    <n v="0"/>
    <n v="0"/>
    <n v="0"/>
    <n v="0"/>
    <n v="0"/>
    <n v="1"/>
    <n v="0"/>
    <n v="0"/>
    <n v="0"/>
    <n v="8"/>
    <n v="127"/>
    <n v="0"/>
    <n v="741"/>
    <s v="No"/>
    <s v=""/>
    <n v="0"/>
    <n v="0"/>
    <n v="0"/>
    <n v="0"/>
    <n v="0"/>
    <n v="0"/>
    <s v="Yes"/>
    <s v="KMSS-BMO"/>
    <x v="0"/>
    <x v="2"/>
    <x v="0"/>
    <n v="24.245100000000001"/>
    <n v="97.325019999999995"/>
    <s v="MMR001CMP062"/>
    <x v="0"/>
    <x v="0"/>
    <s v="yes"/>
    <n v="93"/>
    <n v="441"/>
  </r>
  <r>
    <x v="0"/>
    <x v="9"/>
    <x v="7"/>
    <s v="ECHO 2739"/>
    <x v="1"/>
    <x v="4"/>
    <x v="0"/>
    <x v="84"/>
    <n v="86"/>
    <n v="424"/>
    <s v="13-8-2021, 6-1-2020"/>
    <s v="30-6-2022, 30.4.2021"/>
    <m/>
    <m/>
    <m/>
    <m/>
    <s v="Yes"/>
    <n v="2"/>
    <n v="5"/>
    <n v="2"/>
    <m/>
    <m/>
    <m/>
    <m/>
    <m/>
    <m/>
    <m/>
    <m/>
    <m/>
    <m/>
    <m/>
    <m/>
    <n v="1"/>
    <m/>
    <m/>
    <m/>
    <m/>
    <m/>
    <m/>
    <m/>
    <m/>
    <m/>
    <n v="6"/>
    <m/>
    <m/>
    <m/>
    <m/>
    <m/>
    <m/>
    <m/>
    <x v="1"/>
    <x v="1"/>
    <m/>
    <m/>
    <m/>
    <m/>
    <m/>
    <m/>
    <m/>
    <m/>
    <m/>
    <n v="1"/>
    <m/>
    <m/>
    <m/>
    <m/>
    <m/>
    <m/>
    <m/>
    <m/>
    <m/>
    <m/>
    <m/>
    <m/>
    <m/>
    <m/>
    <m/>
    <m/>
    <m/>
    <m/>
    <m/>
    <m/>
    <s v="no test"/>
    <s v="no test"/>
    <s v="No Test"/>
    <n v="2"/>
    <n v="0"/>
    <n v="0"/>
    <n v="0"/>
    <n v="0"/>
    <n v="0"/>
    <n v="0"/>
    <m/>
    <n v="1"/>
    <n v="1"/>
    <n v="1"/>
    <n v="424"/>
    <n v="0"/>
    <n v="0"/>
    <n v="1"/>
    <n v="424"/>
    <n v="0.84799999999999998"/>
    <n v="0"/>
    <n v="0"/>
    <n v="0.15200000000000002"/>
    <n v="1"/>
    <n v="6"/>
    <n v="0.28301886792452829"/>
    <n v="120"/>
    <n v="0"/>
    <n v="0"/>
    <n v="0"/>
    <n v="21"/>
    <n v="15"/>
    <n v="0.71698113207547176"/>
    <n v="0"/>
    <n v="0"/>
    <n v="0"/>
    <n v="0"/>
    <n v="0"/>
    <n v="0"/>
    <n v="0"/>
    <n v="1"/>
    <n v="0"/>
    <n v="0"/>
    <n v="0"/>
    <n v="0"/>
    <n v="0"/>
    <n v="0"/>
    <n v="0"/>
    <s v="No"/>
    <s v=""/>
    <n v="0"/>
    <n v="0"/>
    <n v="0"/>
    <n v="0"/>
    <n v="0"/>
    <n v="0"/>
    <s v="Yes"/>
    <s v="KBC-BMO"/>
    <x v="0"/>
    <x v="2"/>
    <x v="0"/>
    <n v="24.250689999999999"/>
    <n v="97.344359999999995"/>
    <s v="MMR001CMP056"/>
    <x v="0"/>
    <x v="0"/>
    <s v="yes"/>
    <n v="416"/>
    <n v="1936"/>
  </r>
  <r>
    <x v="0"/>
    <x v="9"/>
    <x v="7"/>
    <s v="USAID/HOPE-94"/>
    <x v="1"/>
    <x v="11"/>
    <x v="0"/>
    <x v="85"/>
    <n v="43"/>
    <n v="182"/>
    <s v="13-8-2021, 6-1-2020"/>
    <s v="30-6-2022, 30.4.2021"/>
    <m/>
    <m/>
    <m/>
    <m/>
    <s v="Yes"/>
    <n v="1"/>
    <n v="3"/>
    <m/>
    <m/>
    <m/>
    <n v="2"/>
    <m/>
    <m/>
    <m/>
    <m/>
    <m/>
    <m/>
    <m/>
    <m/>
    <m/>
    <n v="1"/>
    <m/>
    <m/>
    <m/>
    <m/>
    <m/>
    <m/>
    <m/>
    <m/>
    <m/>
    <n v="10"/>
    <m/>
    <m/>
    <m/>
    <m/>
    <m/>
    <m/>
    <m/>
    <x v="1"/>
    <x v="1"/>
    <m/>
    <m/>
    <m/>
    <m/>
    <m/>
    <m/>
    <n v="3"/>
    <m/>
    <m/>
    <n v="2"/>
    <m/>
    <m/>
    <m/>
    <m/>
    <m/>
    <m/>
    <m/>
    <m/>
    <m/>
    <m/>
    <m/>
    <m/>
    <m/>
    <m/>
    <m/>
    <m/>
    <m/>
    <m/>
    <m/>
    <m/>
    <s v="no test"/>
    <s v="no test"/>
    <s v="No Test"/>
    <n v="0"/>
    <n v="2"/>
    <n v="0"/>
    <n v="0"/>
    <n v="0"/>
    <n v="0"/>
    <n v="0"/>
    <m/>
    <n v="1"/>
    <n v="1"/>
    <n v="1"/>
    <n v="182"/>
    <n v="0"/>
    <n v="0"/>
    <n v="1"/>
    <n v="182"/>
    <n v="0.36399999999999999"/>
    <n v="0"/>
    <n v="0"/>
    <n v="0.63600000000000001"/>
    <n v="1"/>
    <n v="10"/>
    <n v="1"/>
    <n v="182"/>
    <n v="0"/>
    <n v="0"/>
    <n v="0"/>
    <n v="9"/>
    <n v="0"/>
    <n v="0"/>
    <n v="0"/>
    <n v="0"/>
    <n v="0"/>
    <n v="0"/>
    <n v="0"/>
    <n v="0"/>
    <n v="0"/>
    <n v="1"/>
    <n v="0"/>
    <n v="0"/>
    <n v="0"/>
    <n v="3"/>
    <n v="43"/>
    <n v="0"/>
    <n v="182"/>
    <s v="No"/>
    <s v=""/>
    <n v="0"/>
    <n v="0"/>
    <n v="0"/>
    <n v="0"/>
    <n v="0"/>
    <n v="0"/>
    <s v="Yes"/>
    <s v="KMSS-BMO"/>
    <x v="0"/>
    <x v="2"/>
    <x v="0"/>
    <n v="24.200367"/>
    <n v="96.807353000000006"/>
    <s v="MMR001CMP068"/>
    <x v="0"/>
    <x v="0"/>
    <s v="yes"/>
    <n v="33"/>
    <n v="152"/>
  </r>
  <r>
    <x v="0"/>
    <x v="9"/>
    <x v="7"/>
    <s v="USAID/HOPE-94"/>
    <x v="1"/>
    <x v="14"/>
    <x v="0"/>
    <x v="86"/>
    <n v="426.2"/>
    <n v="2322"/>
    <s v="13-8-2021, 6-1-2020"/>
    <s v="30-6-2022, 30.4.2021"/>
    <m/>
    <m/>
    <m/>
    <m/>
    <s v="Yes"/>
    <n v="3"/>
    <n v="6"/>
    <m/>
    <m/>
    <m/>
    <m/>
    <m/>
    <m/>
    <m/>
    <n v="8"/>
    <m/>
    <m/>
    <m/>
    <m/>
    <m/>
    <m/>
    <m/>
    <m/>
    <m/>
    <m/>
    <m/>
    <n v="14"/>
    <n v="5"/>
    <m/>
    <m/>
    <n v="100"/>
    <m/>
    <m/>
    <m/>
    <m/>
    <m/>
    <m/>
    <m/>
    <x v="1"/>
    <x v="1"/>
    <m/>
    <m/>
    <m/>
    <m/>
    <m/>
    <m/>
    <n v="10"/>
    <m/>
    <m/>
    <n v="8"/>
    <m/>
    <m/>
    <m/>
    <m/>
    <m/>
    <m/>
    <m/>
    <m/>
    <m/>
    <m/>
    <m/>
    <m/>
    <m/>
    <m/>
    <m/>
    <m/>
    <m/>
    <m/>
    <m/>
    <m/>
    <s v="no test"/>
    <s v="no test"/>
    <s v="No Test"/>
    <n v="0"/>
    <n v="0"/>
    <n v="8"/>
    <n v="0"/>
    <n v="0"/>
    <n v="2322"/>
    <n v="0"/>
    <m/>
    <n v="0.22968705139247778"/>
    <n v="0.22968705139247778"/>
    <n v="0.22968705139247778"/>
    <n v="533.33333333333337"/>
    <n v="0"/>
    <n v="0"/>
    <n v="0.22968705139247778"/>
    <n v="533.33333333333337"/>
    <n v="1.0666666666666667"/>
    <n v="0.7703129486075222"/>
    <n v="1788.6666666666665"/>
    <n v="3.9333333333333336"/>
    <n v="5"/>
    <n v="100"/>
    <n v="0.8613264427217916"/>
    <n v="2000"/>
    <n v="0"/>
    <n v="0"/>
    <n v="0"/>
    <n v="116"/>
    <n v="16"/>
    <n v="0.1386735572782084"/>
    <n v="0"/>
    <n v="0"/>
    <n v="0"/>
    <n v="0"/>
    <n v="0"/>
    <n v="0"/>
    <n v="0"/>
    <n v="1"/>
    <n v="0"/>
    <n v="0"/>
    <n v="0"/>
    <n v="10"/>
    <n v="200"/>
    <n v="0"/>
    <n v="1000"/>
    <s v="No"/>
    <s v=""/>
    <n v="0"/>
    <n v="0"/>
    <n v="0"/>
    <n v="0"/>
    <n v="2322"/>
    <n v="0"/>
    <n v="0"/>
    <s v="uncovered"/>
    <x v="0"/>
    <x v="5"/>
    <x v="1"/>
    <n v="24.752471"/>
    <n v="97.541793999999996"/>
    <s v="MMR001CMP208"/>
    <x v="0"/>
    <x v="0"/>
    <s v="yes"/>
    <n v="0"/>
    <n v="366"/>
  </r>
  <r>
    <x v="0"/>
    <x v="9"/>
    <x v="7"/>
    <s v="USAID/HOPE-94"/>
    <x v="1"/>
    <x v="14"/>
    <x v="0"/>
    <x v="87"/>
    <n v="1350"/>
    <n v="7394"/>
    <s v="13-8-2021, 6-1-2020"/>
    <s v="30-6-2022, 30.4.2021"/>
    <m/>
    <m/>
    <m/>
    <m/>
    <s v="Yes"/>
    <n v="2"/>
    <n v="2"/>
    <m/>
    <m/>
    <m/>
    <m/>
    <m/>
    <m/>
    <m/>
    <n v="11"/>
    <m/>
    <m/>
    <m/>
    <m/>
    <m/>
    <m/>
    <m/>
    <m/>
    <m/>
    <m/>
    <m/>
    <n v="6"/>
    <n v="3"/>
    <m/>
    <m/>
    <n v="247"/>
    <m/>
    <m/>
    <m/>
    <m/>
    <m/>
    <m/>
    <m/>
    <x v="1"/>
    <x v="1"/>
    <n v="4"/>
    <n v="2"/>
    <m/>
    <m/>
    <m/>
    <m/>
    <n v="1"/>
    <m/>
    <m/>
    <n v="1"/>
    <m/>
    <m/>
    <n v="3"/>
    <m/>
    <m/>
    <m/>
    <m/>
    <m/>
    <m/>
    <m/>
    <m/>
    <m/>
    <m/>
    <n v="20"/>
    <m/>
    <m/>
    <m/>
    <m/>
    <m/>
    <m/>
    <s v="no test"/>
    <s v="no test"/>
    <s v="No Test"/>
    <n v="0"/>
    <n v="0"/>
    <n v="11"/>
    <n v="0"/>
    <n v="0"/>
    <n v="1500"/>
    <n v="0"/>
    <m/>
    <n v="9.9179514922008841E-2"/>
    <n v="9.9179514922008841E-2"/>
    <n v="9.9179514922008841E-2"/>
    <n v="733.33333333333337"/>
    <n v="0"/>
    <n v="0"/>
    <n v="9.9179514922008841E-2"/>
    <n v="733.33333333333337"/>
    <n v="1.4666666666666668"/>
    <n v="0.90082048507799117"/>
    <n v="6660.666666666667"/>
    <n v="13.533333333333333"/>
    <n v="15"/>
    <n v="247"/>
    <n v="0.67892886123884233"/>
    <n v="5020"/>
    <n v="0"/>
    <n v="0"/>
    <n v="0"/>
    <n v="370"/>
    <n v="123"/>
    <n v="0.32107113876115767"/>
    <n v="0"/>
    <n v="1500"/>
    <n v="0"/>
    <n v="0"/>
    <n v="0"/>
    <n v="1500"/>
    <n v="0.20286718961319988"/>
    <n v="0.79713281038680006"/>
    <n v="0.20286718961319988"/>
    <n v="0"/>
    <n v="0"/>
    <n v="1"/>
    <n v="20"/>
    <n v="0"/>
    <n v="100"/>
    <s v="No"/>
    <s v=""/>
    <n v="0"/>
    <n v="0"/>
    <n v="0"/>
    <n v="0"/>
    <n v="1500"/>
    <n v="0"/>
    <s v="Yes"/>
    <s v="KMSS-MYT"/>
    <x v="0"/>
    <x v="2"/>
    <x v="1"/>
    <n v="24.755253"/>
    <n v="97.546893999999995"/>
    <s v="MMR001CMP116"/>
    <x v="0"/>
    <x v="0"/>
    <s v="yes"/>
    <n v="1352"/>
    <n v="7353"/>
  </r>
  <r>
    <x v="0"/>
    <x v="9"/>
    <x v="7"/>
    <s v="USAID/HOPE-94"/>
    <x v="1"/>
    <x v="14"/>
    <x v="2"/>
    <x v="88"/>
    <n v="134"/>
    <n v="709"/>
    <s v="13-8-2021, 6-1-2020"/>
    <s v="30-6-2022, 30.4.2021"/>
    <m/>
    <m/>
    <m/>
    <m/>
    <s v="No"/>
    <m/>
    <m/>
    <m/>
    <m/>
    <m/>
    <m/>
    <m/>
    <m/>
    <m/>
    <n v="1"/>
    <m/>
    <m/>
    <m/>
    <m/>
    <m/>
    <m/>
    <m/>
    <m/>
    <m/>
    <m/>
    <m/>
    <m/>
    <m/>
    <m/>
    <m/>
    <m/>
    <m/>
    <m/>
    <m/>
    <m/>
    <m/>
    <m/>
    <m/>
    <x v="1"/>
    <x v="3"/>
    <m/>
    <m/>
    <m/>
    <m/>
    <m/>
    <m/>
    <n v="8"/>
    <m/>
    <m/>
    <n v="3"/>
    <m/>
    <m/>
    <m/>
    <m/>
    <m/>
    <m/>
    <m/>
    <m/>
    <m/>
    <m/>
    <m/>
    <m/>
    <m/>
    <m/>
    <m/>
    <m/>
    <m/>
    <m/>
    <m/>
    <m/>
    <s v="no test"/>
    <s v="no test"/>
    <s v="No Test"/>
    <n v="0"/>
    <n v="0"/>
    <n v="1"/>
    <n v="0"/>
    <n v="0"/>
    <n v="0"/>
    <n v="0"/>
    <m/>
    <n v="9.4029149036201229E-2"/>
    <n v="9.4029149036201229E-2"/>
    <n v="9.4029149036201229E-2"/>
    <n v="66.666666666666671"/>
    <n v="0"/>
    <n v="0"/>
    <n v="9.4029149036201229E-2"/>
    <n v="66.666666666666671"/>
    <n v="0.13333333333333333"/>
    <n v="0.90597085096379881"/>
    <n v="642.33333333333337"/>
    <n v="0.8666666666666667"/>
    <n v="1"/>
    <n v="0"/>
    <n v="0"/>
    <n v="0"/>
    <n v="0"/>
    <n v="0"/>
    <n v="0"/>
    <n v="35"/>
    <n v="35"/>
    <n v="1"/>
    <n v="0"/>
    <n v="0"/>
    <n v="0"/>
    <n v="0"/>
    <n v="0"/>
    <n v="0"/>
    <n v="0"/>
    <n v="1"/>
    <n v="0"/>
    <n v="0"/>
    <n v="0"/>
    <n v="8"/>
    <n v="134"/>
    <n v="0"/>
    <n v="709"/>
    <s v="No"/>
    <s v=""/>
    <n v="0"/>
    <n v="0"/>
    <n v="0"/>
    <n v="0"/>
    <n v="0"/>
    <n v="0"/>
    <n v="0"/>
    <n v="0"/>
    <x v="0"/>
    <x v="2"/>
    <x v="1"/>
    <n v="0"/>
    <n v="0"/>
    <n v="0"/>
    <x v="0"/>
    <x v="0"/>
    <s v="yes"/>
    <n v="0"/>
    <n v="0"/>
  </r>
  <r>
    <x v="0"/>
    <x v="9"/>
    <x v="7"/>
    <s v="USAID/HOPE-94"/>
    <x v="1"/>
    <x v="14"/>
    <x v="2"/>
    <x v="89"/>
    <n v="546"/>
    <n v="2550"/>
    <s v="13-8-2021, 6-1-2020"/>
    <s v="30-6-2022, 30.4.2021"/>
    <m/>
    <m/>
    <m/>
    <m/>
    <s v="No"/>
    <m/>
    <m/>
    <m/>
    <m/>
    <m/>
    <m/>
    <m/>
    <m/>
    <m/>
    <m/>
    <m/>
    <m/>
    <m/>
    <m/>
    <m/>
    <m/>
    <m/>
    <m/>
    <m/>
    <m/>
    <m/>
    <m/>
    <m/>
    <m/>
    <m/>
    <m/>
    <m/>
    <m/>
    <m/>
    <m/>
    <m/>
    <m/>
    <m/>
    <x v="0"/>
    <x v="0"/>
    <m/>
    <m/>
    <m/>
    <m/>
    <m/>
    <m/>
    <n v="7"/>
    <m/>
    <m/>
    <n v="7"/>
    <m/>
    <m/>
    <m/>
    <m/>
    <m/>
    <m/>
    <m/>
    <m/>
    <m/>
    <m/>
    <m/>
    <m/>
    <m/>
    <m/>
    <m/>
    <m/>
    <m/>
    <m/>
    <m/>
    <m/>
    <s v="no test"/>
    <s v="no test"/>
    <s v="No Test"/>
    <n v="0"/>
    <n v="0"/>
    <n v="0"/>
    <n v="0"/>
    <n v="0"/>
    <n v="0"/>
    <n v="0"/>
    <m/>
    <n v="0"/>
    <n v="0"/>
    <n v="0"/>
    <n v="0"/>
    <n v="0"/>
    <n v="0"/>
    <n v="0"/>
    <n v="0"/>
    <n v="0"/>
    <n v="1"/>
    <n v="2550"/>
    <n v="5"/>
    <n v="5"/>
    <n v="0"/>
    <n v="0"/>
    <n v="0"/>
    <n v="0"/>
    <n v="0"/>
    <n v="0"/>
    <n v="128"/>
    <n v="128"/>
    <n v="1"/>
    <n v="0"/>
    <n v="0"/>
    <n v="0"/>
    <n v="0"/>
    <n v="0"/>
    <n v="0"/>
    <n v="0"/>
    <n v="1"/>
    <n v="0"/>
    <n v="0"/>
    <n v="0"/>
    <n v="7"/>
    <n v="140"/>
    <n v="0"/>
    <n v="700"/>
    <s v="No"/>
    <s v=""/>
    <n v="0"/>
    <n v="0"/>
    <n v="0"/>
    <n v="0"/>
    <n v="0"/>
    <n v="0"/>
    <n v="0"/>
    <n v="0"/>
    <x v="0"/>
    <x v="4"/>
    <x v="1"/>
    <n v="0"/>
    <n v="0"/>
    <n v="0"/>
    <x v="0"/>
    <x v="0"/>
    <s v="yes"/>
    <n v="0"/>
    <n v="0"/>
  </r>
  <r>
    <x v="0"/>
    <x v="9"/>
    <x v="7"/>
    <s v="UNICEF, USAID"/>
    <x v="0"/>
    <x v="16"/>
    <x v="0"/>
    <x v="90"/>
    <n v="40"/>
    <n v="206"/>
    <d v="2021-11-11T00:00:00"/>
    <d v="2022-12-31T00:00:00"/>
    <m/>
    <m/>
    <n v="1"/>
    <m/>
    <s v="Yes"/>
    <m/>
    <n v="5"/>
    <n v="4"/>
    <m/>
    <m/>
    <n v="1"/>
    <m/>
    <m/>
    <m/>
    <m/>
    <m/>
    <m/>
    <m/>
    <m/>
    <m/>
    <m/>
    <m/>
    <m/>
    <m/>
    <m/>
    <m/>
    <m/>
    <m/>
    <m/>
    <m/>
    <n v="6"/>
    <n v="10"/>
    <m/>
    <m/>
    <m/>
    <m/>
    <m/>
    <m/>
    <x v="1"/>
    <x v="1"/>
    <m/>
    <m/>
    <m/>
    <m/>
    <m/>
    <m/>
    <m/>
    <m/>
    <m/>
    <n v="2"/>
    <m/>
    <m/>
    <n v="1"/>
    <m/>
    <m/>
    <s v="Yes"/>
    <m/>
    <m/>
    <m/>
    <m/>
    <m/>
    <m/>
    <m/>
    <m/>
    <m/>
    <m/>
    <m/>
    <m/>
    <m/>
    <m/>
    <s v="no test"/>
    <s v="no test"/>
    <s v="No Test"/>
    <n v="4"/>
    <n v="1"/>
    <n v="0"/>
    <n v="0"/>
    <n v="0"/>
    <n v="0"/>
    <n v="0"/>
    <m/>
    <n v="1"/>
    <n v="1"/>
    <n v="1"/>
    <n v="206"/>
    <n v="0"/>
    <n v="0"/>
    <n v="1"/>
    <n v="206"/>
    <n v="0.41199999999999998"/>
    <n v="0"/>
    <n v="0"/>
    <n v="0.58800000000000008"/>
    <n v="1"/>
    <n v="16"/>
    <n v="1"/>
    <n v="206"/>
    <n v="0"/>
    <n v="0"/>
    <n v="0"/>
    <n v="10"/>
    <n v="0"/>
    <n v="0"/>
    <n v="0"/>
    <n v="206"/>
    <n v="0"/>
    <n v="0"/>
    <n v="0"/>
    <n v="206"/>
    <n v="1"/>
    <n v="0"/>
    <n v="1"/>
    <n v="0"/>
    <n v="0"/>
    <n v="0"/>
    <n v="0"/>
    <n v="0"/>
    <n v="0"/>
    <s v="No"/>
    <s v=""/>
    <n v="0"/>
    <n v="0"/>
    <n v="0"/>
    <n v="0"/>
    <n v="0"/>
    <n v="0"/>
    <s v="Yes"/>
    <s v="KBC-NSS"/>
    <x v="0"/>
    <x v="2"/>
    <x v="0"/>
    <n v="23.354268999999999"/>
    <n v="98.218626999999998"/>
    <s v="MMR015CMP036"/>
    <x v="0"/>
    <x v="0"/>
    <s v="yes"/>
    <n v="33"/>
    <n v="158"/>
  </r>
  <r>
    <x v="0"/>
    <x v="9"/>
    <x v="7"/>
    <s v="UNICEF, USAID"/>
    <x v="0"/>
    <x v="16"/>
    <x v="0"/>
    <x v="91"/>
    <n v="42"/>
    <n v="195"/>
    <d v="2021-11-11T00:00:00"/>
    <d v="2022-12-31T00:00:00"/>
    <m/>
    <m/>
    <m/>
    <m/>
    <m/>
    <n v="4"/>
    <n v="4"/>
    <m/>
    <m/>
    <m/>
    <n v="1"/>
    <m/>
    <m/>
    <m/>
    <n v="1"/>
    <m/>
    <m/>
    <m/>
    <m/>
    <m/>
    <m/>
    <n v="1"/>
    <m/>
    <m/>
    <m/>
    <m/>
    <n v="1"/>
    <m/>
    <m/>
    <m/>
    <n v="38"/>
    <m/>
    <m/>
    <m/>
    <m/>
    <m/>
    <m/>
    <m/>
    <x v="0"/>
    <x v="0"/>
    <m/>
    <m/>
    <m/>
    <m/>
    <m/>
    <m/>
    <m/>
    <m/>
    <m/>
    <m/>
    <m/>
    <m/>
    <n v="1"/>
    <m/>
    <m/>
    <s v="Yes"/>
    <m/>
    <m/>
    <m/>
    <m/>
    <m/>
    <m/>
    <m/>
    <m/>
    <m/>
    <m/>
    <m/>
    <m/>
    <m/>
    <m/>
    <s v="no test"/>
    <s v="no test"/>
    <s v="No Test"/>
    <n v="0"/>
    <n v="1"/>
    <n v="1"/>
    <n v="0"/>
    <n v="0"/>
    <n v="0"/>
    <n v="0"/>
    <m/>
    <n v="1"/>
    <n v="1"/>
    <n v="1"/>
    <n v="195"/>
    <n v="0"/>
    <n v="0"/>
    <n v="1"/>
    <n v="195"/>
    <n v="0.39"/>
    <n v="0"/>
    <n v="0"/>
    <n v="0.61"/>
    <n v="1"/>
    <n v="38"/>
    <n v="1"/>
    <n v="195"/>
    <n v="0"/>
    <n v="0"/>
    <n v="0"/>
    <n v="10"/>
    <n v="0"/>
    <n v="0"/>
    <n v="0"/>
    <n v="195"/>
    <n v="0"/>
    <n v="0"/>
    <n v="0"/>
    <n v="195"/>
    <n v="1"/>
    <n v="0"/>
    <n v="1"/>
    <n v="0"/>
    <n v="0"/>
    <n v="0"/>
    <n v="0"/>
    <n v="1"/>
    <n v="0"/>
    <s v="No"/>
    <s v=""/>
    <n v="0"/>
    <n v="0"/>
    <n v="0"/>
    <n v="0"/>
    <n v="0"/>
    <n v="0"/>
    <n v="0"/>
    <n v="0"/>
    <x v="0"/>
    <x v="1"/>
    <x v="0"/>
    <n v="23.353999999999999"/>
    <n v="98.221000000000004"/>
    <s v="MMR015CMP226"/>
    <x v="0"/>
    <x v="0"/>
    <s v="yes"/>
    <n v="0"/>
    <n v="0"/>
  </r>
  <r>
    <x v="0"/>
    <x v="9"/>
    <x v="7"/>
    <s v="UNICEF"/>
    <x v="0"/>
    <x v="17"/>
    <x v="0"/>
    <x v="92"/>
    <n v="27"/>
    <n v="162"/>
    <d v="2021-11-11T00:00:00"/>
    <d v="2022-12-31T00:00:00"/>
    <m/>
    <m/>
    <m/>
    <m/>
    <m/>
    <m/>
    <m/>
    <m/>
    <m/>
    <m/>
    <m/>
    <m/>
    <m/>
    <m/>
    <m/>
    <m/>
    <m/>
    <m/>
    <m/>
    <m/>
    <m/>
    <m/>
    <m/>
    <m/>
    <m/>
    <m/>
    <m/>
    <m/>
    <m/>
    <m/>
    <n v="26"/>
    <m/>
    <m/>
    <m/>
    <m/>
    <m/>
    <m/>
    <m/>
    <x v="2"/>
    <x v="2"/>
    <m/>
    <m/>
    <m/>
    <m/>
    <m/>
    <m/>
    <n v="7"/>
    <m/>
    <m/>
    <n v="4"/>
    <m/>
    <m/>
    <m/>
    <m/>
    <m/>
    <s v="Yes"/>
    <m/>
    <m/>
    <m/>
    <m/>
    <m/>
    <m/>
    <m/>
    <m/>
    <m/>
    <m/>
    <m/>
    <m/>
    <m/>
    <m/>
    <s v="no test"/>
    <s v="no test"/>
    <s v="No Test"/>
    <n v="0"/>
    <n v="0"/>
    <n v="0"/>
    <n v="0"/>
    <n v="0"/>
    <n v="0"/>
    <n v="0"/>
    <m/>
    <n v="0"/>
    <n v="0"/>
    <n v="0"/>
    <n v="0"/>
    <n v="0"/>
    <n v="0"/>
    <n v="0"/>
    <n v="0"/>
    <n v="0"/>
    <n v="1"/>
    <n v="162"/>
    <n v="1"/>
    <n v="1"/>
    <n v="26"/>
    <n v="1"/>
    <n v="162"/>
    <n v="0"/>
    <n v="0"/>
    <n v="0"/>
    <n v="8"/>
    <n v="0"/>
    <n v="0"/>
    <n v="0"/>
    <n v="0"/>
    <n v="0"/>
    <n v="0"/>
    <n v="0"/>
    <n v="0"/>
    <n v="0"/>
    <n v="1"/>
    <n v="0"/>
    <n v="0"/>
    <n v="0"/>
    <n v="7"/>
    <n v="27"/>
    <n v="0"/>
    <n v="162"/>
    <s v="No"/>
    <s v=""/>
    <n v="0"/>
    <n v="0"/>
    <n v="0"/>
    <n v="0"/>
    <n v="0"/>
    <n v="0"/>
    <n v="0"/>
    <n v="0"/>
    <x v="0"/>
    <x v="4"/>
    <x v="0"/>
    <n v="23.400155999999999"/>
    <n v="98.220614999999995"/>
    <s v="MMR015CMP071"/>
    <x v="0"/>
    <x v="0"/>
    <s v="yes"/>
    <n v="27"/>
    <n v="162"/>
  </r>
  <r>
    <x v="0"/>
    <x v="9"/>
    <x v="7"/>
    <s v="UNICEF, USAID"/>
    <x v="0"/>
    <x v="17"/>
    <x v="0"/>
    <x v="93"/>
    <n v="74"/>
    <n v="439"/>
    <d v="2021-11-11T00:00:00"/>
    <d v="2022-12-31T00:00:00"/>
    <m/>
    <n v="1"/>
    <m/>
    <m/>
    <s v="Yes"/>
    <n v="5"/>
    <n v="1"/>
    <m/>
    <m/>
    <m/>
    <m/>
    <m/>
    <m/>
    <m/>
    <n v="14"/>
    <m/>
    <m/>
    <m/>
    <m/>
    <m/>
    <m/>
    <m/>
    <m/>
    <m/>
    <m/>
    <m/>
    <m/>
    <m/>
    <m/>
    <m/>
    <n v="40"/>
    <m/>
    <m/>
    <m/>
    <m/>
    <m/>
    <m/>
    <m/>
    <x v="2"/>
    <x v="2"/>
    <m/>
    <m/>
    <m/>
    <m/>
    <m/>
    <m/>
    <n v="3"/>
    <m/>
    <m/>
    <n v="2"/>
    <m/>
    <m/>
    <n v="1"/>
    <m/>
    <m/>
    <s v="Yes"/>
    <m/>
    <m/>
    <m/>
    <m/>
    <m/>
    <m/>
    <m/>
    <m/>
    <m/>
    <m/>
    <m/>
    <m/>
    <m/>
    <m/>
    <s v="no test"/>
    <s v="no test"/>
    <s v="No Test"/>
    <n v="0"/>
    <n v="0"/>
    <n v="14"/>
    <n v="0"/>
    <n v="0"/>
    <n v="0"/>
    <n v="0"/>
    <m/>
    <n v="1"/>
    <n v="1"/>
    <n v="1"/>
    <n v="439"/>
    <n v="0"/>
    <n v="0"/>
    <n v="1"/>
    <n v="439"/>
    <n v="0.878"/>
    <n v="0"/>
    <n v="0"/>
    <n v="0.122"/>
    <n v="1"/>
    <n v="40"/>
    <n v="1"/>
    <n v="439"/>
    <n v="0"/>
    <n v="0"/>
    <n v="0"/>
    <n v="22"/>
    <n v="0"/>
    <n v="0"/>
    <n v="0"/>
    <n v="439"/>
    <n v="0"/>
    <n v="0"/>
    <n v="0"/>
    <n v="439"/>
    <n v="1"/>
    <n v="0"/>
    <n v="1"/>
    <n v="0"/>
    <n v="0"/>
    <n v="3"/>
    <n v="60"/>
    <n v="0"/>
    <n v="300"/>
    <s v="No"/>
    <s v=""/>
    <n v="0"/>
    <n v="0"/>
    <n v="0"/>
    <n v="0"/>
    <n v="0"/>
    <n v="0"/>
    <n v="0"/>
    <s v="uncovered"/>
    <x v="0"/>
    <x v="0"/>
    <x v="0"/>
    <n v="23.234137"/>
    <n v="97.505339000000006"/>
    <s v="MMR015CMP030"/>
    <x v="0"/>
    <x v="0"/>
    <s v="yes"/>
    <n v="86"/>
    <n v="525"/>
  </r>
  <r>
    <x v="0"/>
    <x v="9"/>
    <x v="7"/>
    <s v="UNICEF, USAID"/>
    <x v="0"/>
    <x v="17"/>
    <x v="0"/>
    <x v="94"/>
    <n v="26"/>
    <n v="132"/>
    <d v="2021-11-11T00:00:00"/>
    <d v="2022-11-10T00:00:00"/>
    <m/>
    <m/>
    <m/>
    <m/>
    <m/>
    <n v="3"/>
    <n v="2"/>
    <m/>
    <m/>
    <m/>
    <m/>
    <m/>
    <m/>
    <m/>
    <n v="8"/>
    <m/>
    <m/>
    <m/>
    <m/>
    <m/>
    <m/>
    <m/>
    <m/>
    <m/>
    <m/>
    <m/>
    <m/>
    <m/>
    <m/>
    <m/>
    <n v="27"/>
    <m/>
    <m/>
    <m/>
    <m/>
    <m/>
    <m/>
    <n v="2"/>
    <x v="1"/>
    <x v="0"/>
    <m/>
    <m/>
    <m/>
    <m/>
    <m/>
    <m/>
    <n v="7"/>
    <m/>
    <m/>
    <n v="7"/>
    <m/>
    <m/>
    <n v="1"/>
    <m/>
    <m/>
    <m/>
    <m/>
    <m/>
    <m/>
    <m/>
    <m/>
    <m/>
    <m/>
    <m/>
    <m/>
    <m/>
    <m/>
    <m/>
    <m/>
    <m/>
    <s v="no test"/>
    <s v="no test"/>
    <s v="No Test"/>
    <n v="0"/>
    <n v="0"/>
    <n v="8"/>
    <n v="0"/>
    <n v="0"/>
    <n v="0"/>
    <n v="0"/>
    <m/>
    <n v="1"/>
    <n v="1"/>
    <n v="1"/>
    <n v="132"/>
    <n v="0"/>
    <n v="0"/>
    <n v="1"/>
    <n v="132"/>
    <n v="0.26400000000000001"/>
    <n v="0"/>
    <n v="0"/>
    <n v="0.73599999999999999"/>
    <n v="1"/>
    <n v="27"/>
    <n v="1"/>
    <n v="132"/>
    <n v="0"/>
    <n v="0"/>
    <n v="0"/>
    <n v="7"/>
    <n v="0"/>
    <n v="0"/>
    <n v="0"/>
    <n v="132"/>
    <n v="0"/>
    <n v="0"/>
    <n v="0"/>
    <n v="132"/>
    <n v="1"/>
    <n v="0"/>
    <n v="1"/>
    <n v="0"/>
    <n v="0"/>
    <n v="7"/>
    <n v="26"/>
    <n v="0"/>
    <n v="132"/>
    <s v="No"/>
    <s v=""/>
    <n v="0"/>
    <n v="0"/>
    <n v="0"/>
    <n v="0"/>
    <n v="0"/>
    <n v="0"/>
    <s v="Yes"/>
    <s v="KMSS-LSO"/>
    <x v="0"/>
    <x v="2"/>
    <x v="0"/>
    <n v="23.38503"/>
    <n v="97.837040000000002"/>
    <s v="MMR015CMP017"/>
    <x v="0"/>
    <x v="0"/>
    <s v="yes"/>
    <n v="26"/>
    <n v="135"/>
  </r>
  <r>
    <x v="0"/>
    <x v="9"/>
    <x v="7"/>
    <s v="UNICEF, USAID"/>
    <x v="0"/>
    <x v="17"/>
    <x v="0"/>
    <x v="95"/>
    <n v="29"/>
    <n v="130"/>
    <d v="2021-11-11T00:00:00"/>
    <d v="2022-12-31T00:00:00"/>
    <m/>
    <n v="1"/>
    <m/>
    <m/>
    <s v="Yes"/>
    <n v="4"/>
    <n v="5"/>
    <m/>
    <m/>
    <m/>
    <m/>
    <m/>
    <m/>
    <m/>
    <n v="13"/>
    <m/>
    <m/>
    <m/>
    <m/>
    <m/>
    <m/>
    <m/>
    <m/>
    <m/>
    <m/>
    <m/>
    <m/>
    <m/>
    <m/>
    <m/>
    <n v="30"/>
    <m/>
    <m/>
    <m/>
    <m/>
    <m/>
    <m/>
    <m/>
    <x v="1"/>
    <x v="1"/>
    <m/>
    <m/>
    <m/>
    <m/>
    <m/>
    <m/>
    <n v="7"/>
    <m/>
    <m/>
    <n v="1"/>
    <m/>
    <m/>
    <n v="1"/>
    <m/>
    <m/>
    <s v="Yes"/>
    <m/>
    <m/>
    <m/>
    <m/>
    <m/>
    <m/>
    <m/>
    <m/>
    <m/>
    <m/>
    <m/>
    <m/>
    <m/>
    <m/>
    <s v="no test"/>
    <s v="no test"/>
    <s v="No Test"/>
    <n v="0"/>
    <n v="0"/>
    <n v="13"/>
    <n v="0"/>
    <n v="0"/>
    <n v="0"/>
    <n v="0"/>
    <m/>
    <n v="1"/>
    <n v="1"/>
    <n v="1"/>
    <n v="130"/>
    <n v="0"/>
    <n v="0"/>
    <n v="1"/>
    <n v="130"/>
    <n v="0.26"/>
    <n v="0"/>
    <n v="0"/>
    <n v="0.74"/>
    <n v="1"/>
    <n v="30"/>
    <n v="1"/>
    <n v="130"/>
    <n v="0"/>
    <n v="0"/>
    <n v="0"/>
    <n v="7"/>
    <n v="0"/>
    <n v="0"/>
    <n v="0"/>
    <n v="130"/>
    <n v="0"/>
    <n v="0"/>
    <n v="0"/>
    <n v="130"/>
    <n v="1"/>
    <n v="0"/>
    <n v="1"/>
    <n v="0"/>
    <n v="0"/>
    <n v="7"/>
    <n v="29"/>
    <n v="0"/>
    <n v="130"/>
    <s v="No"/>
    <s v=""/>
    <n v="0"/>
    <n v="0"/>
    <n v="0"/>
    <n v="0"/>
    <n v="0"/>
    <n v="0"/>
    <s v="Yes"/>
    <s v="KMSS-LSO"/>
    <x v="0"/>
    <x v="2"/>
    <x v="0"/>
    <n v="23.638999999999999"/>
    <n v="97.861999999999995"/>
    <s v="MMR015CMP068"/>
    <x v="0"/>
    <x v="0"/>
    <s v="yes"/>
    <n v="31"/>
    <n v="145"/>
  </r>
  <r>
    <x v="0"/>
    <x v="9"/>
    <x v="7"/>
    <s v="UNICEF, USAID"/>
    <x v="0"/>
    <x v="17"/>
    <x v="0"/>
    <x v="96"/>
    <n v="40"/>
    <n v="244"/>
    <d v="2021-11-11T00:00:00"/>
    <d v="2022-12-31T00:00:00"/>
    <m/>
    <n v="1"/>
    <m/>
    <m/>
    <s v="Yes"/>
    <n v="3"/>
    <n v="3"/>
    <n v="1"/>
    <m/>
    <m/>
    <n v="1"/>
    <n v="2"/>
    <m/>
    <m/>
    <m/>
    <m/>
    <m/>
    <m/>
    <m/>
    <m/>
    <m/>
    <m/>
    <m/>
    <m/>
    <m/>
    <m/>
    <m/>
    <m/>
    <m/>
    <m/>
    <n v="12"/>
    <m/>
    <m/>
    <m/>
    <m/>
    <m/>
    <m/>
    <m/>
    <x v="1"/>
    <x v="0"/>
    <m/>
    <m/>
    <n v="1"/>
    <m/>
    <m/>
    <m/>
    <n v="7"/>
    <m/>
    <m/>
    <n v="1"/>
    <m/>
    <m/>
    <n v="1"/>
    <m/>
    <m/>
    <s v="Yes"/>
    <m/>
    <m/>
    <m/>
    <m/>
    <m/>
    <m/>
    <m/>
    <m/>
    <m/>
    <m/>
    <m/>
    <m/>
    <m/>
    <m/>
    <s v="no test"/>
    <s v="no test"/>
    <s v="No Test"/>
    <n v="1"/>
    <n v="3"/>
    <n v="0"/>
    <n v="0"/>
    <n v="0"/>
    <n v="0"/>
    <n v="0"/>
    <m/>
    <n v="1"/>
    <n v="1"/>
    <n v="1"/>
    <n v="244"/>
    <n v="0"/>
    <n v="0"/>
    <n v="1"/>
    <n v="244"/>
    <n v="0.48799999999999999"/>
    <n v="0"/>
    <n v="0"/>
    <n v="0.51200000000000001"/>
    <n v="1"/>
    <n v="12"/>
    <n v="0.98360655737704916"/>
    <n v="240"/>
    <n v="0"/>
    <n v="0"/>
    <n v="0"/>
    <n v="12"/>
    <n v="0"/>
    <n v="1.6393442622950838E-2"/>
    <n v="0"/>
    <n v="244"/>
    <n v="0"/>
    <n v="0"/>
    <n v="0"/>
    <n v="244"/>
    <n v="1"/>
    <n v="0"/>
    <n v="1"/>
    <n v="0"/>
    <n v="0"/>
    <n v="7"/>
    <n v="40"/>
    <n v="0"/>
    <n v="244"/>
    <s v="No"/>
    <s v=""/>
    <n v="0"/>
    <n v="0"/>
    <n v="0"/>
    <n v="0"/>
    <n v="0"/>
    <n v="0"/>
    <s v="Yes"/>
    <s v="KBC-NSS"/>
    <x v="0"/>
    <x v="2"/>
    <x v="0"/>
    <n v="23.450914000000001"/>
    <n v="97.926813999999993"/>
    <s v="MMR015CMP016"/>
    <x v="0"/>
    <x v="0"/>
    <s v="yes"/>
    <n v="39"/>
    <n v="243"/>
  </r>
  <r>
    <x v="0"/>
    <x v="9"/>
    <x v="7"/>
    <s v="UNICEF, USAID"/>
    <x v="0"/>
    <x v="17"/>
    <x v="0"/>
    <x v="97"/>
    <n v="38"/>
    <n v="180"/>
    <d v="2021-11-11T00:00:00"/>
    <d v="2022-12-31T00:00:00"/>
    <m/>
    <m/>
    <m/>
    <m/>
    <m/>
    <n v="4"/>
    <n v="5"/>
    <n v="1"/>
    <m/>
    <m/>
    <n v="1"/>
    <m/>
    <m/>
    <m/>
    <m/>
    <m/>
    <m/>
    <m/>
    <m/>
    <m/>
    <m/>
    <m/>
    <m/>
    <m/>
    <m/>
    <m/>
    <m/>
    <m/>
    <m/>
    <m/>
    <n v="9"/>
    <m/>
    <m/>
    <m/>
    <m/>
    <m/>
    <m/>
    <m/>
    <x v="1"/>
    <x v="1"/>
    <m/>
    <m/>
    <m/>
    <m/>
    <m/>
    <m/>
    <n v="4"/>
    <m/>
    <m/>
    <n v="2"/>
    <m/>
    <m/>
    <n v="1"/>
    <m/>
    <m/>
    <s v="Yes"/>
    <m/>
    <m/>
    <m/>
    <m/>
    <m/>
    <m/>
    <m/>
    <m/>
    <m/>
    <m/>
    <m/>
    <m/>
    <m/>
    <m/>
    <s v="no test"/>
    <s v="no test"/>
    <s v="No Test"/>
    <n v="1"/>
    <n v="1"/>
    <n v="0"/>
    <n v="0"/>
    <n v="0"/>
    <n v="0"/>
    <n v="0"/>
    <m/>
    <n v="1"/>
    <n v="1"/>
    <n v="1"/>
    <n v="180"/>
    <n v="0"/>
    <n v="0"/>
    <n v="1"/>
    <n v="180"/>
    <n v="0.36"/>
    <n v="0"/>
    <n v="0"/>
    <n v="0.64"/>
    <n v="1"/>
    <n v="9"/>
    <n v="1"/>
    <n v="180"/>
    <n v="0"/>
    <n v="0"/>
    <n v="0"/>
    <n v="9"/>
    <n v="0"/>
    <n v="0"/>
    <n v="0"/>
    <n v="180"/>
    <n v="0"/>
    <n v="0"/>
    <n v="0"/>
    <n v="180"/>
    <n v="1"/>
    <n v="0"/>
    <n v="1"/>
    <n v="0"/>
    <n v="0"/>
    <n v="4"/>
    <n v="38"/>
    <n v="0"/>
    <n v="180"/>
    <s v="No"/>
    <s v=""/>
    <n v="0"/>
    <n v="0"/>
    <n v="0"/>
    <n v="0"/>
    <n v="0"/>
    <n v="0"/>
    <s v="Yes"/>
    <s v="KBC-NSS"/>
    <x v="0"/>
    <x v="2"/>
    <x v="0"/>
    <n v="23.460349999999998"/>
    <n v="97.947360000000003"/>
    <s v="MMR015CMP063"/>
    <x v="0"/>
    <x v="0"/>
    <s v="yes"/>
    <n v="34"/>
    <n v="150"/>
  </r>
  <r>
    <x v="0"/>
    <x v="9"/>
    <x v="7"/>
    <s v="UNICEF, USAID"/>
    <x v="0"/>
    <x v="17"/>
    <x v="0"/>
    <x v="98"/>
    <n v="74"/>
    <n v="502"/>
    <d v="2021-11-11T00:00:00"/>
    <d v="2022-12-31T00:00:00"/>
    <m/>
    <m/>
    <m/>
    <m/>
    <m/>
    <n v="6"/>
    <n v="3"/>
    <m/>
    <m/>
    <m/>
    <m/>
    <m/>
    <m/>
    <m/>
    <n v="8"/>
    <m/>
    <m/>
    <m/>
    <m/>
    <m/>
    <m/>
    <m/>
    <m/>
    <m/>
    <m/>
    <m/>
    <n v="1"/>
    <n v="2"/>
    <m/>
    <m/>
    <n v="85"/>
    <m/>
    <m/>
    <m/>
    <m/>
    <m/>
    <m/>
    <n v="5"/>
    <x v="1"/>
    <x v="3"/>
    <m/>
    <m/>
    <m/>
    <m/>
    <m/>
    <m/>
    <n v="2"/>
    <m/>
    <m/>
    <n v="1"/>
    <m/>
    <n v="1"/>
    <m/>
    <m/>
    <m/>
    <s v="Yes"/>
    <m/>
    <m/>
    <m/>
    <m/>
    <m/>
    <m/>
    <m/>
    <m/>
    <m/>
    <m/>
    <m/>
    <m/>
    <m/>
    <m/>
    <s v="no test"/>
    <s v="no test"/>
    <s v="No Test"/>
    <n v="0"/>
    <n v="0"/>
    <n v="8"/>
    <n v="0"/>
    <n v="0"/>
    <n v="502"/>
    <n v="0"/>
    <m/>
    <n v="1"/>
    <n v="1"/>
    <n v="1"/>
    <n v="502"/>
    <n v="0"/>
    <n v="0"/>
    <n v="1"/>
    <n v="502"/>
    <n v="1.004"/>
    <n v="0"/>
    <n v="0"/>
    <n v="0"/>
    <n v="1"/>
    <n v="85"/>
    <n v="1"/>
    <n v="502"/>
    <n v="0"/>
    <n v="0"/>
    <n v="0"/>
    <n v="25"/>
    <n v="0"/>
    <n v="0"/>
    <n v="0"/>
    <n v="500"/>
    <n v="0"/>
    <n v="0"/>
    <n v="0"/>
    <n v="500"/>
    <n v="0.99601593625498008"/>
    <n v="3.9840637450199168E-3"/>
    <n v="0.99601593625498008"/>
    <n v="0"/>
    <n v="0"/>
    <n v="2"/>
    <n v="40"/>
    <n v="1"/>
    <n v="200"/>
    <s v="No"/>
    <s v=""/>
    <n v="0"/>
    <n v="0"/>
    <n v="0"/>
    <n v="0"/>
    <n v="502"/>
    <n v="0"/>
    <s v="Yes"/>
    <s v="KMSS-LSO"/>
    <x v="0"/>
    <x v="2"/>
    <x v="0"/>
    <n v="23.591999999999999"/>
    <n v="97.796999999999997"/>
    <s v="MMR015CMP038"/>
    <x v="0"/>
    <x v="0"/>
    <s v="yes"/>
    <n v="72"/>
    <n v="376"/>
  </r>
  <r>
    <x v="0"/>
    <x v="9"/>
    <x v="7"/>
    <s v="UNICEF, USAID"/>
    <x v="0"/>
    <x v="17"/>
    <x v="0"/>
    <x v="99"/>
    <n v="26"/>
    <n v="104"/>
    <d v="2021-11-11T00:00:00"/>
    <d v="2022-12-31T00:00:00"/>
    <m/>
    <m/>
    <m/>
    <m/>
    <m/>
    <m/>
    <m/>
    <m/>
    <m/>
    <m/>
    <m/>
    <n v="1"/>
    <m/>
    <m/>
    <m/>
    <m/>
    <m/>
    <m/>
    <m/>
    <m/>
    <m/>
    <m/>
    <m/>
    <m/>
    <m/>
    <m/>
    <m/>
    <m/>
    <m/>
    <m/>
    <n v="4"/>
    <m/>
    <m/>
    <m/>
    <m/>
    <m/>
    <m/>
    <m/>
    <x v="2"/>
    <x v="2"/>
    <m/>
    <m/>
    <m/>
    <m/>
    <m/>
    <m/>
    <n v="8"/>
    <m/>
    <m/>
    <n v="3"/>
    <m/>
    <m/>
    <m/>
    <m/>
    <m/>
    <s v="Yes"/>
    <m/>
    <m/>
    <m/>
    <m/>
    <m/>
    <m/>
    <m/>
    <m/>
    <m/>
    <m/>
    <m/>
    <m/>
    <m/>
    <m/>
    <s v="no test"/>
    <s v="no test"/>
    <s v="No Test"/>
    <n v="0"/>
    <n v="1"/>
    <n v="0"/>
    <n v="0"/>
    <n v="0"/>
    <n v="0"/>
    <n v="0"/>
    <m/>
    <n v="1"/>
    <n v="1"/>
    <n v="1"/>
    <n v="104"/>
    <n v="0"/>
    <n v="0"/>
    <n v="1"/>
    <n v="104"/>
    <n v="0.20799999999999999"/>
    <n v="0"/>
    <n v="0"/>
    <n v="0.79200000000000004"/>
    <n v="1"/>
    <n v="4"/>
    <n v="0.76923076923076927"/>
    <n v="80"/>
    <n v="0"/>
    <n v="0"/>
    <n v="0"/>
    <n v="5"/>
    <n v="1"/>
    <n v="0.23076923076923073"/>
    <n v="0"/>
    <n v="0"/>
    <n v="0"/>
    <n v="0"/>
    <n v="0"/>
    <n v="0"/>
    <n v="0"/>
    <n v="1"/>
    <n v="0"/>
    <n v="0"/>
    <n v="0"/>
    <n v="8"/>
    <n v="26"/>
    <n v="0"/>
    <n v="104"/>
    <s v="No"/>
    <s v=""/>
    <n v="0"/>
    <n v="0"/>
    <n v="0"/>
    <n v="0"/>
    <n v="0"/>
    <n v="0"/>
    <n v="0"/>
    <s v="uncovered"/>
    <x v="0"/>
    <x v="1"/>
    <x v="0"/>
    <n v="23.621317999999999"/>
    <n v="97.795981999999995"/>
    <s v="MMR015CMP064"/>
    <x v="0"/>
    <x v="0"/>
    <s v="yes"/>
    <n v="24"/>
    <n v="84"/>
  </r>
  <r>
    <x v="0"/>
    <x v="9"/>
    <x v="7"/>
    <s v="UNICEF, USAID"/>
    <x v="0"/>
    <x v="17"/>
    <x v="0"/>
    <x v="100"/>
    <n v="64"/>
    <n v="251"/>
    <d v="2021-11-11T00:00:00"/>
    <d v="2022-12-31T00:00:00"/>
    <m/>
    <n v="1"/>
    <m/>
    <m/>
    <s v="Yes"/>
    <n v="4"/>
    <n v="5"/>
    <m/>
    <m/>
    <m/>
    <m/>
    <m/>
    <m/>
    <m/>
    <n v="14"/>
    <m/>
    <m/>
    <m/>
    <m/>
    <m/>
    <m/>
    <n v="1"/>
    <m/>
    <m/>
    <m/>
    <m/>
    <n v="3"/>
    <m/>
    <m/>
    <m/>
    <n v="71"/>
    <m/>
    <m/>
    <m/>
    <m/>
    <m/>
    <m/>
    <m/>
    <x v="0"/>
    <x v="3"/>
    <m/>
    <m/>
    <n v="4"/>
    <m/>
    <m/>
    <m/>
    <n v="5"/>
    <m/>
    <m/>
    <n v="3"/>
    <m/>
    <n v="1"/>
    <m/>
    <m/>
    <m/>
    <s v="Yes"/>
    <m/>
    <m/>
    <m/>
    <m/>
    <m/>
    <m/>
    <m/>
    <m/>
    <m/>
    <m/>
    <m/>
    <m/>
    <m/>
    <m/>
    <s v="no test"/>
    <s v="no test"/>
    <s v="No Test"/>
    <n v="0"/>
    <n v="0"/>
    <n v="14"/>
    <n v="0"/>
    <n v="0"/>
    <n v="0"/>
    <n v="0"/>
    <m/>
    <n v="1"/>
    <n v="1"/>
    <n v="1"/>
    <n v="251"/>
    <n v="0"/>
    <n v="0"/>
    <n v="1"/>
    <n v="251"/>
    <n v="0.502"/>
    <n v="0"/>
    <n v="0"/>
    <n v="0.498"/>
    <n v="1"/>
    <n v="71"/>
    <n v="1"/>
    <n v="251"/>
    <n v="0"/>
    <n v="0"/>
    <n v="0"/>
    <n v="42"/>
    <n v="0"/>
    <n v="0"/>
    <n v="0"/>
    <n v="251"/>
    <n v="0"/>
    <n v="0"/>
    <n v="0"/>
    <n v="251"/>
    <n v="1"/>
    <n v="0"/>
    <n v="1"/>
    <n v="0"/>
    <n v="0"/>
    <n v="5"/>
    <n v="64"/>
    <n v="3"/>
    <n v="251"/>
    <s v="No"/>
    <s v=""/>
    <n v="0"/>
    <n v="0"/>
    <n v="0"/>
    <n v="0"/>
    <n v="0"/>
    <n v="0"/>
    <s v="Yes"/>
    <s v="KMSS-LSO"/>
    <x v="1"/>
    <x v="2"/>
    <x v="0"/>
    <n v="23.588920000000002"/>
    <n v="97.793019999999999"/>
    <s v="MMR015CMP018"/>
    <x v="0"/>
    <x v="0"/>
    <s v="yes"/>
    <n v="68"/>
    <n v="260"/>
  </r>
  <r>
    <x v="0"/>
    <x v="9"/>
    <x v="7"/>
    <s v="UNICEF, USAID"/>
    <x v="0"/>
    <x v="17"/>
    <x v="0"/>
    <x v="101"/>
    <n v="31"/>
    <n v="176"/>
    <d v="2021-11-11T00:00:00"/>
    <d v="2022-12-31T00:00:00"/>
    <m/>
    <m/>
    <m/>
    <m/>
    <m/>
    <n v="5"/>
    <n v="4"/>
    <m/>
    <m/>
    <m/>
    <m/>
    <m/>
    <m/>
    <m/>
    <n v="14"/>
    <m/>
    <m/>
    <m/>
    <m/>
    <m/>
    <m/>
    <m/>
    <m/>
    <m/>
    <m/>
    <m/>
    <m/>
    <m/>
    <m/>
    <m/>
    <n v="34"/>
    <m/>
    <m/>
    <m/>
    <m/>
    <m/>
    <m/>
    <m/>
    <x v="1"/>
    <x v="1"/>
    <m/>
    <m/>
    <n v="2"/>
    <m/>
    <m/>
    <m/>
    <n v="2"/>
    <m/>
    <m/>
    <n v="2"/>
    <m/>
    <m/>
    <n v="1"/>
    <m/>
    <m/>
    <s v="Yes"/>
    <m/>
    <m/>
    <m/>
    <m/>
    <m/>
    <m/>
    <m/>
    <m/>
    <m/>
    <m/>
    <m/>
    <m/>
    <m/>
    <m/>
    <s v="no test"/>
    <s v="no test"/>
    <s v="No Test"/>
    <n v="0"/>
    <n v="0"/>
    <n v="14"/>
    <n v="0"/>
    <n v="0"/>
    <n v="0"/>
    <n v="0"/>
    <m/>
    <n v="1"/>
    <n v="1"/>
    <n v="1"/>
    <n v="176"/>
    <n v="0"/>
    <n v="0"/>
    <n v="1"/>
    <n v="176"/>
    <n v="0.35199999999999998"/>
    <n v="0"/>
    <n v="0"/>
    <n v="0.64800000000000002"/>
    <n v="1"/>
    <n v="34"/>
    <n v="1"/>
    <n v="176"/>
    <n v="0"/>
    <n v="0"/>
    <n v="0"/>
    <n v="9"/>
    <n v="0"/>
    <n v="0"/>
    <n v="0"/>
    <n v="176"/>
    <n v="0"/>
    <n v="0"/>
    <n v="0"/>
    <n v="176"/>
    <n v="1"/>
    <n v="0"/>
    <n v="1"/>
    <n v="0"/>
    <n v="0"/>
    <n v="2"/>
    <n v="31"/>
    <n v="0"/>
    <n v="176"/>
    <s v="No"/>
    <s v=""/>
    <n v="0"/>
    <n v="0"/>
    <n v="0"/>
    <n v="0"/>
    <n v="0"/>
    <n v="0"/>
    <n v="0"/>
    <s v="uncovered"/>
    <x v="0"/>
    <x v="0"/>
    <x v="0"/>
    <n v="23.850999999999999"/>
    <n v="98.337999999999994"/>
    <s v="MMR015CMP045"/>
    <x v="0"/>
    <x v="0"/>
    <s v="yes"/>
    <n v="30"/>
    <n v="170"/>
  </r>
  <r>
    <x v="0"/>
    <x v="9"/>
    <x v="7"/>
    <s v="UNICEF, USAID"/>
    <x v="0"/>
    <x v="17"/>
    <x v="0"/>
    <x v="102"/>
    <n v="54"/>
    <n v="250"/>
    <d v="2021-11-11T00:00:00"/>
    <d v="2022-12-31T00:00:00"/>
    <m/>
    <n v="1"/>
    <m/>
    <m/>
    <s v="Yes"/>
    <n v="5"/>
    <n v="4"/>
    <m/>
    <m/>
    <m/>
    <m/>
    <m/>
    <m/>
    <m/>
    <n v="12"/>
    <m/>
    <m/>
    <m/>
    <m/>
    <m/>
    <m/>
    <n v="1"/>
    <m/>
    <m/>
    <m/>
    <m/>
    <m/>
    <m/>
    <m/>
    <m/>
    <n v="18"/>
    <m/>
    <m/>
    <m/>
    <m/>
    <m/>
    <m/>
    <m/>
    <x v="1"/>
    <x v="1"/>
    <m/>
    <m/>
    <m/>
    <m/>
    <m/>
    <m/>
    <n v="6"/>
    <m/>
    <m/>
    <n v="1"/>
    <m/>
    <m/>
    <n v="2"/>
    <m/>
    <m/>
    <s v="Yes"/>
    <m/>
    <m/>
    <m/>
    <m/>
    <m/>
    <m/>
    <m/>
    <m/>
    <m/>
    <m/>
    <m/>
    <m/>
    <m/>
    <m/>
    <s v="no test"/>
    <s v="no test"/>
    <s v="No Test"/>
    <n v="0"/>
    <n v="0"/>
    <n v="12"/>
    <n v="0"/>
    <n v="0"/>
    <n v="0"/>
    <n v="0"/>
    <m/>
    <n v="1"/>
    <n v="1"/>
    <n v="1"/>
    <n v="250"/>
    <n v="0"/>
    <n v="0"/>
    <n v="1"/>
    <n v="250"/>
    <n v="0.5"/>
    <n v="0"/>
    <n v="0"/>
    <n v="0.5"/>
    <n v="1"/>
    <n v="18"/>
    <n v="1"/>
    <n v="250"/>
    <n v="0"/>
    <n v="0"/>
    <n v="0"/>
    <n v="13"/>
    <n v="0"/>
    <n v="0"/>
    <n v="0"/>
    <n v="250"/>
    <n v="0"/>
    <n v="0"/>
    <n v="0"/>
    <n v="250"/>
    <n v="1"/>
    <n v="0"/>
    <n v="1"/>
    <n v="0"/>
    <n v="0"/>
    <n v="6"/>
    <n v="54"/>
    <n v="0"/>
    <n v="250"/>
    <s v="No"/>
    <s v=""/>
    <n v="0"/>
    <n v="0"/>
    <n v="0"/>
    <n v="0"/>
    <n v="0"/>
    <n v="0"/>
    <s v="Yes"/>
    <s v="KBC-NSS"/>
    <x v="0"/>
    <x v="2"/>
    <x v="0"/>
    <n v="23.694130000000001"/>
    <n v="97.818979999999996"/>
    <s v="MMR015CMP007"/>
    <x v="0"/>
    <x v="0"/>
    <s v="yes"/>
    <n v="57"/>
    <n v="303"/>
  </r>
  <r>
    <x v="0"/>
    <x v="9"/>
    <x v="7"/>
    <s v="UNICEF, USAID"/>
    <x v="0"/>
    <x v="17"/>
    <x v="0"/>
    <x v="103"/>
    <n v="35"/>
    <n v="158"/>
    <d v="2021-11-11T00:00:00"/>
    <d v="2022-12-31T00:00:00"/>
    <m/>
    <n v="1"/>
    <m/>
    <m/>
    <s v="Yes"/>
    <n v="5"/>
    <n v="4"/>
    <m/>
    <m/>
    <m/>
    <n v="2"/>
    <m/>
    <m/>
    <m/>
    <m/>
    <m/>
    <m/>
    <m/>
    <m/>
    <m/>
    <m/>
    <n v="1"/>
    <m/>
    <m/>
    <m/>
    <m/>
    <m/>
    <m/>
    <m/>
    <m/>
    <n v="8"/>
    <m/>
    <m/>
    <m/>
    <m/>
    <m/>
    <m/>
    <m/>
    <x v="1"/>
    <x v="0"/>
    <m/>
    <m/>
    <m/>
    <m/>
    <m/>
    <m/>
    <n v="4"/>
    <m/>
    <m/>
    <n v="1"/>
    <m/>
    <m/>
    <n v="2"/>
    <m/>
    <m/>
    <s v="Yes"/>
    <m/>
    <m/>
    <m/>
    <m/>
    <m/>
    <m/>
    <m/>
    <m/>
    <m/>
    <m/>
    <m/>
    <m/>
    <m/>
    <m/>
    <s v="no test"/>
    <s v="no test"/>
    <s v="No Test"/>
    <n v="0"/>
    <n v="2"/>
    <n v="0"/>
    <n v="0"/>
    <n v="0"/>
    <n v="0"/>
    <n v="0"/>
    <m/>
    <n v="1"/>
    <n v="1"/>
    <n v="1"/>
    <n v="158"/>
    <n v="0"/>
    <n v="0"/>
    <n v="1"/>
    <n v="158"/>
    <n v="0.316"/>
    <n v="0"/>
    <n v="0"/>
    <n v="0.68399999999999994"/>
    <n v="1"/>
    <n v="8"/>
    <n v="1"/>
    <n v="158"/>
    <n v="0"/>
    <n v="0"/>
    <n v="0"/>
    <n v="8"/>
    <n v="0"/>
    <n v="0"/>
    <n v="0"/>
    <n v="158"/>
    <n v="0"/>
    <n v="0"/>
    <n v="0"/>
    <n v="158"/>
    <n v="1"/>
    <n v="0"/>
    <n v="1"/>
    <n v="0"/>
    <n v="0"/>
    <n v="4"/>
    <n v="35"/>
    <n v="0"/>
    <n v="158"/>
    <s v="No"/>
    <s v=""/>
    <n v="0"/>
    <n v="0"/>
    <n v="0"/>
    <n v="0"/>
    <n v="0"/>
    <n v="0"/>
    <s v="Yes"/>
    <s v="KMSS-LSO"/>
    <x v="0"/>
    <x v="2"/>
    <x v="0"/>
    <n v="23.682887999999998"/>
    <n v="97.810101000000003"/>
    <s v="MMR015CMP043"/>
    <x v="0"/>
    <x v="0"/>
    <s v="yes"/>
    <n v="36"/>
    <n v="161"/>
  </r>
  <r>
    <x v="0"/>
    <x v="9"/>
    <x v="7"/>
    <s v="UNICEF, USAID"/>
    <x v="0"/>
    <x v="17"/>
    <x v="0"/>
    <x v="104"/>
    <n v="121"/>
    <n v="664"/>
    <d v="2021-11-11T00:00:00"/>
    <d v="2022-12-31T00:00:00"/>
    <m/>
    <n v="1"/>
    <m/>
    <m/>
    <s v="Yes"/>
    <n v="4"/>
    <n v="5"/>
    <m/>
    <m/>
    <m/>
    <m/>
    <m/>
    <m/>
    <m/>
    <n v="8"/>
    <m/>
    <m/>
    <m/>
    <m/>
    <m/>
    <m/>
    <m/>
    <m/>
    <m/>
    <m/>
    <m/>
    <n v="1"/>
    <m/>
    <m/>
    <m/>
    <n v="105"/>
    <m/>
    <m/>
    <m/>
    <m/>
    <m/>
    <m/>
    <m/>
    <x v="1"/>
    <x v="1"/>
    <m/>
    <m/>
    <m/>
    <m/>
    <m/>
    <m/>
    <n v="8"/>
    <m/>
    <m/>
    <n v="3"/>
    <m/>
    <m/>
    <n v="1"/>
    <m/>
    <m/>
    <s v="Yes"/>
    <m/>
    <m/>
    <m/>
    <m/>
    <m/>
    <m/>
    <m/>
    <m/>
    <m/>
    <m/>
    <m/>
    <m/>
    <m/>
    <m/>
    <s v="no test"/>
    <s v="no test"/>
    <s v="No Test"/>
    <n v="0"/>
    <n v="0"/>
    <n v="8"/>
    <n v="0"/>
    <n v="0"/>
    <n v="0"/>
    <n v="0"/>
    <m/>
    <n v="0.8032128514056226"/>
    <n v="0.8032128514056226"/>
    <n v="0.8032128514056226"/>
    <n v="533.33333333333337"/>
    <n v="0"/>
    <n v="0"/>
    <n v="0.8032128514056226"/>
    <n v="533.33333333333337"/>
    <n v="1.0666666666666667"/>
    <n v="0.1967871485943774"/>
    <n v="130.6666666666666"/>
    <n v="0"/>
    <n v="1"/>
    <n v="105"/>
    <n v="0.79066265060240959"/>
    <n v="525"/>
    <n v="0"/>
    <n v="0"/>
    <n v="0"/>
    <n v="111"/>
    <n v="6"/>
    <n v="0.20933734939759041"/>
    <n v="0"/>
    <n v="500"/>
    <n v="0"/>
    <n v="0"/>
    <n v="0"/>
    <n v="500"/>
    <n v="0.75301204819277112"/>
    <n v="0.24698795180722888"/>
    <n v="0.75301204819277112"/>
    <n v="0"/>
    <n v="0"/>
    <n v="8"/>
    <n v="121"/>
    <n v="1"/>
    <n v="664"/>
    <s v="No"/>
    <s v=""/>
    <n v="0"/>
    <n v="0"/>
    <n v="0"/>
    <n v="0"/>
    <n v="0"/>
    <n v="0"/>
    <s v="Yes"/>
    <s v="KMSS-LSO"/>
    <x v="1"/>
    <x v="2"/>
    <x v="0"/>
    <n v="23.447111"/>
    <n v="97.868876999999998"/>
    <s v="MMR015CMP037"/>
    <x v="0"/>
    <x v="0"/>
    <s v="yes"/>
    <n v="127"/>
    <n v="713"/>
  </r>
  <r>
    <x v="0"/>
    <x v="9"/>
    <x v="7"/>
    <s v="UNICEF, USAID"/>
    <x v="0"/>
    <x v="17"/>
    <x v="0"/>
    <x v="105"/>
    <n v="45"/>
    <n v="221"/>
    <d v="2021-11-11T00:00:00"/>
    <d v="2022-12-31T00:00:00"/>
    <m/>
    <m/>
    <m/>
    <m/>
    <m/>
    <n v="5"/>
    <n v="4"/>
    <m/>
    <m/>
    <m/>
    <m/>
    <m/>
    <m/>
    <m/>
    <n v="8"/>
    <m/>
    <m/>
    <m/>
    <m/>
    <m/>
    <m/>
    <n v="1"/>
    <m/>
    <m/>
    <m/>
    <m/>
    <n v="2"/>
    <n v="1"/>
    <m/>
    <m/>
    <n v="37"/>
    <m/>
    <m/>
    <m/>
    <m/>
    <m/>
    <m/>
    <n v="3"/>
    <x v="0"/>
    <x v="3"/>
    <m/>
    <m/>
    <n v="2"/>
    <m/>
    <m/>
    <m/>
    <n v="7"/>
    <m/>
    <m/>
    <m/>
    <m/>
    <m/>
    <n v="1"/>
    <m/>
    <m/>
    <s v="Yes"/>
    <m/>
    <m/>
    <m/>
    <m/>
    <m/>
    <m/>
    <m/>
    <m/>
    <m/>
    <m/>
    <m/>
    <m/>
    <m/>
    <m/>
    <s v="no test"/>
    <s v="no test"/>
    <s v="No Test"/>
    <n v="0"/>
    <n v="0"/>
    <n v="8"/>
    <n v="0"/>
    <n v="0"/>
    <n v="221"/>
    <n v="0"/>
    <m/>
    <n v="1"/>
    <n v="1"/>
    <n v="1"/>
    <n v="221"/>
    <n v="0"/>
    <n v="0"/>
    <n v="1"/>
    <n v="221"/>
    <n v="0.442"/>
    <n v="0"/>
    <n v="0"/>
    <n v="0.55800000000000005"/>
    <n v="1"/>
    <n v="37"/>
    <n v="1"/>
    <n v="221"/>
    <n v="0"/>
    <n v="0"/>
    <n v="0"/>
    <n v="11"/>
    <n v="0"/>
    <n v="0"/>
    <n v="0"/>
    <n v="221"/>
    <n v="0"/>
    <n v="0"/>
    <n v="0"/>
    <n v="221"/>
    <n v="1"/>
    <n v="0"/>
    <n v="1"/>
    <n v="0"/>
    <n v="0"/>
    <n v="7"/>
    <n v="45"/>
    <n v="2"/>
    <n v="221"/>
    <s v="No"/>
    <s v=""/>
    <n v="0"/>
    <n v="0"/>
    <n v="0"/>
    <n v="0"/>
    <n v="221"/>
    <n v="0"/>
    <s v="Yes"/>
    <s v="KMSS-LSO"/>
    <x v="0"/>
    <x v="2"/>
    <x v="0"/>
    <n v="23.59"/>
    <n v="97.805999999999997"/>
    <s v="MMR015CMP067"/>
    <x v="0"/>
    <x v="0"/>
    <s v="yes"/>
    <n v="49"/>
    <n v="233"/>
  </r>
  <r>
    <x v="0"/>
    <x v="9"/>
    <x v="7"/>
    <s v="UNICEF, USAID"/>
    <x v="0"/>
    <x v="17"/>
    <x v="0"/>
    <x v="106"/>
    <n v="209"/>
    <n v="1101"/>
    <d v="2021-11-11T00:00:00"/>
    <d v="2022-12-31T00:00:00"/>
    <m/>
    <n v="2"/>
    <m/>
    <m/>
    <s v="Yes"/>
    <n v="5"/>
    <n v="4"/>
    <n v="2"/>
    <m/>
    <m/>
    <n v="1"/>
    <m/>
    <m/>
    <m/>
    <n v="48"/>
    <m/>
    <m/>
    <m/>
    <m/>
    <m/>
    <m/>
    <n v="1"/>
    <m/>
    <m/>
    <m/>
    <m/>
    <m/>
    <n v="2"/>
    <m/>
    <m/>
    <n v="200"/>
    <n v="5"/>
    <m/>
    <m/>
    <m/>
    <m/>
    <m/>
    <n v="18"/>
    <x v="0"/>
    <x v="0"/>
    <m/>
    <m/>
    <n v="2"/>
    <m/>
    <m/>
    <m/>
    <n v="2"/>
    <m/>
    <m/>
    <n v="5"/>
    <m/>
    <m/>
    <n v="1"/>
    <m/>
    <m/>
    <s v="Yes"/>
    <m/>
    <m/>
    <m/>
    <m/>
    <m/>
    <m/>
    <m/>
    <m/>
    <m/>
    <m/>
    <m/>
    <m/>
    <m/>
    <m/>
    <s v="no test"/>
    <s v="no test"/>
    <s v="No Test"/>
    <n v="2"/>
    <n v="1"/>
    <n v="48"/>
    <n v="0"/>
    <n v="0"/>
    <n v="1000"/>
    <n v="0"/>
    <m/>
    <n v="1"/>
    <n v="1"/>
    <n v="1"/>
    <n v="1101"/>
    <n v="0"/>
    <n v="0"/>
    <n v="1"/>
    <n v="1101"/>
    <n v="2.202"/>
    <n v="0"/>
    <n v="0"/>
    <n v="0"/>
    <n v="2"/>
    <n v="205"/>
    <n v="1"/>
    <n v="1101"/>
    <n v="0"/>
    <n v="0"/>
    <n v="0"/>
    <n v="55"/>
    <n v="0"/>
    <n v="0"/>
    <n v="0"/>
    <n v="500"/>
    <n v="0"/>
    <n v="0"/>
    <n v="0"/>
    <n v="500"/>
    <n v="0.45413260672116257"/>
    <n v="0.54586739327883738"/>
    <n v="0.45413260672116257"/>
    <n v="0"/>
    <n v="0"/>
    <n v="2"/>
    <n v="40"/>
    <n v="0"/>
    <n v="200"/>
    <s v="No"/>
    <s v=""/>
    <n v="0"/>
    <n v="0"/>
    <n v="0"/>
    <n v="0"/>
    <n v="1000"/>
    <n v="0"/>
    <s v="Yes"/>
    <s v="KBC-NSS"/>
    <x v="0"/>
    <x v="0"/>
    <x v="0"/>
    <n v="23.38503"/>
    <n v="97.837040000000002"/>
    <s v="MMR015CMP020"/>
    <x v="0"/>
    <x v="0"/>
    <s v="yes"/>
    <n v="209"/>
    <n v="1084"/>
  </r>
  <r>
    <x v="0"/>
    <x v="9"/>
    <x v="7"/>
    <s v="UNICEF"/>
    <x v="0"/>
    <x v="18"/>
    <x v="0"/>
    <x v="107"/>
    <n v="11"/>
    <n v="40"/>
    <d v="2021-11-11T00:00:00"/>
    <d v="2022-11-10T00:00:00"/>
    <m/>
    <m/>
    <m/>
    <m/>
    <m/>
    <m/>
    <m/>
    <m/>
    <m/>
    <m/>
    <m/>
    <m/>
    <m/>
    <m/>
    <m/>
    <m/>
    <m/>
    <m/>
    <m/>
    <m/>
    <m/>
    <m/>
    <m/>
    <m/>
    <m/>
    <m/>
    <m/>
    <m/>
    <m/>
    <m/>
    <m/>
    <n v="3"/>
    <m/>
    <m/>
    <m/>
    <m/>
    <m/>
    <m/>
    <x v="2"/>
    <x v="2"/>
    <m/>
    <m/>
    <m/>
    <m/>
    <m/>
    <m/>
    <m/>
    <m/>
    <m/>
    <m/>
    <m/>
    <m/>
    <m/>
    <m/>
    <m/>
    <s v="Yes"/>
    <m/>
    <m/>
    <m/>
    <m/>
    <m/>
    <m/>
    <m/>
    <m/>
    <m/>
    <m/>
    <m/>
    <m/>
    <m/>
    <m/>
    <s v="no test"/>
    <s v="no test"/>
    <s v="No Test"/>
    <n v="0"/>
    <n v="0"/>
    <n v="0"/>
    <n v="0"/>
    <n v="0"/>
    <n v="0"/>
    <n v="0"/>
    <m/>
    <n v="0"/>
    <n v="0"/>
    <n v="0"/>
    <n v="0"/>
    <n v="0"/>
    <n v="0"/>
    <n v="0"/>
    <n v="0"/>
    <n v="0"/>
    <n v="1"/>
    <n v="40"/>
    <n v="1"/>
    <n v="1"/>
    <n v="3"/>
    <n v="1"/>
    <n v="40"/>
    <n v="0"/>
    <n v="0"/>
    <n v="0"/>
    <n v="2"/>
    <n v="0"/>
    <n v="0"/>
    <n v="0"/>
    <n v="0"/>
    <n v="0"/>
    <n v="0"/>
    <n v="0"/>
    <n v="0"/>
    <n v="0"/>
    <n v="1"/>
    <n v="0"/>
    <n v="0"/>
    <n v="0"/>
    <n v="0"/>
    <n v="0"/>
    <n v="0"/>
    <n v="0"/>
    <s v="No"/>
    <s v=""/>
    <n v="0"/>
    <n v="0"/>
    <n v="0"/>
    <n v="0"/>
    <n v="0"/>
    <n v="0"/>
    <n v="0"/>
    <n v="0"/>
    <x v="0"/>
    <x v="0"/>
    <x v="0"/>
    <n v="0"/>
    <n v="0"/>
    <s v="MMR015CMP077"/>
    <x v="0"/>
    <x v="0"/>
    <s v="yes"/>
    <n v="7"/>
    <n v="25"/>
  </r>
  <r>
    <x v="0"/>
    <x v="9"/>
    <x v="7"/>
    <s v="UNICEF"/>
    <x v="0"/>
    <x v="18"/>
    <x v="0"/>
    <x v="108"/>
    <n v="9"/>
    <n v="28"/>
    <d v="2021-11-11T00:00:00"/>
    <d v="2022-11-10T00:00:00"/>
    <m/>
    <m/>
    <m/>
    <m/>
    <m/>
    <m/>
    <m/>
    <m/>
    <m/>
    <m/>
    <m/>
    <m/>
    <m/>
    <m/>
    <m/>
    <m/>
    <m/>
    <m/>
    <m/>
    <m/>
    <m/>
    <m/>
    <m/>
    <m/>
    <m/>
    <m/>
    <m/>
    <m/>
    <m/>
    <m/>
    <m/>
    <n v="6"/>
    <m/>
    <m/>
    <m/>
    <m/>
    <m/>
    <m/>
    <x v="2"/>
    <x v="2"/>
    <m/>
    <m/>
    <m/>
    <m/>
    <m/>
    <m/>
    <m/>
    <m/>
    <m/>
    <m/>
    <m/>
    <m/>
    <m/>
    <m/>
    <m/>
    <s v="Yes"/>
    <m/>
    <m/>
    <m/>
    <m/>
    <m/>
    <m/>
    <m/>
    <m/>
    <m/>
    <m/>
    <m/>
    <m/>
    <m/>
    <m/>
    <s v="no test"/>
    <s v="no test"/>
    <s v="No Test"/>
    <n v="0"/>
    <n v="0"/>
    <n v="0"/>
    <n v="0"/>
    <n v="0"/>
    <n v="0"/>
    <n v="0"/>
    <m/>
    <n v="0"/>
    <n v="0"/>
    <n v="0"/>
    <n v="0"/>
    <n v="0"/>
    <n v="0"/>
    <n v="0"/>
    <n v="0"/>
    <n v="0"/>
    <n v="1"/>
    <n v="28"/>
    <n v="1"/>
    <n v="1"/>
    <n v="6"/>
    <n v="1"/>
    <n v="28"/>
    <n v="0"/>
    <n v="0"/>
    <n v="0"/>
    <n v="1"/>
    <n v="0"/>
    <n v="0"/>
    <n v="0"/>
    <n v="0"/>
    <n v="0"/>
    <n v="0"/>
    <n v="0"/>
    <n v="0"/>
    <n v="0"/>
    <n v="1"/>
    <n v="0"/>
    <n v="0"/>
    <n v="0"/>
    <n v="0"/>
    <n v="0"/>
    <n v="0"/>
    <n v="0"/>
    <s v="No"/>
    <s v=""/>
    <n v="0"/>
    <n v="0"/>
    <n v="0"/>
    <n v="0"/>
    <n v="0"/>
    <n v="0"/>
    <n v="0"/>
    <n v="0"/>
    <x v="0"/>
    <x v="0"/>
    <x v="0"/>
    <n v="0"/>
    <n v="0"/>
    <s v="MMR015CMP078"/>
    <x v="0"/>
    <x v="0"/>
    <s v="yes"/>
    <n v="9"/>
    <n v="28"/>
  </r>
  <r>
    <x v="0"/>
    <x v="9"/>
    <x v="7"/>
    <s v="UNICEF"/>
    <x v="0"/>
    <x v="18"/>
    <x v="0"/>
    <x v="109"/>
    <n v="14"/>
    <n v="31"/>
    <d v="2021-11-11T00:00:00"/>
    <d v="2022-11-10T00:00:00"/>
    <m/>
    <m/>
    <m/>
    <m/>
    <m/>
    <m/>
    <m/>
    <m/>
    <m/>
    <m/>
    <m/>
    <m/>
    <m/>
    <m/>
    <m/>
    <m/>
    <m/>
    <m/>
    <m/>
    <m/>
    <m/>
    <m/>
    <m/>
    <m/>
    <m/>
    <m/>
    <m/>
    <m/>
    <m/>
    <m/>
    <m/>
    <n v="4"/>
    <m/>
    <m/>
    <m/>
    <m/>
    <m/>
    <m/>
    <x v="2"/>
    <x v="2"/>
    <m/>
    <m/>
    <m/>
    <m/>
    <m/>
    <m/>
    <m/>
    <m/>
    <m/>
    <m/>
    <m/>
    <m/>
    <m/>
    <m/>
    <m/>
    <s v="Yes"/>
    <m/>
    <m/>
    <m/>
    <m/>
    <m/>
    <m/>
    <m/>
    <m/>
    <m/>
    <m/>
    <m/>
    <m/>
    <m/>
    <m/>
    <s v="no test"/>
    <s v="no test"/>
    <s v="No Test"/>
    <n v="0"/>
    <n v="0"/>
    <n v="0"/>
    <n v="0"/>
    <n v="0"/>
    <n v="0"/>
    <n v="0"/>
    <m/>
    <n v="0"/>
    <n v="0"/>
    <n v="0"/>
    <n v="0"/>
    <n v="0"/>
    <n v="0"/>
    <n v="0"/>
    <n v="0"/>
    <n v="0"/>
    <n v="1"/>
    <n v="31"/>
    <n v="1"/>
    <n v="1"/>
    <n v="4"/>
    <n v="1"/>
    <n v="31"/>
    <n v="0"/>
    <n v="0"/>
    <n v="0"/>
    <n v="2"/>
    <n v="0"/>
    <n v="0"/>
    <n v="0"/>
    <n v="0"/>
    <n v="0"/>
    <n v="0"/>
    <n v="0"/>
    <n v="0"/>
    <n v="0"/>
    <n v="1"/>
    <n v="0"/>
    <n v="0"/>
    <n v="0"/>
    <n v="0"/>
    <n v="0"/>
    <n v="0"/>
    <n v="0"/>
    <s v="No"/>
    <s v=""/>
    <n v="0"/>
    <n v="0"/>
    <n v="0"/>
    <n v="0"/>
    <n v="0"/>
    <n v="0"/>
    <n v="0"/>
    <n v="0"/>
    <x v="0"/>
    <x v="0"/>
    <x v="0"/>
    <n v="0"/>
    <n v="0"/>
    <s v="MMR015CMP079"/>
    <x v="0"/>
    <x v="0"/>
    <s v="yes"/>
    <n v="14"/>
    <n v="31"/>
  </r>
  <r>
    <x v="0"/>
    <x v="9"/>
    <x v="7"/>
    <s v="UNICEF"/>
    <x v="0"/>
    <x v="18"/>
    <x v="0"/>
    <x v="110"/>
    <n v="54"/>
    <n v="179"/>
    <d v="2021-11-11T00:00:00"/>
    <d v="2022-11-10T00:00:00"/>
    <m/>
    <m/>
    <m/>
    <m/>
    <m/>
    <m/>
    <m/>
    <m/>
    <m/>
    <m/>
    <m/>
    <n v="2"/>
    <m/>
    <m/>
    <m/>
    <m/>
    <m/>
    <m/>
    <m/>
    <m/>
    <m/>
    <m/>
    <m/>
    <m/>
    <m/>
    <m/>
    <m/>
    <m/>
    <m/>
    <m/>
    <n v="24"/>
    <n v="6"/>
    <m/>
    <m/>
    <m/>
    <m/>
    <m/>
    <m/>
    <x v="2"/>
    <x v="2"/>
    <m/>
    <m/>
    <m/>
    <m/>
    <m/>
    <m/>
    <n v="20"/>
    <m/>
    <n v="2"/>
    <m/>
    <m/>
    <m/>
    <m/>
    <m/>
    <m/>
    <s v="Yes"/>
    <m/>
    <m/>
    <m/>
    <m/>
    <m/>
    <m/>
    <m/>
    <m/>
    <m/>
    <m/>
    <m/>
    <m/>
    <m/>
    <m/>
    <s v="no test"/>
    <s v="no test"/>
    <s v="No Test"/>
    <n v="0"/>
    <n v="2"/>
    <n v="0"/>
    <n v="0"/>
    <n v="0"/>
    <n v="0"/>
    <n v="0"/>
    <m/>
    <n v="1"/>
    <n v="1"/>
    <n v="1"/>
    <n v="179"/>
    <n v="0"/>
    <n v="0"/>
    <n v="1"/>
    <n v="179"/>
    <n v="0.35799999999999998"/>
    <n v="0"/>
    <n v="0"/>
    <n v="0.64200000000000002"/>
    <n v="1"/>
    <n v="30"/>
    <n v="1"/>
    <n v="179"/>
    <n v="0"/>
    <n v="0"/>
    <n v="0"/>
    <n v="9"/>
    <n v="0"/>
    <n v="0"/>
    <n v="0"/>
    <n v="0"/>
    <n v="0"/>
    <n v="0"/>
    <n v="0"/>
    <n v="0"/>
    <n v="0"/>
    <n v="1"/>
    <n v="0"/>
    <n v="0"/>
    <n v="0"/>
    <n v="20"/>
    <n v="54"/>
    <n v="0"/>
    <n v="179"/>
    <s v="No"/>
    <s v=""/>
    <n v="0"/>
    <n v="0"/>
    <n v="0"/>
    <n v="0"/>
    <n v="0"/>
    <n v="0"/>
    <n v="0"/>
    <n v="0"/>
    <x v="0"/>
    <x v="1"/>
    <x v="0"/>
    <n v="0"/>
    <n v="0"/>
    <s v="MMR015CMP080"/>
    <x v="0"/>
    <x v="0"/>
    <s v="yes"/>
    <n v="54"/>
    <n v="155"/>
  </r>
  <r>
    <x v="0"/>
    <x v="9"/>
    <x v="7"/>
    <s v="UNICEF"/>
    <x v="0"/>
    <x v="18"/>
    <x v="0"/>
    <x v="111"/>
    <n v="12"/>
    <n v="26"/>
    <d v="2021-11-11T00:00:00"/>
    <d v="2022-11-10T00:00:00"/>
    <m/>
    <m/>
    <m/>
    <m/>
    <m/>
    <m/>
    <m/>
    <m/>
    <m/>
    <m/>
    <m/>
    <n v="1"/>
    <m/>
    <m/>
    <m/>
    <m/>
    <m/>
    <m/>
    <m/>
    <m/>
    <m/>
    <m/>
    <m/>
    <m/>
    <m/>
    <m/>
    <m/>
    <m/>
    <m/>
    <m/>
    <n v="2"/>
    <m/>
    <m/>
    <m/>
    <m/>
    <m/>
    <m/>
    <m/>
    <x v="2"/>
    <x v="2"/>
    <m/>
    <m/>
    <m/>
    <m/>
    <m/>
    <m/>
    <n v="4"/>
    <m/>
    <m/>
    <m/>
    <m/>
    <m/>
    <m/>
    <m/>
    <m/>
    <s v="Yes"/>
    <m/>
    <m/>
    <m/>
    <m/>
    <m/>
    <m/>
    <m/>
    <m/>
    <m/>
    <m/>
    <m/>
    <m/>
    <m/>
    <m/>
    <s v="no test"/>
    <s v="no test"/>
    <s v="No Test"/>
    <n v="0"/>
    <n v="1"/>
    <n v="0"/>
    <n v="0"/>
    <n v="0"/>
    <n v="0"/>
    <n v="0"/>
    <m/>
    <n v="1"/>
    <n v="1"/>
    <n v="1"/>
    <n v="26"/>
    <n v="0"/>
    <n v="0"/>
    <n v="1"/>
    <n v="26"/>
    <n v="5.1999999999999998E-2"/>
    <n v="0"/>
    <n v="0"/>
    <n v="0.94799999999999995"/>
    <n v="1"/>
    <n v="2"/>
    <n v="1"/>
    <n v="26"/>
    <n v="0"/>
    <n v="0"/>
    <n v="0"/>
    <n v="1"/>
    <n v="0"/>
    <n v="0"/>
    <n v="0"/>
    <n v="0"/>
    <n v="0"/>
    <n v="0"/>
    <n v="0"/>
    <n v="0"/>
    <n v="0"/>
    <n v="1"/>
    <n v="0"/>
    <n v="0"/>
    <n v="0"/>
    <n v="4"/>
    <n v="12"/>
    <n v="0"/>
    <n v="26"/>
    <s v="No"/>
    <s v=""/>
    <n v="0"/>
    <n v="0"/>
    <n v="0"/>
    <n v="0"/>
    <n v="0"/>
    <n v="0"/>
    <n v="0"/>
    <n v="0"/>
    <x v="0"/>
    <x v="0"/>
    <x v="0"/>
    <n v="0"/>
    <n v="0"/>
    <s v="MMR015CMP081"/>
    <x v="0"/>
    <x v="0"/>
    <s v="yes"/>
    <n v="16"/>
    <n v="43"/>
  </r>
  <r>
    <x v="0"/>
    <x v="9"/>
    <x v="7"/>
    <s v="UNICEF, MHF"/>
    <x v="0"/>
    <x v="1"/>
    <x v="2"/>
    <x v="112"/>
    <n v="23"/>
    <n v="103"/>
    <d v="2021-11-11T00:00:00"/>
    <d v="2022-12-31T00:00:00"/>
    <m/>
    <m/>
    <m/>
    <m/>
    <s v="Yes"/>
    <n v="5"/>
    <n v="1"/>
    <n v="1"/>
    <m/>
    <m/>
    <m/>
    <n v="1"/>
    <m/>
    <m/>
    <m/>
    <m/>
    <m/>
    <m/>
    <m/>
    <m/>
    <m/>
    <m/>
    <m/>
    <m/>
    <m/>
    <m/>
    <m/>
    <m/>
    <m/>
    <m/>
    <n v="23"/>
    <m/>
    <m/>
    <m/>
    <m/>
    <m/>
    <m/>
    <m/>
    <x v="2"/>
    <x v="2"/>
    <m/>
    <m/>
    <m/>
    <m/>
    <m/>
    <m/>
    <n v="3"/>
    <m/>
    <m/>
    <n v="2"/>
    <m/>
    <m/>
    <m/>
    <m/>
    <m/>
    <s v="Yes"/>
    <m/>
    <m/>
    <m/>
    <m/>
    <m/>
    <m/>
    <m/>
    <m/>
    <m/>
    <m/>
    <m/>
    <m/>
    <m/>
    <m/>
    <s v="no test"/>
    <s v="no test"/>
    <s v="No Test"/>
    <n v="1"/>
    <n v="1"/>
    <n v="0"/>
    <n v="0"/>
    <n v="0"/>
    <n v="0"/>
    <n v="0"/>
    <m/>
    <n v="1"/>
    <n v="1"/>
    <n v="1"/>
    <n v="103"/>
    <n v="0"/>
    <n v="0"/>
    <n v="1"/>
    <n v="103"/>
    <n v="0.20599999999999999"/>
    <n v="0"/>
    <n v="0"/>
    <n v="0.79400000000000004"/>
    <n v="1"/>
    <n v="23"/>
    <n v="1"/>
    <n v="103"/>
    <n v="0"/>
    <n v="0"/>
    <n v="0"/>
    <n v="5"/>
    <n v="0"/>
    <n v="0"/>
    <n v="0"/>
    <n v="0"/>
    <n v="0"/>
    <n v="0"/>
    <n v="0"/>
    <n v="0"/>
    <n v="0"/>
    <n v="1"/>
    <n v="0"/>
    <n v="0"/>
    <n v="0"/>
    <n v="3"/>
    <n v="23"/>
    <n v="0"/>
    <n v="103"/>
    <s v="No"/>
    <s v=""/>
    <n v="0"/>
    <n v="0"/>
    <n v="0"/>
    <n v="0"/>
    <n v="0"/>
    <n v="0"/>
    <n v="0"/>
    <n v="0"/>
    <x v="0"/>
    <x v="0"/>
    <x v="0"/>
    <n v="0"/>
    <n v="0"/>
    <n v="0"/>
    <x v="0"/>
    <x v="0"/>
    <s v="yes"/>
    <n v="0"/>
    <n v="0"/>
  </r>
  <r>
    <x v="0"/>
    <x v="9"/>
    <x v="7"/>
    <s v="UNICEF, USAID"/>
    <x v="0"/>
    <x v="19"/>
    <x v="0"/>
    <x v="113"/>
    <n v="28"/>
    <n v="125"/>
    <d v="2021-11-11T00:00:00"/>
    <d v="2022-12-31T00:00:00"/>
    <m/>
    <m/>
    <n v="1"/>
    <m/>
    <s v="Yes"/>
    <m/>
    <m/>
    <m/>
    <m/>
    <m/>
    <n v="1"/>
    <n v="1"/>
    <m/>
    <m/>
    <n v="1"/>
    <m/>
    <m/>
    <m/>
    <m/>
    <m/>
    <m/>
    <m/>
    <m/>
    <m/>
    <m/>
    <m/>
    <m/>
    <m/>
    <m/>
    <m/>
    <n v="18"/>
    <m/>
    <m/>
    <m/>
    <m/>
    <m/>
    <m/>
    <m/>
    <x v="1"/>
    <x v="1"/>
    <m/>
    <m/>
    <m/>
    <m/>
    <m/>
    <m/>
    <n v="7"/>
    <m/>
    <m/>
    <n v="5"/>
    <m/>
    <m/>
    <n v="1"/>
    <m/>
    <m/>
    <s v="Yes"/>
    <m/>
    <m/>
    <m/>
    <m/>
    <m/>
    <m/>
    <m/>
    <m/>
    <m/>
    <m/>
    <m/>
    <m/>
    <m/>
    <m/>
    <s v="no test"/>
    <s v="no test"/>
    <s v="No Test"/>
    <n v="0"/>
    <n v="2"/>
    <n v="1"/>
    <n v="0"/>
    <n v="0"/>
    <n v="0"/>
    <n v="0"/>
    <m/>
    <n v="1"/>
    <n v="1"/>
    <n v="1"/>
    <n v="125"/>
    <n v="0"/>
    <n v="0"/>
    <n v="1"/>
    <n v="125"/>
    <n v="0.25"/>
    <n v="0"/>
    <n v="0"/>
    <n v="0.75"/>
    <n v="1"/>
    <n v="18"/>
    <n v="1"/>
    <n v="125"/>
    <n v="0"/>
    <n v="0"/>
    <n v="0"/>
    <n v="6"/>
    <n v="0"/>
    <n v="0"/>
    <n v="0"/>
    <n v="125"/>
    <n v="0"/>
    <n v="0"/>
    <n v="0"/>
    <n v="125"/>
    <n v="1"/>
    <n v="0"/>
    <n v="1"/>
    <n v="0"/>
    <n v="0"/>
    <n v="7"/>
    <n v="28"/>
    <n v="0"/>
    <n v="125"/>
    <s v="No"/>
    <s v=""/>
    <n v="0"/>
    <n v="0"/>
    <n v="0"/>
    <n v="0"/>
    <n v="0"/>
    <n v="0"/>
    <s v="Yes"/>
    <s v="KBC-NSS"/>
    <x v="0"/>
    <x v="1"/>
    <x v="0"/>
    <n v="23.250678000000001"/>
    <n v="97.124403000000001"/>
    <s v="MMR015CMP009"/>
    <x v="0"/>
    <x v="0"/>
    <s v="yes"/>
    <n v="0"/>
    <n v="0"/>
  </r>
  <r>
    <x v="0"/>
    <x v="9"/>
    <x v="7"/>
    <s v="UNICEF"/>
    <x v="0"/>
    <x v="2"/>
    <x v="0"/>
    <x v="114"/>
    <n v="19"/>
    <n v="60"/>
    <d v="2021-11-11T00:00:00"/>
    <d v="2022-11-10T00:00:00"/>
    <m/>
    <m/>
    <m/>
    <m/>
    <m/>
    <m/>
    <m/>
    <m/>
    <m/>
    <m/>
    <m/>
    <m/>
    <m/>
    <m/>
    <m/>
    <m/>
    <m/>
    <m/>
    <m/>
    <m/>
    <m/>
    <m/>
    <m/>
    <m/>
    <m/>
    <m/>
    <m/>
    <m/>
    <m/>
    <m/>
    <m/>
    <m/>
    <m/>
    <m/>
    <m/>
    <m/>
    <m/>
    <m/>
    <x v="2"/>
    <x v="2"/>
    <m/>
    <m/>
    <m/>
    <m/>
    <m/>
    <m/>
    <n v="8"/>
    <m/>
    <m/>
    <n v="3"/>
    <m/>
    <m/>
    <m/>
    <m/>
    <m/>
    <s v="Yes"/>
    <m/>
    <m/>
    <m/>
    <m/>
    <m/>
    <m/>
    <m/>
    <m/>
    <m/>
    <m/>
    <m/>
    <m/>
    <m/>
    <m/>
    <s v="no test"/>
    <s v="no test"/>
    <s v="No Test"/>
    <n v="0"/>
    <n v="0"/>
    <n v="0"/>
    <n v="0"/>
    <n v="0"/>
    <n v="0"/>
    <n v="0"/>
    <m/>
    <n v="0"/>
    <n v="0"/>
    <n v="0"/>
    <n v="0"/>
    <n v="0"/>
    <n v="0"/>
    <n v="0"/>
    <n v="0"/>
    <n v="0"/>
    <n v="1"/>
    <n v="60"/>
    <n v="1"/>
    <n v="1"/>
    <n v="0"/>
    <n v="0"/>
    <n v="0"/>
    <n v="0"/>
    <n v="0"/>
    <n v="0"/>
    <n v="3"/>
    <n v="3"/>
    <n v="1"/>
    <n v="0"/>
    <n v="0"/>
    <n v="0"/>
    <n v="0"/>
    <n v="0"/>
    <n v="0"/>
    <n v="0"/>
    <n v="1"/>
    <n v="0"/>
    <n v="0"/>
    <n v="0"/>
    <n v="8"/>
    <n v="19"/>
    <n v="0"/>
    <n v="60"/>
    <s v="No"/>
    <s v=""/>
    <n v="0"/>
    <n v="0"/>
    <n v="0"/>
    <n v="0"/>
    <n v="0"/>
    <n v="0"/>
    <n v="0"/>
    <n v="0"/>
    <x v="0"/>
    <x v="1"/>
    <x v="0"/>
    <n v="23.963060379028299"/>
    <n v="98.127189636230497"/>
    <s v="MMR015CMP076"/>
    <x v="0"/>
    <x v="0"/>
    <s v="yes"/>
    <n v="19"/>
    <n v="60"/>
  </r>
  <r>
    <x v="0"/>
    <x v="9"/>
    <x v="7"/>
    <s v="UNICEF"/>
    <x v="0"/>
    <x v="2"/>
    <x v="0"/>
    <x v="115"/>
    <n v="31"/>
    <n v="155"/>
    <d v="2021-11-11T00:00:00"/>
    <d v="2022-11-10T00:00:00"/>
    <m/>
    <m/>
    <m/>
    <m/>
    <m/>
    <m/>
    <m/>
    <m/>
    <m/>
    <m/>
    <m/>
    <m/>
    <m/>
    <m/>
    <m/>
    <m/>
    <m/>
    <m/>
    <m/>
    <m/>
    <m/>
    <m/>
    <m/>
    <m/>
    <m/>
    <m/>
    <m/>
    <m/>
    <m/>
    <m/>
    <m/>
    <m/>
    <m/>
    <m/>
    <m/>
    <m/>
    <m/>
    <m/>
    <x v="2"/>
    <x v="2"/>
    <m/>
    <m/>
    <m/>
    <m/>
    <m/>
    <m/>
    <m/>
    <m/>
    <m/>
    <m/>
    <m/>
    <m/>
    <m/>
    <m/>
    <m/>
    <s v="Yes"/>
    <m/>
    <m/>
    <m/>
    <m/>
    <m/>
    <m/>
    <m/>
    <m/>
    <m/>
    <m/>
    <m/>
    <m/>
    <m/>
    <m/>
    <s v="no test"/>
    <s v="no test"/>
    <s v="No Test"/>
    <n v="0"/>
    <n v="0"/>
    <n v="0"/>
    <n v="0"/>
    <n v="0"/>
    <n v="0"/>
    <n v="0"/>
    <m/>
    <n v="0"/>
    <n v="0"/>
    <n v="0"/>
    <n v="0"/>
    <n v="0"/>
    <n v="0"/>
    <n v="0"/>
    <n v="0"/>
    <n v="0"/>
    <n v="1"/>
    <n v="155"/>
    <n v="1"/>
    <n v="1"/>
    <n v="0"/>
    <n v="0"/>
    <n v="0"/>
    <n v="0"/>
    <n v="0"/>
    <n v="0"/>
    <n v="8"/>
    <n v="8"/>
    <n v="1"/>
    <n v="0"/>
    <n v="0"/>
    <n v="0"/>
    <n v="0"/>
    <n v="0"/>
    <n v="0"/>
    <n v="0"/>
    <n v="1"/>
    <n v="0"/>
    <n v="0"/>
    <n v="0"/>
    <n v="0"/>
    <n v="0"/>
    <n v="0"/>
    <n v="0"/>
    <s v="No"/>
    <s v=""/>
    <n v="0"/>
    <n v="0"/>
    <n v="0"/>
    <n v="0"/>
    <n v="0"/>
    <n v="0"/>
    <n v="0"/>
    <n v="0"/>
    <x v="0"/>
    <x v="0"/>
    <x v="0"/>
    <n v="0"/>
    <n v="0"/>
    <s v="MMR015CMP083"/>
    <x v="0"/>
    <x v="0"/>
    <s v="yes"/>
    <n v="85"/>
    <n v="403"/>
  </r>
  <r>
    <x v="0"/>
    <x v="9"/>
    <x v="7"/>
    <s v="UNICEF, USAID"/>
    <x v="0"/>
    <x v="20"/>
    <x v="0"/>
    <x v="116"/>
    <n v="64"/>
    <n v="323"/>
    <d v="2021-11-11T00:00:00"/>
    <d v="2022-12-31T00:00:00"/>
    <m/>
    <n v="1"/>
    <n v="1"/>
    <m/>
    <s v="Yes"/>
    <m/>
    <m/>
    <m/>
    <m/>
    <m/>
    <m/>
    <n v="1"/>
    <m/>
    <m/>
    <m/>
    <m/>
    <m/>
    <m/>
    <m/>
    <m/>
    <m/>
    <m/>
    <m/>
    <m/>
    <m/>
    <m/>
    <m/>
    <m/>
    <m/>
    <m/>
    <n v="10"/>
    <m/>
    <m/>
    <m/>
    <m/>
    <m/>
    <m/>
    <m/>
    <x v="2"/>
    <x v="2"/>
    <m/>
    <m/>
    <m/>
    <m/>
    <m/>
    <m/>
    <n v="7"/>
    <m/>
    <m/>
    <n v="7"/>
    <m/>
    <m/>
    <m/>
    <m/>
    <m/>
    <s v="Yes"/>
    <m/>
    <m/>
    <m/>
    <m/>
    <m/>
    <m/>
    <m/>
    <m/>
    <m/>
    <m/>
    <m/>
    <m/>
    <m/>
    <m/>
    <s v="no test"/>
    <s v="no test"/>
    <s v="No Test"/>
    <n v="0"/>
    <n v="1"/>
    <n v="0"/>
    <n v="0"/>
    <n v="0"/>
    <n v="0"/>
    <n v="0"/>
    <m/>
    <n v="1"/>
    <n v="0.77399380804953566"/>
    <n v="1"/>
    <n v="323"/>
    <n v="0"/>
    <n v="0"/>
    <n v="1"/>
    <n v="323"/>
    <n v="0.64600000000000002"/>
    <n v="0"/>
    <n v="0"/>
    <n v="0.35399999999999998"/>
    <n v="1"/>
    <n v="10"/>
    <n v="0.61919504643962853"/>
    <n v="200"/>
    <n v="0"/>
    <n v="0"/>
    <n v="0"/>
    <n v="16"/>
    <n v="6"/>
    <n v="0.38080495356037147"/>
    <n v="0"/>
    <n v="0"/>
    <n v="0"/>
    <n v="0"/>
    <n v="0"/>
    <n v="0"/>
    <n v="0"/>
    <n v="1"/>
    <n v="0"/>
    <n v="0"/>
    <n v="0"/>
    <n v="7"/>
    <n v="64"/>
    <n v="0"/>
    <n v="323"/>
    <s v="No"/>
    <s v=""/>
    <n v="0"/>
    <n v="0"/>
    <n v="0"/>
    <n v="0"/>
    <n v="0"/>
    <n v="0"/>
    <s v="Yes"/>
    <s v="KBC-NSS"/>
    <x v="0"/>
    <x v="2"/>
    <x v="0"/>
    <n v="23.828520000000001"/>
    <n v="97.669557999999995"/>
    <s v="MMR015CMP001"/>
    <x v="0"/>
    <x v="0"/>
    <s v="yes"/>
    <n v="51"/>
    <n v="250"/>
  </r>
  <r>
    <x v="0"/>
    <x v="9"/>
    <x v="7"/>
    <s v="UNICEF, USAID"/>
    <x v="0"/>
    <x v="20"/>
    <x v="0"/>
    <x v="117"/>
    <n v="6"/>
    <n v="31"/>
    <d v="2021-11-11T00:00:00"/>
    <d v="2022-12-31T00:00:00"/>
    <m/>
    <m/>
    <n v="1"/>
    <m/>
    <m/>
    <m/>
    <m/>
    <m/>
    <m/>
    <m/>
    <m/>
    <n v="1"/>
    <m/>
    <m/>
    <m/>
    <m/>
    <m/>
    <m/>
    <m/>
    <m/>
    <m/>
    <m/>
    <m/>
    <m/>
    <m/>
    <m/>
    <m/>
    <m/>
    <m/>
    <m/>
    <m/>
    <n v="10"/>
    <m/>
    <m/>
    <m/>
    <m/>
    <m/>
    <m/>
    <x v="2"/>
    <x v="2"/>
    <m/>
    <m/>
    <m/>
    <m/>
    <m/>
    <m/>
    <n v="7"/>
    <m/>
    <m/>
    <n v="4"/>
    <m/>
    <m/>
    <n v="1"/>
    <m/>
    <m/>
    <s v="Yes"/>
    <m/>
    <m/>
    <m/>
    <m/>
    <m/>
    <m/>
    <m/>
    <m/>
    <m/>
    <m/>
    <m/>
    <m/>
    <m/>
    <m/>
    <s v="no test"/>
    <s v="no test"/>
    <s v="No Test"/>
    <n v="0"/>
    <n v="1"/>
    <n v="0"/>
    <n v="0"/>
    <n v="0"/>
    <n v="0"/>
    <n v="0"/>
    <m/>
    <n v="1"/>
    <n v="1"/>
    <n v="1"/>
    <n v="31"/>
    <n v="0"/>
    <n v="0"/>
    <n v="1"/>
    <n v="31"/>
    <n v="6.2E-2"/>
    <n v="0"/>
    <n v="0"/>
    <n v="0.93799999999999994"/>
    <n v="1"/>
    <n v="10"/>
    <n v="1"/>
    <n v="31"/>
    <n v="0"/>
    <n v="0"/>
    <n v="0"/>
    <n v="2"/>
    <n v="0"/>
    <n v="0"/>
    <n v="0"/>
    <n v="31"/>
    <n v="0"/>
    <n v="0"/>
    <n v="0"/>
    <n v="31"/>
    <n v="1"/>
    <n v="0"/>
    <n v="1"/>
    <n v="0"/>
    <n v="0"/>
    <n v="7"/>
    <n v="6"/>
    <n v="0"/>
    <n v="31"/>
    <s v="No"/>
    <s v=""/>
    <n v="0"/>
    <n v="0"/>
    <n v="0"/>
    <n v="0"/>
    <n v="0"/>
    <n v="0"/>
    <s v="Yes"/>
    <s v="KBC-NSS"/>
    <x v="0"/>
    <x v="1"/>
    <x v="0"/>
    <n v="23.841646999999998"/>
    <n v="97.700940000000003"/>
    <s v="MMR015CMP214"/>
    <x v="0"/>
    <x v="0"/>
    <s v="yes"/>
    <n v="0"/>
    <n v="0"/>
  </r>
  <r>
    <x v="0"/>
    <x v="9"/>
    <x v="7"/>
    <s v="UNICEF"/>
    <x v="0"/>
    <x v="21"/>
    <x v="0"/>
    <x v="118"/>
    <n v="19"/>
    <n v="77"/>
    <d v="2021-11-11T00:00:00"/>
    <d v="2022-12-31T00:00:00"/>
    <m/>
    <m/>
    <m/>
    <m/>
    <m/>
    <m/>
    <m/>
    <m/>
    <m/>
    <m/>
    <n v="1"/>
    <m/>
    <m/>
    <m/>
    <m/>
    <m/>
    <m/>
    <m/>
    <m/>
    <m/>
    <m/>
    <m/>
    <m/>
    <m/>
    <m/>
    <m/>
    <m/>
    <m/>
    <m/>
    <m/>
    <m/>
    <n v="4"/>
    <m/>
    <m/>
    <m/>
    <m/>
    <m/>
    <m/>
    <x v="2"/>
    <x v="2"/>
    <m/>
    <m/>
    <m/>
    <m/>
    <m/>
    <m/>
    <n v="8"/>
    <m/>
    <m/>
    <m/>
    <m/>
    <m/>
    <m/>
    <m/>
    <m/>
    <s v="Yes"/>
    <m/>
    <m/>
    <m/>
    <m/>
    <m/>
    <m/>
    <m/>
    <m/>
    <m/>
    <m/>
    <m/>
    <m/>
    <m/>
    <m/>
    <s v="no test"/>
    <s v="no test"/>
    <s v="No Test"/>
    <n v="0"/>
    <n v="1"/>
    <n v="0"/>
    <n v="0"/>
    <n v="0"/>
    <n v="0"/>
    <n v="0"/>
    <m/>
    <n v="1"/>
    <n v="1"/>
    <n v="1"/>
    <n v="77"/>
    <n v="0"/>
    <n v="0"/>
    <n v="1"/>
    <n v="77"/>
    <n v="0.154"/>
    <n v="0"/>
    <n v="0"/>
    <n v="0.84599999999999997"/>
    <n v="1"/>
    <n v="4"/>
    <n v="1"/>
    <n v="77"/>
    <n v="0"/>
    <n v="0"/>
    <n v="0"/>
    <n v="4"/>
    <n v="0"/>
    <n v="0"/>
    <n v="0"/>
    <n v="0"/>
    <n v="0"/>
    <n v="0"/>
    <n v="0"/>
    <n v="0"/>
    <n v="0"/>
    <n v="1"/>
    <n v="0"/>
    <n v="0"/>
    <n v="0"/>
    <n v="8"/>
    <n v="19"/>
    <n v="0"/>
    <n v="77"/>
    <s v="No"/>
    <s v=""/>
    <n v="0"/>
    <n v="0"/>
    <n v="0"/>
    <n v="0"/>
    <n v="0"/>
    <n v="0"/>
    <n v="0"/>
    <n v="0"/>
    <x v="0"/>
    <x v="4"/>
    <x v="0"/>
    <n v="23.078210830688501"/>
    <n v="97.411773681640597"/>
    <s v="MMR015CMP074"/>
    <x v="0"/>
    <x v="0"/>
    <s v="yes"/>
    <n v="19"/>
    <n v="77"/>
  </r>
  <r>
    <x v="0"/>
    <x v="10"/>
    <x v="8"/>
    <s v="UNICEF, USAID, Christan Aid"/>
    <x v="0"/>
    <x v="21"/>
    <x v="0"/>
    <x v="119"/>
    <n v="60"/>
    <n v="270"/>
    <d v="2021-11-11T00:00:00"/>
    <d v="2022-12-31T00:00:00"/>
    <m/>
    <m/>
    <n v="1"/>
    <m/>
    <s v="Yes"/>
    <n v="4"/>
    <n v="3"/>
    <n v="1"/>
    <m/>
    <m/>
    <n v="1"/>
    <n v="1"/>
    <m/>
    <m/>
    <m/>
    <m/>
    <m/>
    <m/>
    <m/>
    <m/>
    <m/>
    <m/>
    <m/>
    <m/>
    <m/>
    <m/>
    <n v="2"/>
    <m/>
    <m/>
    <m/>
    <n v="16"/>
    <m/>
    <m/>
    <m/>
    <m/>
    <m/>
    <m/>
    <m/>
    <x v="1"/>
    <x v="1"/>
    <m/>
    <m/>
    <m/>
    <m/>
    <m/>
    <m/>
    <n v="11"/>
    <m/>
    <m/>
    <n v="2"/>
    <m/>
    <m/>
    <n v="1"/>
    <m/>
    <m/>
    <s v="Yes"/>
    <m/>
    <m/>
    <m/>
    <m/>
    <m/>
    <m/>
    <m/>
    <m/>
    <m/>
    <m/>
    <m/>
    <m/>
    <m/>
    <m/>
    <s v="no test"/>
    <s v="no test"/>
    <s v="No Test"/>
    <n v="1"/>
    <n v="2"/>
    <n v="0"/>
    <n v="0"/>
    <n v="0"/>
    <n v="0"/>
    <n v="0"/>
    <m/>
    <n v="1"/>
    <n v="1"/>
    <n v="1"/>
    <n v="270"/>
    <n v="0"/>
    <n v="0"/>
    <n v="1"/>
    <n v="270"/>
    <n v="0.54"/>
    <n v="0"/>
    <n v="0"/>
    <n v="0.45999999999999996"/>
    <n v="1"/>
    <n v="16"/>
    <n v="1"/>
    <n v="270"/>
    <n v="0"/>
    <n v="0"/>
    <n v="0"/>
    <n v="14"/>
    <n v="0"/>
    <n v="0"/>
    <n v="0"/>
    <n v="270"/>
    <n v="0"/>
    <n v="0"/>
    <n v="0"/>
    <n v="270"/>
    <n v="1"/>
    <n v="0"/>
    <n v="1"/>
    <n v="0"/>
    <n v="0"/>
    <n v="11"/>
    <n v="60"/>
    <n v="2"/>
    <n v="270"/>
    <s v="No"/>
    <s v=""/>
    <n v="0"/>
    <n v="0"/>
    <n v="0"/>
    <n v="0"/>
    <n v="0"/>
    <n v="0"/>
    <s v="Yes"/>
    <s v="KMSS-LSO"/>
    <x v="0"/>
    <x v="2"/>
    <x v="0"/>
    <n v="23.099304"/>
    <n v="97.400671000000003"/>
    <s v="MMR015CMP066"/>
    <x v="0"/>
    <x v="0"/>
    <s v="yes"/>
    <n v="60"/>
    <n v="272"/>
  </r>
  <r>
    <x v="0"/>
    <x v="10"/>
    <x v="8"/>
    <s v="UNICEF, USAID, Christan Aid"/>
    <x v="0"/>
    <x v="21"/>
    <x v="0"/>
    <x v="120"/>
    <n v="30"/>
    <n v="127"/>
    <d v="2021-11-11T00:00:00"/>
    <d v="2022-12-31T00:00:00"/>
    <m/>
    <m/>
    <n v="1"/>
    <m/>
    <s v="Yes"/>
    <n v="3"/>
    <n v="3"/>
    <m/>
    <m/>
    <m/>
    <n v="2"/>
    <n v="1"/>
    <m/>
    <m/>
    <m/>
    <m/>
    <m/>
    <m/>
    <m/>
    <m/>
    <m/>
    <m/>
    <m/>
    <m/>
    <m/>
    <m/>
    <m/>
    <m/>
    <m/>
    <m/>
    <n v="10"/>
    <n v="2"/>
    <m/>
    <m/>
    <m/>
    <m/>
    <m/>
    <n v="2"/>
    <x v="1"/>
    <x v="1"/>
    <m/>
    <m/>
    <m/>
    <m/>
    <m/>
    <m/>
    <n v="11"/>
    <m/>
    <m/>
    <n v="3"/>
    <m/>
    <m/>
    <n v="1"/>
    <m/>
    <m/>
    <s v="Yes"/>
    <m/>
    <m/>
    <m/>
    <m/>
    <m/>
    <m/>
    <m/>
    <m/>
    <m/>
    <m/>
    <m/>
    <m/>
    <m/>
    <m/>
    <s v="no test"/>
    <s v="no test"/>
    <s v="No Test"/>
    <n v="0"/>
    <n v="3"/>
    <n v="0"/>
    <n v="0"/>
    <n v="0"/>
    <n v="0"/>
    <n v="0"/>
    <m/>
    <n v="1"/>
    <n v="1"/>
    <n v="1"/>
    <n v="127"/>
    <n v="0"/>
    <n v="0"/>
    <n v="1"/>
    <n v="127"/>
    <n v="0.254"/>
    <n v="0"/>
    <n v="0"/>
    <n v="0.746"/>
    <n v="1"/>
    <n v="12"/>
    <n v="1"/>
    <n v="127"/>
    <n v="0"/>
    <n v="0"/>
    <n v="0"/>
    <n v="6"/>
    <n v="0"/>
    <n v="0"/>
    <n v="0"/>
    <n v="127"/>
    <n v="0"/>
    <n v="0"/>
    <n v="0"/>
    <n v="127"/>
    <n v="1"/>
    <n v="0"/>
    <n v="1"/>
    <n v="0"/>
    <n v="0"/>
    <n v="11"/>
    <n v="30"/>
    <n v="0"/>
    <n v="127"/>
    <s v="No"/>
    <s v=""/>
    <n v="0"/>
    <n v="0"/>
    <n v="0"/>
    <n v="0"/>
    <n v="0"/>
    <n v="0"/>
    <s v="Yes"/>
    <s v="KMSS-LSO"/>
    <x v="0"/>
    <x v="2"/>
    <x v="0"/>
    <n v="23.088011000000002"/>
    <n v="97.398698999999993"/>
    <s v="MMR015CMP050"/>
    <x v="0"/>
    <x v="0"/>
    <s v="yes"/>
    <n v="24"/>
    <n v="97"/>
  </r>
  <r>
    <x v="0"/>
    <x v="10"/>
    <x v="8"/>
    <s v="UNICEF, USAID, Christan Aid"/>
    <x v="0"/>
    <x v="21"/>
    <x v="0"/>
    <x v="121"/>
    <n v="32"/>
    <n v="141"/>
    <d v="2021-11-11T00:00:00"/>
    <d v="2022-12-31T00:00:00"/>
    <m/>
    <m/>
    <n v="1"/>
    <m/>
    <s v="Yes"/>
    <n v="3"/>
    <n v="3"/>
    <m/>
    <m/>
    <m/>
    <n v="1"/>
    <m/>
    <m/>
    <m/>
    <n v="1"/>
    <m/>
    <m/>
    <m/>
    <m/>
    <m/>
    <m/>
    <m/>
    <m/>
    <m/>
    <m/>
    <m/>
    <m/>
    <m/>
    <m/>
    <m/>
    <n v="8"/>
    <m/>
    <m/>
    <m/>
    <m/>
    <m/>
    <m/>
    <m/>
    <x v="1"/>
    <x v="1"/>
    <m/>
    <m/>
    <m/>
    <m/>
    <m/>
    <m/>
    <n v="5"/>
    <m/>
    <m/>
    <n v="2"/>
    <m/>
    <m/>
    <n v="1"/>
    <m/>
    <m/>
    <s v="Yes"/>
    <m/>
    <m/>
    <m/>
    <m/>
    <m/>
    <m/>
    <m/>
    <m/>
    <m/>
    <m/>
    <m/>
    <m/>
    <m/>
    <m/>
    <s v="no test"/>
    <s v="no test"/>
    <s v="No Test"/>
    <n v="0"/>
    <n v="1"/>
    <n v="1"/>
    <n v="0"/>
    <n v="0"/>
    <n v="0"/>
    <n v="0"/>
    <m/>
    <n v="1"/>
    <n v="1"/>
    <n v="1"/>
    <n v="141"/>
    <n v="0"/>
    <n v="0"/>
    <n v="1"/>
    <n v="141"/>
    <n v="0.28199999999999997"/>
    <n v="0"/>
    <n v="0"/>
    <n v="0.71799999999999997"/>
    <n v="1"/>
    <n v="8"/>
    <n v="1"/>
    <n v="141"/>
    <n v="0"/>
    <n v="0"/>
    <n v="0"/>
    <n v="7"/>
    <n v="0"/>
    <n v="0"/>
    <n v="0"/>
    <n v="141"/>
    <n v="0"/>
    <n v="0"/>
    <n v="0"/>
    <n v="141"/>
    <n v="1"/>
    <n v="0"/>
    <n v="1"/>
    <n v="0"/>
    <n v="0"/>
    <n v="5"/>
    <n v="32"/>
    <n v="0"/>
    <n v="141"/>
    <s v="No"/>
    <s v=""/>
    <n v="0"/>
    <n v="0"/>
    <n v="0"/>
    <n v="0"/>
    <n v="0"/>
    <n v="0"/>
    <s v="Yes"/>
    <s v="KBC-NSS"/>
    <x v="0"/>
    <x v="2"/>
    <x v="0"/>
    <n v="23.094290000000001"/>
    <n v="97.404089999999997"/>
    <s v="MMR015CMP014"/>
    <x v="0"/>
    <x v="0"/>
    <s v="yes"/>
    <n v="21"/>
    <n v="89"/>
  </r>
  <r>
    <x v="0"/>
    <x v="11"/>
    <x v="9"/>
    <s v="UNICEF, USAID"/>
    <x v="0"/>
    <x v="19"/>
    <x v="0"/>
    <x v="122"/>
    <n v="30"/>
    <n v="157"/>
    <s v="11-11-2021, 07-01-2020"/>
    <s v="12-31-2022, 28-2-2022"/>
    <m/>
    <n v="2"/>
    <m/>
    <m/>
    <s v="Yes"/>
    <n v="2"/>
    <n v="8"/>
    <n v="1"/>
    <m/>
    <m/>
    <n v="2"/>
    <m/>
    <m/>
    <m/>
    <m/>
    <m/>
    <m/>
    <m/>
    <n v="2"/>
    <m/>
    <m/>
    <n v="1"/>
    <m/>
    <m/>
    <m/>
    <m/>
    <n v="4"/>
    <m/>
    <m/>
    <m/>
    <n v="38"/>
    <m/>
    <m/>
    <m/>
    <m/>
    <m/>
    <m/>
    <n v="38"/>
    <x v="1"/>
    <x v="1"/>
    <m/>
    <m/>
    <m/>
    <m/>
    <m/>
    <m/>
    <n v="4"/>
    <m/>
    <m/>
    <n v="2"/>
    <m/>
    <m/>
    <n v="2"/>
    <m/>
    <m/>
    <s v="Yes"/>
    <m/>
    <m/>
    <m/>
    <m/>
    <m/>
    <m/>
    <m/>
    <m/>
    <m/>
    <m/>
    <m/>
    <m/>
    <m/>
    <m/>
    <s v="no test"/>
    <s v="no test"/>
    <s v="No Test"/>
    <n v="1"/>
    <n v="2"/>
    <n v="0"/>
    <n v="0"/>
    <n v="0"/>
    <n v="0"/>
    <n v="0"/>
    <m/>
    <n v="1"/>
    <n v="1"/>
    <n v="1"/>
    <n v="157"/>
    <n v="1"/>
    <n v="157"/>
    <n v="1"/>
    <n v="157"/>
    <n v="0.314"/>
    <n v="0"/>
    <n v="0"/>
    <n v="0.68599999999999994"/>
    <n v="1"/>
    <n v="38"/>
    <n v="1"/>
    <n v="157"/>
    <n v="0"/>
    <n v="0"/>
    <n v="0"/>
    <n v="8"/>
    <n v="0"/>
    <n v="0"/>
    <n v="0"/>
    <n v="157"/>
    <n v="0"/>
    <n v="0"/>
    <n v="0"/>
    <n v="157"/>
    <n v="1"/>
    <n v="0"/>
    <n v="1"/>
    <n v="0"/>
    <n v="0"/>
    <n v="4"/>
    <n v="30"/>
    <n v="4"/>
    <n v="157"/>
    <s v="No"/>
    <s v=""/>
    <n v="0"/>
    <n v="0"/>
    <n v="0"/>
    <n v="0"/>
    <n v="0"/>
    <n v="0"/>
    <s v="Yes"/>
    <s v="KMSS-LSO"/>
    <x v="0"/>
    <x v="1"/>
    <x v="0"/>
    <n v="23.24661"/>
    <n v="97.116680000000002"/>
    <s v="MMR015CMP027"/>
    <x v="0"/>
    <x v="0"/>
    <s v="yes"/>
    <n v="30"/>
    <n v="159"/>
  </r>
  <r>
    <x v="0"/>
    <x v="11"/>
    <x v="9"/>
    <s v="UNICEF, USAID"/>
    <x v="0"/>
    <x v="20"/>
    <x v="0"/>
    <x v="123"/>
    <n v="85"/>
    <n v="396"/>
    <s v="11-11-2021, 07-01-2020"/>
    <s v="12-31-2022, 28-2-2022"/>
    <m/>
    <n v="2"/>
    <m/>
    <m/>
    <s v="Yes"/>
    <n v="7"/>
    <n v="9"/>
    <m/>
    <m/>
    <m/>
    <m/>
    <n v="1"/>
    <m/>
    <m/>
    <n v="1"/>
    <m/>
    <m/>
    <m/>
    <m/>
    <m/>
    <m/>
    <n v="2"/>
    <m/>
    <m/>
    <m/>
    <m/>
    <n v="8"/>
    <m/>
    <m/>
    <m/>
    <n v="14"/>
    <n v="6"/>
    <m/>
    <m/>
    <m/>
    <m/>
    <m/>
    <n v="14"/>
    <x v="1"/>
    <x v="1"/>
    <m/>
    <m/>
    <m/>
    <m/>
    <m/>
    <m/>
    <n v="8"/>
    <m/>
    <m/>
    <n v="2"/>
    <m/>
    <n v="1"/>
    <n v="1"/>
    <m/>
    <m/>
    <s v="Yes"/>
    <m/>
    <m/>
    <m/>
    <m/>
    <m/>
    <m/>
    <m/>
    <m/>
    <m/>
    <m/>
    <m/>
    <m/>
    <m/>
    <m/>
    <s v="no test"/>
    <s v="no test"/>
    <s v="No Test"/>
    <n v="0"/>
    <n v="1"/>
    <n v="1"/>
    <n v="0"/>
    <n v="0"/>
    <n v="0"/>
    <n v="0"/>
    <m/>
    <n v="1"/>
    <n v="0.79966329966329974"/>
    <n v="1"/>
    <n v="396"/>
    <n v="0"/>
    <n v="0"/>
    <n v="1"/>
    <n v="396"/>
    <n v="0.79200000000000004"/>
    <n v="0"/>
    <n v="0"/>
    <n v="0.20799999999999996"/>
    <n v="1"/>
    <n v="20"/>
    <n v="1"/>
    <n v="396"/>
    <n v="0"/>
    <n v="0"/>
    <n v="0"/>
    <n v="20"/>
    <n v="0"/>
    <n v="0"/>
    <n v="0"/>
    <n v="396"/>
    <n v="0"/>
    <n v="0"/>
    <n v="0"/>
    <n v="396"/>
    <n v="1"/>
    <n v="0"/>
    <n v="1"/>
    <n v="0"/>
    <n v="0"/>
    <n v="8"/>
    <n v="85"/>
    <n v="8"/>
    <n v="396"/>
    <s v="No"/>
    <s v=""/>
    <n v="0"/>
    <n v="0"/>
    <n v="0"/>
    <n v="0"/>
    <n v="0"/>
    <n v="0"/>
    <s v="Yes"/>
    <s v="KBC-NSS"/>
    <x v="0"/>
    <x v="2"/>
    <x v="0"/>
    <n v="23.821380000000001"/>
    <n v="97.681970000000007"/>
    <s v="MMR015CMP004"/>
    <x v="0"/>
    <x v="0"/>
    <s v="yes"/>
    <n v="89"/>
    <n v="407"/>
  </r>
  <r>
    <x v="0"/>
    <x v="11"/>
    <x v="9"/>
    <s v="UNICEF, USAID"/>
    <x v="0"/>
    <x v="20"/>
    <x v="0"/>
    <x v="124"/>
    <n v="44"/>
    <n v="213"/>
    <s v="11-11-2021, 07-01-2020"/>
    <s v="12-31-2022, 28-2-2022"/>
    <m/>
    <n v="2"/>
    <m/>
    <m/>
    <s v="Yes"/>
    <n v="3"/>
    <n v="9"/>
    <n v="1"/>
    <m/>
    <m/>
    <m/>
    <n v="2"/>
    <m/>
    <m/>
    <m/>
    <m/>
    <m/>
    <m/>
    <n v="1"/>
    <m/>
    <m/>
    <n v="2"/>
    <m/>
    <m/>
    <m/>
    <m/>
    <n v="3"/>
    <m/>
    <m/>
    <m/>
    <n v="14"/>
    <m/>
    <m/>
    <m/>
    <m/>
    <m/>
    <m/>
    <n v="14"/>
    <x v="1"/>
    <x v="1"/>
    <m/>
    <m/>
    <m/>
    <m/>
    <m/>
    <m/>
    <n v="3"/>
    <m/>
    <m/>
    <n v="2"/>
    <m/>
    <n v="1"/>
    <n v="1"/>
    <m/>
    <m/>
    <s v="Yes"/>
    <m/>
    <m/>
    <m/>
    <m/>
    <m/>
    <m/>
    <m/>
    <m/>
    <m/>
    <m/>
    <m/>
    <m/>
    <m/>
    <m/>
    <s v="no test"/>
    <s v="no test"/>
    <s v="No Test"/>
    <n v="1"/>
    <n v="2"/>
    <n v="0"/>
    <n v="0"/>
    <n v="0"/>
    <n v="0"/>
    <n v="0"/>
    <m/>
    <n v="1"/>
    <n v="1"/>
    <n v="1"/>
    <n v="213"/>
    <n v="1"/>
    <n v="213"/>
    <n v="1"/>
    <n v="213"/>
    <n v="0.42599999999999999"/>
    <n v="0"/>
    <n v="0"/>
    <n v="0.57400000000000007"/>
    <n v="1"/>
    <n v="14"/>
    <n v="1"/>
    <n v="213"/>
    <n v="0"/>
    <n v="0"/>
    <n v="0"/>
    <n v="11"/>
    <n v="0"/>
    <n v="0"/>
    <n v="0"/>
    <n v="213"/>
    <n v="0"/>
    <n v="0"/>
    <n v="0"/>
    <n v="213"/>
    <n v="1"/>
    <n v="0"/>
    <n v="1"/>
    <n v="0"/>
    <n v="0"/>
    <n v="3"/>
    <n v="44"/>
    <n v="3"/>
    <n v="213"/>
    <s v="No"/>
    <s v=""/>
    <n v="0"/>
    <n v="0"/>
    <n v="0"/>
    <n v="0"/>
    <n v="0"/>
    <n v="0"/>
    <s v="Yes"/>
    <s v="KMSS-LSO"/>
    <x v="0"/>
    <x v="2"/>
    <x v="0"/>
    <n v="23.828150000000001"/>
    <n v="97.670360000000002"/>
    <s v="MMR015CMP003"/>
    <x v="0"/>
    <x v="0"/>
    <s v="yes"/>
    <n v="44"/>
    <n v="220"/>
  </r>
  <r>
    <x v="0"/>
    <x v="12"/>
    <x v="10"/>
    <s v="USAID/HOPE-94, ANCHOR"/>
    <x v="1"/>
    <x v="15"/>
    <x v="0"/>
    <x v="125"/>
    <n v="135"/>
    <n v="774"/>
    <s v="(13-8-2021, 6-1-2020),1-1-2023"/>
    <s v="(30-6-2022, 30.4.2021),12-31-2023"/>
    <m/>
    <m/>
    <n v="1"/>
    <m/>
    <s v="Yes"/>
    <n v="3"/>
    <n v="7"/>
    <n v="3"/>
    <m/>
    <m/>
    <n v="2"/>
    <m/>
    <m/>
    <m/>
    <m/>
    <m/>
    <m/>
    <m/>
    <m/>
    <m/>
    <n v="1"/>
    <n v="3"/>
    <m/>
    <m/>
    <m/>
    <m/>
    <n v="4"/>
    <n v="1"/>
    <m/>
    <m/>
    <n v="23"/>
    <n v="22"/>
    <s v="KMSS , SI"/>
    <n v="4"/>
    <m/>
    <n v="18"/>
    <m/>
    <n v="18"/>
    <x v="1"/>
    <x v="1"/>
    <m/>
    <m/>
    <m/>
    <m/>
    <m/>
    <m/>
    <n v="6"/>
    <m/>
    <m/>
    <n v="7"/>
    <n v="2"/>
    <n v="1"/>
    <m/>
    <m/>
    <m/>
    <m/>
    <m/>
    <n v="0.2"/>
    <m/>
    <n v="0.8"/>
    <n v="0.9"/>
    <n v="50"/>
    <n v="0.3"/>
    <m/>
    <m/>
    <m/>
    <m/>
    <m/>
    <m/>
    <m/>
    <s v="no test"/>
    <s v="no test"/>
    <s v="No Test"/>
    <n v="3"/>
    <n v="2"/>
    <n v="0"/>
    <n v="0"/>
    <n v="0"/>
    <n v="500"/>
    <n v="0"/>
    <m/>
    <n v="1"/>
    <n v="1"/>
    <n v="1"/>
    <n v="774"/>
    <n v="0"/>
    <n v="0"/>
    <n v="1"/>
    <n v="774"/>
    <n v="1.548"/>
    <n v="0"/>
    <n v="0"/>
    <n v="0.45199999999999996"/>
    <n v="2"/>
    <n v="41"/>
    <n v="1"/>
    <n v="774"/>
    <n v="360"/>
    <n v="0"/>
    <n v="0"/>
    <n v="39"/>
    <n v="0"/>
    <n v="0"/>
    <n v="8.8888888888888892E-2"/>
    <n v="500"/>
    <n v="0"/>
    <n v="0"/>
    <n v="0"/>
    <n v="500"/>
    <n v="0.64599483204134367"/>
    <n v="0.35400516795865633"/>
    <n v="0.64599483204134367"/>
    <n v="0"/>
    <n v="0"/>
    <n v="6"/>
    <n v="120"/>
    <n v="0"/>
    <n v="600"/>
    <s v="No"/>
    <n v="6.4599483204134361E-2"/>
    <n v="619.20000000000005"/>
    <n v="696.6"/>
    <n v="232.2"/>
    <n v="696.6"/>
    <n v="500"/>
    <n v="0"/>
    <s v="Yes"/>
    <s v="Shalom"/>
    <x v="0"/>
    <x v="2"/>
    <x v="0"/>
    <n v="24.2631743589744"/>
    <n v="97.240183461538507"/>
    <s v="MMR001CMP049"/>
    <x v="0"/>
    <x v="0"/>
    <s v="yes"/>
    <n v="135"/>
    <n v="780"/>
  </r>
  <r>
    <x v="0"/>
    <x v="13"/>
    <x v="11"/>
    <m/>
    <x v="1"/>
    <x v="15"/>
    <x v="0"/>
    <x v="126"/>
    <n v="12"/>
    <n v="60"/>
    <m/>
    <m/>
    <m/>
    <m/>
    <m/>
    <m/>
    <m/>
    <m/>
    <m/>
    <m/>
    <m/>
    <m/>
    <m/>
    <m/>
    <m/>
    <m/>
    <m/>
    <m/>
    <m/>
    <m/>
    <m/>
    <m/>
    <m/>
    <m/>
    <m/>
    <m/>
    <m/>
    <m/>
    <m/>
    <m/>
    <m/>
    <m/>
    <m/>
    <m/>
    <m/>
    <m/>
    <m/>
    <m/>
    <m/>
    <m/>
    <x v="2"/>
    <x v="2"/>
    <m/>
    <m/>
    <m/>
    <m/>
    <m/>
    <m/>
    <n v="1"/>
    <m/>
    <m/>
    <n v="1"/>
    <m/>
    <m/>
    <m/>
    <m/>
    <m/>
    <m/>
    <m/>
    <m/>
    <m/>
    <m/>
    <m/>
    <m/>
    <m/>
    <m/>
    <m/>
    <m/>
    <m/>
    <m/>
    <m/>
    <m/>
    <s v="no test"/>
    <s v="no test"/>
    <s v="No Test"/>
    <n v="0"/>
    <n v="0"/>
    <n v="0"/>
    <n v="0"/>
    <n v="0"/>
    <n v="0"/>
    <n v="0"/>
    <m/>
    <n v="0"/>
    <n v="0"/>
    <n v="0"/>
    <n v="0"/>
    <n v="0"/>
    <n v="0"/>
    <n v="0"/>
    <n v="0"/>
    <n v="0"/>
    <n v="1"/>
    <n v="60"/>
    <n v="1"/>
    <n v="1"/>
    <n v="0"/>
    <n v="0"/>
    <n v="0"/>
    <n v="0"/>
    <n v="0"/>
    <n v="0"/>
    <n v="3"/>
    <n v="3"/>
    <n v="1"/>
    <n v="0"/>
    <n v="0"/>
    <n v="0"/>
    <n v="0"/>
    <n v="0"/>
    <n v="0"/>
    <n v="0"/>
    <n v="1"/>
    <n v="0"/>
    <n v="0"/>
    <n v="0"/>
    <n v="1"/>
    <n v="12"/>
    <n v="0"/>
    <n v="60"/>
    <s v="No"/>
    <s v=""/>
    <n v="0"/>
    <n v="0"/>
    <n v="0"/>
    <n v="0"/>
    <n v="0"/>
    <n v="0"/>
    <s v="Yes"/>
    <s v="Shalom"/>
    <x v="0"/>
    <x v="2"/>
    <x v="0"/>
    <n v="24.154199999999999"/>
    <n v="97.160600000000002"/>
    <s v="MMR001CMP281"/>
    <x v="1"/>
    <x v="1"/>
    <m/>
    <n v="67"/>
    <n v="324"/>
  </r>
  <r>
    <x v="0"/>
    <x v="13"/>
    <x v="11"/>
    <m/>
    <x v="1"/>
    <x v="15"/>
    <x v="0"/>
    <x v="127"/>
    <n v="181"/>
    <n v="906"/>
    <m/>
    <m/>
    <m/>
    <m/>
    <m/>
    <m/>
    <m/>
    <m/>
    <n v="4"/>
    <m/>
    <m/>
    <m/>
    <m/>
    <m/>
    <m/>
    <m/>
    <m/>
    <m/>
    <m/>
    <m/>
    <m/>
    <m/>
    <m/>
    <m/>
    <m/>
    <m/>
    <m/>
    <m/>
    <m/>
    <m/>
    <m/>
    <m/>
    <m/>
    <m/>
    <m/>
    <m/>
    <m/>
    <m/>
    <m/>
    <m/>
    <x v="2"/>
    <x v="2"/>
    <m/>
    <m/>
    <m/>
    <m/>
    <m/>
    <m/>
    <n v="7"/>
    <m/>
    <m/>
    <n v="7"/>
    <m/>
    <m/>
    <m/>
    <m/>
    <m/>
    <m/>
    <m/>
    <m/>
    <m/>
    <m/>
    <m/>
    <m/>
    <m/>
    <m/>
    <m/>
    <m/>
    <m/>
    <m/>
    <m/>
    <m/>
    <s v="no test"/>
    <s v="no test"/>
    <s v="No Test"/>
    <n v="0"/>
    <n v="0"/>
    <n v="0"/>
    <n v="0"/>
    <n v="0"/>
    <n v="0"/>
    <n v="0"/>
    <m/>
    <n v="0"/>
    <n v="0"/>
    <n v="0"/>
    <n v="0"/>
    <n v="0"/>
    <n v="0"/>
    <n v="0"/>
    <n v="0"/>
    <n v="0"/>
    <n v="1"/>
    <n v="906"/>
    <n v="2"/>
    <n v="2"/>
    <n v="0"/>
    <n v="0"/>
    <n v="0"/>
    <n v="0"/>
    <n v="0"/>
    <n v="0"/>
    <n v="45"/>
    <n v="45"/>
    <n v="1"/>
    <n v="0"/>
    <n v="0"/>
    <n v="0"/>
    <n v="0"/>
    <n v="0"/>
    <n v="0"/>
    <n v="0"/>
    <n v="1"/>
    <n v="0"/>
    <n v="0"/>
    <n v="0"/>
    <n v="7"/>
    <n v="140"/>
    <n v="0"/>
    <n v="700"/>
    <s v="No"/>
    <s v=""/>
    <n v="0"/>
    <n v="0"/>
    <n v="0"/>
    <n v="0"/>
    <n v="0"/>
    <n v="0"/>
    <n v="0"/>
    <s v="uncovered"/>
    <x v="0"/>
    <x v="4"/>
    <x v="0"/>
    <n v="24.263786"/>
    <n v="97.228835000000004"/>
    <s v="MMR001CMP163"/>
    <x v="1"/>
    <x v="1"/>
    <m/>
    <n v="17"/>
    <n v="87"/>
  </r>
  <r>
    <x v="0"/>
    <x v="13"/>
    <x v="11"/>
    <m/>
    <x v="1"/>
    <x v="6"/>
    <x v="0"/>
    <x v="128"/>
    <n v="3"/>
    <n v="15"/>
    <m/>
    <m/>
    <m/>
    <m/>
    <m/>
    <m/>
    <s v="Yes"/>
    <m/>
    <n v="5"/>
    <n v="1"/>
    <m/>
    <m/>
    <n v="1"/>
    <m/>
    <m/>
    <m/>
    <m/>
    <m/>
    <m/>
    <m/>
    <m/>
    <m/>
    <m/>
    <n v="1"/>
    <m/>
    <m/>
    <m/>
    <m/>
    <m/>
    <m/>
    <m/>
    <m/>
    <m/>
    <m/>
    <m/>
    <m/>
    <m/>
    <m/>
    <m/>
    <m/>
    <x v="1"/>
    <x v="3"/>
    <m/>
    <m/>
    <m/>
    <m/>
    <m/>
    <m/>
    <n v="7"/>
    <m/>
    <m/>
    <n v="4"/>
    <m/>
    <m/>
    <m/>
    <m/>
    <m/>
    <m/>
    <m/>
    <m/>
    <m/>
    <m/>
    <m/>
    <m/>
    <m/>
    <m/>
    <m/>
    <m/>
    <m/>
    <m/>
    <m/>
    <m/>
    <s v="no test"/>
    <s v="no test"/>
    <s v="No Test"/>
    <n v="1"/>
    <n v="1"/>
    <n v="0"/>
    <n v="0"/>
    <n v="0"/>
    <n v="0"/>
    <n v="0"/>
    <m/>
    <n v="1"/>
    <n v="1"/>
    <n v="1"/>
    <n v="15"/>
    <n v="0"/>
    <n v="0"/>
    <n v="1"/>
    <n v="15"/>
    <n v="0.03"/>
    <n v="0"/>
    <n v="0"/>
    <n v="0.97"/>
    <n v="1"/>
    <n v="0"/>
    <n v="0"/>
    <n v="0"/>
    <n v="0"/>
    <n v="0"/>
    <n v="0"/>
    <n v="1"/>
    <n v="1"/>
    <n v="1"/>
    <n v="0"/>
    <n v="0"/>
    <n v="0"/>
    <n v="0"/>
    <n v="0"/>
    <n v="0"/>
    <n v="0"/>
    <n v="1"/>
    <n v="0"/>
    <n v="0"/>
    <n v="0"/>
    <n v="7"/>
    <n v="3"/>
    <n v="0"/>
    <n v="15"/>
    <s v="No"/>
    <s v=""/>
    <n v="0"/>
    <n v="0"/>
    <n v="0"/>
    <n v="0"/>
    <n v="0"/>
    <n v="0"/>
    <s v="Yes"/>
    <s v="Shalom"/>
    <x v="0"/>
    <x v="0"/>
    <x v="0"/>
    <n v="25.6145"/>
    <n v="96.319829999999996"/>
    <s v="MMR001CMP091"/>
    <x v="1"/>
    <x v="1"/>
    <m/>
    <n v="3"/>
    <n v="14"/>
  </r>
  <r>
    <x v="0"/>
    <x v="13"/>
    <x v="11"/>
    <m/>
    <x v="1"/>
    <x v="6"/>
    <x v="0"/>
    <x v="129"/>
    <n v="12"/>
    <n v="54"/>
    <m/>
    <m/>
    <m/>
    <m/>
    <m/>
    <m/>
    <m/>
    <m/>
    <m/>
    <m/>
    <m/>
    <m/>
    <m/>
    <m/>
    <m/>
    <m/>
    <m/>
    <m/>
    <m/>
    <m/>
    <m/>
    <m/>
    <m/>
    <m/>
    <m/>
    <m/>
    <m/>
    <m/>
    <m/>
    <m/>
    <m/>
    <m/>
    <m/>
    <m/>
    <m/>
    <m/>
    <m/>
    <m/>
    <m/>
    <m/>
    <x v="3"/>
    <x v="4"/>
    <m/>
    <m/>
    <m/>
    <m/>
    <m/>
    <m/>
    <m/>
    <m/>
    <m/>
    <m/>
    <m/>
    <m/>
    <m/>
    <m/>
    <m/>
    <m/>
    <m/>
    <m/>
    <m/>
    <m/>
    <m/>
    <m/>
    <m/>
    <m/>
    <m/>
    <m/>
    <m/>
    <m/>
    <m/>
    <m/>
    <s v="no test"/>
    <s v="no test"/>
    <s v="No Test"/>
    <n v="0"/>
    <n v="0"/>
    <n v="0"/>
    <n v="0"/>
    <n v="0"/>
    <n v="0"/>
    <n v="0"/>
    <m/>
    <n v="0"/>
    <n v="0"/>
    <n v="0"/>
    <n v="0"/>
    <n v="0"/>
    <n v="0"/>
    <n v="0"/>
    <n v="0"/>
    <n v="0"/>
    <n v="1"/>
    <n v="54"/>
    <n v="1"/>
    <n v="1"/>
    <n v="0"/>
    <n v="0"/>
    <n v="0"/>
    <n v="0"/>
    <n v="0"/>
    <n v="0"/>
    <n v="3"/>
    <n v="3"/>
    <n v="1"/>
    <n v="0"/>
    <n v="0"/>
    <n v="0"/>
    <n v="0"/>
    <n v="0"/>
    <n v="0"/>
    <n v="0"/>
    <n v="1"/>
    <n v="0"/>
    <n v="0"/>
    <n v="0"/>
    <n v="0"/>
    <n v="0"/>
    <n v="0"/>
    <n v="0"/>
    <s v="No"/>
    <s v=""/>
    <n v="0"/>
    <n v="0"/>
    <n v="0"/>
    <n v="0"/>
    <n v="0"/>
    <n v="0"/>
    <n v="0"/>
    <s v="Uncovered  "/>
    <x v="0"/>
    <x v="0"/>
    <x v="0"/>
    <n v="0"/>
    <s v="not available"/>
    <s v="MMR001CMP298"/>
    <x v="1"/>
    <x v="1"/>
    <m/>
    <n v="12"/>
    <n v="54"/>
  </r>
  <r>
    <x v="0"/>
    <x v="13"/>
    <x v="11"/>
    <m/>
    <x v="1"/>
    <x v="6"/>
    <x v="0"/>
    <x v="130"/>
    <n v="95"/>
    <n v="472"/>
    <m/>
    <m/>
    <m/>
    <m/>
    <m/>
    <m/>
    <m/>
    <m/>
    <m/>
    <m/>
    <m/>
    <m/>
    <m/>
    <m/>
    <m/>
    <m/>
    <m/>
    <m/>
    <m/>
    <m/>
    <m/>
    <m/>
    <m/>
    <m/>
    <m/>
    <m/>
    <m/>
    <m/>
    <m/>
    <m/>
    <m/>
    <m/>
    <m/>
    <m/>
    <m/>
    <m/>
    <m/>
    <m/>
    <m/>
    <m/>
    <x v="2"/>
    <x v="2"/>
    <m/>
    <m/>
    <m/>
    <m/>
    <m/>
    <m/>
    <n v="8"/>
    <m/>
    <m/>
    <n v="3"/>
    <m/>
    <m/>
    <m/>
    <m/>
    <m/>
    <m/>
    <m/>
    <m/>
    <m/>
    <m/>
    <m/>
    <m/>
    <m/>
    <m/>
    <m/>
    <m/>
    <m/>
    <m/>
    <m/>
    <m/>
    <s v="no test"/>
    <s v="no test"/>
    <s v="No Test"/>
    <n v="0"/>
    <n v="0"/>
    <n v="0"/>
    <n v="0"/>
    <n v="0"/>
    <n v="0"/>
    <n v="0"/>
    <m/>
    <n v="0"/>
    <n v="0"/>
    <n v="0"/>
    <n v="0"/>
    <n v="0"/>
    <n v="0"/>
    <n v="0"/>
    <n v="0"/>
    <n v="0"/>
    <n v="1"/>
    <n v="472"/>
    <n v="1"/>
    <n v="1"/>
    <n v="0"/>
    <n v="0"/>
    <n v="0"/>
    <n v="0"/>
    <n v="0"/>
    <n v="0"/>
    <n v="24"/>
    <n v="24"/>
    <n v="1"/>
    <n v="0"/>
    <n v="0"/>
    <n v="0"/>
    <n v="0"/>
    <n v="0"/>
    <n v="0"/>
    <n v="0"/>
    <n v="1"/>
    <n v="0"/>
    <n v="0"/>
    <n v="0"/>
    <n v="8"/>
    <n v="95"/>
    <n v="0"/>
    <n v="472"/>
    <s v="No"/>
    <s v=""/>
    <n v="0"/>
    <n v="0"/>
    <n v="0"/>
    <n v="0"/>
    <n v="0"/>
    <n v="0"/>
    <s v="Yes"/>
    <s v="KMSS-MYT"/>
    <x v="0"/>
    <x v="2"/>
    <x v="0"/>
    <n v="25.656009999999998"/>
    <n v="96.361609999999999"/>
    <s v="MMR001CMP168"/>
    <x v="1"/>
    <x v="1"/>
    <m/>
    <n v="93"/>
    <n v="467"/>
  </r>
  <r>
    <x v="0"/>
    <x v="13"/>
    <x v="11"/>
    <m/>
    <x v="1"/>
    <x v="22"/>
    <x v="0"/>
    <x v="131"/>
    <n v="42"/>
    <n v="112"/>
    <m/>
    <m/>
    <m/>
    <m/>
    <m/>
    <m/>
    <m/>
    <m/>
    <m/>
    <m/>
    <m/>
    <m/>
    <m/>
    <m/>
    <m/>
    <m/>
    <m/>
    <m/>
    <m/>
    <m/>
    <m/>
    <m/>
    <m/>
    <m/>
    <m/>
    <m/>
    <m/>
    <m/>
    <m/>
    <m/>
    <m/>
    <m/>
    <m/>
    <m/>
    <m/>
    <m/>
    <m/>
    <m/>
    <m/>
    <m/>
    <x v="3"/>
    <x v="4"/>
    <m/>
    <m/>
    <m/>
    <m/>
    <m/>
    <m/>
    <m/>
    <m/>
    <m/>
    <m/>
    <m/>
    <m/>
    <m/>
    <m/>
    <m/>
    <m/>
    <m/>
    <m/>
    <m/>
    <m/>
    <m/>
    <m/>
    <m/>
    <m/>
    <m/>
    <m/>
    <m/>
    <m/>
    <m/>
    <m/>
    <s v="no test"/>
    <s v="no test"/>
    <s v="No Test"/>
    <n v="0"/>
    <n v="0"/>
    <n v="0"/>
    <n v="0"/>
    <n v="0"/>
    <n v="0"/>
    <n v="0"/>
    <m/>
    <n v="0"/>
    <n v="0"/>
    <n v="0"/>
    <n v="0"/>
    <n v="0"/>
    <n v="0"/>
    <n v="0"/>
    <n v="0"/>
    <n v="0"/>
    <n v="1"/>
    <n v="112"/>
    <n v="1"/>
    <n v="1"/>
    <n v="0"/>
    <n v="0"/>
    <n v="0"/>
    <n v="0"/>
    <n v="0"/>
    <n v="0"/>
    <n v="6"/>
    <n v="6"/>
    <n v="1"/>
    <n v="0"/>
    <n v="0"/>
    <n v="0"/>
    <n v="0"/>
    <n v="0"/>
    <n v="0"/>
    <n v="0"/>
    <n v="1"/>
    <n v="0"/>
    <n v="0"/>
    <n v="0"/>
    <n v="0"/>
    <n v="0"/>
    <n v="0"/>
    <n v="0"/>
    <s v="No"/>
    <s v=""/>
    <n v="0"/>
    <n v="0"/>
    <n v="0"/>
    <n v="0"/>
    <n v="0"/>
    <n v="0"/>
    <n v="0"/>
    <s v="Uncovered  "/>
    <x v="0"/>
    <x v="0"/>
    <x v="1"/>
    <n v="0"/>
    <s v="not available"/>
    <s v="MMR001CMP297"/>
    <x v="1"/>
    <x v="1"/>
    <m/>
    <n v="42"/>
    <n v="112"/>
  </r>
  <r>
    <x v="0"/>
    <x v="13"/>
    <x v="11"/>
    <m/>
    <x v="1"/>
    <x v="7"/>
    <x v="0"/>
    <x v="132"/>
    <n v="67"/>
    <n v="308"/>
    <m/>
    <m/>
    <m/>
    <m/>
    <m/>
    <m/>
    <m/>
    <m/>
    <n v="4"/>
    <m/>
    <m/>
    <m/>
    <m/>
    <m/>
    <m/>
    <m/>
    <m/>
    <m/>
    <m/>
    <m/>
    <m/>
    <m/>
    <m/>
    <m/>
    <m/>
    <m/>
    <m/>
    <m/>
    <m/>
    <m/>
    <m/>
    <m/>
    <m/>
    <m/>
    <m/>
    <m/>
    <m/>
    <m/>
    <m/>
    <m/>
    <x v="2"/>
    <x v="2"/>
    <m/>
    <m/>
    <m/>
    <m/>
    <m/>
    <m/>
    <n v="7"/>
    <m/>
    <m/>
    <n v="7"/>
    <m/>
    <m/>
    <m/>
    <m/>
    <m/>
    <m/>
    <m/>
    <m/>
    <m/>
    <m/>
    <m/>
    <m/>
    <m/>
    <m/>
    <m/>
    <m/>
    <m/>
    <m/>
    <m/>
    <m/>
    <s v="no test"/>
    <s v="no test"/>
    <s v="No Test"/>
    <n v="0"/>
    <n v="0"/>
    <n v="0"/>
    <n v="0"/>
    <n v="0"/>
    <n v="0"/>
    <n v="0"/>
    <m/>
    <n v="0"/>
    <n v="0"/>
    <n v="0"/>
    <n v="0"/>
    <n v="0"/>
    <n v="0"/>
    <n v="0"/>
    <n v="0"/>
    <n v="0"/>
    <n v="1"/>
    <n v="308"/>
    <n v="1"/>
    <n v="1"/>
    <n v="0"/>
    <n v="0"/>
    <n v="0"/>
    <n v="0"/>
    <n v="0"/>
    <n v="0"/>
    <n v="15"/>
    <n v="15"/>
    <n v="1"/>
    <n v="0"/>
    <n v="0"/>
    <n v="0"/>
    <n v="0"/>
    <n v="0"/>
    <n v="0"/>
    <n v="0"/>
    <n v="1"/>
    <n v="0"/>
    <n v="0"/>
    <n v="0"/>
    <n v="7"/>
    <n v="67"/>
    <n v="0"/>
    <n v="308"/>
    <s v="No"/>
    <s v=""/>
    <n v="0"/>
    <n v="0"/>
    <n v="0"/>
    <n v="0"/>
    <n v="0"/>
    <n v="0"/>
    <n v="0"/>
    <s v="uncovered"/>
    <x v="0"/>
    <x v="4"/>
    <x v="0"/>
    <n v="24.118618999999999"/>
    <n v="97.298055000000005"/>
    <s v="MMR001CMP196"/>
    <x v="1"/>
    <x v="1"/>
    <m/>
    <n v="67"/>
    <n v="325"/>
  </r>
  <r>
    <x v="0"/>
    <x v="13"/>
    <x v="11"/>
    <m/>
    <x v="1"/>
    <x v="7"/>
    <x v="3"/>
    <x v="133"/>
    <n v="86"/>
    <n v="450"/>
    <m/>
    <m/>
    <m/>
    <m/>
    <m/>
    <m/>
    <m/>
    <m/>
    <m/>
    <m/>
    <m/>
    <m/>
    <m/>
    <m/>
    <m/>
    <m/>
    <m/>
    <m/>
    <m/>
    <m/>
    <m/>
    <m/>
    <m/>
    <m/>
    <m/>
    <m/>
    <m/>
    <m/>
    <m/>
    <m/>
    <m/>
    <m/>
    <m/>
    <m/>
    <m/>
    <m/>
    <m/>
    <m/>
    <m/>
    <m/>
    <x v="3"/>
    <x v="4"/>
    <m/>
    <m/>
    <m/>
    <m/>
    <m/>
    <m/>
    <m/>
    <m/>
    <m/>
    <m/>
    <m/>
    <m/>
    <m/>
    <m/>
    <m/>
    <m/>
    <m/>
    <m/>
    <m/>
    <m/>
    <m/>
    <m/>
    <m/>
    <m/>
    <m/>
    <m/>
    <m/>
    <m/>
    <m/>
    <m/>
    <s v="no test"/>
    <s v="no test"/>
    <s v="No Test"/>
    <n v="0"/>
    <n v="0"/>
    <n v="0"/>
    <n v="0"/>
    <n v="0"/>
    <n v="0"/>
    <n v="0"/>
    <m/>
    <n v="0"/>
    <n v="0"/>
    <n v="0"/>
    <n v="0"/>
    <n v="0"/>
    <n v="0"/>
    <n v="0"/>
    <n v="0"/>
    <n v="0"/>
    <n v="1"/>
    <n v="450"/>
    <n v="1"/>
    <n v="1"/>
    <n v="0"/>
    <n v="0"/>
    <n v="0"/>
    <n v="0"/>
    <n v="0"/>
    <n v="0"/>
    <n v="75"/>
    <n v="75"/>
    <n v="1"/>
    <n v="0"/>
    <n v="0"/>
    <n v="0"/>
    <n v="0"/>
    <n v="0"/>
    <n v="0"/>
    <n v="0"/>
    <n v="1"/>
    <n v="0"/>
    <n v="0"/>
    <n v="0"/>
    <n v="0"/>
    <n v="0"/>
    <n v="0"/>
    <n v="0"/>
    <s v="No"/>
    <s v=""/>
    <n v="0"/>
    <n v="0"/>
    <n v="0"/>
    <n v="0"/>
    <n v="0"/>
    <n v="0"/>
    <n v="0"/>
    <n v="0"/>
    <x v="2"/>
    <x v="6"/>
    <x v="0"/>
    <n v="24.109690000000001"/>
    <n v="97.241101"/>
    <s v="MMR001CMP278"/>
    <x v="1"/>
    <x v="1"/>
    <m/>
    <n v="86"/>
    <n v="450"/>
  </r>
  <r>
    <x v="0"/>
    <x v="13"/>
    <x v="11"/>
    <m/>
    <x v="1"/>
    <x v="8"/>
    <x v="0"/>
    <x v="134"/>
    <n v="6"/>
    <n v="32"/>
    <m/>
    <m/>
    <m/>
    <m/>
    <m/>
    <m/>
    <m/>
    <m/>
    <m/>
    <m/>
    <m/>
    <m/>
    <m/>
    <m/>
    <m/>
    <m/>
    <m/>
    <m/>
    <m/>
    <m/>
    <m/>
    <m/>
    <m/>
    <m/>
    <m/>
    <m/>
    <m/>
    <m/>
    <m/>
    <m/>
    <m/>
    <m/>
    <m/>
    <m/>
    <m/>
    <m/>
    <m/>
    <m/>
    <m/>
    <m/>
    <x v="2"/>
    <x v="2"/>
    <m/>
    <m/>
    <m/>
    <m/>
    <m/>
    <m/>
    <n v="3"/>
    <m/>
    <m/>
    <n v="2"/>
    <m/>
    <m/>
    <m/>
    <m/>
    <m/>
    <m/>
    <m/>
    <m/>
    <m/>
    <m/>
    <m/>
    <m/>
    <m/>
    <m/>
    <m/>
    <m/>
    <m/>
    <m/>
    <m/>
    <m/>
    <s v="no test"/>
    <s v="no test"/>
    <s v="No Test"/>
    <n v="0"/>
    <n v="0"/>
    <n v="0"/>
    <n v="0"/>
    <n v="0"/>
    <n v="0"/>
    <n v="0"/>
    <m/>
    <n v="0"/>
    <n v="0"/>
    <n v="0"/>
    <n v="0"/>
    <n v="0"/>
    <n v="0"/>
    <n v="0"/>
    <n v="0"/>
    <n v="0"/>
    <n v="1"/>
    <n v="32"/>
    <n v="1"/>
    <n v="1"/>
    <n v="0"/>
    <n v="0"/>
    <n v="0"/>
    <n v="0"/>
    <n v="0"/>
    <n v="0"/>
    <n v="2"/>
    <n v="2"/>
    <n v="1"/>
    <n v="0"/>
    <n v="0"/>
    <n v="0"/>
    <n v="0"/>
    <n v="0"/>
    <n v="0"/>
    <n v="0"/>
    <n v="1"/>
    <n v="0"/>
    <n v="0"/>
    <n v="0"/>
    <n v="3"/>
    <n v="6"/>
    <n v="0"/>
    <n v="32"/>
    <s v="No"/>
    <s v=""/>
    <n v="0"/>
    <n v="0"/>
    <n v="0"/>
    <n v="0"/>
    <n v="0"/>
    <n v="0"/>
    <n v="0"/>
    <s v="uncovered"/>
    <x v="0"/>
    <x v="1"/>
    <x v="0"/>
    <n v="25.30274"/>
    <n v="96.940380000000005"/>
    <s v="MMR001CMP262"/>
    <x v="1"/>
    <x v="1"/>
    <m/>
    <n v="5"/>
    <n v="32"/>
  </r>
  <r>
    <x v="0"/>
    <x v="13"/>
    <x v="11"/>
    <m/>
    <x v="1"/>
    <x v="9"/>
    <x v="0"/>
    <x v="135"/>
    <n v="27"/>
    <n v="126"/>
    <m/>
    <m/>
    <m/>
    <m/>
    <m/>
    <m/>
    <m/>
    <m/>
    <m/>
    <m/>
    <m/>
    <m/>
    <m/>
    <m/>
    <m/>
    <m/>
    <m/>
    <m/>
    <m/>
    <m/>
    <m/>
    <m/>
    <m/>
    <m/>
    <m/>
    <m/>
    <m/>
    <m/>
    <m/>
    <m/>
    <m/>
    <m/>
    <m/>
    <m/>
    <m/>
    <m/>
    <m/>
    <m/>
    <m/>
    <m/>
    <x v="2"/>
    <x v="2"/>
    <m/>
    <m/>
    <m/>
    <m/>
    <m/>
    <m/>
    <n v="8"/>
    <m/>
    <m/>
    <n v="3"/>
    <m/>
    <m/>
    <m/>
    <m/>
    <m/>
    <m/>
    <m/>
    <m/>
    <m/>
    <m/>
    <m/>
    <m/>
    <m/>
    <m/>
    <m/>
    <m/>
    <m/>
    <m/>
    <m/>
    <m/>
    <s v="no test"/>
    <s v="no test"/>
    <s v="No Test"/>
    <n v="0"/>
    <n v="0"/>
    <n v="0"/>
    <n v="0"/>
    <n v="0"/>
    <n v="0"/>
    <n v="0"/>
    <m/>
    <n v="0"/>
    <n v="0"/>
    <n v="0"/>
    <n v="0"/>
    <n v="0"/>
    <n v="0"/>
    <n v="0"/>
    <n v="0"/>
    <n v="0"/>
    <n v="1"/>
    <n v="126"/>
    <n v="1"/>
    <n v="1"/>
    <n v="0"/>
    <n v="0"/>
    <n v="0"/>
    <n v="0"/>
    <n v="0"/>
    <n v="0"/>
    <n v="6"/>
    <n v="6"/>
    <n v="1"/>
    <n v="0"/>
    <n v="0"/>
    <n v="0"/>
    <n v="0"/>
    <n v="0"/>
    <n v="0"/>
    <n v="0"/>
    <n v="1"/>
    <n v="0"/>
    <n v="0"/>
    <n v="0"/>
    <n v="8"/>
    <n v="27"/>
    <n v="0"/>
    <n v="126"/>
    <s v="No"/>
    <s v=""/>
    <n v="0"/>
    <n v="0"/>
    <n v="0"/>
    <n v="0"/>
    <n v="0"/>
    <n v="0"/>
    <n v="0"/>
    <s v="uncovered"/>
    <x v="0"/>
    <x v="4"/>
    <x v="0"/>
    <n v="24.996279999999999"/>
    <n v="96.52534"/>
    <s v="MMR001CMP232"/>
    <x v="1"/>
    <x v="1"/>
    <m/>
    <n v="14"/>
    <n v="66"/>
  </r>
  <r>
    <x v="0"/>
    <x v="13"/>
    <x v="11"/>
    <m/>
    <x v="1"/>
    <x v="9"/>
    <x v="0"/>
    <x v="136"/>
    <n v="15"/>
    <n v="71"/>
    <m/>
    <m/>
    <m/>
    <m/>
    <m/>
    <m/>
    <m/>
    <m/>
    <n v="4"/>
    <m/>
    <m/>
    <m/>
    <m/>
    <m/>
    <m/>
    <m/>
    <m/>
    <m/>
    <m/>
    <m/>
    <m/>
    <m/>
    <m/>
    <m/>
    <m/>
    <m/>
    <m/>
    <m/>
    <m/>
    <m/>
    <m/>
    <m/>
    <m/>
    <m/>
    <m/>
    <m/>
    <m/>
    <m/>
    <m/>
    <m/>
    <x v="2"/>
    <x v="2"/>
    <m/>
    <m/>
    <m/>
    <m/>
    <m/>
    <m/>
    <n v="3"/>
    <m/>
    <m/>
    <n v="2"/>
    <m/>
    <m/>
    <m/>
    <m/>
    <m/>
    <m/>
    <m/>
    <m/>
    <m/>
    <m/>
    <m/>
    <m/>
    <m/>
    <m/>
    <m/>
    <m/>
    <m/>
    <m/>
    <m/>
    <m/>
    <s v="no test"/>
    <s v="no test"/>
    <s v="No Test"/>
    <n v="0"/>
    <n v="0"/>
    <n v="0"/>
    <n v="0"/>
    <n v="0"/>
    <n v="0"/>
    <n v="0"/>
    <m/>
    <n v="0"/>
    <n v="0"/>
    <n v="0"/>
    <n v="0"/>
    <n v="0"/>
    <n v="0"/>
    <n v="0"/>
    <n v="0"/>
    <n v="0"/>
    <n v="1"/>
    <n v="71"/>
    <n v="1"/>
    <n v="1"/>
    <n v="0"/>
    <n v="0"/>
    <n v="0"/>
    <n v="0"/>
    <n v="0"/>
    <n v="0"/>
    <n v="4"/>
    <n v="4"/>
    <n v="1"/>
    <n v="0"/>
    <n v="0"/>
    <n v="0"/>
    <n v="0"/>
    <n v="0"/>
    <n v="0"/>
    <n v="0"/>
    <n v="1"/>
    <n v="0"/>
    <n v="0"/>
    <n v="0"/>
    <n v="3"/>
    <n v="15"/>
    <n v="0"/>
    <n v="71"/>
    <s v="No"/>
    <s v=""/>
    <n v="0"/>
    <n v="0"/>
    <n v="0"/>
    <n v="0"/>
    <n v="0"/>
    <n v="0"/>
    <n v="0"/>
    <s v="uncovered"/>
    <x v="0"/>
    <x v="4"/>
    <x v="0"/>
    <n v="24.764959999999999"/>
    <n v="96.366919999999993"/>
    <s v="MMR001CMP233"/>
    <x v="1"/>
    <x v="1"/>
    <m/>
    <n v="19"/>
    <n v="78"/>
  </r>
  <r>
    <x v="0"/>
    <x v="13"/>
    <x v="11"/>
    <m/>
    <x v="1"/>
    <x v="9"/>
    <x v="0"/>
    <x v="137"/>
    <n v="542"/>
    <n v="2399"/>
    <m/>
    <m/>
    <m/>
    <m/>
    <m/>
    <m/>
    <m/>
    <m/>
    <m/>
    <m/>
    <m/>
    <m/>
    <m/>
    <m/>
    <m/>
    <m/>
    <m/>
    <m/>
    <m/>
    <m/>
    <m/>
    <m/>
    <m/>
    <m/>
    <m/>
    <m/>
    <m/>
    <m/>
    <m/>
    <m/>
    <m/>
    <m/>
    <m/>
    <m/>
    <m/>
    <m/>
    <m/>
    <m/>
    <m/>
    <m/>
    <x v="3"/>
    <x v="4"/>
    <m/>
    <m/>
    <m/>
    <m/>
    <m/>
    <m/>
    <m/>
    <m/>
    <m/>
    <m/>
    <m/>
    <m/>
    <m/>
    <m/>
    <m/>
    <m/>
    <m/>
    <m/>
    <m/>
    <m/>
    <m/>
    <m/>
    <m/>
    <m/>
    <m/>
    <m/>
    <m/>
    <m/>
    <m/>
    <m/>
    <s v="no test"/>
    <s v="no test"/>
    <s v="No Test"/>
    <n v="0"/>
    <n v="0"/>
    <n v="0"/>
    <n v="0"/>
    <n v="0"/>
    <n v="0"/>
    <n v="0"/>
    <m/>
    <n v="0"/>
    <n v="0"/>
    <n v="0"/>
    <n v="0"/>
    <n v="0"/>
    <n v="0"/>
    <n v="0"/>
    <n v="0"/>
    <n v="0"/>
    <n v="1"/>
    <n v="2399"/>
    <n v="5"/>
    <n v="5"/>
    <n v="0"/>
    <n v="0"/>
    <n v="0"/>
    <n v="0"/>
    <n v="0"/>
    <n v="0"/>
    <n v="120"/>
    <n v="120"/>
    <n v="1"/>
    <n v="0"/>
    <n v="0"/>
    <n v="0"/>
    <n v="0"/>
    <n v="0"/>
    <n v="0"/>
    <n v="0"/>
    <n v="1"/>
    <n v="0"/>
    <n v="0"/>
    <n v="0"/>
    <n v="0"/>
    <n v="0"/>
    <n v="0"/>
    <n v="0"/>
    <s v="No"/>
    <s v=""/>
    <n v="0"/>
    <n v="0"/>
    <n v="0"/>
    <n v="0"/>
    <n v="0"/>
    <n v="0"/>
    <n v="0"/>
    <s v="uncovered"/>
    <x v="0"/>
    <x v="4"/>
    <x v="0"/>
    <n v="0"/>
    <s v="not available"/>
    <s v="MMR001CMP304"/>
    <x v="1"/>
    <x v="1"/>
    <m/>
    <n v="542"/>
    <n v="2399"/>
  </r>
  <r>
    <x v="0"/>
    <x v="13"/>
    <x v="11"/>
    <m/>
    <x v="1"/>
    <x v="9"/>
    <x v="0"/>
    <x v="138"/>
    <n v="92"/>
    <n v="479"/>
    <m/>
    <m/>
    <m/>
    <m/>
    <m/>
    <m/>
    <m/>
    <m/>
    <m/>
    <m/>
    <m/>
    <m/>
    <m/>
    <m/>
    <m/>
    <m/>
    <m/>
    <m/>
    <m/>
    <m/>
    <m/>
    <m/>
    <m/>
    <m/>
    <m/>
    <m/>
    <m/>
    <m/>
    <m/>
    <m/>
    <m/>
    <m/>
    <m/>
    <m/>
    <m/>
    <m/>
    <m/>
    <m/>
    <m/>
    <m/>
    <x v="3"/>
    <x v="4"/>
    <m/>
    <m/>
    <m/>
    <m/>
    <m/>
    <m/>
    <m/>
    <m/>
    <m/>
    <m/>
    <m/>
    <m/>
    <m/>
    <m/>
    <m/>
    <m/>
    <m/>
    <m/>
    <m/>
    <m/>
    <m/>
    <m/>
    <m/>
    <m/>
    <m/>
    <m/>
    <m/>
    <m/>
    <m/>
    <m/>
    <s v="no test"/>
    <s v="no test"/>
    <s v="No Test"/>
    <n v="0"/>
    <n v="0"/>
    <n v="0"/>
    <n v="0"/>
    <n v="0"/>
    <n v="0"/>
    <n v="0"/>
    <m/>
    <n v="0"/>
    <n v="0"/>
    <n v="0"/>
    <n v="0"/>
    <n v="0"/>
    <n v="0"/>
    <n v="0"/>
    <n v="0"/>
    <n v="0"/>
    <n v="1"/>
    <n v="479"/>
    <n v="1"/>
    <n v="1"/>
    <n v="0"/>
    <n v="0"/>
    <n v="0"/>
    <n v="0"/>
    <n v="0"/>
    <n v="0"/>
    <n v="24"/>
    <n v="24"/>
    <n v="1"/>
    <n v="0"/>
    <n v="0"/>
    <n v="0"/>
    <n v="0"/>
    <n v="0"/>
    <n v="0"/>
    <n v="0"/>
    <n v="1"/>
    <n v="0"/>
    <n v="0"/>
    <n v="0"/>
    <n v="0"/>
    <n v="0"/>
    <n v="0"/>
    <n v="0"/>
    <s v="No"/>
    <s v=""/>
    <n v="0"/>
    <n v="0"/>
    <n v="0"/>
    <n v="0"/>
    <n v="0"/>
    <n v="0"/>
    <n v="0"/>
    <s v="uncovered"/>
    <x v="0"/>
    <x v="0"/>
    <x v="1"/>
    <n v="0"/>
    <s v="not available"/>
    <s v="MMR001CMP299"/>
    <x v="1"/>
    <x v="1"/>
    <m/>
    <n v="100"/>
    <n v="506"/>
  </r>
  <r>
    <x v="0"/>
    <x v="13"/>
    <x v="11"/>
    <m/>
    <x v="1"/>
    <x v="4"/>
    <x v="0"/>
    <x v="139"/>
    <n v="223"/>
    <n v="1067"/>
    <m/>
    <m/>
    <m/>
    <m/>
    <m/>
    <m/>
    <m/>
    <m/>
    <n v="4"/>
    <m/>
    <m/>
    <m/>
    <m/>
    <m/>
    <m/>
    <m/>
    <m/>
    <m/>
    <m/>
    <m/>
    <m/>
    <m/>
    <m/>
    <m/>
    <m/>
    <m/>
    <m/>
    <m/>
    <m/>
    <m/>
    <m/>
    <m/>
    <m/>
    <m/>
    <m/>
    <m/>
    <m/>
    <m/>
    <m/>
    <m/>
    <x v="2"/>
    <x v="2"/>
    <m/>
    <m/>
    <m/>
    <m/>
    <m/>
    <m/>
    <n v="3"/>
    <m/>
    <m/>
    <n v="2"/>
    <m/>
    <m/>
    <m/>
    <m/>
    <m/>
    <m/>
    <m/>
    <m/>
    <m/>
    <m/>
    <m/>
    <m/>
    <m/>
    <m/>
    <m/>
    <m/>
    <m/>
    <m/>
    <m/>
    <m/>
    <s v="no test"/>
    <s v="no test"/>
    <s v="No Test"/>
    <n v="0"/>
    <n v="0"/>
    <n v="0"/>
    <n v="0"/>
    <n v="0"/>
    <n v="0"/>
    <n v="0"/>
    <m/>
    <n v="0"/>
    <n v="0"/>
    <n v="0"/>
    <n v="0"/>
    <n v="0"/>
    <n v="0"/>
    <n v="0"/>
    <n v="0"/>
    <n v="0"/>
    <n v="1"/>
    <n v="1067"/>
    <n v="2"/>
    <n v="2"/>
    <n v="0"/>
    <n v="0"/>
    <n v="0"/>
    <n v="0"/>
    <n v="0"/>
    <n v="0"/>
    <n v="53"/>
    <n v="53"/>
    <n v="1"/>
    <n v="0"/>
    <n v="0"/>
    <n v="0"/>
    <n v="0"/>
    <n v="0"/>
    <n v="0"/>
    <n v="0"/>
    <n v="1"/>
    <n v="0"/>
    <n v="0"/>
    <n v="0"/>
    <n v="3"/>
    <n v="60"/>
    <n v="0"/>
    <n v="300"/>
    <s v="No"/>
    <s v=""/>
    <n v="0"/>
    <n v="0"/>
    <n v="0"/>
    <n v="0"/>
    <n v="0"/>
    <n v="0"/>
    <n v="0"/>
    <s v="uncovered"/>
    <x v="0"/>
    <x v="4"/>
    <x v="0"/>
    <n v="24.251232000000002"/>
    <n v="97.348405"/>
    <s v="MMR001CMP197"/>
    <x v="1"/>
    <x v="1"/>
    <m/>
    <n v="112"/>
    <n v="567"/>
  </r>
  <r>
    <x v="0"/>
    <x v="13"/>
    <x v="11"/>
    <m/>
    <x v="1"/>
    <x v="4"/>
    <x v="0"/>
    <x v="140"/>
    <n v="15"/>
    <n v="101"/>
    <m/>
    <m/>
    <m/>
    <m/>
    <m/>
    <m/>
    <m/>
    <m/>
    <n v="1"/>
    <m/>
    <m/>
    <m/>
    <m/>
    <m/>
    <m/>
    <m/>
    <m/>
    <m/>
    <m/>
    <m/>
    <m/>
    <m/>
    <m/>
    <m/>
    <m/>
    <m/>
    <m/>
    <m/>
    <m/>
    <m/>
    <m/>
    <m/>
    <m/>
    <m/>
    <m/>
    <m/>
    <m/>
    <m/>
    <m/>
    <m/>
    <x v="2"/>
    <x v="2"/>
    <m/>
    <m/>
    <m/>
    <m/>
    <m/>
    <m/>
    <n v="1"/>
    <m/>
    <m/>
    <n v="3"/>
    <m/>
    <m/>
    <m/>
    <m/>
    <m/>
    <m/>
    <m/>
    <m/>
    <m/>
    <m/>
    <m/>
    <m/>
    <m/>
    <m/>
    <m/>
    <m/>
    <m/>
    <m/>
    <m/>
    <m/>
    <s v="no test"/>
    <s v="no test"/>
    <s v="No Test"/>
    <n v="0"/>
    <n v="0"/>
    <n v="0"/>
    <n v="0"/>
    <n v="0"/>
    <n v="0"/>
    <n v="0"/>
    <m/>
    <n v="0"/>
    <n v="0"/>
    <n v="0"/>
    <n v="0"/>
    <n v="0"/>
    <n v="0"/>
    <n v="0"/>
    <n v="0"/>
    <n v="0"/>
    <n v="1"/>
    <n v="101"/>
    <n v="1"/>
    <n v="1"/>
    <n v="0"/>
    <n v="0"/>
    <n v="0"/>
    <n v="0"/>
    <n v="0"/>
    <n v="0"/>
    <n v="5"/>
    <n v="5"/>
    <n v="1"/>
    <n v="0"/>
    <n v="0"/>
    <n v="0"/>
    <n v="0"/>
    <n v="0"/>
    <n v="0"/>
    <n v="0"/>
    <n v="1"/>
    <n v="0"/>
    <n v="0"/>
    <n v="0"/>
    <n v="1"/>
    <n v="15"/>
    <n v="0"/>
    <n v="100"/>
    <s v="No"/>
    <s v=""/>
    <n v="0"/>
    <n v="0"/>
    <n v="0"/>
    <n v="0"/>
    <n v="0"/>
    <n v="0"/>
    <n v="0"/>
    <s v="uncovered"/>
    <x v="0"/>
    <x v="4"/>
    <x v="0"/>
    <n v="24.404876999999999"/>
    <n v="97.407787999999996"/>
    <s v="MMR001CMP061"/>
    <x v="1"/>
    <x v="1"/>
    <m/>
    <n v="15"/>
    <n v="101"/>
  </r>
  <r>
    <x v="0"/>
    <x v="13"/>
    <x v="11"/>
    <m/>
    <x v="1"/>
    <x v="12"/>
    <x v="0"/>
    <x v="141"/>
    <n v="31"/>
    <n v="171"/>
    <m/>
    <m/>
    <m/>
    <m/>
    <m/>
    <m/>
    <m/>
    <m/>
    <n v="4"/>
    <m/>
    <m/>
    <m/>
    <m/>
    <m/>
    <m/>
    <m/>
    <m/>
    <m/>
    <m/>
    <m/>
    <m/>
    <m/>
    <m/>
    <m/>
    <m/>
    <m/>
    <m/>
    <m/>
    <m/>
    <m/>
    <m/>
    <m/>
    <m/>
    <m/>
    <m/>
    <m/>
    <m/>
    <m/>
    <m/>
    <m/>
    <x v="2"/>
    <x v="2"/>
    <m/>
    <m/>
    <m/>
    <m/>
    <m/>
    <m/>
    <n v="1"/>
    <m/>
    <m/>
    <n v="1"/>
    <m/>
    <m/>
    <m/>
    <m/>
    <m/>
    <m/>
    <m/>
    <m/>
    <m/>
    <m/>
    <m/>
    <m/>
    <m/>
    <m/>
    <m/>
    <m/>
    <m/>
    <m/>
    <m/>
    <m/>
    <s v="no test"/>
    <s v="no test"/>
    <s v="No Test"/>
    <n v="0"/>
    <n v="0"/>
    <n v="0"/>
    <n v="0"/>
    <n v="0"/>
    <n v="0"/>
    <n v="0"/>
    <m/>
    <n v="0"/>
    <n v="0"/>
    <n v="0"/>
    <n v="0"/>
    <n v="0"/>
    <n v="0"/>
    <n v="0"/>
    <n v="0"/>
    <n v="0"/>
    <n v="1"/>
    <n v="171"/>
    <n v="1"/>
    <n v="1"/>
    <n v="0"/>
    <n v="0"/>
    <n v="0"/>
    <n v="0"/>
    <n v="0"/>
    <n v="0"/>
    <n v="9"/>
    <n v="9"/>
    <n v="1"/>
    <n v="0"/>
    <n v="0"/>
    <n v="0"/>
    <n v="0"/>
    <n v="0"/>
    <n v="0"/>
    <n v="0"/>
    <n v="1"/>
    <n v="0"/>
    <n v="0"/>
    <n v="0"/>
    <n v="1"/>
    <n v="20"/>
    <n v="0"/>
    <n v="100"/>
    <s v="No"/>
    <s v=""/>
    <n v="0"/>
    <n v="0"/>
    <n v="0"/>
    <n v="0"/>
    <n v="0"/>
    <n v="0"/>
    <n v="0"/>
    <s v="uncovered"/>
    <x v="0"/>
    <x v="1"/>
    <x v="0"/>
    <n v="26.299828999999999"/>
    <n v="97.487258999999995"/>
    <s v="MMR001CMP272"/>
    <x v="1"/>
    <x v="1"/>
    <m/>
    <n v="31"/>
    <n v="171"/>
  </r>
  <r>
    <x v="0"/>
    <x v="13"/>
    <x v="11"/>
    <m/>
    <x v="1"/>
    <x v="14"/>
    <x v="0"/>
    <x v="142"/>
    <n v="48"/>
    <n v="240"/>
    <m/>
    <m/>
    <m/>
    <m/>
    <m/>
    <m/>
    <m/>
    <m/>
    <m/>
    <m/>
    <m/>
    <m/>
    <m/>
    <m/>
    <m/>
    <m/>
    <m/>
    <m/>
    <m/>
    <m/>
    <m/>
    <m/>
    <m/>
    <m/>
    <m/>
    <m/>
    <m/>
    <m/>
    <m/>
    <m/>
    <m/>
    <m/>
    <m/>
    <m/>
    <m/>
    <m/>
    <m/>
    <m/>
    <m/>
    <m/>
    <x v="2"/>
    <x v="2"/>
    <m/>
    <m/>
    <m/>
    <m/>
    <m/>
    <m/>
    <n v="7"/>
    <m/>
    <m/>
    <n v="4"/>
    <m/>
    <m/>
    <m/>
    <m/>
    <m/>
    <m/>
    <m/>
    <m/>
    <m/>
    <m/>
    <m/>
    <m/>
    <m/>
    <m/>
    <m/>
    <m/>
    <m/>
    <m/>
    <m/>
    <m/>
    <s v="no test"/>
    <s v="no test"/>
    <s v="No Test"/>
    <n v="0"/>
    <n v="0"/>
    <n v="0"/>
    <n v="0"/>
    <n v="0"/>
    <n v="0"/>
    <n v="0"/>
    <m/>
    <n v="0"/>
    <n v="0"/>
    <n v="0"/>
    <n v="0"/>
    <n v="0"/>
    <n v="0"/>
    <n v="0"/>
    <n v="0"/>
    <n v="0"/>
    <n v="1"/>
    <n v="240"/>
    <n v="1"/>
    <n v="1"/>
    <n v="0"/>
    <n v="0"/>
    <n v="0"/>
    <n v="0"/>
    <n v="0"/>
    <n v="0"/>
    <n v="12"/>
    <n v="12"/>
    <n v="1"/>
    <n v="0"/>
    <n v="0"/>
    <n v="0"/>
    <n v="0"/>
    <n v="0"/>
    <n v="0"/>
    <n v="0"/>
    <n v="1"/>
    <n v="0"/>
    <n v="0"/>
    <n v="0"/>
    <n v="7"/>
    <n v="48"/>
    <n v="0"/>
    <n v="240"/>
    <s v="No"/>
    <s v=""/>
    <n v="0"/>
    <n v="0"/>
    <n v="0"/>
    <n v="0"/>
    <n v="0"/>
    <n v="0"/>
    <n v="0"/>
    <s v="Uncovered  "/>
    <x v="0"/>
    <x v="0"/>
    <x v="0"/>
    <n v="0"/>
    <n v="0"/>
    <s v="MMR001CMP293"/>
    <x v="1"/>
    <x v="1"/>
    <m/>
    <n v="29"/>
    <n v="166"/>
  </r>
  <r>
    <x v="0"/>
    <x v="13"/>
    <x v="11"/>
    <m/>
    <x v="1"/>
    <x v="14"/>
    <x v="0"/>
    <x v="143"/>
    <n v="34"/>
    <n v="189"/>
    <m/>
    <m/>
    <m/>
    <m/>
    <m/>
    <m/>
    <m/>
    <m/>
    <m/>
    <m/>
    <m/>
    <m/>
    <m/>
    <m/>
    <m/>
    <m/>
    <m/>
    <m/>
    <m/>
    <m/>
    <m/>
    <m/>
    <m/>
    <m/>
    <m/>
    <m/>
    <m/>
    <m/>
    <m/>
    <m/>
    <m/>
    <m/>
    <m/>
    <m/>
    <m/>
    <m/>
    <m/>
    <m/>
    <m/>
    <m/>
    <x v="2"/>
    <x v="2"/>
    <m/>
    <m/>
    <m/>
    <m/>
    <m/>
    <m/>
    <n v="3"/>
    <m/>
    <m/>
    <n v="2"/>
    <m/>
    <m/>
    <m/>
    <m/>
    <m/>
    <m/>
    <m/>
    <m/>
    <m/>
    <m/>
    <m/>
    <m/>
    <m/>
    <m/>
    <m/>
    <m/>
    <m/>
    <m/>
    <m/>
    <m/>
    <s v="no test"/>
    <s v="no test"/>
    <s v="No Test"/>
    <n v="0"/>
    <n v="0"/>
    <n v="0"/>
    <n v="0"/>
    <n v="0"/>
    <n v="0"/>
    <n v="0"/>
    <m/>
    <n v="0"/>
    <n v="0"/>
    <n v="0"/>
    <n v="0"/>
    <n v="0"/>
    <n v="0"/>
    <n v="0"/>
    <n v="0"/>
    <n v="0"/>
    <n v="1"/>
    <n v="189"/>
    <n v="1"/>
    <n v="1"/>
    <n v="0"/>
    <n v="0"/>
    <n v="0"/>
    <n v="0"/>
    <n v="0"/>
    <n v="0"/>
    <n v="9"/>
    <n v="9"/>
    <n v="1"/>
    <n v="0"/>
    <n v="0"/>
    <n v="0"/>
    <n v="0"/>
    <n v="0"/>
    <n v="0"/>
    <n v="0"/>
    <n v="1"/>
    <n v="0"/>
    <n v="0"/>
    <n v="0"/>
    <n v="3"/>
    <n v="34"/>
    <n v="0"/>
    <n v="189"/>
    <s v="No"/>
    <s v=""/>
    <n v="0"/>
    <n v="0"/>
    <n v="0"/>
    <n v="0"/>
    <n v="0"/>
    <n v="0"/>
    <n v="0"/>
    <s v="Uncovered  "/>
    <x v="0"/>
    <x v="0"/>
    <x v="0"/>
    <n v="0"/>
    <n v="0"/>
    <s v="MMR001CMP294"/>
    <x v="1"/>
    <x v="1"/>
    <m/>
    <n v="20"/>
    <n v="133"/>
  </r>
  <r>
    <x v="0"/>
    <x v="13"/>
    <x v="11"/>
    <m/>
    <x v="1"/>
    <x v="14"/>
    <x v="0"/>
    <x v="144"/>
    <n v="25"/>
    <n v="115"/>
    <m/>
    <m/>
    <m/>
    <m/>
    <m/>
    <m/>
    <m/>
    <m/>
    <m/>
    <m/>
    <m/>
    <m/>
    <m/>
    <m/>
    <m/>
    <m/>
    <m/>
    <m/>
    <m/>
    <m/>
    <m/>
    <m/>
    <m/>
    <m/>
    <m/>
    <m/>
    <m/>
    <m/>
    <m/>
    <m/>
    <m/>
    <m/>
    <m/>
    <m/>
    <m/>
    <m/>
    <m/>
    <m/>
    <m/>
    <m/>
    <x v="3"/>
    <x v="4"/>
    <m/>
    <m/>
    <m/>
    <m/>
    <m/>
    <m/>
    <m/>
    <m/>
    <m/>
    <m/>
    <m/>
    <m/>
    <m/>
    <m/>
    <m/>
    <m/>
    <m/>
    <m/>
    <m/>
    <m/>
    <m/>
    <m/>
    <m/>
    <m/>
    <m/>
    <m/>
    <m/>
    <m/>
    <m/>
    <m/>
    <s v="no test"/>
    <s v="no test"/>
    <s v="No Test"/>
    <n v="0"/>
    <n v="0"/>
    <n v="0"/>
    <n v="0"/>
    <n v="0"/>
    <n v="0"/>
    <n v="0"/>
    <m/>
    <n v="0"/>
    <n v="0"/>
    <n v="0"/>
    <n v="0"/>
    <n v="0"/>
    <n v="0"/>
    <n v="0"/>
    <n v="0"/>
    <n v="0"/>
    <n v="1"/>
    <n v="115"/>
    <n v="1"/>
    <n v="1"/>
    <n v="0"/>
    <n v="0"/>
    <n v="0"/>
    <n v="0"/>
    <n v="0"/>
    <n v="0"/>
    <n v="6"/>
    <n v="6"/>
    <n v="1"/>
    <n v="0"/>
    <n v="0"/>
    <n v="0"/>
    <n v="0"/>
    <n v="0"/>
    <n v="0"/>
    <n v="0"/>
    <n v="1"/>
    <n v="0"/>
    <n v="0"/>
    <n v="0"/>
    <n v="0"/>
    <n v="0"/>
    <n v="0"/>
    <n v="0"/>
    <s v="No"/>
    <s v=""/>
    <n v="0"/>
    <n v="0"/>
    <n v="0"/>
    <n v="0"/>
    <n v="0"/>
    <n v="0"/>
    <n v="0"/>
    <s v="DFSS"/>
    <x v="0"/>
    <x v="0"/>
    <x v="0"/>
    <n v="0"/>
    <n v="0"/>
    <s v="MMR001CMP300"/>
    <x v="1"/>
    <x v="1"/>
    <m/>
    <n v="11"/>
    <n v="59"/>
  </r>
  <r>
    <x v="0"/>
    <x v="13"/>
    <x v="11"/>
    <m/>
    <x v="1"/>
    <x v="14"/>
    <x v="0"/>
    <x v="145"/>
    <n v="24"/>
    <n v="130"/>
    <m/>
    <m/>
    <m/>
    <m/>
    <m/>
    <m/>
    <m/>
    <m/>
    <m/>
    <m/>
    <m/>
    <m/>
    <m/>
    <m/>
    <m/>
    <m/>
    <m/>
    <m/>
    <m/>
    <m/>
    <m/>
    <m/>
    <m/>
    <m/>
    <m/>
    <m/>
    <m/>
    <m/>
    <m/>
    <m/>
    <m/>
    <m/>
    <m/>
    <m/>
    <m/>
    <m/>
    <m/>
    <m/>
    <m/>
    <m/>
    <x v="3"/>
    <x v="4"/>
    <m/>
    <m/>
    <m/>
    <m/>
    <m/>
    <m/>
    <m/>
    <m/>
    <m/>
    <m/>
    <m/>
    <m/>
    <m/>
    <m/>
    <m/>
    <m/>
    <m/>
    <m/>
    <m/>
    <m/>
    <m/>
    <m/>
    <m/>
    <m/>
    <m/>
    <m/>
    <m/>
    <m/>
    <m/>
    <m/>
    <s v="no test"/>
    <s v="no test"/>
    <s v="No Test"/>
    <n v="0"/>
    <n v="0"/>
    <n v="0"/>
    <n v="0"/>
    <n v="0"/>
    <n v="0"/>
    <n v="0"/>
    <m/>
    <n v="0"/>
    <n v="0"/>
    <n v="0"/>
    <n v="0"/>
    <n v="0"/>
    <n v="0"/>
    <n v="0"/>
    <n v="0"/>
    <n v="0"/>
    <n v="1"/>
    <n v="130"/>
    <n v="1"/>
    <n v="1"/>
    <n v="0"/>
    <n v="0"/>
    <n v="0"/>
    <n v="0"/>
    <n v="0"/>
    <n v="0"/>
    <n v="7"/>
    <n v="7"/>
    <n v="1"/>
    <n v="0"/>
    <n v="0"/>
    <n v="0"/>
    <n v="0"/>
    <n v="0"/>
    <n v="0"/>
    <n v="0"/>
    <n v="1"/>
    <n v="0"/>
    <n v="0"/>
    <n v="0"/>
    <n v="0"/>
    <n v="0"/>
    <n v="0"/>
    <n v="0"/>
    <s v="No"/>
    <s v=""/>
    <n v="0"/>
    <n v="0"/>
    <n v="0"/>
    <n v="0"/>
    <n v="0"/>
    <n v="0"/>
    <n v="0"/>
    <s v="DFSS"/>
    <x v="0"/>
    <x v="0"/>
    <x v="0"/>
    <n v="0"/>
    <n v="0"/>
    <s v="MMR001CMP303"/>
    <x v="1"/>
    <x v="1"/>
    <m/>
    <n v="22"/>
    <n v="118"/>
  </r>
  <r>
    <x v="0"/>
    <x v="13"/>
    <x v="11"/>
    <m/>
    <x v="1"/>
    <x v="14"/>
    <x v="3"/>
    <x v="146"/>
    <n v="95"/>
    <n v="499"/>
    <m/>
    <m/>
    <m/>
    <m/>
    <m/>
    <m/>
    <m/>
    <m/>
    <m/>
    <m/>
    <m/>
    <m/>
    <m/>
    <m/>
    <m/>
    <m/>
    <m/>
    <m/>
    <m/>
    <m/>
    <m/>
    <m/>
    <m/>
    <m/>
    <m/>
    <m/>
    <m/>
    <m/>
    <m/>
    <m/>
    <m/>
    <m/>
    <m/>
    <m/>
    <m/>
    <m/>
    <m/>
    <m/>
    <m/>
    <m/>
    <x v="3"/>
    <x v="4"/>
    <m/>
    <m/>
    <m/>
    <m/>
    <m/>
    <m/>
    <m/>
    <m/>
    <m/>
    <m/>
    <m/>
    <m/>
    <m/>
    <m/>
    <m/>
    <m/>
    <m/>
    <m/>
    <m/>
    <m/>
    <m/>
    <m/>
    <m/>
    <m/>
    <m/>
    <m/>
    <m/>
    <m/>
    <m/>
    <m/>
    <s v="no test"/>
    <s v="no test"/>
    <s v="No Test"/>
    <n v="0"/>
    <n v="0"/>
    <n v="0"/>
    <n v="0"/>
    <n v="0"/>
    <n v="0"/>
    <n v="0"/>
    <m/>
    <n v="0"/>
    <n v="0"/>
    <n v="0"/>
    <n v="0"/>
    <n v="0"/>
    <n v="0"/>
    <n v="0"/>
    <n v="0"/>
    <n v="0"/>
    <n v="1"/>
    <n v="499"/>
    <n v="1"/>
    <n v="1"/>
    <n v="0"/>
    <n v="0"/>
    <n v="0"/>
    <n v="0"/>
    <n v="0"/>
    <n v="0"/>
    <n v="83"/>
    <n v="83"/>
    <n v="1"/>
    <n v="0"/>
    <n v="0"/>
    <n v="0"/>
    <n v="0"/>
    <n v="0"/>
    <n v="0"/>
    <n v="0"/>
    <n v="1"/>
    <n v="0"/>
    <n v="0"/>
    <n v="0"/>
    <n v="0"/>
    <n v="0"/>
    <n v="0"/>
    <n v="0"/>
    <s v="No"/>
    <s v=""/>
    <n v="0"/>
    <n v="0"/>
    <n v="0"/>
    <n v="0"/>
    <n v="0"/>
    <n v="0"/>
    <n v="0"/>
    <n v="0"/>
    <x v="2"/>
    <x v="6"/>
    <x v="0"/>
    <n v="25.415667500000001"/>
    <n v="97.437782499999997"/>
    <s v="MMR001CMP277"/>
    <x v="1"/>
    <x v="1"/>
    <m/>
    <n v="95"/>
    <n v="499"/>
  </r>
  <r>
    <x v="0"/>
    <x v="13"/>
    <x v="11"/>
    <m/>
    <x v="1"/>
    <x v="14"/>
    <x v="0"/>
    <x v="147"/>
    <n v="12"/>
    <n v="80"/>
    <m/>
    <m/>
    <m/>
    <m/>
    <m/>
    <m/>
    <m/>
    <m/>
    <m/>
    <m/>
    <m/>
    <m/>
    <m/>
    <m/>
    <m/>
    <m/>
    <m/>
    <m/>
    <m/>
    <m/>
    <m/>
    <m/>
    <m/>
    <m/>
    <m/>
    <m/>
    <m/>
    <m/>
    <m/>
    <m/>
    <m/>
    <m/>
    <m/>
    <m/>
    <m/>
    <m/>
    <m/>
    <m/>
    <m/>
    <m/>
    <x v="2"/>
    <x v="2"/>
    <m/>
    <m/>
    <m/>
    <m/>
    <m/>
    <m/>
    <n v="7"/>
    <m/>
    <m/>
    <n v="4"/>
    <m/>
    <m/>
    <m/>
    <m/>
    <m/>
    <m/>
    <m/>
    <m/>
    <m/>
    <m/>
    <m/>
    <m/>
    <m/>
    <m/>
    <m/>
    <m/>
    <m/>
    <m/>
    <m/>
    <m/>
    <s v="no test"/>
    <s v="no test"/>
    <s v="No Test"/>
    <n v="0"/>
    <n v="0"/>
    <n v="0"/>
    <n v="0"/>
    <n v="0"/>
    <n v="0"/>
    <n v="0"/>
    <m/>
    <n v="0"/>
    <n v="0"/>
    <n v="0"/>
    <n v="0"/>
    <n v="0"/>
    <n v="0"/>
    <n v="0"/>
    <n v="0"/>
    <n v="0"/>
    <n v="1"/>
    <n v="80"/>
    <n v="1"/>
    <n v="1"/>
    <n v="0"/>
    <n v="0"/>
    <n v="0"/>
    <n v="0"/>
    <n v="0"/>
    <n v="0"/>
    <n v="4"/>
    <n v="4"/>
    <n v="1"/>
    <n v="0"/>
    <n v="0"/>
    <n v="0"/>
    <n v="0"/>
    <n v="0"/>
    <n v="0"/>
    <n v="0"/>
    <n v="1"/>
    <n v="0"/>
    <n v="0"/>
    <n v="0"/>
    <n v="7"/>
    <n v="12"/>
    <n v="0"/>
    <n v="80"/>
    <s v="No"/>
    <s v=""/>
    <n v="0"/>
    <n v="0"/>
    <n v="0"/>
    <n v="0"/>
    <n v="0"/>
    <n v="0"/>
    <s v="Yes"/>
    <s v="Shalom"/>
    <x v="0"/>
    <x v="0"/>
    <x v="0"/>
    <n v="25.221299999999999"/>
    <n v="97.255300000000005"/>
    <s v="MMR001CMP286"/>
    <x v="1"/>
    <x v="1"/>
    <m/>
    <n v="6"/>
    <n v="41"/>
  </r>
  <r>
    <x v="0"/>
    <x v="13"/>
    <x v="11"/>
    <m/>
    <x v="1"/>
    <x v="14"/>
    <x v="0"/>
    <x v="148"/>
    <n v="61"/>
    <n v="294"/>
    <m/>
    <m/>
    <m/>
    <m/>
    <m/>
    <m/>
    <m/>
    <m/>
    <m/>
    <m/>
    <m/>
    <m/>
    <m/>
    <m/>
    <m/>
    <m/>
    <m/>
    <m/>
    <m/>
    <m/>
    <m/>
    <m/>
    <m/>
    <m/>
    <m/>
    <m/>
    <m/>
    <m/>
    <m/>
    <m/>
    <m/>
    <m/>
    <m/>
    <m/>
    <m/>
    <m/>
    <m/>
    <m/>
    <m/>
    <m/>
    <x v="3"/>
    <x v="4"/>
    <m/>
    <m/>
    <m/>
    <m/>
    <m/>
    <m/>
    <m/>
    <m/>
    <m/>
    <m/>
    <m/>
    <m/>
    <m/>
    <m/>
    <m/>
    <m/>
    <m/>
    <m/>
    <m/>
    <m/>
    <m/>
    <m/>
    <m/>
    <m/>
    <m/>
    <m/>
    <m/>
    <m/>
    <m/>
    <m/>
    <s v="no test"/>
    <s v="no test"/>
    <s v="No Test"/>
    <n v="0"/>
    <n v="0"/>
    <n v="0"/>
    <n v="0"/>
    <n v="0"/>
    <n v="0"/>
    <n v="0"/>
    <m/>
    <n v="0"/>
    <n v="0"/>
    <n v="0"/>
    <n v="0"/>
    <n v="0"/>
    <n v="0"/>
    <n v="0"/>
    <n v="0"/>
    <n v="0"/>
    <n v="1"/>
    <n v="294"/>
    <n v="1"/>
    <n v="1"/>
    <n v="0"/>
    <n v="0"/>
    <n v="0"/>
    <n v="0"/>
    <n v="0"/>
    <n v="0"/>
    <n v="15"/>
    <n v="15"/>
    <n v="1"/>
    <n v="0"/>
    <n v="0"/>
    <n v="0"/>
    <n v="0"/>
    <n v="0"/>
    <n v="0"/>
    <n v="0"/>
    <n v="1"/>
    <n v="0"/>
    <n v="0"/>
    <n v="0"/>
    <n v="0"/>
    <n v="0"/>
    <n v="0"/>
    <n v="0"/>
    <s v="No"/>
    <s v=""/>
    <n v="0"/>
    <n v="0"/>
    <n v="0"/>
    <n v="0"/>
    <n v="0"/>
    <n v="0"/>
    <n v="0"/>
    <s v="Uncovered  "/>
    <x v="0"/>
    <x v="0"/>
    <x v="0"/>
    <n v="25.2057"/>
    <n v="97.262200000000007"/>
    <s v="MMR001CMP290"/>
    <x v="1"/>
    <x v="1"/>
    <m/>
    <n v="61"/>
    <n v="305"/>
  </r>
  <r>
    <x v="0"/>
    <x v="13"/>
    <x v="11"/>
    <m/>
    <x v="1"/>
    <x v="14"/>
    <x v="0"/>
    <x v="149"/>
    <n v="45"/>
    <n v="247"/>
    <m/>
    <m/>
    <m/>
    <m/>
    <m/>
    <m/>
    <m/>
    <m/>
    <n v="2"/>
    <m/>
    <m/>
    <m/>
    <m/>
    <m/>
    <m/>
    <m/>
    <m/>
    <m/>
    <m/>
    <m/>
    <m/>
    <m/>
    <m/>
    <m/>
    <m/>
    <m/>
    <m/>
    <m/>
    <m/>
    <m/>
    <m/>
    <m/>
    <m/>
    <m/>
    <m/>
    <m/>
    <m/>
    <m/>
    <m/>
    <m/>
    <x v="2"/>
    <x v="2"/>
    <m/>
    <m/>
    <m/>
    <m/>
    <m/>
    <m/>
    <n v="1"/>
    <m/>
    <m/>
    <n v="3"/>
    <m/>
    <m/>
    <m/>
    <m/>
    <m/>
    <m/>
    <m/>
    <m/>
    <m/>
    <m/>
    <m/>
    <m/>
    <m/>
    <m/>
    <m/>
    <m/>
    <m/>
    <m/>
    <m/>
    <m/>
    <s v="no test"/>
    <s v="no test"/>
    <s v="No Test"/>
    <n v="0"/>
    <n v="0"/>
    <n v="0"/>
    <n v="0"/>
    <n v="0"/>
    <n v="0"/>
    <n v="0"/>
    <m/>
    <n v="0"/>
    <n v="0"/>
    <n v="0"/>
    <n v="0"/>
    <n v="0"/>
    <n v="0"/>
    <n v="0"/>
    <n v="0"/>
    <n v="0"/>
    <n v="1"/>
    <n v="247"/>
    <n v="1"/>
    <n v="1"/>
    <n v="0"/>
    <n v="0"/>
    <n v="0"/>
    <n v="0"/>
    <n v="0"/>
    <n v="0"/>
    <n v="12"/>
    <n v="12"/>
    <n v="1"/>
    <n v="0"/>
    <n v="0"/>
    <n v="0"/>
    <n v="0"/>
    <n v="0"/>
    <n v="0"/>
    <n v="0"/>
    <n v="1"/>
    <n v="0"/>
    <n v="0"/>
    <n v="0"/>
    <n v="1"/>
    <n v="20"/>
    <n v="0"/>
    <n v="100"/>
    <s v="No"/>
    <s v=""/>
    <n v="0"/>
    <n v="0"/>
    <n v="0"/>
    <n v="0"/>
    <n v="0"/>
    <n v="0"/>
    <n v="0"/>
    <s v="uncovered"/>
    <x v="0"/>
    <x v="0"/>
    <x v="0"/>
    <n v="25.391428000000001"/>
    <n v="97.898184999999998"/>
    <s v="MMR001CMP258"/>
    <x v="1"/>
    <x v="1"/>
    <m/>
    <n v="17"/>
    <n v="107"/>
  </r>
  <r>
    <x v="0"/>
    <x v="13"/>
    <x v="11"/>
    <m/>
    <x v="1"/>
    <x v="14"/>
    <x v="0"/>
    <x v="150"/>
    <n v="52"/>
    <n v="318"/>
    <m/>
    <m/>
    <m/>
    <m/>
    <m/>
    <m/>
    <m/>
    <m/>
    <m/>
    <m/>
    <m/>
    <m/>
    <m/>
    <m/>
    <m/>
    <m/>
    <m/>
    <m/>
    <m/>
    <m/>
    <m/>
    <m/>
    <m/>
    <m/>
    <m/>
    <m/>
    <m/>
    <m/>
    <m/>
    <m/>
    <m/>
    <m/>
    <m/>
    <m/>
    <m/>
    <m/>
    <m/>
    <m/>
    <m/>
    <m/>
    <x v="3"/>
    <x v="4"/>
    <m/>
    <m/>
    <m/>
    <m/>
    <m/>
    <m/>
    <m/>
    <m/>
    <m/>
    <m/>
    <m/>
    <m/>
    <m/>
    <m/>
    <m/>
    <m/>
    <m/>
    <m/>
    <m/>
    <m/>
    <m/>
    <m/>
    <m/>
    <m/>
    <m/>
    <m/>
    <m/>
    <m/>
    <m/>
    <m/>
    <s v="no test"/>
    <s v="no test"/>
    <s v="No Test"/>
    <n v="0"/>
    <n v="0"/>
    <n v="0"/>
    <n v="0"/>
    <n v="0"/>
    <n v="0"/>
    <n v="0"/>
    <m/>
    <n v="0"/>
    <n v="0"/>
    <n v="0"/>
    <n v="0"/>
    <n v="0"/>
    <n v="0"/>
    <n v="0"/>
    <n v="0"/>
    <n v="0"/>
    <n v="1"/>
    <n v="318"/>
    <n v="1"/>
    <n v="1"/>
    <n v="0"/>
    <n v="0"/>
    <n v="0"/>
    <n v="0"/>
    <n v="0"/>
    <n v="0"/>
    <n v="16"/>
    <n v="16"/>
    <n v="1"/>
    <n v="0"/>
    <n v="0"/>
    <n v="0"/>
    <n v="0"/>
    <n v="0"/>
    <n v="0"/>
    <n v="0"/>
    <n v="1"/>
    <n v="0"/>
    <n v="0"/>
    <n v="0"/>
    <n v="0"/>
    <n v="0"/>
    <n v="0"/>
    <n v="0"/>
    <s v="No"/>
    <s v=""/>
    <n v="0"/>
    <n v="0"/>
    <n v="0"/>
    <n v="0"/>
    <n v="0"/>
    <n v="0"/>
    <n v="0"/>
    <s v="KBC-MYT"/>
    <x v="0"/>
    <x v="0"/>
    <x v="0"/>
    <n v="0"/>
    <n v="0"/>
    <s v="MMR001CMP305"/>
    <x v="1"/>
    <x v="1"/>
    <m/>
    <n v="52"/>
    <n v="318"/>
  </r>
  <r>
    <x v="0"/>
    <x v="13"/>
    <x v="11"/>
    <m/>
    <x v="1"/>
    <x v="14"/>
    <x v="0"/>
    <x v="151"/>
    <n v="33"/>
    <n v="178"/>
    <m/>
    <m/>
    <m/>
    <m/>
    <m/>
    <m/>
    <m/>
    <m/>
    <m/>
    <m/>
    <m/>
    <m/>
    <m/>
    <m/>
    <m/>
    <m/>
    <m/>
    <m/>
    <m/>
    <m/>
    <m/>
    <m/>
    <m/>
    <m/>
    <m/>
    <m/>
    <m/>
    <m/>
    <m/>
    <m/>
    <m/>
    <m/>
    <m/>
    <m/>
    <m/>
    <m/>
    <m/>
    <m/>
    <m/>
    <m/>
    <x v="3"/>
    <x v="4"/>
    <m/>
    <m/>
    <m/>
    <m/>
    <m/>
    <m/>
    <m/>
    <m/>
    <m/>
    <m/>
    <m/>
    <m/>
    <m/>
    <m/>
    <m/>
    <m/>
    <m/>
    <m/>
    <m/>
    <m/>
    <m/>
    <m/>
    <m/>
    <m/>
    <m/>
    <m/>
    <m/>
    <m/>
    <m/>
    <m/>
    <s v="no test"/>
    <s v="no test"/>
    <s v="No Test"/>
    <n v="0"/>
    <n v="0"/>
    <n v="0"/>
    <n v="0"/>
    <n v="0"/>
    <n v="0"/>
    <n v="0"/>
    <m/>
    <n v="0"/>
    <n v="0"/>
    <n v="0"/>
    <n v="0"/>
    <n v="0"/>
    <n v="0"/>
    <n v="0"/>
    <n v="0"/>
    <n v="0"/>
    <n v="1"/>
    <n v="178"/>
    <n v="1"/>
    <n v="1"/>
    <n v="0"/>
    <n v="0"/>
    <n v="0"/>
    <n v="0"/>
    <n v="0"/>
    <n v="0"/>
    <n v="9"/>
    <n v="9"/>
    <n v="1"/>
    <n v="0"/>
    <n v="0"/>
    <n v="0"/>
    <n v="0"/>
    <n v="0"/>
    <n v="0"/>
    <n v="0"/>
    <n v="1"/>
    <n v="0"/>
    <n v="0"/>
    <n v="0"/>
    <n v="0"/>
    <n v="0"/>
    <n v="0"/>
    <n v="0"/>
    <s v="No"/>
    <s v=""/>
    <n v="0"/>
    <n v="0"/>
    <n v="0"/>
    <n v="0"/>
    <n v="0"/>
    <n v="0"/>
    <n v="0"/>
    <s v="DFSS"/>
    <x v="0"/>
    <x v="0"/>
    <x v="0"/>
    <n v="0"/>
    <n v="0"/>
    <s v="MMR001CMP302"/>
    <x v="1"/>
    <x v="1"/>
    <m/>
    <n v="30"/>
    <n v="160"/>
  </r>
  <r>
    <x v="0"/>
    <x v="13"/>
    <x v="11"/>
    <m/>
    <x v="1"/>
    <x v="14"/>
    <x v="0"/>
    <x v="152"/>
    <n v="30"/>
    <n v="157"/>
    <m/>
    <m/>
    <m/>
    <m/>
    <m/>
    <m/>
    <m/>
    <m/>
    <m/>
    <m/>
    <m/>
    <m/>
    <m/>
    <m/>
    <m/>
    <m/>
    <m/>
    <m/>
    <m/>
    <m/>
    <m/>
    <m/>
    <m/>
    <m/>
    <m/>
    <m/>
    <m/>
    <m/>
    <m/>
    <m/>
    <m/>
    <m/>
    <m/>
    <m/>
    <m/>
    <m/>
    <m/>
    <m/>
    <m/>
    <m/>
    <x v="3"/>
    <x v="4"/>
    <m/>
    <m/>
    <m/>
    <m/>
    <m/>
    <m/>
    <m/>
    <m/>
    <m/>
    <m/>
    <m/>
    <m/>
    <m/>
    <m/>
    <m/>
    <m/>
    <m/>
    <m/>
    <m/>
    <m/>
    <m/>
    <m/>
    <m/>
    <m/>
    <m/>
    <m/>
    <m/>
    <m/>
    <m/>
    <m/>
    <s v="no test"/>
    <s v="no test"/>
    <s v="No Test"/>
    <n v="0"/>
    <n v="0"/>
    <n v="0"/>
    <n v="0"/>
    <n v="0"/>
    <n v="0"/>
    <n v="0"/>
    <m/>
    <n v="0"/>
    <n v="0"/>
    <n v="0"/>
    <n v="0"/>
    <n v="0"/>
    <n v="0"/>
    <n v="0"/>
    <n v="0"/>
    <n v="0"/>
    <n v="1"/>
    <n v="157"/>
    <n v="1"/>
    <n v="1"/>
    <n v="0"/>
    <n v="0"/>
    <n v="0"/>
    <n v="0"/>
    <n v="0"/>
    <n v="0"/>
    <n v="8"/>
    <n v="8"/>
    <n v="1"/>
    <n v="0"/>
    <n v="0"/>
    <n v="0"/>
    <n v="0"/>
    <n v="0"/>
    <n v="0"/>
    <n v="0"/>
    <n v="1"/>
    <n v="0"/>
    <n v="0"/>
    <n v="0"/>
    <n v="0"/>
    <n v="0"/>
    <n v="0"/>
    <n v="0"/>
    <s v="No"/>
    <s v=""/>
    <n v="0"/>
    <n v="0"/>
    <n v="0"/>
    <n v="0"/>
    <n v="0"/>
    <n v="0"/>
    <n v="0"/>
    <s v="DFSS"/>
    <x v="0"/>
    <x v="0"/>
    <x v="0"/>
    <n v="0"/>
    <s v="not available"/>
    <s v="MMR001CMP296"/>
    <x v="1"/>
    <x v="1"/>
    <m/>
    <n v="30"/>
    <n v="159"/>
  </r>
  <r>
    <x v="0"/>
    <x v="13"/>
    <x v="11"/>
    <m/>
    <x v="1"/>
    <x v="14"/>
    <x v="0"/>
    <x v="153"/>
    <n v="27"/>
    <n v="139"/>
    <m/>
    <m/>
    <m/>
    <m/>
    <m/>
    <m/>
    <m/>
    <m/>
    <m/>
    <m/>
    <m/>
    <m/>
    <m/>
    <m/>
    <m/>
    <m/>
    <m/>
    <m/>
    <m/>
    <m/>
    <m/>
    <m/>
    <m/>
    <m/>
    <m/>
    <m/>
    <m/>
    <m/>
    <m/>
    <m/>
    <m/>
    <m/>
    <m/>
    <m/>
    <m/>
    <m/>
    <m/>
    <m/>
    <m/>
    <m/>
    <x v="2"/>
    <x v="2"/>
    <m/>
    <m/>
    <m/>
    <m/>
    <m/>
    <m/>
    <n v="7"/>
    <m/>
    <m/>
    <n v="7"/>
    <m/>
    <m/>
    <m/>
    <m/>
    <m/>
    <m/>
    <m/>
    <m/>
    <m/>
    <m/>
    <m/>
    <m/>
    <m/>
    <m/>
    <m/>
    <m/>
    <m/>
    <m/>
    <m/>
    <m/>
    <s v="no test"/>
    <s v="no test"/>
    <s v="No Test"/>
    <n v="0"/>
    <n v="0"/>
    <n v="0"/>
    <n v="0"/>
    <n v="0"/>
    <n v="0"/>
    <n v="0"/>
    <m/>
    <n v="0"/>
    <n v="0"/>
    <n v="0"/>
    <n v="0"/>
    <n v="0"/>
    <n v="0"/>
    <n v="0"/>
    <n v="0"/>
    <n v="0"/>
    <n v="1"/>
    <n v="139"/>
    <n v="1"/>
    <n v="1"/>
    <n v="0"/>
    <n v="0"/>
    <n v="0"/>
    <n v="0"/>
    <n v="0"/>
    <n v="0"/>
    <n v="7"/>
    <n v="7"/>
    <n v="1"/>
    <n v="0"/>
    <n v="0"/>
    <n v="0"/>
    <n v="0"/>
    <n v="0"/>
    <n v="0"/>
    <n v="0"/>
    <n v="1"/>
    <n v="0"/>
    <n v="0"/>
    <n v="0"/>
    <n v="7"/>
    <n v="27"/>
    <n v="0"/>
    <n v="139"/>
    <s v="No"/>
    <s v=""/>
    <n v="0"/>
    <n v="0"/>
    <n v="0"/>
    <n v="0"/>
    <n v="0"/>
    <n v="0"/>
    <n v="0"/>
    <s v="Uncovered  "/>
    <x v="0"/>
    <x v="0"/>
    <x v="0"/>
    <n v="25.211500000000001"/>
    <n v="97.261799999999994"/>
    <s v="MMR001CMP287"/>
    <x v="1"/>
    <x v="1"/>
    <m/>
    <n v="24"/>
    <n v="126"/>
  </r>
  <r>
    <x v="0"/>
    <x v="13"/>
    <x v="11"/>
    <m/>
    <x v="1"/>
    <x v="14"/>
    <x v="0"/>
    <x v="154"/>
    <n v="16"/>
    <n v="76"/>
    <m/>
    <m/>
    <m/>
    <m/>
    <m/>
    <m/>
    <m/>
    <m/>
    <m/>
    <m/>
    <m/>
    <m/>
    <m/>
    <m/>
    <m/>
    <m/>
    <m/>
    <m/>
    <m/>
    <m/>
    <m/>
    <m/>
    <m/>
    <m/>
    <m/>
    <m/>
    <m/>
    <m/>
    <m/>
    <m/>
    <m/>
    <m/>
    <m/>
    <m/>
    <m/>
    <m/>
    <m/>
    <m/>
    <m/>
    <m/>
    <x v="3"/>
    <x v="4"/>
    <m/>
    <m/>
    <m/>
    <m/>
    <m/>
    <m/>
    <m/>
    <m/>
    <m/>
    <m/>
    <m/>
    <m/>
    <m/>
    <m/>
    <m/>
    <m/>
    <m/>
    <m/>
    <m/>
    <m/>
    <m/>
    <m/>
    <m/>
    <m/>
    <m/>
    <m/>
    <m/>
    <m/>
    <m/>
    <m/>
    <s v="no test"/>
    <s v="no test"/>
    <s v="No Test"/>
    <n v="0"/>
    <n v="0"/>
    <n v="0"/>
    <n v="0"/>
    <n v="0"/>
    <n v="0"/>
    <n v="0"/>
    <m/>
    <n v="0"/>
    <n v="0"/>
    <n v="0"/>
    <n v="0"/>
    <n v="0"/>
    <n v="0"/>
    <n v="0"/>
    <n v="0"/>
    <n v="0"/>
    <n v="1"/>
    <n v="76"/>
    <n v="1"/>
    <n v="1"/>
    <n v="0"/>
    <n v="0"/>
    <n v="0"/>
    <n v="0"/>
    <n v="0"/>
    <n v="0"/>
    <n v="4"/>
    <n v="4"/>
    <n v="1"/>
    <n v="0"/>
    <n v="0"/>
    <n v="0"/>
    <n v="0"/>
    <n v="0"/>
    <n v="0"/>
    <n v="0"/>
    <n v="1"/>
    <n v="0"/>
    <n v="0"/>
    <n v="0"/>
    <n v="0"/>
    <n v="0"/>
    <n v="0"/>
    <n v="0"/>
    <s v="No"/>
    <s v=""/>
    <n v="0"/>
    <n v="0"/>
    <n v="0"/>
    <n v="0"/>
    <n v="0"/>
    <n v="0"/>
    <n v="0"/>
    <s v="DFSS"/>
    <x v="0"/>
    <x v="7"/>
    <x v="0"/>
    <n v="0"/>
    <n v="0"/>
    <s v="MMR001CMP301"/>
    <x v="1"/>
    <x v="1"/>
    <m/>
    <n v="16"/>
    <n v="76"/>
  </r>
  <r>
    <x v="0"/>
    <x v="13"/>
    <x v="11"/>
    <m/>
    <x v="0"/>
    <x v="18"/>
    <x v="0"/>
    <x v="155"/>
    <n v="142"/>
    <n v="504"/>
    <m/>
    <m/>
    <m/>
    <m/>
    <m/>
    <m/>
    <m/>
    <m/>
    <m/>
    <m/>
    <m/>
    <m/>
    <m/>
    <m/>
    <m/>
    <m/>
    <m/>
    <m/>
    <m/>
    <m/>
    <m/>
    <m/>
    <m/>
    <m/>
    <m/>
    <m/>
    <m/>
    <m/>
    <m/>
    <m/>
    <m/>
    <m/>
    <m/>
    <m/>
    <m/>
    <m/>
    <m/>
    <m/>
    <m/>
    <m/>
    <x v="2"/>
    <x v="2"/>
    <m/>
    <m/>
    <m/>
    <m/>
    <m/>
    <m/>
    <m/>
    <m/>
    <m/>
    <m/>
    <m/>
    <m/>
    <m/>
    <m/>
    <m/>
    <m/>
    <m/>
    <m/>
    <m/>
    <m/>
    <m/>
    <m/>
    <m/>
    <m/>
    <m/>
    <m/>
    <m/>
    <m/>
    <m/>
    <m/>
    <s v="no test"/>
    <s v="no test"/>
    <s v="No Test"/>
    <n v="0"/>
    <n v="0"/>
    <n v="0"/>
    <n v="0"/>
    <n v="0"/>
    <n v="0"/>
    <n v="0"/>
    <m/>
    <n v="0"/>
    <n v="0"/>
    <n v="0"/>
    <n v="0"/>
    <n v="0"/>
    <n v="0"/>
    <n v="0"/>
    <n v="0"/>
    <n v="0"/>
    <n v="1"/>
    <n v="504"/>
    <n v="1"/>
    <n v="1"/>
    <n v="0"/>
    <n v="0"/>
    <n v="0"/>
    <n v="0"/>
    <n v="0"/>
    <n v="0"/>
    <n v="25"/>
    <n v="25"/>
    <n v="1"/>
    <n v="0"/>
    <n v="0"/>
    <n v="0"/>
    <n v="0"/>
    <n v="0"/>
    <n v="0"/>
    <n v="0"/>
    <n v="1"/>
    <n v="0"/>
    <n v="0"/>
    <n v="0"/>
    <n v="0"/>
    <n v="0"/>
    <n v="0"/>
    <n v="0"/>
    <s v="No"/>
    <s v=""/>
    <n v="0"/>
    <n v="0"/>
    <n v="0"/>
    <n v="0"/>
    <n v="0"/>
    <n v="0"/>
    <n v="0"/>
    <s v="uncovered"/>
    <x v="0"/>
    <x v="4"/>
    <x v="0"/>
    <n v="22.325900000000001"/>
    <n v="97.021000000000001"/>
    <s v="MMR015CMP075"/>
    <x v="1"/>
    <x v="1"/>
    <m/>
    <n v="941"/>
    <n v="3558"/>
  </r>
  <r>
    <x v="0"/>
    <x v="13"/>
    <x v="11"/>
    <m/>
    <x v="0"/>
    <x v="1"/>
    <x v="0"/>
    <x v="156"/>
    <n v="7"/>
    <n v="30"/>
    <m/>
    <m/>
    <m/>
    <m/>
    <m/>
    <m/>
    <m/>
    <m/>
    <m/>
    <m/>
    <m/>
    <m/>
    <m/>
    <m/>
    <m/>
    <m/>
    <m/>
    <m/>
    <m/>
    <m/>
    <m/>
    <m/>
    <m/>
    <m/>
    <m/>
    <m/>
    <m/>
    <m/>
    <m/>
    <m/>
    <m/>
    <m/>
    <m/>
    <m/>
    <m/>
    <m/>
    <m/>
    <m/>
    <m/>
    <m/>
    <x v="3"/>
    <x v="4"/>
    <m/>
    <m/>
    <m/>
    <m/>
    <m/>
    <m/>
    <m/>
    <m/>
    <m/>
    <m/>
    <m/>
    <m/>
    <m/>
    <m/>
    <m/>
    <m/>
    <m/>
    <m/>
    <m/>
    <m/>
    <m/>
    <m/>
    <m/>
    <m/>
    <m/>
    <m/>
    <m/>
    <m/>
    <m/>
    <m/>
    <s v="no test"/>
    <s v="no test"/>
    <s v="No Test"/>
    <n v="0"/>
    <n v="0"/>
    <n v="0"/>
    <n v="0"/>
    <n v="0"/>
    <n v="0"/>
    <n v="0"/>
    <m/>
    <n v="0"/>
    <n v="0"/>
    <n v="0"/>
    <n v="0"/>
    <n v="0"/>
    <n v="0"/>
    <n v="0"/>
    <n v="0"/>
    <n v="0"/>
    <n v="1"/>
    <n v="30"/>
    <n v="1"/>
    <n v="1"/>
    <n v="0"/>
    <n v="0"/>
    <n v="0"/>
    <n v="0"/>
    <n v="0"/>
    <n v="0"/>
    <n v="2"/>
    <n v="2"/>
    <n v="1"/>
    <n v="0"/>
    <n v="0"/>
    <n v="0"/>
    <n v="0"/>
    <n v="0"/>
    <n v="0"/>
    <n v="0"/>
    <n v="1"/>
    <n v="0"/>
    <n v="0"/>
    <n v="0"/>
    <n v="0"/>
    <n v="0"/>
    <n v="0"/>
    <n v="0"/>
    <s v="No"/>
    <s v=""/>
    <n v="0"/>
    <n v="0"/>
    <n v="0"/>
    <n v="0"/>
    <n v="0"/>
    <n v="0"/>
    <n v="0"/>
    <s v="uncovered"/>
    <x v="0"/>
    <x v="0"/>
    <x v="0"/>
    <n v="0"/>
    <s v="not available"/>
    <s v="MMR015CMP096"/>
    <x v="1"/>
    <x v="1"/>
    <m/>
    <n v="7"/>
    <n v="30"/>
  </r>
  <r>
    <x v="0"/>
    <x v="13"/>
    <x v="11"/>
    <m/>
    <x v="0"/>
    <x v="1"/>
    <x v="0"/>
    <x v="157"/>
    <n v="19"/>
    <n v="82"/>
    <m/>
    <m/>
    <m/>
    <m/>
    <m/>
    <m/>
    <m/>
    <m/>
    <m/>
    <m/>
    <m/>
    <m/>
    <m/>
    <m/>
    <m/>
    <m/>
    <m/>
    <m/>
    <m/>
    <m/>
    <m/>
    <m/>
    <m/>
    <m/>
    <m/>
    <m/>
    <m/>
    <m/>
    <m/>
    <m/>
    <m/>
    <m/>
    <m/>
    <m/>
    <m/>
    <m/>
    <m/>
    <m/>
    <m/>
    <m/>
    <x v="3"/>
    <x v="4"/>
    <m/>
    <m/>
    <m/>
    <m/>
    <m/>
    <m/>
    <m/>
    <m/>
    <m/>
    <m/>
    <m/>
    <m/>
    <m/>
    <m/>
    <m/>
    <m/>
    <m/>
    <m/>
    <m/>
    <m/>
    <m/>
    <m/>
    <m/>
    <m/>
    <m/>
    <m/>
    <m/>
    <m/>
    <m/>
    <m/>
    <s v="no test"/>
    <s v="no test"/>
    <s v="No Test"/>
    <n v="0"/>
    <n v="0"/>
    <n v="0"/>
    <n v="0"/>
    <n v="0"/>
    <n v="0"/>
    <n v="0"/>
    <m/>
    <n v="0"/>
    <n v="0"/>
    <n v="0"/>
    <n v="0"/>
    <n v="0"/>
    <n v="0"/>
    <n v="0"/>
    <n v="0"/>
    <n v="0"/>
    <n v="1"/>
    <n v="82"/>
    <n v="1"/>
    <n v="1"/>
    <n v="0"/>
    <n v="0"/>
    <n v="0"/>
    <n v="0"/>
    <n v="0"/>
    <n v="0"/>
    <n v="4"/>
    <n v="4"/>
    <n v="1"/>
    <n v="0"/>
    <n v="0"/>
    <n v="0"/>
    <n v="0"/>
    <n v="0"/>
    <n v="0"/>
    <n v="0"/>
    <n v="1"/>
    <n v="0"/>
    <n v="0"/>
    <n v="0"/>
    <n v="0"/>
    <n v="0"/>
    <n v="0"/>
    <n v="0"/>
    <s v="No"/>
    <s v=""/>
    <n v="0"/>
    <n v="0"/>
    <n v="0"/>
    <n v="0"/>
    <n v="0"/>
    <n v="0"/>
    <n v="0"/>
    <s v="uncovered"/>
    <x v="0"/>
    <x v="0"/>
    <x v="0"/>
    <n v="22.97711"/>
    <n v="97.699299999999994"/>
    <s v="MMR015CMP086"/>
    <x v="1"/>
    <x v="1"/>
    <m/>
    <n v="19"/>
    <n v="82"/>
  </r>
  <r>
    <x v="0"/>
    <x v="13"/>
    <x v="11"/>
    <m/>
    <x v="0"/>
    <x v="1"/>
    <x v="0"/>
    <x v="158"/>
    <n v="20"/>
    <n v="61"/>
    <m/>
    <m/>
    <m/>
    <m/>
    <m/>
    <m/>
    <m/>
    <m/>
    <m/>
    <m/>
    <m/>
    <m/>
    <m/>
    <m/>
    <m/>
    <m/>
    <m/>
    <m/>
    <m/>
    <m/>
    <m/>
    <m/>
    <m/>
    <m/>
    <m/>
    <m/>
    <m/>
    <m/>
    <m/>
    <m/>
    <m/>
    <m/>
    <m/>
    <m/>
    <m/>
    <m/>
    <m/>
    <m/>
    <m/>
    <m/>
    <x v="3"/>
    <x v="4"/>
    <m/>
    <m/>
    <m/>
    <m/>
    <m/>
    <m/>
    <m/>
    <m/>
    <m/>
    <m/>
    <m/>
    <m/>
    <m/>
    <m/>
    <m/>
    <m/>
    <m/>
    <m/>
    <m/>
    <m/>
    <m/>
    <m/>
    <m/>
    <m/>
    <m/>
    <m/>
    <m/>
    <m/>
    <m/>
    <m/>
    <s v="no test"/>
    <s v="no test"/>
    <s v="No Test"/>
    <n v="0"/>
    <n v="0"/>
    <n v="0"/>
    <n v="0"/>
    <n v="0"/>
    <n v="0"/>
    <n v="0"/>
    <m/>
    <n v="0"/>
    <n v="0"/>
    <n v="0"/>
    <n v="0"/>
    <n v="0"/>
    <n v="0"/>
    <n v="0"/>
    <n v="0"/>
    <n v="0"/>
    <n v="1"/>
    <n v="61"/>
    <n v="1"/>
    <n v="1"/>
    <n v="0"/>
    <n v="0"/>
    <n v="0"/>
    <n v="0"/>
    <n v="0"/>
    <n v="0"/>
    <n v="3"/>
    <n v="3"/>
    <n v="1"/>
    <n v="0"/>
    <n v="0"/>
    <n v="0"/>
    <n v="0"/>
    <n v="0"/>
    <n v="0"/>
    <n v="0"/>
    <n v="1"/>
    <n v="0"/>
    <n v="0"/>
    <n v="0"/>
    <n v="0"/>
    <n v="0"/>
    <n v="0"/>
    <n v="0"/>
    <s v="No"/>
    <s v=""/>
    <n v="0"/>
    <n v="0"/>
    <n v="0"/>
    <n v="0"/>
    <n v="0"/>
    <n v="0"/>
    <n v="0"/>
    <s v="uncovered"/>
    <x v="0"/>
    <x v="0"/>
    <x v="0"/>
    <n v="0"/>
    <s v="not available"/>
    <s v="MMR015CMP092"/>
    <x v="1"/>
    <x v="1"/>
    <m/>
    <n v="20"/>
    <n v="61"/>
  </r>
  <r>
    <x v="0"/>
    <x v="13"/>
    <x v="11"/>
    <m/>
    <x v="0"/>
    <x v="1"/>
    <x v="0"/>
    <x v="159"/>
    <n v="26"/>
    <n v="135"/>
    <m/>
    <m/>
    <m/>
    <m/>
    <m/>
    <m/>
    <m/>
    <m/>
    <m/>
    <m/>
    <m/>
    <m/>
    <m/>
    <m/>
    <m/>
    <m/>
    <m/>
    <m/>
    <m/>
    <m/>
    <m/>
    <m/>
    <m/>
    <m/>
    <m/>
    <m/>
    <m/>
    <m/>
    <m/>
    <m/>
    <m/>
    <m/>
    <m/>
    <m/>
    <m/>
    <m/>
    <m/>
    <m/>
    <m/>
    <m/>
    <x v="3"/>
    <x v="4"/>
    <m/>
    <m/>
    <m/>
    <m/>
    <m/>
    <m/>
    <m/>
    <m/>
    <m/>
    <m/>
    <m/>
    <m/>
    <m/>
    <m/>
    <m/>
    <m/>
    <m/>
    <m/>
    <m/>
    <m/>
    <m/>
    <m/>
    <m/>
    <m/>
    <m/>
    <m/>
    <m/>
    <m/>
    <m/>
    <m/>
    <s v="no test"/>
    <s v="no test"/>
    <s v="No Test"/>
    <n v="0"/>
    <n v="0"/>
    <n v="0"/>
    <n v="0"/>
    <n v="0"/>
    <n v="0"/>
    <n v="0"/>
    <m/>
    <n v="0"/>
    <n v="0"/>
    <n v="0"/>
    <n v="0"/>
    <n v="0"/>
    <n v="0"/>
    <n v="0"/>
    <n v="0"/>
    <n v="0"/>
    <n v="1"/>
    <n v="135"/>
    <n v="1"/>
    <n v="1"/>
    <n v="0"/>
    <n v="0"/>
    <n v="0"/>
    <n v="0"/>
    <n v="0"/>
    <n v="0"/>
    <n v="7"/>
    <n v="7"/>
    <n v="1"/>
    <n v="0"/>
    <n v="0"/>
    <n v="0"/>
    <n v="0"/>
    <n v="0"/>
    <n v="0"/>
    <n v="0"/>
    <n v="1"/>
    <n v="0"/>
    <n v="0"/>
    <n v="0"/>
    <n v="0"/>
    <n v="0"/>
    <n v="0"/>
    <n v="0"/>
    <s v="No"/>
    <s v=""/>
    <n v="0"/>
    <n v="0"/>
    <n v="0"/>
    <n v="0"/>
    <n v="0"/>
    <n v="0"/>
    <n v="0"/>
    <s v="uncovered"/>
    <x v="0"/>
    <x v="0"/>
    <x v="0"/>
    <n v="0"/>
    <s v="not available"/>
    <s v="MMR015CMP087"/>
    <x v="1"/>
    <x v="1"/>
    <m/>
    <n v="26"/>
    <n v="135"/>
  </r>
  <r>
    <x v="0"/>
    <x v="13"/>
    <x v="11"/>
    <m/>
    <x v="0"/>
    <x v="1"/>
    <x v="0"/>
    <x v="160"/>
    <n v="18"/>
    <n v="92"/>
    <m/>
    <m/>
    <m/>
    <m/>
    <m/>
    <m/>
    <m/>
    <m/>
    <m/>
    <m/>
    <m/>
    <m/>
    <m/>
    <m/>
    <m/>
    <m/>
    <m/>
    <m/>
    <m/>
    <m/>
    <m/>
    <m/>
    <m/>
    <m/>
    <m/>
    <m/>
    <m/>
    <m/>
    <m/>
    <m/>
    <m/>
    <m/>
    <m/>
    <m/>
    <m/>
    <m/>
    <m/>
    <m/>
    <m/>
    <m/>
    <x v="3"/>
    <x v="4"/>
    <m/>
    <m/>
    <m/>
    <m/>
    <m/>
    <m/>
    <m/>
    <m/>
    <m/>
    <m/>
    <m/>
    <m/>
    <m/>
    <m/>
    <m/>
    <m/>
    <m/>
    <m/>
    <m/>
    <m/>
    <m/>
    <m/>
    <m/>
    <m/>
    <m/>
    <m/>
    <m/>
    <m/>
    <m/>
    <m/>
    <s v="no test"/>
    <s v="no test"/>
    <s v="No Test"/>
    <n v="0"/>
    <n v="0"/>
    <n v="0"/>
    <n v="0"/>
    <n v="0"/>
    <n v="0"/>
    <n v="0"/>
    <m/>
    <n v="0"/>
    <n v="0"/>
    <n v="0"/>
    <n v="0"/>
    <n v="0"/>
    <n v="0"/>
    <n v="0"/>
    <n v="0"/>
    <n v="0"/>
    <n v="1"/>
    <n v="92"/>
    <n v="1"/>
    <n v="1"/>
    <n v="0"/>
    <n v="0"/>
    <n v="0"/>
    <n v="0"/>
    <n v="0"/>
    <n v="0"/>
    <n v="5"/>
    <n v="5"/>
    <n v="1"/>
    <n v="0"/>
    <n v="0"/>
    <n v="0"/>
    <n v="0"/>
    <n v="0"/>
    <n v="0"/>
    <n v="0"/>
    <n v="1"/>
    <n v="0"/>
    <n v="0"/>
    <n v="0"/>
    <n v="0"/>
    <n v="0"/>
    <n v="0"/>
    <n v="0"/>
    <s v="No"/>
    <s v=""/>
    <n v="0"/>
    <n v="0"/>
    <n v="0"/>
    <n v="0"/>
    <n v="0"/>
    <n v="0"/>
    <n v="0"/>
    <s v="uncovered"/>
    <x v="0"/>
    <x v="0"/>
    <x v="0"/>
    <n v="0"/>
    <s v="not available"/>
    <s v="MMR015CMP095"/>
    <x v="1"/>
    <x v="1"/>
    <m/>
    <n v="18"/>
    <n v="92"/>
  </r>
  <r>
    <x v="0"/>
    <x v="13"/>
    <x v="11"/>
    <m/>
    <x v="0"/>
    <x v="1"/>
    <x v="0"/>
    <x v="161"/>
    <n v="18"/>
    <n v="123"/>
    <m/>
    <m/>
    <m/>
    <m/>
    <m/>
    <m/>
    <m/>
    <m/>
    <m/>
    <m/>
    <m/>
    <m/>
    <m/>
    <m/>
    <m/>
    <m/>
    <m/>
    <m/>
    <m/>
    <m/>
    <m/>
    <m/>
    <m/>
    <m/>
    <m/>
    <m/>
    <m/>
    <m/>
    <m/>
    <m/>
    <m/>
    <m/>
    <m/>
    <m/>
    <m/>
    <m/>
    <m/>
    <m/>
    <m/>
    <m/>
    <x v="3"/>
    <x v="4"/>
    <m/>
    <m/>
    <m/>
    <m/>
    <m/>
    <m/>
    <m/>
    <m/>
    <m/>
    <m/>
    <m/>
    <m/>
    <m/>
    <m/>
    <m/>
    <m/>
    <m/>
    <m/>
    <m/>
    <m/>
    <m/>
    <m/>
    <m/>
    <m/>
    <m/>
    <m/>
    <m/>
    <m/>
    <m/>
    <m/>
    <s v="no test"/>
    <s v="no test"/>
    <s v="No Test"/>
    <n v="0"/>
    <n v="0"/>
    <n v="0"/>
    <n v="0"/>
    <n v="0"/>
    <n v="0"/>
    <n v="0"/>
    <m/>
    <n v="0"/>
    <n v="0"/>
    <n v="0"/>
    <n v="0"/>
    <n v="0"/>
    <n v="0"/>
    <n v="0"/>
    <n v="0"/>
    <n v="0"/>
    <n v="1"/>
    <n v="123"/>
    <n v="1"/>
    <n v="1"/>
    <n v="0"/>
    <n v="0"/>
    <n v="0"/>
    <n v="0"/>
    <n v="0"/>
    <n v="0"/>
    <n v="6"/>
    <n v="6"/>
    <n v="1"/>
    <n v="0"/>
    <n v="0"/>
    <n v="0"/>
    <n v="0"/>
    <n v="0"/>
    <n v="0"/>
    <n v="0"/>
    <n v="1"/>
    <n v="0"/>
    <n v="0"/>
    <n v="0"/>
    <n v="0"/>
    <n v="0"/>
    <n v="0"/>
    <n v="0"/>
    <s v="No"/>
    <s v=""/>
    <n v="0"/>
    <n v="0"/>
    <n v="0"/>
    <n v="0"/>
    <n v="0"/>
    <n v="0"/>
    <n v="0"/>
    <s v="uncovered"/>
    <x v="0"/>
    <x v="0"/>
    <x v="0"/>
    <n v="0"/>
    <s v="not available"/>
    <s v="MMR015CMP088"/>
    <x v="1"/>
    <x v="1"/>
    <m/>
    <n v="18"/>
    <n v="123"/>
  </r>
  <r>
    <x v="0"/>
    <x v="13"/>
    <x v="11"/>
    <m/>
    <x v="0"/>
    <x v="1"/>
    <x v="0"/>
    <x v="162"/>
    <n v="62"/>
    <n v="144"/>
    <m/>
    <m/>
    <m/>
    <m/>
    <m/>
    <m/>
    <m/>
    <m/>
    <m/>
    <m/>
    <m/>
    <m/>
    <m/>
    <m/>
    <m/>
    <m/>
    <m/>
    <m/>
    <m/>
    <m/>
    <m/>
    <m/>
    <m/>
    <m/>
    <m/>
    <m/>
    <m/>
    <m/>
    <m/>
    <m/>
    <m/>
    <m/>
    <m/>
    <m/>
    <m/>
    <m/>
    <m/>
    <m/>
    <m/>
    <m/>
    <x v="3"/>
    <x v="4"/>
    <m/>
    <m/>
    <m/>
    <m/>
    <m/>
    <m/>
    <m/>
    <m/>
    <m/>
    <m/>
    <m/>
    <m/>
    <m/>
    <m/>
    <m/>
    <m/>
    <m/>
    <m/>
    <m/>
    <m/>
    <m/>
    <m/>
    <m/>
    <m/>
    <m/>
    <m/>
    <m/>
    <m/>
    <m/>
    <m/>
    <s v="no test"/>
    <s v="no test"/>
    <s v="No Test"/>
    <n v="0"/>
    <n v="0"/>
    <n v="0"/>
    <n v="0"/>
    <n v="0"/>
    <n v="0"/>
    <n v="0"/>
    <m/>
    <n v="0"/>
    <n v="0"/>
    <n v="0"/>
    <n v="0"/>
    <n v="0"/>
    <n v="0"/>
    <n v="0"/>
    <n v="0"/>
    <n v="0"/>
    <n v="1"/>
    <n v="144"/>
    <n v="1"/>
    <n v="1"/>
    <n v="0"/>
    <n v="0"/>
    <n v="0"/>
    <n v="0"/>
    <n v="0"/>
    <n v="0"/>
    <n v="7"/>
    <n v="7"/>
    <n v="1"/>
    <n v="0"/>
    <n v="0"/>
    <n v="0"/>
    <n v="0"/>
    <n v="0"/>
    <n v="0"/>
    <n v="0"/>
    <n v="1"/>
    <n v="0"/>
    <n v="0"/>
    <n v="0"/>
    <n v="0"/>
    <n v="0"/>
    <n v="0"/>
    <n v="0"/>
    <s v="No"/>
    <s v=""/>
    <n v="0"/>
    <n v="0"/>
    <n v="0"/>
    <n v="0"/>
    <n v="0"/>
    <n v="0"/>
    <n v="0"/>
    <s v="uncovered"/>
    <x v="0"/>
    <x v="0"/>
    <x v="0"/>
    <n v="0"/>
    <s v="not available"/>
    <s v="MMR015CMP091"/>
    <x v="1"/>
    <x v="1"/>
    <m/>
    <n v="62"/>
    <n v="144"/>
  </r>
  <r>
    <x v="0"/>
    <x v="13"/>
    <x v="11"/>
    <m/>
    <x v="0"/>
    <x v="3"/>
    <x v="3"/>
    <x v="163"/>
    <n v="219"/>
    <n v="653"/>
    <m/>
    <m/>
    <m/>
    <m/>
    <m/>
    <m/>
    <m/>
    <m/>
    <m/>
    <m/>
    <m/>
    <m/>
    <m/>
    <m/>
    <m/>
    <m/>
    <m/>
    <m/>
    <m/>
    <m/>
    <m/>
    <m/>
    <m/>
    <m/>
    <m/>
    <m/>
    <m/>
    <m/>
    <m/>
    <m/>
    <m/>
    <m/>
    <m/>
    <m/>
    <m/>
    <m/>
    <m/>
    <m/>
    <m/>
    <m/>
    <x v="2"/>
    <x v="2"/>
    <m/>
    <m/>
    <m/>
    <m/>
    <m/>
    <m/>
    <m/>
    <m/>
    <m/>
    <m/>
    <m/>
    <m/>
    <m/>
    <m/>
    <m/>
    <m/>
    <m/>
    <m/>
    <m/>
    <m/>
    <m/>
    <m/>
    <m/>
    <m/>
    <m/>
    <m/>
    <m/>
    <m/>
    <m/>
    <m/>
    <s v="no test"/>
    <s v="no test"/>
    <s v="No Test"/>
    <n v="0"/>
    <n v="0"/>
    <n v="0"/>
    <n v="0"/>
    <n v="0"/>
    <n v="0"/>
    <n v="0"/>
    <m/>
    <n v="0"/>
    <n v="0"/>
    <n v="0"/>
    <n v="0"/>
    <n v="0"/>
    <n v="0"/>
    <n v="0"/>
    <n v="0"/>
    <n v="0"/>
    <n v="1"/>
    <n v="653"/>
    <n v="1"/>
    <n v="1"/>
    <n v="0"/>
    <n v="0"/>
    <n v="0"/>
    <n v="0"/>
    <n v="0"/>
    <n v="0"/>
    <n v="109"/>
    <n v="109"/>
    <n v="1"/>
    <n v="0"/>
    <n v="0"/>
    <n v="0"/>
    <n v="0"/>
    <n v="0"/>
    <n v="0"/>
    <n v="0"/>
    <n v="1"/>
    <n v="0"/>
    <n v="0"/>
    <n v="0"/>
    <n v="0"/>
    <n v="0"/>
    <n v="0"/>
    <n v="0"/>
    <s v="No"/>
    <s v=""/>
    <n v="0"/>
    <n v="0"/>
    <n v="0"/>
    <n v="0"/>
    <n v="0"/>
    <n v="0"/>
    <n v="0"/>
    <n v="0"/>
    <x v="2"/>
    <x v="6"/>
    <x v="0"/>
    <n v="23.415991000000002"/>
    <n v="98.471779999999995"/>
    <s v="MMR015CMP073"/>
    <x v="1"/>
    <x v="1"/>
    <m/>
    <n v="219"/>
    <n v="653"/>
  </r>
  <r>
    <x v="0"/>
    <x v="13"/>
    <x v="11"/>
    <m/>
    <x v="0"/>
    <x v="3"/>
    <x v="3"/>
    <x v="164"/>
    <n v="657"/>
    <n v="2786"/>
    <m/>
    <m/>
    <m/>
    <m/>
    <m/>
    <m/>
    <m/>
    <m/>
    <m/>
    <m/>
    <m/>
    <m/>
    <m/>
    <m/>
    <m/>
    <m/>
    <m/>
    <m/>
    <m/>
    <m/>
    <m/>
    <m/>
    <m/>
    <m/>
    <m/>
    <m/>
    <m/>
    <m/>
    <m/>
    <m/>
    <m/>
    <m/>
    <m/>
    <m/>
    <m/>
    <m/>
    <m/>
    <m/>
    <m/>
    <m/>
    <x v="2"/>
    <x v="2"/>
    <m/>
    <m/>
    <m/>
    <m/>
    <m/>
    <m/>
    <m/>
    <m/>
    <m/>
    <m/>
    <m/>
    <m/>
    <m/>
    <m/>
    <m/>
    <m/>
    <m/>
    <m/>
    <m/>
    <m/>
    <m/>
    <m/>
    <m/>
    <m/>
    <m/>
    <m/>
    <m/>
    <m/>
    <m/>
    <m/>
    <s v="no test"/>
    <s v="no test"/>
    <s v="No Test"/>
    <n v="0"/>
    <n v="0"/>
    <n v="0"/>
    <n v="0"/>
    <n v="0"/>
    <n v="0"/>
    <n v="0"/>
    <m/>
    <n v="0"/>
    <n v="0"/>
    <n v="0"/>
    <n v="0"/>
    <n v="0"/>
    <n v="0"/>
    <n v="0"/>
    <n v="0"/>
    <n v="0"/>
    <n v="1"/>
    <n v="2786"/>
    <n v="6"/>
    <n v="6"/>
    <n v="0"/>
    <n v="0"/>
    <n v="0"/>
    <n v="0"/>
    <n v="0"/>
    <n v="0"/>
    <n v="464"/>
    <n v="464"/>
    <n v="1"/>
    <n v="0"/>
    <n v="0"/>
    <n v="0"/>
    <n v="0"/>
    <n v="0"/>
    <n v="0"/>
    <n v="0"/>
    <n v="1"/>
    <n v="0"/>
    <n v="0"/>
    <n v="0"/>
    <n v="0"/>
    <n v="0"/>
    <n v="0"/>
    <n v="0"/>
    <s v="No"/>
    <s v=""/>
    <n v="0"/>
    <n v="0"/>
    <n v="0"/>
    <n v="0"/>
    <n v="0"/>
    <n v="0"/>
    <n v="0"/>
    <n v="0"/>
    <x v="2"/>
    <x v="6"/>
    <x v="0"/>
    <n v="23.363275999999999"/>
    <n v="98.472977999999998"/>
    <s v="MMR015CMP072"/>
    <x v="1"/>
    <x v="1"/>
    <m/>
    <n v="657"/>
    <n v="2786"/>
  </r>
  <r>
    <x v="0"/>
    <x v="13"/>
    <x v="11"/>
    <m/>
    <x v="0"/>
    <x v="3"/>
    <x v="0"/>
    <x v="165"/>
    <n v="34"/>
    <n v="170"/>
    <m/>
    <m/>
    <m/>
    <m/>
    <m/>
    <m/>
    <m/>
    <m/>
    <m/>
    <m/>
    <m/>
    <m/>
    <m/>
    <m/>
    <m/>
    <m/>
    <m/>
    <m/>
    <m/>
    <m/>
    <m/>
    <m/>
    <m/>
    <m/>
    <m/>
    <m/>
    <m/>
    <m/>
    <m/>
    <m/>
    <m/>
    <m/>
    <m/>
    <m/>
    <m/>
    <m/>
    <m/>
    <m/>
    <m/>
    <m/>
    <x v="2"/>
    <x v="2"/>
    <m/>
    <m/>
    <m/>
    <m/>
    <m/>
    <m/>
    <m/>
    <m/>
    <m/>
    <m/>
    <m/>
    <m/>
    <m/>
    <m/>
    <m/>
    <m/>
    <m/>
    <m/>
    <m/>
    <m/>
    <m/>
    <m/>
    <m/>
    <m/>
    <m/>
    <m/>
    <m/>
    <m/>
    <m/>
    <m/>
    <s v="no test"/>
    <s v="no test"/>
    <s v="No Test"/>
    <n v="0"/>
    <n v="0"/>
    <n v="0"/>
    <n v="0"/>
    <n v="0"/>
    <n v="0"/>
    <n v="0"/>
    <m/>
    <n v="0"/>
    <n v="0"/>
    <n v="0"/>
    <n v="0"/>
    <n v="0"/>
    <n v="0"/>
    <n v="0"/>
    <n v="0"/>
    <n v="0"/>
    <n v="1"/>
    <n v="170"/>
    <n v="1"/>
    <n v="1"/>
    <n v="0"/>
    <n v="0"/>
    <n v="0"/>
    <n v="0"/>
    <n v="0"/>
    <n v="0"/>
    <n v="9"/>
    <n v="9"/>
    <n v="1"/>
    <n v="0"/>
    <n v="0"/>
    <n v="0"/>
    <n v="0"/>
    <n v="0"/>
    <n v="0"/>
    <n v="0"/>
    <n v="1"/>
    <n v="0"/>
    <n v="0"/>
    <n v="0"/>
    <n v="0"/>
    <n v="0"/>
    <n v="0"/>
    <n v="0"/>
    <s v="No"/>
    <s v=""/>
    <n v="0"/>
    <n v="0"/>
    <n v="0"/>
    <n v="0"/>
    <n v="0"/>
    <n v="0"/>
    <n v="0"/>
    <n v="0"/>
    <x v="0"/>
    <x v="0"/>
    <x v="0"/>
    <n v="23.729893000000001"/>
    <n v="98.779853500000002"/>
    <s v="MMR015CMP070"/>
    <x v="1"/>
    <x v="1"/>
    <m/>
    <n v="34"/>
    <n v="170"/>
  </r>
  <r>
    <x v="0"/>
    <x v="13"/>
    <x v="11"/>
    <m/>
    <x v="0"/>
    <x v="2"/>
    <x v="0"/>
    <x v="166"/>
    <n v="102"/>
    <n v="328"/>
    <m/>
    <m/>
    <m/>
    <m/>
    <m/>
    <m/>
    <m/>
    <m/>
    <m/>
    <m/>
    <m/>
    <m/>
    <m/>
    <m/>
    <m/>
    <m/>
    <m/>
    <m/>
    <m/>
    <m/>
    <m/>
    <m/>
    <m/>
    <m/>
    <m/>
    <m/>
    <m/>
    <m/>
    <m/>
    <m/>
    <m/>
    <m/>
    <m/>
    <m/>
    <m/>
    <m/>
    <m/>
    <m/>
    <m/>
    <m/>
    <x v="3"/>
    <x v="4"/>
    <m/>
    <m/>
    <m/>
    <m/>
    <m/>
    <m/>
    <m/>
    <m/>
    <m/>
    <m/>
    <m/>
    <m/>
    <m/>
    <m/>
    <m/>
    <m/>
    <m/>
    <m/>
    <m/>
    <m/>
    <m/>
    <m/>
    <m/>
    <m/>
    <m/>
    <m/>
    <m/>
    <m/>
    <m/>
    <m/>
    <s v="no test"/>
    <s v="no test"/>
    <s v="No Test"/>
    <n v="0"/>
    <n v="0"/>
    <n v="0"/>
    <n v="0"/>
    <n v="0"/>
    <n v="0"/>
    <n v="0"/>
    <m/>
    <n v="0"/>
    <n v="0"/>
    <n v="0"/>
    <n v="0"/>
    <n v="0"/>
    <n v="0"/>
    <n v="0"/>
    <n v="0"/>
    <n v="0"/>
    <n v="1"/>
    <n v="328"/>
    <n v="1"/>
    <n v="1"/>
    <n v="0"/>
    <n v="0"/>
    <n v="0"/>
    <n v="0"/>
    <n v="0"/>
    <n v="0"/>
    <n v="16"/>
    <n v="16"/>
    <n v="1"/>
    <n v="0"/>
    <n v="0"/>
    <n v="0"/>
    <n v="0"/>
    <n v="0"/>
    <n v="0"/>
    <n v="0"/>
    <n v="1"/>
    <n v="0"/>
    <n v="0"/>
    <n v="0"/>
    <n v="0"/>
    <n v="0"/>
    <n v="0"/>
    <n v="0"/>
    <s v="No"/>
    <s v=""/>
    <n v="0"/>
    <n v="0"/>
    <n v="0"/>
    <n v="0"/>
    <n v="0"/>
    <n v="0"/>
    <n v="0"/>
    <n v="0"/>
    <x v="0"/>
    <x v="1"/>
    <x v="0"/>
    <n v="0"/>
    <n v="0"/>
    <s v="MMR015CMP084"/>
    <x v="1"/>
    <x v="1"/>
    <m/>
    <n v="102"/>
    <n v="328"/>
  </r>
  <r>
    <x v="0"/>
    <x v="13"/>
    <x v="11"/>
    <m/>
    <x v="0"/>
    <x v="2"/>
    <x v="0"/>
    <x v="167"/>
    <n v="28"/>
    <n v="87"/>
    <m/>
    <m/>
    <m/>
    <m/>
    <m/>
    <m/>
    <m/>
    <m/>
    <m/>
    <m/>
    <m/>
    <m/>
    <m/>
    <m/>
    <m/>
    <m/>
    <m/>
    <m/>
    <m/>
    <m/>
    <m/>
    <m/>
    <m/>
    <m/>
    <m/>
    <m/>
    <m/>
    <m/>
    <m/>
    <m/>
    <m/>
    <m/>
    <m/>
    <m/>
    <m/>
    <m/>
    <m/>
    <m/>
    <m/>
    <m/>
    <x v="3"/>
    <x v="4"/>
    <m/>
    <m/>
    <m/>
    <m/>
    <m/>
    <m/>
    <m/>
    <m/>
    <m/>
    <m/>
    <m/>
    <m/>
    <m/>
    <m/>
    <m/>
    <m/>
    <m/>
    <m/>
    <m/>
    <m/>
    <m/>
    <m/>
    <m/>
    <m/>
    <m/>
    <m/>
    <m/>
    <m/>
    <m/>
    <m/>
    <s v="no test"/>
    <s v="no test"/>
    <s v="No Test"/>
    <n v="0"/>
    <n v="0"/>
    <n v="0"/>
    <n v="0"/>
    <n v="0"/>
    <n v="0"/>
    <n v="0"/>
    <m/>
    <n v="0"/>
    <n v="0"/>
    <n v="0"/>
    <n v="0"/>
    <n v="0"/>
    <n v="0"/>
    <n v="0"/>
    <n v="0"/>
    <n v="0"/>
    <n v="1"/>
    <n v="87"/>
    <n v="1"/>
    <n v="1"/>
    <n v="0"/>
    <n v="0"/>
    <n v="0"/>
    <n v="0"/>
    <n v="0"/>
    <n v="0"/>
    <n v="4"/>
    <n v="4"/>
    <n v="1"/>
    <n v="0"/>
    <n v="0"/>
    <n v="0"/>
    <n v="0"/>
    <n v="0"/>
    <n v="0"/>
    <n v="0"/>
    <n v="1"/>
    <n v="0"/>
    <n v="0"/>
    <n v="0"/>
    <n v="0"/>
    <n v="0"/>
    <n v="0"/>
    <n v="0"/>
    <s v="No"/>
    <s v=""/>
    <n v="0"/>
    <n v="0"/>
    <n v="0"/>
    <n v="0"/>
    <n v="0"/>
    <n v="0"/>
    <n v="0"/>
    <s v="uncovered"/>
    <x v="0"/>
    <x v="1"/>
    <x v="0"/>
    <n v="0"/>
    <s v="not available"/>
    <s v="MMR015CMP085"/>
    <x v="1"/>
    <x v="1"/>
    <m/>
    <n v="28"/>
    <n v="87"/>
  </r>
  <r>
    <x v="0"/>
    <x v="13"/>
    <x v="11"/>
    <m/>
    <x v="0"/>
    <x v="2"/>
    <x v="0"/>
    <x v="168"/>
    <n v="33"/>
    <n v="130"/>
    <m/>
    <m/>
    <m/>
    <m/>
    <m/>
    <m/>
    <m/>
    <m/>
    <m/>
    <m/>
    <m/>
    <m/>
    <m/>
    <m/>
    <m/>
    <m/>
    <m/>
    <m/>
    <m/>
    <m/>
    <m/>
    <m/>
    <m/>
    <m/>
    <m/>
    <m/>
    <m/>
    <m/>
    <m/>
    <m/>
    <m/>
    <m/>
    <m/>
    <m/>
    <m/>
    <m/>
    <m/>
    <m/>
    <m/>
    <m/>
    <x v="3"/>
    <x v="4"/>
    <m/>
    <m/>
    <m/>
    <m/>
    <m/>
    <m/>
    <m/>
    <m/>
    <m/>
    <m/>
    <m/>
    <m/>
    <m/>
    <m/>
    <m/>
    <m/>
    <m/>
    <m/>
    <m/>
    <m/>
    <m/>
    <m/>
    <m/>
    <m/>
    <m/>
    <m/>
    <m/>
    <m/>
    <m/>
    <m/>
    <s v="no test"/>
    <s v="no test"/>
    <s v="No Test"/>
    <n v="0"/>
    <n v="0"/>
    <n v="0"/>
    <n v="0"/>
    <n v="0"/>
    <n v="0"/>
    <n v="0"/>
    <m/>
    <n v="0"/>
    <n v="0"/>
    <n v="0"/>
    <n v="0"/>
    <n v="0"/>
    <n v="0"/>
    <n v="0"/>
    <n v="0"/>
    <n v="0"/>
    <n v="1"/>
    <n v="130"/>
    <n v="1"/>
    <n v="1"/>
    <n v="0"/>
    <n v="0"/>
    <n v="0"/>
    <n v="0"/>
    <n v="0"/>
    <n v="0"/>
    <n v="7"/>
    <n v="7"/>
    <n v="1"/>
    <n v="0"/>
    <n v="0"/>
    <n v="0"/>
    <n v="0"/>
    <n v="0"/>
    <n v="0"/>
    <n v="0"/>
    <n v="1"/>
    <n v="0"/>
    <n v="0"/>
    <n v="0"/>
    <n v="0"/>
    <n v="0"/>
    <n v="0"/>
    <n v="0"/>
    <s v="No"/>
    <s v=""/>
    <n v="0"/>
    <n v="0"/>
    <n v="0"/>
    <n v="0"/>
    <n v="0"/>
    <n v="0"/>
    <n v="0"/>
    <s v="uncovered"/>
    <x v="0"/>
    <x v="1"/>
    <x v="0"/>
    <n v="0"/>
    <s v="not available"/>
    <s v="MMR015CMP090"/>
    <x v="1"/>
    <x v="1"/>
    <m/>
    <n v="33"/>
    <n v="130"/>
  </r>
  <r>
    <x v="0"/>
    <x v="13"/>
    <x v="11"/>
    <m/>
    <x v="0"/>
    <x v="23"/>
    <x v="0"/>
    <x v="169"/>
    <n v="43"/>
    <n v="157"/>
    <m/>
    <m/>
    <m/>
    <m/>
    <m/>
    <m/>
    <m/>
    <m/>
    <m/>
    <m/>
    <m/>
    <m/>
    <m/>
    <m/>
    <m/>
    <m/>
    <m/>
    <m/>
    <m/>
    <m/>
    <m/>
    <m/>
    <m/>
    <m/>
    <m/>
    <m/>
    <m/>
    <m/>
    <m/>
    <m/>
    <m/>
    <m/>
    <m/>
    <m/>
    <m/>
    <m/>
    <m/>
    <m/>
    <m/>
    <m/>
    <x v="3"/>
    <x v="4"/>
    <m/>
    <m/>
    <m/>
    <m/>
    <m/>
    <m/>
    <m/>
    <m/>
    <m/>
    <m/>
    <m/>
    <m/>
    <m/>
    <m/>
    <m/>
    <m/>
    <m/>
    <m/>
    <m/>
    <m/>
    <m/>
    <m/>
    <m/>
    <m/>
    <m/>
    <m/>
    <m/>
    <m/>
    <m/>
    <m/>
    <s v="no test"/>
    <s v="no test"/>
    <s v="No Test"/>
    <n v="0"/>
    <n v="0"/>
    <n v="0"/>
    <n v="0"/>
    <n v="0"/>
    <n v="0"/>
    <n v="0"/>
    <m/>
    <n v="0"/>
    <n v="0"/>
    <n v="0"/>
    <n v="0"/>
    <n v="0"/>
    <n v="0"/>
    <n v="0"/>
    <n v="0"/>
    <n v="0"/>
    <n v="1"/>
    <n v="157"/>
    <n v="1"/>
    <n v="1"/>
    <n v="0"/>
    <n v="0"/>
    <n v="0"/>
    <n v="0"/>
    <n v="0"/>
    <n v="0"/>
    <n v="8"/>
    <n v="8"/>
    <n v="1"/>
    <n v="0"/>
    <n v="0"/>
    <n v="0"/>
    <n v="0"/>
    <n v="0"/>
    <n v="0"/>
    <n v="0"/>
    <n v="1"/>
    <n v="0"/>
    <n v="0"/>
    <n v="0"/>
    <n v="0"/>
    <n v="0"/>
    <n v="0"/>
    <n v="0"/>
    <s v="No"/>
    <s v=""/>
    <n v="0"/>
    <n v="0"/>
    <n v="0"/>
    <n v="0"/>
    <n v="0"/>
    <n v="0"/>
    <n v="0"/>
    <s v="uncovered"/>
    <x v="0"/>
    <x v="0"/>
    <x v="0"/>
    <n v="0"/>
    <s v="not available"/>
    <s v="MMR015CMP094"/>
    <x v="1"/>
    <x v="1"/>
    <m/>
    <n v="43"/>
    <n v="157"/>
  </r>
  <r>
    <x v="0"/>
    <x v="14"/>
    <x v="12"/>
    <s v="ANCHOR"/>
    <x v="1"/>
    <x v="15"/>
    <x v="0"/>
    <x v="170"/>
    <n v="48"/>
    <n v="213"/>
    <d v="2023-01-01T00:00:00"/>
    <d v="2023-12-31T00:00:00"/>
    <m/>
    <m/>
    <n v="1"/>
    <m/>
    <s v="Yes"/>
    <n v="3"/>
    <n v="3"/>
    <n v="1"/>
    <m/>
    <m/>
    <m/>
    <n v="1"/>
    <m/>
    <m/>
    <m/>
    <m/>
    <m/>
    <m/>
    <m/>
    <m/>
    <m/>
    <m/>
    <m/>
    <m/>
    <n v="2"/>
    <m/>
    <n v="4"/>
    <n v="1"/>
    <m/>
    <s v="ရေတွင်းတွင် ထည့်ရန် ရေမော်တာ အသစ်တစ်လုံး လိုအပ်"/>
    <n v="10"/>
    <m/>
    <s v="SI"/>
    <n v="2"/>
    <n v="2"/>
    <n v="5"/>
    <m/>
    <m/>
    <x v="1"/>
    <x v="2"/>
    <m/>
    <n v="2"/>
    <m/>
    <m/>
    <m/>
    <m/>
    <n v="8"/>
    <m/>
    <m/>
    <n v="3"/>
    <m/>
    <n v="1"/>
    <m/>
    <m/>
    <m/>
    <m/>
    <n v="1"/>
    <n v="0.5"/>
    <s v="သင်တန်းပို့ချပေးစေလို"/>
    <n v="1"/>
    <n v="1"/>
    <n v="100"/>
    <n v="0.3"/>
    <m/>
    <m/>
    <m/>
    <m/>
    <m/>
    <m/>
    <m/>
    <s v="no test"/>
    <n v="0"/>
    <s v="Tested"/>
    <n v="1"/>
    <n v="1"/>
    <n v="0"/>
    <n v="0"/>
    <n v="0"/>
    <n v="213"/>
    <n v="0"/>
    <m/>
    <n v="1"/>
    <n v="1"/>
    <n v="1"/>
    <n v="213"/>
    <n v="0"/>
    <n v="0"/>
    <n v="1"/>
    <n v="213"/>
    <n v="0.42599999999999999"/>
    <n v="0"/>
    <n v="0"/>
    <n v="0.57400000000000007"/>
    <n v="1"/>
    <n v="8"/>
    <n v="0.75117370892018775"/>
    <n v="160"/>
    <n v="100"/>
    <n v="0"/>
    <n v="0"/>
    <n v="11"/>
    <n v="1"/>
    <n v="0.24882629107981225"/>
    <n v="0.2"/>
    <n v="213"/>
    <n v="0"/>
    <n v="0"/>
    <n v="0"/>
    <n v="213"/>
    <n v="1"/>
    <n v="0"/>
    <n v="1"/>
    <n v="0"/>
    <n v="0"/>
    <n v="8"/>
    <n v="48"/>
    <n v="0"/>
    <n v="213"/>
    <s v="No"/>
    <n v="0.46948356807511737"/>
    <n v="213"/>
    <n v="213"/>
    <n v="63.9"/>
    <n v="213"/>
    <n v="213"/>
    <n v="0"/>
    <e v="#N/A"/>
    <e v="#N/A"/>
    <x v="0"/>
    <x v="2"/>
    <x v="0"/>
    <e v="#N/A"/>
    <e v="#N/A"/>
    <e v="#N/A"/>
    <x v="0"/>
    <x v="0"/>
    <s v="yes"/>
    <e v="#N/A"/>
    <e v="#N/A"/>
  </r>
  <r>
    <x v="0"/>
    <x v="14"/>
    <x v="12"/>
    <s v="ANCHOR"/>
    <x v="1"/>
    <x v="15"/>
    <x v="0"/>
    <x v="171"/>
    <n v="67"/>
    <n v="324"/>
    <d v="2023-01-01T00:00:00"/>
    <d v="2023-12-31T00:00:00"/>
    <m/>
    <m/>
    <n v="1"/>
    <m/>
    <s v="Yes"/>
    <n v="2"/>
    <n v="3"/>
    <m/>
    <m/>
    <m/>
    <m/>
    <m/>
    <m/>
    <m/>
    <m/>
    <m/>
    <m/>
    <m/>
    <m/>
    <m/>
    <m/>
    <m/>
    <m/>
    <m/>
    <m/>
    <m/>
    <n v="1"/>
    <m/>
    <m/>
    <m/>
    <n v="7"/>
    <m/>
    <m/>
    <m/>
    <m/>
    <m/>
    <m/>
    <n v="6"/>
    <x v="1"/>
    <x v="1"/>
    <m/>
    <m/>
    <m/>
    <m/>
    <n v="4"/>
    <m/>
    <n v="1"/>
    <m/>
    <m/>
    <n v="8"/>
    <m/>
    <m/>
    <n v="1"/>
    <m/>
    <m/>
    <m/>
    <m/>
    <n v="0.65"/>
    <m/>
    <n v="0.75"/>
    <n v="0.5"/>
    <m/>
    <n v="0.95"/>
    <m/>
    <m/>
    <m/>
    <m/>
    <m/>
    <m/>
    <m/>
    <s v="no test"/>
    <s v="no test"/>
    <s v="No Test"/>
    <n v="0"/>
    <n v="0"/>
    <n v="0"/>
    <n v="0"/>
    <n v="0"/>
    <n v="0"/>
    <n v="0"/>
    <m/>
    <n v="0"/>
    <n v="0"/>
    <n v="0"/>
    <n v="0"/>
    <n v="0"/>
    <n v="0"/>
    <n v="0"/>
    <n v="0"/>
    <n v="0"/>
    <n v="1"/>
    <n v="324"/>
    <n v="1"/>
    <n v="1"/>
    <n v="7"/>
    <n v="0.44444444444444442"/>
    <n v="144"/>
    <n v="0"/>
    <n v="0"/>
    <n v="0"/>
    <n v="16"/>
    <n v="9"/>
    <n v="0.55555555555555558"/>
    <n v="0"/>
    <n v="324"/>
    <n v="0"/>
    <n v="0"/>
    <n v="0"/>
    <n v="324"/>
    <n v="1"/>
    <n v="0"/>
    <n v="1"/>
    <n v="0"/>
    <n v="0"/>
    <n v="1"/>
    <n v="20"/>
    <n v="0"/>
    <n v="100"/>
    <s v="No"/>
    <s v=""/>
    <n v="243"/>
    <n v="162"/>
    <n v="307.8"/>
    <n v="307.8"/>
    <n v="0"/>
    <n v="0"/>
    <e v="#N/A"/>
    <e v="#N/A"/>
    <x v="0"/>
    <x v="2"/>
    <x v="0"/>
    <e v="#N/A"/>
    <e v="#N/A"/>
    <e v="#N/A"/>
    <x v="0"/>
    <x v="0"/>
    <s v="yes"/>
    <e v="#N/A"/>
    <e v="#N/A"/>
  </r>
  <r>
    <x v="0"/>
    <x v="14"/>
    <x v="12"/>
    <s v="ANCHOR"/>
    <x v="1"/>
    <x v="5"/>
    <x v="0"/>
    <x v="172"/>
    <n v="136"/>
    <n v="704"/>
    <d v="2023-01-01T00:00:00"/>
    <d v="2023-12-31T00:00:00"/>
    <m/>
    <m/>
    <n v="1"/>
    <m/>
    <s v="Yes"/>
    <n v="2"/>
    <n v="6"/>
    <m/>
    <m/>
    <m/>
    <m/>
    <m/>
    <m/>
    <m/>
    <n v="12"/>
    <m/>
    <n v="1"/>
    <m/>
    <n v="3"/>
    <m/>
    <n v="1"/>
    <m/>
    <m/>
    <m/>
    <m/>
    <m/>
    <m/>
    <m/>
    <m/>
    <m/>
    <n v="15"/>
    <m/>
    <s v="Nyein (Shalom)"/>
    <n v="1"/>
    <m/>
    <m/>
    <m/>
    <m/>
    <x v="1"/>
    <x v="1"/>
    <m/>
    <m/>
    <m/>
    <n v="0.5"/>
    <m/>
    <m/>
    <n v="2"/>
    <m/>
    <m/>
    <n v="2"/>
    <m/>
    <m/>
    <n v="1"/>
    <n v="4"/>
    <m/>
    <s v="No"/>
    <n v="1"/>
    <n v="0.7"/>
    <m/>
    <n v="0.8"/>
    <n v="0.8"/>
    <n v="30"/>
    <n v="0.9"/>
    <m/>
    <m/>
    <m/>
    <m/>
    <m/>
    <m/>
    <m/>
    <s v="no test"/>
    <s v="no test"/>
    <s v="No Test"/>
    <n v="0"/>
    <n v="0"/>
    <n v="12"/>
    <n v="0"/>
    <n v="0"/>
    <n v="0"/>
    <n v="0"/>
    <m/>
    <n v="1"/>
    <n v="1"/>
    <n v="1"/>
    <n v="704"/>
    <n v="1"/>
    <n v="704"/>
    <n v="1"/>
    <n v="704"/>
    <n v="1.4079999999999999"/>
    <n v="0"/>
    <n v="0"/>
    <n v="0"/>
    <n v="1"/>
    <n v="14"/>
    <n v="0.39772727272727271"/>
    <n v="280"/>
    <n v="0"/>
    <n v="0"/>
    <n v="25"/>
    <n v="35"/>
    <n v="20"/>
    <n v="0.60227272727272729"/>
    <n v="6.6666666666666666E-2"/>
    <n v="500"/>
    <n v="20"/>
    <n v="0"/>
    <n v="20"/>
    <n v="500"/>
    <n v="0.71022727272727271"/>
    <n v="0.28977272727272729"/>
    <n v="0.71022727272727271"/>
    <n v="0.11764705882352941"/>
    <n v="0"/>
    <n v="2"/>
    <n v="40"/>
    <n v="0"/>
    <n v="200"/>
    <s v="No"/>
    <n v="4.261363636363636E-2"/>
    <n v="563.20000000000005"/>
    <n v="563.20000000000005"/>
    <n v="633.6"/>
    <n v="633.6"/>
    <n v="0"/>
    <n v="25"/>
    <s v="Yes"/>
    <s v="Shalom"/>
    <x v="0"/>
    <x v="2"/>
    <x v="0"/>
    <n v="25.889410000000002"/>
    <n v="98.131550000000004"/>
    <s v="MMR001CMP042"/>
    <x v="0"/>
    <x v="0"/>
    <s v="yes"/>
    <n v="137"/>
    <n v="713"/>
  </r>
  <r>
    <x v="0"/>
    <x v="14"/>
    <x v="12"/>
    <s v="ANCHOR"/>
    <x v="1"/>
    <x v="5"/>
    <x v="0"/>
    <x v="173"/>
    <n v="201"/>
    <n v="885"/>
    <d v="2023-01-01T00:00:00"/>
    <d v="2023-12-31T00:00:00"/>
    <n v="400"/>
    <m/>
    <n v="1"/>
    <m/>
    <s v="Yes"/>
    <n v="4"/>
    <n v="2"/>
    <n v="1"/>
    <m/>
    <m/>
    <m/>
    <m/>
    <m/>
    <m/>
    <n v="3"/>
    <m/>
    <n v="3"/>
    <m/>
    <n v="14"/>
    <m/>
    <n v="10"/>
    <m/>
    <m/>
    <m/>
    <m/>
    <m/>
    <n v="2"/>
    <n v="2"/>
    <m/>
    <m/>
    <n v="32"/>
    <n v="8"/>
    <s v="MRC"/>
    <n v="10"/>
    <n v="3"/>
    <n v="2"/>
    <n v="11.35624"/>
    <n v="50"/>
    <x v="1"/>
    <x v="1"/>
    <m/>
    <m/>
    <m/>
    <m/>
    <m/>
    <m/>
    <n v="1"/>
    <m/>
    <m/>
    <n v="1"/>
    <m/>
    <n v="1"/>
    <n v="1"/>
    <n v="50"/>
    <n v="295"/>
    <s v="Yes"/>
    <n v="1"/>
    <n v="0.5"/>
    <m/>
    <n v="0.8"/>
    <n v="0.8"/>
    <m/>
    <n v="1"/>
    <m/>
    <m/>
    <m/>
    <m/>
    <m/>
    <m/>
    <m/>
    <s v="no test"/>
    <s v="no test"/>
    <s v="No Test"/>
    <n v="1"/>
    <n v="0"/>
    <n v="3"/>
    <n v="0"/>
    <n v="0"/>
    <n v="885"/>
    <n v="0"/>
    <m/>
    <n v="0.67796610169491522"/>
    <n v="0.50847457627118642"/>
    <n v="0.67796610169491522"/>
    <n v="600"/>
    <n v="1"/>
    <n v="885"/>
    <n v="1"/>
    <n v="885"/>
    <n v="1.77"/>
    <n v="0"/>
    <n v="0"/>
    <n v="0.22999999999999998"/>
    <n v="2"/>
    <n v="30"/>
    <n v="0.67796610169491522"/>
    <n v="600"/>
    <n v="40"/>
    <n v="0"/>
    <n v="0"/>
    <n v="44"/>
    <n v="4"/>
    <n v="0.32203389830508478"/>
    <n v="0.25"/>
    <n v="885"/>
    <n v="250"/>
    <n v="295"/>
    <n v="295"/>
    <n v="885"/>
    <n v="1"/>
    <n v="0"/>
    <n v="1"/>
    <n v="0.99502487562189057"/>
    <n v="1"/>
    <n v="1"/>
    <n v="20"/>
    <n v="2"/>
    <n v="100"/>
    <s v="Yes"/>
    <s v=""/>
    <n v="708"/>
    <n v="708"/>
    <n v="885"/>
    <n v="885"/>
    <n v="885"/>
    <n v="0"/>
    <s v="Yes"/>
    <s v="Shalom"/>
    <x v="0"/>
    <x v="2"/>
    <x v="0"/>
    <n v="25.887339999999998"/>
    <n v="98.129990000000006"/>
    <s v="MMR001CMP195"/>
    <x v="0"/>
    <x v="0"/>
    <s v="yes"/>
    <n v="179"/>
    <n v="860"/>
  </r>
  <r>
    <x v="0"/>
    <x v="14"/>
    <x v="12"/>
    <s v="ANCHOR"/>
    <x v="1"/>
    <x v="6"/>
    <x v="0"/>
    <x v="174"/>
    <n v="96"/>
    <n v="446"/>
    <d v="2023-01-01T00:00:00"/>
    <d v="2023-12-31T00:00:00"/>
    <n v="50"/>
    <m/>
    <n v="1"/>
    <n v="1"/>
    <s v="No"/>
    <n v="5"/>
    <n v="5"/>
    <n v="3"/>
    <m/>
    <m/>
    <m/>
    <m/>
    <m/>
    <m/>
    <n v="4"/>
    <m/>
    <n v="5.6781180000000004"/>
    <m/>
    <m/>
    <m/>
    <m/>
    <n v="1"/>
    <m/>
    <m/>
    <m/>
    <m/>
    <m/>
    <m/>
    <m/>
    <m/>
    <n v="4"/>
    <n v="14"/>
    <s v="Chruch , Shalom"/>
    <m/>
    <m/>
    <m/>
    <m/>
    <m/>
    <x v="1"/>
    <x v="0"/>
    <m/>
    <m/>
    <m/>
    <m/>
    <n v="8"/>
    <s v="New Latrine လိုအပ်"/>
    <n v="4"/>
    <n v="3"/>
    <n v="1"/>
    <n v="1"/>
    <n v="1"/>
    <n v="1"/>
    <m/>
    <n v="96"/>
    <n v="99"/>
    <m/>
    <n v="1"/>
    <m/>
    <s v="45 နှစ်အထက် အမျိုးသမီးများလည်း လစဉ်သုံးပေးစေလို"/>
    <n v="1"/>
    <n v="1"/>
    <n v="30"/>
    <n v="0.7"/>
    <m/>
    <m/>
    <m/>
    <m/>
    <m/>
    <m/>
    <m/>
    <s v="no test"/>
    <s v="no test"/>
    <s v="No Test"/>
    <n v="3"/>
    <n v="0"/>
    <n v="4"/>
    <n v="0"/>
    <n v="0"/>
    <n v="0"/>
    <n v="0"/>
    <m/>
    <n v="1"/>
    <n v="1"/>
    <n v="1"/>
    <n v="446"/>
    <n v="0"/>
    <n v="0"/>
    <n v="1"/>
    <n v="446"/>
    <n v="0.89200000000000002"/>
    <n v="0"/>
    <n v="0"/>
    <n v="0.10799999999999998"/>
    <n v="1"/>
    <n v="18"/>
    <n v="0.82511210762331844"/>
    <n v="368"/>
    <n v="0"/>
    <n v="0"/>
    <n v="0"/>
    <n v="22"/>
    <n v="4"/>
    <n v="0.17488789237668156"/>
    <n v="0"/>
    <n v="446"/>
    <n v="446"/>
    <n v="99"/>
    <n v="446"/>
    <n v="446"/>
    <n v="1"/>
    <n v="0"/>
    <n v="1"/>
    <n v="1"/>
    <n v="1"/>
    <n v="1"/>
    <n v="20"/>
    <n v="0"/>
    <n v="100"/>
    <s v="Yes"/>
    <n v="6.726457399103139E-2"/>
    <n v="446"/>
    <n v="446"/>
    <n v="312.2"/>
    <n v="446"/>
    <n v="0"/>
    <n v="0"/>
    <s v="Yes"/>
    <s v="Shalom"/>
    <x v="0"/>
    <x v="2"/>
    <x v="0"/>
    <n v="25.635300000000001"/>
    <n v="96.345569999999995"/>
    <s v="MMR001CMP176"/>
    <x v="0"/>
    <x v="0"/>
    <s v="yes"/>
    <n v="96"/>
    <n v="448"/>
  </r>
  <r>
    <x v="0"/>
    <x v="14"/>
    <x v="12"/>
    <s v="ANCHOR"/>
    <x v="1"/>
    <x v="6"/>
    <x v="0"/>
    <x v="175"/>
    <n v="13"/>
    <n v="70"/>
    <d v="2023-01-01T00:00:00"/>
    <d v="2023-12-31T00:00:00"/>
    <n v="25"/>
    <m/>
    <n v="1"/>
    <m/>
    <s v="Yes"/>
    <n v="1"/>
    <n v="4"/>
    <n v="1"/>
    <m/>
    <m/>
    <m/>
    <m/>
    <m/>
    <m/>
    <n v="2"/>
    <m/>
    <n v="2"/>
    <m/>
    <n v="1"/>
    <m/>
    <m/>
    <m/>
    <m/>
    <n v="1"/>
    <m/>
    <m/>
    <n v="3"/>
    <m/>
    <m/>
    <s v="new dugwell "/>
    <n v="5"/>
    <m/>
    <s v="Shalom"/>
    <n v="2"/>
    <n v="2"/>
    <m/>
    <m/>
    <m/>
    <x v="1"/>
    <x v="0"/>
    <m/>
    <m/>
    <m/>
    <m/>
    <m/>
    <m/>
    <n v="3"/>
    <m/>
    <m/>
    <m/>
    <m/>
    <m/>
    <n v="1"/>
    <n v="13"/>
    <n v="18"/>
    <s v="No"/>
    <n v="1"/>
    <n v="0.4"/>
    <m/>
    <n v="0.5"/>
    <n v="0.5"/>
    <m/>
    <n v="0.5"/>
    <m/>
    <m/>
    <m/>
    <m/>
    <m/>
    <m/>
    <m/>
    <s v="no test"/>
    <s v="no test"/>
    <s v="No Test"/>
    <n v="1"/>
    <n v="0"/>
    <n v="2"/>
    <n v="0"/>
    <n v="0"/>
    <n v="0"/>
    <n v="0"/>
    <m/>
    <n v="1"/>
    <n v="1"/>
    <n v="1"/>
    <n v="70"/>
    <n v="1"/>
    <n v="70"/>
    <n v="1"/>
    <n v="70"/>
    <n v="0.14000000000000001"/>
    <n v="0"/>
    <n v="0"/>
    <n v="0.86"/>
    <n v="1"/>
    <n v="3"/>
    <n v="0.8571428571428571"/>
    <n v="60"/>
    <n v="0"/>
    <n v="0"/>
    <n v="0"/>
    <n v="4"/>
    <n v="0"/>
    <n v="0.1428571428571429"/>
    <n v="0.4"/>
    <n v="70"/>
    <n v="70"/>
    <n v="18"/>
    <n v="70"/>
    <n v="70"/>
    <n v="1"/>
    <n v="0"/>
    <n v="1"/>
    <n v="1"/>
    <n v="1"/>
    <n v="3"/>
    <n v="13"/>
    <n v="0"/>
    <n v="70"/>
    <s v="Yes"/>
    <s v=""/>
    <n v="35"/>
    <n v="35"/>
    <n v="35"/>
    <n v="35"/>
    <n v="0"/>
    <n v="0"/>
    <s v="Yes"/>
    <s v="Shalom"/>
    <x v="0"/>
    <x v="2"/>
    <x v="0"/>
    <n v="25.616509000000001"/>
    <n v="96.317350000000005"/>
    <s v="MMR001CMP190"/>
    <x v="0"/>
    <x v="0"/>
    <s v="yes"/>
    <n v="22"/>
    <n v="115"/>
  </r>
  <r>
    <x v="0"/>
    <x v="14"/>
    <x v="12"/>
    <s v="ANCHOR"/>
    <x v="1"/>
    <x v="6"/>
    <x v="0"/>
    <x v="176"/>
    <n v="40"/>
    <n v="249"/>
    <d v="2023-01-01T00:00:00"/>
    <d v="2023-12-31T00:00:00"/>
    <n v="80"/>
    <m/>
    <n v="1"/>
    <m/>
    <s v="Yes"/>
    <n v="1"/>
    <n v="5"/>
    <n v="2"/>
    <m/>
    <m/>
    <m/>
    <n v="1"/>
    <m/>
    <m/>
    <m/>
    <m/>
    <m/>
    <m/>
    <n v="1"/>
    <m/>
    <m/>
    <n v="1"/>
    <m/>
    <m/>
    <m/>
    <m/>
    <m/>
    <m/>
    <m/>
    <m/>
    <n v="10"/>
    <m/>
    <s v="Shalom"/>
    <m/>
    <m/>
    <m/>
    <m/>
    <m/>
    <x v="1"/>
    <x v="1"/>
    <m/>
    <m/>
    <m/>
    <m/>
    <m/>
    <s v="ရေနုတ်မြှောင်းပြုပြင်ရန်လို"/>
    <n v="2"/>
    <m/>
    <n v="4"/>
    <n v="3"/>
    <m/>
    <m/>
    <n v="1"/>
    <n v="40"/>
    <n v="55"/>
    <s v="Yes"/>
    <n v="1"/>
    <n v="0.2"/>
    <s v="hygiene kits ကို ၄၅ နှစ်အထက်ပေးစေလို "/>
    <n v="0.8"/>
    <n v="0.7"/>
    <n v="10"/>
    <n v="0.7"/>
    <m/>
    <m/>
    <m/>
    <m/>
    <m/>
    <m/>
    <m/>
    <s v="no test"/>
    <s v="no test"/>
    <s v="No Test"/>
    <n v="2"/>
    <n v="1"/>
    <n v="0"/>
    <n v="0"/>
    <n v="0"/>
    <n v="0"/>
    <n v="0"/>
    <m/>
    <n v="1"/>
    <n v="1"/>
    <n v="1"/>
    <n v="249"/>
    <n v="1"/>
    <n v="249"/>
    <n v="1"/>
    <n v="249"/>
    <n v="0.498"/>
    <n v="0"/>
    <n v="0"/>
    <n v="0.502"/>
    <n v="1"/>
    <n v="10"/>
    <n v="0.80321285140562249"/>
    <n v="200"/>
    <n v="0"/>
    <n v="0"/>
    <n v="0"/>
    <n v="12"/>
    <n v="2"/>
    <n v="0.19678714859437751"/>
    <n v="0"/>
    <n v="249"/>
    <n v="249"/>
    <n v="55"/>
    <n v="249"/>
    <n v="249"/>
    <n v="1"/>
    <n v="0"/>
    <n v="1"/>
    <n v="1"/>
    <n v="1"/>
    <n v="2"/>
    <n v="40"/>
    <n v="0"/>
    <n v="200"/>
    <s v="Yes"/>
    <n v="4.0160642570281124E-2"/>
    <n v="199.20000000000002"/>
    <n v="174.29999999999998"/>
    <n v="174.29999999999998"/>
    <n v="199.20000000000002"/>
    <n v="0"/>
    <n v="0"/>
    <s v="Yes"/>
    <s v="KBC-MYT"/>
    <x v="0"/>
    <x v="2"/>
    <x v="0"/>
    <n v="25.647649999999999"/>
    <n v="96.346469999999997"/>
    <s v="MMR001CMP169"/>
    <x v="0"/>
    <x v="0"/>
    <s v="yes"/>
    <n v="40"/>
    <n v="245"/>
  </r>
  <r>
    <x v="0"/>
    <x v="14"/>
    <x v="12"/>
    <s v="MHF"/>
    <x v="1"/>
    <x v="6"/>
    <x v="0"/>
    <x v="177"/>
    <n v="5"/>
    <n v="24"/>
    <d v="2022-01-01T00:00:00"/>
    <d v="2022-12-31T00:00:00"/>
    <m/>
    <n v="1"/>
    <m/>
    <m/>
    <s v="Yes"/>
    <n v="2"/>
    <n v="2"/>
    <m/>
    <m/>
    <m/>
    <m/>
    <m/>
    <m/>
    <m/>
    <m/>
    <m/>
    <m/>
    <m/>
    <m/>
    <m/>
    <n v="1"/>
    <m/>
    <m/>
    <m/>
    <m/>
    <m/>
    <m/>
    <m/>
    <m/>
    <m/>
    <n v="2"/>
    <m/>
    <m/>
    <m/>
    <m/>
    <m/>
    <m/>
    <m/>
    <x v="1"/>
    <x v="1"/>
    <m/>
    <m/>
    <m/>
    <m/>
    <m/>
    <m/>
    <n v="1"/>
    <m/>
    <m/>
    <n v="1"/>
    <m/>
    <m/>
    <n v="1"/>
    <m/>
    <m/>
    <m/>
    <m/>
    <m/>
    <m/>
    <m/>
    <m/>
    <m/>
    <m/>
    <m/>
    <m/>
    <m/>
    <m/>
    <m/>
    <m/>
    <m/>
    <s v="no test"/>
    <s v="no test"/>
    <s v="No Test"/>
    <n v="0"/>
    <n v="0"/>
    <n v="0"/>
    <n v="0"/>
    <n v="0"/>
    <n v="0"/>
    <n v="0"/>
    <m/>
    <n v="0"/>
    <n v="0"/>
    <n v="0"/>
    <n v="0"/>
    <n v="0"/>
    <n v="0"/>
    <n v="0"/>
    <n v="0"/>
    <n v="0"/>
    <n v="1"/>
    <n v="24"/>
    <n v="1"/>
    <n v="1"/>
    <n v="2"/>
    <n v="1"/>
    <n v="24"/>
    <n v="0"/>
    <n v="0"/>
    <n v="0"/>
    <n v="1"/>
    <n v="0"/>
    <n v="0"/>
    <n v="0"/>
    <n v="24"/>
    <n v="0"/>
    <n v="0"/>
    <n v="0"/>
    <n v="24"/>
    <n v="1"/>
    <n v="0"/>
    <n v="1"/>
    <n v="0"/>
    <n v="0"/>
    <n v="1"/>
    <n v="5"/>
    <n v="0"/>
    <n v="24"/>
    <s v="No"/>
    <s v=""/>
    <n v="0"/>
    <n v="0"/>
    <n v="0"/>
    <n v="0"/>
    <n v="0"/>
    <n v="0"/>
    <s v="Yes"/>
    <s v="Shalom"/>
    <x v="0"/>
    <x v="1"/>
    <x v="0"/>
    <n v="25.582065"/>
    <n v="96.283377000000002"/>
    <s v="MMR001CMP109"/>
    <x v="0"/>
    <x v="0"/>
    <s v="yes"/>
    <n v="5"/>
    <n v="26"/>
  </r>
  <r>
    <x v="0"/>
    <x v="14"/>
    <x v="12"/>
    <s v="ANCHOR"/>
    <x v="1"/>
    <x v="6"/>
    <x v="0"/>
    <x v="178"/>
    <n v="91"/>
    <n v="451"/>
    <d v="2023-01-01T00:00:00"/>
    <d v="2023-12-31T00:00:00"/>
    <n v="199"/>
    <m/>
    <n v="1"/>
    <m/>
    <s v="Yes"/>
    <n v="3"/>
    <n v="6"/>
    <n v="1"/>
    <m/>
    <m/>
    <n v="1"/>
    <m/>
    <m/>
    <m/>
    <m/>
    <m/>
    <m/>
    <m/>
    <n v="1"/>
    <m/>
    <m/>
    <n v="1"/>
    <m/>
    <m/>
    <m/>
    <m/>
    <n v="1"/>
    <n v="1"/>
    <n v="1"/>
    <s v="ရေထွက်ပင်ရင်းနောက်တိုးလိုအပ်"/>
    <n v="23"/>
    <m/>
    <m/>
    <n v="1"/>
    <n v="19"/>
    <m/>
    <m/>
    <m/>
    <x v="1"/>
    <x v="1"/>
    <n v="1"/>
    <m/>
    <m/>
    <m/>
    <n v="3"/>
    <s v="အိမ်သာပြုပြင်ရန်လိုအပ်"/>
    <n v="6"/>
    <n v="2"/>
    <m/>
    <n v="3"/>
    <m/>
    <m/>
    <n v="1"/>
    <n v="91"/>
    <n v="131"/>
    <s v="No"/>
    <n v="1"/>
    <n v="0.3"/>
    <s v="ဆက်လက်သင်တန်းပို့ချလှင်ကောင်း"/>
    <n v="0.4"/>
    <n v="0.4"/>
    <n v="20"/>
    <n v="0.5"/>
    <m/>
    <m/>
    <m/>
    <m/>
    <m/>
    <m/>
    <m/>
    <s v="no test"/>
    <s v="no test"/>
    <s v="No Test"/>
    <n v="1"/>
    <n v="1"/>
    <n v="0"/>
    <n v="0"/>
    <n v="0"/>
    <n v="451"/>
    <n v="451"/>
    <m/>
    <n v="1"/>
    <n v="1"/>
    <n v="1"/>
    <n v="451"/>
    <n v="0.55432372505543237"/>
    <n v="250"/>
    <n v="1"/>
    <n v="451"/>
    <n v="0.90200000000000002"/>
    <n v="0"/>
    <n v="0"/>
    <n v="9.7999999999999976E-2"/>
    <n v="1"/>
    <n v="22"/>
    <n v="1"/>
    <n v="451"/>
    <n v="0"/>
    <n v="0"/>
    <n v="0"/>
    <n v="23"/>
    <n v="0"/>
    <n v="0"/>
    <n v="4.3478260869565216E-2"/>
    <n v="451"/>
    <n v="451"/>
    <n v="131"/>
    <n v="451"/>
    <n v="451"/>
    <n v="1"/>
    <n v="0"/>
    <n v="1"/>
    <n v="1"/>
    <n v="1"/>
    <n v="4"/>
    <n v="80"/>
    <n v="0"/>
    <n v="400"/>
    <s v="Yes"/>
    <n v="4.4345898004434593E-2"/>
    <n v="180.4"/>
    <n v="180.4"/>
    <n v="225.5"/>
    <n v="225.5"/>
    <n v="451"/>
    <n v="451"/>
    <s v="Yes"/>
    <s v="Shalom"/>
    <x v="0"/>
    <x v="2"/>
    <x v="0"/>
    <n v="25.637309999999999"/>
    <n v="96.35257"/>
    <s v="MMR001CMP174"/>
    <x v="0"/>
    <x v="0"/>
    <s v="yes"/>
    <n v="91"/>
    <n v="454"/>
  </r>
  <r>
    <x v="0"/>
    <x v="14"/>
    <x v="12"/>
    <s v="ANCHOR"/>
    <x v="1"/>
    <x v="6"/>
    <x v="0"/>
    <x v="179"/>
    <n v="95"/>
    <n v="471"/>
    <d v="2023-01-01T00:00:00"/>
    <d v="2023-12-31T00:00:00"/>
    <n v="90"/>
    <m/>
    <n v="1"/>
    <m/>
    <s v="No"/>
    <n v="7"/>
    <n v="3"/>
    <m/>
    <m/>
    <m/>
    <m/>
    <m/>
    <m/>
    <m/>
    <n v="2"/>
    <m/>
    <n v="1"/>
    <m/>
    <n v="2"/>
    <m/>
    <n v="7"/>
    <n v="1"/>
    <m/>
    <m/>
    <m/>
    <m/>
    <n v="1"/>
    <m/>
    <m/>
    <s v="ရေအရည်သွေးစစ်ဆေးမူပြုလုပ်စေချင်။ "/>
    <n v="14"/>
    <m/>
    <s v="Shalom"/>
    <m/>
    <m/>
    <n v="3"/>
    <m/>
    <m/>
    <x v="1"/>
    <x v="1"/>
    <m/>
    <m/>
    <n v="2"/>
    <m/>
    <m/>
    <m/>
    <n v="3"/>
    <m/>
    <m/>
    <n v="2"/>
    <m/>
    <n v="1"/>
    <m/>
    <n v="100"/>
    <n v="138"/>
    <s v="No"/>
    <n v="1"/>
    <n v="0.5"/>
    <s v="၃ လတစ်ကြိမ် Hygiene promotion ပြုလုပ်လျှင်အဆင်ပြေ"/>
    <n v="1"/>
    <n v="1"/>
    <n v="10"/>
    <n v="1"/>
    <m/>
    <m/>
    <m/>
    <m/>
    <m/>
    <m/>
    <m/>
    <s v="no test"/>
    <s v="no test"/>
    <s v="No Test"/>
    <n v="0"/>
    <n v="0"/>
    <n v="2"/>
    <n v="0"/>
    <n v="0"/>
    <n v="0"/>
    <n v="0"/>
    <m/>
    <n v="0.28308563340410475"/>
    <n v="0.28308563340410475"/>
    <n v="0.28308563340410475"/>
    <n v="133.33333333333334"/>
    <n v="1"/>
    <n v="471"/>
    <n v="1"/>
    <n v="471"/>
    <n v="0.94199999999999995"/>
    <n v="0"/>
    <n v="0"/>
    <n v="5.8000000000000052E-2"/>
    <n v="1"/>
    <n v="14"/>
    <n v="0.59447983014861994"/>
    <n v="280"/>
    <n v="60"/>
    <n v="90"/>
    <n v="0"/>
    <n v="24"/>
    <n v="10"/>
    <n v="0.40552016985138006"/>
    <n v="0"/>
    <n v="471"/>
    <n v="471"/>
    <n v="138"/>
    <n v="471"/>
    <n v="471"/>
    <n v="1"/>
    <n v="0"/>
    <n v="1"/>
    <n v="1"/>
    <n v="1"/>
    <n v="3"/>
    <n v="60"/>
    <n v="0"/>
    <n v="300"/>
    <s v="Yes"/>
    <n v="2.1231422505307854E-2"/>
    <n v="471"/>
    <n v="471"/>
    <n v="471"/>
    <n v="471"/>
    <n v="90"/>
    <n v="0"/>
    <s v="Yes"/>
    <s v="KBC-MYT"/>
    <x v="0"/>
    <x v="2"/>
    <x v="0"/>
    <n v="25.611160000000002"/>
    <n v="96.312790000000007"/>
    <s v="MMR001CMP229"/>
    <x v="0"/>
    <x v="0"/>
    <s v="yes"/>
    <n v="83"/>
    <n v="413"/>
  </r>
  <r>
    <x v="0"/>
    <x v="14"/>
    <x v="12"/>
    <s v="ANCHOR"/>
    <x v="1"/>
    <x v="6"/>
    <x v="0"/>
    <x v="180"/>
    <n v="124"/>
    <n v="634"/>
    <d v="2023-01-01T00:00:00"/>
    <d v="2023-12-31T00:00:00"/>
    <m/>
    <m/>
    <n v="1"/>
    <m/>
    <s v="Yes"/>
    <n v="4"/>
    <n v="6"/>
    <n v="1"/>
    <m/>
    <m/>
    <n v="1"/>
    <n v="1"/>
    <n v="1"/>
    <m/>
    <n v="1"/>
    <m/>
    <n v="1"/>
    <m/>
    <n v="1"/>
    <m/>
    <n v="5"/>
    <n v="5"/>
    <m/>
    <m/>
    <m/>
    <m/>
    <n v="2"/>
    <m/>
    <m/>
    <m/>
    <n v="29"/>
    <m/>
    <s v="Shalom"/>
    <m/>
    <m/>
    <n v="13"/>
    <m/>
    <m/>
    <x v="1"/>
    <x v="1"/>
    <n v="1"/>
    <m/>
    <m/>
    <m/>
    <n v="6"/>
    <m/>
    <n v="7"/>
    <n v="4"/>
    <m/>
    <n v="4"/>
    <m/>
    <m/>
    <n v="1"/>
    <n v="124"/>
    <n v="118"/>
    <s v="No"/>
    <n v="1"/>
    <n v="0.8"/>
    <s v="Hygiene Kits and capacity building training"/>
    <n v="1"/>
    <n v="1"/>
    <n v="80"/>
    <n v="1"/>
    <m/>
    <m/>
    <m/>
    <m/>
    <m/>
    <m/>
    <m/>
    <s v="no test"/>
    <s v="no test"/>
    <s v="No Test"/>
    <n v="1"/>
    <n v="1"/>
    <n v="1"/>
    <n v="0"/>
    <n v="0"/>
    <n v="0"/>
    <n v="0"/>
    <m/>
    <n v="1"/>
    <n v="0.89379600420609884"/>
    <n v="1"/>
    <n v="634"/>
    <n v="0.39432176656151419"/>
    <n v="250"/>
    <n v="1"/>
    <n v="634"/>
    <n v="1.268"/>
    <n v="0"/>
    <n v="0"/>
    <n v="0"/>
    <n v="1"/>
    <n v="29"/>
    <n v="0.95583596214511046"/>
    <n v="606"/>
    <n v="260"/>
    <n v="0"/>
    <n v="0"/>
    <n v="32"/>
    <n v="3"/>
    <n v="4.4164037854889537E-2"/>
    <n v="0"/>
    <n v="500"/>
    <n v="634"/>
    <n v="118"/>
    <n v="634"/>
    <n v="634"/>
    <n v="1"/>
    <n v="0"/>
    <n v="0.78864353312302837"/>
    <n v="1"/>
    <n v="0.95161290322580649"/>
    <n v="3"/>
    <n v="60"/>
    <n v="0"/>
    <n v="300"/>
    <s v="No"/>
    <n v="0.12618296529968454"/>
    <n v="634"/>
    <n v="634"/>
    <n v="634"/>
    <n v="634"/>
    <n v="0"/>
    <n v="0"/>
    <s v="Yes"/>
    <s v="KBC-MYT"/>
    <x v="0"/>
    <x v="2"/>
    <x v="0"/>
    <n v="25.664000000000001"/>
    <n v="96.34"/>
    <s v="MMR001CMP250"/>
    <x v="0"/>
    <x v="0"/>
    <s v="yes"/>
    <n v="122"/>
    <n v="630"/>
  </r>
  <r>
    <x v="0"/>
    <x v="14"/>
    <x v="12"/>
    <s v="ANCHOR"/>
    <x v="1"/>
    <x v="6"/>
    <x v="0"/>
    <x v="181"/>
    <n v="19"/>
    <n v="107"/>
    <d v="2023-01-01T00:00:00"/>
    <d v="2023-12-31T00:00:00"/>
    <m/>
    <m/>
    <n v="1"/>
    <m/>
    <s v="No"/>
    <n v="3"/>
    <n v="2"/>
    <n v="1"/>
    <m/>
    <m/>
    <m/>
    <m/>
    <m/>
    <m/>
    <m/>
    <m/>
    <m/>
    <m/>
    <m/>
    <m/>
    <m/>
    <n v="1"/>
    <n v="1"/>
    <n v="1"/>
    <n v="1"/>
    <m/>
    <m/>
    <m/>
    <m/>
    <m/>
    <n v="8"/>
    <m/>
    <s v="Shalom"/>
    <m/>
    <m/>
    <m/>
    <m/>
    <m/>
    <x v="1"/>
    <x v="1"/>
    <m/>
    <m/>
    <m/>
    <m/>
    <m/>
    <m/>
    <n v="2"/>
    <n v="2"/>
    <m/>
    <n v="2"/>
    <m/>
    <n v="1"/>
    <m/>
    <n v="19"/>
    <n v="29"/>
    <s v="No"/>
    <m/>
    <n v="0.65"/>
    <m/>
    <n v="0.8"/>
    <n v="0.85"/>
    <m/>
    <n v="1"/>
    <m/>
    <m/>
    <m/>
    <m/>
    <m/>
    <m/>
    <m/>
    <n v="1"/>
    <n v="0"/>
    <s v="Tested"/>
    <n v="1"/>
    <n v="0"/>
    <n v="0"/>
    <n v="0"/>
    <n v="0"/>
    <n v="0"/>
    <n v="0"/>
    <m/>
    <n v="1"/>
    <n v="1"/>
    <n v="1"/>
    <n v="107"/>
    <n v="0"/>
    <n v="0"/>
    <n v="1"/>
    <n v="107"/>
    <n v="0.214"/>
    <n v="0"/>
    <n v="0"/>
    <n v="0.78600000000000003"/>
    <n v="1"/>
    <n v="8"/>
    <n v="1"/>
    <n v="107"/>
    <n v="0"/>
    <n v="0"/>
    <n v="0"/>
    <n v="5"/>
    <n v="0"/>
    <n v="0"/>
    <n v="0"/>
    <n v="107"/>
    <n v="107"/>
    <n v="29"/>
    <n v="107"/>
    <n v="107"/>
    <n v="1"/>
    <n v="0"/>
    <n v="1"/>
    <n v="1"/>
    <n v="1"/>
    <n v="0"/>
    <n v="0"/>
    <n v="0"/>
    <n v="0"/>
    <s v="No"/>
    <s v=""/>
    <n v="85.600000000000009"/>
    <n v="90.95"/>
    <n v="107"/>
    <n v="107"/>
    <n v="0"/>
    <n v="0"/>
    <s v="Yes"/>
    <s v="Shalom"/>
    <x v="0"/>
    <x v="2"/>
    <x v="0"/>
    <n v="25.566510000000001"/>
    <n v="96.269199999999998"/>
    <s v="MMR001CMP181"/>
    <x v="0"/>
    <x v="0"/>
    <s v="yes"/>
    <n v="19"/>
    <n v="108"/>
  </r>
  <r>
    <x v="0"/>
    <x v="14"/>
    <x v="12"/>
    <s v="ANCHOR"/>
    <x v="1"/>
    <x v="6"/>
    <x v="0"/>
    <x v="182"/>
    <n v="10"/>
    <n v="56"/>
    <d v="2023-01-01T00:00:00"/>
    <d v="2023-12-31T00:00:00"/>
    <n v="18"/>
    <m/>
    <n v="1"/>
    <m/>
    <s v="Yes"/>
    <n v="3"/>
    <n v="4"/>
    <n v="1"/>
    <m/>
    <m/>
    <n v="1"/>
    <m/>
    <m/>
    <m/>
    <m/>
    <m/>
    <m/>
    <m/>
    <m/>
    <m/>
    <n v="1"/>
    <n v="1"/>
    <n v="1"/>
    <n v="1"/>
    <m/>
    <m/>
    <m/>
    <m/>
    <m/>
    <s v="ရေအရည်သွေးစစ်ဆေးမူပြုလုပ်စေချင်။ "/>
    <n v="2"/>
    <m/>
    <s v="Shalom"/>
    <m/>
    <m/>
    <m/>
    <m/>
    <m/>
    <x v="1"/>
    <x v="1"/>
    <m/>
    <m/>
    <m/>
    <m/>
    <m/>
    <m/>
    <n v="3"/>
    <m/>
    <m/>
    <n v="2"/>
    <n v="2"/>
    <m/>
    <n v="1"/>
    <n v="10"/>
    <n v="11"/>
    <m/>
    <n v="3"/>
    <n v="0.15"/>
    <s v="Needed hygiene kits"/>
    <n v="0.75"/>
    <n v="0.89"/>
    <m/>
    <n v="0.75"/>
    <m/>
    <m/>
    <m/>
    <m/>
    <m/>
    <m/>
    <m/>
    <n v="1"/>
    <s v="no test"/>
    <s v="Tested"/>
    <n v="1"/>
    <n v="1"/>
    <n v="0"/>
    <n v="0"/>
    <n v="0"/>
    <n v="0"/>
    <n v="0"/>
    <m/>
    <n v="1"/>
    <n v="1"/>
    <n v="1"/>
    <n v="56"/>
    <n v="0"/>
    <n v="0"/>
    <n v="1"/>
    <n v="56"/>
    <n v="0.112"/>
    <n v="0"/>
    <n v="0"/>
    <n v="0.88800000000000001"/>
    <n v="1"/>
    <n v="2"/>
    <n v="0.7142857142857143"/>
    <n v="40"/>
    <n v="0"/>
    <n v="0"/>
    <n v="0"/>
    <n v="3"/>
    <n v="1"/>
    <n v="0.2857142857142857"/>
    <n v="0"/>
    <n v="56"/>
    <n v="56"/>
    <n v="11"/>
    <n v="56"/>
    <n v="56"/>
    <n v="1"/>
    <n v="0"/>
    <n v="1"/>
    <n v="1"/>
    <n v="1"/>
    <n v="3"/>
    <n v="10"/>
    <n v="0"/>
    <n v="56"/>
    <s v="Yes"/>
    <s v=""/>
    <n v="42"/>
    <n v="49.84"/>
    <n v="42"/>
    <n v="49.84"/>
    <n v="0"/>
    <n v="0"/>
    <s v="Yes"/>
    <s v="Shalom"/>
    <x v="0"/>
    <x v="2"/>
    <x v="0"/>
    <n v="25.61842"/>
    <n v="96.316400000000002"/>
    <s v="MMR001CMP167"/>
    <x v="0"/>
    <x v="0"/>
    <s v="yes"/>
    <n v="10"/>
    <n v="58"/>
  </r>
  <r>
    <x v="0"/>
    <x v="14"/>
    <x v="12"/>
    <s v="ANCHOR"/>
    <x v="1"/>
    <x v="6"/>
    <x v="0"/>
    <x v="183"/>
    <n v="7"/>
    <n v="24"/>
    <d v="2023-01-01T00:00:00"/>
    <d v="2023-12-31T00:00:00"/>
    <m/>
    <m/>
    <n v="1"/>
    <m/>
    <s v="Yes"/>
    <n v="3"/>
    <n v="4"/>
    <n v="1"/>
    <n v="1"/>
    <m/>
    <n v="1"/>
    <m/>
    <n v="1"/>
    <m/>
    <n v="1"/>
    <m/>
    <n v="1"/>
    <n v="1500"/>
    <n v="1"/>
    <m/>
    <n v="1"/>
    <n v="1"/>
    <m/>
    <m/>
    <m/>
    <m/>
    <m/>
    <m/>
    <m/>
    <m/>
    <n v="3"/>
    <m/>
    <m/>
    <m/>
    <m/>
    <m/>
    <m/>
    <m/>
    <x v="1"/>
    <x v="0"/>
    <m/>
    <m/>
    <m/>
    <m/>
    <m/>
    <m/>
    <n v="2"/>
    <n v="2"/>
    <m/>
    <n v="2"/>
    <m/>
    <n v="1"/>
    <m/>
    <n v="7"/>
    <n v="4"/>
    <s v="No"/>
    <m/>
    <m/>
    <m/>
    <n v="0.75"/>
    <n v="0.75"/>
    <n v="3"/>
    <n v="0.9"/>
    <m/>
    <m/>
    <m/>
    <m/>
    <m/>
    <m/>
    <m/>
    <s v="no test"/>
    <s v="no test"/>
    <s v="No Test"/>
    <n v="0"/>
    <n v="0"/>
    <n v="1"/>
    <n v="1.1111111111111112"/>
    <n v="0"/>
    <n v="0"/>
    <n v="0"/>
    <m/>
    <n v="1"/>
    <n v="1"/>
    <n v="1"/>
    <n v="24"/>
    <n v="1"/>
    <n v="24"/>
    <n v="1"/>
    <n v="24"/>
    <n v="4.8000000000000001E-2"/>
    <n v="0"/>
    <n v="0"/>
    <n v="0.95199999999999996"/>
    <n v="1"/>
    <n v="3"/>
    <n v="1"/>
    <n v="24"/>
    <n v="0"/>
    <n v="0"/>
    <n v="0"/>
    <n v="1"/>
    <n v="0"/>
    <n v="0"/>
    <n v="0"/>
    <n v="24"/>
    <n v="24"/>
    <n v="4"/>
    <n v="24"/>
    <n v="24"/>
    <n v="1"/>
    <n v="0"/>
    <n v="1"/>
    <n v="1"/>
    <n v="0.5714285714285714"/>
    <n v="0"/>
    <n v="0"/>
    <n v="0"/>
    <n v="0"/>
    <s v="No"/>
    <n v="0.125"/>
    <n v="18"/>
    <n v="18"/>
    <n v="21.6"/>
    <n v="21.6"/>
    <n v="0"/>
    <n v="0"/>
    <s v="Yes"/>
    <s v="Shalom"/>
    <x v="0"/>
    <x v="0"/>
    <x v="0"/>
    <n v="25.617998"/>
    <n v="96.339590000000001"/>
    <s v="MMR001CMP192"/>
    <x v="0"/>
    <x v="0"/>
    <s v="yes"/>
    <n v="7"/>
    <n v="24"/>
  </r>
  <r>
    <x v="0"/>
    <x v="14"/>
    <x v="12"/>
    <s v="ANCHOR"/>
    <x v="1"/>
    <x v="6"/>
    <x v="0"/>
    <x v="184"/>
    <n v="16"/>
    <n v="72"/>
    <d v="2023-01-01T00:00:00"/>
    <d v="2023-12-31T00:00:00"/>
    <m/>
    <m/>
    <n v="1"/>
    <m/>
    <s v="Yes"/>
    <n v="1"/>
    <n v="2"/>
    <n v="1"/>
    <m/>
    <m/>
    <n v="1"/>
    <m/>
    <m/>
    <m/>
    <n v="1"/>
    <n v="1"/>
    <m/>
    <m/>
    <n v="1"/>
    <m/>
    <m/>
    <m/>
    <m/>
    <m/>
    <m/>
    <m/>
    <n v="1"/>
    <m/>
    <m/>
    <s v="ရေတင်မီးစက်တွင် မီးကြိုးလဲလှယ်ရန်လို"/>
    <n v="2"/>
    <m/>
    <m/>
    <m/>
    <m/>
    <m/>
    <m/>
    <n v="2"/>
    <x v="1"/>
    <x v="1"/>
    <m/>
    <m/>
    <m/>
    <m/>
    <m/>
    <s v="အိမ်သာလုံလောက်မှုမရှိ"/>
    <n v="3"/>
    <n v="1"/>
    <m/>
    <n v="2"/>
    <m/>
    <n v="1"/>
    <m/>
    <n v="16"/>
    <n v="24"/>
    <s v="No"/>
    <m/>
    <n v="1"/>
    <m/>
    <n v="1"/>
    <n v="0.2"/>
    <m/>
    <n v="0.2"/>
    <m/>
    <m/>
    <m/>
    <m/>
    <m/>
    <m/>
    <m/>
    <s v="no test"/>
    <s v="no test"/>
    <s v="No Test"/>
    <n v="1"/>
    <n v="1"/>
    <n v="0"/>
    <n v="0"/>
    <n v="0"/>
    <n v="0"/>
    <n v="0"/>
    <m/>
    <n v="1"/>
    <n v="1"/>
    <n v="1"/>
    <n v="72"/>
    <n v="1"/>
    <n v="72"/>
    <n v="1"/>
    <n v="72"/>
    <n v="0.14399999999999999"/>
    <n v="0"/>
    <n v="0"/>
    <n v="0.85599999999999998"/>
    <n v="1"/>
    <n v="2"/>
    <n v="0.55555555555555558"/>
    <n v="40"/>
    <n v="0"/>
    <n v="0"/>
    <n v="0"/>
    <n v="4"/>
    <n v="2"/>
    <n v="0.44444444444444442"/>
    <n v="0"/>
    <n v="72"/>
    <n v="72"/>
    <n v="24"/>
    <n v="72"/>
    <n v="72"/>
    <n v="1"/>
    <n v="0"/>
    <n v="1"/>
    <n v="1"/>
    <n v="1"/>
    <n v="2"/>
    <n v="16"/>
    <n v="0"/>
    <n v="72"/>
    <s v="No"/>
    <s v=""/>
    <n v="72"/>
    <n v="14.4"/>
    <n v="14.4"/>
    <n v="72"/>
    <n v="0"/>
    <n v="0"/>
    <s v="Yes"/>
    <s v="Shalom"/>
    <x v="0"/>
    <x v="0"/>
    <x v="0"/>
    <n v="25.56551"/>
    <n v="96.279200000000003"/>
    <s v="MMR001CMP182"/>
    <x v="0"/>
    <x v="0"/>
    <s v="yes"/>
    <n v="21"/>
    <n v="96"/>
  </r>
  <r>
    <x v="0"/>
    <x v="14"/>
    <x v="12"/>
    <s v="MHF"/>
    <x v="1"/>
    <x v="6"/>
    <x v="0"/>
    <x v="185"/>
    <n v="25"/>
    <n v="133"/>
    <d v="2022-01-01T00:00:00"/>
    <d v="2022-12-31T00:00:00"/>
    <m/>
    <m/>
    <n v="1"/>
    <m/>
    <s v="Yes"/>
    <n v="2"/>
    <n v="2"/>
    <n v="1"/>
    <m/>
    <m/>
    <m/>
    <n v="1"/>
    <m/>
    <m/>
    <n v="2"/>
    <m/>
    <m/>
    <m/>
    <n v="4"/>
    <m/>
    <m/>
    <m/>
    <m/>
    <m/>
    <m/>
    <m/>
    <m/>
    <m/>
    <m/>
    <m/>
    <n v="8"/>
    <n v="4"/>
    <s v="chruch"/>
    <m/>
    <m/>
    <m/>
    <m/>
    <m/>
    <x v="1"/>
    <x v="1"/>
    <m/>
    <n v="2"/>
    <m/>
    <m/>
    <m/>
    <m/>
    <n v="4"/>
    <m/>
    <m/>
    <n v="2"/>
    <m/>
    <m/>
    <m/>
    <m/>
    <m/>
    <m/>
    <m/>
    <m/>
    <m/>
    <m/>
    <m/>
    <m/>
    <m/>
    <m/>
    <m/>
    <m/>
    <m/>
    <m/>
    <m/>
    <m/>
    <s v="no test"/>
    <s v="no test"/>
    <s v="No Test"/>
    <n v="1"/>
    <n v="1"/>
    <n v="2"/>
    <n v="0"/>
    <n v="0"/>
    <n v="0"/>
    <n v="0"/>
    <m/>
    <n v="1"/>
    <n v="1"/>
    <n v="1"/>
    <n v="133"/>
    <n v="1"/>
    <n v="133"/>
    <n v="1"/>
    <n v="133"/>
    <n v="0.26600000000000001"/>
    <n v="0"/>
    <n v="0"/>
    <n v="0.73399999999999999"/>
    <n v="1"/>
    <n v="12"/>
    <n v="1"/>
    <n v="133"/>
    <n v="0"/>
    <n v="0"/>
    <n v="0"/>
    <n v="7"/>
    <n v="0"/>
    <n v="0"/>
    <n v="0"/>
    <n v="0"/>
    <n v="0"/>
    <n v="0"/>
    <n v="0"/>
    <n v="0"/>
    <n v="0"/>
    <n v="1"/>
    <n v="0"/>
    <n v="0"/>
    <n v="0"/>
    <n v="4"/>
    <n v="25"/>
    <n v="0"/>
    <n v="133"/>
    <s v="No"/>
    <s v=""/>
    <n v="0"/>
    <n v="0"/>
    <n v="0"/>
    <n v="0"/>
    <n v="0"/>
    <n v="0"/>
    <s v="Yes"/>
    <s v="KBC-MYT"/>
    <x v="0"/>
    <x v="1"/>
    <x v="0"/>
    <n v="25.577559999999998"/>
    <n v="96.286680000000004"/>
    <s v="MMR001CMP184"/>
    <x v="0"/>
    <x v="0"/>
    <s v="yes"/>
    <n v="25"/>
    <n v="133"/>
  </r>
  <r>
    <x v="0"/>
    <x v="14"/>
    <x v="12"/>
    <s v="MHF"/>
    <x v="1"/>
    <x v="6"/>
    <x v="0"/>
    <x v="186"/>
    <n v="16"/>
    <n v="66"/>
    <d v="2022-01-01T00:00:00"/>
    <d v="2022-12-31T00:00:00"/>
    <n v="30"/>
    <m/>
    <m/>
    <m/>
    <s v="Yes"/>
    <n v="2"/>
    <n v="4"/>
    <m/>
    <m/>
    <m/>
    <m/>
    <m/>
    <m/>
    <m/>
    <n v="1"/>
    <m/>
    <m/>
    <m/>
    <n v="2"/>
    <m/>
    <m/>
    <m/>
    <m/>
    <m/>
    <m/>
    <m/>
    <n v="2"/>
    <m/>
    <m/>
    <m/>
    <n v="5"/>
    <m/>
    <m/>
    <m/>
    <m/>
    <m/>
    <m/>
    <m/>
    <x v="1"/>
    <x v="1"/>
    <m/>
    <m/>
    <m/>
    <m/>
    <m/>
    <m/>
    <n v="2"/>
    <m/>
    <m/>
    <n v="2"/>
    <m/>
    <n v="1"/>
    <n v="1"/>
    <m/>
    <m/>
    <m/>
    <m/>
    <m/>
    <m/>
    <m/>
    <m/>
    <m/>
    <m/>
    <m/>
    <m/>
    <m/>
    <m/>
    <m/>
    <m/>
    <m/>
    <s v="no test"/>
    <s v="no test"/>
    <s v="No Test"/>
    <n v="0"/>
    <n v="0"/>
    <n v="1"/>
    <n v="0"/>
    <n v="0"/>
    <n v="0"/>
    <n v="0"/>
    <m/>
    <n v="1"/>
    <n v="1"/>
    <n v="1"/>
    <n v="66"/>
    <n v="1"/>
    <n v="66"/>
    <n v="1"/>
    <n v="66"/>
    <n v="0.13200000000000001"/>
    <n v="0"/>
    <n v="0"/>
    <n v="0.86799999999999999"/>
    <n v="1"/>
    <n v="5"/>
    <n v="1"/>
    <n v="66"/>
    <n v="0"/>
    <n v="0"/>
    <n v="0"/>
    <n v="3"/>
    <n v="0"/>
    <n v="0"/>
    <n v="0"/>
    <n v="66"/>
    <n v="0"/>
    <n v="0"/>
    <n v="0"/>
    <n v="66"/>
    <n v="1"/>
    <n v="0"/>
    <n v="1"/>
    <n v="0"/>
    <n v="0"/>
    <n v="2"/>
    <n v="16"/>
    <n v="0"/>
    <n v="66"/>
    <s v="Yes"/>
    <s v=""/>
    <n v="0"/>
    <n v="0"/>
    <n v="0"/>
    <n v="0"/>
    <n v="0"/>
    <n v="0"/>
    <s v="Yes"/>
    <s v="KBC-MYT"/>
    <x v="0"/>
    <x v="1"/>
    <x v="0"/>
    <n v="25.599250000000001"/>
    <n v="96.306910999999999"/>
    <s v="MMR001CMP105"/>
    <x v="0"/>
    <x v="0"/>
    <s v="yes"/>
    <n v="16"/>
    <n v="65"/>
  </r>
  <r>
    <x v="0"/>
    <x v="14"/>
    <x v="12"/>
    <s v="ANCHOR"/>
    <x v="1"/>
    <x v="10"/>
    <x v="0"/>
    <x v="187"/>
    <n v="22"/>
    <n v="82"/>
    <d v="2023-01-01T00:00:00"/>
    <d v="2023-12-31T00:00:00"/>
    <m/>
    <m/>
    <n v="1"/>
    <m/>
    <s v="Yes"/>
    <n v="3"/>
    <n v="2"/>
    <n v="1"/>
    <n v="1"/>
    <n v="1"/>
    <n v="2"/>
    <n v="2"/>
    <n v="1"/>
    <m/>
    <n v="2"/>
    <m/>
    <n v="2"/>
    <m/>
    <m/>
    <m/>
    <m/>
    <n v="1"/>
    <m/>
    <m/>
    <m/>
    <m/>
    <m/>
    <m/>
    <m/>
    <m/>
    <n v="5"/>
    <m/>
    <m/>
    <m/>
    <m/>
    <m/>
    <m/>
    <n v="5"/>
    <x v="1"/>
    <x v="1"/>
    <m/>
    <m/>
    <m/>
    <m/>
    <m/>
    <m/>
    <n v="5"/>
    <m/>
    <n v="2"/>
    <n v="2"/>
    <m/>
    <m/>
    <n v="1"/>
    <m/>
    <m/>
    <s v="Yes"/>
    <n v="1"/>
    <n v="0.5"/>
    <m/>
    <n v="0.75"/>
    <m/>
    <m/>
    <m/>
    <m/>
    <m/>
    <m/>
    <m/>
    <m/>
    <m/>
    <m/>
    <s v="no test"/>
    <s v="no test"/>
    <s v="No Test"/>
    <n v="0"/>
    <n v="3"/>
    <n v="2"/>
    <n v="0"/>
    <n v="0"/>
    <n v="0"/>
    <n v="0"/>
    <m/>
    <n v="1"/>
    <n v="1"/>
    <n v="1"/>
    <n v="82"/>
    <n v="0"/>
    <n v="0"/>
    <n v="1"/>
    <n v="82"/>
    <n v="0.16400000000000001"/>
    <n v="0"/>
    <n v="0"/>
    <n v="0.83599999999999997"/>
    <n v="1"/>
    <n v="5"/>
    <n v="1"/>
    <n v="82"/>
    <n v="0"/>
    <n v="0"/>
    <n v="0"/>
    <n v="4"/>
    <n v="0"/>
    <n v="0"/>
    <n v="0"/>
    <n v="82"/>
    <n v="0"/>
    <n v="0"/>
    <n v="0"/>
    <n v="82"/>
    <n v="1"/>
    <n v="0"/>
    <n v="1"/>
    <n v="0"/>
    <n v="0"/>
    <n v="5"/>
    <n v="22"/>
    <n v="0"/>
    <n v="82"/>
    <s v="No"/>
    <s v=""/>
    <n v="61.5"/>
    <n v="0"/>
    <n v="0"/>
    <n v="61.5"/>
    <n v="0"/>
    <n v="0"/>
    <s v="Yes"/>
    <s v="Shalom"/>
    <x v="0"/>
    <x v="2"/>
    <x v="0"/>
    <n v="25.374343974359"/>
    <n v="97.2843958974359"/>
    <s v="MMR001CMP020"/>
    <x v="0"/>
    <x v="0"/>
    <s v="yes"/>
    <n v="18"/>
    <n v="74"/>
  </r>
  <r>
    <x v="0"/>
    <x v="14"/>
    <x v="12"/>
    <s v="ANCHOR"/>
    <x v="1"/>
    <x v="10"/>
    <x v="0"/>
    <x v="188"/>
    <n v="18"/>
    <n v="78"/>
    <d v="2023-01-01T00:00:00"/>
    <d v="2023-12-31T00:00:00"/>
    <m/>
    <m/>
    <n v="1"/>
    <m/>
    <s v="Yes"/>
    <n v="2"/>
    <n v="4"/>
    <n v="3"/>
    <n v="1"/>
    <m/>
    <n v="2"/>
    <n v="2"/>
    <n v="1"/>
    <m/>
    <m/>
    <m/>
    <m/>
    <m/>
    <n v="2"/>
    <m/>
    <m/>
    <n v="3"/>
    <m/>
    <m/>
    <m/>
    <m/>
    <n v="4"/>
    <n v="1"/>
    <m/>
    <m/>
    <n v="6"/>
    <m/>
    <s v="Shalom"/>
    <n v="1"/>
    <n v="1"/>
    <m/>
    <m/>
    <m/>
    <x v="1"/>
    <x v="1"/>
    <m/>
    <m/>
    <m/>
    <m/>
    <n v="78"/>
    <m/>
    <n v="4"/>
    <n v="2"/>
    <m/>
    <n v="2"/>
    <m/>
    <m/>
    <n v="1"/>
    <n v="18"/>
    <n v="24"/>
    <s v="Yes"/>
    <n v="1"/>
    <n v="0.8"/>
    <m/>
    <n v="0.8"/>
    <n v="0.8"/>
    <m/>
    <n v="0.8"/>
    <m/>
    <m/>
    <m/>
    <m/>
    <m/>
    <m/>
    <m/>
    <s v="no test"/>
    <s v="no test"/>
    <s v="No Test"/>
    <n v="2"/>
    <n v="3"/>
    <n v="0"/>
    <n v="0"/>
    <n v="0"/>
    <n v="78"/>
    <n v="0"/>
    <m/>
    <n v="1"/>
    <n v="1"/>
    <n v="1"/>
    <n v="78"/>
    <n v="1"/>
    <n v="78"/>
    <n v="1"/>
    <n v="78"/>
    <n v="0.156"/>
    <n v="0"/>
    <n v="0"/>
    <n v="0.84399999999999997"/>
    <n v="1"/>
    <n v="5"/>
    <n v="1"/>
    <n v="78"/>
    <n v="0"/>
    <n v="0"/>
    <n v="0"/>
    <n v="4"/>
    <n v="0"/>
    <n v="0"/>
    <n v="0.16666666666666666"/>
    <n v="78"/>
    <n v="78"/>
    <n v="24"/>
    <n v="78"/>
    <n v="78"/>
    <n v="1"/>
    <n v="0"/>
    <n v="1"/>
    <n v="1"/>
    <n v="1"/>
    <n v="2"/>
    <n v="18"/>
    <n v="4"/>
    <n v="78"/>
    <s v="No"/>
    <s v=""/>
    <n v="62.400000000000006"/>
    <n v="62.400000000000006"/>
    <n v="62.400000000000006"/>
    <n v="62.400000000000006"/>
    <n v="78"/>
    <n v="0"/>
    <s v="Yes"/>
    <s v="Shalom"/>
    <x v="0"/>
    <x v="2"/>
    <x v="0"/>
    <n v="25.371049444444399"/>
    <n v="97.290952037037002"/>
    <s v="MMR001CMP021"/>
    <x v="0"/>
    <x v="0"/>
    <s v="yes"/>
    <n v="29"/>
    <n v="174"/>
  </r>
  <r>
    <x v="0"/>
    <x v="14"/>
    <x v="12"/>
    <s v="ANCHOR"/>
    <x v="1"/>
    <x v="10"/>
    <x v="0"/>
    <x v="189"/>
    <n v="16"/>
    <n v="94"/>
    <d v="2023-01-01T00:00:00"/>
    <d v="2023-12-31T00:00:00"/>
    <m/>
    <m/>
    <n v="1"/>
    <m/>
    <s v="Yes"/>
    <n v="2"/>
    <n v="2"/>
    <n v="1"/>
    <n v="1"/>
    <m/>
    <n v="2"/>
    <m/>
    <m/>
    <m/>
    <m/>
    <m/>
    <m/>
    <m/>
    <n v="2"/>
    <m/>
    <m/>
    <m/>
    <m/>
    <m/>
    <m/>
    <m/>
    <n v="3"/>
    <m/>
    <m/>
    <m/>
    <n v="7"/>
    <m/>
    <s v="chruch"/>
    <m/>
    <m/>
    <m/>
    <m/>
    <n v="7"/>
    <x v="1"/>
    <x v="1"/>
    <m/>
    <m/>
    <m/>
    <m/>
    <n v="3"/>
    <m/>
    <n v="3"/>
    <m/>
    <m/>
    <n v="2"/>
    <m/>
    <n v="1"/>
    <m/>
    <n v="16"/>
    <m/>
    <s v="Yes"/>
    <n v="1"/>
    <n v="1"/>
    <m/>
    <n v="0.9"/>
    <n v="0.9"/>
    <m/>
    <m/>
    <m/>
    <m/>
    <m/>
    <m/>
    <m/>
    <m/>
    <m/>
    <s v="no test"/>
    <s v="no test"/>
    <s v="No Test"/>
    <n v="0"/>
    <n v="2"/>
    <n v="0"/>
    <n v="0"/>
    <n v="0"/>
    <n v="0"/>
    <n v="0"/>
    <m/>
    <n v="1"/>
    <n v="1"/>
    <n v="1"/>
    <n v="94"/>
    <n v="1"/>
    <n v="94"/>
    <n v="1"/>
    <n v="94"/>
    <n v="0.188"/>
    <n v="0"/>
    <n v="0"/>
    <n v="0.81200000000000006"/>
    <n v="1"/>
    <n v="7"/>
    <n v="1"/>
    <n v="94"/>
    <n v="0"/>
    <n v="0"/>
    <n v="0"/>
    <n v="5"/>
    <n v="0"/>
    <n v="0"/>
    <n v="0"/>
    <n v="94"/>
    <n v="94"/>
    <n v="0"/>
    <n v="94"/>
    <n v="94"/>
    <n v="1"/>
    <n v="0"/>
    <n v="1"/>
    <n v="1"/>
    <n v="0"/>
    <n v="3"/>
    <n v="16"/>
    <n v="3"/>
    <n v="94"/>
    <s v="No"/>
    <s v=""/>
    <n v="84.600000000000009"/>
    <n v="84.600000000000009"/>
    <n v="0"/>
    <n v="84.600000000000009"/>
    <n v="0"/>
    <n v="0"/>
    <s v="Yes"/>
    <s v="Shalom"/>
    <x v="0"/>
    <x v="2"/>
    <x v="0"/>
    <n v="25.417733999999999"/>
    <n v="97.389778000000007"/>
    <s v="MMR001CMP004"/>
    <x v="0"/>
    <x v="0"/>
    <s v="yes"/>
    <n v="18"/>
    <n v="93"/>
  </r>
  <r>
    <x v="0"/>
    <x v="14"/>
    <x v="12"/>
    <s v="ANCHOR"/>
    <x v="1"/>
    <x v="10"/>
    <x v="0"/>
    <x v="190"/>
    <n v="21"/>
    <n v="101"/>
    <d v="2023-01-01T00:00:00"/>
    <d v="2023-12-31T00:00:00"/>
    <m/>
    <m/>
    <n v="1"/>
    <m/>
    <s v="Yes"/>
    <n v="1"/>
    <n v="4"/>
    <n v="1"/>
    <m/>
    <m/>
    <m/>
    <m/>
    <m/>
    <m/>
    <m/>
    <m/>
    <m/>
    <m/>
    <m/>
    <m/>
    <n v="2"/>
    <m/>
    <m/>
    <m/>
    <m/>
    <m/>
    <n v="1"/>
    <n v="1"/>
    <n v="1"/>
    <m/>
    <n v="5"/>
    <m/>
    <s v="Shalom, church"/>
    <m/>
    <m/>
    <m/>
    <m/>
    <m/>
    <x v="1"/>
    <x v="1"/>
    <m/>
    <n v="1"/>
    <m/>
    <m/>
    <m/>
    <m/>
    <n v="5"/>
    <n v="2"/>
    <m/>
    <n v="3"/>
    <m/>
    <m/>
    <n v="1"/>
    <n v="26"/>
    <m/>
    <s v="Yes"/>
    <n v="1"/>
    <n v="0.08"/>
    <s v="hygiene kit Distribution"/>
    <n v="1"/>
    <n v="1"/>
    <m/>
    <n v="1"/>
    <m/>
    <m/>
    <m/>
    <m/>
    <m/>
    <m/>
    <m/>
    <s v="no test"/>
    <s v="no test"/>
    <s v="No Test"/>
    <n v="1"/>
    <n v="0"/>
    <n v="0"/>
    <n v="0"/>
    <n v="0"/>
    <n v="101"/>
    <n v="101"/>
    <m/>
    <n v="1"/>
    <n v="1"/>
    <n v="1"/>
    <n v="101"/>
    <n v="0"/>
    <n v="0"/>
    <n v="1"/>
    <n v="101"/>
    <n v="0.20200000000000001"/>
    <n v="0"/>
    <n v="0"/>
    <n v="0.79800000000000004"/>
    <n v="1"/>
    <n v="5"/>
    <n v="0.99009900990099009"/>
    <n v="100"/>
    <n v="0"/>
    <n v="0"/>
    <n v="0"/>
    <n v="5"/>
    <n v="0"/>
    <n v="9.9009900990099098E-3"/>
    <n v="0"/>
    <n v="101"/>
    <n v="101"/>
    <n v="0"/>
    <n v="101"/>
    <n v="101"/>
    <n v="1"/>
    <n v="0"/>
    <n v="1"/>
    <n v="1"/>
    <n v="0"/>
    <n v="3"/>
    <n v="21"/>
    <n v="1"/>
    <n v="101"/>
    <s v="No"/>
    <s v=""/>
    <n v="101"/>
    <n v="101"/>
    <n v="101"/>
    <n v="101"/>
    <n v="101"/>
    <n v="101"/>
    <s v="Yes"/>
    <s v="Shalom"/>
    <x v="0"/>
    <x v="2"/>
    <x v="0"/>
    <n v="25.423817"/>
    <n v="97.418004999999994"/>
    <s v="MMR001CMP007"/>
    <x v="0"/>
    <x v="0"/>
    <s v="yes"/>
    <n v="26"/>
    <n v="124"/>
  </r>
  <r>
    <x v="0"/>
    <x v="14"/>
    <x v="12"/>
    <s v="ANCHOR"/>
    <x v="1"/>
    <x v="10"/>
    <x v="0"/>
    <x v="191"/>
    <n v="56"/>
    <n v="268"/>
    <d v="2023-01-01T00:00:00"/>
    <d v="2023-12-31T00:00:00"/>
    <m/>
    <m/>
    <n v="1"/>
    <m/>
    <s v="Yes"/>
    <n v="3"/>
    <n v="3"/>
    <n v="1"/>
    <m/>
    <m/>
    <n v="5"/>
    <m/>
    <m/>
    <m/>
    <m/>
    <m/>
    <m/>
    <m/>
    <m/>
    <m/>
    <n v="2"/>
    <n v="4"/>
    <m/>
    <m/>
    <m/>
    <m/>
    <n v="2"/>
    <n v="2"/>
    <n v="2"/>
    <m/>
    <n v="19"/>
    <m/>
    <m/>
    <m/>
    <m/>
    <n v="3"/>
    <m/>
    <m/>
    <x v="1"/>
    <x v="1"/>
    <m/>
    <n v="1"/>
    <m/>
    <m/>
    <n v="6"/>
    <m/>
    <n v="4"/>
    <m/>
    <m/>
    <n v="4"/>
    <n v="4"/>
    <m/>
    <n v="1"/>
    <m/>
    <m/>
    <s v="Yes"/>
    <n v="1"/>
    <n v="0.6"/>
    <m/>
    <n v="0.6"/>
    <n v="0.7"/>
    <n v="10"/>
    <n v="0.6"/>
    <m/>
    <m/>
    <m/>
    <m/>
    <m/>
    <m/>
    <m/>
    <s v="no test"/>
    <s v="no test"/>
    <s v="No Test"/>
    <n v="1"/>
    <n v="5"/>
    <n v="0"/>
    <n v="0"/>
    <n v="0"/>
    <n v="268"/>
    <n v="268"/>
    <m/>
    <n v="1"/>
    <n v="1"/>
    <n v="1"/>
    <n v="268"/>
    <n v="0"/>
    <n v="0"/>
    <n v="1"/>
    <n v="268"/>
    <n v="0.53600000000000003"/>
    <n v="0"/>
    <n v="0"/>
    <n v="0.46399999999999997"/>
    <n v="1"/>
    <n v="19"/>
    <n v="1"/>
    <n v="268"/>
    <n v="60"/>
    <n v="0"/>
    <n v="0"/>
    <n v="13"/>
    <n v="0"/>
    <n v="0"/>
    <n v="0"/>
    <n v="268"/>
    <n v="0"/>
    <n v="0"/>
    <n v="0"/>
    <n v="268"/>
    <n v="1"/>
    <n v="0"/>
    <n v="1"/>
    <n v="0"/>
    <n v="0"/>
    <n v="4"/>
    <n v="56"/>
    <n v="2"/>
    <n v="268"/>
    <s v="No"/>
    <n v="3.7313432835820892E-2"/>
    <n v="160.79999999999998"/>
    <n v="187.6"/>
    <n v="160.79999999999998"/>
    <n v="187.6"/>
    <n v="268"/>
    <n v="268"/>
    <s v="Yes"/>
    <s v="Shalom"/>
    <x v="0"/>
    <x v="2"/>
    <x v="0"/>
    <n v="25.423209"/>
    <n v="97.379987"/>
    <s v="MMR001CMP023"/>
    <x v="0"/>
    <x v="0"/>
    <s v="yes"/>
    <n v="56"/>
    <n v="269"/>
  </r>
  <r>
    <x v="0"/>
    <x v="14"/>
    <x v="12"/>
    <s v="ANCHOR"/>
    <x v="1"/>
    <x v="14"/>
    <x v="0"/>
    <x v="192"/>
    <n v="59"/>
    <n v="298"/>
    <d v="2023-01-01T00:00:00"/>
    <d v="2023-12-31T00:00:00"/>
    <m/>
    <m/>
    <n v="1"/>
    <m/>
    <s v="Yes"/>
    <n v="3"/>
    <n v="6"/>
    <n v="1"/>
    <n v="1"/>
    <m/>
    <n v="1"/>
    <m/>
    <n v="1"/>
    <n v="1"/>
    <m/>
    <m/>
    <m/>
    <m/>
    <m/>
    <m/>
    <n v="2"/>
    <m/>
    <m/>
    <m/>
    <m/>
    <m/>
    <n v="2"/>
    <m/>
    <m/>
    <m/>
    <n v="26"/>
    <n v="2"/>
    <s v="World vision"/>
    <n v="26"/>
    <m/>
    <m/>
    <m/>
    <m/>
    <x v="1"/>
    <x v="1"/>
    <m/>
    <m/>
    <m/>
    <m/>
    <m/>
    <m/>
    <n v="2"/>
    <m/>
    <m/>
    <m/>
    <m/>
    <m/>
    <n v="1"/>
    <m/>
    <m/>
    <m/>
    <n v="1"/>
    <n v="0.5"/>
    <m/>
    <n v="1"/>
    <n v="0.9"/>
    <m/>
    <n v="1"/>
    <m/>
    <m/>
    <m/>
    <m/>
    <m/>
    <m/>
    <m/>
    <s v="no test"/>
    <s v="no test"/>
    <s v="No Test"/>
    <n v="0"/>
    <n v="0"/>
    <n v="0"/>
    <n v="0"/>
    <n v="0"/>
    <n v="0"/>
    <n v="0"/>
    <m/>
    <n v="0"/>
    <n v="0"/>
    <n v="0"/>
    <n v="0"/>
    <n v="0"/>
    <n v="0"/>
    <n v="0"/>
    <n v="0"/>
    <n v="0"/>
    <n v="1"/>
    <n v="298"/>
    <n v="1"/>
    <n v="1"/>
    <n v="2"/>
    <n v="0.13422818791946309"/>
    <n v="40"/>
    <n v="0"/>
    <n v="0"/>
    <n v="0"/>
    <n v="15"/>
    <n v="0"/>
    <n v="0.86577181208053688"/>
    <n v="0.9285714285714286"/>
    <n v="298"/>
    <n v="0"/>
    <n v="0"/>
    <n v="0"/>
    <n v="298"/>
    <n v="1"/>
    <n v="0"/>
    <n v="1"/>
    <n v="0"/>
    <n v="0"/>
    <n v="2"/>
    <n v="40"/>
    <n v="0"/>
    <n v="200"/>
    <s v="No"/>
    <s v=""/>
    <n v="298"/>
    <n v="268.2"/>
    <n v="298"/>
    <n v="298"/>
    <n v="0"/>
    <n v="0"/>
    <s v="Yes"/>
    <s v="Shalom"/>
    <x v="0"/>
    <x v="2"/>
    <x v="0"/>
    <n v="25.321710740740698"/>
    <n v="97.404195925926004"/>
    <s v="MMR001CMP028"/>
    <x v="0"/>
    <x v="0"/>
    <s v="yes"/>
    <n v="59"/>
    <n v="292"/>
  </r>
  <r>
    <x v="0"/>
    <x v="14"/>
    <x v="12"/>
    <s v="ANCHOR"/>
    <x v="1"/>
    <x v="14"/>
    <x v="0"/>
    <x v="193"/>
    <n v="353"/>
    <n v="2139"/>
    <d v="2023-01-01T00:00:00"/>
    <d v="2023-12-31T00:00:00"/>
    <m/>
    <m/>
    <n v="1"/>
    <m/>
    <s v="Yes"/>
    <n v="1"/>
    <n v="8"/>
    <n v="2"/>
    <n v="1"/>
    <m/>
    <n v="3"/>
    <m/>
    <m/>
    <m/>
    <m/>
    <m/>
    <m/>
    <m/>
    <m/>
    <m/>
    <m/>
    <m/>
    <m/>
    <m/>
    <m/>
    <m/>
    <m/>
    <n v="23"/>
    <m/>
    <m/>
    <n v="28"/>
    <m/>
    <s v="Shalom"/>
    <m/>
    <m/>
    <n v="6"/>
    <m/>
    <m/>
    <x v="1"/>
    <x v="1"/>
    <m/>
    <n v="16"/>
    <n v="16"/>
    <m/>
    <m/>
    <s v="အိမ်သာကျင်းမကြာခန ပိတ်"/>
    <n v="13"/>
    <n v="3"/>
    <m/>
    <n v="7"/>
    <m/>
    <m/>
    <n v="1"/>
    <m/>
    <m/>
    <m/>
    <n v="1"/>
    <n v="0.7"/>
    <m/>
    <n v="1"/>
    <n v="1"/>
    <n v="5"/>
    <n v="0.9"/>
    <m/>
    <m/>
    <m/>
    <m/>
    <m/>
    <m/>
    <m/>
    <s v="no test"/>
    <s v="no test"/>
    <s v="No Test"/>
    <n v="1"/>
    <n v="3"/>
    <n v="0"/>
    <n v="0"/>
    <n v="0"/>
    <n v="2139"/>
    <n v="0"/>
    <m/>
    <n v="0.88826554464703134"/>
    <n v="0.4675081813931744"/>
    <n v="0.88826554464703134"/>
    <n v="1900"/>
    <n v="0"/>
    <n v="0"/>
    <n v="0.88826554464703134"/>
    <n v="1900"/>
    <n v="3.8"/>
    <n v="0.11173445535296866"/>
    <n v="238.99999999999997"/>
    <n v="0.20000000000000018"/>
    <n v="4"/>
    <n v="28"/>
    <n v="0.26180458158017766"/>
    <n v="560"/>
    <n v="120"/>
    <n v="0"/>
    <n v="0"/>
    <n v="107"/>
    <n v="79"/>
    <n v="0.73819541841982228"/>
    <n v="0"/>
    <n v="500"/>
    <n v="0"/>
    <n v="0"/>
    <n v="0"/>
    <n v="500"/>
    <n v="0.2337540906965872"/>
    <n v="0.76624590930341285"/>
    <n v="0.2337540906965872"/>
    <n v="0"/>
    <n v="0"/>
    <n v="10"/>
    <n v="200"/>
    <n v="0"/>
    <n v="1000"/>
    <s v="No"/>
    <n v="2.3375409069658717E-3"/>
    <n v="2139"/>
    <n v="2139"/>
    <n v="1925.1000000000001"/>
    <n v="2139"/>
    <n v="2139"/>
    <n v="0"/>
    <s v="Yes"/>
    <s v="Shalom"/>
    <x v="0"/>
    <x v="2"/>
    <x v="0"/>
    <n v="25.424529444444399"/>
    <n v="97.433419259259296"/>
    <s v="MMR001CMP031"/>
    <x v="0"/>
    <x v="0"/>
    <s v="yes"/>
    <n v="353"/>
    <n v="2139"/>
  </r>
  <r>
    <x v="0"/>
    <x v="14"/>
    <x v="12"/>
    <s v="ANCHOR"/>
    <x v="1"/>
    <x v="14"/>
    <x v="0"/>
    <x v="194"/>
    <n v="45"/>
    <n v="221"/>
    <d v="2023-01-01T00:00:00"/>
    <d v="2023-12-31T00:00:00"/>
    <m/>
    <m/>
    <n v="1"/>
    <m/>
    <s v="Yes"/>
    <n v="2"/>
    <n v="5"/>
    <n v="1"/>
    <m/>
    <m/>
    <n v="1"/>
    <m/>
    <m/>
    <m/>
    <m/>
    <m/>
    <m/>
    <m/>
    <m/>
    <m/>
    <m/>
    <m/>
    <m/>
    <m/>
    <m/>
    <m/>
    <m/>
    <m/>
    <m/>
    <s v="နွေရာသီရေခမ်း "/>
    <n v="10"/>
    <m/>
    <m/>
    <n v="2"/>
    <m/>
    <m/>
    <m/>
    <m/>
    <x v="1"/>
    <x v="1"/>
    <m/>
    <m/>
    <m/>
    <m/>
    <m/>
    <m/>
    <n v="10"/>
    <m/>
    <m/>
    <n v="2"/>
    <m/>
    <m/>
    <n v="1"/>
    <n v="45"/>
    <m/>
    <m/>
    <n v="1"/>
    <n v="0.5"/>
    <m/>
    <n v="0.98"/>
    <n v="0.9"/>
    <m/>
    <n v="0.99"/>
    <m/>
    <m/>
    <m/>
    <m/>
    <m/>
    <m/>
    <m/>
    <s v="no test"/>
    <s v="no test"/>
    <s v="No Test"/>
    <n v="1"/>
    <n v="1"/>
    <n v="0"/>
    <n v="0"/>
    <n v="0"/>
    <n v="0"/>
    <n v="0"/>
    <m/>
    <n v="1"/>
    <n v="1"/>
    <n v="1"/>
    <n v="221"/>
    <n v="0"/>
    <n v="0"/>
    <n v="1"/>
    <n v="221"/>
    <n v="0.442"/>
    <n v="0"/>
    <n v="0"/>
    <n v="0.55800000000000005"/>
    <n v="1"/>
    <n v="8"/>
    <n v="0.72398190045248867"/>
    <n v="160"/>
    <n v="0"/>
    <n v="0"/>
    <n v="0"/>
    <n v="11"/>
    <n v="1"/>
    <n v="0.27601809954751133"/>
    <n v="0.2"/>
    <n v="221"/>
    <n v="221"/>
    <n v="0"/>
    <n v="221"/>
    <n v="221"/>
    <n v="1"/>
    <n v="0"/>
    <n v="1"/>
    <n v="1"/>
    <n v="0"/>
    <n v="10"/>
    <n v="45"/>
    <n v="0"/>
    <n v="221"/>
    <s v="No"/>
    <s v=""/>
    <n v="216.57999999999998"/>
    <n v="198.9"/>
    <n v="218.79"/>
    <n v="218.79"/>
    <n v="0"/>
    <n v="0"/>
    <s v="Yes"/>
    <s v="Shalom"/>
    <x v="0"/>
    <x v="2"/>
    <x v="0"/>
    <n v="25.345918166666699"/>
    <n v="97.437472666666693"/>
    <s v="MMR001CMP030"/>
    <x v="0"/>
    <x v="0"/>
    <s v="yes"/>
    <n v="45"/>
    <n v="221"/>
  </r>
  <r>
    <x v="0"/>
    <x v="14"/>
    <x v="12"/>
    <s v="ANCHOR"/>
    <x v="1"/>
    <x v="14"/>
    <x v="0"/>
    <x v="195"/>
    <n v="19"/>
    <n v="86"/>
    <d v="2023-01-01T00:00:00"/>
    <d v="2023-12-31T00:00:00"/>
    <n v="13"/>
    <m/>
    <n v="1"/>
    <m/>
    <s v="Yes"/>
    <m/>
    <n v="5"/>
    <n v="1"/>
    <m/>
    <m/>
    <m/>
    <m/>
    <m/>
    <m/>
    <m/>
    <m/>
    <m/>
    <m/>
    <m/>
    <m/>
    <m/>
    <m/>
    <m/>
    <m/>
    <m/>
    <m/>
    <n v="2"/>
    <m/>
    <m/>
    <s v="နွေရာသီရေခမ်း "/>
    <n v="4"/>
    <m/>
    <m/>
    <m/>
    <m/>
    <n v="3"/>
    <m/>
    <m/>
    <x v="1"/>
    <x v="1"/>
    <m/>
    <m/>
    <m/>
    <m/>
    <n v="1"/>
    <m/>
    <n v="2"/>
    <m/>
    <m/>
    <n v="2"/>
    <m/>
    <m/>
    <n v="1"/>
    <n v="19"/>
    <m/>
    <m/>
    <n v="1"/>
    <n v="0.7"/>
    <m/>
    <n v="0.9"/>
    <n v="0.9"/>
    <m/>
    <n v="0.9"/>
    <m/>
    <m/>
    <m/>
    <m/>
    <m/>
    <m/>
    <m/>
    <s v="no test"/>
    <s v="no test"/>
    <s v="No Test"/>
    <n v="1"/>
    <n v="0"/>
    <n v="0"/>
    <n v="0"/>
    <n v="0"/>
    <n v="0"/>
    <n v="0"/>
    <m/>
    <n v="1"/>
    <n v="1"/>
    <n v="1"/>
    <n v="86"/>
    <n v="0"/>
    <n v="0"/>
    <n v="1"/>
    <n v="86"/>
    <n v="0.17199999999999999"/>
    <n v="0"/>
    <n v="0"/>
    <n v="0.82800000000000007"/>
    <n v="1"/>
    <n v="4"/>
    <n v="0.94186046511627908"/>
    <n v="81"/>
    <n v="60"/>
    <n v="0"/>
    <n v="0"/>
    <n v="4"/>
    <n v="0"/>
    <n v="5.8139534883720922E-2"/>
    <n v="0"/>
    <n v="86"/>
    <n v="86"/>
    <n v="0"/>
    <n v="86"/>
    <n v="86"/>
    <n v="1"/>
    <n v="0"/>
    <n v="1"/>
    <n v="1"/>
    <n v="0"/>
    <n v="2"/>
    <n v="19"/>
    <n v="0"/>
    <n v="86"/>
    <s v="Yes"/>
    <s v=""/>
    <n v="77.400000000000006"/>
    <n v="77.400000000000006"/>
    <n v="77.400000000000006"/>
    <n v="77.400000000000006"/>
    <n v="0"/>
    <n v="0"/>
    <s v="Yes"/>
    <s v="Shalom"/>
    <x v="0"/>
    <x v="1"/>
    <x v="0"/>
    <n v="25.351965"/>
    <n v="97.345039"/>
    <s v="MMR001CMP033"/>
    <x v="0"/>
    <x v="0"/>
    <s v="yes"/>
    <n v="19"/>
    <n v="86"/>
  </r>
  <r>
    <x v="0"/>
    <x v="14"/>
    <x v="12"/>
    <s v="ANCHOR"/>
    <x v="1"/>
    <x v="14"/>
    <x v="0"/>
    <x v="196"/>
    <n v="71"/>
    <n v="298"/>
    <d v="2023-01-01T00:00:00"/>
    <d v="2023-12-31T00:00:00"/>
    <m/>
    <m/>
    <n v="1"/>
    <m/>
    <s v="Yes"/>
    <n v="2"/>
    <n v="5"/>
    <n v="1"/>
    <n v="1"/>
    <m/>
    <n v="1"/>
    <m/>
    <m/>
    <m/>
    <m/>
    <m/>
    <m/>
    <m/>
    <m/>
    <m/>
    <m/>
    <m/>
    <m/>
    <m/>
    <m/>
    <m/>
    <m/>
    <m/>
    <n v="3"/>
    <m/>
    <n v="16"/>
    <m/>
    <s v="shalom, ICRC"/>
    <m/>
    <m/>
    <m/>
    <m/>
    <m/>
    <x v="1"/>
    <x v="1"/>
    <n v="1"/>
    <m/>
    <m/>
    <m/>
    <m/>
    <s v="New Latrine လိုအပ်"/>
    <n v="7"/>
    <m/>
    <m/>
    <n v="5"/>
    <m/>
    <m/>
    <n v="1"/>
    <n v="71"/>
    <m/>
    <m/>
    <n v="1"/>
    <n v="0.9"/>
    <m/>
    <n v="0.99"/>
    <n v="0.9"/>
    <n v="100"/>
    <n v="0.8"/>
    <m/>
    <m/>
    <m/>
    <m/>
    <m/>
    <m/>
    <m/>
    <s v="no test"/>
    <s v="no test"/>
    <s v="No Test"/>
    <n v="0"/>
    <n v="1"/>
    <n v="0"/>
    <n v="0"/>
    <n v="0"/>
    <n v="0"/>
    <n v="298"/>
    <m/>
    <n v="1"/>
    <n v="0.83892617449664431"/>
    <n v="1"/>
    <n v="298"/>
    <n v="0"/>
    <n v="0"/>
    <n v="1"/>
    <n v="298"/>
    <n v="0.59599999999999997"/>
    <n v="0"/>
    <n v="0"/>
    <n v="0.40400000000000003"/>
    <n v="1"/>
    <n v="16"/>
    <n v="1"/>
    <n v="298"/>
    <n v="0"/>
    <n v="0"/>
    <n v="0"/>
    <n v="15"/>
    <n v="0"/>
    <n v="0"/>
    <n v="0"/>
    <n v="298"/>
    <n v="298"/>
    <n v="0"/>
    <n v="298"/>
    <n v="298"/>
    <n v="1"/>
    <n v="0"/>
    <n v="1"/>
    <n v="1"/>
    <n v="0"/>
    <n v="7"/>
    <n v="71"/>
    <n v="0"/>
    <n v="298"/>
    <s v="No"/>
    <n v="0.33557046979865773"/>
    <n v="295.02"/>
    <n v="268.2"/>
    <n v="238.4"/>
    <n v="295.02"/>
    <n v="0"/>
    <n v="298"/>
    <s v="Yes"/>
    <s v="Shalom"/>
    <x v="0"/>
    <x v="2"/>
    <x v="0"/>
    <n v="25.3540362037037"/>
    <n v="97.441166388888902"/>
    <s v="MMR001CMP032"/>
    <x v="0"/>
    <x v="0"/>
    <s v="yes"/>
    <n v="115"/>
    <n v="528"/>
  </r>
  <r>
    <x v="0"/>
    <x v="14"/>
    <x v="12"/>
    <s v="ANCHOR"/>
    <x v="1"/>
    <x v="14"/>
    <x v="0"/>
    <x v="197"/>
    <n v="43"/>
    <n v="186"/>
    <d v="2023-01-01T00:00:00"/>
    <d v="2023-12-31T00:00:00"/>
    <m/>
    <m/>
    <n v="1"/>
    <m/>
    <s v="Yes"/>
    <n v="2"/>
    <n v="3"/>
    <n v="1"/>
    <m/>
    <m/>
    <m/>
    <m/>
    <m/>
    <m/>
    <m/>
    <m/>
    <m/>
    <m/>
    <m/>
    <m/>
    <m/>
    <m/>
    <m/>
    <m/>
    <m/>
    <m/>
    <n v="4"/>
    <m/>
    <m/>
    <s v="နွေရာသီရေခမ်း "/>
    <n v="6"/>
    <m/>
    <m/>
    <m/>
    <m/>
    <m/>
    <m/>
    <m/>
    <x v="1"/>
    <x v="1"/>
    <m/>
    <m/>
    <m/>
    <m/>
    <m/>
    <m/>
    <n v="4"/>
    <m/>
    <m/>
    <n v="2"/>
    <m/>
    <m/>
    <n v="1"/>
    <m/>
    <m/>
    <m/>
    <n v="1"/>
    <n v="0.5"/>
    <m/>
    <n v="0.9"/>
    <n v="0.95"/>
    <m/>
    <n v="0.99"/>
    <m/>
    <m/>
    <m/>
    <m/>
    <m/>
    <m/>
    <m/>
    <s v="no test"/>
    <s v="no test"/>
    <s v="No Test"/>
    <n v="1"/>
    <n v="0"/>
    <n v="0"/>
    <n v="0"/>
    <n v="0"/>
    <n v="0"/>
    <n v="0"/>
    <m/>
    <n v="1"/>
    <n v="1"/>
    <n v="1"/>
    <n v="186"/>
    <n v="0"/>
    <n v="0"/>
    <n v="1"/>
    <n v="186"/>
    <n v="0.372"/>
    <n v="0"/>
    <n v="0"/>
    <n v="0.628"/>
    <n v="1"/>
    <n v="6"/>
    <n v="0.64516129032258063"/>
    <n v="120"/>
    <n v="0"/>
    <n v="0"/>
    <n v="0"/>
    <n v="9"/>
    <n v="3"/>
    <n v="0.35483870967741937"/>
    <n v="0"/>
    <n v="186"/>
    <n v="0"/>
    <n v="0"/>
    <n v="0"/>
    <n v="186"/>
    <n v="1"/>
    <n v="0"/>
    <n v="1"/>
    <n v="0"/>
    <n v="0"/>
    <n v="4"/>
    <n v="43"/>
    <n v="0"/>
    <n v="186"/>
    <s v="No"/>
    <s v=""/>
    <n v="167.4"/>
    <n v="176.7"/>
    <n v="184.14"/>
    <n v="184.14"/>
    <n v="0"/>
    <n v="0"/>
    <s v="Yes"/>
    <s v="Shalom"/>
    <x v="0"/>
    <x v="2"/>
    <x v="0"/>
    <n v="25.333683333333301"/>
    <n v="97.428251153846105"/>
    <s v="MMR001CMP037"/>
    <x v="0"/>
    <x v="0"/>
    <s v="yes"/>
    <n v="32"/>
    <n v="129"/>
  </r>
  <r>
    <x v="0"/>
    <x v="14"/>
    <x v="12"/>
    <s v="ANCHOR"/>
    <x v="1"/>
    <x v="14"/>
    <x v="0"/>
    <x v="198"/>
    <n v="76"/>
    <n v="319"/>
    <d v="2023-01-01T00:00:00"/>
    <d v="2023-12-31T00:00:00"/>
    <m/>
    <m/>
    <n v="1"/>
    <m/>
    <s v="Yes"/>
    <n v="1"/>
    <n v="4"/>
    <n v="2"/>
    <n v="1"/>
    <m/>
    <n v="1"/>
    <m/>
    <m/>
    <m/>
    <m/>
    <m/>
    <m/>
    <m/>
    <m/>
    <m/>
    <m/>
    <m/>
    <m/>
    <m/>
    <m/>
    <m/>
    <n v="1"/>
    <n v="1"/>
    <m/>
    <s v="နွေရာသီရေခမ်း "/>
    <n v="9"/>
    <m/>
    <s v="Shalom"/>
    <m/>
    <m/>
    <m/>
    <m/>
    <m/>
    <x v="1"/>
    <x v="1"/>
    <m/>
    <m/>
    <m/>
    <m/>
    <m/>
    <m/>
    <n v="5"/>
    <m/>
    <m/>
    <n v="3"/>
    <m/>
    <n v="1"/>
    <m/>
    <n v="68"/>
    <m/>
    <s v="Yes"/>
    <n v="1"/>
    <n v="0.5"/>
    <m/>
    <n v="0.96"/>
    <n v="0.9"/>
    <n v="100"/>
    <n v="0.99"/>
    <m/>
    <m/>
    <m/>
    <m/>
    <m/>
    <m/>
    <m/>
    <s v="no test"/>
    <s v="no test"/>
    <s v="No Test"/>
    <n v="1"/>
    <n v="1"/>
    <n v="0"/>
    <n v="0"/>
    <n v="0"/>
    <n v="319"/>
    <n v="0"/>
    <m/>
    <n v="1"/>
    <n v="1"/>
    <n v="1"/>
    <n v="319"/>
    <n v="0"/>
    <n v="0"/>
    <n v="1"/>
    <n v="319"/>
    <n v="0.63800000000000001"/>
    <n v="0"/>
    <n v="0"/>
    <n v="0.36199999999999999"/>
    <n v="1"/>
    <n v="9"/>
    <n v="0.56426332288401249"/>
    <n v="180"/>
    <n v="0"/>
    <n v="0"/>
    <n v="0"/>
    <n v="16"/>
    <n v="7"/>
    <n v="0.43573667711598751"/>
    <n v="0"/>
    <n v="319"/>
    <n v="319"/>
    <n v="0"/>
    <n v="319"/>
    <n v="319"/>
    <n v="1"/>
    <n v="0"/>
    <n v="1"/>
    <n v="1"/>
    <n v="0"/>
    <n v="5"/>
    <n v="76"/>
    <n v="1"/>
    <n v="319"/>
    <s v="No"/>
    <n v="0.31347962382445144"/>
    <n v="306.24"/>
    <n v="287.10000000000002"/>
    <n v="315.81"/>
    <n v="315.81"/>
    <n v="319"/>
    <n v="0"/>
    <s v="Yes"/>
    <s v="Shalom"/>
    <x v="0"/>
    <x v="2"/>
    <x v="0"/>
    <n v="25.351250396825399"/>
    <n v="97.444283730158702"/>
    <s v="MMR001CMP038"/>
    <x v="0"/>
    <x v="0"/>
    <s v="yes"/>
    <n v="76"/>
    <n v="321"/>
  </r>
  <r>
    <x v="0"/>
    <x v="15"/>
    <x v="13"/>
    <s v="ECHO 2739"/>
    <x v="1"/>
    <x v="15"/>
    <x v="0"/>
    <x v="199"/>
    <n v="145"/>
    <n v="715"/>
    <d v="2022-04-01T00:00:00"/>
    <d v="2023-03-31T00:00:00"/>
    <m/>
    <m/>
    <n v="3"/>
    <m/>
    <s v="Yes"/>
    <n v="5"/>
    <n v="6"/>
    <n v="2"/>
    <m/>
    <m/>
    <n v="8"/>
    <m/>
    <m/>
    <m/>
    <m/>
    <m/>
    <m/>
    <m/>
    <m/>
    <m/>
    <n v="3"/>
    <m/>
    <n v="5"/>
    <n v="5"/>
    <n v="21"/>
    <n v="21"/>
    <m/>
    <m/>
    <m/>
    <m/>
    <n v="52"/>
    <m/>
    <m/>
    <m/>
    <n v="5"/>
    <n v="129"/>
    <n v="144"/>
    <m/>
    <x v="1"/>
    <x v="1"/>
    <m/>
    <n v="2"/>
    <m/>
    <m/>
    <n v="9"/>
    <m/>
    <n v="12"/>
    <m/>
    <n v="1"/>
    <n v="5"/>
    <m/>
    <m/>
    <n v="3"/>
    <n v="108"/>
    <n v="100"/>
    <s v="No"/>
    <n v="1"/>
    <n v="0.8"/>
    <m/>
    <n v="1"/>
    <n v="1"/>
    <n v="1"/>
    <n v="1"/>
    <m/>
    <m/>
    <m/>
    <m/>
    <m/>
    <m/>
    <m/>
    <n v="1"/>
    <n v="1"/>
    <s v="Tested"/>
    <n v="2"/>
    <n v="8"/>
    <n v="0"/>
    <n v="0"/>
    <n v="0"/>
    <n v="0"/>
    <n v="0"/>
    <m/>
    <n v="1"/>
    <n v="1"/>
    <n v="1"/>
    <n v="715"/>
    <n v="0"/>
    <n v="0"/>
    <n v="1"/>
    <n v="715"/>
    <n v="1.43"/>
    <n v="0"/>
    <n v="0"/>
    <n v="0"/>
    <n v="1"/>
    <n v="52"/>
    <n v="1"/>
    <n v="715"/>
    <n v="715"/>
    <n v="0"/>
    <n v="0"/>
    <n v="36"/>
    <n v="0"/>
    <n v="0"/>
    <n v="0"/>
    <n v="715"/>
    <n v="540"/>
    <n v="100"/>
    <n v="540"/>
    <n v="715"/>
    <n v="1"/>
    <n v="0"/>
    <n v="1"/>
    <n v="1"/>
    <n v="0.68965517241379315"/>
    <n v="12"/>
    <n v="145"/>
    <n v="0"/>
    <n v="715"/>
    <s v="No"/>
    <n v="1.3986013986013986E-3"/>
    <n v="715"/>
    <n v="715"/>
    <n v="715"/>
    <n v="715"/>
    <n v="0"/>
    <n v="0"/>
    <s v="Yes"/>
    <s v="KMSS-BMO"/>
    <x v="0"/>
    <x v="2"/>
    <x v="0"/>
    <n v="24.260719999999999"/>
    <n v="97.238829999999993"/>
    <s v="MMR001CMP050"/>
    <x v="0"/>
    <x v="0"/>
    <s v="yes"/>
    <n v="145"/>
    <n v="671"/>
  </r>
  <r>
    <x v="0"/>
    <x v="15"/>
    <x v="13"/>
    <s v="ECHO 2739"/>
    <x v="1"/>
    <x v="15"/>
    <x v="0"/>
    <x v="200"/>
    <n v="32"/>
    <n v="160"/>
    <d v="2022-04-01T00:00:00"/>
    <d v="2023-03-31T00:00:00"/>
    <m/>
    <m/>
    <m/>
    <m/>
    <s v="Yes"/>
    <n v="3"/>
    <n v="3"/>
    <n v="1"/>
    <m/>
    <m/>
    <n v="1"/>
    <m/>
    <m/>
    <m/>
    <m/>
    <m/>
    <m/>
    <m/>
    <m/>
    <m/>
    <n v="1"/>
    <m/>
    <n v="2"/>
    <n v="2"/>
    <n v="9"/>
    <n v="9"/>
    <m/>
    <m/>
    <m/>
    <m/>
    <n v="9"/>
    <m/>
    <m/>
    <m/>
    <m/>
    <m/>
    <m/>
    <m/>
    <x v="1"/>
    <x v="1"/>
    <m/>
    <n v="2"/>
    <m/>
    <m/>
    <n v="7"/>
    <m/>
    <n v="9"/>
    <m/>
    <m/>
    <n v="2"/>
    <m/>
    <m/>
    <m/>
    <n v="37"/>
    <m/>
    <s v="No"/>
    <n v="0"/>
    <n v="0.8"/>
    <m/>
    <n v="1"/>
    <n v="1"/>
    <n v="2"/>
    <n v="1"/>
    <m/>
    <m/>
    <m/>
    <m/>
    <m/>
    <m/>
    <m/>
    <n v="1"/>
    <n v="1"/>
    <s v="Tested"/>
    <n v="1"/>
    <n v="1"/>
    <n v="0"/>
    <n v="0"/>
    <n v="0"/>
    <n v="0"/>
    <n v="0"/>
    <m/>
    <n v="1"/>
    <n v="1"/>
    <n v="1"/>
    <n v="160"/>
    <n v="0"/>
    <n v="0"/>
    <n v="1"/>
    <n v="160"/>
    <n v="0.32"/>
    <n v="0"/>
    <n v="0"/>
    <n v="0.67999999999999994"/>
    <n v="1"/>
    <n v="9"/>
    <n v="1"/>
    <n v="160"/>
    <n v="0"/>
    <n v="0"/>
    <n v="0"/>
    <n v="8"/>
    <n v="0"/>
    <n v="0"/>
    <n v="0"/>
    <n v="0"/>
    <n v="160"/>
    <n v="0"/>
    <n v="160"/>
    <n v="160"/>
    <n v="1"/>
    <n v="0"/>
    <n v="0"/>
    <n v="1"/>
    <n v="0"/>
    <n v="9"/>
    <n v="32"/>
    <n v="0"/>
    <n v="160"/>
    <s v="No"/>
    <n v="1.2500000000000001E-2"/>
    <n v="160"/>
    <n v="160"/>
    <n v="160"/>
    <n v="160"/>
    <n v="0"/>
    <n v="0"/>
    <n v="0"/>
    <n v="0"/>
    <x v="0"/>
    <x v="2"/>
    <x v="0"/>
    <n v="24.314934000000001"/>
    <n v="97.305190999999994"/>
    <s v="MMR001CMP285"/>
    <x v="0"/>
    <x v="0"/>
    <s v="yes"/>
    <n v="50"/>
    <n v="224"/>
  </r>
  <r>
    <x v="0"/>
    <x v="15"/>
    <x v="13"/>
    <s v="ECHO 2739"/>
    <x v="1"/>
    <x v="15"/>
    <x v="0"/>
    <x v="201"/>
    <n v="565"/>
    <n v="3451"/>
    <d v="2022-04-01T00:00:00"/>
    <d v="2023-03-31T00:00:00"/>
    <m/>
    <m/>
    <n v="6"/>
    <m/>
    <s v="Yes"/>
    <n v="16"/>
    <n v="13"/>
    <n v="1"/>
    <n v="1"/>
    <m/>
    <n v="24"/>
    <m/>
    <m/>
    <m/>
    <m/>
    <m/>
    <m/>
    <m/>
    <m/>
    <m/>
    <n v="6"/>
    <m/>
    <n v="15"/>
    <n v="15"/>
    <n v="27"/>
    <n v="27"/>
    <m/>
    <m/>
    <m/>
    <m/>
    <n v="148"/>
    <m/>
    <m/>
    <m/>
    <n v="11"/>
    <n v="129"/>
    <n v="144"/>
    <m/>
    <x v="1"/>
    <x v="1"/>
    <m/>
    <n v="10"/>
    <m/>
    <m/>
    <n v="23"/>
    <m/>
    <n v="32"/>
    <m/>
    <n v="1"/>
    <n v="16"/>
    <m/>
    <m/>
    <n v="6"/>
    <n v="435"/>
    <n v="210"/>
    <s v="No"/>
    <n v="1"/>
    <n v="0.8"/>
    <m/>
    <n v="0.98"/>
    <n v="1"/>
    <n v="23"/>
    <n v="1"/>
    <m/>
    <m/>
    <m/>
    <m/>
    <m/>
    <m/>
    <m/>
    <n v="1"/>
    <n v="1"/>
    <s v="Tested"/>
    <n v="0"/>
    <n v="24"/>
    <n v="0"/>
    <n v="0"/>
    <n v="0"/>
    <n v="0"/>
    <n v="0"/>
    <m/>
    <n v="1"/>
    <n v="1"/>
    <n v="1"/>
    <n v="3451"/>
    <n v="0"/>
    <n v="0"/>
    <n v="1"/>
    <n v="3451"/>
    <n v="6.9020000000000001"/>
    <n v="0"/>
    <n v="0"/>
    <n v="9.7999999999999865E-2"/>
    <n v="7"/>
    <n v="148"/>
    <n v="0.86438713416401047"/>
    <n v="2983"/>
    <n v="2580"/>
    <n v="0"/>
    <n v="0"/>
    <n v="173"/>
    <n v="25"/>
    <n v="0.13561286583598953"/>
    <n v="0"/>
    <n v="3000"/>
    <n v="2175"/>
    <n v="210"/>
    <n v="2175"/>
    <n v="3000"/>
    <n v="0.8693132425383947"/>
    <n v="0.1306867574616053"/>
    <n v="0.8693132425383947"/>
    <n v="1"/>
    <n v="0.37168141592920356"/>
    <n v="32"/>
    <n v="565"/>
    <n v="0"/>
    <n v="3200"/>
    <s v="No"/>
    <n v="6.6647348594610261E-3"/>
    <n v="3381.98"/>
    <n v="3451"/>
    <n v="3451"/>
    <n v="3451"/>
    <n v="0"/>
    <n v="0"/>
    <s v="Yes"/>
    <s v="KBC-BMO"/>
    <x v="0"/>
    <x v="2"/>
    <x v="0"/>
    <n v="24.268292826086999"/>
    <n v="97.229116811594196"/>
    <s v="MMR001CMP047"/>
    <x v="0"/>
    <x v="0"/>
    <s v="yes"/>
    <n v="565"/>
    <n v="3369"/>
  </r>
  <r>
    <x v="0"/>
    <x v="15"/>
    <x v="13"/>
    <s v="ECHO 2739"/>
    <x v="1"/>
    <x v="4"/>
    <x v="0"/>
    <x v="202"/>
    <n v="85"/>
    <n v="255"/>
    <d v="2022-04-01T00:00:00"/>
    <d v="2023-03-31T00:00:00"/>
    <m/>
    <m/>
    <n v="1"/>
    <m/>
    <s v="Yes"/>
    <n v="3"/>
    <n v="3"/>
    <n v="1"/>
    <m/>
    <m/>
    <m/>
    <m/>
    <m/>
    <m/>
    <n v="1"/>
    <m/>
    <m/>
    <m/>
    <m/>
    <m/>
    <n v="2"/>
    <m/>
    <n v="1"/>
    <n v="1"/>
    <n v="6"/>
    <n v="5"/>
    <m/>
    <m/>
    <m/>
    <m/>
    <n v="9"/>
    <m/>
    <m/>
    <m/>
    <n v="2"/>
    <n v="12"/>
    <n v="16"/>
    <m/>
    <x v="1"/>
    <x v="1"/>
    <m/>
    <m/>
    <m/>
    <m/>
    <n v="2"/>
    <m/>
    <n v="7"/>
    <m/>
    <m/>
    <n v="1"/>
    <m/>
    <n v="1"/>
    <n v="1"/>
    <m/>
    <m/>
    <s v="No"/>
    <n v="2"/>
    <n v="0.8"/>
    <m/>
    <n v="0.66"/>
    <n v="1"/>
    <n v="8"/>
    <n v="1"/>
    <m/>
    <m/>
    <m/>
    <m/>
    <m/>
    <m/>
    <m/>
    <n v="1"/>
    <n v="0.83333333333333337"/>
    <s v="Tested"/>
    <n v="1"/>
    <n v="0"/>
    <n v="1"/>
    <n v="0"/>
    <n v="0"/>
    <n v="0"/>
    <n v="0"/>
    <m/>
    <n v="1"/>
    <n v="1"/>
    <n v="1"/>
    <n v="255"/>
    <n v="0"/>
    <n v="0"/>
    <n v="1"/>
    <n v="255"/>
    <n v="0.51"/>
    <n v="0"/>
    <n v="0"/>
    <n v="0.49"/>
    <n v="1"/>
    <n v="9"/>
    <n v="0.71372549019607845"/>
    <n v="182"/>
    <n v="240"/>
    <n v="0"/>
    <n v="0"/>
    <n v="13"/>
    <n v="4"/>
    <n v="0.28627450980392155"/>
    <n v="0"/>
    <n v="255"/>
    <n v="0"/>
    <n v="0"/>
    <n v="0"/>
    <n v="255"/>
    <n v="1"/>
    <n v="0"/>
    <n v="1"/>
    <n v="0"/>
    <n v="0"/>
    <n v="7"/>
    <n v="85"/>
    <n v="0"/>
    <n v="255"/>
    <s v="No"/>
    <n v="3.1372549019607843E-2"/>
    <n v="168.3"/>
    <n v="255"/>
    <n v="255"/>
    <n v="255"/>
    <n v="0"/>
    <n v="0"/>
    <s v="Yes"/>
    <s v="KBC-BMO"/>
    <x v="0"/>
    <x v="2"/>
    <x v="0"/>
    <n v="24.200972"/>
    <n v="97.718582999999995"/>
    <s v="MMR001CMP071"/>
    <x v="0"/>
    <x v="0"/>
    <s v="yes"/>
    <n v="43"/>
    <n v="255"/>
  </r>
  <r>
    <x v="0"/>
    <x v="15"/>
    <x v="13"/>
    <s v="ECHO 2739"/>
    <x v="1"/>
    <x v="4"/>
    <x v="0"/>
    <x v="203"/>
    <n v="240"/>
    <n v="1422"/>
    <d v="2022-04-01T00:00:00"/>
    <d v="2023-03-31T00:00:00"/>
    <m/>
    <m/>
    <n v="4"/>
    <m/>
    <s v="Yes"/>
    <n v="12"/>
    <n v="10"/>
    <n v="5"/>
    <m/>
    <m/>
    <n v="3"/>
    <m/>
    <m/>
    <m/>
    <n v="4"/>
    <m/>
    <m/>
    <m/>
    <m/>
    <m/>
    <n v="4"/>
    <m/>
    <n v="7"/>
    <n v="7"/>
    <n v="36"/>
    <n v="36"/>
    <m/>
    <m/>
    <m/>
    <m/>
    <n v="40"/>
    <m/>
    <m/>
    <m/>
    <n v="7"/>
    <n v="43"/>
    <n v="82"/>
    <m/>
    <x v="1"/>
    <x v="1"/>
    <m/>
    <m/>
    <m/>
    <m/>
    <n v="3"/>
    <m/>
    <n v="3"/>
    <m/>
    <m/>
    <n v="6"/>
    <m/>
    <m/>
    <n v="4"/>
    <m/>
    <m/>
    <s v="No"/>
    <n v="2"/>
    <n v="0.8"/>
    <m/>
    <n v="1"/>
    <n v="1"/>
    <n v="51"/>
    <n v="0.8"/>
    <m/>
    <m/>
    <m/>
    <m/>
    <m/>
    <m/>
    <m/>
    <n v="1"/>
    <n v="1"/>
    <s v="Tested"/>
    <n v="5"/>
    <n v="3"/>
    <n v="4"/>
    <n v="0"/>
    <n v="0"/>
    <n v="0"/>
    <n v="0"/>
    <m/>
    <n v="1"/>
    <n v="1"/>
    <n v="1"/>
    <n v="1422"/>
    <n v="0"/>
    <n v="0"/>
    <n v="1"/>
    <n v="1422"/>
    <n v="2.8439999999999999"/>
    <n v="0"/>
    <n v="0"/>
    <n v="0.15600000000000014"/>
    <n v="3"/>
    <n v="40"/>
    <n v="0.56469760900140642"/>
    <n v="803"/>
    <n v="860"/>
    <n v="0"/>
    <n v="0"/>
    <n v="71"/>
    <n v="31"/>
    <n v="0.43530239099859358"/>
    <n v="0"/>
    <n v="1422"/>
    <n v="0"/>
    <n v="0"/>
    <n v="0"/>
    <n v="1422"/>
    <n v="1"/>
    <n v="0"/>
    <n v="1"/>
    <n v="0"/>
    <n v="0"/>
    <n v="3"/>
    <n v="60"/>
    <n v="0"/>
    <n v="300"/>
    <s v="No"/>
    <n v="3.5864978902953586E-2"/>
    <n v="1422"/>
    <n v="1422"/>
    <n v="1137.6000000000001"/>
    <n v="1422"/>
    <n v="0"/>
    <n v="0"/>
    <s v="Yes"/>
    <s v="KBC-BMO"/>
    <x v="0"/>
    <x v="2"/>
    <x v="0"/>
    <n v="24.200433"/>
    <n v="97.717133000000004"/>
    <s v="MMR001CMP070"/>
    <x v="0"/>
    <x v="0"/>
    <s v="yes"/>
    <n v="243"/>
    <n v="1420"/>
  </r>
  <r>
    <x v="0"/>
    <x v="15"/>
    <x v="13"/>
    <s v="ECHO 2739"/>
    <x v="1"/>
    <x v="4"/>
    <x v="1"/>
    <x v="204"/>
    <n v="96"/>
    <n v="512"/>
    <d v="2022-04-01T00:00:00"/>
    <d v="2023-03-31T00:00:00"/>
    <m/>
    <m/>
    <n v="2"/>
    <m/>
    <s v="Yes"/>
    <n v="5"/>
    <n v="4"/>
    <n v="1"/>
    <m/>
    <m/>
    <n v="1"/>
    <m/>
    <m/>
    <m/>
    <m/>
    <m/>
    <m/>
    <m/>
    <m/>
    <m/>
    <n v="2"/>
    <m/>
    <n v="2"/>
    <n v="2"/>
    <n v="15"/>
    <n v="15"/>
    <m/>
    <m/>
    <m/>
    <m/>
    <n v="28"/>
    <m/>
    <m/>
    <m/>
    <n v="4"/>
    <n v="42"/>
    <n v="43"/>
    <m/>
    <x v="1"/>
    <x v="1"/>
    <m/>
    <n v="1"/>
    <m/>
    <m/>
    <n v="3"/>
    <m/>
    <n v="8"/>
    <m/>
    <m/>
    <n v="4"/>
    <m/>
    <n v="1"/>
    <n v="1"/>
    <n v="96"/>
    <n v="100"/>
    <s v="No"/>
    <n v="3"/>
    <n v="0.8"/>
    <m/>
    <n v="1"/>
    <n v="1"/>
    <m/>
    <m/>
    <m/>
    <m/>
    <m/>
    <m/>
    <m/>
    <m/>
    <m/>
    <n v="1"/>
    <n v="1"/>
    <s v="Tested"/>
    <n v="1"/>
    <n v="1"/>
    <n v="0"/>
    <n v="0"/>
    <n v="0"/>
    <n v="0"/>
    <n v="0"/>
    <m/>
    <n v="1"/>
    <n v="0.9765625"/>
    <n v="1"/>
    <n v="512"/>
    <n v="0"/>
    <n v="0"/>
    <n v="1"/>
    <n v="512"/>
    <n v="1.024"/>
    <n v="0"/>
    <n v="0"/>
    <n v="0"/>
    <n v="1"/>
    <n v="28"/>
    <n v="1"/>
    <n v="512"/>
    <n v="512"/>
    <n v="0"/>
    <n v="0"/>
    <n v="26"/>
    <n v="0"/>
    <n v="0"/>
    <n v="0"/>
    <n v="512"/>
    <n v="512"/>
    <n v="100"/>
    <n v="512"/>
    <n v="512"/>
    <n v="1"/>
    <n v="0"/>
    <n v="1"/>
    <n v="1"/>
    <n v="1"/>
    <n v="8"/>
    <n v="96"/>
    <n v="0"/>
    <n v="512"/>
    <s v="No"/>
    <s v=""/>
    <n v="512"/>
    <n v="512"/>
    <n v="0"/>
    <n v="512"/>
    <n v="0"/>
    <n v="0"/>
    <n v="0"/>
    <n v="0"/>
    <x v="0"/>
    <x v="2"/>
    <x v="0"/>
    <n v="0"/>
    <n v="0"/>
    <n v="0"/>
    <x v="0"/>
    <x v="0"/>
    <s v="yes"/>
    <n v="0"/>
    <n v="0"/>
  </r>
  <r>
    <x v="0"/>
    <x v="15"/>
    <x v="13"/>
    <s v="ECHO 2739"/>
    <x v="1"/>
    <x v="4"/>
    <x v="0"/>
    <x v="205"/>
    <n v="44"/>
    <n v="297"/>
    <d v="2022-04-01T00:00:00"/>
    <d v="2023-03-31T00:00:00"/>
    <m/>
    <m/>
    <n v="1"/>
    <m/>
    <s v="Yes"/>
    <n v="3"/>
    <n v="4"/>
    <n v="3"/>
    <m/>
    <m/>
    <n v="1"/>
    <m/>
    <m/>
    <m/>
    <m/>
    <m/>
    <m/>
    <m/>
    <m/>
    <m/>
    <n v="1"/>
    <m/>
    <n v="1"/>
    <n v="1"/>
    <n v="9"/>
    <n v="9"/>
    <m/>
    <m/>
    <m/>
    <m/>
    <n v="13"/>
    <m/>
    <m/>
    <m/>
    <n v="3"/>
    <n v="12"/>
    <n v="16"/>
    <m/>
    <x v="1"/>
    <x v="1"/>
    <m/>
    <m/>
    <m/>
    <m/>
    <n v="3"/>
    <m/>
    <n v="8"/>
    <m/>
    <m/>
    <n v="3"/>
    <m/>
    <m/>
    <n v="1"/>
    <m/>
    <m/>
    <s v="No"/>
    <n v="2"/>
    <n v="0.8"/>
    <m/>
    <n v="1"/>
    <n v="1"/>
    <n v="9"/>
    <n v="0.9"/>
    <m/>
    <m/>
    <m/>
    <m/>
    <m/>
    <m/>
    <m/>
    <n v="1"/>
    <n v="1"/>
    <s v="Tested"/>
    <n v="3"/>
    <n v="1"/>
    <n v="0"/>
    <n v="0"/>
    <n v="0"/>
    <n v="0"/>
    <n v="0"/>
    <m/>
    <n v="1"/>
    <n v="1"/>
    <n v="1"/>
    <n v="297"/>
    <n v="0"/>
    <n v="0"/>
    <n v="1"/>
    <n v="297"/>
    <n v="0.59399999999999997"/>
    <n v="0"/>
    <n v="0"/>
    <n v="0.40600000000000003"/>
    <n v="1"/>
    <n v="13"/>
    <n v="0.88552188552188549"/>
    <n v="263"/>
    <n v="240"/>
    <n v="0"/>
    <n v="0"/>
    <n v="15"/>
    <n v="2"/>
    <n v="0.11447811447811451"/>
    <n v="0"/>
    <n v="297"/>
    <n v="0"/>
    <n v="0"/>
    <n v="0"/>
    <n v="297"/>
    <n v="1"/>
    <n v="0"/>
    <n v="1"/>
    <n v="0"/>
    <n v="0"/>
    <n v="8"/>
    <n v="44"/>
    <n v="0"/>
    <n v="297"/>
    <s v="No"/>
    <n v="3.0303030303030304E-2"/>
    <n v="297"/>
    <n v="297"/>
    <n v="267.3"/>
    <n v="297"/>
    <n v="0"/>
    <n v="0"/>
    <s v="Yes"/>
    <s v="KBC-BMO"/>
    <x v="0"/>
    <x v="2"/>
    <x v="0"/>
    <n v="24.205417000000001"/>
    <n v="97.724483000000006"/>
    <s v="MMR001CMP072"/>
    <x v="0"/>
    <x v="0"/>
    <s v="yes"/>
    <n v="48"/>
    <n v="293"/>
  </r>
  <r>
    <x v="0"/>
    <x v="15"/>
    <x v="13"/>
    <s v="ECHO 2739"/>
    <x v="1"/>
    <x v="4"/>
    <x v="0"/>
    <x v="206"/>
    <n v="44"/>
    <n v="266"/>
    <d v="2022-04-01T00:00:00"/>
    <d v="2023-03-31T00:00:00"/>
    <m/>
    <m/>
    <n v="2"/>
    <m/>
    <s v="Yes"/>
    <n v="4"/>
    <n v="6"/>
    <n v="2"/>
    <m/>
    <m/>
    <n v="1"/>
    <m/>
    <m/>
    <m/>
    <n v="1"/>
    <m/>
    <m/>
    <m/>
    <m/>
    <m/>
    <n v="1"/>
    <m/>
    <n v="1"/>
    <n v="1"/>
    <n v="6"/>
    <n v="6"/>
    <m/>
    <m/>
    <m/>
    <m/>
    <n v="16"/>
    <m/>
    <m/>
    <m/>
    <n v="1"/>
    <n v="14"/>
    <n v="16"/>
    <m/>
    <x v="1"/>
    <x v="1"/>
    <m/>
    <m/>
    <m/>
    <m/>
    <m/>
    <m/>
    <n v="3"/>
    <m/>
    <m/>
    <n v="1"/>
    <m/>
    <m/>
    <n v="1"/>
    <m/>
    <m/>
    <s v="No"/>
    <n v="2"/>
    <n v="0.8"/>
    <m/>
    <n v="1"/>
    <n v="1"/>
    <n v="8"/>
    <n v="1"/>
    <m/>
    <m/>
    <m/>
    <m/>
    <m/>
    <m/>
    <m/>
    <n v="1"/>
    <n v="1"/>
    <s v="Tested"/>
    <n v="2"/>
    <n v="1"/>
    <n v="1"/>
    <n v="0"/>
    <n v="0"/>
    <n v="0"/>
    <n v="0"/>
    <m/>
    <n v="1"/>
    <n v="1"/>
    <n v="1"/>
    <n v="266"/>
    <n v="0"/>
    <n v="0"/>
    <n v="1"/>
    <n v="266"/>
    <n v="0.53200000000000003"/>
    <n v="0"/>
    <n v="0"/>
    <n v="0.46799999999999997"/>
    <n v="1"/>
    <n v="16"/>
    <n v="1"/>
    <n v="266"/>
    <n v="266"/>
    <n v="0"/>
    <n v="0"/>
    <n v="13"/>
    <n v="0"/>
    <n v="0"/>
    <n v="0"/>
    <n v="266"/>
    <n v="0"/>
    <n v="0"/>
    <n v="0"/>
    <n v="266"/>
    <n v="1"/>
    <n v="0"/>
    <n v="1"/>
    <n v="0"/>
    <n v="0"/>
    <n v="3"/>
    <n v="44"/>
    <n v="0"/>
    <n v="266"/>
    <s v="No"/>
    <n v="3.007518796992481E-2"/>
    <n v="266"/>
    <n v="266"/>
    <n v="266"/>
    <n v="266"/>
    <n v="0"/>
    <n v="0"/>
    <s v="Yes"/>
    <s v="KBC-BMO"/>
    <x v="0"/>
    <x v="2"/>
    <x v="0"/>
    <n v="24.207332999999998"/>
    <n v="97.710864000000001"/>
    <s v="MMR001CMP073"/>
    <x v="0"/>
    <x v="0"/>
    <s v="yes"/>
    <n v="52"/>
    <n v="299"/>
  </r>
  <r>
    <x v="0"/>
    <x v="16"/>
    <x v="14"/>
    <s v="Trocaire/Irish"/>
    <x v="1"/>
    <x v="22"/>
    <x v="0"/>
    <x v="207"/>
    <n v="126"/>
    <n v="591"/>
    <d v="2022-01-01T00:00:00"/>
    <d v="2022-12-31T00:00:00"/>
    <m/>
    <m/>
    <m/>
    <m/>
    <s v="Yes"/>
    <n v="4"/>
    <n v="3"/>
    <n v="1"/>
    <m/>
    <m/>
    <n v="2"/>
    <m/>
    <m/>
    <m/>
    <n v="1"/>
    <m/>
    <m/>
    <m/>
    <m/>
    <m/>
    <n v="1"/>
    <m/>
    <m/>
    <m/>
    <m/>
    <m/>
    <m/>
    <m/>
    <m/>
    <m/>
    <n v="48"/>
    <n v="12"/>
    <m/>
    <m/>
    <m/>
    <m/>
    <m/>
    <m/>
    <x v="1"/>
    <x v="1"/>
    <m/>
    <m/>
    <m/>
    <m/>
    <n v="19"/>
    <m/>
    <n v="108"/>
    <m/>
    <m/>
    <n v="108"/>
    <m/>
    <n v="1"/>
    <n v="1"/>
    <m/>
    <m/>
    <s v="No"/>
    <m/>
    <m/>
    <m/>
    <m/>
    <m/>
    <m/>
    <m/>
    <m/>
    <m/>
    <m/>
    <m/>
    <m/>
    <m/>
    <m/>
    <s v="no test"/>
    <s v="no test"/>
    <s v="No Test"/>
    <n v="1"/>
    <n v="2"/>
    <n v="1"/>
    <n v="0"/>
    <n v="0"/>
    <n v="0"/>
    <n v="0"/>
    <m/>
    <n v="1"/>
    <n v="1"/>
    <n v="1"/>
    <n v="591"/>
    <n v="0"/>
    <n v="0"/>
    <n v="1"/>
    <n v="591"/>
    <n v="1.1819999999999999"/>
    <n v="0"/>
    <n v="0"/>
    <n v="0"/>
    <n v="1"/>
    <n v="60"/>
    <n v="1"/>
    <n v="591"/>
    <n v="0"/>
    <n v="0"/>
    <n v="0"/>
    <n v="30"/>
    <n v="0"/>
    <n v="0"/>
    <n v="0"/>
    <n v="591"/>
    <n v="0"/>
    <n v="0"/>
    <n v="0"/>
    <n v="591"/>
    <n v="1"/>
    <n v="0"/>
    <n v="1"/>
    <n v="0"/>
    <n v="0"/>
    <n v="108"/>
    <n v="126"/>
    <n v="0"/>
    <n v="591"/>
    <s v="No"/>
    <s v=""/>
    <n v="0"/>
    <n v="0"/>
    <n v="0"/>
    <n v="0"/>
    <n v="0"/>
    <n v="0"/>
    <s v="Yes"/>
    <s v="STW/KMSS-MYT"/>
    <x v="0"/>
    <x v="2"/>
    <x v="1"/>
    <n v="26.007408000000002"/>
    <n v="97.823777000000007"/>
    <s v="MMR001CMP280"/>
    <x v="0"/>
    <x v="2"/>
    <s v="No"/>
    <n v="120"/>
    <n v="558"/>
  </r>
  <r>
    <x v="0"/>
    <x v="16"/>
    <x v="14"/>
    <s v="Trocaire/MHF"/>
    <x v="1"/>
    <x v="14"/>
    <x v="0"/>
    <x v="208"/>
    <n v="64"/>
    <n v="381"/>
    <d v="2022-01-01T00:00:00"/>
    <d v="2022-12-31T00:00:00"/>
    <m/>
    <m/>
    <m/>
    <m/>
    <s v="Yes"/>
    <n v="3"/>
    <n v="8"/>
    <n v="1"/>
    <m/>
    <m/>
    <n v="2"/>
    <m/>
    <m/>
    <m/>
    <n v="1"/>
    <m/>
    <m/>
    <m/>
    <m/>
    <m/>
    <n v="1"/>
    <n v="10"/>
    <m/>
    <m/>
    <m/>
    <m/>
    <m/>
    <m/>
    <m/>
    <m/>
    <n v="8"/>
    <m/>
    <m/>
    <m/>
    <m/>
    <m/>
    <m/>
    <m/>
    <x v="1"/>
    <x v="1"/>
    <m/>
    <n v="2"/>
    <m/>
    <m/>
    <n v="4"/>
    <m/>
    <n v="3"/>
    <m/>
    <n v="2"/>
    <n v="2"/>
    <m/>
    <m/>
    <n v="1"/>
    <m/>
    <m/>
    <s v="No"/>
    <m/>
    <m/>
    <m/>
    <m/>
    <m/>
    <m/>
    <m/>
    <m/>
    <m/>
    <m/>
    <m/>
    <m/>
    <m/>
    <m/>
    <s v="no test"/>
    <s v="no test"/>
    <s v="No Test"/>
    <n v="1"/>
    <n v="2"/>
    <n v="1"/>
    <n v="0"/>
    <n v="0"/>
    <n v="0"/>
    <n v="0"/>
    <m/>
    <n v="1"/>
    <n v="1"/>
    <n v="1"/>
    <n v="381"/>
    <n v="0"/>
    <n v="0"/>
    <n v="1"/>
    <n v="381"/>
    <n v="0.76200000000000001"/>
    <n v="0"/>
    <n v="0"/>
    <n v="0.23799999999999999"/>
    <n v="1"/>
    <n v="8"/>
    <n v="0.43044619422572178"/>
    <n v="164"/>
    <n v="0"/>
    <n v="0"/>
    <n v="0"/>
    <n v="19"/>
    <n v="11"/>
    <n v="0.56955380577427817"/>
    <n v="0"/>
    <n v="381"/>
    <n v="0"/>
    <n v="0"/>
    <n v="0"/>
    <n v="381"/>
    <n v="1"/>
    <n v="0"/>
    <n v="1"/>
    <n v="0"/>
    <n v="0"/>
    <n v="3"/>
    <n v="60"/>
    <n v="0"/>
    <n v="300"/>
    <s v="No"/>
    <s v=""/>
    <n v="0"/>
    <n v="0"/>
    <n v="0"/>
    <n v="0"/>
    <n v="0"/>
    <n v="0"/>
    <n v="0"/>
    <s v="uncovered"/>
    <x v="0"/>
    <x v="0"/>
    <x v="0"/>
    <n v="25.305008999999998"/>
    <n v="97.430321000000006"/>
    <s v="MMR001CMP248"/>
    <x v="0"/>
    <x v="2"/>
    <s v="No"/>
    <n v="65"/>
    <n v="382"/>
  </r>
  <r>
    <x v="0"/>
    <x v="17"/>
    <x v="15"/>
    <s v="SI (ECHO)"/>
    <x v="1"/>
    <x v="7"/>
    <x v="0"/>
    <x v="209"/>
    <n v="388"/>
    <n v="1900"/>
    <d v="2022-04-01T00:00:00"/>
    <d v="2022-12-31T00:00:00"/>
    <m/>
    <m/>
    <m/>
    <m/>
    <s v="Yes"/>
    <n v="5"/>
    <n v="6"/>
    <n v="4"/>
    <m/>
    <m/>
    <n v="1"/>
    <m/>
    <m/>
    <m/>
    <n v="1"/>
    <m/>
    <m/>
    <m/>
    <n v="5"/>
    <m/>
    <m/>
    <n v="5"/>
    <m/>
    <m/>
    <m/>
    <m/>
    <m/>
    <n v="5"/>
    <m/>
    <m/>
    <n v="185"/>
    <m/>
    <m/>
    <m/>
    <m/>
    <m/>
    <m/>
    <n v="73"/>
    <x v="0"/>
    <x v="1"/>
    <n v="4"/>
    <n v="60"/>
    <n v="15"/>
    <n v="2"/>
    <n v="6"/>
    <m/>
    <n v="3"/>
    <m/>
    <n v="60"/>
    <n v="2"/>
    <m/>
    <m/>
    <n v="6"/>
    <m/>
    <m/>
    <m/>
    <m/>
    <m/>
    <m/>
    <m/>
    <m/>
    <m/>
    <m/>
    <m/>
    <m/>
    <m/>
    <m/>
    <m/>
    <m/>
    <m/>
    <s v="no test"/>
    <s v="no test"/>
    <s v="No Test"/>
    <n v="4"/>
    <n v="1"/>
    <n v="1"/>
    <n v="0"/>
    <n v="0"/>
    <n v="1900"/>
    <n v="0"/>
    <m/>
    <n v="1"/>
    <n v="0.69298245614035092"/>
    <n v="1"/>
    <n v="1900"/>
    <n v="0.65789473684210531"/>
    <n v="1250"/>
    <n v="1"/>
    <n v="1900"/>
    <n v="3.8"/>
    <n v="0"/>
    <n v="0"/>
    <n v="0.20000000000000018"/>
    <n v="4"/>
    <n v="185"/>
    <n v="1"/>
    <n v="1900"/>
    <n v="0"/>
    <n v="0"/>
    <n v="100"/>
    <n v="95"/>
    <n v="0"/>
    <n v="0"/>
    <n v="0"/>
    <n v="1900"/>
    <n v="0"/>
    <n v="0"/>
    <n v="0"/>
    <n v="1900"/>
    <n v="1"/>
    <n v="0"/>
    <n v="1"/>
    <n v="0"/>
    <n v="0"/>
    <n v="3"/>
    <n v="60"/>
    <n v="0"/>
    <n v="300"/>
    <s v="No"/>
    <s v=""/>
    <n v="0"/>
    <n v="0"/>
    <n v="0"/>
    <n v="0"/>
    <n v="1900"/>
    <n v="100"/>
    <s v="Yes"/>
    <s v="KMSS-BMO"/>
    <x v="0"/>
    <x v="2"/>
    <x v="1"/>
    <n v="24.002433"/>
    <n v="97.609832999999995"/>
    <s v="MMR001CMP129"/>
    <x v="0"/>
    <x v="2"/>
    <s v="No"/>
    <n v="393"/>
    <n v="1919"/>
  </r>
  <r>
    <x v="0"/>
    <x v="17"/>
    <x v="15"/>
    <s v="SI (ECHO)"/>
    <x v="1"/>
    <x v="7"/>
    <x v="0"/>
    <x v="210"/>
    <n v="542"/>
    <n v="2503"/>
    <d v="2022-04-01T00:00:00"/>
    <d v="2022-12-31T00:00:00"/>
    <m/>
    <m/>
    <m/>
    <m/>
    <s v="Yes"/>
    <m/>
    <m/>
    <n v="4"/>
    <m/>
    <m/>
    <m/>
    <m/>
    <m/>
    <m/>
    <m/>
    <m/>
    <m/>
    <m/>
    <n v="1"/>
    <m/>
    <m/>
    <n v="1"/>
    <m/>
    <m/>
    <m/>
    <m/>
    <n v="5"/>
    <n v="2"/>
    <m/>
    <m/>
    <n v="438"/>
    <m/>
    <m/>
    <m/>
    <m/>
    <m/>
    <m/>
    <n v="266"/>
    <x v="0"/>
    <x v="1"/>
    <n v="6"/>
    <n v="274"/>
    <n v="62"/>
    <n v="2"/>
    <m/>
    <m/>
    <n v="7"/>
    <m/>
    <n v="266"/>
    <n v="4"/>
    <m/>
    <m/>
    <n v="7"/>
    <m/>
    <m/>
    <m/>
    <m/>
    <m/>
    <m/>
    <m/>
    <m/>
    <m/>
    <m/>
    <m/>
    <m/>
    <m/>
    <m/>
    <m/>
    <m/>
    <m/>
    <s v="no test"/>
    <s v="no test"/>
    <s v="No Test"/>
    <n v="4"/>
    <n v="0"/>
    <n v="0"/>
    <n v="0"/>
    <n v="0"/>
    <n v="1000"/>
    <n v="0"/>
    <m/>
    <n v="0.63923292049540548"/>
    <n v="0.39952057530962842"/>
    <n v="0.63923292049540548"/>
    <n v="1600"/>
    <n v="9.9880143827407106E-2"/>
    <n v="249.99999999999997"/>
    <n v="0.73911306432281254"/>
    <n v="1850"/>
    <n v="3.7"/>
    <n v="0.26088693567718746"/>
    <n v="653.00000000000023"/>
    <n v="1.2999999999999998"/>
    <n v="5"/>
    <n v="438"/>
    <n v="1"/>
    <n v="2503"/>
    <n v="0"/>
    <n v="0"/>
    <n v="100"/>
    <n v="125"/>
    <n v="0"/>
    <n v="0"/>
    <n v="0"/>
    <n v="2503"/>
    <n v="0"/>
    <n v="0"/>
    <n v="0"/>
    <n v="2503"/>
    <n v="1"/>
    <n v="0"/>
    <n v="1"/>
    <n v="0"/>
    <n v="0"/>
    <n v="7"/>
    <n v="140"/>
    <n v="0"/>
    <n v="700"/>
    <s v="No"/>
    <s v=""/>
    <n v="0"/>
    <n v="0"/>
    <n v="0"/>
    <n v="0"/>
    <n v="1000"/>
    <n v="100"/>
    <s v="Yes"/>
    <s v="KMSS-BMO"/>
    <x v="0"/>
    <x v="2"/>
    <x v="1"/>
    <n v="24.056132999999999"/>
    <n v="97.625617000000005"/>
    <s v="MMR001CMP128"/>
    <x v="0"/>
    <x v="2"/>
    <s v="No"/>
    <n v="541"/>
    <n v="2507"/>
  </r>
  <r>
    <x v="0"/>
    <x v="17"/>
    <x v="15"/>
    <s v="SI (ECHO)"/>
    <x v="1"/>
    <x v="4"/>
    <x v="0"/>
    <x v="211"/>
    <n v="349"/>
    <n v="1570"/>
    <d v="2022-04-01T00:00:00"/>
    <d v="2022-12-31T00:00:00"/>
    <m/>
    <m/>
    <m/>
    <m/>
    <s v="Yes"/>
    <m/>
    <m/>
    <m/>
    <m/>
    <m/>
    <m/>
    <m/>
    <m/>
    <m/>
    <m/>
    <m/>
    <m/>
    <m/>
    <n v="6"/>
    <m/>
    <m/>
    <n v="6"/>
    <m/>
    <m/>
    <m/>
    <m/>
    <n v="4"/>
    <n v="2"/>
    <m/>
    <m/>
    <n v="181"/>
    <m/>
    <m/>
    <m/>
    <m/>
    <m/>
    <m/>
    <n v="71"/>
    <x v="0"/>
    <x v="1"/>
    <n v="2"/>
    <m/>
    <n v="16"/>
    <n v="2"/>
    <m/>
    <m/>
    <n v="8"/>
    <m/>
    <n v="30"/>
    <n v="3"/>
    <m/>
    <m/>
    <n v="6"/>
    <m/>
    <m/>
    <m/>
    <m/>
    <m/>
    <m/>
    <m/>
    <m/>
    <m/>
    <m/>
    <m/>
    <m/>
    <m/>
    <m/>
    <m/>
    <m/>
    <m/>
    <s v="no test"/>
    <s v="no test"/>
    <s v="No Test"/>
    <n v="0"/>
    <n v="0"/>
    <n v="0"/>
    <n v="0"/>
    <n v="0"/>
    <n v="1000"/>
    <n v="0"/>
    <m/>
    <n v="0"/>
    <n v="0"/>
    <n v="0"/>
    <n v="0"/>
    <n v="0.95541401273885351"/>
    <n v="1500"/>
    <n v="0.95541401273885351"/>
    <n v="1500"/>
    <n v="3"/>
    <n v="4.4585987261146487E-2"/>
    <n v="69.999999999999986"/>
    <n v="0"/>
    <n v="3"/>
    <n v="181"/>
    <n v="1"/>
    <n v="1570"/>
    <n v="0"/>
    <n v="0"/>
    <n v="100"/>
    <n v="79"/>
    <n v="0"/>
    <n v="0"/>
    <n v="0"/>
    <n v="1570"/>
    <n v="0"/>
    <n v="0"/>
    <n v="0"/>
    <n v="1570"/>
    <n v="1"/>
    <n v="0"/>
    <n v="1"/>
    <n v="0"/>
    <n v="0"/>
    <n v="8"/>
    <n v="160"/>
    <n v="0"/>
    <n v="800"/>
    <s v="No"/>
    <s v=""/>
    <n v="0"/>
    <n v="0"/>
    <n v="0"/>
    <n v="0"/>
    <n v="1000"/>
    <n v="100"/>
    <s v="Yes"/>
    <s v="KMSS-BMO"/>
    <x v="0"/>
    <x v="2"/>
    <x v="1"/>
    <n v="24.378167000000001"/>
    <n v="97.669366999999994"/>
    <s v="MMR001CMP131"/>
    <x v="0"/>
    <x v="2"/>
    <s v="No"/>
    <n v="350"/>
    <n v="1593"/>
  </r>
  <r>
    <x v="0"/>
    <x v="17"/>
    <x v="15"/>
    <s v="SI (ECHO)"/>
    <x v="1"/>
    <x v="4"/>
    <x v="0"/>
    <x v="212"/>
    <n v="616"/>
    <n v="3682"/>
    <d v="2022-04-01T00:00:00"/>
    <d v="2022-12-31T00:00:00"/>
    <m/>
    <m/>
    <m/>
    <m/>
    <s v="Yes"/>
    <m/>
    <m/>
    <m/>
    <m/>
    <m/>
    <m/>
    <m/>
    <m/>
    <m/>
    <m/>
    <m/>
    <m/>
    <m/>
    <n v="1"/>
    <m/>
    <m/>
    <n v="1"/>
    <m/>
    <m/>
    <m/>
    <m/>
    <n v="21"/>
    <n v="6"/>
    <m/>
    <m/>
    <n v="152"/>
    <m/>
    <m/>
    <m/>
    <m/>
    <m/>
    <m/>
    <m/>
    <x v="0"/>
    <x v="1"/>
    <n v="4"/>
    <m/>
    <n v="16"/>
    <n v="2"/>
    <m/>
    <m/>
    <n v="7"/>
    <m/>
    <m/>
    <n v="7"/>
    <m/>
    <m/>
    <n v="6"/>
    <m/>
    <m/>
    <m/>
    <m/>
    <m/>
    <m/>
    <m/>
    <m/>
    <m/>
    <m/>
    <m/>
    <m/>
    <m/>
    <m/>
    <m/>
    <m/>
    <m/>
    <s v="no test"/>
    <s v="no test"/>
    <s v="No Test"/>
    <n v="0"/>
    <n v="0"/>
    <n v="0"/>
    <n v="0"/>
    <n v="0"/>
    <n v="3000"/>
    <n v="0"/>
    <m/>
    <n v="0"/>
    <n v="0"/>
    <n v="0"/>
    <n v="0"/>
    <n v="6.7897881586094513E-2"/>
    <n v="250"/>
    <n v="6.7897881586094513E-2"/>
    <n v="250"/>
    <n v="0.5"/>
    <n v="0.93210211841390544"/>
    <n v="3432"/>
    <n v="6.5"/>
    <n v="7"/>
    <n v="152"/>
    <n v="0.84736556219445958"/>
    <n v="3120"/>
    <n v="0"/>
    <n v="0"/>
    <n v="100"/>
    <n v="184"/>
    <n v="32"/>
    <n v="0.15263443780554042"/>
    <n v="0"/>
    <n v="3000"/>
    <n v="0"/>
    <n v="0"/>
    <n v="0"/>
    <n v="3000"/>
    <n v="0.81477457903313422"/>
    <n v="0.18522542096686578"/>
    <n v="0.81477457903313422"/>
    <n v="0"/>
    <n v="0"/>
    <n v="7"/>
    <n v="140"/>
    <n v="0"/>
    <n v="700"/>
    <s v="No"/>
    <s v=""/>
    <n v="0"/>
    <n v="0"/>
    <n v="0"/>
    <n v="0"/>
    <n v="3000"/>
    <n v="100"/>
    <s v="Yes"/>
    <s v="KMSS-BMO"/>
    <x v="0"/>
    <x v="2"/>
    <x v="1"/>
    <n v="24.2744"/>
    <n v="97.752667000000002"/>
    <s v="MMR001CMP126"/>
    <x v="0"/>
    <x v="2"/>
    <s v="No"/>
    <n v="614"/>
    <n v="3654"/>
  </r>
  <r>
    <x v="1"/>
    <x v="14"/>
    <x v="16"/>
    <s v="ANCHOR"/>
    <x v="1"/>
    <x v="15"/>
    <x v="0"/>
    <x v="126"/>
    <n v="67"/>
    <n v="324"/>
    <d v="2023-01-01T00:00:00"/>
    <d v="2024-03-31T00:00:00"/>
    <m/>
    <m/>
    <n v="1"/>
    <m/>
    <s v="Yes"/>
    <n v="2"/>
    <n v="3"/>
    <m/>
    <m/>
    <m/>
    <m/>
    <m/>
    <m/>
    <m/>
    <m/>
    <m/>
    <m/>
    <m/>
    <m/>
    <m/>
    <m/>
    <m/>
    <m/>
    <m/>
    <m/>
    <m/>
    <n v="1"/>
    <m/>
    <m/>
    <m/>
    <n v="7"/>
    <m/>
    <m/>
    <m/>
    <m/>
    <m/>
    <m/>
    <n v="6"/>
    <x v="1"/>
    <x v="1"/>
    <m/>
    <m/>
    <m/>
    <m/>
    <n v="4"/>
    <m/>
    <n v="1"/>
    <m/>
    <m/>
    <n v="8"/>
    <m/>
    <m/>
    <n v="1"/>
    <m/>
    <m/>
    <m/>
    <m/>
    <n v="0.65"/>
    <m/>
    <n v="0.75"/>
    <n v="0.5"/>
    <m/>
    <n v="0.95"/>
    <m/>
    <m/>
    <m/>
    <m/>
    <m/>
    <m/>
    <m/>
    <s v="no test"/>
    <s v="no test"/>
    <s v="No Test"/>
    <n v="0"/>
    <n v="0"/>
    <n v="0"/>
    <n v="0"/>
    <n v="0"/>
    <n v="0"/>
    <n v="0"/>
    <m/>
    <n v="0"/>
    <n v="0"/>
    <n v="0"/>
    <n v="0"/>
    <n v="0"/>
    <n v="0"/>
    <n v="0"/>
    <n v="0"/>
    <n v="0"/>
    <n v="1"/>
    <n v="324"/>
    <n v="1"/>
    <n v="1"/>
    <n v="7"/>
    <n v="0.44444444444444442"/>
    <n v="144"/>
    <n v="0"/>
    <n v="0"/>
    <n v="0"/>
    <n v="16"/>
    <n v="9"/>
    <n v="0.55555555555555558"/>
    <n v="0"/>
    <n v="324"/>
    <n v="0"/>
    <n v="0"/>
    <n v="0"/>
    <n v="324"/>
    <n v="1"/>
    <n v="0"/>
    <n v="1"/>
    <n v="0"/>
    <n v="0"/>
    <n v="1"/>
    <n v="20"/>
    <n v="0"/>
    <n v="100"/>
    <s v="No"/>
    <s v=""/>
    <n v="243"/>
    <n v="162"/>
    <n v="307.8"/>
    <n v="307.8"/>
    <n v="0"/>
    <n v="0"/>
    <s v="Yes"/>
    <s v="Shalom"/>
    <x v="0"/>
    <x v="2"/>
    <x v="0"/>
    <n v="24.154199999999999"/>
    <n v="97.160600000000002"/>
    <s v="MMR001CMP281"/>
    <x v="0"/>
    <x v="2"/>
    <s v="Yes, focal is SHALOM till march 2024"/>
    <n v="67"/>
    <n v="324"/>
  </r>
  <r>
    <x v="1"/>
    <x v="15"/>
    <x v="13"/>
    <s v="ECHO 2983"/>
    <x v="1"/>
    <x v="15"/>
    <x v="0"/>
    <x v="199"/>
    <n v="145"/>
    <n v="715"/>
    <d v="2023-04-01T00:00:00"/>
    <d v="2024-03-31T00:00:00"/>
    <m/>
    <m/>
    <n v="3"/>
    <m/>
    <s v="Yes"/>
    <n v="5"/>
    <n v="6"/>
    <n v="2"/>
    <m/>
    <m/>
    <n v="8"/>
    <m/>
    <m/>
    <m/>
    <m/>
    <m/>
    <m/>
    <m/>
    <m/>
    <m/>
    <n v="3"/>
    <m/>
    <n v="12"/>
    <n v="12"/>
    <n v="18"/>
    <n v="18"/>
    <m/>
    <m/>
    <m/>
    <m/>
    <n v="52"/>
    <m/>
    <m/>
    <m/>
    <m/>
    <n v="64"/>
    <n v="80"/>
    <m/>
    <x v="1"/>
    <x v="1"/>
    <m/>
    <m/>
    <m/>
    <m/>
    <n v="9"/>
    <m/>
    <n v="12"/>
    <m/>
    <n v="1"/>
    <n v="5"/>
    <m/>
    <n v="1"/>
    <n v="2"/>
    <m/>
    <s v="                                                               -  "/>
    <s v="No"/>
    <n v="3"/>
    <n v="0.6"/>
    <s v="CWF distitribution -27 hh"/>
    <n v="1"/>
    <n v="1"/>
    <n v="6"/>
    <n v="1"/>
    <m/>
    <m/>
    <m/>
    <m/>
    <m/>
    <m/>
    <m/>
    <n v="1"/>
    <n v="1"/>
    <s v="Tested"/>
    <n v="2"/>
    <n v="8"/>
    <n v="0"/>
    <n v="0"/>
    <n v="0"/>
    <n v="0"/>
    <n v="0"/>
    <m/>
    <n v="1"/>
    <n v="1"/>
    <n v="1"/>
    <n v="715"/>
    <n v="0"/>
    <n v="0"/>
    <n v="1"/>
    <n v="715"/>
    <n v="1.43"/>
    <n v="0"/>
    <n v="0"/>
    <n v="0"/>
    <n v="1"/>
    <n v="52"/>
    <n v="1"/>
    <n v="715"/>
    <n v="715"/>
    <n v="0"/>
    <n v="0"/>
    <n v="36"/>
    <n v="0"/>
    <n v="0"/>
    <n v="0"/>
    <n v="715"/>
    <n v="0"/>
    <n v="715"/>
    <n v="715"/>
    <n v="715"/>
    <n v="1"/>
    <n v="0"/>
    <n v="1"/>
    <n v="0"/>
    <e v="#VALUE!"/>
    <n v="12"/>
    <n v="145"/>
    <n v="0"/>
    <n v="715"/>
    <s v="No"/>
    <n v="8.3916083916083916E-3"/>
    <n v="715"/>
    <n v="715"/>
    <n v="715"/>
    <n v="715"/>
    <n v="0"/>
    <n v="0"/>
    <s v="Yes"/>
    <s v="KMSS-BMO"/>
    <x v="0"/>
    <x v="2"/>
    <x v="0"/>
    <n v="24.260719999999999"/>
    <n v="97.238829999999993"/>
    <s v="MMR001CMP050"/>
    <x v="0"/>
    <x v="0"/>
    <m/>
    <n v="145"/>
    <n v="671"/>
  </r>
  <r>
    <x v="1"/>
    <x v="9"/>
    <x v="7"/>
    <s v="USAID, UNOPS"/>
    <x v="1"/>
    <x v="15"/>
    <x v="0"/>
    <x v="70"/>
    <n v="36"/>
    <n v="222"/>
    <s v=" 13-8-2021, 30-4-2023"/>
    <s v="30-6-2023, 31-12-2023"/>
    <m/>
    <m/>
    <m/>
    <m/>
    <s v="Yes"/>
    <n v="1"/>
    <n v="1"/>
    <n v="1"/>
    <m/>
    <m/>
    <n v="1"/>
    <m/>
    <m/>
    <m/>
    <m/>
    <m/>
    <m/>
    <m/>
    <m/>
    <m/>
    <m/>
    <m/>
    <m/>
    <m/>
    <m/>
    <m/>
    <m/>
    <m/>
    <m/>
    <m/>
    <n v="2"/>
    <m/>
    <m/>
    <m/>
    <m/>
    <m/>
    <m/>
    <m/>
    <x v="1"/>
    <x v="1"/>
    <m/>
    <m/>
    <m/>
    <m/>
    <m/>
    <m/>
    <m/>
    <m/>
    <n v="3"/>
    <m/>
    <m/>
    <m/>
    <m/>
    <m/>
    <m/>
    <m/>
    <m/>
    <m/>
    <m/>
    <m/>
    <m/>
    <m/>
    <m/>
    <m/>
    <m/>
    <m/>
    <m/>
    <m/>
    <m/>
    <m/>
    <s v="no test"/>
    <s v="no test"/>
    <s v="No Test"/>
    <n v="1"/>
    <n v="1"/>
    <n v="0"/>
    <n v="0"/>
    <n v="0"/>
    <n v="0"/>
    <n v="0"/>
    <m/>
    <n v="1"/>
    <n v="1"/>
    <n v="1"/>
    <n v="222"/>
    <n v="0"/>
    <n v="0"/>
    <n v="1"/>
    <n v="222"/>
    <n v="0.44400000000000001"/>
    <n v="0"/>
    <n v="0"/>
    <n v="0.55600000000000005"/>
    <n v="1"/>
    <n v="2"/>
    <n v="0.18018018018018017"/>
    <n v="40"/>
    <n v="0"/>
    <n v="0"/>
    <n v="0"/>
    <n v="11"/>
    <n v="9"/>
    <n v="0.81981981981981988"/>
    <n v="0"/>
    <n v="0"/>
    <n v="0"/>
    <n v="0"/>
    <n v="0"/>
    <n v="0"/>
    <n v="0"/>
    <n v="1"/>
    <n v="0"/>
    <n v="0"/>
    <n v="0"/>
    <n v="0"/>
    <n v="0"/>
    <n v="0"/>
    <n v="0"/>
    <s v="No"/>
    <s v=""/>
    <n v="0"/>
    <n v="0"/>
    <n v="0"/>
    <n v="0"/>
    <n v="0"/>
    <n v="0"/>
    <s v="Yes"/>
    <s v="KBC-BMO"/>
    <x v="0"/>
    <x v="2"/>
    <x v="0"/>
    <n v="24.260466999999998"/>
    <n v="97.252650000000003"/>
    <s v="MMR001CMP194"/>
    <x v="0"/>
    <x v="0"/>
    <s v="Yes. Metta is focal"/>
    <n v="5"/>
    <n v="23"/>
  </r>
  <r>
    <x v="1"/>
    <x v="13"/>
    <x v="11"/>
    <m/>
    <x v="1"/>
    <x v="15"/>
    <x v="0"/>
    <x v="127"/>
    <n v="181"/>
    <n v="906"/>
    <m/>
    <m/>
    <m/>
    <m/>
    <m/>
    <m/>
    <m/>
    <m/>
    <n v="4"/>
    <m/>
    <m/>
    <m/>
    <m/>
    <m/>
    <m/>
    <m/>
    <m/>
    <m/>
    <m/>
    <m/>
    <m/>
    <m/>
    <m/>
    <m/>
    <m/>
    <m/>
    <m/>
    <m/>
    <m/>
    <m/>
    <m/>
    <m/>
    <m/>
    <m/>
    <m/>
    <m/>
    <m/>
    <m/>
    <m/>
    <m/>
    <x v="2"/>
    <x v="2"/>
    <m/>
    <m/>
    <m/>
    <m/>
    <m/>
    <m/>
    <n v="7"/>
    <m/>
    <m/>
    <n v="7"/>
    <m/>
    <m/>
    <m/>
    <m/>
    <m/>
    <m/>
    <m/>
    <m/>
    <m/>
    <m/>
    <m/>
    <m/>
    <m/>
    <m/>
    <m/>
    <m/>
    <m/>
    <m/>
    <m/>
    <m/>
    <s v="no test"/>
    <s v="no test"/>
    <s v="No Test"/>
    <n v="0"/>
    <n v="0"/>
    <n v="0"/>
    <n v="0"/>
    <n v="0"/>
    <n v="0"/>
    <n v="0"/>
    <m/>
    <n v="0"/>
    <n v="0"/>
    <n v="0"/>
    <n v="0"/>
    <n v="0"/>
    <n v="0"/>
    <n v="0"/>
    <n v="0"/>
    <n v="0"/>
    <n v="1"/>
    <n v="906"/>
    <n v="2"/>
    <n v="2"/>
    <n v="0"/>
    <n v="0"/>
    <n v="0"/>
    <n v="0"/>
    <n v="0"/>
    <n v="0"/>
    <n v="45"/>
    <n v="45"/>
    <n v="1"/>
    <n v="0"/>
    <n v="0"/>
    <n v="0"/>
    <n v="0"/>
    <n v="0"/>
    <n v="0"/>
    <n v="0"/>
    <n v="1"/>
    <n v="0"/>
    <n v="0"/>
    <n v="0"/>
    <n v="7"/>
    <n v="140"/>
    <n v="0"/>
    <n v="700"/>
    <s v="No"/>
    <s v=""/>
    <n v="0"/>
    <n v="0"/>
    <n v="0"/>
    <n v="0"/>
    <n v="0"/>
    <n v="0"/>
    <n v="0"/>
    <s v="uncovered"/>
    <x v="0"/>
    <x v="4"/>
    <x v="0"/>
    <n v="24.263786"/>
    <n v="97.228835000000004"/>
    <s v="MMR001CMP163"/>
    <x v="1"/>
    <x v="1"/>
    <s v="yes"/>
    <n v="17"/>
    <n v="87"/>
  </r>
  <r>
    <x v="1"/>
    <x v="9"/>
    <x v="17"/>
    <s v="ECHO 2739,USAID, UNOPS, Irish Aid"/>
    <x v="1"/>
    <x v="15"/>
    <x v="0"/>
    <x v="71"/>
    <n v="38"/>
    <n v="226"/>
    <s v=" 13-8-2021, 30-4-2023, 1-1-2023"/>
    <s v="30-6-2023,  31-12-2023, 31-12-2023"/>
    <m/>
    <n v="1"/>
    <m/>
    <m/>
    <s v="Yes"/>
    <m/>
    <n v="5"/>
    <m/>
    <m/>
    <m/>
    <n v="2"/>
    <m/>
    <m/>
    <m/>
    <m/>
    <m/>
    <n v="3"/>
    <m/>
    <m/>
    <m/>
    <m/>
    <m/>
    <m/>
    <m/>
    <m/>
    <m/>
    <m/>
    <m/>
    <m/>
    <m/>
    <n v="11"/>
    <m/>
    <m/>
    <m/>
    <n v="2"/>
    <m/>
    <m/>
    <m/>
    <x v="1"/>
    <x v="1"/>
    <m/>
    <m/>
    <m/>
    <m/>
    <m/>
    <m/>
    <m/>
    <m/>
    <m/>
    <n v="2"/>
    <m/>
    <m/>
    <m/>
    <n v="40"/>
    <n v="50"/>
    <m/>
    <m/>
    <m/>
    <m/>
    <m/>
    <m/>
    <m/>
    <m/>
    <m/>
    <m/>
    <m/>
    <m/>
    <m/>
    <m/>
    <m/>
    <s v="no test"/>
    <s v="no test"/>
    <s v="No Test"/>
    <n v="0"/>
    <n v="2"/>
    <n v="0"/>
    <n v="0"/>
    <n v="0"/>
    <n v="0"/>
    <n v="0"/>
    <m/>
    <n v="1"/>
    <n v="1"/>
    <n v="1"/>
    <n v="226"/>
    <n v="0"/>
    <n v="0"/>
    <n v="1"/>
    <n v="226"/>
    <n v="0.45200000000000001"/>
    <n v="0"/>
    <n v="0"/>
    <n v="0.54800000000000004"/>
    <n v="1"/>
    <n v="11"/>
    <n v="0.97345132743362828"/>
    <n v="220"/>
    <n v="0"/>
    <n v="0"/>
    <n v="0"/>
    <n v="11"/>
    <n v="0"/>
    <n v="2.6548672566371723E-2"/>
    <n v="0"/>
    <n v="0"/>
    <n v="200"/>
    <n v="50"/>
    <n v="200"/>
    <n v="200"/>
    <n v="0.88495575221238942"/>
    <n v="0.11504424778761058"/>
    <n v="0"/>
    <n v="1"/>
    <n v="1"/>
    <n v="0"/>
    <n v="0"/>
    <n v="0"/>
    <n v="0"/>
    <s v="No"/>
    <s v=""/>
    <n v="0"/>
    <n v="0"/>
    <n v="0"/>
    <n v="0"/>
    <n v="0"/>
    <n v="0"/>
    <s v="Yes"/>
    <s v="KBC-BMO"/>
    <x v="0"/>
    <x v="2"/>
    <x v="0"/>
    <n v="24.24766"/>
    <n v="97.236919999999998"/>
    <s v="MMR001CMP052"/>
    <x v="0"/>
    <x v="0"/>
    <s v="Yes. Metta is focal"/>
    <n v="39"/>
    <n v="229"/>
  </r>
  <r>
    <x v="1"/>
    <x v="9"/>
    <x v="18"/>
    <s v="USAID/HOPE-94, ANCHOR, Irish Aid"/>
    <x v="1"/>
    <x v="15"/>
    <x v="0"/>
    <x v="125"/>
    <n v="135"/>
    <n v="774"/>
    <s v=" 13-8-2021, 1-5-2023, 30-4-2023, 1-1-2023"/>
    <s v="30-6-2023, 30-4-2024, 31-12-2023, 31-12-2023"/>
    <m/>
    <m/>
    <n v="1"/>
    <m/>
    <s v="Yes"/>
    <n v="3"/>
    <n v="7"/>
    <n v="3"/>
    <m/>
    <m/>
    <n v="2"/>
    <m/>
    <m/>
    <n v="3"/>
    <m/>
    <m/>
    <n v="3"/>
    <m/>
    <m/>
    <m/>
    <m/>
    <m/>
    <m/>
    <m/>
    <m/>
    <m/>
    <n v="4"/>
    <n v="1"/>
    <m/>
    <m/>
    <n v="23"/>
    <m/>
    <m/>
    <m/>
    <n v="12"/>
    <n v="6"/>
    <m/>
    <m/>
    <x v="1"/>
    <x v="1"/>
    <m/>
    <m/>
    <m/>
    <m/>
    <m/>
    <m/>
    <n v="6"/>
    <m/>
    <m/>
    <n v="7"/>
    <m/>
    <m/>
    <m/>
    <n v="135"/>
    <n v="150"/>
    <m/>
    <m/>
    <m/>
    <m/>
    <m/>
    <m/>
    <m/>
    <m/>
    <m/>
    <m/>
    <m/>
    <m/>
    <m/>
    <m/>
    <m/>
    <s v="no test"/>
    <s v="no test"/>
    <s v="No Test"/>
    <n v="3"/>
    <n v="2"/>
    <n v="0"/>
    <n v="0"/>
    <n v="0"/>
    <n v="500"/>
    <n v="0"/>
    <m/>
    <n v="1"/>
    <n v="1"/>
    <n v="1"/>
    <n v="774"/>
    <n v="0"/>
    <n v="0"/>
    <n v="1"/>
    <n v="774"/>
    <n v="1.548"/>
    <n v="0"/>
    <n v="0"/>
    <n v="0.45199999999999996"/>
    <n v="2"/>
    <n v="23"/>
    <n v="0.59431524547803616"/>
    <n v="460"/>
    <n v="120"/>
    <n v="0"/>
    <n v="0"/>
    <n v="39"/>
    <n v="16"/>
    <n v="0.40568475452196384"/>
    <n v="0"/>
    <n v="0"/>
    <n v="774"/>
    <n v="150"/>
    <n v="774"/>
    <n v="774"/>
    <n v="1"/>
    <n v="0"/>
    <n v="0"/>
    <n v="1"/>
    <n v="1"/>
    <n v="6"/>
    <n v="120"/>
    <n v="0"/>
    <n v="600"/>
    <s v="No"/>
    <s v=""/>
    <n v="0"/>
    <n v="0"/>
    <n v="0"/>
    <n v="0"/>
    <n v="500"/>
    <n v="0"/>
    <s v="Yes"/>
    <s v="Shalom"/>
    <x v="0"/>
    <x v="2"/>
    <x v="0"/>
    <n v="24.2631743589744"/>
    <n v="97.240183461538507"/>
    <s v="MMR001CMP049"/>
    <x v="0"/>
    <x v="0"/>
    <s v="Yes, focal is SHALOM till march 2024. Metta didn't handover this camp. Metta will meet with Shalom"/>
    <n v="135"/>
    <n v="780"/>
  </r>
  <r>
    <x v="1"/>
    <x v="15"/>
    <x v="19"/>
    <s v="ECHO 2739/ANCHOR"/>
    <x v="1"/>
    <x v="15"/>
    <x v="0"/>
    <x v="200"/>
    <n v="32"/>
    <n v="160"/>
    <d v="2023-04-01T00:00:00"/>
    <d v="2024-03-31T00:00:00"/>
    <m/>
    <m/>
    <n v="1"/>
    <m/>
    <s v="Yes"/>
    <n v="3"/>
    <n v="3"/>
    <n v="1"/>
    <m/>
    <m/>
    <n v="1"/>
    <m/>
    <m/>
    <m/>
    <m/>
    <m/>
    <m/>
    <m/>
    <m/>
    <m/>
    <n v="1"/>
    <m/>
    <n v="6"/>
    <n v="6"/>
    <n v="9"/>
    <n v="9"/>
    <m/>
    <m/>
    <m/>
    <m/>
    <n v="9"/>
    <m/>
    <m/>
    <m/>
    <m/>
    <n v="3"/>
    <n v="5"/>
    <m/>
    <x v="1"/>
    <x v="1"/>
    <m/>
    <m/>
    <m/>
    <m/>
    <n v="7"/>
    <m/>
    <n v="4"/>
    <m/>
    <m/>
    <n v="2"/>
    <m/>
    <n v="1"/>
    <m/>
    <m/>
    <s v="                                                               -  "/>
    <s v="No"/>
    <n v="0"/>
    <n v="0.6"/>
    <s v="CWF distribution -16 hh"/>
    <n v="1"/>
    <n v="1"/>
    <n v="2"/>
    <n v="1"/>
    <m/>
    <m/>
    <m/>
    <m/>
    <m/>
    <m/>
    <m/>
    <n v="1"/>
    <n v="1"/>
    <s v="Tested"/>
    <n v="1"/>
    <n v="1"/>
    <n v="0"/>
    <n v="0"/>
    <n v="0"/>
    <n v="0"/>
    <n v="0"/>
    <m/>
    <n v="1"/>
    <n v="1"/>
    <n v="1"/>
    <n v="160"/>
    <n v="0"/>
    <n v="0"/>
    <n v="1"/>
    <n v="160"/>
    <n v="0.32"/>
    <n v="0"/>
    <n v="0"/>
    <n v="0.67999999999999994"/>
    <n v="1"/>
    <n v="9"/>
    <n v="1"/>
    <n v="160"/>
    <n v="60"/>
    <n v="0"/>
    <n v="0"/>
    <n v="8"/>
    <n v="0"/>
    <n v="0"/>
    <n v="0"/>
    <n v="160"/>
    <n v="0"/>
    <n v="160"/>
    <n v="160"/>
    <n v="160"/>
    <n v="1"/>
    <n v="0"/>
    <n v="1"/>
    <n v="0"/>
    <e v="#VALUE!"/>
    <n v="4"/>
    <n v="32"/>
    <n v="0"/>
    <n v="160"/>
    <s v="No"/>
    <n v="1.2500000000000001E-2"/>
    <n v="160"/>
    <n v="160"/>
    <n v="160"/>
    <n v="160"/>
    <n v="0"/>
    <n v="0"/>
    <n v="0"/>
    <n v="0"/>
    <x v="0"/>
    <x v="2"/>
    <x v="0"/>
    <n v="24.314934000000001"/>
    <n v="97.305190999999994"/>
    <s v="MMR001CMP285"/>
    <x v="0"/>
    <x v="0"/>
    <m/>
    <n v="50"/>
    <n v="224"/>
  </r>
  <r>
    <x v="1"/>
    <x v="9"/>
    <x v="17"/>
    <s v="USAID, UNOPS, Irish Aid"/>
    <x v="1"/>
    <x v="15"/>
    <x v="0"/>
    <x v="72"/>
    <n v="65"/>
    <n v="334"/>
    <s v=" 13-8-2021,  30-4-2023, 1-1-2023"/>
    <s v="30-6-2023, 31-12-2023, 31-12-2023"/>
    <m/>
    <n v="1"/>
    <m/>
    <m/>
    <s v="Yes"/>
    <n v="2"/>
    <n v="4"/>
    <n v="1"/>
    <m/>
    <m/>
    <n v="2"/>
    <m/>
    <m/>
    <m/>
    <m/>
    <m/>
    <n v="1"/>
    <m/>
    <m/>
    <m/>
    <m/>
    <m/>
    <m/>
    <m/>
    <m/>
    <m/>
    <m/>
    <m/>
    <m/>
    <m/>
    <n v="33"/>
    <m/>
    <m/>
    <m/>
    <n v="24"/>
    <n v="2"/>
    <m/>
    <m/>
    <x v="1"/>
    <x v="1"/>
    <m/>
    <m/>
    <m/>
    <m/>
    <m/>
    <m/>
    <n v="19"/>
    <m/>
    <m/>
    <n v="7"/>
    <m/>
    <m/>
    <m/>
    <n v="58"/>
    <n v="65"/>
    <m/>
    <m/>
    <m/>
    <m/>
    <m/>
    <m/>
    <m/>
    <m/>
    <m/>
    <m/>
    <m/>
    <m/>
    <m/>
    <m/>
    <m/>
    <s v="no test"/>
    <s v="no test"/>
    <s v="No Test"/>
    <n v="1"/>
    <n v="2"/>
    <n v="0"/>
    <n v="0"/>
    <n v="0"/>
    <n v="0"/>
    <n v="0"/>
    <m/>
    <n v="1"/>
    <n v="1"/>
    <n v="1"/>
    <n v="334"/>
    <n v="0"/>
    <n v="0"/>
    <n v="1"/>
    <n v="334"/>
    <n v="0.66800000000000004"/>
    <n v="0"/>
    <n v="0"/>
    <n v="0.33199999999999996"/>
    <n v="1"/>
    <n v="33"/>
    <n v="1"/>
    <n v="334"/>
    <n v="40"/>
    <n v="0"/>
    <n v="0"/>
    <n v="17"/>
    <n v="0"/>
    <n v="0"/>
    <n v="0"/>
    <n v="0"/>
    <n v="290"/>
    <n v="65"/>
    <n v="290"/>
    <n v="290"/>
    <n v="0.86826347305389218"/>
    <n v="0.13173652694610782"/>
    <n v="0"/>
    <n v="1"/>
    <n v="1"/>
    <n v="19"/>
    <n v="65"/>
    <n v="0"/>
    <n v="334"/>
    <s v="No"/>
    <s v=""/>
    <n v="0"/>
    <n v="0"/>
    <n v="0"/>
    <n v="0"/>
    <n v="0"/>
    <n v="0"/>
    <s v="Yes"/>
    <s v="KBC-BMO"/>
    <x v="0"/>
    <x v="2"/>
    <x v="0"/>
    <n v="24.222349999999999"/>
    <n v="97.252650000000003"/>
    <s v="MMR001CMP193"/>
    <x v="0"/>
    <x v="0"/>
    <s v="Yes. Metta is focal"/>
    <n v="58"/>
    <n v="314"/>
  </r>
  <r>
    <x v="1"/>
    <x v="15"/>
    <x v="13"/>
    <s v="ECHO 2983"/>
    <x v="1"/>
    <x v="15"/>
    <x v="0"/>
    <x v="201"/>
    <n v="565"/>
    <n v="3451"/>
    <d v="2023-04-01T00:00:00"/>
    <d v="2024-03-31T00:00:00"/>
    <m/>
    <m/>
    <n v="6"/>
    <m/>
    <s v="Yes"/>
    <n v="16"/>
    <n v="13"/>
    <n v="1"/>
    <n v="1"/>
    <m/>
    <n v="23"/>
    <m/>
    <m/>
    <m/>
    <m/>
    <m/>
    <m/>
    <m/>
    <m/>
    <m/>
    <n v="6"/>
    <m/>
    <n v="42"/>
    <n v="42"/>
    <n v="27"/>
    <n v="27"/>
    <m/>
    <m/>
    <m/>
    <m/>
    <n v="148"/>
    <m/>
    <m/>
    <m/>
    <m/>
    <n v="129"/>
    <n v="144"/>
    <m/>
    <x v="1"/>
    <x v="1"/>
    <m/>
    <m/>
    <m/>
    <m/>
    <n v="23"/>
    <m/>
    <n v="32"/>
    <m/>
    <n v="1"/>
    <n v="16"/>
    <m/>
    <n v="1"/>
    <n v="5"/>
    <m/>
    <s v="                                                               -  "/>
    <s v="No"/>
    <n v="9"/>
    <n v="0.6"/>
    <s v="CWF distribution -145 hh"/>
    <n v="1"/>
    <n v="1"/>
    <n v="6"/>
    <n v="1"/>
    <m/>
    <m/>
    <m/>
    <m/>
    <m/>
    <m/>
    <m/>
    <n v="1"/>
    <n v="1"/>
    <s v="Tested"/>
    <n v="0"/>
    <n v="23"/>
    <n v="0"/>
    <n v="0"/>
    <n v="0"/>
    <n v="0"/>
    <n v="0"/>
    <m/>
    <n v="1"/>
    <n v="1"/>
    <n v="1"/>
    <n v="3451"/>
    <n v="0"/>
    <n v="0"/>
    <n v="1"/>
    <n v="3451"/>
    <n v="6.9020000000000001"/>
    <n v="0"/>
    <n v="0"/>
    <n v="9.7999999999999865E-2"/>
    <n v="7"/>
    <n v="148"/>
    <n v="0.86438713416401047"/>
    <n v="2983"/>
    <n v="2580"/>
    <n v="0"/>
    <n v="0"/>
    <n v="173"/>
    <n v="25"/>
    <n v="0.13561286583598953"/>
    <n v="0"/>
    <n v="3000"/>
    <n v="0"/>
    <n v="3451"/>
    <n v="3451"/>
    <n v="3451"/>
    <n v="1"/>
    <n v="0"/>
    <n v="0.8693132425383947"/>
    <n v="0"/>
    <e v="#VALUE!"/>
    <n v="32"/>
    <n v="565"/>
    <n v="0"/>
    <n v="3200"/>
    <s v="No"/>
    <n v="1.7386264850767893E-3"/>
    <n v="3451"/>
    <n v="3451"/>
    <n v="3451"/>
    <n v="3451"/>
    <n v="0"/>
    <n v="0"/>
    <s v="Yes"/>
    <s v="KBC-BMO"/>
    <x v="0"/>
    <x v="2"/>
    <x v="0"/>
    <n v="24.268292826086999"/>
    <n v="97.229116811594196"/>
    <s v="MMR001CMP047"/>
    <x v="0"/>
    <x v="0"/>
    <m/>
    <n v="565"/>
    <n v="3369"/>
  </r>
  <r>
    <x v="1"/>
    <x v="14"/>
    <x v="12"/>
    <s v="ANCHOR"/>
    <x v="1"/>
    <x v="5"/>
    <x v="0"/>
    <x v="172"/>
    <n v="136"/>
    <n v="704"/>
    <d v="2023-01-01T00:00:00"/>
    <d v="2024-03-31T00:00:00"/>
    <m/>
    <m/>
    <n v="1"/>
    <m/>
    <s v="Yes"/>
    <n v="2"/>
    <n v="6"/>
    <m/>
    <m/>
    <m/>
    <m/>
    <m/>
    <m/>
    <m/>
    <n v="12"/>
    <m/>
    <n v="1"/>
    <m/>
    <n v="3"/>
    <m/>
    <n v="1"/>
    <m/>
    <m/>
    <m/>
    <m/>
    <m/>
    <m/>
    <m/>
    <m/>
    <m/>
    <n v="15"/>
    <m/>
    <s v="Nyein (Shalom)"/>
    <n v="1"/>
    <m/>
    <m/>
    <m/>
    <m/>
    <x v="1"/>
    <x v="1"/>
    <m/>
    <m/>
    <m/>
    <n v="0.5"/>
    <m/>
    <m/>
    <n v="2"/>
    <m/>
    <m/>
    <n v="2"/>
    <m/>
    <m/>
    <n v="1"/>
    <n v="4"/>
    <m/>
    <s v="No"/>
    <n v="1"/>
    <n v="0.7"/>
    <m/>
    <n v="0.8"/>
    <n v="0.8"/>
    <n v="30"/>
    <n v="0.9"/>
    <m/>
    <m/>
    <m/>
    <m/>
    <m/>
    <m/>
    <m/>
    <s v="no test"/>
    <s v="no test"/>
    <s v="No Test"/>
    <n v="0"/>
    <n v="0"/>
    <n v="12"/>
    <n v="0"/>
    <n v="0"/>
    <n v="0"/>
    <n v="0"/>
    <m/>
    <n v="1"/>
    <n v="1"/>
    <n v="1"/>
    <n v="704"/>
    <n v="1"/>
    <n v="704"/>
    <n v="1"/>
    <n v="704"/>
    <n v="1.4079999999999999"/>
    <n v="0"/>
    <n v="0"/>
    <n v="0"/>
    <n v="1"/>
    <n v="14"/>
    <n v="0.39772727272727271"/>
    <n v="280"/>
    <n v="0"/>
    <n v="0"/>
    <n v="25"/>
    <n v="35"/>
    <n v="20"/>
    <n v="0.60227272727272729"/>
    <n v="6.6666666666666666E-2"/>
    <n v="500"/>
    <n v="20"/>
    <n v="0"/>
    <n v="20"/>
    <n v="500"/>
    <n v="0.71022727272727271"/>
    <n v="0.28977272727272729"/>
    <n v="0.71022727272727271"/>
    <n v="0.11764705882352941"/>
    <n v="0"/>
    <n v="2"/>
    <n v="40"/>
    <n v="0"/>
    <n v="200"/>
    <s v="No"/>
    <n v="4.261363636363636E-2"/>
    <n v="563.20000000000005"/>
    <n v="563.20000000000005"/>
    <n v="633.6"/>
    <n v="633.6"/>
    <n v="0"/>
    <n v="25"/>
    <s v="Yes"/>
    <s v="Shalom"/>
    <x v="0"/>
    <x v="2"/>
    <x v="0"/>
    <n v="25.889410000000002"/>
    <n v="98.131550000000004"/>
    <s v="MMR001CMP042"/>
    <x v="0"/>
    <x v="2"/>
    <s v="Yes, Focal is Shalom"/>
    <n v="137"/>
    <n v="713"/>
  </r>
  <r>
    <x v="1"/>
    <x v="18"/>
    <x v="20"/>
    <s v="UNICEF"/>
    <x v="1"/>
    <x v="5"/>
    <x v="0"/>
    <x v="6"/>
    <n v="177"/>
    <n v="1089"/>
    <d v="2022-09-07T00:00:00"/>
    <d v="2023-09-06T00:00:00"/>
    <m/>
    <n v="2"/>
    <m/>
    <m/>
    <s v="Yes"/>
    <n v="3"/>
    <n v="1"/>
    <m/>
    <m/>
    <m/>
    <m/>
    <m/>
    <m/>
    <m/>
    <n v="2"/>
    <m/>
    <m/>
    <m/>
    <m/>
    <m/>
    <m/>
    <n v="2"/>
    <m/>
    <m/>
    <m/>
    <m/>
    <m/>
    <m/>
    <m/>
    <m/>
    <n v="98"/>
    <m/>
    <m/>
    <m/>
    <m/>
    <m/>
    <m/>
    <n v="98"/>
    <x v="1"/>
    <x v="1"/>
    <m/>
    <m/>
    <m/>
    <m/>
    <m/>
    <m/>
    <n v="8"/>
    <m/>
    <m/>
    <n v="4"/>
    <n v="1"/>
    <n v="1"/>
    <m/>
    <m/>
    <m/>
    <m/>
    <m/>
    <m/>
    <m/>
    <m/>
    <m/>
    <m/>
    <m/>
    <m/>
    <m/>
    <m/>
    <m/>
    <m/>
    <m/>
    <m/>
    <s v="no test"/>
    <s v="no test"/>
    <s v="No Test"/>
    <n v="0"/>
    <n v="0"/>
    <n v="2"/>
    <n v="0"/>
    <n v="0"/>
    <n v="0"/>
    <n v="0"/>
    <m/>
    <n v="0.12243648607284972"/>
    <n v="0.12243648607284972"/>
    <n v="0.12243648607284972"/>
    <n v="133.33333333333334"/>
    <n v="0"/>
    <n v="0"/>
    <n v="0.12243648607284972"/>
    <n v="133.33333333333334"/>
    <n v="0.26666666666666666"/>
    <n v="0.87756351392715026"/>
    <n v="955.66666666666663"/>
    <n v="1.7333333333333334"/>
    <n v="2"/>
    <n v="98"/>
    <n v="1"/>
    <n v="1089"/>
    <n v="0"/>
    <n v="0"/>
    <n v="0"/>
    <n v="54"/>
    <n v="0"/>
    <n v="0"/>
    <n v="0"/>
    <n v="500"/>
    <n v="0"/>
    <n v="0"/>
    <n v="0"/>
    <n v="500"/>
    <n v="0.4591368227731864"/>
    <n v="0.54086317722681354"/>
    <n v="0.4591368227731864"/>
    <n v="0"/>
    <n v="0"/>
    <n v="8"/>
    <n v="160"/>
    <n v="0"/>
    <n v="800"/>
    <s v="No"/>
    <s v=""/>
    <n v="0"/>
    <n v="0"/>
    <n v="0"/>
    <n v="0"/>
    <n v="0"/>
    <n v="0"/>
    <s v="Yes"/>
    <s v="KBC-MYT"/>
    <x v="0"/>
    <x v="2"/>
    <x v="1"/>
    <n v="25.754110000000001"/>
    <n v="98.475719999999995"/>
    <s v="MMR001CMP043"/>
    <x v="0"/>
    <x v="0"/>
    <s v="Yes. KBC is focal"/>
    <n v="178"/>
    <n v="1089"/>
  </r>
  <r>
    <x v="1"/>
    <x v="14"/>
    <x v="12"/>
    <s v="ANCHOR"/>
    <x v="1"/>
    <x v="5"/>
    <x v="0"/>
    <x v="173"/>
    <n v="201"/>
    <n v="885"/>
    <d v="2023-01-01T00:00:00"/>
    <d v="2024-03-31T00:00:00"/>
    <n v="400"/>
    <m/>
    <n v="1"/>
    <m/>
    <s v="Yes"/>
    <n v="4"/>
    <n v="2"/>
    <n v="1"/>
    <m/>
    <m/>
    <m/>
    <m/>
    <m/>
    <m/>
    <n v="3"/>
    <m/>
    <n v="3"/>
    <m/>
    <n v="14"/>
    <m/>
    <n v="10"/>
    <m/>
    <m/>
    <m/>
    <m/>
    <m/>
    <n v="2"/>
    <n v="2"/>
    <m/>
    <m/>
    <n v="32"/>
    <n v="8"/>
    <s v="MRC"/>
    <n v="10"/>
    <n v="3"/>
    <n v="2"/>
    <n v="11.35624"/>
    <n v="50"/>
    <x v="1"/>
    <x v="1"/>
    <m/>
    <m/>
    <m/>
    <m/>
    <m/>
    <m/>
    <n v="1"/>
    <m/>
    <m/>
    <n v="1"/>
    <m/>
    <n v="1"/>
    <n v="1"/>
    <n v="50"/>
    <n v="295"/>
    <s v="Yes"/>
    <n v="1"/>
    <n v="0.5"/>
    <m/>
    <n v="0.8"/>
    <n v="0.8"/>
    <m/>
    <n v="1"/>
    <m/>
    <m/>
    <m/>
    <m/>
    <m/>
    <m/>
    <m/>
    <s v="no test"/>
    <s v="no test"/>
    <s v="No Test"/>
    <n v="1"/>
    <n v="0"/>
    <n v="3"/>
    <n v="0"/>
    <n v="0"/>
    <n v="885"/>
    <n v="0"/>
    <m/>
    <n v="0.67796610169491522"/>
    <n v="0.50847457627118642"/>
    <n v="0.67796610169491522"/>
    <n v="600"/>
    <n v="1"/>
    <n v="885"/>
    <n v="1"/>
    <n v="885"/>
    <n v="1.77"/>
    <n v="0"/>
    <n v="0"/>
    <n v="0.22999999999999998"/>
    <n v="2"/>
    <n v="30"/>
    <n v="0.67796610169491522"/>
    <n v="600"/>
    <n v="40"/>
    <n v="0"/>
    <n v="0"/>
    <n v="44"/>
    <n v="4"/>
    <n v="0.32203389830508478"/>
    <n v="0.25"/>
    <n v="885"/>
    <n v="250"/>
    <n v="295"/>
    <n v="295"/>
    <n v="885"/>
    <n v="1"/>
    <n v="0"/>
    <n v="1"/>
    <n v="0.99502487562189057"/>
    <n v="1"/>
    <n v="1"/>
    <n v="20"/>
    <n v="2"/>
    <n v="100"/>
    <s v="Yes"/>
    <s v=""/>
    <n v="708"/>
    <n v="708"/>
    <n v="885"/>
    <n v="885"/>
    <n v="885"/>
    <n v="0"/>
    <s v="Yes"/>
    <s v="Shalom"/>
    <x v="0"/>
    <x v="2"/>
    <x v="0"/>
    <n v="25.887339999999998"/>
    <n v="98.129990000000006"/>
    <s v="MMR001CMP195"/>
    <x v="0"/>
    <x v="2"/>
    <s v="Yes, Focal is Shalom"/>
    <n v="179"/>
    <n v="860"/>
  </r>
  <r>
    <x v="1"/>
    <x v="14"/>
    <x v="12"/>
    <s v="ANCHOR"/>
    <x v="1"/>
    <x v="6"/>
    <x v="0"/>
    <x v="174"/>
    <n v="96"/>
    <n v="446"/>
    <d v="2023-01-01T00:00:00"/>
    <d v="2024-03-31T00:00:00"/>
    <n v="50"/>
    <m/>
    <n v="1"/>
    <n v="1"/>
    <s v="No"/>
    <n v="5"/>
    <n v="5"/>
    <n v="3"/>
    <m/>
    <m/>
    <m/>
    <m/>
    <m/>
    <m/>
    <n v="4"/>
    <m/>
    <n v="5.6781180000000004"/>
    <m/>
    <m/>
    <m/>
    <m/>
    <n v="1"/>
    <m/>
    <m/>
    <m/>
    <m/>
    <m/>
    <m/>
    <m/>
    <m/>
    <n v="4"/>
    <n v="14"/>
    <s v="Chruch , Shalom"/>
    <m/>
    <m/>
    <m/>
    <m/>
    <m/>
    <x v="1"/>
    <x v="0"/>
    <m/>
    <m/>
    <m/>
    <m/>
    <n v="8"/>
    <s v="New Latrine လိုအပ်"/>
    <n v="4"/>
    <n v="3"/>
    <n v="1"/>
    <n v="1"/>
    <n v="1"/>
    <n v="1"/>
    <m/>
    <n v="96"/>
    <n v="99"/>
    <m/>
    <n v="1"/>
    <m/>
    <s v="45 နှစ်အထက် အမျိုးသမီးများလည်း လစဉ်သုံးပေးစေလို"/>
    <n v="1"/>
    <n v="1"/>
    <n v="30"/>
    <n v="0.7"/>
    <m/>
    <m/>
    <m/>
    <m/>
    <m/>
    <m/>
    <m/>
    <s v="no test"/>
    <s v="no test"/>
    <s v="No Test"/>
    <n v="3"/>
    <n v="0"/>
    <n v="4"/>
    <n v="0"/>
    <n v="0"/>
    <n v="0"/>
    <n v="0"/>
    <m/>
    <n v="1"/>
    <n v="1"/>
    <n v="1"/>
    <n v="446"/>
    <n v="0"/>
    <n v="0"/>
    <n v="1"/>
    <n v="446"/>
    <n v="0.89200000000000002"/>
    <n v="0"/>
    <n v="0"/>
    <n v="0.10799999999999998"/>
    <n v="1"/>
    <n v="18"/>
    <n v="0.82511210762331844"/>
    <n v="368"/>
    <n v="0"/>
    <n v="0"/>
    <n v="0"/>
    <n v="22"/>
    <n v="4"/>
    <n v="0.17488789237668156"/>
    <n v="0"/>
    <n v="446"/>
    <n v="446"/>
    <n v="99"/>
    <n v="446"/>
    <n v="446"/>
    <n v="1"/>
    <n v="0"/>
    <n v="1"/>
    <n v="1"/>
    <n v="1"/>
    <n v="1"/>
    <n v="20"/>
    <n v="0"/>
    <n v="100"/>
    <s v="Yes"/>
    <n v="6.726457399103139E-2"/>
    <n v="446"/>
    <n v="446"/>
    <n v="312.2"/>
    <n v="446"/>
    <n v="0"/>
    <n v="0"/>
    <s v="Yes"/>
    <s v="Shalom"/>
    <x v="0"/>
    <x v="2"/>
    <x v="0"/>
    <n v="25.635300000000001"/>
    <n v="96.345569999999995"/>
    <s v="MMR001CMP176"/>
    <x v="0"/>
    <x v="2"/>
    <s v="Yes. Focal is Shalom"/>
    <n v="96"/>
    <n v="448"/>
  </r>
  <r>
    <x v="1"/>
    <x v="14"/>
    <x v="12"/>
    <s v="ANCHOR"/>
    <x v="1"/>
    <x v="6"/>
    <x v="0"/>
    <x v="175"/>
    <n v="13"/>
    <n v="70"/>
    <d v="2023-01-01T00:00:00"/>
    <d v="2024-03-31T00:00:00"/>
    <n v="25"/>
    <m/>
    <n v="1"/>
    <m/>
    <s v="Yes"/>
    <n v="1"/>
    <n v="4"/>
    <n v="1"/>
    <m/>
    <m/>
    <m/>
    <m/>
    <m/>
    <m/>
    <n v="2"/>
    <m/>
    <n v="2"/>
    <m/>
    <n v="1"/>
    <m/>
    <m/>
    <m/>
    <m/>
    <n v="1"/>
    <m/>
    <m/>
    <n v="3"/>
    <m/>
    <m/>
    <s v="new dugwell "/>
    <n v="5"/>
    <m/>
    <s v="Shalom"/>
    <n v="2"/>
    <n v="2"/>
    <m/>
    <m/>
    <m/>
    <x v="1"/>
    <x v="0"/>
    <m/>
    <m/>
    <m/>
    <m/>
    <m/>
    <m/>
    <n v="3"/>
    <m/>
    <m/>
    <m/>
    <m/>
    <m/>
    <n v="1"/>
    <n v="13"/>
    <n v="18"/>
    <s v="No"/>
    <n v="1"/>
    <n v="0.4"/>
    <m/>
    <n v="0.5"/>
    <n v="0.5"/>
    <m/>
    <n v="0.5"/>
    <m/>
    <m/>
    <m/>
    <m/>
    <m/>
    <m/>
    <m/>
    <s v="no test"/>
    <s v="no test"/>
    <s v="No Test"/>
    <n v="1"/>
    <n v="0"/>
    <n v="2"/>
    <n v="0"/>
    <n v="0"/>
    <n v="0"/>
    <n v="0"/>
    <m/>
    <n v="1"/>
    <n v="1"/>
    <n v="1"/>
    <n v="70"/>
    <n v="1"/>
    <n v="70"/>
    <n v="1"/>
    <n v="70"/>
    <n v="0.14000000000000001"/>
    <n v="0"/>
    <n v="0"/>
    <n v="0.86"/>
    <n v="1"/>
    <n v="3"/>
    <n v="0.8571428571428571"/>
    <n v="60"/>
    <n v="0"/>
    <n v="0"/>
    <n v="0"/>
    <n v="4"/>
    <n v="0"/>
    <n v="0.1428571428571429"/>
    <n v="0.4"/>
    <n v="70"/>
    <n v="70"/>
    <n v="18"/>
    <n v="70"/>
    <n v="70"/>
    <n v="1"/>
    <n v="0"/>
    <n v="1"/>
    <n v="1"/>
    <n v="1"/>
    <n v="3"/>
    <n v="13"/>
    <n v="0"/>
    <n v="70"/>
    <s v="Yes"/>
    <s v=""/>
    <n v="35"/>
    <n v="35"/>
    <n v="35"/>
    <n v="35"/>
    <n v="0"/>
    <n v="0"/>
    <s v="Yes"/>
    <s v="Shalom"/>
    <x v="0"/>
    <x v="2"/>
    <x v="0"/>
    <n v="25.616509000000001"/>
    <n v="96.317350000000005"/>
    <s v="MMR001CMP190"/>
    <x v="0"/>
    <x v="2"/>
    <s v="Yes. Focal is Shalom"/>
    <n v="22"/>
    <n v="115"/>
  </r>
  <r>
    <x v="1"/>
    <x v="14"/>
    <x v="12"/>
    <s v="ANCHOR"/>
    <x v="1"/>
    <x v="6"/>
    <x v="0"/>
    <x v="176"/>
    <n v="40"/>
    <n v="249"/>
    <d v="2023-01-01T00:00:00"/>
    <d v="2024-03-31T00:00:00"/>
    <n v="80"/>
    <m/>
    <n v="1"/>
    <m/>
    <s v="Yes"/>
    <n v="1"/>
    <n v="5"/>
    <n v="2"/>
    <m/>
    <m/>
    <m/>
    <n v="1"/>
    <m/>
    <m/>
    <m/>
    <m/>
    <m/>
    <m/>
    <n v="1"/>
    <m/>
    <m/>
    <n v="1"/>
    <m/>
    <m/>
    <m/>
    <m/>
    <m/>
    <m/>
    <m/>
    <m/>
    <n v="10"/>
    <m/>
    <s v="Shalom"/>
    <m/>
    <m/>
    <m/>
    <m/>
    <m/>
    <x v="1"/>
    <x v="1"/>
    <m/>
    <m/>
    <m/>
    <m/>
    <m/>
    <s v="ရေနုတ်မြှောင်းပြုပြင်ရန်လို"/>
    <n v="2"/>
    <m/>
    <n v="4"/>
    <n v="3"/>
    <m/>
    <m/>
    <n v="1"/>
    <n v="40"/>
    <n v="55"/>
    <s v="Yes"/>
    <n v="1"/>
    <n v="0.2"/>
    <s v="hygiene kits ကို ၄၅ နှစ်အထက်ပေးစေလို "/>
    <n v="0.8"/>
    <n v="0.7"/>
    <n v="10"/>
    <n v="0.7"/>
    <m/>
    <m/>
    <m/>
    <m/>
    <m/>
    <m/>
    <m/>
    <s v="no test"/>
    <s v="no test"/>
    <s v="No Test"/>
    <n v="2"/>
    <n v="1"/>
    <n v="0"/>
    <n v="0"/>
    <n v="0"/>
    <n v="0"/>
    <n v="0"/>
    <m/>
    <n v="1"/>
    <n v="1"/>
    <n v="1"/>
    <n v="249"/>
    <n v="1"/>
    <n v="249"/>
    <n v="1"/>
    <n v="249"/>
    <n v="0.498"/>
    <n v="0"/>
    <n v="0"/>
    <n v="0.502"/>
    <n v="1"/>
    <n v="10"/>
    <n v="0.80321285140562249"/>
    <n v="200"/>
    <n v="0"/>
    <n v="0"/>
    <n v="0"/>
    <n v="12"/>
    <n v="2"/>
    <n v="0.19678714859437751"/>
    <n v="0"/>
    <n v="249"/>
    <n v="249"/>
    <n v="55"/>
    <n v="249"/>
    <n v="249"/>
    <n v="1"/>
    <n v="0"/>
    <n v="1"/>
    <n v="1"/>
    <n v="1"/>
    <n v="2"/>
    <n v="40"/>
    <n v="0"/>
    <n v="200"/>
    <s v="Yes"/>
    <n v="4.0160642570281124E-2"/>
    <n v="199.20000000000002"/>
    <n v="174.29999999999998"/>
    <n v="174.29999999999998"/>
    <n v="199.20000000000002"/>
    <n v="0"/>
    <n v="0"/>
    <s v="Yes"/>
    <s v="KBC-MYT"/>
    <x v="0"/>
    <x v="2"/>
    <x v="0"/>
    <n v="25.647649999999999"/>
    <n v="96.346469999999997"/>
    <s v="MMR001CMP169"/>
    <x v="0"/>
    <x v="2"/>
    <s v="Yes. Focal is Shalom"/>
    <n v="40"/>
    <n v="245"/>
  </r>
  <r>
    <x v="1"/>
    <x v="14"/>
    <x v="12"/>
    <s v="ANCHOR"/>
    <x v="1"/>
    <x v="6"/>
    <x v="0"/>
    <x v="178"/>
    <n v="91"/>
    <n v="451"/>
    <d v="2023-01-01T00:00:00"/>
    <d v="2024-03-31T00:00:00"/>
    <n v="199"/>
    <m/>
    <n v="1"/>
    <m/>
    <s v="Yes"/>
    <n v="3"/>
    <n v="6"/>
    <n v="1"/>
    <m/>
    <m/>
    <n v="1"/>
    <m/>
    <m/>
    <m/>
    <m/>
    <m/>
    <m/>
    <m/>
    <n v="1"/>
    <m/>
    <m/>
    <n v="1"/>
    <m/>
    <m/>
    <m/>
    <m/>
    <n v="1"/>
    <n v="1"/>
    <n v="1"/>
    <s v="ရေထွက်ပင်ရင်းနောက်တိုးလိုအပ်"/>
    <n v="23"/>
    <m/>
    <m/>
    <n v="1"/>
    <n v="19"/>
    <m/>
    <m/>
    <m/>
    <x v="1"/>
    <x v="1"/>
    <m/>
    <m/>
    <m/>
    <m/>
    <n v="3"/>
    <s v="အိမ်သာပြုပြင်ရန်လိုအပ်"/>
    <n v="6"/>
    <n v="2"/>
    <m/>
    <n v="3"/>
    <m/>
    <m/>
    <n v="1"/>
    <n v="91"/>
    <n v="131"/>
    <s v="No"/>
    <n v="1"/>
    <n v="0.3"/>
    <s v="ဆက်လက်သင်တန်းပို့ချလှင်ကောင်း"/>
    <n v="0.4"/>
    <n v="0.4"/>
    <n v="20"/>
    <n v="0.5"/>
    <m/>
    <m/>
    <m/>
    <m/>
    <m/>
    <m/>
    <m/>
    <s v="no test"/>
    <s v="no test"/>
    <s v="No Test"/>
    <n v="1"/>
    <n v="1"/>
    <n v="0"/>
    <n v="0"/>
    <n v="0"/>
    <n v="451"/>
    <n v="451"/>
    <m/>
    <n v="1"/>
    <n v="1"/>
    <n v="1"/>
    <n v="451"/>
    <n v="0.55432372505543237"/>
    <n v="250"/>
    <n v="1"/>
    <n v="451"/>
    <n v="0.90200000000000002"/>
    <n v="0"/>
    <n v="0"/>
    <n v="9.7999999999999976E-2"/>
    <n v="1"/>
    <n v="22"/>
    <n v="0.9822616407982262"/>
    <n v="443"/>
    <n v="0"/>
    <n v="0"/>
    <n v="0"/>
    <n v="23"/>
    <n v="0"/>
    <n v="1.7738359201773801E-2"/>
    <n v="4.3478260869565216E-2"/>
    <n v="451"/>
    <n v="451"/>
    <n v="131"/>
    <n v="451"/>
    <n v="451"/>
    <n v="1"/>
    <n v="0"/>
    <n v="1"/>
    <n v="1"/>
    <n v="1"/>
    <n v="4"/>
    <n v="80"/>
    <n v="0"/>
    <n v="400"/>
    <s v="Yes"/>
    <n v="4.4345898004434593E-2"/>
    <n v="180.4"/>
    <n v="180.4"/>
    <n v="225.5"/>
    <n v="225.5"/>
    <n v="451"/>
    <n v="451"/>
    <s v="Yes"/>
    <s v="Shalom"/>
    <x v="0"/>
    <x v="2"/>
    <x v="0"/>
    <n v="25.637309999999999"/>
    <n v="96.35257"/>
    <s v="MMR001CMP174"/>
    <x v="0"/>
    <x v="2"/>
    <s v="Yes. Focal is Shalom"/>
    <n v="91"/>
    <n v="454"/>
  </r>
  <r>
    <x v="1"/>
    <x v="18"/>
    <x v="20"/>
    <s v="UNICEF"/>
    <x v="1"/>
    <x v="6"/>
    <x v="0"/>
    <x v="7"/>
    <n v="26"/>
    <n v="126"/>
    <d v="2022-09-07T00:00:00"/>
    <d v="2023-09-06T00:00:00"/>
    <m/>
    <n v="1"/>
    <m/>
    <m/>
    <s v="Yes"/>
    <n v="3"/>
    <n v="3"/>
    <n v="1"/>
    <m/>
    <m/>
    <m/>
    <m/>
    <m/>
    <m/>
    <m/>
    <m/>
    <m/>
    <m/>
    <m/>
    <m/>
    <m/>
    <n v="1"/>
    <m/>
    <m/>
    <m/>
    <m/>
    <m/>
    <m/>
    <m/>
    <m/>
    <n v="4"/>
    <m/>
    <m/>
    <m/>
    <m/>
    <m/>
    <m/>
    <n v="4"/>
    <x v="1"/>
    <x v="1"/>
    <m/>
    <m/>
    <m/>
    <m/>
    <m/>
    <m/>
    <n v="1"/>
    <m/>
    <m/>
    <n v="1"/>
    <m/>
    <m/>
    <n v="1"/>
    <m/>
    <m/>
    <m/>
    <m/>
    <m/>
    <m/>
    <m/>
    <m/>
    <m/>
    <m/>
    <m/>
    <m/>
    <m/>
    <m/>
    <m/>
    <m/>
    <m/>
    <s v="no test"/>
    <s v="no test"/>
    <s v="No Test"/>
    <n v="1"/>
    <n v="0"/>
    <n v="0"/>
    <n v="0"/>
    <n v="0"/>
    <n v="0"/>
    <n v="0"/>
    <m/>
    <n v="1"/>
    <n v="1"/>
    <n v="1"/>
    <n v="126"/>
    <n v="0"/>
    <n v="0"/>
    <n v="1"/>
    <n v="126"/>
    <n v="0.252"/>
    <n v="0"/>
    <n v="0"/>
    <n v="0.748"/>
    <n v="1"/>
    <n v="4"/>
    <n v="0.63492063492063489"/>
    <n v="80"/>
    <n v="0"/>
    <n v="0"/>
    <n v="0"/>
    <n v="6"/>
    <n v="2"/>
    <n v="0.36507936507936511"/>
    <n v="0"/>
    <n v="126"/>
    <n v="0"/>
    <n v="0"/>
    <n v="0"/>
    <n v="126"/>
    <n v="1"/>
    <n v="0"/>
    <n v="1"/>
    <n v="0"/>
    <n v="0"/>
    <n v="1"/>
    <n v="20"/>
    <n v="0"/>
    <n v="100"/>
    <s v="No"/>
    <s v=""/>
    <n v="0"/>
    <n v="0"/>
    <n v="0"/>
    <n v="0"/>
    <n v="0"/>
    <n v="0"/>
    <s v="Yes"/>
    <s v="KBC-MYT"/>
    <x v="0"/>
    <x v="2"/>
    <x v="0"/>
    <n v="25.51352"/>
    <n v="96.705960000000005"/>
    <s v="MMR001CMP148"/>
    <x v="0"/>
    <x v="0"/>
    <s v="Yes, planning to move to Karmaing KawngRa ward. KBC is focal"/>
    <n v="26"/>
    <n v="128"/>
  </r>
  <r>
    <x v="1"/>
    <x v="14"/>
    <x v="12"/>
    <s v="ANCHOR"/>
    <x v="1"/>
    <x v="6"/>
    <x v="0"/>
    <x v="179"/>
    <n v="95"/>
    <n v="471"/>
    <d v="2023-01-01T00:00:00"/>
    <d v="2024-03-31T00:00:00"/>
    <n v="90"/>
    <m/>
    <n v="1"/>
    <m/>
    <s v="No"/>
    <n v="7"/>
    <n v="3"/>
    <m/>
    <m/>
    <m/>
    <m/>
    <m/>
    <m/>
    <m/>
    <n v="2"/>
    <m/>
    <n v="1"/>
    <m/>
    <n v="2"/>
    <m/>
    <n v="7"/>
    <n v="1"/>
    <m/>
    <m/>
    <m/>
    <m/>
    <n v="1"/>
    <m/>
    <m/>
    <s v="ရေအရည်သွေးစစ်ဆေးမူပြုလုပ်စေချင်။ "/>
    <n v="14"/>
    <m/>
    <s v="Shalom"/>
    <m/>
    <m/>
    <n v="3"/>
    <m/>
    <m/>
    <x v="1"/>
    <x v="1"/>
    <m/>
    <m/>
    <m/>
    <m/>
    <m/>
    <m/>
    <n v="3"/>
    <m/>
    <m/>
    <n v="2"/>
    <m/>
    <n v="1"/>
    <m/>
    <n v="100"/>
    <n v="138"/>
    <s v="No"/>
    <n v="1"/>
    <n v="0.5"/>
    <s v="၃ လတစ်ကြိမ် Hygiene promotion ပြုလုပ်လျှင်အဆင်ပြေ"/>
    <n v="1"/>
    <n v="1"/>
    <n v="10"/>
    <n v="1"/>
    <m/>
    <m/>
    <m/>
    <m/>
    <m/>
    <m/>
    <m/>
    <s v="no test"/>
    <s v="no test"/>
    <s v="No Test"/>
    <n v="0"/>
    <n v="0"/>
    <n v="2"/>
    <n v="0"/>
    <n v="0"/>
    <n v="0"/>
    <n v="0"/>
    <m/>
    <n v="0.28308563340410475"/>
    <n v="0.28308563340410475"/>
    <n v="0.28308563340410475"/>
    <n v="133.33333333333334"/>
    <n v="1"/>
    <n v="471"/>
    <n v="1"/>
    <n v="471"/>
    <n v="0.94199999999999995"/>
    <n v="0"/>
    <n v="0"/>
    <n v="5.8000000000000052E-2"/>
    <n v="1"/>
    <n v="14"/>
    <n v="0.59447983014861994"/>
    <n v="280"/>
    <n v="60"/>
    <n v="0"/>
    <n v="0"/>
    <n v="24"/>
    <n v="10"/>
    <n v="0.40552016985138006"/>
    <n v="0"/>
    <n v="471"/>
    <n v="471"/>
    <n v="138"/>
    <n v="471"/>
    <n v="471"/>
    <n v="1"/>
    <n v="0"/>
    <n v="1"/>
    <n v="1"/>
    <n v="1"/>
    <n v="3"/>
    <n v="60"/>
    <n v="0"/>
    <n v="300"/>
    <s v="Yes"/>
    <n v="2.1231422505307854E-2"/>
    <n v="471"/>
    <n v="471"/>
    <n v="471"/>
    <n v="471"/>
    <n v="0"/>
    <n v="0"/>
    <s v="Yes"/>
    <s v="KBC-MYT"/>
    <x v="0"/>
    <x v="2"/>
    <x v="0"/>
    <n v="25.611160000000002"/>
    <n v="96.312790000000007"/>
    <s v="MMR001CMP229"/>
    <x v="0"/>
    <x v="2"/>
    <s v="Yes. Focal is Shalom"/>
    <n v="83"/>
    <n v="413"/>
  </r>
  <r>
    <x v="1"/>
    <x v="14"/>
    <x v="12"/>
    <s v="ANCHOR"/>
    <x v="1"/>
    <x v="6"/>
    <x v="0"/>
    <x v="180"/>
    <n v="124"/>
    <n v="634"/>
    <d v="2023-01-01T00:00:00"/>
    <d v="2024-03-31T00:00:00"/>
    <m/>
    <m/>
    <n v="1"/>
    <m/>
    <s v="Yes"/>
    <n v="4"/>
    <n v="6"/>
    <n v="1"/>
    <m/>
    <m/>
    <n v="1"/>
    <n v="1"/>
    <n v="1"/>
    <m/>
    <n v="1"/>
    <m/>
    <n v="1"/>
    <m/>
    <n v="1"/>
    <m/>
    <n v="5"/>
    <n v="5"/>
    <m/>
    <m/>
    <m/>
    <m/>
    <n v="2"/>
    <m/>
    <m/>
    <m/>
    <n v="29"/>
    <m/>
    <s v="Shalom"/>
    <m/>
    <m/>
    <n v="13"/>
    <m/>
    <m/>
    <x v="1"/>
    <x v="1"/>
    <m/>
    <m/>
    <m/>
    <m/>
    <n v="6"/>
    <m/>
    <n v="7"/>
    <n v="4"/>
    <m/>
    <n v="4"/>
    <m/>
    <m/>
    <n v="1"/>
    <n v="124"/>
    <n v="118"/>
    <s v="No"/>
    <n v="1"/>
    <n v="0.8"/>
    <s v="Hygiene Kits and capacity building training"/>
    <n v="1"/>
    <n v="1"/>
    <n v="80"/>
    <n v="1"/>
    <m/>
    <m/>
    <m/>
    <m/>
    <m/>
    <m/>
    <m/>
    <s v="no test"/>
    <s v="no test"/>
    <s v="No Test"/>
    <n v="1"/>
    <n v="1"/>
    <n v="1"/>
    <n v="0"/>
    <n v="0"/>
    <n v="0"/>
    <n v="0"/>
    <m/>
    <n v="1"/>
    <n v="0.89379600420609884"/>
    <n v="1"/>
    <n v="634"/>
    <n v="0.39432176656151419"/>
    <n v="250"/>
    <n v="1"/>
    <n v="634"/>
    <n v="1.268"/>
    <n v="0"/>
    <n v="0"/>
    <n v="0"/>
    <n v="1"/>
    <n v="29"/>
    <n v="0.9242902208201893"/>
    <n v="586"/>
    <n v="260"/>
    <n v="0"/>
    <n v="0"/>
    <n v="32"/>
    <n v="3"/>
    <n v="7.5709779179810699E-2"/>
    <n v="0"/>
    <n v="500"/>
    <n v="634"/>
    <n v="118"/>
    <n v="634"/>
    <n v="634"/>
    <n v="1"/>
    <n v="0"/>
    <n v="0.78864353312302837"/>
    <n v="1"/>
    <n v="0.95161290322580649"/>
    <n v="3"/>
    <n v="60"/>
    <n v="0"/>
    <n v="300"/>
    <s v="No"/>
    <n v="0.12618296529968454"/>
    <n v="634"/>
    <n v="634"/>
    <n v="634"/>
    <n v="634"/>
    <n v="0"/>
    <n v="0"/>
    <s v="Yes"/>
    <s v="KBC-MYT"/>
    <x v="0"/>
    <x v="2"/>
    <x v="0"/>
    <n v="25.664000000000001"/>
    <n v="96.34"/>
    <s v="MMR001CMP250"/>
    <x v="0"/>
    <x v="2"/>
    <s v="Yes. Focal is Shalom"/>
    <n v="122"/>
    <n v="630"/>
  </r>
  <r>
    <x v="1"/>
    <x v="14"/>
    <x v="12"/>
    <s v="ANCHOR"/>
    <x v="1"/>
    <x v="6"/>
    <x v="0"/>
    <x v="181"/>
    <n v="19"/>
    <n v="107"/>
    <d v="2023-01-01T00:00:00"/>
    <d v="2024-03-31T00:00:00"/>
    <m/>
    <m/>
    <n v="1"/>
    <m/>
    <s v="No"/>
    <n v="3"/>
    <n v="2"/>
    <n v="1"/>
    <m/>
    <m/>
    <m/>
    <m/>
    <m/>
    <m/>
    <m/>
    <m/>
    <m/>
    <m/>
    <m/>
    <m/>
    <m/>
    <n v="1"/>
    <n v="1"/>
    <n v="1"/>
    <n v="1"/>
    <m/>
    <m/>
    <m/>
    <m/>
    <m/>
    <n v="8"/>
    <m/>
    <s v="Shalom"/>
    <m/>
    <m/>
    <m/>
    <m/>
    <m/>
    <x v="1"/>
    <x v="1"/>
    <m/>
    <m/>
    <m/>
    <m/>
    <m/>
    <m/>
    <n v="2"/>
    <n v="2"/>
    <m/>
    <n v="2"/>
    <m/>
    <n v="1"/>
    <m/>
    <n v="19"/>
    <n v="29"/>
    <s v="No"/>
    <m/>
    <n v="0.65"/>
    <m/>
    <n v="0.8"/>
    <n v="0.85"/>
    <m/>
    <n v="1"/>
    <m/>
    <m/>
    <m/>
    <m/>
    <m/>
    <m/>
    <m/>
    <n v="1"/>
    <n v="0"/>
    <s v="Tested"/>
    <n v="1"/>
    <n v="0"/>
    <n v="0"/>
    <n v="0"/>
    <n v="0"/>
    <n v="0"/>
    <n v="0"/>
    <m/>
    <n v="1"/>
    <n v="1"/>
    <n v="1"/>
    <n v="107"/>
    <n v="0"/>
    <n v="0"/>
    <n v="1"/>
    <n v="107"/>
    <n v="0.214"/>
    <n v="0"/>
    <n v="0"/>
    <n v="0.78600000000000003"/>
    <n v="1"/>
    <n v="8"/>
    <n v="1"/>
    <n v="107"/>
    <n v="0"/>
    <n v="0"/>
    <n v="0"/>
    <n v="5"/>
    <n v="0"/>
    <n v="0"/>
    <n v="0"/>
    <n v="107"/>
    <n v="107"/>
    <n v="29"/>
    <n v="107"/>
    <n v="107"/>
    <n v="1"/>
    <n v="0"/>
    <n v="1"/>
    <n v="1"/>
    <n v="1"/>
    <n v="0"/>
    <n v="0"/>
    <n v="0"/>
    <n v="0"/>
    <s v="No"/>
    <s v=""/>
    <n v="85.600000000000009"/>
    <n v="90.95"/>
    <n v="107"/>
    <n v="107"/>
    <n v="0"/>
    <n v="0"/>
    <s v="Yes"/>
    <s v="Shalom"/>
    <x v="0"/>
    <x v="2"/>
    <x v="0"/>
    <n v="25.566510000000001"/>
    <n v="96.269199999999998"/>
    <s v="MMR001CMP181"/>
    <x v="0"/>
    <x v="2"/>
    <s v="Yes. Focal is Shalom"/>
    <n v="19"/>
    <n v="108"/>
  </r>
  <r>
    <x v="1"/>
    <x v="14"/>
    <x v="12"/>
    <s v="ANCHOR"/>
    <x v="1"/>
    <x v="6"/>
    <x v="0"/>
    <x v="182"/>
    <n v="10"/>
    <n v="56"/>
    <d v="2023-01-01T00:00:00"/>
    <d v="2024-03-31T00:00:00"/>
    <n v="18"/>
    <m/>
    <n v="1"/>
    <m/>
    <s v="Yes"/>
    <n v="3"/>
    <n v="4"/>
    <n v="1"/>
    <m/>
    <m/>
    <n v="1"/>
    <m/>
    <m/>
    <m/>
    <m/>
    <m/>
    <m/>
    <m/>
    <m/>
    <m/>
    <n v="1"/>
    <n v="1"/>
    <n v="1"/>
    <n v="1"/>
    <m/>
    <m/>
    <m/>
    <m/>
    <m/>
    <s v="ရေအရည်သွေးစစ်ဆေးမူပြုလုပ်စေချင်။ "/>
    <n v="2"/>
    <m/>
    <s v="Shalom"/>
    <m/>
    <m/>
    <m/>
    <m/>
    <m/>
    <x v="1"/>
    <x v="1"/>
    <m/>
    <m/>
    <m/>
    <m/>
    <m/>
    <m/>
    <n v="3"/>
    <m/>
    <m/>
    <n v="2"/>
    <n v="2"/>
    <m/>
    <n v="1"/>
    <n v="10"/>
    <n v="11"/>
    <m/>
    <n v="3"/>
    <n v="0.15"/>
    <s v="Needed hygiene kits"/>
    <n v="0.75"/>
    <n v="0.89"/>
    <m/>
    <n v="0.75"/>
    <m/>
    <m/>
    <m/>
    <m/>
    <m/>
    <m/>
    <m/>
    <n v="1"/>
    <s v="no test"/>
    <s v="Tested"/>
    <n v="1"/>
    <n v="1"/>
    <n v="0"/>
    <n v="0"/>
    <n v="0"/>
    <n v="0"/>
    <n v="0"/>
    <m/>
    <n v="1"/>
    <n v="1"/>
    <n v="1"/>
    <n v="56"/>
    <n v="0"/>
    <n v="0"/>
    <n v="1"/>
    <n v="56"/>
    <n v="0.112"/>
    <n v="0"/>
    <n v="0"/>
    <n v="0.88800000000000001"/>
    <n v="1"/>
    <n v="2"/>
    <n v="0.7142857142857143"/>
    <n v="40"/>
    <n v="0"/>
    <n v="0"/>
    <n v="0"/>
    <n v="3"/>
    <n v="1"/>
    <n v="0.2857142857142857"/>
    <n v="0"/>
    <n v="56"/>
    <n v="56"/>
    <n v="11"/>
    <n v="56"/>
    <n v="56"/>
    <n v="1"/>
    <n v="0"/>
    <n v="1"/>
    <n v="1"/>
    <n v="1"/>
    <n v="3"/>
    <n v="10"/>
    <n v="0"/>
    <n v="56"/>
    <s v="Yes"/>
    <s v=""/>
    <n v="42"/>
    <n v="49.84"/>
    <n v="42"/>
    <n v="49.84"/>
    <n v="0"/>
    <n v="0"/>
    <s v="Yes"/>
    <s v="Shalom"/>
    <x v="0"/>
    <x v="2"/>
    <x v="0"/>
    <n v="25.61842"/>
    <n v="96.316400000000002"/>
    <s v="MMR001CMP167"/>
    <x v="0"/>
    <x v="2"/>
    <s v="Yes. Focal is Shalom"/>
    <n v="10"/>
    <n v="58"/>
  </r>
  <r>
    <x v="1"/>
    <x v="13"/>
    <x v="11"/>
    <m/>
    <x v="1"/>
    <x v="6"/>
    <x v="0"/>
    <x v="128"/>
    <n v="3"/>
    <n v="15"/>
    <m/>
    <m/>
    <m/>
    <m/>
    <m/>
    <m/>
    <s v="Yes"/>
    <m/>
    <n v="5"/>
    <n v="1"/>
    <m/>
    <m/>
    <n v="1"/>
    <m/>
    <m/>
    <m/>
    <m/>
    <m/>
    <m/>
    <m/>
    <m/>
    <m/>
    <m/>
    <n v="1"/>
    <m/>
    <m/>
    <m/>
    <m/>
    <m/>
    <m/>
    <m/>
    <m/>
    <m/>
    <m/>
    <m/>
    <m/>
    <m/>
    <m/>
    <m/>
    <m/>
    <x v="1"/>
    <x v="3"/>
    <m/>
    <m/>
    <m/>
    <m/>
    <m/>
    <m/>
    <n v="7"/>
    <m/>
    <m/>
    <n v="4"/>
    <m/>
    <m/>
    <m/>
    <m/>
    <m/>
    <m/>
    <m/>
    <m/>
    <m/>
    <m/>
    <m/>
    <m/>
    <m/>
    <m/>
    <m/>
    <m/>
    <m/>
    <m/>
    <m/>
    <m/>
    <s v="no test"/>
    <s v="no test"/>
    <s v="No Test"/>
    <n v="1"/>
    <n v="1"/>
    <n v="0"/>
    <n v="0"/>
    <n v="0"/>
    <n v="0"/>
    <n v="0"/>
    <m/>
    <n v="1"/>
    <n v="1"/>
    <n v="1"/>
    <n v="15"/>
    <n v="0"/>
    <n v="0"/>
    <n v="1"/>
    <n v="15"/>
    <n v="0.03"/>
    <n v="0"/>
    <n v="0"/>
    <n v="0.97"/>
    <n v="1"/>
    <n v="0"/>
    <n v="0"/>
    <n v="0"/>
    <n v="0"/>
    <n v="0"/>
    <n v="0"/>
    <n v="1"/>
    <n v="1"/>
    <n v="1"/>
    <n v="0"/>
    <n v="0"/>
    <n v="0"/>
    <n v="0"/>
    <n v="0"/>
    <n v="0"/>
    <n v="0"/>
    <n v="1"/>
    <n v="0"/>
    <n v="0"/>
    <n v="0"/>
    <n v="7"/>
    <n v="3"/>
    <n v="0"/>
    <n v="15"/>
    <s v="No"/>
    <s v=""/>
    <n v="0"/>
    <n v="0"/>
    <n v="0"/>
    <n v="0"/>
    <n v="0"/>
    <n v="0"/>
    <s v="Yes"/>
    <s v="Shalom"/>
    <x v="0"/>
    <x v="0"/>
    <x v="0"/>
    <n v="25.6145"/>
    <n v="96.319829999999996"/>
    <s v="MMR001CMP091"/>
    <x v="1"/>
    <x v="1"/>
    <s v="yes"/>
    <n v="3"/>
    <n v="14"/>
  </r>
  <r>
    <x v="1"/>
    <x v="18"/>
    <x v="20"/>
    <s v="UNICEF"/>
    <x v="1"/>
    <x v="6"/>
    <x v="0"/>
    <x v="8"/>
    <n v="24"/>
    <n v="105"/>
    <d v="2022-09-07T00:00:00"/>
    <d v="2023-09-06T00:00:00"/>
    <m/>
    <n v="1"/>
    <m/>
    <m/>
    <m/>
    <n v="2"/>
    <n v="2"/>
    <n v="2"/>
    <m/>
    <m/>
    <m/>
    <m/>
    <m/>
    <m/>
    <m/>
    <m/>
    <m/>
    <m/>
    <m/>
    <m/>
    <m/>
    <n v="2"/>
    <m/>
    <m/>
    <m/>
    <m/>
    <m/>
    <m/>
    <m/>
    <m/>
    <m/>
    <m/>
    <m/>
    <m/>
    <m/>
    <m/>
    <m/>
    <m/>
    <x v="2"/>
    <x v="2"/>
    <m/>
    <m/>
    <m/>
    <m/>
    <m/>
    <m/>
    <n v="5"/>
    <m/>
    <m/>
    <n v="3"/>
    <m/>
    <m/>
    <m/>
    <m/>
    <m/>
    <m/>
    <m/>
    <m/>
    <m/>
    <m/>
    <m/>
    <m/>
    <m/>
    <m/>
    <m/>
    <m/>
    <m/>
    <m/>
    <m/>
    <m/>
    <s v="no test"/>
    <s v="no test"/>
    <s v="No Test"/>
    <n v="2"/>
    <n v="0"/>
    <n v="0"/>
    <n v="0"/>
    <n v="0"/>
    <n v="0"/>
    <n v="0"/>
    <m/>
    <n v="1"/>
    <n v="1"/>
    <n v="1"/>
    <n v="105"/>
    <n v="0"/>
    <n v="0"/>
    <n v="1"/>
    <n v="105"/>
    <n v="0.21"/>
    <n v="0"/>
    <n v="0"/>
    <n v="0.79"/>
    <n v="1"/>
    <n v="0"/>
    <n v="0"/>
    <n v="0"/>
    <n v="0"/>
    <n v="0"/>
    <n v="0"/>
    <n v="5"/>
    <n v="5"/>
    <n v="1"/>
    <n v="0"/>
    <n v="0"/>
    <n v="0"/>
    <n v="0"/>
    <n v="0"/>
    <n v="0"/>
    <n v="0"/>
    <n v="1"/>
    <n v="0"/>
    <n v="0"/>
    <n v="0"/>
    <n v="5"/>
    <n v="24"/>
    <n v="0"/>
    <n v="105"/>
    <s v="No"/>
    <s v=""/>
    <n v="0"/>
    <n v="0"/>
    <n v="0"/>
    <n v="0"/>
    <n v="0"/>
    <n v="0"/>
    <s v="Yes"/>
    <s v="KMSS-MYT"/>
    <x v="0"/>
    <x v="2"/>
    <x v="0"/>
    <n v="25.920006000000001"/>
    <n v="96.662092000000001"/>
    <s v="MMR001CMP247"/>
    <x v="0"/>
    <x v="0"/>
    <s v="Yes. KBC is focal"/>
    <n v="24"/>
    <n v="103"/>
  </r>
  <r>
    <x v="1"/>
    <x v="14"/>
    <x v="12"/>
    <s v="ANCHOR"/>
    <x v="1"/>
    <x v="6"/>
    <x v="0"/>
    <x v="183"/>
    <n v="7"/>
    <n v="24"/>
    <d v="2023-01-01T00:00:00"/>
    <d v="2024-03-31T00:00:00"/>
    <m/>
    <m/>
    <n v="1"/>
    <m/>
    <s v="Yes"/>
    <n v="3"/>
    <n v="4"/>
    <n v="1"/>
    <n v="1"/>
    <m/>
    <n v="1"/>
    <m/>
    <n v="1"/>
    <m/>
    <n v="1"/>
    <m/>
    <n v="1"/>
    <n v="1500"/>
    <n v="1"/>
    <m/>
    <n v="1"/>
    <n v="1"/>
    <m/>
    <m/>
    <m/>
    <m/>
    <m/>
    <m/>
    <m/>
    <m/>
    <n v="3"/>
    <m/>
    <m/>
    <m/>
    <m/>
    <m/>
    <m/>
    <m/>
    <x v="1"/>
    <x v="0"/>
    <m/>
    <m/>
    <m/>
    <m/>
    <m/>
    <m/>
    <n v="2"/>
    <n v="2"/>
    <m/>
    <n v="2"/>
    <m/>
    <n v="1"/>
    <m/>
    <n v="7"/>
    <n v="4"/>
    <s v="No"/>
    <m/>
    <m/>
    <m/>
    <n v="0.75"/>
    <n v="0.75"/>
    <n v="3"/>
    <n v="0.9"/>
    <m/>
    <m/>
    <m/>
    <m/>
    <m/>
    <m/>
    <m/>
    <s v="no test"/>
    <s v="no test"/>
    <s v="No Test"/>
    <n v="0"/>
    <n v="0"/>
    <n v="1"/>
    <n v="1.1111111111111112"/>
    <n v="0"/>
    <n v="0"/>
    <n v="0"/>
    <m/>
    <n v="1"/>
    <n v="1"/>
    <n v="1"/>
    <n v="24"/>
    <n v="1"/>
    <n v="24"/>
    <n v="1"/>
    <n v="24"/>
    <n v="4.8000000000000001E-2"/>
    <n v="0"/>
    <n v="0"/>
    <n v="0.95199999999999996"/>
    <n v="1"/>
    <n v="3"/>
    <n v="1"/>
    <n v="24"/>
    <n v="0"/>
    <n v="0"/>
    <n v="0"/>
    <n v="1"/>
    <n v="0"/>
    <n v="0"/>
    <n v="0"/>
    <n v="24"/>
    <n v="24"/>
    <n v="4"/>
    <n v="24"/>
    <n v="24"/>
    <n v="1"/>
    <n v="0"/>
    <n v="1"/>
    <n v="1"/>
    <n v="0.5714285714285714"/>
    <n v="0"/>
    <n v="0"/>
    <n v="0"/>
    <n v="0"/>
    <s v="No"/>
    <n v="0.125"/>
    <n v="18"/>
    <n v="18"/>
    <n v="21.6"/>
    <n v="21.6"/>
    <n v="0"/>
    <n v="0"/>
    <s v="Yes"/>
    <s v="Shalom"/>
    <x v="0"/>
    <x v="0"/>
    <x v="0"/>
    <n v="25.617998"/>
    <n v="96.339590000000001"/>
    <s v="MMR001CMP192"/>
    <x v="0"/>
    <x v="2"/>
    <s v="Yes. Focal is Shalom"/>
    <n v="7"/>
    <n v="24"/>
  </r>
  <r>
    <x v="1"/>
    <x v="8"/>
    <x v="6"/>
    <s v="UNICEF"/>
    <x v="1"/>
    <x v="6"/>
    <x v="0"/>
    <x v="54"/>
    <n v="46"/>
    <n v="227"/>
    <d v="2023-02-16T00:00:00"/>
    <d v="2024-02-15T00:00:00"/>
    <m/>
    <n v="2"/>
    <m/>
    <m/>
    <s v="Yes"/>
    <n v="3"/>
    <n v="3"/>
    <n v="2"/>
    <m/>
    <m/>
    <n v="1"/>
    <m/>
    <m/>
    <m/>
    <m/>
    <m/>
    <m/>
    <m/>
    <m/>
    <m/>
    <m/>
    <n v="5"/>
    <m/>
    <m/>
    <m/>
    <m/>
    <n v="4"/>
    <m/>
    <m/>
    <m/>
    <n v="16"/>
    <m/>
    <m/>
    <m/>
    <m/>
    <m/>
    <m/>
    <m/>
    <x v="1"/>
    <x v="1"/>
    <m/>
    <m/>
    <m/>
    <m/>
    <m/>
    <m/>
    <n v="7"/>
    <m/>
    <m/>
    <n v="2"/>
    <m/>
    <m/>
    <n v="1"/>
    <m/>
    <m/>
    <s v="Yes"/>
    <m/>
    <m/>
    <m/>
    <m/>
    <m/>
    <m/>
    <m/>
    <m/>
    <m/>
    <m/>
    <m/>
    <m/>
    <m/>
    <m/>
    <s v="no test"/>
    <s v="no test"/>
    <s v="No Test"/>
    <n v="2"/>
    <n v="1"/>
    <n v="0"/>
    <n v="0"/>
    <n v="0"/>
    <n v="0"/>
    <n v="0"/>
    <m/>
    <n v="1"/>
    <n v="1"/>
    <n v="1"/>
    <n v="227"/>
    <n v="0"/>
    <n v="0"/>
    <n v="1"/>
    <n v="227"/>
    <n v="0.45400000000000001"/>
    <n v="0"/>
    <n v="0"/>
    <n v="0.54600000000000004"/>
    <n v="1"/>
    <n v="16"/>
    <n v="1"/>
    <n v="227"/>
    <n v="0"/>
    <n v="0"/>
    <n v="0"/>
    <n v="11"/>
    <n v="0"/>
    <n v="0"/>
    <n v="0"/>
    <n v="227"/>
    <n v="0"/>
    <n v="0"/>
    <n v="0"/>
    <n v="227"/>
    <n v="1"/>
    <n v="0"/>
    <n v="1"/>
    <n v="0"/>
    <n v="0"/>
    <n v="7"/>
    <n v="46"/>
    <n v="4"/>
    <n v="227"/>
    <s v="No"/>
    <s v=""/>
    <n v="0"/>
    <n v="0"/>
    <n v="0"/>
    <n v="0"/>
    <n v="0"/>
    <n v="0"/>
    <s v="Yes"/>
    <s v="KMSS-MYT"/>
    <x v="0"/>
    <x v="2"/>
    <x v="0"/>
    <n v="25.613894999999999"/>
    <n v="96.341352999999998"/>
    <s v="MMR001CMP103"/>
    <x v="0"/>
    <x v="0"/>
    <s v="Yes. KMSS focal"/>
    <n v="46"/>
    <n v="227"/>
  </r>
  <r>
    <x v="1"/>
    <x v="14"/>
    <x v="12"/>
    <s v="ANCHOR"/>
    <x v="1"/>
    <x v="6"/>
    <x v="0"/>
    <x v="184"/>
    <n v="16"/>
    <n v="72"/>
    <d v="2023-01-01T00:00:00"/>
    <d v="2024-03-31T00:00:00"/>
    <m/>
    <m/>
    <n v="1"/>
    <m/>
    <s v="Yes"/>
    <n v="1"/>
    <n v="2"/>
    <n v="1"/>
    <m/>
    <m/>
    <n v="1"/>
    <m/>
    <m/>
    <m/>
    <n v="1"/>
    <n v="1"/>
    <m/>
    <m/>
    <n v="1"/>
    <m/>
    <m/>
    <m/>
    <m/>
    <m/>
    <m/>
    <m/>
    <n v="1"/>
    <m/>
    <m/>
    <s v="ရေတင်မီးစက်တွင် မီးကြိုးလဲလှယ်ရန်လို"/>
    <n v="2"/>
    <m/>
    <m/>
    <m/>
    <m/>
    <m/>
    <m/>
    <n v="2"/>
    <x v="1"/>
    <x v="1"/>
    <m/>
    <m/>
    <m/>
    <m/>
    <m/>
    <s v="အိမ်သာလုံလောက်မှုမရှိ"/>
    <n v="3"/>
    <n v="1"/>
    <m/>
    <n v="2"/>
    <m/>
    <n v="1"/>
    <m/>
    <n v="16"/>
    <n v="24"/>
    <s v="No"/>
    <m/>
    <n v="1"/>
    <m/>
    <n v="1"/>
    <n v="0.2"/>
    <m/>
    <n v="0.2"/>
    <m/>
    <m/>
    <m/>
    <m/>
    <m/>
    <m/>
    <m/>
    <s v="no test"/>
    <s v="no test"/>
    <s v="No Test"/>
    <n v="1"/>
    <n v="1"/>
    <n v="0"/>
    <n v="0"/>
    <n v="0"/>
    <n v="0"/>
    <n v="0"/>
    <m/>
    <n v="1"/>
    <n v="1"/>
    <n v="1"/>
    <n v="72"/>
    <n v="1"/>
    <n v="72"/>
    <n v="1"/>
    <n v="72"/>
    <n v="0.14399999999999999"/>
    <n v="0"/>
    <n v="0"/>
    <n v="0.85599999999999998"/>
    <n v="1"/>
    <n v="2"/>
    <n v="0.55555555555555558"/>
    <n v="40"/>
    <n v="0"/>
    <n v="0"/>
    <n v="0"/>
    <n v="4"/>
    <n v="2"/>
    <n v="0.44444444444444442"/>
    <n v="0"/>
    <n v="72"/>
    <n v="72"/>
    <n v="24"/>
    <n v="72"/>
    <n v="72"/>
    <n v="1"/>
    <n v="0"/>
    <n v="1"/>
    <n v="1"/>
    <n v="1"/>
    <n v="2"/>
    <n v="16"/>
    <n v="0"/>
    <n v="72"/>
    <s v="No"/>
    <s v=""/>
    <n v="72"/>
    <n v="14.4"/>
    <n v="14.4"/>
    <n v="72"/>
    <n v="0"/>
    <n v="0"/>
    <s v="Yes"/>
    <s v="Shalom"/>
    <x v="0"/>
    <x v="0"/>
    <x v="0"/>
    <n v="25.56551"/>
    <n v="96.279200000000003"/>
    <s v="MMR001CMP182"/>
    <x v="0"/>
    <x v="2"/>
    <s v="Yes. Focal is Shalom"/>
    <n v="21"/>
    <n v="96"/>
  </r>
  <r>
    <x v="1"/>
    <x v="13"/>
    <x v="11"/>
    <m/>
    <x v="1"/>
    <x v="6"/>
    <x v="0"/>
    <x v="129"/>
    <n v="12"/>
    <n v="54"/>
    <m/>
    <m/>
    <m/>
    <m/>
    <m/>
    <m/>
    <m/>
    <m/>
    <m/>
    <m/>
    <m/>
    <m/>
    <m/>
    <m/>
    <m/>
    <m/>
    <m/>
    <m/>
    <m/>
    <m/>
    <m/>
    <m/>
    <m/>
    <m/>
    <m/>
    <m/>
    <m/>
    <m/>
    <m/>
    <m/>
    <m/>
    <m/>
    <m/>
    <m/>
    <m/>
    <m/>
    <m/>
    <m/>
    <m/>
    <m/>
    <x v="3"/>
    <x v="4"/>
    <m/>
    <m/>
    <m/>
    <m/>
    <m/>
    <m/>
    <m/>
    <m/>
    <m/>
    <m/>
    <m/>
    <m/>
    <m/>
    <m/>
    <m/>
    <m/>
    <m/>
    <m/>
    <m/>
    <m/>
    <m/>
    <m/>
    <m/>
    <m/>
    <m/>
    <m/>
    <m/>
    <m/>
    <m/>
    <m/>
    <s v="no test"/>
    <s v="no test"/>
    <s v="No Test"/>
    <n v="0"/>
    <n v="0"/>
    <n v="0"/>
    <n v="0"/>
    <n v="0"/>
    <n v="0"/>
    <n v="0"/>
    <m/>
    <n v="0"/>
    <n v="0"/>
    <n v="0"/>
    <n v="0"/>
    <n v="0"/>
    <n v="0"/>
    <n v="0"/>
    <n v="0"/>
    <n v="0"/>
    <n v="1"/>
    <n v="54"/>
    <n v="1"/>
    <n v="1"/>
    <n v="0"/>
    <n v="0"/>
    <n v="0"/>
    <n v="0"/>
    <n v="0"/>
    <n v="0"/>
    <n v="3"/>
    <n v="3"/>
    <n v="1"/>
    <n v="0"/>
    <n v="0"/>
    <n v="0"/>
    <n v="0"/>
    <n v="0"/>
    <n v="0"/>
    <n v="0"/>
    <n v="1"/>
    <n v="0"/>
    <n v="0"/>
    <n v="0"/>
    <n v="0"/>
    <n v="0"/>
    <n v="0"/>
    <n v="0"/>
    <s v="No"/>
    <s v=""/>
    <n v="0"/>
    <n v="0"/>
    <n v="0"/>
    <n v="0"/>
    <n v="0"/>
    <n v="0"/>
    <n v="0"/>
    <s v="Uncovered  "/>
    <x v="0"/>
    <x v="0"/>
    <x v="0"/>
    <n v="0"/>
    <s v="not available"/>
    <s v="MMR001CMP298"/>
    <x v="1"/>
    <x v="1"/>
    <s v="to check CCCM"/>
    <n v="12"/>
    <n v="54"/>
  </r>
  <r>
    <x v="1"/>
    <x v="8"/>
    <x v="6"/>
    <s v="UNICEF"/>
    <x v="1"/>
    <x v="6"/>
    <x v="0"/>
    <x v="130"/>
    <n v="93"/>
    <n v="466"/>
    <d v="2023-02-16T00:00:00"/>
    <d v="2024-02-15T00:00:00"/>
    <m/>
    <n v="5"/>
    <m/>
    <m/>
    <s v="Yes"/>
    <n v="2"/>
    <n v="5"/>
    <n v="2"/>
    <m/>
    <m/>
    <n v="1"/>
    <m/>
    <m/>
    <m/>
    <m/>
    <m/>
    <m/>
    <m/>
    <m/>
    <m/>
    <m/>
    <n v="7"/>
    <m/>
    <m/>
    <m/>
    <m/>
    <n v="1"/>
    <m/>
    <m/>
    <m/>
    <n v="12"/>
    <m/>
    <m/>
    <m/>
    <m/>
    <n v="20"/>
    <m/>
    <m/>
    <x v="1"/>
    <x v="1"/>
    <m/>
    <m/>
    <m/>
    <m/>
    <m/>
    <m/>
    <n v="1"/>
    <m/>
    <m/>
    <n v="2"/>
    <m/>
    <m/>
    <n v="1"/>
    <m/>
    <m/>
    <s v="Yes"/>
    <m/>
    <m/>
    <m/>
    <m/>
    <m/>
    <m/>
    <m/>
    <m/>
    <m/>
    <m/>
    <m/>
    <m/>
    <m/>
    <m/>
    <s v="no test"/>
    <s v="no test"/>
    <s v="No Test"/>
    <n v="2"/>
    <n v="1"/>
    <n v="0"/>
    <n v="0"/>
    <n v="0"/>
    <n v="0"/>
    <n v="0"/>
    <m/>
    <n v="1"/>
    <n v="1"/>
    <n v="1"/>
    <n v="466"/>
    <n v="0"/>
    <n v="0"/>
    <n v="1"/>
    <n v="466"/>
    <n v="0.93200000000000005"/>
    <n v="0"/>
    <n v="0"/>
    <n v="6.7999999999999949E-2"/>
    <n v="1"/>
    <n v="12"/>
    <n v="0.51502145922746778"/>
    <n v="240"/>
    <n v="400"/>
    <n v="0"/>
    <n v="0"/>
    <n v="23"/>
    <n v="11"/>
    <n v="0.48497854077253222"/>
    <n v="0"/>
    <n v="466"/>
    <n v="0"/>
    <n v="0"/>
    <n v="0"/>
    <n v="466"/>
    <n v="1"/>
    <n v="0"/>
    <n v="1"/>
    <n v="0"/>
    <n v="0"/>
    <n v="1"/>
    <n v="20"/>
    <n v="1"/>
    <n v="100"/>
    <s v="No"/>
    <s v=""/>
    <n v="0"/>
    <n v="0"/>
    <n v="0"/>
    <n v="0"/>
    <n v="0"/>
    <n v="0"/>
    <s v="Yes"/>
    <s v="KMSS-MYT"/>
    <x v="0"/>
    <x v="2"/>
    <x v="0"/>
    <n v="25.656009999999998"/>
    <n v="96.361609999999999"/>
    <s v="MMR001CMP168"/>
    <x v="0"/>
    <x v="0"/>
    <s v="Yes.same with Lone Khin Catholic Church"/>
    <n v="93"/>
    <n v="467"/>
  </r>
  <r>
    <x v="1"/>
    <x v="16"/>
    <x v="14"/>
    <s v="Trocaire/Irish"/>
    <x v="1"/>
    <x v="22"/>
    <x v="0"/>
    <x v="207"/>
    <n v="126"/>
    <n v="591"/>
    <d v="2022-01-01T00:00:00"/>
    <d v="2022-12-31T00:00:00"/>
    <m/>
    <m/>
    <m/>
    <m/>
    <s v="Yes"/>
    <n v="4"/>
    <n v="3"/>
    <n v="1"/>
    <m/>
    <m/>
    <n v="2"/>
    <m/>
    <m/>
    <m/>
    <n v="1"/>
    <m/>
    <m/>
    <m/>
    <m/>
    <m/>
    <n v="1"/>
    <m/>
    <m/>
    <m/>
    <m/>
    <m/>
    <m/>
    <m/>
    <m/>
    <m/>
    <n v="48"/>
    <n v="12"/>
    <m/>
    <m/>
    <m/>
    <m/>
    <m/>
    <m/>
    <x v="1"/>
    <x v="1"/>
    <m/>
    <m/>
    <m/>
    <m/>
    <n v="19"/>
    <m/>
    <n v="108"/>
    <m/>
    <m/>
    <n v="108"/>
    <m/>
    <n v="1"/>
    <n v="1"/>
    <m/>
    <m/>
    <s v="No"/>
    <m/>
    <m/>
    <m/>
    <m/>
    <m/>
    <m/>
    <m/>
    <m/>
    <m/>
    <m/>
    <m/>
    <m/>
    <m/>
    <m/>
    <s v="no test"/>
    <s v="no test"/>
    <s v="No Test"/>
    <n v="1"/>
    <n v="2"/>
    <n v="1"/>
    <n v="0"/>
    <n v="0"/>
    <n v="0"/>
    <n v="0"/>
    <m/>
    <n v="1"/>
    <n v="1"/>
    <n v="1"/>
    <n v="591"/>
    <n v="0"/>
    <n v="0"/>
    <n v="1"/>
    <n v="591"/>
    <n v="1.1819999999999999"/>
    <n v="0"/>
    <n v="0"/>
    <n v="0"/>
    <n v="1"/>
    <n v="60"/>
    <n v="1"/>
    <n v="591"/>
    <n v="0"/>
    <n v="0"/>
    <n v="0"/>
    <n v="30"/>
    <n v="0"/>
    <n v="0"/>
    <n v="0"/>
    <n v="591"/>
    <n v="0"/>
    <n v="0"/>
    <n v="0"/>
    <n v="591"/>
    <n v="1"/>
    <n v="0"/>
    <n v="1"/>
    <n v="0"/>
    <n v="0"/>
    <n v="108"/>
    <n v="126"/>
    <n v="0"/>
    <n v="591"/>
    <s v="No"/>
    <s v=""/>
    <n v="0"/>
    <n v="0"/>
    <n v="0"/>
    <n v="0"/>
    <n v="0"/>
    <n v="0"/>
    <s v="Yes"/>
    <s v="STW/KMSS-MYT"/>
    <x v="0"/>
    <x v="2"/>
    <x v="1"/>
    <n v="26.007408000000002"/>
    <n v="97.823777000000007"/>
    <s v="MMR001CMP280"/>
    <x v="0"/>
    <x v="2"/>
    <s v="yes"/>
    <n v="120"/>
    <n v="558"/>
  </r>
  <r>
    <x v="1"/>
    <x v="13"/>
    <x v="11"/>
    <m/>
    <x v="1"/>
    <x v="22"/>
    <x v="0"/>
    <x v="131"/>
    <n v="42"/>
    <n v="112"/>
    <m/>
    <m/>
    <m/>
    <m/>
    <m/>
    <m/>
    <m/>
    <m/>
    <m/>
    <m/>
    <m/>
    <m/>
    <m/>
    <m/>
    <m/>
    <m/>
    <m/>
    <m/>
    <m/>
    <m/>
    <m/>
    <m/>
    <m/>
    <m/>
    <m/>
    <m/>
    <m/>
    <m/>
    <m/>
    <m/>
    <m/>
    <m/>
    <m/>
    <m/>
    <m/>
    <m/>
    <m/>
    <m/>
    <m/>
    <m/>
    <x v="3"/>
    <x v="4"/>
    <m/>
    <m/>
    <m/>
    <m/>
    <m/>
    <m/>
    <m/>
    <m/>
    <m/>
    <m/>
    <m/>
    <m/>
    <m/>
    <m/>
    <m/>
    <m/>
    <m/>
    <m/>
    <m/>
    <m/>
    <m/>
    <m/>
    <m/>
    <m/>
    <m/>
    <m/>
    <m/>
    <m/>
    <m/>
    <m/>
    <s v="no test"/>
    <s v="no test"/>
    <s v="No Test"/>
    <n v="0"/>
    <n v="0"/>
    <n v="0"/>
    <n v="0"/>
    <n v="0"/>
    <n v="0"/>
    <n v="0"/>
    <m/>
    <n v="0"/>
    <n v="0"/>
    <n v="0"/>
    <n v="0"/>
    <n v="0"/>
    <n v="0"/>
    <n v="0"/>
    <n v="0"/>
    <n v="0"/>
    <n v="1"/>
    <n v="112"/>
    <n v="1"/>
    <n v="1"/>
    <n v="0"/>
    <n v="0"/>
    <n v="0"/>
    <n v="0"/>
    <n v="0"/>
    <n v="0"/>
    <n v="6"/>
    <n v="6"/>
    <n v="1"/>
    <n v="0"/>
    <n v="0"/>
    <n v="0"/>
    <n v="0"/>
    <n v="0"/>
    <n v="0"/>
    <n v="0"/>
    <n v="1"/>
    <n v="0"/>
    <n v="0"/>
    <n v="0"/>
    <n v="0"/>
    <n v="0"/>
    <n v="0"/>
    <n v="0"/>
    <s v="No"/>
    <s v=""/>
    <n v="0"/>
    <n v="0"/>
    <n v="0"/>
    <n v="0"/>
    <n v="0"/>
    <n v="0"/>
    <n v="0"/>
    <s v="Uncovered  "/>
    <x v="0"/>
    <x v="0"/>
    <x v="1"/>
    <n v="0"/>
    <s v="not available"/>
    <s v="MMR001CMP297"/>
    <x v="1"/>
    <x v="1"/>
    <s v="yes"/>
    <n v="42"/>
    <n v="112"/>
  </r>
  <r>
    <x v="1"/>
    <x v="17"/>
    <x v="15"/>
    <s v="SI (ECHO)"/>
    <x v="1"/>
    <x v="7"/>
    <x v="0"/>
    <x v="209"/>
    <n v="388"/>
    <n v="1900"/>
    <d v="2022-04-01T00:00:00"/>
    <d v="2022-12-31T00:00:00"/>
    <m/>
    <m/>
    <m/>
    <m/>
    <s v="Yes"/>
    <n v="5"/>
    <n v="6"/>
    <n v="4"/>
    <m/>
    <m/>
    <n v="1"/>
    <m/>
    <m/>
    <m/>
    <n v="1"/>
    <m/>
    <m/>
    <m/>
    <n v="5"/>
    <m/>
    <m/>
    <n v="5"/>
    <m/>
    <m/>
    <m/>
    <m/>
    <m/>
    <n v="5"/>
    <m/>
    <m/>
    <n v="185"/>
    <m/>
    <m/>
    <m/>
    <m/>
    <m/>
    <m/>
    <n v="73"/>
    <x v="0"/>
    <x v="1"/>
    <m/>
    <m/>
    <m/>
    <n v="2"/>
    <n v="6"/>
    <m/>
    <n v="3"/>
    <m/>
    <n v="60"/>
    <n v="2"/>
    <m/>
    <m/>
    <n v="6"/>
    <m/>
    <m/>
    <m/>
    <m/>
    <m/>
    <m/>
    <m/>
    <m/>
    <m/>
    <m/>
    <m/>
    <m/>
    <m/>
    <m/>
    <m/>
    <m/>
    <m/>
    <s v="no test"/>
    <s v="no test"/>
    <s v="No Test"/>
    <n v="4"/>
    <n v="1"/>
    <n v="1"/>
    <n v="0"/>
    <n v="0"/>
    <n v="1900"/>
    <n v="0"/>
    <m/>
    <n v="1"/>
    <n v="0.69298245614035092"/>
    <n v="1"/>
    <n v="1900"/>
    <n v="0.65789473684210531"/>
    <n v="1250"/>
    <n v="1"/>
    <n v="1900"/>
    <n v="3.8"/>
    <n v="0"/>
    <n v="0"/>
    <n v="0.20000000000000018"/>
    <n v="4"/>
    <n v="185"/>
    <n v="1"/>
    <n v="1900"/>
    <n v="0"/>
    <n v="0"/>
    <n v="100"/>
    <n v="95"/>
    <n v="0"/>
    <n v="0"/>
    <n v="0"/>
    <n v="1900"/>
    <n v="0"/>
    <n v="0"/>
    <n v="0"/>
    <n v="1900"/>
    <n v="1"/>
    <n v="0"/>
    <n v="1"/>
    <n v="0"/>
    <n v="0"/>
    <n v="3"/>
    <n v="60"/>
    <n v="0"/>
    <n v="300"/>
    <s v="No"/>
    <s v=""/>
    <n v="0"/>
    <n v="0"/>
    <n v="0"/>
    <n v="0"/>
    <n v="1900"/>
    <n v="100"/>
    <s v="Yes"/>
    <s v="KMSS-BMO"/>
    <x v="0"/>
    <x v="2"/>
    <x v="1"/>
    <n v="24.002433"/>
    <n v="97.609832999999995"/>
    <s v="MMR001CMP129"/>
    <x v="0"/>
    <x v="2"/>
    <s v="yes"/>
    <n v="393"/>
    <n v="1919"/>
  </r>
  <r>
    <x v="1"/>
    <x v="17"/>
    <x v="15"/>
    <s v="SI (ECHO)"/>
    <x v="1"/>
    <x v="7"/>
    <x v="0"/>
    <x v="210"/>
    <n v="542"/>
    <n v="2503"/>
    <d v="2022-04-01T00:00:00"/>
    <d v="2022-12-31T00:00:00"/>
    <m/>
    <m/>
    <m/>
    <m/>
    <s v="Yes"/>
    <m/>
    <m/>
    <n v="4"/>
    <m/>
    <m/>
    <m/>
    <m/>
    <m/>
    <m/>
    <m/>
    <m/>
    <m/>
    <m/>
    <n v="1"/>
    <m/>
    <m/>
    <n v="1"/>
    <m/>
    <m/>
    <m/>
    <m/>
    <n v="5"/>
    <n v="2"/>
    <m/>
    <m/>
    <n v="438"/>
    <m/>
    <m/>
    <m/>
    <m/>
    <m/>
    <m/>
    <n v="266"/>
    <x v="0"/>
    <x v="1"/>
    <m/>
    <m/>
    <m/>
    <n v="2"/>
    <m/>
    <m/>
    <n v="7"/>
    <m/>
    <n v="266"/>
    <n v="4"/>
    <m/>
    <m/>
    <n v="7"/>
    <m/>
    <m/>
    <m/>
    <m/>
    <m/>
    <m/>
    <m/>
    <m/>
    <m/>
    <m/>
    <m/>
    <m/>
    <m/>
    <m/>
    <m/>
    <m/>
    <m/>
    <s v="no test"/>
    <s v="no test"/>
    <s v="No Test"/>
    <n v="4"/>
    <n v="0"/>
    <n v="0"/>
    <n v="0"/>
    <n v="0"/>
    <n v="1000"/>
    <n v="0"/>
    <m/>
    <n v="0.63923292049540548"/>
    <n v="0.39952057530962842"/>
    <n v="0.63923292049540548"/>
    <n v="1600"/>
    <n v="9.9880143827407106E-2"/>
    <n v="249.99999999999997"/>
    <n v="0.73911306432281254"/>
    <n v="1850"/>
    <n v="3.7"/>
    <n v="0.26088693567718746"/>
    <n v="653.00000000000023"/>
    <n v="1.2999999999999998"/>
    <n v="5"/>
    <n v="438"/>
    <n v="1"/>
    <n v="2503"/>
    <n v="0"/>
    <n v="0"/>
    <n v="100"/>
    <n v="125"/>
    <n v="0"/>
    <n v="0"/>
    <n v="0"/>
    <n v="2503"/>
    <n v="0"/>
    <n v="0"/>
    <n v="0"/>
    <n v="2503"/>
    <n v="1"/>
    <n v="0"/>
    <n v="1"/>
    <n v="0"/>
    <n v="0"/>
    <n v="7"/>
    <n v="140"/>
    <n v="0"/>
    <n v="700"/>
    <s v="No"/>
    <s v=""/>
    <n v="0"/>
    <n v="0"/>
    <n v="0"/>
    <n v="0"/>
    <n v="1000"/>
    <n v="100"/>
    <s v="Yes"/>
    <s v="KMSS-BMO"/>
    <x v="0"/>
    <x v="2"/>
    <x v="1"/>
    <n v="24.056132999999999"/>
    <n v="97.625617000000005"/>
    <s v="MMR001CMP128"/>
    <x v="0"/>
    <x v="2"/>
    <s v="yes"/>
    <n v="541"/>
    <n v="2507"/>
  </r>
  <r>
    <x v="1"/>
    <x v="3"/>
    <x v="3"/>
    <s v="SIDA"/>
    <x v="1"/>
    <x v="7"/>
    <x v="0"/>
    <x v="10"/>
    <n v="365"/>
    <n v="1517"/>
    <d v="2022-12-01T00:00:00"/>
    <d v="2023-03-31T00:00:00"/>
    <m/>
    <m/>
    <m/>
    <m/>
    <s v="Yes"/>
    <n v="4"/>
    <n v="4"/>
    <n v="1"/>
    <m/>
    <n v="1"/>
    <n v="1"/>
    <m/>
    <m/>
    <m/>
    <m/>
    <m/>
    <m/>
    <m/>
    <m/>
    <m/>
    <m/>
    <m/>
    <m/>
    <m/>
    <m/>
    <m/>
    <m/>
    <m/>
    <m/>
    <s v="NA"/>
    <n v="90"/>
    <m/>
    <m/>
    <n v="1"/>
    <m/>
    <n v="79"/>
    <n v="169.43503000000001"/>
    <m/>
    <x v="1"/>
    <x v="1"/>
    <m/>
    <m/>
    <m/>
    <m/>
    <m/>
    <s v="NA"/>
    <n v="25"/>
    <n v="10"/>
    <n v="2"/>
    <n v="2"/>
    <m/>
    <m/>
    <n v="4"/>
    <m/>
    <m/>
    <s v="No"/>
    <m/>
    <n v="0.3"/>
    <s v="NA"/>
    <n v="0.8"/>
    <n v="0.8"/>
    <n v="20"/>
    <n v="0.8"/>
    <m/>
    <m/>
    <m/>
    <m/>
    <m/>
    <m/>
    <m/>
    <s v="no test"/>
    <s v="no test"/>
    <s v="No Test"/>
    <n v="1"/>
    <n v="1"/>
    <n v="0"/>
    <n v="0"/>
    <n v="0"/>
    <n v="0"/>
    <n v="0"/>
    <m/>
    <n v="0.59327620303230055"/>
    <n v="0.32959789057350031"/>
    <n v="0.59327620303230055"/>
    <n v="899.99999999999989"/>
    <n v="0"/>
    <n v="0"/>
    <n v="0.59327620303230055"/>
    <n v="899.99999999999989"/>
    <n v="1.7999999999999998"/>
    <n v="0.40672379696769945"/>
    <n v="617.00000000000011"/>
    <n v="1.2000000000000002"/>
    <n v="3"/>
    <n v="89"/>
    <n v="1"/>
    <n v="1517"/>
    <n v="1517"/>
    <n v="0"/>
    <n v="0"/>
    <n v="76"/>
    <n v="0"/>
    <n v="0"/>
    <n v="1.1111111111111112E-2"/>
    <n v="1517"/>
    <n v="0"/>
    <n v="0"/>
    <n v="0"/>
    <n v="1517"/>
    <n v="1"/>
    <n v="0"/>
    <n v="1"/>
    <n v="0"/>
    <n v="0"/>
    <n v="15"/>
    <n v="300"/>
    <n v="0"/>
    <n v="1500"/>
    <s v="No"/>
    <n v="1.3183915622940013E-2"/>
    <n v="1213.6000000000001"/>
    <n v="1213.6000000000001"/>
    <n v="1213.6000000000001"/>
    <n v="1213.6000000000001"/>
    <n v="0"/>
    <n v="0"/>
    <s v="Yes"/>
    <s v="KBC-BMO"/>
    <x v="0"/>
    <x v="2"/>
    <x v="0"/>
    <n v="23.972453000000002"/>
    <n v="97.225881000000001"/>
    <s v="MMR001CMP218"/>
    <x v="0"/>
    <x v="0"/>
    <s v="Yes. KBC Bhamo is focal. 1, 2 combined"/>
    <n v="365"/>
    <n v="1718"/>
  </r>
  <r>
    <x v="1"/>
    <x v="8"/>
    <x v="6"/>
    <s v="UNICEF"/>
    <x v="1"/>
    <x v="7"/>
    <x v="0"/>
    <x v="55"/>
    <n v="143"/>
    <n v="791"/>
    <d v="2023-02-16T00:00:00"/>
    <d v="2024-02-16T00:00:00"/>
    <m/>
    <m/>
    <m/>
    <m/>
    <m/>
    <m/>
    <m/>
    <m/>
    <m/>
    <m/>
    <n v="2"/>
    <m/>
    <m/>
    <m/>
    <m/>
    <m/>
    <m/>
    <m/>
    <m/>
    <m/>
    <m/>
    <m/>
    <m/>
    <m/>
    <m/>
    <m/>
    <m/>
    <m/>
    <m/>
    <m/>
    <n v="61"/>
    <m/>
    <m/>
    <m/>
    <m/>
    <m/>
    <m/>
    <m/>
    <x v="1"/>
    <x v="1"/>
    <m/>
    <m/>
    <m/>
    <m/>
    <m/>
    <m/>
    <n v="2"/>
    <m/>
    <m/>
    <m/>
    <m/>
    <m/>
    <m/>
    <m/>
    <m/>
    <s v="Yes"/>
    <n v="1"/>
    <m/>
    <m/>
    <m/>
    <m/>
    <m/>
    <m/>
    <n v="7"/>
    <n v="6"/>
    <n v="5"/>
    <m/>
    <m/>
    <m/>
    <m/>
    <s v="no test"/>
    <s v="no test"/>
    <s v="No Test"/>
    <n v="0"/>
    <n v="2"/>
    <n v="0"/>
    <n v="0"/>
    <n v="0"/>
    <n v="0"/>
    <n v="0"/>
    <m/>
    <n v="1"/>
    <n v="0.63211125158027814"/>
    <n v="1"/>
    <n v="791"/>
    <n v="0"/>
    <n v="0"/>
    <n v="1"/>
    <n v="791"/>
    <n v="1.5820000000000001"/>
    <n v="0"/>
    <n v="0"/>
    <n v="0.41799999999999993"/>
    <n v="2"/>
    <n v="61"/>
    <n v="1"/>
    <n v="791"/>
    <n v="0"/>
    <n v="0"/>
    <n v="0"/>
    <n v="40"/>
    <n v="0"/>
    <n v="0"/>
    <n v="0"/>
    <n v="0"/>
    <n v="0"/>
    <n v="0"/>
    <n v="0"/>
    <n v="0"/>
    <n v="0"/>
    <n v="1"/>
    <n v="0"/>
    <n v="0"/>
    <n v="0"/>
    <n v="2"/>
    <n v="40"/>
    <n v="0"/>
    <n v="200"/>
    <s v="No"/>
    <s v=""/>
    <n v="0"/>
    <n v="0"/>
    <n v="0"/>
    <n v="0"/>
    <n v="0"/>
    <n v="0"/>
    <s v="Yes"/>
    <s v="KMSS-BMO"/>
    <x v="0"/>
    <x v="2"/>
    <x v="0"/>
    <n v="23.976571"/>
    <n v="97.227057000000002"/>
    <s v="MMR001CMP223"/>
    <x v="0"/>
    <x v="0"/>
    <s v="Yes. KMSS focal"/>
    <n v="143"/>
    <n v="687"/>
  </r>
  <r>
    <x v="1"/>
    <x v="8"/>
    <x v="6"/>
    <s v="UNICEF"/>
    <x v="1"/>
    <x v="7"/>
    <x v="0"/>
    <x v="73"/>
    <n v="138"/>
    <n v="708"/>
    <d v="2023-02-16T00:00:00"/>
    <d v="2024-02-16T00:00:00"/>
    <n v="37"/>
    <m/>
    <m/>
    <m/>
    <m/>
    <m/>
    <m/>
    <m/>
    <m/>
    <m/>
    <n v="1"/>
    <m/>
    <m/>
    <m/>
    <m/>
    <m/>
    <m/>
    <m/>
    <m/>
    <m/>
    <m/>
    <m/>
    <m/>
    <m/>
    <m/>
    <m/>
    <m/>
    <m/>
    <m/>
    <m/>
    <n v="18"/>
    <m/>
    <m/>
    <m/>
    <m/>
    <m/>
    <m/>
    <m/>
    <x v="2"/>
    <x v="2"/>
    <m/>
    <m/>
    <m/>
    <m/>
    <n v="6"/>
    <m/>
    <n v="2"/>
    <m/>
    <m/>
    <m/>
    <m/>
    <m/>
    <m/>
    <m/>
    <m/>
    <s v="Yes"/>
    <n v="1"/>
    <m/>
    <m/>
    <m/>
    <m/>
    <m/>
    <m/>
    <m/>
    <n v="13"/>
    <m/>
    <m/>
    <m/>
    <m/>
    <m/>
    <s v="no test"/>
    <s v="no test"/>
    <s v="No Test"/>
    <n v="0"/>
    <n v="1"/>
    <n v="0"/>
    <n v="0"/>
    <n v="0"/>
    <n v="0"/>
    <n v="0"/>
    <m/>
    <n v="0.70621468926553677"/>
    <n v="0.35310734463276838"/>
    <n v="0.70621468926553677"/>
    <n v="500.00000000000006"/>
    <n v="0"/>
    <n v="0"/>
    <n v="0.70621468926553677"/>
    <n v="500.00000000000006"/>
    <n v="1.0000000000000002"/>
    <n v="0.29378531073446323"/>
    <n v="207.99999999999997"/>
    <n v="0"/>
    <n v="1"/>
    <n v="18"/>
    <n v="0.51694915254237284"/>
    <n v="366"/>
    <n v="0"/>
    <n v="0"/>
    <n v="0"/>
    <n v="35"/>
    <n v="17"/>
    <n v="0.48305084745762716"/>
    <n v="0"/>
    <n v="0"/>
    <n v="0"/>
    <n v="0"/>
    <n v="0"/>
    <n v="0"/>
    <n v="0"/>
    <n v="1"/>
    <n v="0"/>
    <n v="0"/>
    <n v="0"/>
    <n v="2"/>
    <n v="40"/>
    <n v="0"/>
    <n v="200"/>
    <s v="Yes"/>
    <s v=""/>
    <n v="0"/>
    <n v="0"/>
    <n v="0"/>
    <n v="0"/>
    <n v="0"/>
    <n v="0"/>
    <s v="Yes"/>
    <s v="KBC-NSS"/>
    <x v="0"/>
    <x v="2"/>
    <x v="0"/>
    <n v="23.83013"/>
    <n v="97.589979999999997"/>
    <s v="MMR001CMP133"/>
    <x v="0"/>
    <x v="0"/>
    <s v="Yes. KMSS focal"/>
    <n v="138"/>
    <n v="633"/>
  </r>
  <r>
    <x v="1"/>
    <x v="8"/>
    <x v="6"/>
    <s v="UNICEF"/>
    <x v="1"/>
    <x v="7"/>
    <x v="0"/>
    <x v="74"/>
    <n v="118"/>
    <n v="618"/>
    <d v="2023-02-16T00:00:00"/>
    <d v="2024-02-16T00:00:00"/>
    <m/>
    <m/>
    <m/>
    <m/>
    <m/>
    <m/>
    <m/>
    <m/>
    <m/>
    <m/>
    <n v="3"/>
    <m/>
    <m/>
    <m/>
    <m/>
    <m/>
    <m/>
    <m/>
    <m/>
    <m/>
    <m/>
    <m/>
    <m/>
    <m/>
    <m/>
    <m/>
    <m/>
    <n v="1"/>
    <m/>
    <m/>
    <n v="29"/>
    <m/>
    <m/>
    <m/>
    <m/>
    <m/>
    <m/>
    <m/>
    <x v="2"/>
    <x v="2"/>
    <m/>
    <m/>
    <m/>
    <m/>
    <n v="6"/>
    <m/>
    <n v="3"/>
    <m/>
    <m/>
    <m/>
    <m/>
    <m/>
    <m/>
    <m/>
    <m/>
    <s v="Yes"/>
    <n v="1"/>
    <m/>
    <m/>
    <m/>
    <m/>
    <m/>
    <n v="0.03"/>
    <m/>
    <n v="13"/>
    <m/>
    <m/>
    <m/>
    <m/>
    <m/>
    <s v="no test"/>
    <s v="no test"/>
    <s v="No Test"/>
    <n v="0"/>
    <n v="3"/>
    <n v="0"/>
    <n v="0"/>
    <n v="0"/>
    <n v="500"/>
    <n v="0"/>
    <m/>
    <n v="1"/>
    <n v="1"/>
    <n v="1"/>
    <n v="618"/>
    <n v="0"/>
    <n v="0"/>
    <n v="1"/>
    <n v="618"/>
    <n v="1.236"/>
    <n v="0"/>
    <n v="0"/>
    <n v="0"/>
    <n v="1"/>
    <n v="29"/>
    <n v="0.94822006472491904"/>
    <n v="586"/>
    <n v="0"/>
    <n v="0"/>
    <n v="0"/>
    <n v="31"/>
    <n v="2"/>
    <n v="5.1779935275080957E-2"/>
    <n v="0"/>
    <n v="0"/>
    <n v="0"/>
    <n v="0"/>
    <n v="0"/>
    <n v="0"/>
    <n v="0"/>
    <n v="1"/>
    <n v="0"/>
    <n v="0"/>
    <n v="0"/>
    <n v="3"/>
    <n v="60"/>
    <n v="0"/>
    <n v="300"/>
    <s v="No"/>
    <s v=""/>
    <n v="0"/>
    <n v="0"/>
    <n v="18.54"/>
    <n v="18.54"/>
    <n v="500"/>
    <n v="0"/>
    <s v="Yes"/>
    <s v="KBC-NSS"/>
    <x v="0"/>
    <x v="2"/>
    <x v="0"/>
    <n v="23.829599000000002"/>
    <n v="97.590767"/>
    <s v="MMR001CMP230"/>
    <x v="0"/>
    <x v="0"/>
    <s v="Yes. KMSS focal"/>
    <n v="150"/>
    <n v="655"/>
  </r>
  <r>
    <x v="1"/>
    <x v="8"/>
    <x v="6"/>
    <s v="UNICEF"/>
    <x v="1"/>
    <x v="7"/>
    <x v="0"/>
    <x v="75"/>
    <n v="479"/>
    <n v="2725"/>
    <d v="2023-02-16T00:00:00"/>
    <d v="2024-02-16T00:00:00"/>
    <n v="50"/>
    <m/>
    <m/>
    <m/>
    <m/>
    <m/>
    <m/>
    <n v="4"/>
    <m/>
    <m/>
    <n v="4"/>
    <m/>
    <m/>
    <m/>
    <m/>
    <m/>
    <m/>
    <m/>
    <m/>
    <m/>
    <m/>
    <m/>
    <m/>
    <m/>
    <m/>
    <m/>
    <m/>
    <n v="1"/>
    <m/>
    <m/>
    <n v="147"/>
    <m/>
    <m/>
    <m/>
    <m/>
    <m/>
    <m/>
    <m/>
    <x v="2"/>
    <x v="2"/>
    <m/>
    <m/>
    <m/>
    <m/>
    <n v="12"/>
    <m/>
    <n v="2"/>
    <m/>
    <m/>
    <m/>
    <m/>
    <m/>
    <m/>
    <m/>
    <m/>
    <s v="Yes"/>
    <n v="1"/>
    <m/>
    <m/>
    <m/>
    <m/>
    <n v="0.09"/>
    <m/>
    <n v="5"/>
    <n v="25"/>
    <m/>
    <m/>
    <m/>
    <m/>
    <m/>
    <s v="no test"/>
    <s v="no test"/>
    <s v="No Test"/>
    <n v="4"/>
    <n v="4"/>
    <n v="0"/>
    <n v="0"/>
    <n v="0"/>
    <n v="500"/>
    <n v="0"/>
    <m/>
    <n v="1"/>
    <n v="0.73394495412844041"/>
    <n v="1"/>
    <n v="2725"/>
    <n v="0"/>
    <n v="0"/>
    <n v="1"/>
    <n v="2725"/>
    <n v="5.45"/>
    <n v="0"/>
    <n v="0"/>
    <n v="0"/>
    <n v="5"/>
    <n v="147"/>
    <n v="1"/>
    <n v="2725"/>
    <n v="0"/>
    <n v="0"/>
    <n v="0"/>
    <n v="136"/>
    <n v="0"/>
    <n v="0"/>
    <n v="0"/>
    <n v="0"/>
    <n v="0"/>
    <n v="0"/>
    <n v="0"/>
    <n v="0"/>
    <n v="0"/>
    <n v="1"/>
    <n v="0"/>
    <n v="0"/>
    <n v="0"/>
    <n v="2"/>
    <n v="40"/>
    <n v="0"/>
    <n v="200"/>
    <s v="Yes"/>
    <n v="3.3027522935779817E-5"/>
    <n v="0"/>
    <n v="0"/>
    <n v="0"/>
    <n v="0.09"/>
    <n v="500"/>
    <n v="0"/>
    <s v="Yes"/>
    <s v="KMSS-BMO"/>
    <x v="0"/>
    <x v="2"/>
    <x v="0"/>
    <n v="23.835319999999999"/>
    <n v="97.578490000000002"/>
    <s v="MMR001CMP132"/>
    <x v="0"/>
    <x v="0"/>
    <s v="Yes. KMSS focal"/>
    <n v="625"/>
    <n v="3397"/>
  </r>
  <r>
    <x v="1"/>
    <x v="8"/>
    <x v="6"/>
    <s v="UNICEF"/>
    <x v="1"/>
    <x v="7"/>
    <x v="0"/>
    <x v="76"/>
    <n v="140"/>
    <n v="857"/>
    <d v="2023-02-16T00:00:00"/>
    <d v="2024-02-16T00:00:00"/>
    <n v="16"/>
    <m/>
    <m/>
    <m/>
    <m/>
    <m/>
    <m/>
    <m/>
    <m/>
    <m/>
    <n v="3"/>
    <m/>
    <m/>
    <m/>
    <m/>
    <m/>
    <m/>
    <m/>
    <m/>
    <m/>
    <m/>
    <m/>
    <m/>
    <m/>
    <m/>
    <m/>
    <m/>
    <n v="1"/>
    <m/>
    <m/>
    <n v="48"/>
    <m/>
    <m/>
    <m/>
    <m/>
    <m/>
    <m/>
    <m/>
    <x v="2"/>
    <x v="2"/>
    <m/>
    <m/>
    <m/>
    <m/>
    <n v="5"/>
    <m/>
    <n v="4"/>
    <m/>
    <m/>
    <m/>
    <m/>
    <m/>
    <m/>
    <m/>
    <m/>
    <s v="Yes"/>
    <n v="1"/>
    <m/>
    <m/>
    <m/>
    <m/>
    <m/>
    <m/>
    <m/>
    <n v="12"/>
    <m/>
    <m/>
    <m/>
    <m/>
    <m/>
    <s v="no test"/>
    <s v="no test"/>
    <s v="No Test"/>
    <n v="0"/>
    <n v="3"/>
    <n v="0"/>
    <n v="0"/>
    <n v="0"/>
    <n v="500"/>
    <n v="0"/>
    <m/>
    <n v="1"/>
    <n v="0.87514585764294051"/>
    <n v="1"/>
    <n v="857"/>
    <n v="0"/>
    <n v="0"/>
    <n v="1"/>
    <n v="857"/>
    <n v="1.714"/>
    <n v="0"/>
    <n v="0"/>
    <n v="0.28600000000000003"/>
    <n v="2"/>
    <n v="48"/>
    <n v="1"/>
    <n v="857"/>
    <n v="0"/>
    <n v="0"/>
    <n v="0"/>
    <n v="43"/>
    <n v="0"/>
    <n v="0"/>
    <n v="0"/>
    <n v="0"/>
    <n v="0"/>
    <n v="0"/>
    <n v="0"/>
    <n v="0"/>
    <n v="0"/>
    <n v="1"/>
    <n v="0"/>
    <n v="0"/>
    <n v="0"/>
    <n v="4"/>
    <n v="80"/>
    <n v="0"/>
    <n v="400"/>
    <s v="Yes"/>
    <s v=""/>
    <n v="0"/>
    <n v="0"/>
    <n v="0"/>
    <n v="0"/>
    <n v="500"/>
    <n v="0"/>
    <s v="Yes"/>
    <s v="KMSS-BMO"/>
    <x v="0"/>
    <x v="2"/>
    <x v="0"/>
    <n v="23.833477999999999"/>
    <n v="97.578367"/>
    <s v="MMR001CMP228"/>
    <x v="0"/>
    <x v="0"/>
    <s v="Yes. KMSS focal"/>
    <n v="140"/>
    <n v="830"/>
  </r>
  <r>
    <x v="1"/>
    <x v="8"/>
    <x v="6"/>
    <s v="UNICEF"/>
    <x v="1"/>
    <x v="7"/>
    <x v="0"/>
    <x v="77"/>
    <n v="97"/>
    <n v="544"/>
    <d v="2021-11-11T00:00:00"/>
    <s v="31-12-22"/>
    <m/>
    <m/>
    <m/>
    <m/>
    <m/>
    <m/>
    <m/>
    <n v="3"/>
    <m/>
    <m/>
    <m/>
    <m/>
    <m/>
    <m/>
    <m/>
    <m/>
    <m/>
    <m/>
    <m/>
    <m/>
    <m/>
    <m/>
    <m/>
    <m/>
    <m/>
    <m/>
    <m/>
    <m/>
    <m/>
    <m/>
    <m/>
    <m/>
    <m/>
    <m/>
    <m/>
    <m/>
    <m/>
    <m/>
    <x v="2"/>
    <x v="2"/>
    <m/>
    <m/>
    <m/>
    <m/>
    <m/>
    <m/>
    <n v="7"/>
    <m/>
    <m/>
    <n v="7"/>
    <m/>
    <m/>
    <m/>
    <m/>
    <m/>
    <s v="Yes"/>
    <m/>
    <m/>
    <m/>
    <m/>
    <m/>
    <m/>
    <m/>
    <m/>
    <m/>
    <m/>
    <m/>
    <m/>
    <m/>
    <m/>
    <s v="no test"/>
    <s v="no test"/>
    <s v="No Test"/>
    <n v="3"/>
    <n v="0"/>
    <n v="0"/>
    <n v="0"/>
    <n v="0"/>
    <n v="0"/>
    <n v="0"/>
    <m/>
    <n v="1"/>
    <n v="1"/>
    <n v="1"/>
    <n v="544"/>
    <n v="0"/>
    <n v="0"/>
    <n v="1"/>
    <n v="544"/>
    <n v="1.0880000000000001"/>
    <n v="0"/>
    <n v="0"/>
    <n v="0"/>
    <n v="1"/>
    <n v="0"/>
    <n v="0"/>
    <n v="0"/>
    <n v="0"/>
    <n v="0"/>
    <n v="0"/>
    <n v="27"/>
    <n v="27"/>
    <n v="1"/>
    <n v="0"/>
    <n v="0"/>
    <n v="0"/>
    <n v="0"/>
    <n v="0"/>
    <n v="0"/>
    <n v="0"/>
    <n v="1"/>
    <n v="0"/>
    <n v="0"/>
    <n v="0"/>
    <n v="7"/>
    <n v="97"/>
    <n v="0"/>
    <n v="544"/>
    <s v="No"/>
    <s v=""/>
    <n v="0"/>
    <n v="0"/>
    <n v="0"/>
    <n v="0"/>
    <n v="0"/>
    <n v="0"/>
    <n v="0"/>
    <s v="uncovered"/>
    <x v="0"/>
    <x v="4"/>
    <x v="0"/>
    <n v="23.827870999999998"/>
    <n v="97.588291999999996"/>
    <s v="MMR001CMP134"/>
    <x v="0"/>
    <x v="0"/>
    <s v="Yes. KMSS focal"/>
    <n v="120"/>
    <n v="664"/>
  </r>
  <r>
    <x v="1"/>
    <x v="9"/>
    <x v="17"/>
    <s v="USAID,UNOPS, Irish Aid"/>
    <x v="1"/>
    <x v="7"/>
    <x v="0"/>
    <x v="78"/>
    <n v="172"/>
    <n v="789"/>
    <s v=" 13-8-2021, 30-4-2023, 1-1-2023"/>
    <s v="30-6-2023,  31-12-2023, 31-12-2023"/>
    <m/>
    <n v="1"/>
    <m/>
    <m/>
    <s v="Yes"/>
    <m/>
    <n v="7"/>
    <n v="4"/>
    <m/>
    <m/>
    <n v="4"/>
    <m/>
    <m/>
    <n v="2"/>
    <m/>
    <m/>
    <n v="2"/>
    <m/>
    <m/>
    <m/>
    <m/>
    <m/>
    <m/>
    <m/>
    <m/>
    <m/>
    <m/>
    <m/>
    <m/>
    <m/>
    <n v="44"/>
    <m/>
    <m/>
    <m/>
    <m/>
    <m/>
    <m/>
    <m/>
    <x v="1"/>
    <x v="1"/>
    <m/>
    <m/>
    <m/>
    <m/>
    <n v="1"/>
    <m/>
    <n v="4"/>
    <m/>
    <m/>
    <n v="5"/>
    <m/>
    <m/>
    <m/>
    <n v="114"/>
    <n v="100"/>
    <m/>
    <m/>
    <m/>
    <m/>
    <m/>
    <m/>
    <m/>
    <m/>
    <m/>
    <m/>
    <m/>
    <m/>
    <m/>
    <m/>
    <m/>
    <s v="no test"/>
    <s v="no test"/>
    <s v="No Test"/>
    <n v="4"/>
    <n v="4"/>
    <n v="0"/>
    <n v="0"/>
    <n v="0"/>
    <n v="0"/>
    <n v="0"/>
    <m/>
    <n v="1"/>
    <n v="1"/>
    <n v="1"/>
    <n v="789"/>
    <n v="0"/>
    <n v="0"/>
    <n v="1"/>
    <n v="789"/>
    <n v="1.5780000000000001"/>
    <n v="0"/>
    <n v="0"/>
    <n v="0.42199999999999993"/>
    <n v="2"/>
    <n v="44"/>
    <n v="1"/>
    <n v="789"/>
    <n v="0"/>
    <n v="0"/>
    <n v="0"/>
    <n v="39"/>
    <n v="0"/>
    <n v="0"/>
    <n v="0"/>
    <n v="0"/>
    <n v="570"/>
    <n v="100"/>
    <n v="570"/>
    <n v="570"/>
    <n v="0.72243346007604559"/>
    <n v="0.27756653992395441"/>
    <n v="0"/>
    <n v="1"/>
    <n v="0.58139534883720934"/>
    <n v="4"/>
    <n v="80"/>
    <n v="0"/>
    <n v="400"/>
    <s v="No"/>
    <s v=""/>
    <n v="0"/>
    <n v="0"/>
    <n v="0"/>
    <n v="0"/>
    <n v="0"/>
    <n v="0"/>
    <s v="Yes"/>
    <s v="KBC-BMO"/>
    <x v="0"/>
    <x v="2"/>
    <x v="0"/>
    <n v="24.129059999999999"/>
    <n v="97.291820000000001"/>
    <s v="MMR001CMP066"/>
    <x v="0"/>
    <x v="0"/>
    <s v="Yes. Metta Kachin is focal"/>
    <n v="114"/>
    <n v="547"/>
  </r>
  <r>
    <x v="1"/>
    <x v="13"/>
    <x v="11"/>
    <m/>
    <x v="1"/>
    <x v="7"/>
    <x v="0"/>
    <x v="132"/>
    <n v="67"/>
    <n v="308"/>
    <m/>
    <m/>
    <m/>
    <m/>
    <m/>
    <m/>
    <m/>
    <m/>
    <n v="4"/>
    <m/>
    <m/>
    <m/>
    <m/>
    <m/>
    <m/>
    <m/>
    <m/>
    <m/>
    <m/>
    <m/>
    <m/>
    <m/>
    <m/>
    <m/>
    <m/>
    <m/>
    <m/>
    <m/>
    <m/>
    <m/>
    <m/>
    <m/>
    <m/>
    <m/>
    <m/>
    <m/>
    <m/>
    <m/>
    <m/>
    <m/>
    <x v="2"/>
    <x v="2"/>
    <m/>
    <m/>
    <m/>
    <m/>
    <m/>
    <m/>
    <n v="7"/>
    <m/>
    <m/>
    <n v="7"/>
    <m/>
    <m/>
    <m/>
    <m/>
    <m/>
    <m/>
    <m/>
    <m/>
    <m/>
    <m/>
    <m/>
    <m/>
    <m/>
    <m/>
    <m/>
    <m/>
    <m/>
    <m/>
    <m/>
    <m/>
    <s v="no test"/>
    <s v="no test"/>
    <s v="No Test"/>
    <n v="0"/>
    <n v="0"/>
    <n v="0"/>
    <n v="0"/>
    <n v="0"/>
    <n v="0"/>
    <n v="0"/>
    <m/>
    <n v="0"/>
    <n v="0"/>
    <n v="0"/>
    <n v="0"/>
    <n v="0"/>
    <n v="0"/>
    <n v="0"/>
    <n v="0"/>
    <n v="0"/>
    <n v="1"/>
    <n v="308"/>
    <n v="1"/>
    <n v="1"/>
    <n v="0"/>
    <n v="0"/>
    <n v="0"/>
    <n v="0"/>
    <n v="0"/>
    <n v="0"/>
    <n v="15"/>
    <n v="15"/>
    <n v="1"/>
    <n v="0"/>
    <n v="0"/>
    <n v="0"/>
    <n v="0"/>
    <n v="0"/>
    <n v="0"/>
    <n v="0"/>
    <n v="1"/>
    <n v="0"/>
    <n v="0"/>
    <n v="0"/>
    <n v="7"/>
    <n v="67"/>
    <n v="0"/>
    <n v="308"/>
    <s v="No"/>
    <s v=""/>
    <n v="0"/>
    <n v="0"/>
    <n v="0"/>
    <n v="0"/>
    <n v="0"/>
    <n v="0"/>
    <n v="0"/>
    <s v="uncovered"/>
    <x v="0"/>
    <x v="4"/>
    <x v="0"/>
    <n v="24.118618999999999"/>
    <n v="97.298055000000005"/>
    <s v="MMR001CMP196"/>
    <x v="1"/>
    <x v="1"/>
    <s v="yes"/>
    <n v="67"/>
    <n v="325"/>
  </r>
  <r>
    <x v="1"/>
    <x v="13"/>
    <x v="11"/>
    <m/>
    <x v="1"/>
    <x v="7"/>
    <x v="3"/>
    <x v="133"/>
    <n v="86"/>
    <n v="450"/>
    <m/>
    <m/>
    <m/>
    <m/>
    <m/>
    <m/>
    <m/>
    <m/>
    <m/>
    <m/>
    <m/>
    <m/>
    <m/>
    <m/>
    <m/>
    <m/>
    <m/>
    <m/>
    <m/>
    <m/>
    <m/>
    <m/>
    <m/>
    <m/>
    <m/>
    <m/>
    <m/>
    <m/>
    <m/>
    <m/>
    <m/>
    <m/>
    <m/>
    <m/>
    <m/>
    <m/>
    <m/>
    <m/>
    <m/>
    <m/>
    <x v="3"/>
    <x v="4"/>
    <m/>
    <m/>
    <m/>
    <m/>
    <m/>
    <m/>
    <m/>
    <m/>
    <m/>
    <m/>
    <m/>
    <m/>
    <m/>
    <m/>
    <m/>
    <m/>
    <m/>
    <m/>
    <m/>
    <m/>
    <m/>
    <m/>
    <m/>
    <m/>
    <m/>
    <m/>
    <m/>
    <m/>
    <m/>
    <m/>
    <s v="no test"/>
    <s v="no test"/>
    <s v="No Test"/>
    <n v="0"/>
    <n v="0"/>
    <n v="0"/>
    <n v="0"/>
    <n v="0"/>
    <n v="0"/>
    <n v="0"/>
    <m/>
    <n v="0"/>
    <n v="0"/>
    <n v="0"/>
    <n v="0"/>
    <n v="0"/>
    <n v="0"/>
    <n v="0"/>
    <n v="0"/>
    <n v="0"/>
    <n v="1"/>
    <n v="450"/>
    <n v="1"/>
    <n v="1"/>
    <n v="0"/>
    <n v="0"/>
    <n v="0"/>
    <n v="0"/>
    <n v="0"/>
    <n v="0"/>
    <n v="75"/>
    <n v="75"/>
    <n v="1"/>
    <n v="0"/>
    <n v="0"/>
    <n v="0"/>
    <n v="0"/>
    <n v="0"/>
    <n v="0"/>
    <n v="0"/>
    <n v="1"/>
    <n v="0"/>
    <n v="0"/>
    <n v="0"/>
    <n v="0"/>
    <n v="0"/>
    <n v="0"/>
    <n v="0"/>
    <s v="No"/>
    <s v=""/>
    <n v="0"/>
    <n v="0"/>
    <n v="0"/>
    <n v="0"/>
    <n v="0"/>
    <n v="0"/>
    <n v="0"/>
    <n v="0"/>
    <x v="2"/>
    <x v="6"/>
    <x v="0"/>
    <n v="24.109690000000001"/>
    <n v="97.241101"/>
    <s v="MMR001CMP278"/>
    <x v="1"/>
    <x v="1"/>
    <s v="resettlement or relocate??"/>
    <n v="86"/>
    <n v="450"/>
  </r>
  <r>
    <x v="1"/>
    <x v="18"/>
    <x v="20"/>
    <s v="UNICEF"/>
    <x v="1"/>
    <x v="8"/>
    <x v="0"/>
    <x v="11"/>
    <n v="13"/>
    <n v="77"/>
    <d v="2022-09-07T00:00:00"/>
    <d v="2023-09-06T00:00:00"/>
    <m/>
    <n v="1"/>
    <m/>
    <m/>
    <s v="Yes"/>
    <n v="2"/>
    <n v="3"/>
    <n v="1"/>
    <m/>
    <m/>
    <n v="1"/>
    <m/>
    <m/>
    <m/>
    <m/>
    <m/>
    <m/>
    <m/>
    <m/>
    <m/>
    <m/>
    <n v="2"/>
    <m/>
    <m/>
    <m/>
    <m/>
    <m/>
    <m/>
    <m/>
    <m/>
    <n v="6"/>
    <m/>
    <m/>
    <m/>
    <m/>
    <m/>
    <m/>
    <n v="6"/>
    <x v="1"/>
    <x v="3"/>
    <m/>
    <m/>
    <m/>
    <m/>
    <m/>
    <m/>
    <n v="3"/>
    <n v="1"/>
    <m/>
    <n v="2"/>
    <m/>
    <m/>
    <n v="1"/>
    <m/>
    <m/>
    <m/>
    <m/>
    <m/>
    <m/>
    <m/>
    <m/>
    <m/>
    <m/>
    <m/>
    <m/>
    <m/>
    <m/>
    <m/>
    <m/>
    <m/>
    <s v="no test"/>
    <s v="no test"/>
    <s v="No Test"/>
    <n v="1"/>
    <n v="1"/>
    <n v="0"/>
    <n v="0"/>
    <n v="0"/>
    <n v="0"/>
    <n v="0"/>
    <m/>
    <n v="1"/>
    <n v="1"/>
    <n v="1"/>
    <n v="77"/>
    <n v="0"/>
    <n v="0"/>
    <n v="1"/>
    <n v="77"/>
    <n v="0.154"/>
    <n v="0"/>
    <n v="0"/>
    <n v="0.84599999999999997"/>
    <n v="1"/>
    <n v="6"/>
    <n v="1"/>
    <n v="77"/>
    <n v="0"/>
    <n v="0"/>
    <n v="0"/>
    <n v="4"/>
    <n v="0"/>
    <n v="0"/>
    <n v="0"/>
    <n v="77"/>
    <n v="0"/>
    <n v="0"/>
    <n v="0"/>
    <n v="77"/>
    <n v="1"/>
    <n v="0"/>
    <n v="1"/>
    <n v="0"/>
    <n v="0"/>
    <n v="2"/>
    <n v="13"/>
    <n v="0"/>
    <n v="77"/>
    <s v="No"/>
    <s v=""/>
    <n v="0"/>
    <n v="0"/>
    <n v="0"/>
    <n v="0"/>
    <n v="0"/>
    <n v="0"/>
    <s v="Yes"/>
    <s v="KBC-MYT"/>
    <x v="0"/>
    <x v="2"/>
    <x v="0"/>
    <n v="25.305669999999999"/>
    <n v="96.922619999999995"/>
    <s v="MMR001CMP078"/>
    <x v="0"/>
    <x v="0"/>
    <s v="Yes. KBC is focal .planning to lcoal integration"/>
    <n v="13"/>
    <n v="77"/>
  </r>
  <r>
    <x v="1"/>
    <x v="18"/>
    <x v="20"/>
    <s v="UNICEF"/>
    <x v="1"/>
    <x v="8"/>
    <x v="0"/>
    <x v="12"/>
    <n v="15"/>
    <n v="74"/>
    <d v="2022-09-07T00:00:00"/>
    <d v="2023-09-06T00:00:00"/>
    <m/>
    <n v="1"/>
    <m/>
    <m/>
    <s v="Yes"/>
    <n v="2"/>
    <n v="3"/>
    <m/>
    <m/>
    <m/>
    <n v="2"/>
    <m/>
    <m/>
    <m/>
    <m/>
    <m/>
    <m/>
    <m/>
    <m/>
    <m/>
    <m/>
    <n v="2"/>
    <m/>
    <m/>
    <m/>
    <m/>
    <m/>
    <m/>
    <m/>
    <m/>
    <n v="3"/>
    <m/>
    <m/>
    <m/>
    <m/>
    <m/>
    <m/>
    <n v="3"/>
    <x v="1"/>
    <x v="1"/>
    <m/>
    <m/>
    <m/>
    <m/>
    <m/>
    <m/>
    <n v="2"/>
    <m/>
    <m/>
    <n v="2"/>
    <n v="1"/>
    <m/>
    <n v="1"/>
    <m/>
    <m/>
    <m/>
    <m/>
    <m/>
    <m/>
    <m/>
    <m/>
    <m/>
    <m/>
    <m/>
    <m/>
    <m/>
    <m/>
    <m/>
    <m/>
    <m/>
    <s v="no test"/>
    <s v="no test"/>
    <s v="No Test"/>
    <n v="0"/>
    <n v="2"/>
    <n v="0"/>
    <n v="0"/>
    <n v="0"/>
    <n v="0"/>
    <n v="0"/>
    <m/>
    <n v="1"/>
    <n v="1"/>
    <n v="1"/>
    <n v="74"/>
    <n v="0"/>
    <n v="0"/>
    <n v="1"/>
    <n v="74"/>
    <n v="0.14799999999999999"/>
    <n v="0"/>
    <n v="0"/>
    <n v="0.85199999999999998"/>
    <n v="1"/>
    <n v="3"/>
    <n v="0.81081081081081086"/>
    <n v="60"/>
    <n v="0"/>
    <n v="0"/>
    <n v="0"/>
    <n v="4"/>
    <n v="1"/>
    <n v="0.18918918918918914"/>
    <n v="0"/>
    <n v="74"/>
    <n v="0"/>
    <n v="0"/>
    <n v="0"/>
    <n v="74"/>
    <n v="1"/>
    <n v="0"/>
    <n v="1"/>
    <n v="0"/>
    <n v="0"/>
    <n v="2"/>
    <n v="15"/>
    <n v="0"/>
    <n v="74"/>
    <s v="No"/>
    <s v=""/>
    <n v="0"/>
    <n v="0"/>
    <n v="0"/>
    <n v="0"/>
    <n v="0"/>
    <n v="0"/>
    <s v="Yes"/>
    <s v="KBC-MYT"/>
    <x v="0"/>
    <x v="2"/>
    <x v="0"/>
    <n v="25.296579999999999"/>
    <n v="96.942279999999997"/>
    <s v="MMR001CMP077"/>
    <x v="0"/>
    <x v="0"/>
    <s v="Yes. KBC is focal"/>
    <n v="16"/>
    <n v="74"/>
  </r>
  <r>
    <x v="1"/>
    <x v="18"/>
    <x v="20"/>
    <s v="UNICEF"/>
    <x v="1"/>
    <x v="8"/>
    <x v="0"/>
    <x v="14"/>
    <n v="112"/>
    <n v="325"/>
    <d v="2022-09-07T00:00:00"/>
    <d v="2023-09-06T00:00:00"/>
    <m/>
    <n v="2"/>
    <m/>
    <m/>
    <s v="Yes"/>
    <n v="1"/>
    <n v="2"/>
    <n v="2"/>
    <m/>
    <m/>
    <n v="3"/>
    <m/>
    <m/>
    <m/>
    <m/>
    <m/>
    <m/>
    <m/>
    <m/>
    <m/>
    <m/>
    <n v="5"/>
    <m/>
    <m/>
    <m/>
    <m/>
    <m/>
    <m/>
    <m/>
    <m/>
    <n v="20"/>
    <m/>
    <m/>
    <m/>
    <m/>
    <m/>
    <m/>
    <n v="12"/>
    <x v="1"/>
    <x v="1"/>
    <m/>
    <m/>
    <m/>
    <m/>
    <m/>
    <m/>
    <n v="4"/>
    <m/>
    <m/>
    <n v="5"/>
    <m/>
    <n v="2"/>
    <n v="1"/>
    <m/>
    <m/>
    <m/>
    <m/>
    <m/>
    <m/>
    <m/>
    <m/>
    <m/>
    <m/>
    <m/>
    <m/>
    <m/>
    <m/>
    <m/>
    <m/>
    <m/>
    <s v="no test"/>
    <s v="no test"/>
    <s v="No Test"/>
    <n v="2"/>
    <n v="3"/>
    <n v="0"/>
    <n v="0"/>
    <n v="0"/>
    <n v="0"/>
    <n v="0"/>
    <m/>
    <n v="1"/>
    <n v="1"/>
    <n v="1"/>
    <n v="325"/>
    <n v="0"/>
    <n v="0"/>
    <n v="1"/>
    <n v="325"/>
    <n v="0.65"/>
    <n v="0"/>
    <n v="0"/>
    <n v="0.35"/>
    <n v="1"/>
    <n v="20"/>
    <n v="1"/>
    <n v="325"/>
    <n v="0"/>
    <n v="0"/>
    <n v="0"/>
    <n v="16"/>
    <n v="0"/>
    <n v="0"/>
    <n v="0"/>
    <n v="325"/>
    <n v="0"/>
    <n v="0"/>
    <n v="0"/>
    <n v="325"/>
    <n v="1"/>
    <n v="0"/>
    <n v="1"/>
    <n v="0"/>
    <n v="0"/>
    <n v="4"/>
    <n v="80"/>
    <n v="0"/>
    <n v="325"/>
    <s v="No"/>
    <s v=""/>
    <n v="0"/>
    <n v="0"/>
    <n v="0"/>
    <n v="0"/>
    <n v="0"/>
    <n v="0"/>
    <n v="0"/>
    <s v="KBC-MYT"/>
    <x v="0"/>
    <x v="2"/>
    <x v="0"/>
    <n v="25.2226"/>
    <n v="97.012299999999996"/>
    <s v="MMR001CMP261"/>
    <x v="0"/>
    <x v="0"/>
    <s v="Yes. KBC is focal"/>
    <n v="110"/>
    <n v="590"/>
  </r>
  <r>
    <x v="1"/>
    <x v="18"/>
    <x v="20"/>
    <s v="UNICEF"/>
    <x v="1"/>
    <x v="8"/>
    <x v="0"/>
    <x v="15"/>
    <n v="10"/>
    <n v="49"/>
    <d v="2022-09-07T00:00:00"/>
    <d v="2023-09-06T00:00:00"/>
    <m/>
    <n v="1"/>
    <m/>
    <m/>
    <s v="Yes"/>
    <n v="2"/>
    <n v="1"/>
    <m/>
    <m/>
    <m/>
    <n v="2"/>
    <m/>
    <m/>
    <m/>
    <m/>
    <m/>
    <m/>
    <m/>
    <m/>
    <m/>
    <m/>
    <n v="2"/>
    <m/>
    <m/>
    <m/>
    <m/>
    <m/>
    <m/>
    <m/>
    <m/>
    <n v="4"/>
    <m/>
    <m/>
    <n v="2"/>
    <m/>
    <m/>
    <m/>
    <n v="2"/>
    <x v="1"/>
    <x v="1"/>
    <m/>
    <m/>
    <m/>
    <m/>
    <m/>
    <m/>
    <n v="2"/>
    <n v="1"/>
    <m/>
    <n v="2"/>
    <m/>
    <m/>
    <n v="1"/>
    <m/>
    <m/>
    <m/>
    <m/>
    <m/>
    <m/>
    <m/>
    <m/>
    <m/>
    <m/>
    <m/>
    <m/>
    <m/>
    <m/>
    <m/>
    <m/>
    <m/>
    <s v="no test"/>
    <s v="no test"/>
    <s v="No Test"/>
    <n v="0"/>
    <n v="2"/>
    <n v="0"/>
    <n v="0"/>
    <n v="0"/>
    <n v="0"/>
    <n v="0"/>
    <m/>
    <n v="1"/>
    <n v="1"/>
    <n v="1"/>
    <n v="49"/>
    <n v="0"/>
    <n v="0"/>
    <n v="1"/>
    <n v="49"/>
    <n v="9.8000000000000004E-2"/>
    <n v="0"/>
    <n v="0"/>
    <n v="0.90200000000000002"/>
    <n v="1"/>
    <n v="2"/>
    <n v="0.81632653061224492"/>
    <n v="40"/>
    <n v="0"/>
    <n v="0"/>
    <n v="0"/>
    <n v="2"/>
    <n v="0"/>
    <n v="0.18367346938775508"/>
    <n v="0.5"/>
    <n v="49"/>
    <n v="0"/>
    <n v="0"/>
    <n v="0"/>
    <n v="49"/>
    <n v="1"/>
    <n v="0"/>
    <n v="1"/>
    <n v="0"/>
    <n v="0"/>
    <n v="1"/>
    <n v="10"/>
    <n v="0"/>
    <n v="49"/>
    <s v="No"/>
    <s v=""/>
    <n v="0"/>
    <n v="0"/>
    <n v="0"/>
    <n v="0"/>
    <n v="0"/>
    <n v="0"/>
    <s v="Yes"/>
    <s v="KBC-MYT"/>
    <x v="0"/>
    <x v="2"/>
    <x v="0"/>
    <n v="25.30442"/>
    <n v="96.948740000000001"/>
    <s v="MMR001CMP079"/>
    <x v="0"/>
    <x v="0"/>
    <s v="Yes. KBC is focal"/>
    <n v="10"/>
    <n v="48"/>
  </r>
  <r>
    <x v="1"/>
    <x v="18"/>
    <x v="21"/>
    <s v="UNICEF,SIDA"/>
    <x v="1"/>
    <x v="8"/>
    <x v="0"/>
    <x v="51"/>
    <n v="25"/>
    <n v="141"/>
    <d v="2022-09-07T00:00:00"/>
    <d v="2023-09-06T00:00:00"/>
    <m/>
    <n v="1"/>
    <m/>
    <m/>
    <s v="Yes"/>
    <n v="2"/>
    <n v="2"/>
    <n v="1"/>
    <m/>
    <m/>
    <n v="1"/>
    <m/>
    <m/>
    <m/>
    <m/>
    <m/>
    <m/>
    <m/>
    <m/>
    <m/>
    <m/>
    <n v="2"/>
    <m/>
    <m/>
    <m/>
    <m/>
    <m/>
    <m/>
    <m/>
    <m/>
    <n v="16"/>
    <m/>
    <m/>
    <n v="8"/>
    <m/>
    <m/>
    <m/>
    <n v="8"/>
    <x v="1"/>
    <x v="3"/>
    <m/>
    <m/>
    <m/>
    <m/>
    <m/>
    <m/>
    <n v="4"/>
    <m/>
    <m/>
    <n v="2"/>
    <m/>
    <m/>
    <n v="1"/>
    <m/>
    <m/>
    <m/>
    <m/>
    <m/>
    <m/>
    <m/>
    <m/>
    <m/>
    <m/>
    <m/>
    <m/>
    <m/>
    <m/>
    <m/>
    <m/>
    <m/>
    <s v="no test"/>
    <s v="no test"/>
    <s v="No Test"/>
    <n v="1"/>
    <n v="1"/>
    <n v="0"/>
    <n v="0"/>
    <n v="0"/>
    <n v="0"/>
    <n v="0"/>
    <m/>
    <n v="1"/>
    <n v="1"/>
    <n v="1"/>
    <n v="141"/>
    <n v="0"/>
    <n v="0"/>
    <n v="1"/>
    <n v="141"/>
    <n v="0.28199999999999997"/>
    <n v="0"/>
    <n v="0"/>
    <n v="0.71799999999999997"/>
    <n v="1"/>
    <n v="8"/>
    <n v="1"/>
    <n v="141"/>
    <n v="0"/>
    <n v="0"/>
    <n v="0"/>
    <n v="7"/>
    <n v="0"/>
    <n v="0"/>
    <n v="0.5"/>
    <n v="141"/>
    <n v="0"/>
    <n v="0"/>
    <n v="0"/>
    <n v="141"/>
    <n v="1"/>
    <n v="0"/>
    <n v="1"/>
    <n v="0"/>
    <n v="0"/>
    <n v="4"/>
    <n v="25"/>
    <n v="0"/>
    <n v="141"/>
    <s v="No"/>
    <s v=""/>
    <n v="0"/>
    <n v="0"/>
    <n v="0"/>
    <n v="0"/>
    <n v="0"/>
    <n v="0"/>
    <s v="Yes"/>
    <s v="KBC-MYT"/>
    <x v="0"/>
    <x v="2"/>
    <x v="0"/>
    <n v="25.225000000000001"/>
    <n v="96.793999999999997"/>
    <s v="MMR001CMP236"/>
    <x v="0"/>
    <x v="0"/>
    <s v="Yes. KBC is focal planning to lcoal integration"/>
    <n v="25"/>
    <n v="138"/>
  </r>
  <r>
    <x v="1"/>
    <x v="8"/>
    <x v="6"/>
    <s v="UNICEF"/>
    <x v="1"/>
    <x v="8"/>
    <x v="0"/>
    <x v="56"/>
    <n v="48"/>
    <n v="276"/>
    <d v="2023-02-16T00:00:00"/>
    <d v="2024-02-15T00:00:00"/>
    <m/>
    <n v="3"/>
    <m/>
    <m/>
    <s v="Yes"/>
    <n v="3"/>
    <n v="1"/>
    <n v="2"/>
    <m/>
    <m/>
    <m/>
    <m/>
    <m/>
    <m/>
    <m/>
    <m/>
    <m/>
    <m/>
    <m/>
    <m/>
    <m/>
    <m/>
    <n v="3"/>
    <n v="1"/>
    <n v="5"/>
    <n v="2"/>
    <n v="5"/>
    <m/>
    <m/>
    <m/>
    <n v="18"/>
    <m/>
    <m/>
    <m/>
    <n v="9"/>
    <m/>
    <m/>
    <m/>
    <x v="1"/>
    <x v="3"/>
    <m/>
    <m/>
    <m/>
    <m/>
    <m/>
    <m/>
    <n v="5"/>
    <m/>
    <n v="2"/>
    <n v="2"/>
    <m/>
    <m/>
    <n v="1"/>
    <m/>
    <m/>
    <s v="Yes"/>
    <m/>
    <m/>
    <m/>
    <m/>
    <m/>
    <m/>
    <m/>
    <m/>
    <m/>
    <m/>
    <m/>
    <m/>
    <m/>
    <m/>
    <n v="0.33333333333333331"/>
    <n v="0.4"/>
    <s v="Tested"/>
    <n v="2"/>
    <n v="0"/>
    <n v="0"/>
    <n v="0"/>
    <n v="0"/>
    <n v="0"/>
    <n v="0"/>
    <m/>
    <n v="1"/>
    <n v="1"/>
    <n v="1"/>
    <n v="276"/>
    <n v="0"/>
    <n v="0"/>
    <n v="1"/>
    <n v="276"/>
    <n v="0.55200000000000005"/>
    <n v="0"/>
    <n v="0"/>
    <n v="0.44799999999999995"/>
    <n v="1"/>
    <n v="18"/>
    <n v="1"/>
    <n v="276"/>
    <n v="0"/>
    <n v="0"/>
    <n v="0"/>
    <n v="14"/>
    <n v="0"/>
    <n v="0"/>
    <n v="0"/>
    <n v="276"/>
    <n v="0"/>
    <n v="0"/>
    <n v="0"/>
    <n v="276"/>
    <n v="1"/>
    <n v="0"/>
    <n v="1"/>
    <n v="0"/>
    <n v="0"/>
    <n v="5"/>
    <n v="48"/>
    <n v="5"/>
    <n v="276"/>
    <s v="No"/>
    <s v=""/>
    <n v="0"/>
    <n v="0"/>
    <n v="0"/>
    <n v="0"/>
    <n v="0"/>
    <n v="0"/>
    <n v="0"/>
    <s v="KMSS-MYT"/>
    <x v="0"/>
    <x v="2"/>
    <x v="0"/>
    <n v="25.383058999999999"/>
    <n v="97.014313000000001"/>
    <s v="MMR001CMP259"/>
    <x v="0"/>
    <x v="0"/>
    <s v="Yes. KMSS focal"/>
    <n v="48"/>
    <n v="275"/>
  </r>
  <r>
    <x v="1"/>
    <x v="8"/>
    <x v="6"/>
    <s v="UNICEF"/>
    <x v="1"/>
    <x v="8"/>
    <x v="0"/>
    <x v="57"/>
    <n v="84"/>
    <n v="440"/>
    <d v="2023-02-16T00:00:00"/>
    <d v="2024-02-15T00:00:00"/>
    <m/>
    <n v="2"/>
    <m/>
    <m/>
    <s v="Yes"/>
    <n v="2"/>
    <n v="3"/>
    <n v="3"/>
    <m/>
    <m/>
    <m/>
    <m/>
    <m/>
    <m/>
    <m/>
    <m/>
    <m/>
    <m/>
    <m/>
    <m/>
    <m/>
    <m/>
    <n v="1"/>
    <n v="1"/>
    <n v="6"/>
    <n v="2"/>
    <n v="10"/>
    <m/>
    <m/>
    <m/>
    <n v="14"/>
    <m/>
    <m/>
    <m/>
    <n v="15"/>
    <m/>
    <m/>
    <m/>
    <x v="1"/>
    <x v="0"/>
    <m/>
    <m/>
    <m/>
    <m/>
    <m/>
    <m/>
    <n v="10"/>
    <m/>
    <n v="2"/>
    <n v="2"/>
    <m/>
    <m/>
    <n v="1"/>
    <m/>
    <m/>
    <s v="Yes"/>
    <m/>
    <m/>
    <m/>
    <m/>
    <m/>
    <m/>
    <m/>
    <m/>
    <m/>
    <m/>
    <m/>
    <m/>
    <m/>
    <m/>
    <n v="1"/>
    <n v="0.33333333333333331"/>
    <s v="Tested"/>
    <n v="3"/>
    <n v="0"/>
    <n v="0"/>
    <n v="0"/>
    <n v="0"/>
    <n v="0"/>
    <n v="0"/>
    <m/>
    <n v="1"/>
    <n v="1"/>
    <n v="1"/>
    <n v="440"/>
    <n v="0"/>
    <n v="0"/>
    <n v="1"/>
    <n v="440"/>
    <n v="0.88"/>
    <n v="0"/>
    <n v="0"/>
    <n v="0.12"/>
    <n v="1"/>
    <n v="14"/>
    <n v="0.63636363636363635"/>
    <n v="280"/>
    <n v="0"/>
    <n v="0"/>
    <n v="0"/>
    <n v="22"/>
    <n v="8"/>
    <n v="0.36363636363636365"/>
    <n v="0"/>
    <n v="440"/>
    <n v="0"/>
    <n v="0"/>
    <n v="0"/>
    <n v="440"/>
    <n v="1"/>
    <n v="0"/>
    <n v="1"/>
    <n v="0"/>
    <n v="0"/>
    <n v="10"/>
    <n v="84"/>
    <n v="10"/>
    <n v="440"/>
    <s v="No"/>
    <s v=""/>
    <n v="0"/>
    <n v="0"/>
    <n v="0"/>
    <n v="0"/>
    <n v="0"/>
    <n v="0"/>
    <n v="0"/>
    <s v="KMSS-MYT"/>
    <x v="0"/>
    <x v="2"/>
    <x v="0"/>
    <n v="25.383058999999999"/>
    <n v="97.014313000000001"/>
    <s v="MMR001CMP260"/>
    <x v="0"/>
    <x v="0"/>
    <s v="Yes. KMSS focal"/>
    <n v="83"/>
    <n v="433"/>
  </r>
  <r>
    <x v="1"/>
    <x v="13"/>
    <x v="11"/>
    <m/>
    <x v="1"/>
    <x v="9"/>
    <x v="0"/>
    <x v="135"/>
    <n v="27"/>
    <n v="126"/>
    <m/>
    <m/>
    <m/>
    <m/>
    <m/>
    <m/>
    <m/>
    <m/>
    <m/>
    <m/>
    <m/>
    <m/>
    <m/>
    <m/>
    <m/>
    <m/>
    <m/>
    <m/>
    <m/>
    <m/>
    <m/>
    <m/>
    <m/>
    <m/>
    <m/>
    <m/>
    <m/>
    <m/>
    <m/>
    <m/>
    <m/>
    <m/>
    <m/>
    <m/>
    <m/>
    <m/>
    <m/>
    <m/>
    <m/>
    <m/>
    <x v="2"/>
    <x v="2"/>
    <m/>
    <m/>
    <m/>
    <m/>
    <m/>
    <m/>
    <n v="8"/>
    <m/>
    <m/>
    <n v="3"/>
    <m/>
    <m/>
    <m/>
    <m/>
    <m/>
    <m/>
    <m/>
    <m/>
    <m/>
    <m/>
    <m/>
    <m/>
    <m/>
    <m/>
    <m/>
    <m/>
    <m/>
    <m/>
    <m/>
    <m/>
    <s v="no test"/>
    <s v="no test"/>
    <s v="No Test"/>
    <n v="0"/>
    <n v="0"/>
    <n v="0"/>
    <n v="0"/>
    <n v="0"/>
    <n v="0"/>
    <n v="0"/>
    <m/>
    <n v="0"/>
    <n v="0"/>
    <n v="0"/>
    <n v="0"/>
    <n v="0"/>
    <n v="0"/>
    <n v="0"/>
    <n v="0"/>
    <n v="0"/>
    <n v="1"/>
    <n v="126"/>
    <n v="1"/>
    <n v="1"/>
    <n v="0"/>
    <n v="0"/>
    <n v="0"/>
    <n v="0"/>
    <n v="0"/>
    <n v="0"/>
    <n v="6"/>
    <n v="6"/>
    <n v="1"/>
    <n v="0"/>
    <n v="0"/>
    <n v="0"/>
    <n v="0"/>
    <n v="0"/>
    <n v="0"/>
    <n v="0"/>
    <n v="1"/>
    <n v="0"/>
    <n v="0"/>
    <n v="0"/>
    <n v="8"/>
    <n v="27"/>
    <n v="0"/>
    <n v="126"/>
    <s v="No"/>
    <s v=""/>
    <n v="0"/>
    <n v="0"/>
    <n v="0"/>
    <n v="0"/>
    <n v="0"/>
    <n v="0"/>
    <n v="0"/>
    <s v="uncovered"/>
    <x v="0"/>
    <x v="4"/>
    <x v="0"/>
    <n v="24.996279999999999"/>
    <n v="96.52534"/>
    <s v="MMR001CMP232"/>
    <x v="1"/>
    <x v="1"/>
    <s v="yes"/>
    <n v="14"/>
    <n v="66"/>
  </r>
  <r>
    <x v="1"/>
    <x v="13"/>
    <x v="11"/>
    <m/>
    <x v="1"/>
    <x v="9"/>
    <x v="0"/>
    <x v="136"/>
    <n v="15"/>
    <n v="71"/>
    <m/>
    <m/>
    <m/>
    <m/>
    <m/>
    <m/>
    <m/>
    <m/>
    <n v="4"/>
    <m/>
    <m/>
    <m/>
    <m/>
    <m/>
    <m/>
    <m/>
    <m/>
    <m/>
    <m/>
    <m/>
    <m/>
    <m/>
    <m/>
    <m/>
    <m/>
    <m/>
    <m/>
    <m/>
    <m/>
    <m/>
    <m/>
    <m/>
    <m/>
    <m/>
    <m/>
    <m/>
    <m/>
    <m/>
    <m/>
    <m/>
    <x v="2"/>
    <x v="2"/>
    <m/>
    <m/>
    <m/>
    <m/>
    <m/>
    <m/>
    <n v="3"/>
    <m/>
    <m/>
    <n v="2"/>
    <m/>
    <m/>
    <m/>
    <m/>
    <m/>
    <m/>
    <m/>
    <m/>
    <m/>
    <m/>
    <m/>
    <m/>
    <m/>
    <m/>
    <m/>
    <m/>
    <m/>
    <m/>
    <m/>
    <m/>
    <s v="no test"/>
    <s v="no test"/>
    <s v="No Test"/>
    <n v="0"/>
    <n v="0"/>
    <n v="0"/>
    <n v="0"/>
    <n v="0"/>
    <n v="0"/>
    <n v="0"/>
    <m/>
    <n v="0"/>
    <n v="0"/>
    <n v="0"/>
    <n v="0"/>
    <n v="0"/>
    <n v="0"/>
    <n v="0"/>
    <n v="0"/>
    <n v="0"/>
    <n v="1"/>
    <n v="71"/>
    <n v="1"/>
    <n v="1"/>
    <n v="0"/>
    <n v="0"/>
    <n v="0"/>
    <n v="0"/>
    <n v="0"/>
    <n v="0"/>
    <n v="4"/>
    <n v="4"/>
    <n v="1"/>
    <n v="0"/>
    <n v="0"/>
    <n v="0"/>
    <n v="0"/>
    <n v="0"/>
    <n v="0"/>
    <n v="0"/>
    <n v="1"/>
    <n v="0"/>
    <n v="0"/>
    <n v="0"/>
    <n v="3"/>
    <n v="15"/>
    <n v="0"/>
    <n v="71"/>
    <s v="No"/>
    <s v=""/>
    <n v="0"/>
    <n v="0"/>
    <n v="0"/>
    <n v="0"/>
    <n v="0"/>
    <n v="0"/>
    <n v="0"/>
    <s v="uncovered"/>
    <x v="0"/>
    <x v="4"/>
    <x v="0"/>
    <n v="24.764959999999999"/>
    <n v="96.366919999999993"/>
    <s v="MMR001CMP233"/>
    <x v="1"/>
    <x v="1"/>
    <s v="yes"/>
    <n v="19"/>
    <n v="78"/>
  </r>
  <r>
    <x v="1"/>
    <x v="13"/>
    <x v="11"/>
    <m/>
    <x v="1"/>
    <x v="9"/>
    <x v="0"/>
    <x v="137"/>
    <n v="542"/>
    <n v="2399"/>
    <m/>
    <m/>
    <m/>
    <m/>
    <m/>
    <m/>
    <m/>
    <m/>
    <m/>
    <m/>
    <m/>
    <m/>
    <m/>
    <m/>
    <m/>
    <m/>
    <m/>
    <m/>
    <m/>
    <m/>
    <m/>
    <m/>
    <m/>
    <m/>
    <m/>
    <m/>
    <m/>
    <m/>
    <m/>
    <m/>
    <m/>
    <m/>
    <m/>
    <m/>
    <m/>
    <m/>
    <m/>
    <m/>
    <m/>
    <m/>
    <x v="3"/>
    <x v="4"/>
    <m/>
    <m/>
    <m/>
    <m/>
    <m/>
    <m/>
    <m/>
    <m/>
    <m/>
    <m/>
    <m/>
    <m/>
    <m/>
    <m/>
    <m/>
    <m/>
    <m/>
    <m/>
    <m/>
    <m/>
    <m/>
    <m/>
    <m/>
    <m/>
    <m/>
    <m/>
    <m/>
    <m/>
    <m/>
    <m/>
    <s v="no test"/>
    <s v="no test"/>
    <s v="No Test"/>
    <n v="0"/>
    <n v="0"/>
    <n v="0"/>
    <n v="0"/>
    <n v="0"/>
    <n v="0"/>
    <n v="0"/>
    <m/>
    <n v="0"/>
    <n v="0"/>
    <n v="0"/>
    <n v="0"/>
    <n v="0"/>
    <n v="0"/>
    <n v="0"/>
    <n v="0"/>
    <n v="0"/>
    <n v="1"/>
    <n v="2399"/>
    <n v="5"/>
    <n v="5"/>
    <n v="0"/>
    <n v="0"/>
    <n v="0"/>
    <n v="0"/>
    <n v="0"/>
    <n v="0"/>
    <n v="120"/>
    <n v="120"/>
    <n v="1"/>
    <n v="0"/>
    <n v="0"/>
    <n v="0"/>
    <n v="0"/>
    <n v="0"/>
    <n v="0"/>
    <n v="0"/>
    <n v="1"/>
    <n v="0"/>
    <n v="0"/>
    <n v="0"/>
    <n v="0"/>
    <n v="0"/>
    <n v="0"/>
    <n v="0"/>
    <s v="No"/>
    <s v=""/>
    <n v="0"/>
    <n v="0"/>
    <n v="0"/>
    <n v="0"/>
    <n v="0"/>
    <n v="0"/>
    <n v="0"/>
    <s v="uncovered"/>
    <x v="0"/>
    <x v="4"/>
    <x v="0"/>
    <n v="0"/>
    <s v="not available"/>
    <s v="MMR001CMP304"/>
    <x v="1"/>
    <x v="1"/>
    <s v="yes"/>
    <n v="542"/>
    <n v="2399"/>
  </r>
  <r>
    <x v="1"/>
    <x v="18"/>
    <x v="20"/>
    <s v="UNICEF"/>
    <x v="1"/>
    <x v="9"/>
    <x v="0"/>
    <x v="16"/>
    <n v="11"/>
    <n v="58"/>
    <d v="2022-09-07T00:00:00"/>
    <d v="2023-09-06T00:00:00"/>
    <m/>
    <n v="1"/>
    <m/>
    <m/>
    <s v="Yes"/>
    <n v="2"/>
    <n v="2"/>
    <n v="1"/>
    <m/>
    <m/>
    <n v="1"/>
    <m/>
    <m/>
    <m/>
    <m/>
    <m/>
    <m/>
    <m/>
    <m/>
    <m/>
    <m/>
    <n v="2"/>
    <m/>
    <m/>
    <m/>
    <m/>
    <m/>
    <m/>
    <m/>
    <m/>
    <n v="5"/>
    <m/>
    <m/>
    <n v="1"/>
    <n v="4"/>
    <m/>
    <m/>
    <m/>
    <x v="1"/>
    <x v="1"/>
    <m/>
    <m/>
    <m/>
    <m/>
    <m/>
    <m/>
    <n v="4"/>
    <m/>
    <m/>
    <n v="2"/>
    <m/>
    <m/>
    <n v="1"/>
    <m/>
    <m/>
    <m/>
    <m/>
    <m/>
    <m/>
    <m/>
    <m/>
    <m/>
    <m/>
    <m/>
    <m/>
    <m/>
    <m/>
    <m/>
    <m/>
    <m/>
    <s v="no test"/>
    <s v="no test"/>
    <s v="No Test"/>
    <n v="1"/>
    <n v="1"/>
    <n v="0"/>
    <n v="0"/>
    <n v="0"/>
    <n v="0"/>
    <n v="0"/>
    <m/>
    <n v="1"/>
    <n v="1"/>
    <n v="1"/>
    <n v="58"/>
    <n v="0"/>
    <n v="0"/>
    <n v="1"/>
    <n v="58"/>
    <n v="0.11600000000000001"/>
    <n v="0"/>
    <n v="0"/>
    <n v="0.88400000000000001"/>
    <n v="1"/>
    <n v="4"/>
    <n v="1"/>
    <n v="58"/>
    <n v="0"/>
    <n v="0"/>
    <n v="0"/>
    <n v="3"/>
    <n v="0"/>
    <n v="0"/>
    <n v="0.2"/>
    <n v="58"/>
    <n v="0"/>
    <n v="0"/>
    <n v="0"/>
    <n v="58"/>
    <n v="1"/>
    <n v="0"/>
    <n v="1"/>
    <n v="0"/>
    <n v="0"/>
    <n v="4"/>
    <n v="11"/>
    <n v="0"/>
    <n v="58"/>
    <s v="No"/>
    <s v=""/>
    <n v="0"/>
    <n v="0"/>
    <n v="0"/>
    <n v="0"/>
    <n v="0"/>
    <n v="0"/>
    <s v="Yes"/>
    <s v="KBC-MYT"/>
    <x v="0"/>
    <x v="2"/>
    <x v="0"/>
    <n v="24.998349999999999"/>
    <n v="96.364949999999993"/>
    <s v="MMR001CMP152"/>
    <x v="0"/>
    <x v="0"/>
    <s v="Yes. Moving to Mohnyin Aung Tha Pyay.still need humanitatian assistance. KBC is focal. Planned to stop in Q3"/>
    <n v="28"/>
    <n v="131"/>
  </r>
  <r>
    <x v="1"/>
    <x v="13"/>
    <x v="11"/>
    <m/>
    <x v="1"/>
    <x v="9"/>
    <x v="0"/>
    <x v="138"/>
    <n v="92"/>
    <n v="479"/>
    <m/>
    <m/>
    <m/>
    <m/>
    <m/>
    <m/>
    <m/>
    <m/>
    <m/>
    <m/>
    <m/>
    <m/>
    <m/>
    <m/>
    <m/>
    <m/>
    <m/>
    <m/>
    <m/>
    <m/>
    <m/>
    <m/>
    <m/>
    <m/>
    <m/>
    <m/>
    <m/>
    <m/>
    <m/>
    <m/>
    <m/>
    <m/>
    <m/>
    <m/>
    <m/>
    <m/>
    <m/>
    <m/>
    <m/>
    <m/>
    <x v="3"/>
    <x v="4"/>
    <m/>
    <m/>
    <m/>
    <m/>
    <m/>
    <m/>
    <m/>
    <m/>
    <m/>
    <m/>
    <m/>
    <m/>
    <m/>
    <m/>
    <m/>
    <m/>
    <m/>
    <m/>
    <m/>
    <m/>
    <m/>
    <m/>
    <m/>
    <m/>
    <m/>
    <m/>
    <m/>
    <m/>
    <m/>
    <m/>
    <s v="no test"/>
    <s v="no test"/>
    <s v="No Test"/>
    <n v="0"/>
    <n v="0"/>
    <n v="0"/>
    <n v="0"/>
    <n v="0"/>
    <n v="0"/>
    <n v="0"/>
    <m/>
    <n v="0"/>
    <n v="0"/>
    <n v="0"/>
    <n v="0"/>
    <n v="0"/>
    <n v="0"/>
    <n v="0"/>
    <n v="0"/>
    <n v="0"/>
    <n v="1"/>
    <n v="479"/>
    <n v="1"/>
    <n v="1"/>
    <n v="0"/>
    <n v="0"/>
    <n v="0"/>
    <n v="0"/>
    <n v="0"/>
    <n v="0"/>
    <n v="24"/>
    <n v="24"/>
    <n v="1"/>
    <n v="0"/>
    <n v="0"/>
    <n v="0"/>
    <n v="0"/>
    <n v="0"/>
    <n v="0"/>
    <n v="0"/>
    <n v="1"/>
    <n v="0"/>
    <n v="0"/>
    <n v="0"/>
    <n v="0"/>
    <n v="0"/>
    <n v="0"/>
    <n v="0"/>
    <s v="No"/>
    <s v=""/>
    <n v="0"/>
    <n v="0"/>
    <n v="0"/>
    <n v="0"/>
    <n v="0"/>
    <n v="0"/>
    <n v="0"/>
    <s v="uncovered"/>
    <x v="0"/>
    <x v="0"/>
    <x v="1"/>
    <n v="0"/>
    <s v="not available"/>
    <s v="MMR001CMP299"/>
    <x v="1"/>
    <x v="1"/>
    <s v="yes"/>
    <n v="100"/>
    <n v="506"/>
  </r>
  <r>
    <x v="1"/>
    <x v="3"/>
    <x v="22"/>
    <s v="ECHO 2739, USAID MHF 24165, UNOPS, Irish Aid"/>
    <x v="1"/>
    <x v="4"/>
    <x v="1"/>
    <x v="47"/>
    <n v="110"/>
    <n v="502"/>
    <s v=" 13-8-2021, 1-5-2023, 30-4-2023, 1-1-2023"/>
    <s v="30-6-2023, 30-4-2024, 31-12-2023, 31-12-2023"/>
    <m/>
    <m/>
    <m/>
    <m/>
    <s v="Yes"/>
    <n v="2"/>
    <n v="3"/>
    <n v="3"/>
    <m/>
    <m/>
    <n v="2"/>
    <m/>
    <m/>
    <n v="1"/>
    <m/>
    <n v="2"/>
    <n v="1"/>
    <m/>
    <m/>
    <m/>
    <m/>
    <m/>
    <m/>
    <m/>
    <m/>
    <m/>
    <m/>
    <m/>
    <m/>
    <m/>
    <n v="31"/>
    <m/>
    <m/>
    <n v="4"/>
    <n v="9"/>
    <n v="6"/>
    <m/>
    <m/>
    <x v="1"/>
    <x v="1"/>
    <m/>
    <m/>
    <m/>
    <m/>
    <m/>
    <m/>
    <n v="11"/>
    <m/>
    <m/>
    <n v="3"/>
    <n v="2"/>
    <m/>
    <m/>
    <m/>
    <m/>
    <m/>
    <m/>
    <m/>
    <m/>
    <m/>
    <m/>
    <m/>
    <m/>
    <m/>
    <m/>
    <m/>
    <m/>
    <m/>
    <m/>
    <m/>
    <s v="no test"/>
    <s v="no test"/>
    <s v="No Test"/>
    <n v="3"/>
    <n v="2"/>
    <n v="-2"/>
    <n v="0"/>
    <n v="0"/>
    <n v="0"/>
    <n v="0"/>
    <m/>
    <n v="1"/>
    <n v="1"/>
    <n v="1"/>
    <n v="502"/>
    <n v="0"/>
    <n v="0"/>
    <n v="1"/>
    <n v="502"/>
    <n v="1.004"/>
    <n v="0"/>
    <n v="0"/>
    <n v="0"/>
    <n v="1"/>
    <n v="27"/>
    <n v="1"/>
    <n v="502"/>
    <n v="120"/>
    <n v="0"/>
    <n v="0"/>
    <n v="25"/>
    <n v="0"/>
    <n v="0"/>
    <n v="0.12903225806451613"/>
    <n v="0"/>
    <n v="0"/>
    <n v="0"/>
    <n v="0"/>
    <n v="0"/>
    <n v="0"/>
    <n v="1"/>
    <n v="0"/>
    <n v="0"/>
    <n v="0"/>
    <n v="11"/>
    <n v="110"/>
    <n v="0"/>
    <n v="502"/>
    <s v="No"/>
    <s v=""/>
    <n v="0"/>
    <n v="0"/>
    <n v="0"/>
    <n v="0"/>
    <n v="0"/>
    <n v="0"/>
    <n v="0"/>
    <n v="0"/>
    <x v="0"/>
    <x v="2"/>
    <x v="0"/>
    <n v="0"/>
    <n v="0"/>
    <n v="0"/>
    <x v="0"/>
    <x v="0"/>
    <s v="Momauk KBC church. Metta is initial focal. KBC is still Q3, Metta, STW, WC. 2 latrines constructed"/>
    <n v="0"/>
    <n v="0"/>
  </r>
  <r>
    <x v="1"/>
    <x v="3"/>
    <x v="23"/>
    <m/>
    <x v="1"/>
    <x v="4"/>
    <x v="1"/>
    <x v="213"/>
    <m/>
    <m/>
    <m/>
    <m/>
    <m/>
    <m/>
    <m/>
    <m/>
    <m/>
    <m/>
    <m/>
    <m/>
    <m/>
    <m/>
    <m/>
    <m/>
    <m/>
    <m/>
    <m/>
    <m/>
    <m/>
    <m/>
    <m/>
    <m/>
    <m/>
    <m/>
    <m/>
    <m/>
    <m/>
    <m/>
    <m/>
    <m/>
    <m/>
    <m/>
    <m/>
    <m/>
    <m/>
    <m/>
    <m/>
    <m/>
    <m/>
    <m/>
    <x v="2"/>
    <x v="4"/>
    <m/>
    <m/>
    <m/>
    <m/>
    <m/>
    <m/>
    <m/>
    <m/>
    <m/>
    <m/>
    <m/>
    <m/>
    <m/>
    <m/>
    <m/>
    <m/>
    <m/>
    <m/>
    <m/>
    <m/>
    <m/>
    <m/>
    <m/>
    <m/>
    <m/>
    <m/>
    <m/>
    <m/>
    <m/>
    <m/>
    <s v="no test"/>
    <s v="no test"/>
    <s v="No Test"/>
    <n v="0"/>
    <n v="0"/>
    <n v="0"/>
    <n v="0"/>
    <n v="0"/>
    <n v="0"/>
    <n v="0"/>
    <m/>
    <s v=""/>
    <s v=""/>
    <s v=""/>
    <n v="0"/>
    <n v="0"/>
    <n v="0"/>
    <n v="0"/>
    <n v="0"/>
    <n v="0"/>
    <n v="1"/>
    <n v="0"/>
    <n v="1"/>
    <n v="1"/>
    <n v="0"/>
    <n v="0"/>
    <n v="0"/>
    <n v="0"/>
    <n v="0"/>
    <n v="0"/>
    <n v="0"/>
    <n v="0"/>
    <n v="1"/>
    <n v="0"/>
    <n v="0"/>
    <n v="0"/>
    <n v="0"/>
    <n v="0"/>
    <n v="0"/>
    <e v="#DIV/0!"/>
    <e v="#DIV/0!"/>
    <e v="#DIV/0!"/>
    <e v="#DIV/0!"/>
    <e v="#DIV/0!"/>
    <n v="0"/>
    <n v="0"/>
    <n v="0"/>
    <n v="0"/>
    <s v="No"/>
    <s v=""/>
    <n v="0"/>
    <n v="0"/>
    <n v="0"/>
    <n v="0"/>
    <n v="0"/>
    <n v="0"/>
    <e v="#N/A"/>
    <e v="#N/A"/>
    <x v="0"/>
    <x v="2"/>
    <x v="0"/>
    <e v="#N/A"/>
    <e v="#N/A"/>
    <e v="#N/A"/>
    <x v="0"/>
    <x v="0"/>
    <s v="Momauk KBC church. Initial KBC "/>
    <e v="#N/A"/>
    <e v="#N/A"/>
  </r>
  <r>
    <x v="1"/>
    <x v="8"/>
    <x v="6"/>
    <s v="UNICEF"/>
    <x v="1"/>
    <x v="4"/>
    <x v="0"/>
    <x v="58"/>
    <n v="72"/>
    <n v="404"/>
    <d v="2023-02-16T00:00:00"/>
    <d v="2024-02-15T00:00:00"/>
    <m/>
    <n v="2"/>
    <m/>
    <m/>
    <s v="Yes"/>
    <n v="3"/>
    <n v="3"/>
    <n v="3"/>
    <m/>
    <m/>
    <n v="1"/>
    <m/>
    <m/>
    <m/>
    <n v="1"/>
    <m/>
    <m/>
    <m/>
    <m/>
    <m/>
    <m/>
    <m/>
    <m/>
    <m/>
    <m/>
    <m/>
    <n v="4"/>
    <m/>
    <m/>
    <m/>
    <n v="20"/>
    <m/>
    <m/>
    <m/>
    <m/>
    <m/>
    <m/>
    <m/>
    <x v="1"/>
    <x v="1"/>
    <m/>
    <m/>
    <m/>
    <m/>
    <m/>
    <m/>
    <m/>
    <m/>
    <m/>
    <n v="3"/>
    <m/>
    <m/>
    <n v="2"/>
    <m/>
    <m/>
    <s v="Yes"/>
    <m/>
    <m/>
    <m/>
    <m/>
    <m/>
    <m/>
    <m/>
    <m/>
    <m/>
    <m/>
    <m/>
    <m/>
    <m/>
    <m/>
    <s v="no test"/>
    <s v="no test"/>
    <s v="No Test"/>
    <n v="3"/>
    <n v="1"/>
    <n v="1"/>
    <n v="0"/>
    <n v="0"/>
    <n v="0"/>
    <n v="0"/>
    <m/>
    <n v="1"/>
    <n v="1"/>
    <n v="1"/>
    <n v="404"/>
    <n v="0"/>
    <n v="0"/>
    <n v="1"/>
    <n v="404"/>
    <n v="0.80800000000000005"/>
    <n v="0"/>
    <n v="0"/>
    <n v="0.19199999999999995"/>
    <n v="1"/>
    <n v="20"/>
    <n v="0.99009900990099009"/>
    <n v="400"/>
    <n v="0"/>
    <n v="0"/>
    <n v="0"/>
    <n v="20"/>
    <n v="0"/>
    <n v="9.9009900990099098E-3"/>
    <n v="0"/>
    <n v="404"/>
    <n v="0"/>
    <n v="0"/>
    <n v="0"/>
    <n v="404"/>
    <n v="1"/>
    <n v="0"/>
    <n v="1"/>
    <n v="0"/>
    <n v="0"/>
    <n v="0"/>
    <n v="0"/>
    <n v="4"/>
    <n v="0"/>
    <s v="No"/>
    <s v=""/>
    <n v="0"/>
    <n v="0"/>
    <n v="0"/>
    <n v="0"/>
    <n v="0"/>
    <n v="0"/>
    <s v="Yes"/>
    <s v="KMSS-MYT"/>
    <x v="0"/>
    <x v="2"/>
    <x v="1"/>
    <n v="24.461033"/>
    <n v="97.537099999999995"/>
    <s v="MMR001CMP123"/>
    <x v="0"/>
    <x v="0"/>
    <s v="Yes. KMSS focal"/>
    <n v="72"/>
    <n v="391"/>
  </r>
  <r>
    <x v="1"/>
    <x v="9"/>
    <x v="7"/>
    <s v="MHF 24165, USAID, UNOPS"/>
    <x v="1"/>
    <x v="4"/>
    <x v="0"/>
    <x v="79"/>
    <n v="689"/>
    <n v="3545"/>
    <s v="13-8-2021, 1-5-2023, 30-4-2023"/>
    <s v="30-6-2023, 30-4-2024, 31-12-2023"/>
    <m/>
    <m/>
    <m/>
    <m/>
    <s v="Yes"/>
    <n v="1"/>
    <n v="3"/>
    <n v="3"/>
    <m/>
    <m/>
    <m/>
    <m/>
    <m/>
    <m/>
    <n v="11"/>
    <m/>
    <n v="1"/>
    <m/>
    <m/>
    <m/>
    <m/>
    <m/>
    <m/>
    <m/>
    <m/>
    <m/>
    <n v="5"/>
    <n v="3"/>
    <m/>
    <m/>
    <n v="313"/>
    <m/>
    <m/>
    <m/>
    <n v="12"/>
    <m/>
    <m/>
    <m/>
    <x v="1"/>
    <x v="1"/>
    <m/>
    <m/>
    <m/>
    <n v="4"/>
    <m/>
    <m/>
    <n v="1"/>
    <m/>
    <m/>
    <n v="22"/>
    <m/>
    <m/>
    <m/>
    <m/>
    <m/>
    <m/>
    <m/>
    <m/>
    <m/>
    <m/>
    <m/>
    <m/>
    <m/>
    <m/>
    <m/>
    <m/>
    <m/>
    <m/>
    <m/>
    <m/>
    <s v="no test"/>
    <s v="no test"/>
    <s v="No Test"/>
    <n v="3"/>
    <n v="0"/>
    <n v="11"/>
    <n v="0"/>
    <n v="0"/>
    <n v="1500"/>
    <n v="0"/>
    <m/>
    <n v="0.54536906440996713"/>
    <n v="0.41842971321109546"/>
    <n v="0.54536906440996713"/>
    <n v="1933.3333333333335"/>
    <n v="0"/>
    <n v="0"/>
    <n v="0.54536906440996713"/>
    <n v="1933.3333333333335"/>
    <n v="3.8666666666666671"/>
    <n v="0.45463093559003287"/>
    <n v="1611.6666666666665"/>
    <n v="3.1333333333333329"/>
    <n v="7"/>
    <n v="313"/>
    <n v="1"/>
    <n v="3545"/>
    <n v="0"/>
    <n v="0"/>
    <n v="200"/>
    <n v="177"/>
    <n v="0"/>
    <n v="0"/>
    <n v="0"/>
    <n v="0"/>
    <n v="0"/>
    <n v="0"/>
    <n v="0"/>
    <n v="0"/>
    <n v="0"/>
    <n v="1"/>
    <n v="0"/>
    <n v="0"/>
    <n v="0"/>
    <n v="1"/>
    <n v="20"/>
    <n v="0"/>
    <n v="100"/>
    <s v="No"/>
    <s v=""/>
    <n v="0"/>
    <n v="0"/>
    <n v="0"/>
    <n v="0"/>
    <n v="1500"/>
    <n v="200"/>
    <s v="Yes"/>
    <s v="KMSS-MYT"/>
    <x v="0"/>
    <x v="2"/>
    <x v="1"/>
    <n v="24.661905999999998"/>
    <n v="97.573126000000002"/>
    <s v="MMR001CMP122"/>
    <x v="0"/>
    <x v="0"/>
    <s v="Yes, Metta is focal"/>
    <n v="676"/>
    <n v="3508"/>
  </r>
  <r>
    <x v="1"/>
    <x v="17"/>
    <x v="15"/>
    <s v="ECHO 2739"/>
    <x v="1"/>
    <x v="4"/>
    <x v="1"/>
    <x v="80"/>
    <n v="11"/>
    <n v="32"/>
    <m/>
    <m/>
    <m/>
    <m/>
    <n v="1"/>
    <m/>
    <s v="Yes"/>
    <n v="3"/>
    <n v="8"/>
    <m/>
    <m/>
    <m/>
    <n v="1"/>
    <m/>
    <m/>
    <m/>
    <n v="1"/>
    <m/>
    <m/>
    <m/>
    <m/>
    <m/>
    <n v="1"/>
    <m/>
    <m/>
    <m/>
    <m/>
    <m/>
    <m/>
    <m/>
    <m/>
    <m/>
    <n v="12"/>
    <m/>
    <m/>
    <m/>
    <m/>
    <m/>
    <m/>
    <m/>
    <x v="1"/>
    <x v="1"/>
    <m/>
    <m/>
    <m/>
    <m/>
    <m/>
    <m/>
    <n v="7"/>
    <m/>
    <m/>
    <n v="2"/>
    <m/>
    <m/>
    <n v="1"/>
    <m/>
    <m/>
    <m/>
    <m/>
    <m/>
    <m/>
    <m/>
    <m/>
    <m/>
    <m/>
    <m/>
    <m/>
    <m/>
    <m/>
    <m/>
    <m/>
    <m/>
    <s v="no test"/>
    <s v="no test"/>
    <s v="No Test"/>
    <n v="0"/>
    <n v="1"/>
    <n v="1"/>
    <n v="0"/>
    <n v="0"/>
    <n v="0"/>
    <n v="0"/>
    <m/>
    <n v="1"/>
    <n v="1"/>
    <n v="1"/>
    <n v="32"/>
    <n v="0"/>
    <n v="0"/>
    <n v="1"/>
    <n v="32"/>
    <n v="6.4000000000000001E-2"/>
    <n v="0"/>
    <n v="0"/>
    <n v="0.93599999999999994"/>
    <n v="1"/>
    <n v="12"/>
    <n v="1"/>
    <n v="32"/>
    <n v="0"/>
    <n v="0"/>
    <n v="0"/>
    <n v="2"/>
    <n v="0"/>
    <n v="0"/>
    <n v="0"/>
    <n v="32"/>
    <n v="0"/>
    <n v="0"/>
    <n v="0"/>
    <n v="32"/>
    <n v="1"/>
    <n v="0"/>
    <n v="1"/>
    <n v="0"/>
    <n v="0"/>
    <n v="7"/>
    <n v="11"/>
    <n v="0"/>
    <n v="32"/>
    <s v="No"/>
    <s v=""/>
    <n v="0"/>
    <n v="0"/>
    <n v="0"/>
    <n v="0"/>
    <n v="0"/>
    <n v="0"/>
    <n v="0"/>
    <n v="0"/>
    <x v="0"/>
    <x v="2"/>
    <x v="0"/>
    <n v="0"/>
    <n v="0"/>
    <n v="0"/>
    <x v="0"/>
    <x v="2"/>
    <s v="Extension of Loi Je Catholic ??"/>
    <n v="0"/>
    <n v="0"/>
  </r>
  <r>
    <x v="1"/>
    <x v="3"/>
    <x v="3"/>
    <s v="MHF"/>
    <x v="1"/>
    <x v="4"/>
    <x v="0"/>
    <x v="17"/>
    <n v="1592"/>
    <n v="8225"/>
    <d v="2022-10-01T00:00:00"/>
    <d v="2023-09-30T00:00:00"/>
    <n v="0"/>
    <n v="1"/>
    <n v="0"/>
    <n v="0"/>
    <s v="Yes"/>
    <n v="8"/>
    <n v="14"/>
    <n v="2"/>
    <m/>
    <m/>
    <n v="2"/>
    <n v="0"/>
    <m/>
    <m/>
    <n v="5"/>
    <m/>
    <m/>
    <m/>
    <n v="3"/>
    <m/>
    <m/>
    <m/>
    <m/>
    <m/>
    <m/>
    <m/>
    <m/>
    <m/>
    <m/>
    <s v="No Comment"/>
    <n v="676"/>
    <n v="0"/>
    <m/>
    <n v="20"/>
    <n v="2"/>
    <n v="150"/>
    <n v="172"/>
    <m/>
    <x v="1"/>
    <x v="1"/>
    <m/>
    <m/>
    <m/>
    <m/>
    <m/>
    <s v="NA"/>
    <n v="130"/>
    <n v="10"/>
    <m/>
    <n v="20"/>
    <n v="2"/>
    <m/>
    <n v="14"/>
    <m/>
    <m/>
    <s v="No"/>
    <m/>
    <n v="0.6"/>
    <s v="NA"/>
    <n v="0.7"/>
    <n v="0.8"/>
    <n v="50"/>
    <n v="0.8"/>
    <m/>
    <m/>
    <m/>
    <m/>
    <m/>
    <m/>
    <m/>
    <s v="no test"/>
    <s v="no test"/>
    <s v="No Test"/>
    <n v="2"/>
    <n v="2"/>
    <n v="5"/>
    <n v="0"/>
    <n v="0"/>
    <n v="0"/>
    <n v="0"/>
    <m/>
    <n v="0.25937183383991896"/>
    <n v="0.16210739614994935"/>
    <n v="0.25937183383991896"/>
    <n v="2133.3333333333335"/>
    <n v="9.1185410334346503E-2"/>
    <n v="750"/>
    <n v="0.35055724417426548"/>
    <n v="2883.3333333333335"/>
    <n v="5.7666666666666666"/>
    <n v="0.64944275582573452"/>
    <n v="5341.6666666666661"/>
    <n v="10.233333333333334"/>
    <n v="16"/>
    <n v="656"/>
    <n v="1"/>
    <n v="8225"/>
    <n v="3000"/>
    <n v="0"/>
    <n v="0"/>
    <n v="411"/>
    <n v="0"/>
    <n v="0"/>
    <n v="2.9585798816568046E-2"/>
    <n v="7000"/>
    <n v="0"/>
    <n v="0"/>
    <n v="0"/>
    <n v="7000"/>
    <n v="0.85106382978723405"/>
    <n v="0.14893617021276595"/>
    <n v="0.85106382978723405"/>
    <n v="0"/>
    <n v="0"/>
    <n v="120"/>
    <n v="1592"/>
    <n v="0"/>
    <n v="8225"/>
    <s v="No"/>
    <n v="6.0790273556231003E-3"/>
    <n v="5757.5"/>
    <n v="6580"/>
    <n v="6580"/>
    <n v="6580"/>
    <n v="0"/>
    <n v="0"/>
    <s v="Yes"/>
    <s v="KMSS-MYT"/>
    <x v="0"/>
    <x v="2"/>
    <x v="1"/>
    <n v="24.688338999999999"/>
    <n v="97.568331999999998"/>
    <s v="MMR001CMP121"/>
    <x v="0"/>
    <x v="0"/>
    <s v="Yes. KBC is focal. Je Yang camp"/>
    <n v="1525"/>
    <n v="8205"/>
  </r>
  <r>
    <x v="1"/>
    <x v="3"/>
    <x v="22"/>
    <s v="ECHO 2739, USAIDMHF 24165, UNOPS, Irish Aid"/>
    <x v="1"/>
    <x v="4"/>
    <x v="1"/>
    <x v="48"/>
    <n v="10"/>
    <n v="57"/>
    <s v=" 13-8-2021, 1-5-2023, 30-4-2023, 1-1-2023"/>
    <s v="30-6-2023, 30-4-2024, 31-12-2023, 31-12-2023"/>
    <m/>
    <m/>
    <m/>
    <m/>
    <s v="Yes"/>
    <n v="1"/>
    <n v="5"/>
    <n v="1"/>
    <m/>
    <m/>
    <m/>
    <m/>
    <m/>
    <m/>
    <m/>
    <m/>
    <m/>
    <m/>
    <m/>
    <m/>
    <m/>
    <m/>
    <m/>
    <m/>
    <m/>
    <m/>
    <m/>
    <m/>
    <m/>
    <m/>
    <n v="8"/>
    <m/>
    <m/>
    <m/>
    <n v="2"/>
    <n v="2"/>
    <m/>
    <m/>
    <x v="1"/>
    <x v="1"/>
    <m/>
    <m/>
    <m/>
    <m/>
    <m/>
    <m/>
    <m/>
    <m/>
    <m/>
    <n v="2"/>
    <m/>
    <m/>
    <m/>
    <m/>
    <m/>
    <m/>
    <m/>
    <m/>
    <m/>
    <m/>
    <m/>
    <m/>
    <m/>
    <m/>
    <m/>
    <m/>
    <m/>
    <m/>
    <m/>
    <m/>
    <s v="no test"/>
    <s v="no test"/>
    <s v="No Test"/>
    <n v="1"/>
    <n v="0"/>
    <n v="0"/>
    <n v="0"/>
    <n v="0"/>
    <n v="0"/>
    <n v="0"/>
    <m/>
    <n v="1"/>
    <n v="1"/>
    <n v="1"/>
    <n v="57"/>
    <n v="0"/>
    <n v="0"/>
    <n v="1"/>
    <n v="57"/>
    <n v="0.114"/>
    <n v="0"/>
    <n v="0"/>
    <n v="0.88600000000000001"/>
    <n v="1"/>
    <n v="8"/>
    <n v="1"/>
    <n v="57"/>
    <n v="40"/>
    <n v="0"/>
    <n v="0"/>
    <n v="3"/>
    <n v="0"/>
    <n v="0"/>
    <n v="0"/>
    <n v="0"/>
    <n v="0"/>
    <n v="0"/>
    <n v="0"/>
    <n v="0"/>
    <n v="0"/>
    <n v="1"/>
    <n v="0"/>
    <n v="0"/>
    <n v="0"/>
    <n v="0"/>
    <n v="0"/>
    <n v="0"/>
    <n v="0"/>
    <s v="No"/>
    <s v=""/>
    <n v="0"/>
    <n v="0"/>
    <n v="0"/>
    <n v="0"/>
    <n v="0"/>
    <n v="0"/>
    <n v="0"/>
    <n v="0"/>
    <x v="0"/>
    <x v="2"/>
    <x v="0"/>
    <n v="0"/>
    <n v="0"/>
    <n v="0"/>
    <x v="0"/>
    <x v="0"/>
    <s v="Momauk KBC church. Metta is initital focal. KBC is current focal, STW, WC"/>
    <n v="0"/>
    <n v="0"/>
  </r>
  <r>
    <x v="1"/>
    <x v="3"/>
    <x v="24"/>
    <s v="ECHO 2739,USAID, MHF 24165, UNOPS, Irish Aid"/>
    <x v="1"/>
    <x v="4"/>
    <x v="1"/>
    <x v="81"/>
    <n v="46"/>
    <n v="263"/>
    <s v=" 13-8-2021, 1-5-2023, 30-4-2023, 1-1-2023"/>
    <s v="30-6-2023, 30-4-2024, 31-12-2023, 31-12-2023"/>
    <m/>
    <m/>
    <m/>
    <m/>
    <s v="Yes"/>
    <n v="4"/>
    <m/>
    <n v="1"/>
    <m/>
    <m/>
    <n v="2"/>
    <m/>
    <m/>
    <m/>
    <m/>
    <m/>
    <m/>
    <m/>
    <m/>
    <m/>
    <m/>
    <m/>
    <m/>
    <m/>
    <m/>
    <m/>
    <m/>
    <m/>
    <m/>
    <m/>
    <n v="5"/>
    <m/>
    <m/>
    <m/>
    <n v="1"/>
    <m/>
    <m/>
    <m/>
    <x v="1"/>
    <x v="1"/>
    <m/>
    <m/>
    <m/>
    <m/>
    <m/>
    <m/>
    <n v="2"/>
    <m/>
    <m/>
    <n v="2"/>
    <m/>
    <m/>
    <m/>
    <m/>
    <m/>
    <m/>
    <m/>
    <m/>
    <m/>
    <m/>
    <m/>
    <m/>
    <m/>
    <m/>
    <m/>
    <m/>
    <m/>
    <m/>
    <m/>
    <m/>
    <s v="no test"/>
    <s v="no test"/>
    <s v="No Test"/>
    <n v="1"/>
    <n v="2"/>
    <n v="0"/>
    <n v="0"/>
    <n v="0"/>
    <n v="0"/>
    <n v="0"/>
    <m/>
    <n v="1"/>
    <n v="1"/>
    <n v="1"/>
    <n v="263"/>
    <n v="0"/>
    <n v="0"/>
    <n v="1"/>
    <n v="263"/>
    <n v="0.52600000000000002"/>
    <n v="0"/>
    <n v="0"/>
    <n v="0.47399999999999998"/>
    <n v="1"/>
    <n v="5"/>
    <n v="0.38022813688212925"/>
    <n v="100"/>
    <n v="0"/>
    <n v="0"/>
    <n v="0"/>
    <n v="13"/>
    <n v="8"/>
    <n v="0.6197718631178708"/>
    <n v="0"/>
    <n v="0"/>
    <n v="0"/>
    <n v="0"/>
    <n v="0"/>
    <n v="0"/>
    <n v="0"/>
    <n v="1"/>
    <n v="0"/>
    <n v="0"/>
    <n v="0"/>
    <n v="2"/>
    <n v="40"/>
    <n v="0"/>
    <n v="200"/>
    <s v="No"/>
    <s v=""/>
    <n v="0"/>
    <n v="0"/>
    <n v="0"/>
    <n v="0"/>
    <n v="0"/>
    <n v="0"/>
    <n v="0"/>
    <n v="0"/>
    <x v="0"/>
    <x v="2"/>
    <x v="0"/>
    <n v="0"/>
    <n v="0"/>
    <n v="0"/>
    <x v="0"/>
    <x v="0"/>
    <s v="Momauk KBC church. METTA is initital focal.  KBC is focal. STW, WC??"/>
    <n v="0"/>
    <n v="0"/>
  </r>
  <r>
    <x v="1"/>
    <x v="3"/>
    <x v="25"/>
    <s v="UNICEF"/>
    <x v="1"/>
    <x v="4"/>
    <x v="1"/>
    <x v="18"/>
    <n v="440"/>
    <n v="2199"/>
    <d v="2020-10-01T00:00:00"/>
    <d v="2022-04-30T00:00:00"/>
    <m/>
    <m/>
    <m/>
    <m/>
    <s v="Yes"/>
    <m/>
    <m/>
    <m/>
    <m/>
    <m/>
    <n v="1"/>
    <m/>
    <m/>
    <m/>
    <m/>
    <m/>
    <m/>
    <m/>
    <m/>
    <m/>
    <m/>
    <m/>
    <m/>
    <m/>
    <m/>
    <m/>
    <n v="20"/>
    <m/>
    <m/>
    <m/>
    <m/>
    <m/>
    <m/>
    <m/>
    <m/>
    <m/>
    <m/>
    <m/>
    <x v="2"/>
    <x v="2"/>
    <m/>
    <m/>
    <m/>
    <m/>
    <m/>
    <m/>
    <n v="3"/>
    <m/>
    <m/>
    <n v="2"/>
    <m/>
    <m/>
    <m/>
    <m/>
    <m/>
    <m/>
    <m/>
    <m/>
    <m/>
    <m/>
    <m/>
    <m/>
    <m/>
    <m/>
    <m/>
    <m/>
    <m/>
    <m/>
    <m/>
    <m/>
    <s v="no test"/>
    <s v="no test"/>
    <s v="No Test"/>
    <n v="0"/>
    <n v="1"/>
    <n v="0"/>
    <n v="0"/>
    <n v="0"/>
    <n v="0"/>
    <n v="0"/>
    <m/>
    <n v="0.22737608003638018"/>
    <n v="0.11368804001819009"/>
    <n v="0.22737608003638018"/>
    <n v="500"/>
    <n v="0"/>
    <n v="0"/>
    <n v="0.22737608003638018"/>
    <n v="500"/>
    <n v="1"/>
    <n v="0.77262391996361979"/>
    <n v="1699"/>
    <n v="3"/>
    <n v="4"/>
    <n v="0"/>
    <n v="0"/>
    <n v="0"/>
    <n v="0"/>
    <n v="0"/>
    <n v="0"/>
    <n v="110"/>
    <n v="110"/>
    <n v="1"/>
    <n v="0"/>
    <n v="0"/>
    <n v="0"/>
    <n v="0"/>
    <n v="0"/>
    <n v="0"/>
    <n v="0"/>
    <n v="1"/>
    <n v="0"/>
    <n v="0"/>
    <n v="0"/>
    <n v="3"/>
    <n v="60"/>
    <n v="0"/>
    <n v="300"/>
    <s v="No"/>
    <s v=""/>
    <n v="0"/>
    <n v="0"/>
    <n v="0"/>
    <n v="0"/>
    <n v="0"/>
    <n v="0"/>
    <n v="0"/>
    <n v="0"/>
    <x v="0"/>
    <x v="3"/>
    <x v="1"/>
    <n v="0"/>
    <n v="0"/>
    <n v="0"/>
    <x v="0"/>
    <x v="0"/>
    <s v="Extension of Je Yang Hka. Handover to KMSS"/>
    <n v="0"/>
    <n v="0"/>
  </r>
  <r>
    <x v="1"/>
    <x v="15"/>
    <x v="13"/>
    <s v="ECHO 2983"/>
    <x v="1"/>
    <x v="4"/>
    <x v="0"/>
    <x v="202"/>
    <n v="85"/>
    <n v="255"/>
    <d v="2023-04-01T00:00:00"/>
    <d v="2024-03-31T00:00:00"/>
    <m/>
    <m/>
    <n v="1"/>
    <m/>
    <s v="Yes"/>
    <n v="3"/>
    <n v="3"/>
    <n v="1"/>
    <m/>
    <m/>
    <m/>
    <m/>
    <m/>
    <m/>
    <m/>
    <m/>
    <m/>
    <m/>
    <m/>
    <m/>
    <n v="2"/>
    <m/>
    <n v="3"/>
    <n v="3"/>
    <n v="6"/>
    <n v="6"/>
    <m/>
    <m/>
    <m/>
    <m/>
    <n v="9"/>
    <m/>
    <m/>
    <m/>
    <n v="3"/>
    <n v="12"/>
    <n v="16"/>
    <m/>
    <x v="1"/>
    <x v="1"/>
    <m/>
    <m/>
    <m/>
    <m/>
    <n v="2"/>
    <m/>
    <n v="7"/>
    <m/>
    <m/>
    <n v="1"/>
    <m/>
    <m/>
    <n v="1"/>
    <m/>
    <s v="                                                               -  "/>
    <s v="No"/>
    <n v="3"/>
    <n v="0.6"/>
    <s v="CWF distitribution -12 hh"/>
    <n v="1"/>
    <n v="0.99"/>
    <n v="2"/>
    <n v="1"/>
    <m/>
    <m/>
    <m/>
    <m/>
    <m/>
    <m/>
    <m/>
    <n v="1"/>
    <n v="1"/>
    <s v="Tested"/>
    <n v="1"/>
    <n v="0"/>
    <n v="0"/>
    <n v="0"/>
    <n v="0"/>
    <n v="0"/>
    <n v="0"/>
    <m/>
    <n v="1"/>
    <n v="0.98039215686274506"/>
    <n v="1"/>
    <n v="255"/>
    <n v="0"/>
    <n v="0"/>
    <n v="1"/>
    <n v="255"/>
    <n v="0.51"/>
    <n v="0"/>
    <n v="0"/>
    <n v="0.49"/>
    <n v="1"/>
    <n v="9"/>
    <n v="0.71372549019607845"/>
    <n v="182"/>
    <n v="240"/>
    <n v="0"/>
    <n v="0"/>
    <n v="13"/>
    <n v="4"/>
    <n v="0.28627450980392155"/>
    <n v="0"/>
    <n v="255"/>
    <n v="0"/>
    <n v="255"/>
    <n v="255"/>
    <n v="255"/>
    <n v="1"/>
    <n v="0"/>
    <n v="1"/>
    <n v="0"/>
    <e v="#VALUE!"/>
    <n v="7"/>
    <n v="85"/>
    <n v="0"/>
    <n v="255"/>
    <s v="No"/>
    <n v="7.8431372549019607E-3"/>
    <n v="255"/>
    <n v="252.45"/>
    <n v="255"/>
    <n v="255"/>
    <n v="0"/>
    <n v="0"/>
    <s v="Yes"/>
    <s v="KBC-BMO"/>
    <x v="0"/>
    <x v="2"/>
    <x v="0"/>
    <n v="24.200972"/>
    <n v="97.718582999999995"/>
    <s v="MMR001CMP071"/>
    <x v="0"/>
    <x v="0"/>
    <s v="yes"/>
    <n v="43"/>
    <n v="255"/>
  </r>
  <r>
    <x v="1"/>
    <x v="17"/>
    <x v="15"/>
    <s v="ECHO 2739"/>
    <x v="1"/>
    <x v="4"/>
    <x v="0"/>
    <x v="82"/>
    <n v="68"/>
    <n v="426"/>
    <m/>
    <m/>
    <m/>
    <m/>
    <n v="1"/>
    <m/>
    <s v="Yes"/>
    <n v="5"/>
    <n v="6"/>
    <m/>
    <m/>
    <m/>
    <n v="1"/>
    <m/>
    <m/>
    <m/>
    <n v="1"/>
    <m/>
    <m/>
    <m/>
    <m/>
    <m/>
    <n v="1"/>
    <m/>
    <m/>
    <m/>
    <m/>
    <m/>
    <m/>
    <m/>
    <m/>
    <m/>
    <n v="6"/>
    <m/>
    <m/>
    <m/>
    <m/>
    <m/>
    <m/>
    <m/>
    <x v="1"/>
    <x v="1"/>
    <m/>
    <m/>
    <m/>
    <m/>
    <n v="6"/>
    <m/>
    <n v="3"/>
    <m/>
    <m/>
    <n v="1"/>
    <m/>
    <m/>
    <n v="1"/>
    <m/>
    <m/>
    <m/>
    <m/>
    <m/>
    <m/>
    <n v="0.92"/>
    <n v="0.92"/>
    <m/>
    <m/>
    <m/>
    <m/>
    <m/>
    <m/>
    <m/>
    <m/>
    <m/>
    <s v="no test"/>
    <s v="no test"/>
    <s v="No Test"/>
    <n v="0"/>
    <n v="1"/>
    <n v="1"/>
    <n v="0"/>
    <n v="0"/>
    <n v="0"/>
    <n v="0"/>
    <m/>
    <n v="1"/>
    <n v="0.74334898278560257"/>
    <n v="1"/>
    <n v="426"/>
    <n v="0"/>
    <n v="0"/>
    <n v="1"/>
    <n v="426"/>
    <n v="0.85199999999999998"/>
    <n v="0"/>
    <n v="0"/>
    <n v="0.14800000000000002"/>
    <n v="1"/>
    <n v="6"/>
    <n v="0.29577464788732394"/>
    <n v="126"/>
    <n v="0"/>
    <n v="0"/>
    <n v="0"/>
    <n v="21"/>
    <n v="15"/>
    <n v="0.70422535211267601"/>
    <n v="0"/>
    <n v="426"/>
    <n v="0"/>
    <n v="0"/>
    <n v="0"/>
    <n v="426"/>
    <n v="1"/>
    <n v="0"/>
    <n v="1"/>
    <n v="0"/>
    <n v="0"/>
    <n v="3"/>
    <n v="60"/>
    <n v="0"/>
    <n v="300"/>
    <s v="No"/>
    <s v=""/>
    <n v="391.92"/>
    <n v="391.92"/>
    <n v="0"/>
    <n v="391.92"/>
    <n v="0"/>
    <n v="0"/>
    <s v="Yes"/>
    <s v="KMSS-BMO"/>
    <x v="0"/>
    <x v="2"/>
    <x v="0"/>
    <n v="24.205417000000001"/>
    <n v="97.724566999999993"/>
    <s v="MMR001CMP069"/>
    <x v="0"/>
    <x v="2"/>
    <s v="yes"/>
    <n v="81"/>
    <n v="451"/>
  </r>
  <r>
    <x v="1"/>
    <x v="15"/>
    <x v="13"/>
    <s v="ECHO 2983"/>
    <x v="1"/>
    <x v="4"/>
    <x v="0"/>
    <x v="203"/>
    <n v="240"/>
    <n v="1422"/>
    <d v="2023-04-01T00:00:00"/>
    <d v="2024-03-31T00:00:00"/>
    <m/>
    <m/>
    <n v="4"/>
    <m/>
    <s v="Yes"/>
    <n v="12"/>
    <n v="10"/>
    <n v="5"/>
    <m/>
    <m/>
    <n v="3"/>
    <m/>
    <m/>
    <m/>
    <m/>
    <m/>
    <m/>
    <m/>
    <m/>
    <m/>
    <n v="4"/>
    <m/>
    <n v="21"/>
    <n v="21"/>
    <n v="36"/>
    <n v="36"/>
    <m/>
    <m/>
    <m/>
    <m/>
    <n v="40"/>
    <m/>
    <m/>
    <m/>
    <m/>
    <n v="43"/>
    <n v="82"/>
    <m/>
    <x v="1"/>
    <x v="1"/>
    <m/>
    <m/>
    <m/>
    <m/>
    <n v="3"/>
    <m/>
    <n v="3"/>
    <m/>
    <m/>
    <n v="6"/>
    <m/>
    <m/>
    <n v="4"/>
    <m/>
    <s v="                                                               -  "/>
    <s v="No"/>
    <n v="12"/>
    <n v="0.6"/>
    <s v="CWF distitribution -61 hh"/>
    <n v="1"/>
    <n v="1"/>
    <n v="5"/>
    <n v="1"/>
    <m/>
    <m/>
    <m/>
    <m/>
    <m/>
    <m/>
    <m/>
    <n v="1"/>
    <n v="1"/>
    <s v="Tested"/>
    <n v="5"/>
    <n v="3"/>
    <n v="0"/>
    <n v="0"/>
    <n v="0"/>
    <n v="0"/>
    <n v="0"/>
    <m/>
    <n v="1"/>
    <n v="1"/>
    <n v="1"/>
    <n v="1422"/>
    <n v="0"/>
    <n v="0"/>
    <n v="1"/>
    <n v="1422"/>
    <n v="2.8439999999999999"/>
    <n v="0"/>
    <n v="0"/>
    <n v="0.15600000000000014"/>
    <n v="3"/>
    <n v="40"/>
    <n v="0.56469760900140642"/>
    <n v="803"/>
    <n v="860"/>
    <n v="0"/>
    <n v="0"/>
    <n v="71"/>
    <n v="31"/>
    <n v="0.43530239099859358"/>
    <n v="0"/>
    <n v="1422"/>
    <n v="0"/>
    <n v="1422"/>
    <n v="1422"/>
    <n v="1422"/>
    <n v="1"/>
    <n v="0"/>
    <n v="1"/>
    <n v="0"/>
    <e v="#VALUE!"/>
    <n v="3"/>
    <n v="60"/>
    <n v="0"/>
    <n v="300"/>
    <s v="No"/>
    <n v="3.5161744022503515E-3"/>
    <n v="1422"/>
    <n v="1422"/>
    <n v="1422"/>
    <n v="1422"/>
    <n v="0"/>
    <n v="0"/>
    <s v="Yes"/>
    <s v="KBC-BMO"/>
    <x v="0"/>
    <x v="2"/>
    <x v="0"/>
    <n v="24.200433"/>
    <n v="97.717133000000004"/>
    <s v="MMR001CMP070"/>
    <x v="0"/>
    <x v="0"/>
    <s v="yes"/>
    <n v="243"/>
    <n v="1420"/>
  </r>
  <r>
    <x v="1"/>
    <x v="9"/>
    <x v="17"/>
    <s v="ECHO 2739,USAID, MHF 24165, UNOPS, Irish Aid"/>
    <x v="1"/>
    <x v="4"/>
    <x v="0"/>
    <x v="83"/>
    <n v="127"/>
    <n v="741"/>
    <s v=" 13-8-2021, 1-5-2023, 30-4-2023, 1-1-2023"/>
    <s v="30-6-2023, 30-4-2024, 31-12-2023, 31-12-2023"/>
    <m/>
    <n v="1"/>
    <m/>
    <m/>
    <s v="Yes"/>
    <n v="3"/>
    <n v="3"/>
    <m/>
    <m/>
    <m/>
    <n v="3"/>
    <m/>
    <m/>
    <m/>
    <m/>
    <m/>
    <n v="1"/>
    <m/>
    <m/>
    <m/>
    <m/>
    <m/>
    <m/>
    <m/>
    <m/>
    <m/>
    <m/>
    <m/>
    <m/>
    <m/>
    <n v="50"/>
    <m/>
    <m/>
    <m/>
    <n v="10"/>
    <n v="2"/>
    <m/>
    <m/>
    <x v="1"/>
    <x v="1"/>
    <m/>
    <m/>
    <m/>
    <m/>
    <m/>
    <m/>
    <n v="8"/>
    <m/>
    <m/>
    <n v="7"/>
    <m/>
    <m/>
    <m/>
    <m/>
    <m/>
    <m/>
    <m/>
    <m/>
    <m/>
    <m/>
    <m/>
    <m/>
    <m/>
    <m/>
    <m/>
    <m/>
    <m/>
    <m/>
    <m/>
    <m/>
    <s v="no test"/>
    <s v="no test"/>
    <s v="No Test"/>
    <n v="0"/>
    <n v="3"/>
    <n v="0"/>
    <n v="0"/>
    <n v="0"/>
    <n v="0"/>
    <n v="0"/>
    <m/>
    <n v="1"/>
    <n v="1"/>
    <n v="1"/>
    <n v="741"/>
    <n v="0"/>
    <n v="0"/>
    <n v="1"/>
    <n v="741"/>
    <n v="1.482"/>
    <n v="0"/>
    <n v="0"/>
    <n v="0"/>
    <n v="1"/>
    <n v="50"/>
    <n v="1"/>
    <n v="741"/>
    <n v="40"/>
    <n v="0"/>
    <n v="0"/>
    <n v="37"/>
    <n v="0"/>
    <n v="0"/>
    <n v="0"/>
    <n v="0"/>
    <n v="0"/>
    <n v="0"/>
    <n v="0"/>
    <n v="0"/>
    <n v="0"/>
    <n v="1"/>
    <n v="0"/>
    <n v="0"/>
    <n v="0"/>
    <n v="8"/>
    <n v="127"/>
    <n v="0"/>
    <n v="741"/>
    <s v="No"/>
    <s v=""/>
    <n v="0"/>
    <n v="0"/>
    <n v="0"/>
    <n v="0"/>
    <n v="0"/>
    <n v="0"/>
    <s v="Yes"/>
    <s v="KMSS-BMO"/>
    <x v="0"/>
    <x v="2"/>
    <x v="0"/>
    <n v="24.245100000000001"/>
    <n v="97.325019999999995"/>
    <s v="MMR001CMP062"/>
    <x v="0"/>
    <x v="0"/>
    <s v="Yes, Metta is focal"/>
    <n v="93"/>
    <n v="441"/>
  </r>
  <r>
    <x v="1"/>
    <x v="15"/>
    <x v="13"/>
    <s v="ECHO 2983"/>
    <x v="1"/>
    <x v="4"/>
    <x v="0"/>
    <x v="204"/>
    <n v="96"/>
    <n v="512"/>
    <d v="2023-04-01T00:00:00"/>
    <d v="2024-03-31T00:00:00"/>
    <m/>
    <m/>
    <n v="2"/>
    <m/>
    <s v="Yes"/>
    <n v="5"/>
    <n v="4"/>
    <n v="1"/>
    <m/>
    <m/>
    <n v="1"/>
    <m/>
    <m/>
    <m/>
    <m/>
    <m/>
    <m/>
    <m/>
    <m/>
    <m/>
    <n v="2"/>
    <m/>
    <n v="6"/>
    <n v="6"/>
    <n v="15"/>
    <n v="15"/>
    <m/>
    <m/>
    <m/>
    <m/>
    <n v="28"/>
    <m/>
    <m/>
    <m/>
    <m/>
    <n v="42"/>
    <n v="43"/>
    <m/>
    <x v="1"/>
    <x v="1"/>
    <m/>
    <m/>
    <m/>
    <m/>
    <n v="3"/>
    <m/>
    <n v="6"/>
    <m/>
    <m/>
    <n v="4"/>
    <m/>
    <n v="1"/>
    <n v="1"/>
    <m/>
    <s v="                                                               -  "/>
    <s v="No"/>
    <n v="3"/>
    <n v="0.6"/>
    <s v="CWF distribution -31 hh"/>
    <n v="1"/>
    <n v="1"/>
    <n v="3"/>
    <n v="1"/>
    <m/>
    <m/>
    <m/>
    <m/>
    <m/>
    <m/>
    <m/>
    <n v="1"/>
    <n v="1"/>
    <s v="Tested"/>
    <n v="1"/>
    <n v="1"/>
    <n v="0"/>
    <n v="0"/>
    <n v="0"/>
    <n v="0"/>
    <n v="0"/>
    <m/>
    <n v="1"/>
    <n v="0.9765625"/>
    <n v="1"/>
    <n v="512"/>
    <n v="0"/>
    <n v="0"/>
    <n v="1"/>
    <n v="512"/>
    <n v="1.024"/>
    <n v="0"/>
    <n v="0"/>
    <n v="0"/>
    <n v="1"/>
    <n v="28"/>
    <n v="1"/>
    <n v="512"/>
    <n v="512"/>
    <n v="0"/>
    <n v="0"/>
    <n v="26"/>
    <n v="0"/>
    <n v="0"/>
    <n v="0"/>
    <n v="512"/>
    <n v="0"/>
    <n v="512"/>
    <n v="512"/>
    <n v="512"/>
    <n v="1"/>
    <n v="0"/>
    <n v="1"/>
    <n v="0"/>
    <e v="#VALUE!"/>
    <n v="6"/>
    <n v="96"/>
    <n v="0"/>
    <n v="512"/>
    <s v="No"/>
    <n v="5.859375E-3"/>
    <n v="512"/>
    <n v="512"/>
    <n v="512"/>
    <n v="512"/>
    <n v="0"/>
    <n v="0"/>
    <n v="0"/>
    <n v="0"/>
    <x v="0"/>
    <x v="2"/>
    <x v="0"/>
    <n v="0"/>
    <n v="0"/>
    <n v="0"/>
    <x v="0"/>
    <x v="0"/>
    <s v="Momauk KBC church"/>
    <n v="0"/>
    <n v="0"/>
  </r>
  <r>
    <x v="1"/>
    <x v="3"/>
    <x v="24"/>
    <s v="USAID, MHF 24165, UNOPS, Irish Aid"/>
    <x v="1"/>
    <x v="4"/>
    <x v="0"/>
    <x v="84"/>
    <n v="86"/>
    <n v="424"/>
    <s v=" 13-8-2021, 1-5-2023, 30-4-2023, 1-1-2023"/>
    <s v="30-6-2023, 30-4-2024, 31-12-2023, 31-12-2023"/>
    <m/>
    <m/>
    <m/>
    <m/>
    <s v="Yes"/>
    <n v="2"/>
    <n v="5"/>
    <n v="2"/>
    <m/>
    <m/>
    <m/>
    <m/>
    <m/>
    <m/>
    <m/>
    <m/>
    <m/>
    <m/>
    <m/>
    <m/>
    <m/>
    <m/>
    <m/>
    <m/>
    <m/>
    <m/>
    <m/>
    <m/>
    <m/>
    <m/>
    <n v="6"/>
    <m/>
    <m/>
    <n v="2"/>
    <n v="3"/>
    <m/>
    <m/>
    <m/>
    <x v="1"/>
    <x v="1"/>
    <m/>
    <m/>
    <m/>
    <m/>
    <m/>
    <m/>
    <n v="20"/>
    <n v="1"/>
    <m/>
    <n v="2"/>
    <m/>
    <m/>
    <n v="7"/>
    <m/>
    <m/>
    <s v="No"/>
    <n v="1"/>
    <n v="0.3"/>
    <s v="NA"/>
    <n v="0.8"/>
    <n v="0.8"/>
    <n v="20"/>
    <n v="0.8"/>
    <m/>
    <m/>
    <m/>
    <m/>
    <m/>
    <m/>
    <m/>
    <s v="no test"/>
    <s v="no test"/>
    <s v="No Test"/>
    <n v="2"/>
    <n v="0"/>
    <n v="0"/>
    <n v="0"/>
    <n v="0"/>
    <n v="0"/>
    <n v="0"/>
    <m/>
    <n v="1"/>
    <n v="1"/>
    <n v="1"/>
    <n v="424"/>
    <n v="0"/>
    <n v="0"/>
    <n v="0"/>
    <n v="424"/>
    <n v="0.84799999999999998"/>
    <n v="1"/>
    <n v="424"/>
    <n v="0.15200000000000002"/>
    <n v="1"/>
    <n v="4"/>
    <n v="0"/>
    <n v="80"/>
    <n v="0"/>
    <n v="0"/>
    <n v="0"/>
    <n v="21"/>
    <n v="15"/>
    <n v="1"/>
    <n v="0.33333333333333331"/>
    <n v="424"/>
    <n v="0"/>
    <n v="0"/>
    <n v="0"/>
    <n v="424"/>
    <n v="1"/>
    <n v="0"/>
    <n v="1"/>
    <n v="0"/>
    <n v="0"/>
    <n v="19"/>
    <n v="86"/>
    <n v="0"/>
    <n v="424"/>
    <s v="No"/>
    <n v="4.716981132075472E-2"/>
    <n v="339.20000000000005"/>
    <n v="339.20000000000005"/>
    <n v="339.20000000000005"/>
    <n v="339.20000000000005"/>
    <n v="0"/>
    <n v="0"/>
    <s v="Yes"/>
    <s v="KBC-BMO"/>
    <x v="0"/>
    <x v="2"/>
    <x v="0"/>
    <n v="24.250689999999999"/>
    <n v="97.344359999999995"/>
    <s v="MMR001CMP056"/>
    <x v="0"/>
    <x v="0"/>
    <s v="Momauk KBC church. Metta is focal"/>
    <n v="416"/>
    <n v="1936"/>
  </r>
  <r>
    <x v="1"/>
    <x v="3"/>
    <x v="3"/>
    <s v="SIDA"/>
    <x v="1"/>
    <x v="4"/>
    <x v="1"/>
    <x v="5"/>
    <n v="49"/>
    <n v="203"/>
    <d v="2022-04-01T00:00:00"/>
    <d v="2022-10-31T00:00:00"/>
    <m/>
    <m/>
    <m/>
    <m/>
    <s v="Yes"/>
    <n v="1"/>
    <n v="1"/>
    <n v="4"/>
    <m/>
    <m/>
    <m/>
    <m/>
    <m/>
    <m/>
    <m/>
    <m/>
    <m/>
    <m/>
    <m/>
    <m/>
    <m/>
    <m/>
    <m/>
    <m/>
    <m/>
    <m/>
    <n v="1"/>
    <m/>
    <m/>
    <m/>
    <n v="7"/>
    <m/>
    <m/>
    <m/>
    <m/>
    <m/>
    <m/>
    <m/>
    <x v="1"/>
    <x v="1"/>
    <m/>
    <m/>
    <m/>
    <m/>
    <n v="4"/>
    <m/>
    <n v="2"/>
    <m/>
    <m/>
    <n v="2"/>
    <m/>
    <n v="1"/>
    <m/>
    <m/>
    <m/>
    <s v="Yes"/>
    <m/>
    <m/>
    <m/>
    <m/>
    <m/>
    <m/>
    <m/>
    <m/>
    <m/>
    <m/>
    <m/>
    <m/>
    <m/>
    <m/>
    <s v="no test"/>
    <s v="no test"/>
    <s v="No Test"/>
    <n v="4"/>
    <n v="0"/>
    <n v="0"/>
    <n v="0"/>
    <n v="0"/>
    <n v="0"/>
    <n v="0"/>
    <m/>
    <n v="1"/>
    <n v="1"/>
    <n v="1"/>
    <n v="203"/>
    <n v="0"/>
    <n v="0"/>
    <n v="1"/>
    <n v="203"/>
    <n v="0.40600000000000003"/>
    <n v="0"/>
    <n v="0"/>
    <n v="0.59399999999999997"/>
    <n v="1"/>
    <n v="7"/>
    <n v="0.70935960591133007"/>
    <n v="144"/>
    <n v="0"/>
    <n v="0"/>
    <n v="0"/>
    <n v="10"/>
    <n v="3"/>
    <n v="0.29064039408866993"/>
    <n v="0"/>
    <n v="203"/>
    <n v="0"/>
    <n v="0"/>
    <n v="0"/>
    <n v="203"/>
    <n v="1"/>
    <n v="0"/>
    <n v="1"/>
    <n v="0"/>
    <n v="0"/>
    <n v="2"/>
    <n v="40"/>
    <n v="1"/>
    <n v="200"/>
    <s v="No"/>
    <s v=""/>
    <n v="0"/>
    <n v="0"/>
    <n v="0"/>
    <n v="0"/>
    <n v="0"/>
    <n v="0"/>
    <n v="0"/>
    <n v="0"/>
    <x v="0"/>
    <x v="0"/>
    <x v="0"/>
    <n v="0"/>
    <n v="0"/>
    <n v="0"/>
    <x v="0"/>
    <x v="0"/>
    <s v="Momauk KBC church. KBC is focal"/>
    <n v="0"/>
    <n v="0"/>
  </r>
  <r>
    <x v="1"/>
    <x v="13"/>
    <x v="11"/>
    <m/>
    <x v="1"/>
    <x v="4"/>
    <x v="0"/>
    <x v="139"/>
    <n v="223"/>
    <n v="1067"/>
    <m/>
    <m/>
    <m/>
    <m/>
    <m/>
    <m/>
    <m/>
    <m/>
    <n v="4"/>
    <m/>
    <m/>
    <m/>
    <m/>
    <m/>
    <m/>
    <m/>
    <m/>
    <m/>
    <m/>
    <m/>
    <m/>
    <m/>
    <m/>
    <m/>
    <m/>
    <m/>
    <m/>
    <m/>
    <m/>
    <m/>
    <m/>
    <m/>
    <m/>
    <m/>
    <m/>
    <m/>
    <m/>
    <m/>
    <m/>
    <m/>
    <x v="2"/>
    <x v="2"/>
    <m/>
    <m/>
    <m/>
    <m/>
    <m/>
    <m/>
    <n v="3"/>
    <m/>
    <m/>
    <n v="2"/>
    <m/>
    <m/>
    <m/>
    <m/>
    <m/>
    <m/>
    <m/>
    <m/>
    <m/>
    <m/>
    <m/>
    <m/>
    <m/>
    <m/>
    <m/>
    <m/>
    <m/>
    <m/>
    <m/>
    <m/>
    <s v="no test"/>
    <s v="no test"/>
    <s v="No Test"/>
    <n v="0"/>
    <n v="0"/>
    <n v="0"/>
    <n v="0"/>
    <n v="0"/>
    <n v="0"/>
    <n v="0"/>
    <m/>
    <n v="0"/>
    <n v="0"/>
    <n v="0"/>
    <n v="0"/>
    <n v="0"/>
    <n v="0"/>
    <n v="0"/>
    <n v="0"/>
    <n v="0"/>
    <n v="1"/>
    <n v="1067"/>
    <n v="2"/>
    <n v="2"/>
    <n v="0"/>
    <n v="0"/>
    <n v="0"/>
    <n v="0"/>
    <n v="0"/>
    <n v="0"/>
    <n v="53"/>
    <n v="53"/>
    <n v="1"/>
    <n v="0"/>
    <n v="0"/>
    <n v="0"/>
    <n v="0"/>
    <n v="0"/>
    <n v="0"/>
    <n v="0"/>
    <n v="1"/>
    <n v="0"/>
    <n v="0"/>
    <n v="0"/>
    <n v="3"/>
    <n v="60"/>
    <n v="0"/>
    <n v="300"/>
    <s v="No"/>
    <s v=""/>
    <n v="0"/>
    <n v="0"/>
    <n v="0"/>
    <n v="0"/>
    <n v="0"/>
    <n v="0"/>
    <n v="0"/>
    <s v="uncovered"/>
    <x v="0"/>
    <x v="4"/>
    <x v="0"/>
    <n v="24.251232000000002"/>
    <n v="97.348405"/>
    <s v="MMR001CMP197"/>
    <x v="1"/>
    <x v="1"/>
    <s v="yes"/>
    <n v="112"/>
    <n v="567"/>
  </r>
  <r>
    <x v="1"/>
    <x v="13"/>
    <x v="11"/>
    <m/>
    <x v="1"/>
    <x v="4"/>
    <x v="0"/>
    <x v="140"/>
    <n v="15"/>
    <n v="101"/>
    <m/>
    <m/>
    <m/>
    <m/>
    <m/>
    <m/>
    <m/>
    <m/>
    <n v="1"/>
    <m/>
    <m/>
    <m/>
    <m/>
    <m/>
    <m/>
    <m/>
    <m/>
    <m/>
    <m/>
    <m/>
    <m/>
    <m/>
    <m/>
    <m/>
    <m/>
    <m/>
    <m/>
    <m/>
    <m/>
    <m/>
    <m/>
    <m/>
    <m/>
    <m/>
    <m/>
    <m/>
    <m/>
    <m/>
    <m/>
    <m/>
    <x v="2"/>
    <x v="2"/>
    <m/>
    <m/>
    <m/>
    <m/>
    <m/>
    <m/>
    <n v="1"/>
    <m/>
    <m/>
    <n v="3"/>
    <m/>
    <m/>
    <m/>
    <m/>
    <m/>
    <m/>
    <m/>
    <m/>
    <m/>
    <m/>
    <m/>
    <m/>
    <m/>
    <m/>
    <m/>
    <m/>
    <m/>
    <m/>
    <m/>
    <m/>
    <s v="no test"/>
    <s v="no test"/>
    <s v="No Test"/>
    <n v="0"/>
    <n v="0"/>
    <n v="0"/>
    <n v="0"/>
    <n v="0"/>
    <n v="0"/>
    <n v="0"/>
    <m/>
    <n v="0"/>
    <n v="0"/>
    <n v="0"/>
    <n v="0"/>
    <n v="0"/>
    <n v="0"/>
    <n v="0"/>
    <n v="0"/>
    <n v="0"/>
    <n v="1"/>
    <n v="101"/>
    <n v="1"/>
    <n v="1"/>
    <n v="0"/>
    <n v="0"/>
    <n v="0"/>
    <n v="0"/>
    <n v="0"/>
    <n v="0"/>
    <n v="5"/>
    <n v="5"/>
    <n v="1"/>
    <n v="0"/>
    <n v="0"/>
    <n v="0"/>
    <n v="0"/>
    <n v="0"/>
    <n v="0"/>
    <n v="0"/>
    <n v="1"/>
    <n v="0"/>
    <n v="0"/>
    <n v="0"/>
    <n v="1"/>
    <n v="15"/>
    <n v="0"/>
    <n v="100"/>
    <s v="No"/>
    <s v=""/>
    <n v="0"/>
    <n v="0"/>
    <n v="0"/>
    <n v="0"/>
    <n v="0"/>
    <n v="0"/>
    <n v="0"/>
    <s v="uncovered"/>
    <x v="0"/>
    <x v="4"/>
    <x v="0"/>
    <n v="24.404876999999999"/>
    <n v="97.407787999999996"/>
    <s v="MMR001CMP061"/>
    <x v="1"/>
    <x v="1"/>
    <s v="yes"/>
    <n v="15"/>
    <n v="101"/>
  </r>
  <r>
    <x v="1"/>
    <x v="17"/>
    <x v="15"/>
    <s v="SI (ECHO)"/>
    <x v="1"/>
    <x v="4"/>
    <x v="0"/>
    <x v="211"/>
    <n v="349"/>
    <n v="1570"/>
    <d v="2022-04-01T00:00:00"/>
    <d v="2022-12-31T00:00:00"/>
    <m/>
    <m/>
    <m/>
    <m/>
    <s v="Yes"/>
    <m/>
    <m/>
    <m/>
    <m/>
    <m/>
    <m/>
    <m/>
    <m/>
    <m/>
    <m/>
    <m/>
    <m/>
    <m/>
    <n v="6"/>
    <m/>
    <m/>
    <n v="6"/>
    <m/>
    <m/>
    <m/>
    <m/>
    <n v="4"/>
    <n v="2"/>
    <m/>
    <m/>
    <n v="181"/>
    <m/>
    <m/>
    <m/>
    <m/>
    <m/>
    <m/>
    <n v="71"/>
    <x v="0"/>
    <x v="1"/>
    <m/>
    <m/>
    <m/>
    <n v="2"/>
    <m/>
    <m/>
    <n v="8"/>
    <m/>
    <n v="30"/>
    <n v="3"/>
    <m/>
    <m/>
    <n v="6"/>
    <m/>
    <m/>
    <m/>
    <m/>
    <m/>
    <m/>
    <m/>
    <m/>
    <m/>
    <m/>
    <m/>
    <m/>
    <m/>
    <m/>
    <m/>
    <m/>
    <m/>
    <s v="no test"/>
    <s v="no test"/>
    <s v="No Test"/>
    <n v="0"/>
    <n v="0"/>
    <n v="0"/>
    <n v="0"/>
    <n v="0"/>
    <n v="1000"/>
    <n v="0"/>
    <m/>
    <n v="0"/>
    <n v="0"/>
    <n v="0"/>
    <n v="0"/>
    <n v="0.95541401273885351"/>
    <n v="1500"/>
    <n v="0.95541401273885351"/>
    <n v="1500"/>
    <n v="3"/>
    <n v="4.4585987261146487E-2"/>
    <n v="69.999999999999986"/>
    <n v="0"/>
    <n v="3"/>
    <n v="181"/>
    <n v="1"/>
    <n v="1570"/>
    <n v="0"/>
    <n v="0"/>
    <n v="100"/>
    <n v="79"/>
    <n v="0"/>
    <n v="0"/>
    <n v="0"/>
    <n v="1570"/>
    <n v="0"/>
    <n v="0"/>
    <n v="0"/>
    <n v="1570"/>
    <n v="1"/>
    <n v="0"/>
    <n v="1"/>
    <n v="0"/>
    <n v="0"/>
    <n v="8"/>
    <n v="160"/>
    <n v="0"/>
    <n v="800"/>
    <s v="No"/>
    <s v=""/>
    <n v="0"/>
    <n v="0"/>
    <n v="0"/>
    <n v="0"/>
    <n v="1000"/>
    <n v="100"/>
    <s v="Yes"/>
    <s v="KMSS-BMO"/>
    <x v="0"/>
    <x v="2"/>
    <x v="1"/>
    <n v="24.378167000000001"/>
    <n v="97.669366999999994"/>
    <s v="MMR001CMP131"/>
    <x v="0"/>
    <x v="2"/>
    <s v="yes"/>
    <n v="350"/>
    <n v="1593"/>
  </r>
  <r>
    <x v="1"/>
    <x v="15"/>
    <x v="13"/>
    <s v="ECHO 2983"/>
    <x v="1"/>
    <x v="4"/>
    <x v="0"/>
    <x v="205"/>
    <n v="44"/>
    <n v="297"/>
    <d v="2023-04-01T00:00:00"/>
    <d v="2024-03-31T00:00:00"/>
    <m/>
    <m/>
    <n v="1"/>
    <m/>
    <s v="Yes"/>
    <n v="3"/>
    <n v="4"/>
    <n v="3"/>
    <m/>
    <m/>
    <n v="1"/>
    <m/>
    <m/>
    <m/>
    <m/>
    <m/>
    <m/>
    <m/>
    <m/>
    <m/>
    <n v="1"/>
    <m/>
    <n v="3"/>
    <n v="3"/>
    <n v="9"/>
    <n v="9"/>
    <m/>
    <m/>
    <m/>
    <m/>
    <n v="13"/>
    <m/>
    <m/>
    <m/>
    <m/>
    <n v="12"/>
    <n v="16"/>
    <m/>
    <x v="1"/>
    <x v="1"/>
    <m/>
    <m/>
    <m/>
    <m/>
    <n v="3"/>
    <m/>
    <n v="3"/>
    <m/>
    <m/>
    <n v="3"/>
    <m/>
    <m/>
    <n v="1"/>
    <m/>
    <s v="                                                               -  "/>
    <s v="No"/>
    <n v="3"/>
    <n v="0.6"/>
    <s v="CWF distribution -21 hh"/>
    <n v="1"/>
    <n v="1"/>
    <n v="9"/>
    <n v="1"/>
    <m/>
    <m/>
    <m/>
    <m/>
    <m/>
    <m/>
    <m/>
    <n v="1"/>
    <n v="1"/>
    <s v="Tested"/>
    <n v="3"/>
    <n v="1"/>
    <n v="0"/>
    <n v="0"/>
    <n v="0"/>
    <n v="0"/>
    <n v="0"/>
    <m/>
    <n v="1"/>
    <n v="1"/>
    <n v="1"/>
    <n v="297"/>
    <n v="0"/>
    <n v="0"/>
    <n v="1"/>
    <n v="297"/>
    <n v="0.59399999999999997"/>
    <n v="0"/>
    <n v="0"/>
    <n v="0.40600000000000003"/>
    <n v="1"/>
    <n v="13"/>
    <n v="0.88552188552188549"/>
    <n v="263"/>
    <n v="240"/>
    <n v="0"/>
    <n v="0"/>
    <n v="15"/>
    <n v="2"/>
    <n v="0.11447811447811451"/>
    <n v="0"/>
    <n v="297"/>
    <n v="0"/>
    <n v="297"/>
    <n v="297"/>
    <n v="297"/>
    <n v="1"/>
    <n v="0"/>
    <n v="1"/>
    <n v="0"/>
    <e v="#VALUE!"/>
    <n v="3"/>
    <n v="44"/>
    <n v="0"/>
    <n v="297"/>
    <s v="No"/>
    <n v="3.0303030303030304E-2"/>
    <n v="297"/>
    <n v="297"/>
    <n v="297"/>
    <n v="297"/>
    <n v="0"/>
    <n v="0"/>
    <s v="Yes"/>
    <s v="KBC-BMO"/>
    <x v="0"/>
    <x v="2"/>
    <x v="0"/>
    <n v="24.205417000000001"/>
    <n v="97.724483000000006"/>
    <s v="MMR001CMP072"/>
    <x v="0"/>
    <x v="0"/>
    <s v="yes"/>
    <n v="48"/>
    <n v="293"/>
  </r>
  <r>
    <x v="1"/>
    <x v="17"/>
    <x v="15"/>
    <s v="SI (ECHO)"/>
    <x v="1"/>
    <x v="4"/>
    <x v="0"/>
    <x v="212"/>
    <n v="616"/>
    <n v="3682"/>
    <d v="2022-04-01T00:00:00"/>
    <d v="2022-12-31T00:00:00"/>
    <m/>
    <m/>
    <m/>
    <m/>
    <s v="Yes"/>
    <m/>
    <m/>
    <m/>
    <m/>
    <m/>
    <m/>
    <m/>
    <m/>
    <m/>
    <m/>
    <m/>
    <m/>
    <m/>
    <n v="1"/>
    <m/>
    <m/>
    <n v="1"/>
    <m/>
    <m/>
    <m/>
    <m/>
    <n v="21"/>
    <n v="6"/>
    <m/>
    <m/>
    <n v="152"/>
    <m/>
    <m/>
    <m/>
    <m/>
    <m/>
    <m/>
    <m/>
    <x v="0"/>
    <x v="1"/>
    <m/>
    <m/>
    <m/>
    <n v="2"/>
    <m/>
    <m/>
    <n v="7"/>
    <m/>
    <m/>
    <n v="7"/>
    <m/>
    <m/>
    <n v="6"/>
    <m/>
    <m/>
    <m/>
    <m/>
    <m/>
    <m/>
    <m/>
    <m/>
    <m/>
    <m/>
    <m/>
    <m/>
    <m/>
    <m/>
    <m/>
    <m/>
    <m/>
    <s v="no test"/>
    <s v="no test"/>
    <s v="No Test"/>
    <n v="0"/>
    <n v="0"/>
    <n v="0"/>
    <n v="0"/>
    <n v="0"/>
    <n v="3000"/>
    <n v="0"/>
    <m/>
    <n v="0"/>
    <n v="0"/>
    <n v="0"/>
    <n v="0"/>
    <n v="6.7897881586094513E-2"/>
    <n v="250"/>
    <n v="6.7897881586094513E-2"/>
    <n v="250"/>
    <n v="0.5"/>
    <n v="0.93210211841390544"/>
    <n v="3432"/>
    <n v="6.5"/>
    <n v="7"/>
    <n v="152"/>
    <n v="0.82563824008690934"/>
    <n v="3040"/>
    <n v="0"/>
    <n v="0"/>
    <n v="100"/>
    <n v="184"/>
    <n v="32"/>
    <n v="0.17436175991309066"/>
    <n v="0"/>
    <n v="3000"/>
    <n v="0"/>
    <n v="0"/>
    <n v="0"/>
    <n v="3000"/>
    <n v="0.81477457903313422"/>
    <n v="0.18522542096686578"/>
    <n v="0.81477457903313422"/>
    <n v="0"/>
    <n v="0"/>
    <n v="7"/>
    <n v="140"/>
    <n v="0"/>
    <n v="700"/>
    <s v="No"/>
    <s v=""/>
    <n v="0"/>
    <n v="0"/>
    <n v="0"/>
    <n v="0"/>
    <n v="3000"/>
    <n v="100"/>
    <s v="Yes"/>
    <s v="KMSS-BMO"/>
    <x v="0"/>
    <x v="2"/>
    <x v="1"/>
    <n v="24.2744"/>
    <n v="97.752667000000002"/>
    <s v="MMR001CMP126"/>
    <x v="0"/>
    <x v="2"/>
    <s v="yes"/>
    <n v="614"/>
    <n v="3654"/>
  </r>
  <r>
    <x v="1"/>
    <x v="3"/>
    <x v="23"/>
    <m/>
    <x v="1"/>
    <x v="4"/>
    <x v="1"/>
    <x v="214"/>
    <m/>
    <m/>
    <m/>
    <m/>
    <m/>
    <m/>
    <m/>
    <m/>
    <m/>
    <m/>
    <m/>
    <m/>
    <m/>
    <m/>
    <m/>
    <m/>
    <m/>
    <m/>
    <m/>
    <m/>
    <m/>
    <m/>
    <m/>
    <m/>
    <m/>
    <m/>
    <m/>
    <m/>
    <m/>
    <m/>
    <m/>
    <m/>
    <m/>
    <m/>
    <m/>
    <m/>
    <m/>
    <m/>
    <m/>
    <m/>
    <m/>
    <m/>
    <x v="2"/>
    <x v="4"/>
    <m/>
    <m/>
    <m/>
    <m/>
    <m/>
    <m/>
    <m/>
    <m/>
    <m/>
    <m/>
    <m/>
    <m/>
    <m/>
    <m/>
    <m/>
    <m/>
    <m/>
    <m/>
    <m/>
    <m/>
    <m/>
    <m/>
    <m/>
    <m/>
    <m/>
    <m/>
    <m/>
    <m/>
    <m/>
    <m/>
    <s v="no test"/>
    <s v="no test"/>
    <s v="No Test"/>
    <n v="0"/>
    <n v="0"/>
    <n v="0"/>
    <n v="0"/>
    <n v="0"/>
    <n v="0"/>
    <n v="0"/>
    <m/>
    <s v=""/>
    <s v=""/>
    <s v=""/>
    <n v="0"/>
    <n v="0"/>
    <n v="0"/>
    <n v="0"/>
    <n v="0"/>
    <n v="0"/>
    <n v="1"/>
    <n v="0"/>
    <n v="1"/>
    <n v="1"/>
    <n v="0"/>
    <n v="0"/>
    <n v="0"/>
    <n v="0"/>
    <n v="0"/>
    <n v="0"/>
    <n v="0"/>
    <n v="0"/>
    <n v="1"/>
    <n v="0"/>
    <n v="0"/>
    <n v="0"/>
    <n v="0"/>
    <n v="0"/>
    <n v="0"/>
    <e v="#DIV/0!"/>
    <e v="#DIV/0!"/>
    <e v="#DIV/0!"/>
    <e v="#DIV/0!"/>
    <e v="#DIV/0!"/>
    <n v="0"/>
    <n v="0"/>
    <n v="0"/>
    <n v="0"/>
    <s v="No"/>
    <s v=""/>
    <n v="0"/>
    <n v="0"/>
    <n v="0"/>
    <n v="0"/>
    <n v="0"/>
    <n v="0"/>
    <e v="#N/A"/>
    <e v="#N/A"/>
    <x v="0"/>
    <x v="2"/>
    <x v="0"/>
    <e v="#N/A"/>
    <e v="#N/A"/>
    <e v="#N/A"/>
    <x v="0"/>
    <x v="0"/>
    <s v="Momauk KBC church. Initial KBC "/>
    <e v="#N/A"/>
    <e v="#N/A"/>
  </r>
  <r>
    <x v="1"/>
    <x v="15"/>
    <x v="13"/>
    <s v="ECHO 2983"/>
    <x v="1"/>
    <x v="4"/>
    <x v="0"/>
    <x v="206"/>
    <n v="44"/>
    <n v="266"/>
    <d v="2023-04-01T00:00:00"/>
    <d v="2024-03-31T00:00:00"/>
    <m/>
    <m/>
    <n v="2"/>
    <m/>
    <s v="Yes"/>
    <n v="4"/>
    <n v="6"/>
    <n v="2"/>
    <m/>
    <m/>
    <n v="1"/>
    <m/>
    <m/>
    <m/>
    <m/>
    <m/>
    <m/>
    <m/>
    <m/>
    <m/>
    <n v="1"/>
    <m/>
    <n v="3"/>
    <n v="3"/>
    <n v="6"/>
    <n v="6"/>
    <m/>
    <m/>
    <m/>
    <m/>
    <n v="16"/>
    <m/>
    <m/>
    <m/>
    <m/>
    <n v="14"/>
    <n v="16"/>
    <m/>
    <x v="1"/>
    <x v="1"/>
    <m/>
    <m/>
    <m/>
    <m/>
    <m/>
    <m/>
    <n v="3"/>
    <m/>
    <m/>
    <n v="1"/>
    <m/>
    <n v="1"/>
    <n v="1"/>
    <m/>
    <s v="                                                               -  "/>
    <s v="No"/>
    <n v="3"/>
    <n v="0.6"/>
    <s v="CWF distribution -18 hh"/>
    <n v="1"/>
    <n v="1"/>
    <n v="2"/>
    <n v="1"/>
    <m/>
    <m/>
    <m/>
    <m/>
    <m/>
    <m/>
    <m/>
    <n v="1"/>
    <n v="1"/>
    <s v="Tested"/>
    <n v="2"/>
    <n v="1"/>
    <n v="0"/>
    <n v="0"/>
    <n v="0"/>
    <n v="0"/>
    <n v="0"/>
    <m/>
    <n v="1"/>
    <n v="1"/>
    <n v="1"/>
    <n v="266"/>
    <n v="0"/>
    <n v="0"/>
    <n v="1"/>
    <n v="266"/>
    <n v="0.53200000000000003"/>
    <n v="0"/>
    <n v="0"/>
    <n v="0.46799999999999997"/>
    <n v="1"/>
    <n v="16"/>
    <n v="1"/>
    <n v="266"/>
    <n v="266"/>
    <n v="0"/>
    <n v="0"/>
    <n v="13"/>
    <n v="0"/>
    <n v="0"/>
    <n v="0"/>
    <n v="266"/>
    <n v="0"/>
    <n v="266"/>
    <n v="266"/>
    <n v="266"/>
    <n v="1"/>
    <n v="0"/>
    <n v="1"/>
    <n v="0"/>
    <e v="#VALUE!"/>
    <n v="3"/>
    <n v="44"/>
    <n v="0"/>
    <n v="266"/>
    <s v="No"/>
    <n v="7.5187969924812026E-3"/>
    <n v="266"/>
    <n v="266"/>
    <n v="266"/>
    <n v="266"/>
    <n v="0"/>
    <n v="0"/>
    <s v="Yes"/>
    <s v="KBC-BMO"/>
    <x v="0"/>
    <x v="2"/>
    <x v="0"/>
    <n v="24.207332999999998"/>
    <n v="97.710864000000001"/>
    <s v="MMR001CMP073"/>
    <x v="0"/>
    <x v="0"/>
    <s v="yes"/>
    <n v="52"/>
    <n v="299"/>
  </r>
  <r>
    <x v="1"/>
    <x v="18"/>
    <x v="20"/>
    <s v="UNICEF"/>
    <x v="1"/>
    <x v="10"/>
    <x v="0"/>
    <x v="20"/>
    <n v="136"/>
    <n v="742"/>
    <d v="2022-09-07T00:00:00"/>
    <d v="2023-09-06T00:00:00"/>
    <m/>
    <n v="3"/>
    <m/>
    <m/>
    <s v="Yes"/>
    <n v="1"/>
    <n v="4"/>
    <n v="4"/>
    <n v="3"/>
    <m/>
    <n v="6"/>
    <m/>
    <n v="3"/>
    <m/>
    <n v="2"/>
    <n v="2"/>
    <m/>
    <m/>
    <m/>
    <m/>
    <m/>
    <n v="7"/>
    <m/>
    <m/>
    <m/>
    <m/>
    <m/>
    <m/>
    <m/>
    <m/>
    <n v="46"/>
    <m/>
    <m/>
    <m/>
    <m/>
    <m/>
    <m/>
    <n v="46"/>
    <x v="1"/>
    <x v="1"/>
    <m/>
    <m/>
    <m/>
    <m/>
    <m/>
    <m/>
    <n v="7"/>
    <m/>
    <m/>
    <n v="4"/>
    <m/>
    <m/>
    <n v="3"/>
    <m/>
    <m/>
    <m/>
    <m/>
    <m/>
    <m/>
    <m/>
    <m/>
    <m/>
    <m/>
    <m/>
    <m/>
    <m/>
    <m/>
    <m/>
    <m/>
    <m/>
    <s v="no test"/>
    <s v="no test"/>
    <s v="No Test"/>
    <n v="1"/>
    <n v="3"/>
    <n v="0"/>
    <n v="0"/>
    <n v="0"/>
    <n v="0"/>
    <n v="0"/>
    <m/>
    <n v="1"/>
    <n v="1"/>
    <n v="1"/>
    <n v="742"/>
    <n v="0"/>
    <n v="0"/>
    <n v="1"/>
    <n v="742"/>
    <n v="1.484"/>
    <n v="0"/>
    <n v="0"/>
    <n v="0"/>
    <n v="1"/>
    <n v="46"/>
    <n v="1"/>
    <n v="742"/>
    <n v="0"/>
    <n v="0"/>
    <n v="0"/>
    <n v="37"/>
    <n v="0"/>
    <n v="0"/>
    <n v="0"/>
    <n v="742"/>
    <n v="0"/>
    <n v="0"/>
    <n v="0"/>
    <n v="742"/>
    <n v="1"/>
    <n v="0"/>
    <n v="1"/>
    <n v="0"/>
    <n v="0"/>
    <n v="7"/>
    <n v="136"/>
    <n v="0"/>
    <n v="700"/>
    <s v="No"/>
    <s v=""/>
    <n v="0"/>
    <n v="0"/>
    <n v="0"/>
    <n v="0"/>
    <n v="0"/>
    <n v="0"/>
    <s v="Yes"/>
    <s v="KBC-MYT"/>
    <x v="0"/>
    <x v="2"/>
    <x v="0"/>
    <n v="25.397850999999999"/>
    <n v="97.370900000000006"/>
    <s v="MMR001CMP018"/>
    <x v="0"/>
    <x v="0"/>
    <s v="Yes. KBC is focal"/>
    <n v="134"/>
    <n v="732"/>
  </r>
  <r>
    <x v="1"/>
    <x v="8"/>
    <x v="6"/>
    <s v="UNICEF"/>
    <x v="1"/>
    <x v="10"/>
    <x v="0"/>
    <x v="59"/>
    <n v="53"/>
    <n v="278"/>
    <d v="2023-02-16T00:00:00"/>
    <d v="2024-02-15T00:00:00"/>
    <m/>
    <n v="3"/>
    <m/>
    <m/>
    <s v="Yes"/>
    <n v="2"/>
    <n v="8"/>
    <n v="1"/>
    <m/>
    <m/>
    <m/>
    <m/>
    <m/>
    <m/>
    <m/>
    <m/>
    <m/>
    <m/>
    <m/>
    <m/>
    <m/>
    <m/>
    <n v="2"/>
    <n v="1"/>
    <n v="2"/>
    <n v="1"/>
    <n v="5"/>
    <m/>
    <m/>
    <m/>
    <n v="22"/>
    <m/>
    <m/>
    <m/>
    <m/>
    <m/>
    <m/>
    <m/>
    <x v="1"/>
    <x v="1"/>
    <m/>
    <m/>
    <m/>
    <m/>
    <m/>
    <m/>
    <n v="7"/>
    <m/>
    <m/>
    <n v="3"/>
    <m/>
    <m/>
    <n v="2"/>
    <m/>
    <m/>
    <s v="Yes"/>
    <m/>
    <m/>
    <m/>
    <m/>
    <m/>
    <m/>
    <m/>
    <m/>
    <m/>
    <m/>
    <m/>
    <m/>
    <m/>
    <m/>
    <n v="0.5"/>
    <n v="0.5"/>
    <s v="Tested"/>
    <n v="1"/>
    <n v="0"/>
    <n v="0"/>
    <n v="0"/>
    <n v="0"/>
    <n v="0"/>
    <n v="0"/>
    <m/>
    <n v="1"/>
    <n v="0.89928057553956831"/>
    <n v="1"/>
    <n v="278"/>
    <n v="0"/>
    <n v="0"/>
    <n v="1"/>
    <n v="278"/>
    <n v="0.55600000000000005"/>
    <n v="0"/>
    <n v="0"/>
    <n v="0.44399999999999995"/>
    <n v="1"/>
    <n v="22"/>
    <n v="1"/>
    <n v="278"/>
    <n v="0"/>
    <n v="0"/>
    <n v="0"/>
    <n v="14"/>
    <n v="0"/>
    <n v="0"/>
    <n v="0"/>
    <n v="278"/>
    <n v="0"/>
    <n v="0"/>
    <n v="0"/>
    <n v="278"/>
    <n v="1"/>
    <n v="0"/>
    <n v="1"/>
    <n v="0"/>
    <n v="0"/>
    <n v="7"/>
    <n v="53"/>
    <n v="5"/>
    <n v="278"/>
    <s v="No"/>
    <s v=""/>
    <n v="0"/>
    <n v="0"/>
    <n v="0"/>
    <n v="0"/>
    <n v="0"/>
    <n v="0"/>
    <s v="Yes"/>
    <s v="KMSS-MYT"/>
    <x v="0"/>
    <x v="2"/>
    <x v="0"/>
    <n v="25.403476999999999"/>
    <n v="97.373361000000003"/>
    <s v="MMR001CMP019"/>
    <x v="0"/>
    <x v="0"/>
    <s v="Yes. KMSS focal"/>
    <n v="53"/>
    <n v="279"/>
  </r>
  <r>
    <x v="1"/>
    <x v="18"/>
    <x v="26"/>
    <s v="UNICEF, SIDA"/>
    <x v="1"/>
    <x v="10"/>
    <x v="0"/>
    <x v="37"/>
    <n v="132"/>
    <n v="686"/>
    <d v="2022-09-07T00:00:00"/>
    <d v="2023-09-06T00:00:00"/>
    <m/>
    <n v="2"/>
    <m/>
    <m/>
    <s v="Yes"/>
    <n v="2"/>
    <n v="4"/>
    <n v="4"/>
    <n v="1"/>
    <m/>
    <n v="1"/>
    <m/>
    <m/>
    <m/>
    <m/>
    <m/>
    <m/>
    <m/>
    <m/>
    <m/>
    <m/>
    <n v="5"/>
    <m/>
    <m/>
    <m/>
    <m/>
    <m/>
    <m/>
    <m/>
    <m/>
    <n v="28"/>
    <m/>
    <m/>
    <m/>
    <m/>
    <m/>
    <m/>
    <n v="28"/>
    <x v="1"/>
    <x v="1"/>
    <m/>
    <m/>
    <m/>
    <m/>
    <m/>
    <m/>
    <n v="5"/>
    <m/>
    <m/>
    <n v="9"/>
    <m/>
    <n v="1"/>
    <n v="1"/>
    <m/>
    <m/>
    <m/>
    <m/>
    <m/>
    <m/>
    <m/>
    <m/>
    <m/>
    <m/>
    <m/>
    <m/>
    <m/>
    <m/>
    <m/>
    <m/>
    <m/>
    <s v="no test"/>
    <s v="no test"/>
    <s v="No Test"/>
    <n v="3"/>
    <n v="1"/>
    <n v="0"/>
    <n v="0"/>
    <n v="0"/>
    <n v="0"/>
    <n v="0"/>
    <m/>
    <n v="1"/>
    <n v="1"/>
    <n v="1"/>
    <n v="686"/>
    <n v="0"/>
    <n v="0"/>
    <n v="1"/>
    <n v="686"/>
    <n v="1.3720000000000001"/>
    <n v="0"/>
    <n v="0"/>
    <n v="0"/>
    <n v="1"/>
    <n v="28"/>
    <n v="0.81632653061224492"/>
    <n v="560"/>
    <n v="0"/>
    <n v="0"/>
    <n v="0"/>
    <n v="34"/>
    <n v="6"/>
    <n v="0.18367346938775508"/>
    <n v="0"/>
    <n v="686"/>
    <n v="0"/>
    <n v="0"/>
    <n v="0"/>
    <n v="686"/>
    <n v="1"/>
    <n v="0"/>
    <n v="1"/>
    <n v="0"/>
    <n v="0"/>
    <n v="5"/>
    <n v="100"/>
    <n v="0"/>
    <n v="500"/>
    <s v="No"/>
    <s v=""/>
    <n v="0"/>
    <n v="0"/>
    <n v="0"/>
    <n v="0"/>
    <n v="0"/>
    <n v="0"/>
    <n v="0"/>
    <s v="KBC-MYT"/>
    <x v="0"/>
    <x v="2"/>
    <x v="0"/>
    <n v="25.489669799804702"/>
    <n v="97.458778381347699"/>
    <s v="MMR001CMP265"/>
    <x v="0"/>
    <x v="0"/>
    <s v="Yes. KBC is focal"/>
    <n v="138"/>
    <n v="667"/>
  </r>
  <r>
    <x v="1"/>
    <x v="8"/>
    <x v="6"/>
    <s v="UNICEF"/>
    <x v="1"/>
    <x v="10"/>
    <x v="0"/>
    <x v="60"/>
    <n v="18"/>
    <n v="64"/>
    <d v="2023-02-16T00:00:00"/>
    <d v="2024-02-15T00:00:00"/>
    <m/>
    <n v="2"/>
    <m/>
    <m/>
    <s v="Yes"/>
    <n v="1"/>
    <n v="2"/>
    <n v="1"/>
    <m/>
    <m/>
    <n v="1"/>
    <m/>
    <m/>
    <m/>
    <m/>
    <m/>
    <m/>
    <m/>
    <m/>
    <m/>
    <m/>
    <m/>
    <n v="1"/>
    <m/>
    <n v="1"/>
    <m/>
    <n v="4"/>
    <m/>
    <m/>
    <m/>
    <n v="4"/>
    <m/>
    <m/>
    <m/>
    <m/>
    <m/>
    <m/>
    <m/>
    <x v="1"/>
    <x v="1"/>
    <m/>
    <m/>
    <m/>
    <m/>
    <m/>
    <m/>
    <n v="2"/>
    <m/>
    <m/>
    <n v="1"/>
    <m/>
    <m/>
    <n v="1"/>
    <m/>
    <m/>
    <s v="Yes"/>
    <m/>
    <m/>
    <m/>
    <m/>
    <m/>
    <m/>
    <m/>
    <m/>
    <m/>
    <m/>
    <m/>
    <m/>
    <m/>
    <m/>
    <n v="0"/>
    <n v="0"/>
    <s v="Tested"/>
    <n v="1"/>
    <n v="1"/>
    <n v="0"/>
    <n v="0"/>
    <n v="0"/>
    <n v="0"/>
    <n v="0"/>
    <m/>
    <n v="1"/>
    <n v="1"/>
    <n v="1"/>
    <n v="64"/>
    <n v="0"/>
    <n v="0"/>
    <n v="1"/>
    <n v="64"/>
    <n v="0.128"/>
    <n v="0"/>
    <n v="0"/>
    <n v="0.872"/>
    <n v="1"/>
    <n v="4"/>
    <n v="1"/>
    <n v="64"/>
    <n v="0"/>
    <n v="0"/>
    <n v="0"/>
    <n v="3"/>
    <n v="0"/>
    <n v="0"/>
    <n v="0"/>
    <n v="64"/>
    <n v="0"/>
    <n v="0"/>
    <n v="0"/>
    <n v="64"/>
    <n v="1"/>
    <n v="0"/>
    <n v="1"/>
    <n v="0"/>
    <n v="0"/>
    <n v="2"/>
    <n v="18"/>
    <n v="4"/>
    <n v="64"/>
    <s v="No"/>
    <s v=""/>
    <n v="0"/>
    <n v="0"/>
    <n v="0"/>
    <n v="0"/>
    <n v="0"/>
    <n v="0"/>
    <n v="0"/>
    <s v="KMSS-MYT"/>
    <x v="0"/>
    <x v="2"/>
    <x v="0"/>
    <n v="25.244700000000002"/>
    <n v="97.2209"/>
    <s v="MMR001CMP256"/>
    <x v="0"/>
    <x v="0"/>
    <s v="Yes. KMSS focal"/>
    <n v="18"/>
    <n v="64"/>
  </r>
  <r>
    <x v="1"/>
    <x v="18"/>
    <x v="20"/>
    <s v="UNICEF"/>
    <x v="1"/>
    <x v="10"/>
    <x v="0"/>
    <x v="21"/>
    <n v="110"/>
    <n v="564"/>
    <d v="2022-09-07T00:00:00"/>
    <d v="2023-09-06T00:00:00"/>
    <m/>
    <n v="2"/>
    <m/>
    <m/>
    <s v="Yes"/>
    <n v="2"/>
    <n v="3"/>
    <n v="1"/>
    <m/>
    <m/>
    <n v="2"/>
    <m/>
    <m/>
    <m/>
    <m/>
    <m/>
    <m/>
    <m/>
    <m/>
    <m/>
    <m/>
    <n v="3"/>
    <m/>
    <m/>
    <m/>
    <m/>
    <m/>
    <m/>
    <m/>
    <m/>
    <n v="14"/>
    <m/>
    <m/>
    <m/>
    <m/>
    <m/>
    <m/>
    <n v="14"/>
    <x v="1"/>
    <x v="1"/>
    <m/>
    <m/>
    <m/>
    <m/>
    <m/>
    <m/>
    <n v="3"/>
    <m/>
    <m/>
    <n v="4"/>
    <m/>
    <m/>
    <n v="2"/>
    <m/>
    <m/>
    <m/>
    <m/>
    <m/>
    <m/>
    <m/>
    <m/>
    <m/>
    <m/>
    <m/>
    <m/>
    <m/>
    <m/>
    <m/>
    <m/>
    <m/>
    <s v="no test"/>
    <s v="no test"/>
    <s v="No Test"/>
    <n v="1"/>
    <n v="2"/>
    <n v="0"/>
    <n v="0"/>
    <n v="0"/>
    <n v="0"/>
    <n v="0"/>
    <m/>
    <n v="1"/>
    <n v="1"/>
    <n v="1"/>
    <n v="564"/>
    <n v="0"/>
    <n v="0"/>
    <n v="1"/>
    <n v="564"/>
    <n v="1.1279999999999999"/>
    <n v="0"/>
    <n v="0"/>
    <n v="0"/>
    <n v="1"/>
    <n v="14"/>
    <n v="0.49645390070921985"/>
    <n v="280"/>
    <n v="0"/>
    <n v="0"/>
    <n v="0"/>
    <n v="28"/>
    <n v="14"/>
    <n v="0.50354609929078009"/>
    <n v="0"/>
    <n v="564"/>
    <n v="0"/>
    <n v="0"/>
    <n v="0"/>
    <n v="564"/>
    <n v="1"/>
    <n v="0"/>
    <n v="1"/>
    <n v="0"/>
    <n v="0"/>
    <n v="3"/>
    <n v="60"/>
    <n v="0"/>
    <n v="300"/>
    <s v="No"/>
    <s v=""/>
    <n v="0"/>
    <n v="0"/>
    <n v="0"/>
    <n v="0"/>
    <n v="0"/>
    <n v="0"/>
    <s v="Yes"/>
    <s v="KBC-MYT"/>
    <x v="0"/>
    <x v="2"/>
    <x v="0"/>
    <n v="25.362420757575801"/>
    <n v="97.409035000000003"/>
    <s v="MMR001CMP015"/>
    <x v="0"/>
    <x v="0"/>
    <s v="Yes. KBC is focal"/>
    <n v="122"/>
    <n v="625"/>
  </r>
  <r>
    <x v="1"/>
    <x v="18"/>
    <x v="26"/>
    <s v="UNICEF,SIDA"/>
    <x v="1"/>
    <x v="10"/>
    <x v="0"/>
    <x v="38"/>
    <n v="115"/>
    <n v="572"/>
    <d v="2022-09-07T00:00:00"/>
    <d v="2023-09-06T00:00:00"/>
    <m/>
    <n v="3"/>
    <m/>
    <m/>
    <s v="Yes"/>
    <n v="2"/>
    <n v="3"/>
    <n v="1"/>
    <m/>
    <m/>
    <n v="2"/>
    <m/>
    <m/>
    <m/>
    <m/>
    <m/>
    <m/>
    <m/>
    <m/>
    <m/>
    <m/>
    <n v="2"/>
    <m/>
    <m/>
    <m/>
    <m/>
    <m/>
    <m/>
    <m/>
    <m/>
    <n v="29"/>
    <m/>
    <m/>
    <n v="1"/>
    <n v="8"/>
    <m/>
    <m/>
    <n v="32"/>
    <x v="1"/>
    <x v="1"/>
    <m/>
    <m/>
    <m/>
    <m/>
    <m/>
    <m/>
    <n v="3"/>
    <m/>
    <m/>
    <n v="3"/>
    <m/>
    <n v="1"/>
    <n v="2"/>
    <m/>
    <m/>
    <m/>
    <m/>
    <m/>
    <m/>
    <m/>
    <m/>
    <m/>
    <m/>
    <m/>
    <m/>
    <m/>
    <m/>
    <m/>
    <m/>
    <m/>
    <s v="no test"/>
    <s v="no test"/>
    <s v="No Test"/>
    <n v="1"/>
    <n v="2"/>
    <n v="0"/>
    <n v="0"/>
    <n v="0"/>
    <n v="0"/>
    <n v="0"/>
    <m/>
    <n v="1"/>
    <n v="1"/>
    <n v="1"/>
    <n v="572"/>
    <n v="0"/>
    <n v="0"/>
    <n v="1"/>
    <n v="572"/>
    <n v="1.1439999999999999"/>
    <n v="0"/>
    <n v="0"/>
    <n v="0"/>
    <n v="1"/>
    <n v="28"/>
    <n v="0.97902097902097907"/>
    <n v="560"/>
    <n v="0"/>
    <n v="0"/>
    <n v="0"/>
    <n v="29"/>
    <n v="0"/>
    <n v="2.0979020979020935E-2"/>
    <n v="3.4482758620689655E-2"/>
    <n v="572"/>
    <n v="0"/>
    <n v="0"/>
    <n v="0"/>
    <n v="572"/>
    <n v="1"/>
    <n v="0"/>
    <n v="1"/>
    <n v="0"/>
    <n v="0"/>
    <n v="3"/>
    <n v="60"/>
    <n v="0"/>
    <n v="300"/>
    <s v="No"/>
    <s v=""/>
    <n v="0"/>
    <n v="0"/>
    <n v="0"/>
    <n v="0"/>
    <n v="0"/>
    <n v="0"/>
    <s v="Yes"/>
    <s v="KBC-MYT"/>
    <x v="0"/>
    <x v="2"/>
    <x v="0"/>
    <n v="25.3510167948718"/>
    <n v="97.403402307692303"/>
    <s v="MMR001CMP014"/>
    <x v="0"/>
    <x v="0"/>
    <s v="Yes. KBC is focal"/>
    <n v="126"/>
    <n v="623"/>
  </r>
  <r>
    <x v="1"/>
    <x v="18"/>
    <x v="20"/>
    <s v="UNICEF"/>
    <x v="1"/>
    <x v="10"/>
    <x v="0"/>
    <x v="22"/>
    <n v="29"/>
    <n v="166"/>
    <d v="2022-09-07T00:00:00"/>
    <d v="2023-09-06T00:00:00"/>
    <m/>
    <n v="1"/>
    <m/>
    <m/>
    <s v="Yes"/>
    <n v="1"/>
    <n v="2"/>
    <n v="3"/>
    <m/>
    <m/>
    <n v="3"/>
    <m/>
    <m/>
    <m/>
    <m/>
    <m/>
    <m/>
    <m/>
    <m/>
    <m/>
    <m/>
    <n v="6"/>
    <m/>
    <m/>
    <m/>
    <m/>
    <m/>
    <m/>
    <m/>
    <m/>
    <n v="7"/>
    <m/>
    <m/>
    <n v="3"/>
    <m/>
    <m/>
    <m/>
    <n v="4"/>
    <x v="1"/>
    <x v="1"/>
    <m/>
    <m/>
    <m/>
    <m/>
    <m/>
    <m/>
    <n v="3"/>
    <m/>
    <m/>
    <n v="3"/>
    <m/>
    <m/>
    <n v="1"/>
    <m/>
    <m/>
    <m/>
    <m/>
    <m/>
    <m/>
    <m/>
    <m/>
    <m/>
    <m/>
    <m/>
    <m/>
    <m/>
    <m/>
    <m/>
    <m/>
    <m/>
    <s v="no test"/>
    <s v="no test"/>
    <s v="No Test"/>
    <n v="3"/>
    <n v="3"/>
    <n v="0"/>
    <n v="0"/>
    <n v="0"/>
    <n v="0"/>
    <n v="0"/>
    <m/>
    <n v="1"/>
    <n v="1"/>
    <n v="1"/>
    <n v="166"/>
    <n v="0"/>
    <n v="0"/>
    <n v="1"/>
    <n v="166"/>
    <n v="0.33200000000000002"/>
    <n v="0"/>
    <n v="0"/>
    <n v="0.66799999999999993"/>
    <n v="1"/>
    <n v="4"/>
    <n v="0.48192771084337349"/>
    <n v="80"/>
    <n v="0"/>
    <n v="0"/>
    <n v="0"/>
    <n v="8"/>
    <n v="1"/>
    <n v="0.51807228915662651"/>
    <n v="0.42857142857142855"/>
    <n v="166"/>
    <n v="0"/>
    <n v="0"/>
    <n v="0"/>
    <n v="166"/>
    <n v="1"/>
    <n v="0"/>
    <n v="1"/>
    <n v="0"/>
    <n v="0"/>
    <n v="3"/>
    <n v="29"/>
    <n v="0"/>
    <n v="166"/>
    <s v="No"/>
    <s v=""/>
    <n v="0"/>
    <n v="0"/>
    <n v="0"/>
    <n v="0"/>
    <n v="0"/>
    <n v="0"/>
    <s v="Yes"/>
    <s v="KBC-MYT"/>
    <x v="0"/>
    <x v="2"/>
    <x v="0"/>
    <n v="25.360463124999999"/>
    <n v="97.4113064583333"/>
    <s v="MMR001CMP016"/>
    <x v="0"/>
    <x v="0"/>
    <s v="Yes. KBC is focal"/>
    <n v="49"/>
    <n v="277"/>
  </r>
  <r>
    <x v="1"/>
    <x v="18"/>
    <x v="20"/>
    <s v="UNICEF, SIDA"/>
    <x v="1"/>
    <x v="10"/>
    <x v="0"/>
    <x v="39"/>
    <n v="63"/>
    <n v="328"/>
    <d v="2022-09-07T00:00:00"/>
    <d v="2023-09-06T00:00:00"/>
    <m/>
    <n v="2"/>
    <m/>
    <m/>
    <s v="Yes"/>
    <n v="2"/>
    <n v="3"/>
    <n v="3"/>
    <m/>
    <m/>
    <n v="1"/>
    <m/>
    <m/>
    <m/>
    <m/>
    <m/>
    <m/>
    <m/>
    <m/>
    <m/>
    <m/>
    <n v="4"/>
    <m/>
    <m/>
    <m/>
    <m/>
    <m/>
    <m/>
    <m/>
    <m/>
    <n v="30"/>
    <m/>
    <m/>
    <n v="10"/>
    <n v="4"/>
    <m/>
    <m/>
    <n v="16"/>
    <x v="1"/>
    <x v="3"/>
    <m/>
    <m/>
    <m/>
    <m/>
    <m/>
    <m/>
    <n v="4"/>
    <m/>
    <m/>
    <n v="3"/>
    <n v="1"/>
    <m/>
    <n v="2"/>
    <m/>
    <m/>
    <m/>
    <m/>
    <m/>
    <m/>
    <m/>
    <m/>
    <m/>
    <m/>
    <m/>
    <m/>
    <m/>
    <m/>
    <m/>
    <m/>
    <m/>
    <s v="no test"/>
    <s v="no test"/>
    <s v="No Test"/>
    <n v="3"/>
    <n v="1"/>
    <n v="0"/>
    <n v="0"/>
    <n v="0"/>
    <n v="0"/>
    <n v="0"/>
    <m/>
    <n v="1"/>
    <n v="1"/>
    <n v="1"/>
    <n v="328"/>
    <n v="0"/>
    <n v="0"/>
    <n v="1"/>
    <n v="328"/>
    <n v="0.65600000000000003"/>
    <n v="0"/>
    <n v="0"/>
    <n v="0.34399999999999997"/>
    <n v="1"/>
    <n v="20"/>
    <n v="1"/>
    <n v="328"/>
    <n v="0"/>
    <n v="0"/>
    <n v="0"/>
    <n v="16"/>
    <n v="0"/>
    <n v="0"/>
    <n v="0.33333333333333331"/>
    <n v="328"/>
    <n v="0"/>
    <n v="0"/>
    <n v="0"/>
    <n v="328"/>
    <n v="1"/>
    <n v="0"/>
    <n v="1"/>
    <n v="0"/>
    <n v="0"/>
    <n v="4"/>
    <n v="63"/>
    <n v="0"/>
    <n v="328"/>
    <s v="No"/>
    <s v=""/>
    <n v="0"/>
    <n v="0"/>
    <n v="0"/>
    <n v="0"/>
    <n v="0"/>
    <n v="0"/>
    <s v="Yes"/>
    <s v="KBC-MYT"/>
    <x v="0"/>
    <x v="2"/>
    <x v="0"/>
    <n v="25.428910999999999"/>
    <n v="97.418694000000002"/>
    <s v="MMR001CMP008"/>
    <x v="0"/>
    <x v="0"/>
    <s v="Yes. KBC is focal"/>
    <n v="86"/>
    <n v="502"/>
  </r>
  <r>
    <x v="1"/>
    <x v="14"/>
    <x v="12"/>
    <s v="ANCHOR"/>
    <x v="1"/>
    <x v="10"/>
    <x v="0"/>
    <x v="187"/>
    <n v="22"/>
    <n v="82"/>
    <d v="2023-01-01T00:00:00"/>
    <d v="2024-03-31T00:00:00"/>
    <m/>
    <m/>
    <n v="1"/>
    <m/>
    <s v="Yes"/>
    <n v="3"/>
    <n v="2"/>
    <n v="1"/>
    <n v="1"/>
    <n v="1"/>
    <n v="2"/>
    <n v="2"/>
    <n v="1"/>
    <m/>
    <n v="2"/>
    <m/>
    <n v="2"/>
    <m/>
    <m/>
    <m/>
    <m/>
    <n v="1"/>
    <m/>
    <m/>
    <m/>
    <m/>
    <m/>
    <m/>
    <m/>
    <m/>
    <n v="5"/>
    <m/>
    <m/>
    <m/>
    <m/>
    <m/>
    <m/>
    <n v="5"/>
    <x v="1"/>
    <x v="1"/>
    <m/>
    <m/>
    <m/>
    <m/>
    <m/>
    <m/>
    <n v="5"/>
    <m/>
    <n v="2"/>
    <n v="2"/>
    <m/>
    <m/>
    <n v="1"/>
    <m/>
    <m/>
    <s v="Yes"/>
    <n v="1"/>
    <n v="0.5"/>
    <m/>
    <n v="0.75"/>
    <m/>
    <m/>
    <m/>
    <m/>
    <m/>
    <m/>
    <m/>
    <m/>
    <m/>
    <m/>
    <s v="no test"/>
    <s v="no test"/>
    <s v="No Test"/>
    <n v="0"/>
    <n v="3"/>
    <n v="2"/>
    <n v="0"/>
    <n v="0"/>
    <n v="0"/>
    <n v="0"/>
    <m/>
    <n v="1"/>
    <n v="1"/>
    <n v="1"/>
    <n v="82"/>
    <n v="0"/>
    <n v="0"/>
    <n v="1"/>
    <n v="82"/>
    <n v="0.16400000000000001"/>
    <n v="0"/>
    <n v="0"/>
    <n v="0.83599999999999997"/>
    <n v="1"/>
    <n v="5"/>
    <n v="1"/>
    <n v="82"/>
    <n v="0"/>
    <n v="0"/>
    <n v="0"/>
    <n v="4"/>
    <n v="0"/>
    <n v="0"/>
    <n v="0"/>
    <n v="82"/>
    <n v="0"/>
    <n v="0"/>
    <n v="0"/>
    <n v="82"/>
    <n v="1"/>
    <n v="0"/>
    <n v="1"/>
    <n v="0"/>
    <n v="0"/>
    <n v="5"/>
    <n v="22"/>
    <n v="0"/>
    <n v="82"/>
    <s v="No"/>
    <s v=""/>
    <n v="61.5"/>
    <n v="0"/>
    <n v="0"/>
    <n v="61.5"/>
    <n v="0"/>
    <n v="0"/>
    <s v="Yes"/>
    <s v="Shalom"/>
    <x v="0"/>
    <x v="2"/>
    <x v="0"/>
    <n v="25.374343974359"/>
    <n v="97.2843958974359"/>
    <s v="MMR001CMP020"/>
    <x v="0"/>
    <x v="2"/>
    <s v="Yes. Focal is Shalom"/>
    <n v="18"/>
    <n v="74"/>
  </r>
  <r>
    <x v="1"/>
    <x v="14"/>
    <x v="12"/>
    <s v="ANCHOR"/>
    <x v="1"/>
    <x v="10"/>
    <x v="0"/>
    <x v="188"/>
    <n v="18"/>
    <n v="78"/>
    <d v="2023-01-01T00:00:00"/>
    <d v="2024-03-31T00:00:00"/>
    <m/>
    <m/>
    <n v="1"/>
    <m/>
    <s v="Yes"/>
    <n v="2"/>
    <n v="4"/>
    <n v="3"/>
    <n v="1"/>
    <m/>
    <n v="2"/>
    <n v="2"/>
    <n v="1"/>
    <m/>
    <m/>
    <m/>
    <m/>
    <m/>
    <n v="2"/>
    <m/>
    <m/>
    <n v="3"/>
    <m/>
    <m/>
    <m/>
    <m/>
    <n v="4"/>
    <n v="1"/>
    <m/>
    <m/>
    <n v="6"/>
    <m/>
    <s v="Shalom"/>
    <n v="1"/>
    <n v="1"/>
    <m/>
    <m/>
    <m/>
    <x v="1"/>
    <x v="1"/>
    <m/>
    <m/>
    <m/>
    <m/>
    <n v="78"/>
    <m/>
    <n v="4"/>
    <n v="2"/>
    <m/>
    <n v="2"/>
    <m/>
    <m/>
    <n v="1"/>
    <n v="18"/>
    <n v="24"/>
    <s v="Yes"/>
    <n v="1"/>
    <n v="0.8"/>
    <m/>
    <n v="0.8"/>
    <n v="0.8"/>
    <m/>
    <n v="0.8"/>
    <m/>
    <m/>
    <m/>
    <m/>
    <m/>
    <m/>
    <m/>
    <s v="no test"/>
    <s v="no test"/>
    <s v="No Test"/>
    <n v="2"/>
    <n v="3"/>
    <n v="0"/>
    <n v="0"/>
    <n v="0"/>
    <n v="78"/>
    <n v="0"/>
    <m/>
    <n v="1"/>
    <n v="1"/>
    <n v="1"/>
    <n v="78"/>
    <n v="1"/>
    <n v="78"/>
    <n v="1"/>
    <n v="78"/>
    <n v="0.156"/>
    <n v="0"/>
    <n v="0"/>
    <n v="0.84399999999999997"/>
    <n v="1"/>
    <n v="5"/>
    <n v="1"/>
    <n v="78"/>
    <n v="0"/>
    <n v="0"/>
    <n v="0"/>
    <n v="4"/>
    <n v="0"/>
    <n v="0"/>
    <n v="0.16666666666666666"/>
    <n v="78"/>
    <n v="78"/>
    <n v="24"/>
    <n v="78"/>
    <n v="78"/>
    <n v="1"/>
    <n v="0"/>
    <n v="1"/>
    <n v="1"/>
    <n v="1"/>
    <n v="2"/>
    <n v="18"/>
    <n v="4"/>
    <n v="78"/>
    <s v="No"/>
    <s v=""/>
    <n v="62.400000000000006"/>
    <n v="62.400000000000006"/>
    <n v="62.400000000000006"/>
    <n v="62.400000000000006"/>
    <n v="78"/>
    <n v="0"/>
    <s v="Yes"/>
    <s v="Shalom"/>
    <x v="0"/>
    <x v="2"/>
    <x v="0"/>
    <n v="25.371049444444399"/>
    <n v="97.290952037037002"/>
    <s v="MMR001CMP021"/>
    <x v="0"/>
    <x v="2"/>
    <s v="Yes. Focal is Shalom"/>
    <n v="29"/>
    <n v="174"/>
  </r>
  <r>
    <x v="1"/>
    <x v="8"/>
    <x v="6"/>
    <s v="UNICEF"/>
    <x v="1"/>
    <x v="10"/>
    <x v="0"/>
    <x v="61"/>
    <n v="29"/>
    <n v="274"/>
    <d v="2023-02-16T00:00:00"/>
    <d v="2024-02-15T00:00:00"/>
    <m/>
    <n v="2"/>
    <m/>
    <m/>
    <s v="Yes"/>
    <n v="2"/>
    <n v="9"/>
    <m/>
    <m/>
    <m/>
    <n v="4"/>
    <m/>
    <m/>
    <m/>
    <m/>
    <m/>
    <m/>
    <m/>
    <m/>
    <m/>
    <m/>
    <m/>
    <n v="1"/>
    <m/>
    <n v="1"/>
    <n v="1"/>
    <n v="4"/>
    <m/>
    <m/>
    <m/>
    <n v="20"/>
    <m/>
    <m/>
    <m/>
    <m/>
    <n v="2"/>
    <m/>
    <m/>
    <x v="1"/>
    <x v="1"/>
    <m/>
    <m/>
    <m/>
    <m/>
    <m/>
    <m/>
    <n v="7"/>
    <m/>
    <m/>
    <n v="2"/>
    <m/>
    <m/>
    <n v="1"/>
    <m/>
    <m/>
    <s v="Yes"/>
    <m/>
    <m/>
    <m/>
    <m/>
    <m/>
    <m/>
    <m/>
    <m/>
    <m/>
    <m/>
    <m/>
    <m/>
    <m/>
    <m/>
    <n v="0"/>
    <n v="1"/>
    <s v="Tested"/>
    <n v="0"/>
    <n v="4"/>
    <n v="0"/>
    <n v="0"/>
    <n v="0"/>
    <n v="0"/>
    <n v="0"/>
    <m/>
    <n v="1"/>
    <n v="1"/>
    <n v="1"/>
    <n v="274"/>
    <n v="0"/>
    <n v="0"/>
    <n v="1"/>
    <n v="274"/>
    <n v="0.54800000000000004"/>
    <n v="0"/>
    <n v="0"/>
    <n v="0.45199999999999996"/>
    <n v="1"/>
    <n v="20"/>
    <n v="1"/>
    <n v="274"/>
    <n v="40"/>
    <n v="0"/>
    <n v="0"/>
    <n v="14"/>
    <n v="0"/>
    <n v="0"/>
    <n v="0"/>
    <n v="274"/>
    <n v="0"/>
    <n v="0"/>
    <n v="0"/>
    <n v="274"/>
    <n v="1"/>
    <n v="0"/>
    <n v="1"/>
    <n v="0"/>
    <n v="0"/>
    <n v="7"/>
    <n v="29"/>
    <n v="4"/>
    <n v="274"/>
    <s v="No"/>
    <s v=""/>
    <n v="0"/>
    <n v="0"/>
    <n v="0"/>
    <n v="0"/>
    <n v="0"/>
    <n v="0"/>
    <s v="Yes"/>
    <s v="KMSS-MYT"/>
    <x v="0"/>
    <x v="2"/>
    <x v="0"/>
    <n v="25.410569299999999"/>
    <n v="97.359320179999997"/>
    <s v="MMR001CMP024"/>
    <x v="0"/>
    <x v="0"/>
    <s v="Yes. KMSS focal"/>
    <n v="59"/>
    <n v="275"/>
  </r>
  <r>
    <x v="1"/>
    <x v="18"/>
    <x v="20"/>
    <s v="UNICEF"/>
    <x v="1"/>
    <x v="10"/>
    <x v="0"/>
    <x v="23"/>
    <n v="72"/>
    <n v="320"/>
    <d v="2022-09-07T00:00:00"/>
    <d v="2023-09-06T00:00:00"/>
    <m/>
    <n v="1"/>
    <m/>
    <m/>
    <s v="Yes"/>
    <n v="2"/>
    <n v="2"/>
    <n v="2"/>
    <m/>
    <m/>
    <n v="2"/>
    <m/>
    <m/>
    <m/>
    <m/>
    <m/>
    <m/>
    <m/>
    <m/>
    <m/>
    <m/>
    <n v="4"/>
    <m/>
    <m/>
    <m/>
    <m/>
    <m/>
    <m/>
    <m/>
    <m/>
    <n v="15"/>
    <m/>
    <m/>
    <m/>
    <m/>
    <m/>
    <m/>
    <n v="15"/>
    <x v="1"/>
    <x v="1"/>
    <m/>
    <m/>
    <m/>
    <m/>
    <m/>
    <m/>
    <n v="1"/>
    <m/>
    <m/>
    <n v="1"/>
    <m/>
    <m/>
    <n v="1"/>
    <m/>
    <m/>
    <m/>
    <m/>
    <m/>
    <m/>
    <m/>
    <m/>
    <m/>
    <m/>
    <m/>
    <m/>
    <m/>
    <m/>
    <m/>
    <m/>
    <m/>
    <s v="no test"/>
    <s v="no test"/>
    <s v="No Test"/>
    <n v="2"/>
    <n v="2"/>
    <n v="0"/>
    <n v="0"/>
    <n v="0"/>
    <n v="0"/>
    <n v="0"/>
    <m/>
    <n v="1"/>
    <n v="1"/>
    <n v="1"/>
    <n v="320"/>
    <n v="0"/>
    <n v="0"/>
    <n v="1"/>
    <n v="320"/>
    <n v="0.64"/>
    <n v="0"/>
    <n v="0"/>
    <n v="0.36"/>
    <n v="1"/>
    <n v="15"/>
    <n v="0.9375"/>
    <n v="300"/>
    <n v="0"/>
    <n v="0"/>
    <n v="0"/>
    <n v="16"/>
    <n v="1"/>
    <n v="6.25E-2"/>
    <n v="0"/>
    <n v="320"/>
    <n v="0"/>
    <n v="0"/>
    <n v="0"/>
    <n v="320"/>
    <n v="1"/>
    <n v="0"/>
    <n v="1"/>
    <n v="0"/>
    <n v="0"/>
    <n v="1"/>
    <n v="20"/>
    <n v="0"/>
    <n v="100"/>
    <s v="No"/>
    <s v=""/>
    <n v="0"/>
    <n v="0"/>
    <n v="0"/>
    <n v="0"/>
    <n v="0"/>
    <n v="0"/>
    <s v="Yes"/>
    <s v="KBC-MYT"/>
    <x v="0"/>
    <x v="2"/>
    <x v="0"/>
    <n v="25.422194000000001"/>
    <n v="97.394547000000003"/>
    <s v="MMR001CMP002"/>
    <x v="0"/>
    <x v="0"/>
    <s v="Yes. KBC is focal"/>
    <n v="39"/>
    <n v="180"/>
  </r>
  <r>
    <x v="1"/>
    <x v="8"/>
    <x v="6"/>
    <s v="UNICEF"/>
    <x v="1"/>
    <x v="10"/>
    <x v="0"/>
    <x v="62"/>
    <n v="139"/>
    <n v="959"/>
    <d v="2023-02-16T00:00:00"/>
    <d v="2024-02-15T00:00:00"/>
    <m/>
    <n v="4"/>
    <m/>
    <m/>
    <s v="Yes"/>
    <n v="1"/>
    <n v="4"/>
    <n v="4"/>
    <m/>
    <m/>
    <n v="2"/>
    <m/>
    <m/>
    <m/>
    <n v="1"/>
    <m/>
    <m/>
    <m/>
    <m/>
    <m/>
    <m/>
    <m/>
    <n v="4"/>
    <m/>
    <m/>
    <m/>
    <n v="12"/>
    <m/>
    <m/>
    <m/>
    <n v="33"/>
    <m/>
    <m/>
    <m/>
    <m/>
    <n v="2"/>
    <m/>
    <m/>
    <x v="1"/>
    <x v="1"/>
    <m/>
    <m/>
    <m/>
    <m/>
    <m/>
    <m/>
    <n v="8"/>
    <m/>
    <m/>
    <n v="5"/>
    <m/>
    <m/>
    <n v="2"/>
    <m/>
    <m/>
    <s v="Yes"/>
    <m/>
    <m/>
    <m/>
    <m/>
    <m/>
    <m/>
    <m/>
    <m/>
    <m/>
    <m/>
    <m/>
    <m/>
    <m/>
    <m/>
    <n v="0"/>
    <s v="no test"/>
    <s v="Tested"/>
    <n v="4"/>
    <n v="2"/>
    <n v="1"/>
    <n v="0"/>
    <n v="0"/>
    <n v="0"/>
    <n v="0"/>
    <m/>
    <n v="1"/>
    <n v="1"/>
    <n v="1"/>
    <n v="959"/>
    <n v="0"/>
    <n v="0"/>
    <n v="1"/>
    <n v="959"/>
    <n v="1.9179999999999999"/>
    <n v="0"/>
    <n v="0"/>
    <n v="8.2000000000000073E-2"/>
    <n v="2"/>
    <n v="33"/>
    <n v="0.68821689259645469"/>
    <n v="660"/>
    <n v="40"/>
    <n v="0"/>
    <n v="0"/>
    <n v="48"/>
    <n v="15"/>
    <n v="0.31178310740354531"/>
    <n v="0"/>
    <n v="959"/>
    <n v="0"/>
    <n v="0"/>
    <n v="0"/>
    <n v="959"/>
    <n v="1"/>
    <n v="0"/>
    <n v="1"/>
    <n v="0"/>
    <n v="0"/>
    <n v="8"/>
    <n v="139"/>
    <n v="12"/>
    <n v="800"/>
    <s v="No"/>
    <s v=""/>
    <n v="0"/>
    <n v="0"/>
    <n v="0"/>
    <n v="0"/>
    <n v="0"/>
    <n v="0"/>
    <s v="Yes"/>
    <s v="KMSS-MYT"/>
    <x v="0"/>
    <x v="2"/>
    <x v="0"/>
    <n v="25.493819999999999"/>
    <n v="97.4345"/>
    <s v="MMR001CMP162"/>
    <x v="0"/>
    <x v="0"/>
    <s v="Yes. KMSS focal"/>
    <n v="141"/>
    <n v="972"/>
  </r>
  <r>
    <x v="1"/>
    <x v="8"/>
    <x v="6"/>
    <s v="UNICEF"/>
    <x v="1"/>
    <x v="10"/>
    <x v="0"/>
    <x v="63"/>
    <n v="216"/>
    <n v="1215"/>
    <d v="2023-02-16T00:00:00"/>
    <d v="2024-02-15T00:00:00"/>
    <m/>
    <n v="2"/>
    <m/>
    <m/>
    <s v="Yes"/>
    <n v="2"/>
    <n v="4"/>
    <n v="4"/>
    <m/>
    <m/>
    <m/>
    <m/>
    <m/>
    <m/>
    <m/>
    <m/>
    <m/>
    <m/>
    <m/>
    <m/>
    <m/>
    <m/>
    <n v="3"/>
    <n v="1"/>
    <n v="3"/>
    <n v="1"/>
    <m/>
    <m/>
    <m/>
    <m/>
    <n v="66"/>
    <m/>
    <m/>
    <m/>
    <m/>
    <n v="2"/>
    <m/>
    <m/>
    <x v="1"/>
    <x v="1"/>
    <m/>
    <m/>
    <m/>
    <m/>
    <m/>
    <m/>
    <n v="4"/>
    <m/>
    <n v="7"/>
    <n v="11"/>
    <m/>
    <m/>
    <n v="1"/>
    <m/>
    <m/>
    <s v="Yes"/>
    <m/>
    <m/>
    <m/>
    <m/>
    <m/>
    <m/>
    <m/>
    <m/>
    <m/>
    <m/>
    <m/>
    <m/>
    <m/>
    <m/>
    <n v="0.33333333333333331"/>
    <n v="0.33333333333333331"/>
    <s v="Tested"/>
    <n v="4"/>
    <n v="0"/>
    <n v="0"/>
    <n v="0"/>
    <n v="0"/>
    <n v="0"/>
    <n v="0"/>
    <m/>
    <n v="1"/>
    <n v="0.82304526748971196"/>
    <n v="1"/>
    <n v="1215"/>
    <n v="0"/>
    <n v="0"/>
    <n v="1"/>
    <n v="1215"/>
    <n v="2.4300000000000002"/>
    <n v="0"/>
    <n v="0"/>
    <n v="0"/>
    <n v="2"/>
    <n v="66"/>
    <n v="1"/>
    <n v="1215"/>
    <n v="40"/>
    <n v="0"/>
    <n v="0"/>
    <n v="61"/>
    <n v="0"/>
    <n v="0"/>
    <n v="0"/>
    <n v="500"/>
    <n v="0"/>
    <n v="0"/>
    <n v="0"/>
    <n v="500"/>
    <n v="0.41152263374485598"/>
    <n v="0.58847736625514402"/>
    <n v="0.41152263374485598"/>
    <n v="0"/>
    <n v="0"/>
    <n v="4"/>
    <n v="80"/>
    <n v="0"/>
    <n v="400"/>
    <s v="No"/>
    <s v=""/>
    <n v="0"/>
    <n v="0"/>
    <n v="0"/>
    <n v="0"/>
    <n v="0"/>
    <n v="0"/>
    <s v="Yes"/>
    <s v="KMSS-MYT"/>
    <x v="0"/>
    <x v="2"/>
    <x v="0"/>
    <n v="25.493819999999999"/>
    <n v="97.4345"/>
    <s v="MMR001CMP271"/>
    <x v="0"/>
    <x v="0"/>
    <s v="Yes. KMSS focal"/>
    <n v="216"/>
    <n v="1213"/>
  </r>
  <r>
    <x v="1"/>
    <x v="14"/>
    <x v="12"/>
    <s v="ANCHOR"/>
    <x v="1"/>
    <x v="10"/>
    <x v="0"/>
    <x v="189"/>
    <n v="16"/>
    <n v="94"/>
    <d v="2023-01-01T00:00:00"/>
    <d v="2024-03-31T00:00:00"/>
    <m/>
    <m/>
    <n v="1"/>
    <m/>
    <s v="Yes"/>
    <n v="2"/>
    <n v="2"/>
    <n v="1"/>
    <n v="1"/>
    <m/>
    <n v="2"/>
    <m/>
    <m/>
    <m/>
    <m/>
    <m/>
    <m/>
    <m/>
    <n v="2"/>
    <m/>
    <m/>
    <m/>
    <m/>
    <m/>
    <m/>
    <m/>
    <n v="3"/>
    <m/>
    <m/>
    <m/>
    <n v="7"/>
    <m/>
    <s v="chruch"/>
    <m/>
    <m/>
    <m/>
    <m/>
    <n v="7"/>
    <x v="1"/>
    <x v="1"/>
    <m/>
    <m/>
    <m/>
    <m/>
    <n v="3"/>
    <m/>
    <n v="3"/>
    <m/>
    <m/>
    <n v="2"/>
    <m/>
    <n v="1"/>
    <m/>
    <n v="16"/>
    <m/>
    <s v="Yes"/>
    <n v="1"/>
    <n v="1"/>
    <m/>
    <n v="0.9"/>
    <n v="0.9"/>
    <m/>
    <m/>
    <m/>
    <m/>
    <m/>
    <m/>
    <m/>
    <m/>
    <m/>
    <s v="no test"/>
    <s v="no test"/>
    <s v="No Test"/>
    <n v="0"/>
    <n v="2"/>
    <n v="0"/>
    <n v="0"/>
    <n v="0"/>
    <n v="0"/>
    <n v="0"/>
    <m/>
    <n v="1"/>
    <n v="1"/>
    <n v="1"/>
    <n v="94"/>
    <n v="1"/>
    <n v="94"/>
    <n v="1"/>
    <n v="94"/>
    <n v="0.188"/>
    <n v="0"/>
    <n v="0"/>
    <n v="0.81200000000000006"/>
    <n v="1"/>
    <n v="7"/>
    <n v="1"/>
    <n v="94"/>
    <n v="0"/>
    <n v="0"/>
    <n v="0"/>
    <n v="5"/>
    <n v="0"/>
    <n v="0"/>
    <n v="0"/>
    <n v="94"/>
    <n v="94"/>
    <n v="0"/>
    <n v="94"/>
    <n v="94"/>
    <n v="1"/>
    <n v="0"/>
    <n v="1"/>
    <n v="1"/>
    <n v="0"/>
    <n v="3"/>
    <n v="16"/>
    <n v="3"/>
    <n v="94"/>
    <s v="No"/>
    <s v=""/>
    <n v="84.600000000000009"/>
    <n v="84.600000000000009"/>
    <n v="0"/>
    <n v="84.600000000000009"/>
    <n v="0"/>
    <n v="0"/>
    <s v="Yes"/>
    <s v="Shalom"/>
    <x v="0"/>
    <x v="2"/>
    <x v="0"/>
    <n v="25.417733999999999"/>
    <n v="97.389778000000007"/>
    <s v="MMR001CMP004"/>
    <x v="0"/>
    <x v="2"/>
    <s v="Yes. Focal is Shalom"/>
    <n v="18"/>
    <n v="93"/>
  </r>
  <r>
    <x v="1"/>
    <x v="8"/>
    <x v="6"/>
    <s v="UNICEF"/>
    <x v="1"/>
    <x v="10"/>
    <x v="0"/>
    <x v="64"/>
    <n v="25"/>
    <n v="127"/>
    <d v="2023-02-16T00:00:00"/>
    <d v="2024-02-15T00:00:00"/>
    <m/>
    <n v="2"/>
    <m/>
    <m/>
    <s v="Yes"/>
    <n v="2"/>
    <n v="2"/>
    <m/>
    <m/>
    <m/>
    <n v="2"/>
    <m/>
    <m/>
    <m/>
    <m/>
    <m/>
    <m/>
    <m/>
    <m/>
    <m/>
    <m/>
    <m/>
    <n v="1"/>
    <n v="1"/>
    <n v="1"/>
    <n v="1"/>
    <n v="1"/>
    <m/>
    <m/>
    <m/>
    <n v="6"/>
    <m/>
    <m/>
    <m/>
    <m/>
    <m/>
    <m/>
    <m/>
    <x v="1"/>
    <x v="0"/>
    <m/>
    <m/>
    <m/>
    <m/>
    <m/>
    <m/>
    <n v="3"/>
    <m/>
    <m/>
    <n v="2"/>
    <m/>
    <m/>
    <n v="1"/>
    <m/>
    <m/>
    <s v="Yes"/>
    <m/>
    <m/>
    <m/>
    <m/>
    <m/>
    <m/>
    <m/>
    <m/>
    <m/>
    <m/>
    <m/>
    <m/>
    <m/>
    <m/>
    <n v="1"/>
    <n v="1"/>
    <s v="Tested"/>
    <n v="0"/>
    <n v="2"/>
    <n v="0"/>
    <n v="0"/>
    <n v="0"/>
    <n v="0"/>
    <n v="0"/>
    <m/>
    <n v="1"/>
    <n v="1"/>
    <n v="1"/>
    <n v="127"/>
    <n v="0"/>
    <n v="0"/>
    <n v="1"/>
    <n v="127"/>
    <n v="0.254"/>
    <n v="0"/>
    <n v="0"/>
    <n v="0.746"/>
    <n v="1"/>
    <n v="6"/>
    <n v="0.94488188976377951"/>
    <n v="120"/>
    <n v="0"/>
    <n v="0"/>
    <n v="0"/>
    <n v="6"/>
    <n v="0"/>
    <n v="5.5118110236220486E-2"/>
    <n v="0"/>
    <n v="127"/>
    <n v="0"/>
    <n v="0"/>
    <n v="0"/>
    <n v="127"/>
    <n v="1"/>
    <n v="0"/>
    <n v="1"/>
    <n v="0"/>
    <n v="0"/>
    <n v="3"/>
    <n v="25"/>
    <n v="1"/>
    <n v="127"/>
    <s v="No"/>
    <s v=""/>
    <n v="0"/>
    <n v="0"/>
    <n v="0"/>
    <n v="0"/>
    <n v="0"/>
    <n v="0"/>
    <n v="0"/>
    <s v="uncovered"/>
    <x v="0"/>
    <x v="2"/>
    <x v="0"/>
    <n v="25.387892000000001"/>
    <n v="97.325181999999998"/>
    <s v="MMR001CMP276"/>
    <x v="0"/>
    <x v="0"/>
    <s v="Yes. KMSS focal"/>
    <n v="25"/>
    <n v="127"/>
  </r>
  <r>
    <x v="1"/>
    <x v="18"/>
    <x v="26"/>
    <s v="UNICEF, SIDA"/>
    <x v="1"/>
    <x v="10"/>
    <x v="0"/>
    <x v="40"/>
    <n v="26"/>
    <n v="120"/>
    <d v="2022-09-07T00:00:00"/>
    <d v="2023-09-06T00:00:00"/>
    <m/>
    <n v="2"/>
    <m/>
    <m/>
    <s v="Yes"/>
    <n v="2"/>
    <n v="2"/>
    <n v="1"/>
    <m/>
    <m/>
    <n v="2"/>
    <m/>
    <n v="1"/>
    <m/>
    <m/>
    <m/>
    <m/>
    <m/>
    <m/>
    <m/>
    <m/>
    <n v="3"/>
    <m/>
    <m/>
    <m/>
    <m/>
    <m/>
    <m/>
    <m/>
    <m/>
    <n v="15"/>
    <m/>
    <m/>
    <n v="3"/>
    <m/>
    <m/>
    <m/>
    <n v="12"/>
    <x v="1"/>
    <x v="1"/>
    <m/>
    <m/>
    <m/>
    <m/>
    <m/>
    <m/>
    <n v="1"/>
    <m/>
    <m/>
    <n v="2"/>
    <m/>
    <m/>
    <n v="2"/>
    <m/>
    <m/>
    <m/>
    <m/>
    <m/>
    <m/>
    <m/>
    <m/>
    <m/>
    <m/>
    <m/>
    <m/>
    <m/>
    <m/>
    <m/>
    <m/>
    <m/>
    <s v="no test"/>
    <s v="no test"/>
    <s v="No Test"/>
    <n v="1"/>
    <n v="1"/>
    <n v="0"/>
    <n v="0"/>
    <n v="0"/>
    <n v="0"/>
    <n v="0"/>
    <m/>
    <n v="1"/>
    <n v="1"/>
    <n v="1"/>
    <n v="120"/>
    <n v="0"/>
    <n v="0"/>
    <n v="1"/>
    <n v="120"/>
    <n v="0.24"/>
    <n v="0"/>
    <n v="0"/>
    <n v="0.76"/>
    <n v="1"/>
    <n v="12"/>
    <n v="1"/>
    <n v="120"/>
    <n v="0"/>
    <n v="0"/>
    <n v="0"/>
    <n v="6"/>
    <n v="0"/>
    <n v="0"/>
    <n v="0.2"/>
    <n v="120"/>
    <n v="0"/>
    <n v="0"/>
    <n v="0"/>
    <n v="120"/>
    <n v="1"/>
    <n v="0"/>
    <n v="1"/>
    <n v="0"/>
    <n v="0"/>
    <n v="1"/>
    <n v="20"/>
    <n v="0"/>
    <n v="100"/>
    <s v="No"/>
    <s v=""/>
    <n v="0"/>
    <n v="0"/>
    <n v="0"/>
    <n v="0"/>
    <n v="0"/>
    <n v="0"/>
    <s v="Yes"/>
    <s v="KBC-MYT"/>
    <x v="0"/>
    <x v="2"/>
    <x v="0"/>
    <n v="25.412313000000001"/>
    <n v="97.399628000000007"/>
    <s v="MMR001CMP006"/>
    <x v="0"/>
    <x v="0"/>
    <s v="Yes. KBC is focal"/>
    <n v="111"/>
    <n v="569"/>
  </r>
  <r>
    <x v="1"/>
    <x v="14"/>
    <x v="12"/>
    <s v="ANCHOR"/>
    <x v="1"/>
    <x v="10"/>
    <x v="0"/>
    <x v="190"/>
    <n v="21"/>
    <n v="101"/>
    <d v="2023-01-01T00:00:00"/>
    <d v="2024-03-31T00:00:00"/>
    <m/>
    <m/>
    <n v="1"/>
    <m/>
    <s v="Yes"/>
    <n v="1"/>
    <n v="4"/>
    <n v="1"/>
    <m/>
    <m/>
    <m/>
    <m/>
    <m/>
    <m/>
    <m/>
    <m/>
    <m/>
    <m/>
    <m/>
    <m/>
    <n v="2"/>
    <m/>
    <m/>
    <m/>
    <m/>
    <m/>
    <n v="1"/>
    <n v="1"/>
    <n v="1"/>
    <m/>
    <n v="5"/>
    <m/>
    <s v="Shalom, church"/>
    <m/>
    <m/>
    <m/>
    <m/>
    <m/>
    <x v="1"/>
    <x v="1"/>
    <m/>
    <m/>
    <m/>
    <m/>
    <m/>
    <m/>
    <n v="5"/>
    <n v="2"/>
    <m/>
    <n v="3"/>
    <m/>
    <m/>
    <n v="1"/>
    <n v="26"/>
    <m/>
    <s v="Yes"/>
    <n v="1"/>
    <n v="0.08"/>
    <s v="hygiene kit Distribution"/>
    <n v="1"/>
    <n v="1"/>
    <m/>
    <n v="1"/>
    <m/>
    <m/>
    <m/>
    <m/>
    <m/>
    <m/>
    <m/>
    <s v="no test"/>
    <s v="no test"/>
    <s v="No Test"/>
    <n v="1"/>
    <n v="0"/>
    <n v="0"/>
    <n v="0"/>
    <n v="0"/>
    <n v="101"/>
    <n v="101"/>
    <m/>
    <n v="1"/>
    <n v="1"/>
    <n v="1"/>
    <n v="101"/>
    <n v="0"/>
    <n v="0"/>
    <n v="1"/>
    <n v="101"/>
    <n v="0.20200000000000001"/>
    <n v="0"/>
    <n v="0"/>
    <n v="0.79800000000000004"/>
    <n v="1"/>
    <n v="5"/>
    <n v="0.99009900990099009"/>
    <n v="100"/>
    <n v="0"/>
    <n v="0"/>
    <n v="0"/>
    <n v="5"/>
    <n v="0"/>
    <n v="9.9009900990099098E-3"/>
    <n v="0"/>
    <n v="101"/>
    <n v="101"/>
    <n v="0"/>
    <n v="101"/>
    <n v="101"/>
    <n v="1"/>
    <n v="0"/>
    <n v="1"/>
    <n v="1"/>
    <n v="0"/>
    <n v="3"/>
    <n v="21"/>
    <n v="1"/>
    <n v="101"/>
    <s v="No"/>
    <s v=""/>
    <n v="101"/>
    <n v="101"/>
    <n v="101"/>
    <n v="101"/>
    <n v="101"/>
    <n v="101"/>
    <s v="Yes"/>
    <s v="Shalom"/>
    <x v="0"/>
    <x v="2"/>
    <x v="0"/>
    <n v="25.423817"/>
    <n v="97.418004999999994"/>
    <s v="MMR001CMP007"/>
    <x v="0"/>
    <x v="2"/>
    <s v="Yes. Focal is Shalom"/>
    <n v="26"/>
    <n v="124"/>
  </r>
  <r>
    <x v="1"/>
    <x v="18"/>
    <x v="20"/>
    <s v="SIDA"/>
    <x v="1"/>
    <x v="10"/>
    <x v="0"/>
    <x v="41"/>
    <n v="72"/>
    <n v="432"/>
    <d v="2022-09-07T00:00:00"/>
    <d v="2023-09-06T00:00:00"/>
    <m/>
    <n v="2"/>
    <m/>
    <m/>
    <s v="Yes"/>
    <n v="2"/>
    <n v="2"/>
    <n v="1"/>
    <m/>
    <m/>
    <n v="1"/>
    <m/>
    <m/>
    <m/>
    <m/>
    <m/>
    <m/>
    <m/>
    <m/>
    <m/>
    <m/>
    <n v="2"/>
    <m/>
    <m/>
    <m/>
    <m/>
    <m/>
    <m/>
    <m/>
    <m/>
    <n v="10"/>
    <m/>
    <m/>
    <m/>
    <m/>
    <m/>
    <m/>
    <n v="10"/>
    <x v="1"/>
    <x v="1"/>
    <m/>
    <m/>
    <m/>
    <m/>
    <m/>
    <m/>
    <n v="3"/>
    <m/>
    <m/>
    <n v="2"/>
    <m/>
    <m/>
    <n v="2"/>
    <m/>
    <m/>
    <m/>
    <m/>
    <m/>
    <m/>
    <m/>
    <m/>
    <m/>
    <m/>
    <m/>
    <m/>
    <m/>
    <m/>
    <m/>
    <m/>
    <m/>
    <s v="no test"/>
    <s v="no test"/>
    <s v="No Test"/>
    <n v="1"/>
    <n v="1"/>
    <n v="0"/>
    <n v="0"/>
    <n v="0"/>
    <n v="0"/>
    <n v="0"/>
    <m/>
    <n v="1"/>
    <n v="1"/>
    <n v="1"/>
    <n v="432"/>
    <n v="0"/>
    <n v="0"/>
    <n v="1"/>
    <n v="432"/>
    <n v="0.86399999999999999"/>
    <n v="0"/>
    <n v="0"/>
    <n v="0.13600000000000001"/>
    <n v="1"/>
    <n v="10"/>
    <n v="0.46296296296296297"/>
    <n v="200"/>
    <n v="0"/>
    <n v="0"/>
    <n v="0"/>
    <n v="22"/>
    <n v="12"/>
    <n v="0.53703703703703698"/>
    <n v="0"/>
    <n v="432"/>
    <n v="0"/>
    <n v="0"/>
    <n v="0"/>
    <n v="432"/>
    <n v="1"/>
    <n v="0"/>
    <n v="1"/>
    <n v="0"/>
    <n v="0"/>
    <n v="3"/>
    <n v="60"/>
    <n v="0"/>
    <n v="300"/>
    <s v="No"/>
    <s v=""/>
    <n v="0"/>
    <n v="0"/>
    <n v="0"/>
    <n v="0"/>
    <n v="0"/>
    <n v="0"/>
    <s v="Yes"/>
    <s v="KBC-MYT"/>
    <x v="0"/>
    <x v="2"/>
    <x v="0"/>
    <n v="25.440928"/>
    <n v="97.419403000000003"/>
    <s v="MMR001CMP009"/>
    <x v="0"/>
    <x v="0"/>
    <s v="Yes. KBC is focal"/>
    <n v="105"/>
    <n v="624"/>
  </r>
  <r>
    <x v="1"/>
    <x v="18"/>
    <x v="20"/>
    <s v="UNICEF"/>
    <x v="1"/>
    <x v="10"/>
    <x v="0"/>
    <x v="24"/>
    <n v="37"/>
    <n v="207"/>
    <d v="2022-09-07T00:00:00"/>
    <d v="2023-09-06T00:00:00"/>
    <m/>
    <n v="1"/>
    <m/>
    <m/>
    <s v="Yes"/>
    <n v="2"/>
    <n v="2"/>
    <n v="2"/>
    <m/>
    <m/>
    <n v="3"/>
    <m/>
    <m/>
    <m/>
    <m/>
    <m/>
    <m/>
    <m/>
    <m/>
    <m/>
    <m/>
    <n v="5"/>
    <m/>
    <m/>
    <m/>
    <m/>
    <m/>
    <m/>
    <m/>
    <m/>
    <n v="11"/>
    <m/>
    <m/>
    <m/>
    <m/>
    <m/>
    <m/>
    <n v="11"/>
    <x v="1"/>
    <x v="1"/>
    <m/>
    <m/>
    <m/>
    <m/>
    <m/>
    <m/>
    <n v="3"/>
    <m/>
    <m/>
    <n v="2"/>
    <m/>
    <n v="1"/>
    <m/>
    <m/>
    <m/>
    <m/>
    <m/>
    <m/>
    <m/>
    <m/>
    <m/>
    <m/>
    <m/>
    <m/>
    <m/>
    <m/>
    <m/>
    <m/>
    <m/>
    <m/>
    <s v="no test"/>
    <s v="no test"/>
    <s v="No Test"/>
    <n v="2"/>
    <n v="3"/>
    <n v="0"/>
    <n v="0"/>
    <n v="0"/>
    <n v="0"/>
    <n v="0"/>
    <m/>
    <n v="1"/>
    <n v="1"/>
    <n v="1"/>
    <n v="207"/>
    <n v="0"/>
    <n v="0"/>
    <n v="1"/>
    <n v="207"/>
    <n v="0.41399999999999998"/>
    <n v="0"/>
    <n v="0"/>
    <n v="0.58600000000000008"/>
    <n v="1"/>
    <n v="11"/>
    <n v="1"/>
    <n v="207"/>
    <n v="0"/>
    <n v="0"/>
    <n v="0"/>
    <n v="10"/>
    <n v="0"/>
    <n v="0"/>
    <n v="0"/>
    <n v="207"/>
    <n v="0"/>
    <n v="0"/>
    <n v="0"/>
    <n v="207"/>
    <n v="1"/>
    <n v="0"/>
    <n v="1"/>
    <n v="0"/>
    <n v="0"/>
    <n v="3"/>
    <n v="37"/>
    <n v="0"/>
    <n v="207"/>
    <s v="No"/>
    <s v=""/>
    <n v="0"/>
    <n v="0"/>
    <n v="0"/>
    <n v="0"/>
    <n v="0"/>
    <n v="0"/>
    <s v="Yes"/>
    <s v="KBC-MYT"/>
    <x v="0"/>
    <x v="2"/>
    <x v="0"/>
    <n v="25.415482000000001"/>
    <n v="97.386718999999999"/>
    <s v="MMR001CMP001"/>
    <x v="0"/>
    <x v="0"/>
    <s v="Yes. KBC is focal"/>
    <n v="97"/>
    <n v="539"/>
  </r>
  <r>
    <x v="1"/>
    <x v="14"/>
    <x v="12"/>
    <s v="ANCHOR"/>
    <x v="1"/>
    <x v="10"/>
    <x v="0"/>
    <x v="191"/>
    <n v="56"/>
    <n v="268"/>
    <d v="2023-01-01T00:00:00"/>
    <d v="2024-03-31T00:00:00"/>
    <m/>
    <m/>
    <n v="1"/>
    <m/>
    <s v="Yes"/>
    <n v="3"/>
    <n v="3"/>
    <n v="1"/>
    <m/>
    <m/>
    <n v="5"/>
    <m/>
    <m/>
    <m/>
    <m/>
    <m/>
    <m/>
    <m/>
    <m/>
    <m/>
    <n v="2"/>
    <n v="4"/>
    <m/>
    <m/>
    <m/>
    <m/>
    <n v="2"/>
    <n v="2"/>
    <n v="2"/>
    <m/>
    <n v="19"/>
    <m/>
    <m/>
    <m/>
    <m/>
    <n v="3"/>
    <m/>
    <m/>
    <x v="1"/>
    <x v="1"/>
    <m/>
    <m/>
    <m/>
    <m/>
    <n v="6"/>
    <m/>
    <n v="4"/>
    <m/>
    <m/>
    <n v="4"/>
    <n v="4"/>
    <m/>
    <n v="1"/>
    <m/>
    <m/>
    <s v="Yes"/>
    <n v="1"/>
    <n v="0.6"/>
    <m/>
    <n v="0.6"/>
    <n v="0.7"/>
    <n v="10"/>
    <n v="0.6"/>
    <m/>
    <m/>
    <m/>
    <m/>
    <m/>
    <m/>
    <m/>
    <s v="no test"/>
    <s v="no test"/>
    <s v="No Test"/>
    <n v="1"/>
    <n v="5"/>
    <n v="0"/>
    <n v="0"/>
    <n v="0"/>
    <n v="268"/>
    <n v="268"/>
    <m/>
    <n v="1"/>
    <n v="1"/>
    <n v="1"/>
    <n v="268"/>
    <n v="0"/>
    <n v="0"/>
    <n v="1"/>
    <n v="268"/>
    <n v="0.53600000000000003"/>
    <n v="0"/>
    <n v="0"/>
    <n v="0.46399999999999997"/>
    <n v="1"/>
    <n v="19"/>
    <n v="1"/>
    <n v="268"/>
    <n v="60"/>
    <n v="0"/>
    <n v="0"/>
    <n v="13"/>
    <n v="0"/>
    <n v="0"/>
    <n v="0"/>
    <n v="268"/>
    <n v="0"/>
    <n v="0"/>
    <n v="0"/>
    <n v="268"/>
    <n v="1"/>
    <n v="0"/>
    <n v="1"/>
    <n v="0"/>
    <n v="0"/>
    <n v="4"/>
    <n v="56"/>
    <n v="2"/>
    <n v="268"/>
    <s v="No"/>
    <n v="3.7313432835820892E-2"/>
    <n v="160.79999999999998"/>
    <n v="187.6"/>
    <n v="160.79999999999998"/>
    <n v="187.6"/>
    <n v="268"/>
    <n v="268"/>
    <s v="Yes"/>
    <s v="Shalom"/>
    <x v="0"/>
    <x v="2"/>
    <x v="0"/>
    <n v="25.423209"/>
    <n v="97.379987"/>
    <s v="MMR001CMP023"/>
    <x v="0"/>
    <x v="2"/>
    <s v="Yes. Focal is Shalom"/>
    <n v="56"/>
    <n v="269"/>
  </r>
  <r>
    <x v="1"/>
    <x v="18"/>
    <x v="20"/>
    <s v="UNICEF"/>
    <x v="1"/>
    <x v="10"/>
    <x v="0"/>
    <x v="25"/>
    <n v="24"/>
    <n v="121"/>
    <d v="2022-09-07T00:00:00"/>
    <d v="2023-09-06T00:00:00"/>
    <m/>
    <n v="1"/>
    <m/>
    <m/>
    <s v="Yes"/>
    <n v="2"/>
    <n v="2"/>
    <n v="3"/>
    <m/>
    <m/>
    <n v="1"/>
    <m/>
    <m/>
    <m/>
    <m/>
    <m/>
    <m/>
    <m/>
    <m/>
    <m/>
    <m/>
    <n v="4"/>
    <m/>
    <m/>
    <m/>
    <m/>
    <m/>
    <m/>
    <m/>
    <m/>
    <n v="5"/>
    <m/>
    <m/>
    <m/>
    <m/>
    <m/>
    <m/>
    <n v="5"/>
    <x v="1"/>
    <x v="1"/>
    <m/>
    <m/>
    <m/>
    <m/>
    <m/>
    <m/>
    <n v="1"/>
    <m/>
    <m/>
    <n v="3"/>
    <m/>
    <m/>
    <m/>
    <m/>
    <m/>
    <m/>
    <m/>
    <m/>
    <m/>
    <m/>
    <m/>
    <m/>
    <m/>
    <m/>
    <m/>
    <m/>
    <m/>
    <m/>
    <m/>
    <m/>
    <s v="no test"/>
    <s v="no test"/>
    <s v="No Test"/>
    <n v="3"/>
    <n v="1"/>
    <n v="0"/>
    <n v="0"/>
    <n v="0"/>
    <n v="0"/>
    <n v="0"/>
    <m/>
    <n v="1"/>
    <n v="1"/>
    <n v="1"/>
    <n v="121"/>
    <n v="0"/>
    <n v="0"/>
    <n v="1"/>
    <n v="121"/>
    <n v="0.24199999999999999"/>
    <n v="0"/>
    <n v="0"/>
    <n v="0.75800000000000001"/>
    <n v="1"/>
    <n v="5"/>
    <n v="0.82644628099173556"/>
    <n v="100"/>
    <n v="0"/>
    <n v="0"/>
    <n v="0"/>
    <n v="6"/>
    <n v="1"/>
    <n v="0.17355371900826444"/>
    <n v="0"/>
    <n v="0"/>
    <n v="0"/>
    <n v="0"/>
    <n v="0"/>
    <n v="0"/>
    <n v="0"/>
    <n v="1"/>
    <n v="0"/>
    <n v="0"/>
    <n v="0"/>
    <n v="1"/>
    <n v="20"/>
    <n v="0"/>
    <n v="100"/>
    <s v="No"/>
    <s v=""/>
    <n v="0"/>
    <n v="0"/>
    <n v="0"/>
    <n v="0"/>
    <n v="0"/>
    <n v="0"/>
    <s v="Yes"/>
    <s v="KBC-MYT"/>
    <x v="0"/>
    <x v="2"/>
    <x v="0"/>
    <n v="25.404752999999999"/>
    <n v="97.377662999999998"/>
    <s v="MMR001CMP003"/>
    <x v="0"/>
    <x v="0"/>
    <s v="Yes. KBC is focal"/>
    <n v="28"/>
    <n v="137"/>
  </r>
  <r>
    <x v="1"/>
    <x v="18"/>
    <x v="20"/>
    <s v="UNICEF"/>
    <x v="1"/>
    <x v="10"/>
    <x v="0"/>
    <x v="26"/>
    <n v="14"/>
    <n v="62"/>
    <d v="2022-09-07T00:00:00"/>
    <d v="2023-09-06T00:00:00"/>
    <m/>
    <n v="1"/>
    <m/>
    <m/>
    <s v="Yes"/>
    <n v="2"/>
    <n v="3"/>
    <n v="2"/>
    <m/>
    <m/>
    <n v="1"/>
    <m/>
    <m/>
    <m/>
    <m/>
    <m/>
    <m/>
    <m/>
    <m/>
    <m/>
    <m/>
    <n v="3"/>
    <m/>
    <m/>
    <m/>
    <m/>
    <m/>
    <m/>
    <m/>
    <m/>
    <n v="13"/>
    <m/>
    <m/>
    <m/>
    <m/>
    <m/>
    <m/>
    <n v="13"/>
    <x v="1"/>
    <x v="1"/>
    <m/>
    <m/>
    <m/>
    <m/>
    <m/>
    <m/>
    <n v="1"/>
    <m/>
    <m/>
    <n v="1"/>
    <m/>
    <m/>
    <m/>
    <m/>
    <m/>
    <m/>
    <m/>
    <m/>
    <m/>
    <m/>
    <m/>
    <m/>
    <m/>
    <m/>
    <m/>
    <m/>
    <m/>
    <m/>
    <m/>
    <m/>
    <s v="no test"/>
    <s v="no test"/>
    <s v="No Test"/>
    <n v="2"/>
    <n v="1"/>
    <n v="0"/>
    <n v="0"/>
    <n v="0"/>
    <n v="0"/>
    <n v="0"/>
    <m/>
    <n v="1"/>
    <n v="1"/>
    <n v="1"/>
    <n v="62"/>
    <n v="0"/>
    <n v="0"/>
    <n v="1"/>
    <n v="62"/>
    <n v="0.124"/>
    <n v="0"/>
    <n v="0"/>
    <n v="0.876"/>
    <n v="1"/>
    <n v="13"/>
    <n v="1"/>
    <n v="62"/>
    <n v="0"/>
    <n v="0"/>
    <n v="0"/>
    <n v="3"/>
    <n v="0"/>
    <n v="0"/>
    <n v="0"/>
    <n v="0"/>
    <n v="0"/>
    <n v="0"/>
    <n v="0"/>
    <n v="0"/>
    <n v="0"/>
    <n v="1"/>
    <n v="0"/>
    <n v="0"/>
    <n v="0"/>
    <n v="1"/>
    <n v="14"/>
    <n v="0"/>
    <n v="62"/>
    <s v="No"/>
    <s v=""/>
    <n v="0"/>
    <n v="0"/>
    <n v="0"/>
    <n v="0"/>
    <n v="0"/>
    <n v="0"/>
    <s v="Yes"/>
    <s v="KBC-MYT"/>
    <x v="0"/>
    <x v="2"/>
    <x v="0"/>
    <n v="25.437125999999999"/>
    <n v="97.387276"/>
    <s v="MMR001CMP005"/>
    <x v="0"/>
    <x v="0"/>
    <s v="Yes. KBC is focal"/>
    <n v="47"/>
    <n v="240"/>
  </r>
  <r>
    <x v="1"/>
    <x v="18"/>
    <x v="20"/>
    <s v="UNICEF"/>
    <x v="1"/>
    <x v="10"/>
    <x v="0"/>
    <x v="27"/>
    <n v="198"/>
    <n v="1148"/>
    <d v="2022-09-07T00:00:00"/>
    <d v="2023-09-06T00:00:00"/>
    <m/>
    <n v="2"/>
    <m/>
    <m/>
    <s v="Yes"/>
    <n v="2"/>
    <n v="3"/>
    <n v="2"/>
    <m/>
    <m/>
    <n v="3"/>
    <m/>
    <m/>
    <m/>
    <m/>
    <m/>
    <m/>
    <m/>
    <m/>
    <m/>
    <m/>
    <n v="5"/>
    <m/>
    <m/>
    <m/>
    <m/>
    <m/>
    <m/>
    <m/>
    <m/>
    <n v="28"/>
    <m/>
    <m/>
    <m/>
    <m/>
    <m/>
    <m/>
    <n v="10"/>
    <x v="1"/>
    <x v="1"/>
    <m/>
    <m/>
    <m/>
    <m/>
    <m/>
    <m/>
    <n v="3"/>
    <m/>
    <m/>
    <n v="2"/>
    <m/>
    <n v="1"/>
    <m/>
    <m/>
    <m/>
    <m/>
    <m/>
    <m/>
    <m/>
    <m/>
    <m/>
    <m/>
    <m/>
    <m/>
    <m/>
    <m/>
    <m/>
    <m/>
    <m/>
    <m/>
    <s v="no test"/>
    <s v="no test"/>
    <s v="No Test"/>
    <n v="2"/>
    <n v="3"/>
    <n v="0"/>
    <n v="0"/>
    <n v="0"/>
    <n v="0"/>
    <n v="0"/>
    <m/>
    <n v="1"/>
    <n v="1"/>
    <n v="1"/>
    <n v="1148"/>
    <n v="0"/>
    <n v="0"/>
    <n v="1"/>
    <n v="1148"/>
    <n v="2.2959999999999998"/>
    <n v="0"/>
    <n v="0"/>
    <n v="0"/>
    <n v="2"/>
    <n v="28"/>
    <n v="0.48780487804878048"/>
    <n v="560"/>
    <n v="0"/>
    <n v="0"/>
    <n v="0"/>
    <n v="57"/>
    <n v="29"/>
    <n v="0.51219512195121952"/>
    <n v="0"/>
    <n v="500"/>
    <n v="0"/>
    <n v="0"/>
    <n v="0"/>
    <n v="500"/>
    <n v="0.43554006968641112"/>
    <n v="0.56445993031358888"/>
    <n v="0.43554006968641112"/>
    <n v="0"/>
    <n v="0"/>
    <n v="3"/>
    <n v="60"/>
    <n v="0"/>
    <n v="300"/>
    <s v="No"/>
    <s v=""/>
    <n v="0"/>
    <n v="0"/>
    <n v="0"/>
    <n v="0"/>
    <n v="0"/>
    <n v="0"/>
    <s v="Yes"/>
    <s v="KBC-MYT"/>
    <x v="0"/>
    <x v="2"/>
    <x v="0"/>
    <n v="25.480989999999998"/>
    <n v="97.431079999999994"/>
    <s v="MMR001CMP263"/>
    <x v="0"/>
    <x v="0"/>
    <s v="Yes. KBC is focal"/>
    <n v="197"/>
    <n v="981"/>
  </r>
  <r>
    <x v="1"/>
    <x v="13"/>
    <x v="11"/>
    <s v="MHF,UNICEF"/>
    <x v="1"/>
    <x v="11"/>
    <x v="0"/>
    <x v="28"/>
    <n v="386"/>
    <n v="1397"/>
    <d v="2022-09-07T00:00:00"/>
    <d v="2023-09-06T00:00:00"/>
    <m/>
    <m/>
    <m/>
    <m/>
    <m/>
    <n v="19"/>
    <n v="55"/>
    <n v="13"/>
    <m/>
    <m/>
    <n v="1"/>
    <m/>
    <m/>
    <m/>
    <m/>
    <m/>
    <m/>
    <m/>
    <m/>
    <m/>
    <m/>
    <m/>
    <m/>
    <m/>
    <m/>
    <m/>
    <m/>
    <m/>
    <m/>
    <m/>
    <n v="5"/>
    <m/>
    <m/>
    <m/>
    <m/>
    <m/>
    <m/>
    <m/>
    <x v="1"/>
    <x v="2"/>
    <m/>
    <m/>
    <m/>
    <m/>
    <m/>
    <m/>
    <n v="1"/>
    <m/>
    <m/>
    <n v="3"/>
    <m/>
    <m/>
    <m/>
    <m/>
    <m/>
    <m/>
    <m/>
    <m/>
    <m/>
    <m/>
    <m/>
    <m/>
    <m/>
    <m/>
    <m/>
    <m/>
    <m/>
    <m/>
    <m/>
    <m/>
    <s v="no test"/>
    <s v="no test"/>
    <s v="No Test"/>
    <n v="13"/>
    <n v="1"/>
    <n v="0"/>
    <n v="0"/>
    <n v="0"/>
    <n v="0"/>
    <n v="0"/>
    <m/>
    <n v="1"/>
    <n v="1"/>
    <n v="1"/>
    <n v="1397"/>
    <n v="0"/>
    <n v="0"/>
    <n v="1"/>
    <n v="1397"/>
    <n v="2.794"/>
    <n v="0"/>
    <n v="0"/>
    <n v="0.20599999999999996"/>
    <n v="3"/>
    <n v="5"/>
    <n v="7.158196134574088E-2"/>
    <n v="100"/>
    <n v="0"/>
    <n v="0"/>
    <n v="0"/>
    <n v="70"/>
    <n v="65"/>
    <n v="0.92841803865425909"/>
    <n v="0"/>
    <n v="0"/>
    <n v="0"/>
    <n v="0"/>
    <n v="0"/>
    <n v="0"/>
    <n v="0"/>
    <n v="1"/>
    <n v="0"/>
    <n v="0"/>
    <n v="0"/>
    <n v="1"/>
    <n v="20"/>
    <n v="0"/>
    <n v="100"/>
    <s v="No"/>
    <s v=""/>
    <n v="0"/>
    <n v="0"/>
    <n v="0"/>
    <n v="0"/>
    <n v="0"/>
    <n v="0"/>
    <n v="0"/>
    <s v="uncovered"/>
    <x v="0"/>
    <x v="0"/>
    <x v="1"/>
    <n v="24.590350000000001"/>
    <n v="96.95626"/>
    <s v="MMR001CMP273"/>
    <x v="1"/>
    <x v="1"/>
    <s v="Yes. KBC is initital focal"/>
    <n v="292"/>
    <n v="1299"/>
  </r>
  <r>
    <x v="1"/>
    <x v="9"/>
    <x v="7"/>
    <s v="SIDA, USAID, UNOPS"/>
    <x v="1"/>
    <x v="11"/>
    <x v="0"/>
    <x v="50"/>
    <n v="60"/>
    <n v="300"/>
    <s v=" 13-8-2021,  30-4-2023"/>
    <s v="30-6-2023, 31-12-2023"/>
    <m/>
    <m/>
    <m/>
    <m/>
    <s v="Yes"/>
    <n v="2"/>
    <n v="4"/>
    <n v="1"/>
    <m/>
    <m/>
    <n v="2"/>
    <n v="2"/>
    <m/>
    <m/>
    <m/>
    <m/>
    <n v="2"/>
    <m/>
    <m/>
    <m/>
    <m/>
    <m/>
    <m/>
    <m/>
    <m/>
    <m/>
    <n v="2"/>
    <m/>
    <m/>
    <m/>
    <n v="13"/>
    <m/>
    <m/>
    <m/>
    <n v="2"/>
    <n v="8"/>
    <m/>
    <m/>
    <x v="1"/>
    <x v="1"/>
    <m/>
    <m/>
    <m/>
    <m/>
    <n v="4"/>
    <m/>
    <n v="15"/>
    <m/>
    <n v="2"/>
    <n v="9"/>
    <m/>
    <m/>
    <m/>
    <n v="46"/>
    <n v="91"/>
    <s v="Yes"/>
    <m/>
    <m/>
    <m/>
    <m/>
    <m/>
    <m/>
    <m/>
    <m/>
    <m/>
    <m/>
    <m/>
    <m/>
    <m/>
    <m/>
    <s v="no test"/>
    <s v="no test"/>
    <s v="No Test"/>
    <n v="1"/>
    <n v="4"/>
    <n v="0"/>
    <n v="0"/>
    <n v="0"/>
    <n v="0"/>
    <n v="0"/>
    <m/>
    <n v="1"/>
    <n v="1"/>
    <n v="1"/>
    <n v="300"/>
    <n v="0"/>
    <n v="0"/>
    <n v="1"/>
    <n v="300"/>
    <n v="0.6"/>
    <n v="0"/>
    <n v="0"/>
    <n v="0.4"/>
    <n v="1"/>
    <n v="13"/>
    <n v="0.88"/>
    <n v="264"/>
    <n v="160"/>
    <n v="0"/>
    <n v="0"/>
    <n v="15"/>
    <n v="2"/>
    <n v="0.12"/>
    <n v="0"/>
    <n v="0"/>
    <n v="230"/>
    <n v="91"/>
    <n v="230"/>
    <n v="230"/>
    <n v="0.76666666666666672"/>
    <n v="0.23333333333333328"/>
    <n v="0"/>
    <n v="1"/>
    <n v="1"/>
    <n v="15"/>
    <n v="60"/>
    <n v="2"/>
    <n v="300"/>
    <s v="No"/>
    <s v=""/>
    <n v="0"/>
    <n v="0"/>
    <n v="0"/>
    <n v="0"/>
    <n v="0"/>
    <n v="0"/>
    <s v="Yes"/>
    <s v="KBC-BMO"/>
    <x v="0"/>
    <x v="2"/>
    <x v="0"/>
    <n v="24.200361000000001"/>
    <n v="96.807353000000006"/>
    <s v="MMR001CMP067"/>
    <x v="0"/>
    <x v="0"/>
    <s v="Yes. Metta is focal"/>
    <n v="46"/>
    <n v="249"/>
  </r>
  <r>
    <x v="1"/>
    <x v="9"/>
    <x v="7"/>
    <s v="USAID,UNOPS"/>
    <x v="1"/>
    <x v="11"/>
    <x v="0"/>
    <x v="85"/>
    <n v="43"/>
    <n v="182"/>
    <s v=" 13-8-2021,  30-4-2023"/>
    <s v="30-6-2023,  31-12-2023"/>
    <m/>
    <m/>
    <m/>
    <m/>
    <s v="Yes"/>
    <n v="1"/>
    <n v="3"/>
    <m/>
    <m/>
    <m/>
    <n v="2"/>
    <m/>
    <m/>
    <n v="1"/>
    <m/>
    <m/>
    <n v="2"/>
    <m/>
    <m/>
    <m/>
    <m/>
    <m/>
    <m/>
    <m/>
    <m/>
    <m/>
    <m/>
    <m/>
    <m/>
    <m/>
    <n v="10"/>
    <m/>
    <m/>
    <m/>
    <n v="2"/>
    <m/>
    <m/>
    <m/>
    <x v="1"/>
    <x v="1"/>
    <m/>
    <m/>
    <m/>
    <m/>
    <m/>
    <m/>
    <n v="3"/>
    <m/>
    <m/>
    <n v="2"/>
    <m/>
    <m/>
    <m/>
    <n v="33"/>
    <n v="55"/>
    <m/>
    <m/>
    <m/>
    <m/>
    <m/>
    <m/>
    <m/>
    <m/>
    <m/>
    <m/>
    <m/>
    <m/>
    <m/>
    <m/>
    <m/>
    <s v="no test"/>
    <s v="no test"/>
    <s v="No Test"/>
    <n v="0"/>
    <n v="2"/>
    <n v="0"/>
    <n v="0"/>
    <n v="0"/>
    <n v="0"/>
    <n v="0"/>
    <m/>
    <n v="1"/>
    <n v="1"/>
    <n v="1"/>
    <n v="182"/>
    <n v="0"/>
    <n v="0"/>
    <n v="1"/>
    <n v="182"/>
    <n v="0.36399999999999999"/>
    <n v="0"/>
    <n v="0"/>
    <n v="0.63600000000000001"/>
    <n v="1"/>
    <n v="10"/>
    <n v="1"/>
    <n v="182"/>
    <n v="0"/>
    <n v="0"/>
    <n v="0"/>
    <n v="9"/>
    <n v="0"/>
    <n v="0"/>
    <n v="0"/>
    <n v="0"/>
    <n v="165"/>
    <n v="55"/>
    <n v="165"/>
    <n v="165"/>
    <n v="0.90659340659340659"/>
    <n v="9.3406593406593408E-2"/>
    <n v="0"/>
    <n v="1"/>
    <n v="1"/>
    <n v="3"/>
    <n v="43"/>
    <n v="0"/>
    <n v="182"/>
    <s v="No"/>
    <s v=""/>
    <n v="0"/>
    <n v="0"/>
    <n v="0"/>
    <n v="0"/>
    <n v="0"/>
    <n v="0"/>
    <s v="Yes"/>
    <s v="KMSS-BMO"/>
    <x v="0"/>
    <x v="2"/>
    <x v="0"/>
    <n v="24.200367"/>
    <n v="96.807353000000006"/>
    <s v="MMR001CMP068"/>
    <x v="0"/>
    <x v="0"/>
    <s v="Yes. Metta is focal"/>
    <n v="33"/>
    <n v="152"/>
  </r>
  <r>
    <x v="1"/>
    <x v="18"/>
    <x v="20"/>
    <s v="UNICEF"/>
    <x v="1"/>
    <x v="12"/>
    <x v="0"/>
    <x v="29"/>
    <n v="116"/>
    <n v="584"/>
    <d v="2022-09-07T00:00:00"/>
    <d v="2023-09-06T00:00:00"/>
    <m/>
    <n v="2"/>
    <m/>
    <m/>
    <s v="Yes"/>
    <n v="3"/>
    <n v="1"/>
    <n v="2"/>
    <m/>
    <m/>
    <m/>
    <m/>
    <m/>
    <m/>
    <n v="2"/>
    <m/>
    <m/>
    <m/>
    <m/>
    <m/>
    <m/>
    <n v="2"/>
    <m/>
    <m/>
    <m/>
    <m/>
    <m/>
    <m/>
    <m/>
    <m/>
    <n v="110"/>
    <n v="15"/>
    <m/>
    <m/>
    <m/>
    <m/>
    <m/>
    <n v="110"/>
    <x v="1"/>
    <x v="0"/>
    <m/>
    <m/>
    <m/>
    <m/>
    <m/>
    <m/>
    <n v="3"/>
    <m/>
    <m/>
    <n v="2"/>
    <m/>
    <n v="1"/>
    <n v="1"/>
    <m/>
    <m/>
    <m/>
    <m/>
    <m/>
    <m/>
    <m/>
    <m/>
    <m/>
    <m/>
    <m/>
    <m/>
    <m/>
    <m/>
    <m/>
    <m/>
    <m/>
    <s v="no test"/>
    <s v="no test"/>
    <s v="No Test"/>
    <n v="2"/>
    <n v="0"/>
    <n v="2"/>
    <n v="0"/>
    <n v="0"/>
    <n v="0"/>
    <n v="0"/>
    <m/>
    <n v="1"/>
    <n v="1"/>
    <n v="1"/>
    <n v="584"/>
    <n v="0"/>
    <n v="0"/>
    <n v="1"/>
    <n v="584"/>
    <n v="1.1679999999999999"/>
    <n v="0"/>
    <n v="0"/>
    <n v="0"/>
    <n v="1"/>
    <n v="125"/>
    <n v="1"/>
    <n v="584"/>
    <n v="0"/>
    <n v="0"/>
    <n v="0"/>
    <n v="29"/>
    <n v="0"/>
    <n v="0"/>
    <n v="0"/>
    <n v="584"/>
    <n v="0"/>
    <n v="0"/>
    <n v="0"/>
    <n v="584"/>
    <n v="1"/>
    <n v="0"/>
    <n v="1"/>
    <n v="0"/>
    <n v="0"/>
    <n v="3"/>
    <n v="60"/>
    <n v="0"/>
    <n v="300"/>
    <s v="No"/>
    <s v=""/>
    <n v="0"/>
    <n v="0"/>
    <n v="0"/>
    <n v="0"/>
    <n v="0"/>
    <n v="0"/>
    <s v="Yes"/>
    <s v="KBC-MYT"/>
    <x v="0"/>
    <x v="2"/>
    <x v="1"/>
    <n v="26.569633"/>
    <n v="97.745480999999998"/>
    <s v="MMR001CMP238"/>
    <x v="0"/>
    <x v="0"/>
    <s v="Yes. KBC is focal"/>
    <n v="123"/>
    <n v="646"/>
  </r>
  <r>
    <x v="1"/>
    <x v="18"/>
    <x v="20"/>
    <s v="UNICEF"/>
    <x v="1"/>
    <x v="12"/>
    <x v="0"/>
    <x v="30"/>
    <n v="71"/>
    <n v="342"/>
    <d v="2022-09-07T00:00:00"/>
    <d v="2023-09-06T00:00:00"/>
    <m/>
    <n v="2"/>
    <m/>
    <m/>
    <s v="Yes"/>
    <n v="3"/>
    <n v="2"/>
    <n v="5"/>
    <m/>
    <m/>
    <m/>
    <m/>
    <m/>
    <m/>
    <n v="5"/>
    <m/>
    <m/>
    <m/>
    <m/>
    <m/>
    <m/>
    <n v="5"/>
    <m/>
    <m/>
    <m/>
    <m/>
    <m/>
    <m/>
    <m/>
    <m/>
    <n v="66"/>
    <n v="23"/>
    <m/>
    <m/>
    <m/>
    <m/>
    <m/>
    <n v="66"/>
    <x v="1"/>
    <x v="0"/>
    <m/>
    <m/>
    <m/>
    <n v="5"/>
    <m/>
    <m/>
    <n v="1"/>
    <m/>
    <m/>
    <n v="1"/>
    <m/>
    <n v="1"/>
    <n v="1"/>
    <m/>
    <m/>
    <m/>
    <m/>
    <m/>
    <m/>
    <m/>
    <m/>
    <m/>
    <m/>
    <m/>
    <m/>
    <m/>
    <m/>
    <m/>
    <m/>
    <m/>
    <s v="no test"/>
    <s v="no test"/>
    <s v="No Test"/>
    <n v="5"/>
    <n v="0"/>
    <n v="5"/>
    <n v="0"/>
    <n v="0"/>
    <n v="0"/>
    <n v="0"/>
    <m/>
    <n v="1"/>
    <n v="1"/>
    <n v="1"/>
    <n v="342"/>
    <n v="0"/>
    <n v="0"/>
    <n v="1"/>
    <n v="342"/>
    <n v="0.68400000000000005"/>
    <n v="0"/>
    <n v="0"/>
    <n v="0.31599999999999995"/>
    <n v="1"/>
    <n v="89"/>
    <n v="1"/>
    <n v="342"/>
    <n v="0"/>
    <n v="0"/>
    <n v="250"/>
    <n v="17"/>
    <n v="0"/>
    <n v="0"/>
    <n v="0"/>
    <n v="342"/>
    <n v="0"/>
    <n v="0"/>
    <n v="0"/>
    <n v="342"/>
    <n v="1"/>
    <n v="0"/>
    <n v="1"/>
    <n v="0"/>
    <n v="0"/>
    <n v="1"/>
    <n v="20"/>
    <n v="0"/>
    <n v="100"/>
    <s v="No"/>
    <s v=""/>
    <n v="0"/>
    <n v="0"/>
    <n v="0"/>
    <n v="0"/>
    <n v="0"/>
    <n v="250"/>
    <s v="Yes"/>
    <s v="KBC-MYT"/>
    <x v="0"/>
    <x v="2"/>
    <x v="1"/>
    <n v="26.548506"/>
    <n v="97.75609"/>
    <s v="MMR001CMP239"/>
    <x v="0"/>
    <x v="0"/>
    <s v="Yes. KBC is focal"/>
    <n v="72"/>
    <n v="341"/>
  </r>
  <r>
    <x v="1"/>
    <x v="8"/>
    <x v="6"/>
    <s v="UNICEF"/>
    <x v="1"/>
    <x v="13"/>
    <x v="0"/>
    <x v="65"/>
    <n v="133"/>
    <n v="628"/>
    <d v="2023-02-16T00:00:00"/>
    <d v="2024-02-15T00:00:00"/>
    <m/>
    <n v="3"/>
    <m/>
    <m/>
    <s v="Yes"/>
    <n v="4"/>
    <n v="2"/>
    <n v="1"/>
    <m/>
    <m/>
    <n v="1"/>
    <m/>
    <m/>
    <m/>
    <m/>
    <m/>
    <m/>
    <m/>
    <m/>
    <m/>
    <m/>
    <m/>
    <m/>
    <m/>
    <m/>
    <m/>
    <n v="5"/>
    <m/>
    <m/>
    <m/>
    <n v="1"/>
    <m/>
    <m/>
    <m/>
    <m/>
    <m/>
    <m/>
    <m/>
    <x v="1"/>
    <x v="1"/>
    <m/>
    <m/>
    <m/>
    <m/>
    <m/>
    <m/>
    <n v="5"/>
    <m/>
    <m/>
    <n v="7"/>
    <m/>
    <m/>
    <n v="1"/>
    <m/>
    <m/>
    <s v="Yes"/>
    <n v="1"/>
    <m/>
    <s v="Hygiene kits"/>
    <m/>
    <m/>
    <m/>
    <m/>
    <m/>
    <m/>
    <m/>
    <m/>
    <m/>
    <m/>
    <m/>
    <s v="no test"/>
    <s v="no test"/>
    <s v="No Test"/>
    <n v="1"/>
    <n v="1"/>
    <n v="0"/>
    <n v="0"/>
    <n v="0"/>
    <n v="0"/>
    <n v="0"/>
    <m/>
    <n v="1"/>
    <n v="0.79617834394904463"/>
    <n v="1"/>
    <n v="628"/>
    <n v="0"/>
    <n v="0"/>
    <n v="1"/>
    <n v="628"/>
    <n v="1.256"/>
    <n v="0"/>
    <n v="0"/>
    <n v="0"/>
    <n v="1"/>
    <n v="1"/>
    <n v="3.1847133757961783E-2"/>
    <n v="20"/>
    <n v="0"/>
    <n v="0"/>
    <n v="0"/>
    <n v="31"/>
    <n v="30"/>
    <n v="0.96815286624203822"/>
    <n v="0"/>
    <n v="500"/>
    <n v="0"/>
    <n v="0"/>
    <n v="0"/>
    <n v="500"/>
    <n v="0.79617834394904463"/>
    <n v="0.20382165605095537"/>
    <n v="0.79617834394904463"/>
    <n v="0"/>
    <n v="0"/>
    <n v="5"/>
    <n v="100"/>
    <n v="5"/>
    <n v="500"/>
    <s v="No"/>
    <s v=""/>
    <n v="0"/>
    <n v="0"/>
    <n v="0"/>
    <n v="0"/>
    <n v="0"/>
    <n v="0"/>
    <s v="Yes"/>
    <s v="KMSS-MYT"/>
    <x v="0"/>
    <x v="2"/>
    <x v="0"/>
    <n v="26.350176000000001"/>
    <n v="96.711387999999999"/>
    <s v="MMR001CMP251"/>
    <x v="0"/>
    <x v="0"/>
    <s v="Yes. KMSS focal"/>
    <n v="133"/>
    <n v="628"/>
  </r>
  <r>
    <x v="1"/>
    <x v="8"/>
    <x v="6"/>
    <s v="UNICEF"/>
    <x v="1"/>
    <x v="13"/>
    <x v="0"/>
    <x v="66"/>
    <n v="36"/>
    <n v="174"/>
    <d v="2023-02-16T00:00:00"/>
    <d v="2024-02-15T00:00:00"/>
    <m/>
    <n v="1"/>
    <m/>
    <m/>
    <s v="Yes"/>
    <n v="4"/>
    <n v="1"/>
    <m/>
    <m/>
    <m/>
    <n v="2"/>
    <m/>
    <m/>
    <m/>
    <m/>
    <m/>
    <m/>
    <m/>
    <m/>
    <m/>
    <m/>
    <m/>
    <m/>
    <m/>
    <m/>
    <m/>
    <n v="5"/>
    <m/>
    <m/>
    <m/>
    <n v="2"/>
    <m/>
    <m/>
    <m/>
    <m/>
    <m/>
    <m/>
    <m/>
    <x v="1"/>
    <x v="0"/>
    <m/>
    <m/>
    <m/>
    <m/>
    <m/>
    <m/>
    <n v="7"/>
    <m/>
    <n v="2"/>
    <n v="2"/>
    <m/>
    <m/>
    <n v="1"/>
    <m/>
    <m/>
    <s v="Yes"/>
    <n v="1"/>
    <m/>
    <s v="Hygiene kits"/>
    <m/>
    <m/>
    <m/>
    <m/>
    <m/>
    <m/>
    <m/>
    <m/>
    <m/>
    <m/>
    <m/>
    <s v="no test"/>
    <s v="no test"/>
    <s v="No Test"/>
    <n v="0"/>
    <n v="2"/>
    <n v="0"/>
    <n v="0"/>
    <n v="0"/>
    <n v="0"/>
    <n v="0"/>
    <m/>
    <n v="1"/>
    <n v="1"/>
    <n v="1"/>
    <n v="174"/>
    <n v="0"/>
    <n v="0"/>
    <n v="1"/>
    <n v="174"/>
    <n v="0.34799999999999998"/>
    <n v="0"/>
    <n v="0"/>
    <n v="0.65200000000000002"/>
    <n v="1"/>
    <n v="2"/>
    <n v="0.22988505747126436"/>
    <n v="40"/>
    <n v="0"/>
    <n v="0"/>
    <n v="0"/>
    <n v="9"/>
    <n v="7"/>
    <n v="0.77011494252873569"/>
    <n v="0"/>
    <n v="174"/>
    <n v="0"/>
    <n v="0"/>
    <n v="0"/>
    <n v="174"/>
    <n v="1"/>
    <n v="0"/>
    <n v="1"/>
    <n v="0"/>
    <n v="0"/>
    <n v="7"/>
    <n v="36"/>
    <n v="5"/>
    <n v="174"/>
    <s v="No"/>
    <s v=""/>
    <n v="0"/>
    <n v="0"/>
    <n v="0"/>
    <n v="0"/>
    <n v="0"/>
    <n v="0"/>
    <s v="Yes"/>
    <s v="KMSS-MYT"/>
    <x v="0"/>
    <x v="2"/>
    <x v="0"/>
    <n v="26.351690999999999"/>
    <n v="96.690871999999999"/>
    <s v="MMR001CMP254"/>
    <x v="0"/>
    <x v="0"/>
    <s v="Yes. KMSS focal Will be closed soon"/>
    <n v="37"/>
    <n v="175"/>
  </r>
  <r>
    <x v="1"/>
    <x v="18"/>
    <x v="20"/>
    <s v="UNICEF"/>
    <x v="1"/>
    <x v="13"/>
    <x v="0"/>
    <x v="31"/>
    <n v="96"/>
    <n v="275"/>
    <d v="2022-09-07T00:00:00"/>
    <d v="2023-09-06T00:00:00"/>
    <m/>
    <n v="2"/>
    <m/>
    <m/>
    <s v="Yes"/>
    <n v="2"/>
    <n v="2"/>
    <n v="2"/>
    <m/>
    <m/>
    <n v="2"/>
    <m/>
    <m/>
    <m/>
    <m/>
    <m/>
    <m/>
    <m/>
    <m/>
    <m/>
    <m/>
    <n v="4"/>
    <m/>
    <m/>
    <m/>
    <m/>
    <m/>
    <m/>
    <m/>
    <m/>
    <n v="12"/>
    <m/>
    <m/>
    <n v="1"/>
    <m/>
    <m/>
    <m/>
    <n v="11"/>
    <x v="2"/>
    <x v="2"/>
    <m/>
    <m/>
    <m/>
    <m/>
    <m/>
    <m/>
    <n v="3"/>
    <m/>
    <n v="5"/>
    <n v="3"/>
    <n v="1"/>
    <n v="1"/>
    <m/>
    <m/>
    <m/>
    <m/>
    <m/>
    <m/>
    <m/>
    <m/>
    <m/>
    <m/>
    <m/>
    <m/>
    <m/>
    <m/>
    <m/>
    <m/>
    <m/>
    <m/>
    <s v="no test"/>
    <s v="no test"/>
    <s v="No Test"/>
    <n v="2"/>
    <n v="2"/>
    <n v="0"/>
    <n v="0"/>
    <n v="0"/>
    <n v="0"/>
    <n v="0"/>
    <m/>
    <n v="1"/>
    <n v="1"/>
    <n v="1"/>
    <n v="275"/>
    <n v="0"/>
    <n v="0"/>
    <n v="1"/>
    <n v="275"/>
    <n v="0.55000000000000004"/>
    <n v="0"/>
    <n v="0"/>
    <n v="0.44999999999999996"/>
    <n v="1"/>
    <n v="11"/>
    <n v="0.8"/>
    <n v="220"/>
    <n v="0"/>
    <n v="0"/>
    <n v="0"/>
    <n v="14"/>
    <n v="2"/>
    <n v="0.19999999999999996"/>
    <n v="8.3333333333333329E-2"/>
    <n v="275"/>
    <n v="0"/>
    <n v="0"/>
    <n v="0"/>
    <n v="275"/>
    <n v="1"/>
    <n v="0"/>
    <n v="1"/>
    <n v="0"/>
    <n v="0"/>
    <n v="3"/>
    <n v="60"/>
    <n v="0"/>
    <n v="275"/>
    <s v="No"/>
    <s v=""/>
    <n v="0"/>
    <n v="0"/>
    <n v="0"/>
    <n v="0"/>
    <n v="0"/>
    <n v="0"/>
    <s v="Yes"/>
    <s v="KBC-MYT"/>
    <x v="0"/>
    <x v="2"/>
    <x v="0"/>
    <n v="26.356223"/>
    <n v="96.721439000000004"/>
    <s v="MMR001CMP253"/>
    <x v="0"/>
    <x v="0"/>
    <s v="Yes. KBC is focal planning to local integration"/>
    <n v="108"/>
    <n v="479"/>
  </r>
  <r>
    <x v="1"/>
    <x v="8"/>
    <x v="6"/>
    <s v="UNICEF"/>
    <x v="1"/>
    <x v="14"/>
    <x v="0"/>
    <x v="67"/>
    <n v="48"/>
    <n v="258"/>
    <d v="2023-02-16T00:00:00"/>
    <d v="2024-02-15T00:00:00"/>
    <m/>
    <n v="3"/>
    <m/>
    <m/>
    <s v="Yes"/>
    <n v="4"/>
    <n v="3"/>
    <n v="3"/>
    <m/>
    <m/>
    <n v="2"/>
    <m/>
    <m/>
    <m/>
    <n v="1"/>
    <m/>
    <m/>
    <m/>
    <m/>
    <m/>
    <m/>
    <m/>
    <m/>
    <m/>
    <m/>
    <m/>
    <n v="4"/>
    <m/>
    <m/>
    <m/>
    <n v="90"/>
    <m/>
    <m/>
    <m/>
    <m/>
    <m/>
    <m/>
    <m/>
    <x v="1"/>
    <x v="1"/>
    <m/>
    <m/>
    <m/>
    <m/>
    <m/>
    <m/>
    <n v="2"/>
    <m/>
    <m/>
    <n v="3"/>
    <m/>
    <m/>
    <n v="2"/>
    <m/>
    <m/>
    <s v="Yes"/>
    <m/>
    <m/>
    <m/>
    <m/>
    <m/>
    <m/>
    <m/>
    <m/>
    <m/>
    <m/>
    <m/>
    <m/>
    <m/>
    <m/>
    <s v="no test"/>
    <s v="no test"/>
    <s v="No Test"/>
    <n v="3"/>
    <n v="2"/>
    <n v="1"/>
    <n v="0"/>
    <n v="0"/>
    <n v="0"/>
    <n v="0"/>
    <m/>
    <n v="1"/>
    <n v="1"/>
    <n v="1"/>
    <n v="258"/>
    <n v="0"/>
    <n v="0"/>
    <n v="1"/>
    <n v="258"/>
    <n v="0.51600000000000001"/>
    <n v="0"/>
    <n v="0"/>
    <n v="0.48399999999999999"/>
    <n v="1"/>
    <n v="90"/>
    <n v="1"/>
    <n v="258"/>
    <n v="0"/>
    <n v="0"/>
    <n v="0"/>
    <n v="13"/>
    <n v="0"/>
    <n v="0"/>
    <n v="0"/>
    <n v="258"/>
    <n v="0"/>
    <n v="0"/>
    <n v="0"/>
    <n v="258"/>
    <n v="1"/>
    <n v="0"/>
    <n v="1"/>
    <n v="0"/>
    <n v="0"/>
    <n v="2"/>
    <n v="40"/>
    <n v="4"/>
    <n v="200"/>
    <s v="No"/>
    <s v=""/>
    <n v="0"/>
    <n v="0"/>
    <n v="0"/>
    <n v="0"/>
    <n v="0"/>
    <n v="0"/>
    <s v="Yes"/>
    <s v="KMSS-MYT"/>
    <x v="0"/>
    <x v="2"/>
    <x v="1"/>
    <n v="25.220278"/>
    <n v="97.915833000000006"/>
    <s v="MMR001CMP113"/>
    <x v="0"/>
    <x v="0"/>
    <s v="Yes. KMSS is focal"/>
    <n v="48"/>
    <n v="258"/>
  </r>
  <r>
    <x v="1"/>
    <x v="13"/>
    <x v="11"/>
    <m/>
    <x v="1"/>
    <x v="14"/>
    <x v="0"/>
    <x v="142"/>
    <n v="48"/>
    <n v="240"/>
    <m/>
    <m/>
    <m/>
    <m/>
    <m/>
    <m/>
    <m/>
    <m/>
    <m/>
    <m/>
    <m/>
    <m/>
    <m/>
    <m/>
    <m/>
    <m/>
    <m/>
    <m/>
    <m/>
    <m/>
    <m/>
    <m/>
    <m/>
    <m/>
    <m/>
    <m/>
    <m/>
    <m/>
    <m/>
    <m/>
    <m/>
    <m/>
    <m/>
    <m/>
    <m/>
    <m/>
    <m/>
    <m/>
    <m/>
    <m/>
    <x v="2"/>
    <x v="2"/>
    <m/>
    <m/>
    <m/>
    <m/>
    <m/>
    <m/>
    <n v="7"/>
    <m/>
    <m/>
    <n v="4"/>
    <m/>
    <m/>
    <m/>
    <m/>
    <m/>
    <m/>
    <m/>
    <m/>
    <m/>
    <m/>
    <m/>
    <m/>
    <m/>
    <m/>
    <m/>
    <m/>
    <m/>
    <m/>
    <m/>
    <m/>
    <s v="no test"/>
    <s v="no test"/>
    <s v="No Test"/>
    <n v="0"/>
    <n v="0"/>
    <n v="0"/>
    <n v="0"/>
    <n v="0"/>
    <n v="0"/>
    <n v="0"/>
    <m/>
    <n v="0"/>
    <n v="0"/>
    <n v="0"/>
    <n v="0"/>
    <n v="0"/>
    <n v="0"/>
    <n v="0"/>
    <n v="0"/>
    <n v="0"/>
    <n v="1"/>
    <n v="240"/>
    <n v="1"/>
    <n v="1"/>
    <n v="0"/>
    <n v="0"/>
    <n v="0"/>
    <n v="0"/>
    <n v="0"/>
    <n v="0"/>
    <n v="12"/>
    <n v="12"/>
    <n v="1"/>
    <n v="0"/>
    <n v="0"/>
    <n v="0"/>
    <n v="0"/>
    <n v="0"/>
    <n v="0"/>
    <n v="0"/>
    <n v="1"/>
    <n v="0"/>
    <n v="0"/>
    <n v="0"/>
    <n v="7"/>
    <n v="48"/>
    <n v="0"/>
    <n v="240"/>
    <s v="No"/>
    <s v=""/>
    <n v="0"/>
    <n v="0"/>
    <n v="0"/>
    <n v="0"/>
    <n v="0"/>
    <n v="0"/>
    <n v="0"/>
    <s v="Uncovered  "/>
    <x v="0"/>
    <x v="0"/>
    <x v="0"/>
    <n v="0"/>
    <n v="0"/>
    <s v="MMR001CMP293"/>
    <x v="1"/>
    <x v="1"/>
    <s v="Yes"/>
    <n v="29"/>
    <n v="166"/>
  </r>
  <r>
    <x v="1"/>
    <x v="13"/>
    <x v="11"/>
    <m/>
    <x v="1"/>
    <x v="14"/>
    <x v="0"/>
    <x v="143"/>
    <n v="34"/>
    <n v="189"/>
    <m/>
    <m/>
    <m/>
    <m/>
    <m/>
    <m/>
    <m/>
    <m/>
    <m/>
    <m/>
    <m/>
    <m/>
    <m/>
    <m/>
    <m/>
    <m/>
    <m/>
    <m/>
    <m/>
    <m/>
    <m/>
    <m/>
    <m/>
    <m/>
    <m/>
    <m/>
    <m/>
    <m/>
    <m/>
    <m/>
    <m/>
    <m/>
    <m/>
    <m/>
    <m/>
    <m/>
    <m/>
    <m/>
    <m/>
    <m/>
    <x v="2"/>
    <x v="2"/>
    <m/>
    <m/>
    <m/>
    <m/>
    <m/>
    <m/>
    <n v="3"/>
    <m/>
    <m/>
    <n v="2"/>
    <m/>
    <m/>
    <m/>
    <m/>
    <m/>
    <m/>
    <m/>
    <m/>
    <m/>
    <m/>
    <m/>
    <m/>
    <m/>
    <m/>
    <m/>
    <m/>
    <m/>
    <m/>
    <m/>
    <m/>
    <s v="no test"/>
    <s v="no test"/>
    <s v="No Test"/>
    <n v="0"/>
    <n v="0"/>
    <n v="0"/>
    <n v="0"/>
    <n v="0"/>
    <n v="0"/>
    <n v="0"/>
    <m/>
    <n v="0"/>
    <n v="0"/>
    <n v="0"/>
    <n v="0"/>
    <n v="0"/>
    <n v="0"/>
    <n v="0"/>
    <n v="0"/>
    <n v="0"/>
    <n v="1"/>
    <n v="189"/>
    <n v="1"/>
    <n v="1"/>
    <n v="0"/>
    <n v="0"/>
    <n v="0"/>
    <n v="0"/>
    <n v="0"/>
    <n v="0"/>
    <n v="9"/>
    <n v="9"/>
    <n v="1"/>
    <n v="0"/>
    <n v="0"/>
    <n v="0"/>
    <n v="0"/>
    <n v="0"/>
    <n v="0"/>
    <n v="0"/>
    <n v="1"/>
    <n v="0"/>
    <n v="0"/>
    <n v="0"/>
    <n v="3"/>
    <n v="34"/>
    <n v="0"/>
    <n v="189"/>
    <s v="No"/>
    <s v=""/>
    <n v="0"/>
    <n v="0"/>
    <n v="0"/>
    <n v="0"/>
    <n v="0"/>
    <n v="0"/>
    <n v="0"/>
    <s v="Uncovered  "/>
    <x v="0"/>
    <x v="0"/>
    <x v="0"/>
    <n v="0"/>
    <n v="0"/>
    <s v="MMR001CMP294"/>
    <x v="1"/>
    <x v="1"/>
    <s v="Yes"/>
    <n v="20"/>
    <n v="133"/>
  </r>
  <r>
    <x v="1"/>
    <x v="16"/>
    <x v="14"/>
    <s v="Trocaire/MHF"/>
    <x v="1"/>
    <x v="14"/>
    <x v="0"/>
    <x v="208"/>
    <n v="64"/>
    <n v="381"/>
    <d v="2022-01-01T00:00:00"/>
    <d v="2022-12-31T00:00:00"/>
    <m/>
    <m/>
    <m/>
    <m/>
    <s v="Yes"/>
    <n v="3"/>
    <n v="8"/>
    <n v="1"/>
    <m/>
    <m/>
    <n v="2"/>
    <m/>
    <m/>
    <m/>
    <n v="1"/>
    <m/>
    <m/>
    <m/>
    <m/>
    <m/>
    <n v="1"/>
    <n v="10"/>
    <m/>
    <m/>
    <m/>
    <m/>
    <m/>
    <m/>
    <m/>
    <m/>
    <n v="8"/>
    <m/>
    <m/>
    <m/>
    <m/>
    <m/>
    <m/>
    <m/>
    <x v="1"/>
    <x v="1"/>
    <m/>
    <m/>
    <m/>
    <m/>
    <n v="4"/>
    <m/>
    <n v="3"/>
    <m/>
    <n v="2"/>
    <n v="2"/>
    <m/>
    <m/>
    <n v="1"/>
    <m/>
    <m/>
    <s v="No"/>
    <m/>
    <m/>
    <m/>
    <m/>
    <m/>
    <m/>
    <m/>
    <m/>
    <m/>
    <m/>
    <m/>
    <m/>
    <m/>
    <m/>
    <s v="no test"/>
    <s v="no test"/>
    <s v="No Test"/>
    <n v="1"/>
    <n v="2"/>
    <n v="1"/>
    <n v="0"/>
    <n v="0"/>
    <n v="0"/>
    <n v="0"/>
    <m/>
    <n v="1"/>
    <n v="1"/>
    <n v="1"/>
    <n v="381"/>
    <n v="0"/>
    <n v="0"/>
    <n v="1"/>
    <n v="381"/>
    <n v="0.76200000000000001"/>
    <n v="0"/>
    <n v="0"/>
    <n v="0.23799999999999999"/>
    <n v="1"/>
    <n v="8"/>
    <n v="0.43044619422572178"/>
    <n v="164"/>
    <n v="0"/>
    <n v="0"/>
    <n v="0"/>
    <n v="19"/>
    <n v="11"/>
    <n v="0.56955380577427817"/>
    <n v="0"/>
    <n v="381"/>
    <n v="0"/>
    <n v="0"/>
    <n v="0"/>
    <n v="381"/>
    <n v="1"/>
    <n v="0"/>
    <n v="1"/>
    <n v="0"/>
    <n v="0"/>
    <n v="3"/>
    <n v="60"/>
    <n v="0"/>
    <n v="300"/>
    <s v="No"/>
    <s v=""/>
    <n v="0"/>
    <n v="0"/>
    <n v="0"/>
    <n v="0"/>
    <n v="0"/>
    <n v="0"/>
    <n v="0"/>
    <s v="uncovered"/>
    <x v="0"/>
    <x v="0"/>
    <x v="0"/>
    <n v="25.305008999999998"/>
    <n v="97.430321000000006"/>
    <s v="MMR001CMP248"/>
    <x v="0"/>
    <x v="2"/>
    <s v="Yes"/>
    <n v="65"/>
    <n v="382"/>
  </r>
  <r>
    <x v="1"/>
    <x v="14"/>
    <x v="12"/>
    <s v="ANCHOR"/>
    <x v="1"/>
    <x v="14"/>
    <x v="0"/>
    <x v="192"/>
    <n v="59"/>
    <n v="298"/>
    <d v="2023-01-01T00:00:00"/>
    <d v="2024-03-31T00:00:00"/>
    <m/>
    <m/>
    <n v="1"/>
    <m/>
    <s v="Yes"/>
    <n v="3"/>
    <n v="6"/>
    <n v="1"/>
    <n v="1"/>
    <m/>
    <n v="1"/>
    <m/>
    <n v="1"/>
    <n v="1"/>
    <m/>
    <m/>
    <m/>
    <m/>
    <m/>
    <m/>
    <n v="2"/>
    <m/>
    <m/>
    <m/>
    <m/>
    <m/>
    <n v="2"/>
    <m/>
    <m/>
    <m/>
    <n v="26"/>
    <n v="2"/>
    <s v="World vision"/>
    <n v="26"/>
    <m/>
    <m/>
    <m/>
    <m/>
    <x v="1"/>
    <x v="1"/>
    <m/>
    <m/>
    <m/>
    <m/>
    <m/>
    <m/>
    <n v="2"/>
    <m/>
    <m/>
    <m/>
    <m/>
    <m/>
    <n v="1"/>
    <m/>
    <m/>
    <m/>
    <n v="1"/>
    <n v="0.5"/>
    <m/>
    <n v="1"/>
    <n v="0.9"/>
    <m/>
    <n v="1"/>
    <m/>
    <m/>
    <m/>
    <m/>
    <m/>
    <m/>
    <m/>
    <s v="no test"/>
    <s v="no test"/>
    <s v="No Test"/>
    <n v="0"/>
    <n v="0"/>
    <n v="0"/>
    <n v="0"/>
    <n v="0"/>
    <n v="0"/>
    <n v="0"/>
    <m/>
    <n v="0"/>
    <n v="0"/>
    <n v="0"/>
    <n v="0"/>
    <n v="0"/>
    <n v="0"/>
    <n v="0"/>
    <n v="0"/>
    <n v="0"/>
    <n v="1"/>
    <n v="298"/>
    <n v="1"/>
    <n v="1"/>
    <n v="2"/>
    <n v="0.13422818791946309"/>
    <n v="40"/>
    <n v="0"/>
    <n v="0"/>
    <n v="0"/>
    <n v="15"/>
    <n v="0"/>
    <n v="0.86577181208053688"/>
    <n v="0.9285714285714286"/>
    <n v="298"/>
    <n v="0"/>
    <n v="0"/>
    <n v="0"/>
    <n v="298"/>
    <n v="1"/>
    <n v="0"/>
    <n v="1"/>
    <n v="0"/>
    <n v="0"/>
    <n v="2"/>
    <n v="40"/>
    <n v="0"/>
    <n v="200"/>
    <s v="No"/>
    <s v=""/>
    <n v="298"/>
    <n v="268.2"/>
    <n v="298"/>
    <n v="298"/>
    <n v="0"/>
    <n v="0"/>
    <s v="Yes"/>
    <s v="Shalom"/>
    <x v="0"/>
    <x v="2"/>
    <x v="0"/>
    <n v="25.321710740740698"/>
    <n v="97.404195925926004"/>
    <s v="MMR001CMP028"/>
    <x v="0"/>
    <x v="2"/>
    <s v="Yes. Focal is Shalom "/>
    <n v="59"/>
    <n v="292"/>
  </r>
  <r>
    <x v="1"/>
    <x v="18"/>
    <x v="27"/>
    <s v="UNICEF, SIDA"/>
    <x v="1"/>
    <x v="14"/>
    <x v="0"/>
    <x v="42"/>
    <n v="138"/>
    <n v="896"/>
    <d v="2022-09-07T00:00:00"/>
    <d v="2023-09-06T00:00:00"/>
    <m/>
    <n v="2"/>
    <m/>
    <m/>
    <s v="Yes"/>
    <n v="2"/>
    <n v="3"/>
    <m/>
    <m/>
    <m/>
    <m/>
    <m/>
    <m/>
    <m/>
    <n v="1"/>
    <m/>
    <m/>
    <m/>
    <m/>
    <m/>
    <m/>
    <m/>
    <m/>
    <m/>
    <m/>
    <m/>
    <m/>
    <m/>
    <m/>
    <m/>
    <n v="86"/>
    <m/>
    <m/>
    <m/>
    <m/>
    <m/>
    <m/>
    <n v="86"/>
    <x v="1"/>
    <x v="1"/>
    <m/>
    <m/>
    <m/>
    <m/>
    <m/>
    <m/>
    <n v="8"/>
    <m/>
    <m/>
    <n v="2"/>
    <m/>
    <n v="1"/>
    <n v="1"/>
    <m/>
    <m/>
    <m/>
    <m/>
    <m/>
    <m/>
    <m/>
    <m/>
    <m/>
    <m/>
    <m/>
    <m/>
    <m/>
    <m/>
    <m/>
    <m/>
    <m/>
    <s v="no test"/>
    <s v="no test"/>
    <s v="No Test"/>
    <n v="0"/>
    <n v="0"/>
    <n v="1"/>
    <n v="0"/>
    <n v="0"/>
    <n v="0"/>
    <n v="0"/>
    <m/>
    <n v="7.4404761904761904E-2"/>
    <n v="7.4404761904761904E-2"/>
    <n v="7.4404761904761904E-2"/>
    <n v="66.666666666666671"/>
    <n v="0"/>
    <n v="0"/>
    <n v="7.4404761904761904E-2"/>
    <n v="66.666666666666671"/>
    <n v="0.13333333333333333"/>
    <n v="0.92559523809523814"/>
    <n v="829.33333333333337"/>
    <n v="1.8666666666666667"/>
    <n v="2"/>
    <n v="86"/>
    <n v="1"/>
    <n v="896"/>
    <n v="0"/>
    <n v="0"/>
    <n v="0"/>
    <n v="45"/>
    <n v="0"/>
    <n v="0"/>
    <n v="0"/>
    <n v="896"/>
    <n v="0"/>
    <n v="0"/>
    <n v="0"/>
    <n v="896"/>
    <n v="1"/>
    <n v="0"/>
    <n v="1"/>
    <n v="0"/>
    <n v="0"/>
    <n v="8"/>
    <n v="138"/>
    <n v="0"/>
    <n v="800"/>
    <s v="No"/>
    <s v=""/>
    <n v="0"/>
    <n v="0"/>
    <n v="0"/>
    <n v="0"/>
    <n v="0"/>
    <n v="0"/>
    <s v="Yes"/>
    <s v="KBC-MYT"/>
    <x v="0"/>
    <x v="2"/>
    <x v="1"/>
    <n v="25.200333000000001"/>
    <n v="97.807182999999995"/>
    <s v="MMR001CMP115"/>
    <x v="0"/>
    <x v="0"/>
    <s v="Yes. KBC is focal"/>
    <n v="138"/>
    <n v="896"/>
  </r>
  <r>
    <x v="1"/>
    <x v="9"/>
    <x v="7"/>
    <s v="USAID, MHF 24165, UNOPS"/>
    <x v="1"/>
    <x v="14"/>
    <x v="0"/>
    <x v="86"/>
    <n v="426.2"/>
    <n v="2322"/>
    <s v=" 13-8-2021, 1-5-2023, 30-4-2023"/>
    <s v="30-6-2023, 30-4-2024, 31-12-2023"/>
    <m/>
    <m/>
    <m/>
    <m/>
    <s v="Yes"/>
    <n v="3"/>
    <n v="6"/>
    <m/>
    <m/>
    <m/>
    <m/>
    <m/>
    <m/>
    <m/>
    <n v="8"/>
    <m/>
    <m/>
    <m/>
    <m/>
    <m/>
    <m/>
    <m/>
    <m/>
    <m/>
    <m/>
    <m/>
    <n v="14"/>
    <n v="5"/>
    <m/>
    <m/>
    <n v="110"/>
    <m/>
    <m/>
    <m/>
    <n v="38"/>
    <m/>
    <m/>
    <m/>
    <x v="1"/>
    <x v="1"/>
    <m/>
    <m/>
    <m/>
    <m/>
    <m/>
    <m/>
    <n v="10"/>
    <m/>
    <m/>
    <n v="8"/>
    <m/>
    <m/>
    <m/>
    <m/>
    <m/>
    <m/>
    <m/>
    <m/>
    <m/>
    <m/>
    <m/>
    <m/>
    <m/>
    <m/>
    <m/>
    <m/>
    <m/>
    <m/>
    <m/>
    <m/>
    <s v="no test"/>
    <s v="no test"/>
    <s v="No Test"/>
    <n v="0"/>
    <n v="0"/>
    <n v="8"/>
    <n v="0"/>
    <n v="0"/>
    <n v="2322"/>
    <n v="0"/>
    <m/>
    <n v="0.22968705139247778"/>
    <n v="0.22968705139247778"/>
    <n v="0.22968705139247778"/>
    <n v="533.33333333333337"/>
    <n v="0"/>
    <n v="0"/>
    <n v="0.22968705139247778"/>
    <n v="533.33333333333337"/>
    <n v="1.0666666666666667"/>
    <n v="0.7703129486075222"/>
    <n v="1788.6666666666665"/>
    <n v="3.9333333333333336"/>
    <n v="5"/>
    <n v="110"/>
    <n v="0.94745908699397074"/>
    <n v="2200"/>
    <n v="0"/>
    <n v="0"/>
    <n v="0"/>
    <n v="116"/>
    <n v="6"/>
    <n v="5.2540913006029255E-2"/>
    <n v="0"/>
    <n v="0"/>
    <n v="0"/>
    <n v="0"/>
    <n v="0"/>
    <n v="0"/>
    <n v="0"/>
    <n v="1"/>
    <n v="0"/>
    <n v="0"/>
    <n v="0"/>
    <n v="10"/>
    <n v="200"/>
    <n v="0"/>
    <n v="1000"/>
    <s v="No"/>
    <s v=""/>
    <n v="0"/>
    <n v="0"/>
    <n v="0"/>
    <n v="0"/>
    <n v="2322"/>
    <n v="0"/>
    <n v="0"/>
    <s v="uncovered"/>
    <x v="0"/>
    <x v="5"/>
    <x v="1"/>
    <n v="24.752471"/>
    <n v="97.541793999999996"/>
    <s v="MMR001CMP208"/>
    <x v="0"/>
    <x v="0"/>
    <s v="Yes. Metta is focal"/>
    <n v="0"/>
    <n v="366"/>
  </r>
  <r>
    <x v="1"/>
    <x v="13"/>
    <x v="11"/>
    <m/>
    <x v="1"/>
    <x v="14"/>
    <x v="0"/>
    <x v="144"/>
    <n v="25"/>
    <n v="115"/>
    <m/>
    <m/>
    <m/>
    <m/>
    <m/>
    <m/>
    <m/>
    <m/>
    <m/>
    <m/>
    <m/>
    <m/>
    <m/>
    <m/>
    <m/>
    <m/>
    <m/>
    <m/>
    <m/>
    <m/>
    <m/>
    <m/>
    <m/>
    <m/>
    <m/>
    <m/>
    <m/>
    <m/>
    <m/>
    <m/>
    <m/>
    <m/>
    <m/>
    <m/>
    <m/>
    <m/>
    <m/>
    <m/>
    <m/>
    <m/>
    <x v="3"/>
    <x v="4"/>
    <m/>
    <m/>
    <m/>
    <m/>
    <m/>
    <m/>
    <m/>
    <m/>
    <m/>
    <m/>
    <m/>
    <m/>
    <m/>
    <m/>
    <m/>
    <m/>
    <m/>
    <m/>
    <m/>
    <m/>
    <m/>
    <m/>
    <m/>
    <m/>
    <m/>
    <m/>
    <m/>
    <m/>
    <m/>
    <m/>
    <s v="no test"/>
    <s v="no test"/>
    <s v="No Test"/>
    <n v="0"/>
    <n v="0"/>
    <n v="0"/>
    <n v="0"/>
    <n v="0"/>
    <n v="0"/>
    <n v="0"/>
    <m/>
    <n v="0"/>
    <n v="0"/>
    <n v="0"/>
    <n v="0"/>
    <n v="0"/>
    <n v="0"/>
    <n v="0"/>
    <n v="0"/>
    <n v="0"/>
    <n v="1"/>
    <n v="115"/>
    <n v="1"/>
    <n v="1"/>
    <n v="0"/>
    <n v="0"/>
    <n v="0"/>
    <n v="0"/>
    <n v="0"/>
    <n v="0"/>
    <n v="6"/>
    <n v="6"/>
    <n v="1"/>
    <n v="0"/>
    <n v="0"/>
    <n v="0"/>
    <n v="0"/>
    <n v="0"/>
    <n v="0"/>
    <n v="0"/>
    <n v="1"/>
    <n v="0"/>
    <n v="0"/>
    <n v="0"/>
    <n v="0"/>
    <n v="0"/>
    <n v="0"/>
    <n v="0"/>
    <s v="No"/>
    <s v=""/>
    <n v="0"/>
    <n v="0"/>
    <n v="0"/>
    <n v="0"/>
    <n v="0"/>
    <n v="0"/>
    <n v="0"/>
    <s v="DFSS"/>
    <x v="0"/>
    <x v="0"/>
    <x v="0"/>
    <n v="0"/>
    <n v="0"/>
    <s v="MMR001CMP300"/>
    <x v="1"/>
    <x v="1"/>
    <s v="Yes"/>
    <n v="11"/>
    <n v="59"/>
  </r>
  <r>
    <x v="1"/>
    <x v="13"/>
    <x v="11"/>
    <m/>
    <x v="1"/>
    <x v="14"/>
    <x v="0"/>
    <x v="145"/>
    <n v="24"/>
    <n v="130"/>
    <m/>
    <m/>
    <m/>
    <m/>
    <m/>
    <m/>
    <m/>
    <m/>
    <m/>
    <m/>
    <m/>
    <m/>
    <m/>
    <m/>
    <m/>
    <m/>
    <m/>
    <m/>
    <m/>
    <m/>
    <m/>
    <m/>
    <m/>
    <m/>
    <m/>
    <m/>
    <m/>
    <m/>
    <m/>
    <m/>
    <m/>
    <m/>
    <m/>
    <m/>
    <m/>
    <m/>
    <m/>
    <m/>
    <m/>
    <m/>
    <x v="3"/>
    <x v="4"/>
    <m/>
    <m/>
    <m/>
    <m/>
    <m/>
    <m/>
    <m/>
    <m/>
    <m/>
    <m/>
    <m/>
    <m/>
    <m/>
    <m/>
    <m/>
    <m/>
    <m/>
    <m/>
    <m/>
    <m/>
    <m/>
    <m/>
    <m/>
    <m/>
    <m/>
    <m/>
    <m/>
    <m/>
    <m/>
    <m/>
    <s v="no test"/>
    <s v="no test"/>
    <s v="No Test"/>
    <n v="0"/>
    <n v="0"/>
    <n v="0"/>
    <n v="0"/>
    <n v="0"/>
    <n v="0"/>
    <n v="0"/>
    <m/>
    <n v="0"/>
    <n v="0"/>
    <n v="0"/>
    <n v="0"/>
    <n v="0"/>
    <n v="0"/>
    <n v="0"/>
    <n v="0"/>
    <n v="0"/>
    <n v="1"/>
    <n v="130"/>
    <n v="1"/>
    <n v="1"/>
    <n v="0"/>
    <n v="0"/>
    <n v="0"/>
    <n v="0"/>
    <n v="0"/>
    <n v="0"/>
    <n v="7"/>
    <n v="7"/>
    <n v="1"/>
    <n v="0"/>
    <n v="0"/>
    <n v="0"/>
    <n v="0"/>
    <n v="0"/>
    <n v="0"/>
    <n v="0"/>
    <n v="1"/>
    <n v="0"/>
    <n v="0"/>
    <n v="0"/>
    <n v="0"/>
    <n v="0"/>
    <n v="0"/>
    <n v="0"/>
    <s v="No"/>
    <s v=""/>
    <n v="0"/>
    <n v="0"/>
    <n v="0"/>
    <n v="0"/>
    <n v="0"/>
    <n v="0"/>
    <n v="0"/>
    <s v="DFSS"/>
    <x v="0"/>
    <x v="0"/>
    <x v="0"/>
    <n v="0"/>
    <n v="0"/>
    <s v="MMR001CMP303"/>
    <x v="1"/>
    <x v="1"/>
    <s v="Yes"/>
    <n v="22"/>
    <n v="118"/>
  </r>
  <r>
    <x v="1"/>
    <x v="18"/>
    <x v="20"/>
    <s v="UNICEF"/>
    <x v="1"/>
    <x v="14"/>
    <x v="0"/>
    <x v="32"/>
    <n v="18"/>
    <n v="114"/>
    <d v="2022-09-07T00:00:00"/>
    <d v="2023-09-06T00:00:00"/>
    <m/>
    <n v="1"/>
    <m/>
    <m/>
    <s v="Yes"/>
    <n v="3"/>
    <n v="4"/>
    <n v="2"/>
    <m/>
    <m/>
    <n v="1"/>
    <m/>
    <m/>
    <m/>
    <m/>
    <m/>
    <m/>
    <m/>
    <m/>
    <m/>
    <m/>
    <n v="3"/>
    <m/>
    <m/>
    <m/>
    <m/>
    <m/>
    <m/>
    <m/>
    <m/>
    <n v="6"/>
    <m/>
    <m/>
    <n v="3"/>
    <m/>
    <m/>
    <m/>
    <n v="3"/>
    <x v="1"/>
    <x v="1"/>
    <m/>
    <m/>
    <m/>
    <m/>
    <m/>
    <m/>
    <n v="5"/>
    <n v="2"/>
    <m/>
    <n v="3"/>
    <m/>
    <m/>
    <n v="1"/>
    <m/>
    <m/>
    <m/>
    <m/>
    <m/>
    <m/>
    <m/>
    <m/>
    <m/>
    <m/>
    <m/>
    <m/>
    <m/>
    <m/>
    <m/>
    <m/>
    <m/>
    <s v="no test"/>
    <s v="no test"/>
    <s v="No Test"/>
    <n v="2"/>
    <n v="1"/>
    <n v="0"/>
    <n v="0"/>
    <n v="0"/>
    <n v="0"/>
    <n v="0"/>
    <m/>
    <n v="1"/>
    <n v="1"/>
    <n v="1"/>
    <n v="114"/>
    <n v="0"/>
    <n v="0"/>
    <n v="1"/>
    <n v="114"/>
    <n v="0.22800000000000001"/>
    <n v="0"/>
    <n v="0"/>
    <n v="0.77200000000000002"/>
    <n v="1"/>
    <n v="3"/>
    <n v="0.52631578947368418"/>
    <n v="60"/>
    <n v="0"/>
    <n v="0"/>
    <n v="0"/>
    <n v="6"/>
    <n v="0"/>
    <n v="0.47368421052631582"/>
    <n v="0.5"/>
    <n v="114"/>
    <n v="0"/>
    <n v="0"/>
    <n v="0"/>
    <n v="114"/>
    <n v="1"/>
    <n v="0"/>
    <n v="1"/>
    <n v="0"/>
    <n v="0"/>
    <n v="3"/>
    <n v="18"/>
    <n v="0"/>
    <n v="114"/>
    <s v="No"/>
    <s v=""/>
    <n v="0"/>
    <n v="0"/>
    <n v="0"/>
    <n v="0"/>
    <n v="0"/>
    <n v="0"/>
    <s v="Yes"/>
    <s v="KBC-MYT"/>
    <x v="0"/>
    <x v="2"/>
    <x v="0"/>
    <n v="25.356632000000001"/>
    <n v="97.451965000000001"/>
    <s v="MMR001CMP027"/>
    <x v="0"/>
    <x v="0"/>
    <s v="Yes. KBC is focal"/>
    <n v="34"/>
    <n v="213"/>
  </r>
  <r>
    <x v="1"/>
    <x v="18"/>
    <x v="27"/>
    <s v="UNICEF,SIDA"/>
    <x v="1"/>
    <x v="14"/>
    <x v="0"/>
    <x v="43"/>
    <n v="370"/>
    <n v="1442"/>
    <d v="2022-09-07T00:00:00"/>
    <d v="2023-09-06T00:00:00"/>
    <m/>
    <n v="6"/>
    <m/>
    <m/>
    <s v="Yes"/>
    <n v="3"/>
    <n v="2"/>
    <m/>
    <m/>
    <m/>
    <m/>
    <m/>
    <m/>
    <m/>
    <n v="9"/>
    <n v="1"/>
    <m/>
    <m/>
    <m/>
    <m/>
    <m/>
    <n v="9"/>
    <m/>
    <m/>
    <m/>
    <m/>
    <m/>
    <m/>
    <m/>
    <m/>
    <n v="344"/>
    <m/>
    <m/>
    <n v="40"/>
    <m/>
    <m/>
    <m/>
    <n v="304"/>
    <x v="1"/>
    <x v="1"/>
    <m/>
    <m/>
    <m/>
    <m/>
    <m/>
    <m/>
    <n v="177"/>
    <m/>
    <m/>
    <n v="12"/>
    <n v="6"/>
    <n v="1"/>
    <n v="5"/>
    <m/>
    <m/>
    <m/>
    <m/>
    <m/>
    <m/>
    <m/>
    <m/>
    <m/>
    <m/>
    <m/>
    <m/>
    <m/>
    <m/>
    <m/>
    <m/>
    <m/>
    <s v="no test"/>
    <s v="no test"/>
    <s v="No Test"/>
    <n v="0"/>
    <n v="0"/>
    <n v="8"/>
    <n v="0"/>
    <n v="0"/>
    <n v="0"/>
    <n v="0"/>
    <m/>
    <n v="0.36985668053629223"/>
    <n v="0.36985668053629223"/>
    <n v="0.36985668053629223"/>
    <n v="533.33333333333337"/>
    <n v="0"/>
    <n v="0"/>
    <n v="0.36985668053629223"/>
    <n v="533.33333333333337"/>
    <n v="1.0666666666666667"/>
    <n v="0.63014331946370783"/>
    <n v="908.66666666666674"/>
    <n v="1.9333333333333333"/>
    <n v="3"/>
    <n v="304"/>
    <n v="1"/>
    <n v="1442"/>
    <n v="0"/>
    <n v="0"/>
    <n v="0"/>
    <n v="240"/>
    <n v="0"/>
    <n v="0"/>
    <n v="0.11627906976744186"/>
    <n v="1442"/>
    <n v="0"/>
    <n v="0"/>
    <n v="0"/>
    <n v="1442"/>
    <n v="1"/>
    <n v="0"/>
    <n v="1"/>
    <n v="0"/>
    <n v="0"/>
    <n v="177"/>
    <n v="370"/>
    <n v="0"/>
    <n v="1442"/>
    <s v="No"/>
    <s v=""/>
    <n v="0"/>
    <n v="0"/>
    <n v="0"/>
    <n v="0"/>
    <n v="0"/>
    <n v="0"/>
    <s v="Yes"/>
    <s v="KMSS-MYT"/>
    <x v="1"/>
    <x v="2"/>
    <x v="1"/>
    <n v="24.980250000000002"/>
    <n v="97.715230000000005"/>
    <s v="MMR001CMP119"/>
    <x v="0"/>
    <x v="0"/>
    <s v="Yes. KBC is focal"/>
    <n v="419"/>
    <n v="1607"/>
  </r>
  <r>
    <x v="1"/>
    <x v="14"/>
    <x v="12"/>
    <s v="ANCHOR"/>
    <x v="1"/>
    <x v="14"/>
    <x v="0"/>
    <x v="193"/>
    <n v="353"/>
    <n v="2139"/>
    <d v="2023-01-01T00:00:00"/>
    <d v="2024-03-31T00:00:00"/>
    <m/>
    <m/>
    <n v="1"/>
    <m/>
    <s v="Yes"/>
    <n v="1"/>
    <n v="8"/>
    <n v="2"/>
    <n v="1"/>
    <m/>
    <n v="3"/>
    <m/>
    <m/>
    <m/>
    <m/>
    <m/>
    <m/>
    <m/>
    <m/>
    <m/>
    <m/>
    <m/>
    <m/>
    <m/>
    <m/>
    <m/>
    <m/>
    <n v="23"/>
    <m/>
    <m/>
    <n v="28"/>
    <m/>
    <s v="Shalom"/>
    <m/>
    <m/>
    <n v="6"/>
    <m/>
    <m/>
    <x v="1"/>
    <x v="1"/>
    <m/>
    <m/>
    <m/>
    <m/>
    <m/>
    <s v="အိမ်သာကျင်းမကြာခန ပိတ်"/>
    <n v="13"/>
    <n v="3"/>
    <m/>
    <n v="7"/>
    <m/>
    <m/>
    <n v="1"/>
    <m/>
    <m/>
    <m/>
    <n v="1"/>
    <n v="0.7"/>
    <m/>
    <n v="1"/>
    <n v="1"/>
    <n v="5"/>
    <n v="0.9"/>
    <m/>
    <m/>
    <m/>
    <m/>
    <m/>
    <m/>
    <m/>
    <s v="no test"/>
    <s v="no test"/>
    <s v="No Test"/>
    <n v="1"/>
    <n v="3"/>
    <n v="0"/>
    <n v="0"/>
    <n v="0"/>
    <n v="2139"/>
    <n v="0"/>
    <m/>
    <n v="0.88826554464703134"/>
    <n v="0.4675081813931744"/>
    <n v="0.88826554464703134"/>
    <n v="1900"/>
    <n v="0"/>
    <n v="0"/>
    <n v="0.88826554464703134"/>
    <n v="1900"/>
    <n v="3.8"/>
    <n v="0.11173445535296866"/>
    <n v="238.99999999999997"/>
    <n v="0.20000000000000018"/>
    <n v="4"/>
    <n v="28"/>
    <n v="0.26180458158017766"/>
    <n v="560"/>
    <n v="120"/>
    <n v="0"/>
    <n v="0"/>
    <n v="107"/>
    <n v="79"/>
    <n v="0.73819541841982228"/>
    <n v="0"/>
    <n v="500"/>
    <n v="0"/>
    <n v="0"/>
    <n v="0"/>
    <n v="500"/>
    <n v="0.2337540906965872"/>
    <n v="0.76624590930341285"/>
    <n v="0.2337540906965872"/>
    <n v="0"/>
    <n v="0"/>
    <n v="10"/>
    <n v="200"/>
    <n v="0"/>
    <n v="1000"/>
    <s v="No"/>
    <n v="2.3375409069658717E-3"/>
    <n v="2139"/>
    <n v="2139"/>
    <n v="1925.1000000000001"/>
    <n v="2139"/>
    <n v="2139"/>
    <n v="0"/>
    <s v="Yes"/>
    <s v="Shalom"/>
    <x v="0"/>
    <x v="2"/>
    <x v="0"/>
    <n v="25.424529444444399"/>
    <n v="97.433419259259296"/>
    <s v="MMR001CMP031"/>
    <x v="0"/>
    <x v="2"/>
    <s v="Yes. Focal is Shalom "/>
    <n v="353"/>
    <n v="2139"/>
  </r>
  <r>
    <x v="1"/>
    <x v="8"/>
    <x v="6"/>
    <s v="UNICEF"/>
    <x v="1"/>
    <x v="14"/>
    <x v="0"/>
    <x v="68"/>
    <n v="210"/>
    <n v="1235"/>
    <d v="2023-02-16T00:00:00"/>
    <d v="2024-02-15T00:00:00"/>
    <m/>
    <n v="5"/>
    <m/>
    <m/>
    <s v="Yes"/>
    <n v="4"/>
    <n v="3"/>
    <n v="11"/>
    <m/>
    <m/>
    <m/>
    <m/>
    <m/>
    <m/>
    <m/>
    <m/>
    <m/>
    <m/>
    <m/>
    <m/>
    <m/>
    <m/>
    <n v="7"/>
    <n v="4"/>
    <n v="7"/>
    <n v="3"/>
    <n v="5"/>
    <m/>
    <m/>
    <m/>
    <n v="97"/>
    <m/>
    <m/>
    <m/>
    <m/>
    <m/>
    <m/>
    <m/>
    <x v="1"/>
    <x v="1"/>
    <m/>
    <m/>
    <m/>
    <m/>
    <m/>
    <m/>
    <n v="1"/>
    <m/>
    <m/>
    <n v="4"/>
    <m/>
    <m/>
    <n v="2"/>
    <m/>
    <m/>
    <s v="Yes"/>
    <m/>
    <m/>
    <m/>
    <m/>
    <m/>
    <m/>
    <m/>
    <m/>
    <m/>
    <m/>
    <m/>
    <m/>
    <m/>
    <m/>
    <n v="0.5714285714285714"/>
    <n v="0.42857142857142855"/>
    <s v="Tested"/>
    <n v="11"/>
    <n v="0"/>
    <n v="0"/>
    <n v="0"/>
    <n v="0"/>
    <n v="0"/>
    <n v="0"/>
    <m/>
    <n v="1"/>
    <n v="1"/>
    <n v="1"/>
    <n v="1235"/>
    <n v="0"/>
    <n v="0"/>
    <n v="1"/>
    <n v="1235"/>
    <n v="2.4700000000000002"/>
    <n v="0"/>
    <n v="0"/>
    <n v="0"/>
    <n v="2"/>
    <n v="97"/>
    <n v="1"/>
    <n v="1235"/>
    <n v="0"/>
    <n v="0"/>
    <n v="0"/>
    <n v="62"/>
    <n v="0"/>
    <n v="0"/>
    <n v="0"/>
    <n v="1000"/>
    <n v="0"/>
    <n v="0"/>
    <n v="0"/>
    <n v="1000"/>
    <n v="0.80971659919028338"/>
    <n v="0.19028340080971662"/>
    <n v="0.80971659919028338"/>
    <n v="0"/>
    <n v="0"/>
    <n v="1"/>
    <n v="20"/>
    <n v="5"/>
    <n v="100"/>
    <s v="No"/>
    <s v=""/>
    <n v="0"/>
    <n v="0"/>
    <n v="0"/>
    <n v="0"/>
    <n v="0"/>
    <n v="0"/>
    <s v="Yes"/>
    <s v="KMSS-MYT"/>
    <x v="0"/>
    <x v="2"/>
    <x v="0"/>
    <n v="25.415667500000001"/>
    <n v="97.437782499999997"/>
    <s v="MMR001CMP029"/>
    <x v="0"/>
    <x v="0"/>
    <s v="Yes. KMSS is focal"/>
    <n v="214"/>
    <n v="1245"/>
  </r>
  <r>
    <x v="1"/>
    <x v="18"/>
    <x v="20"/>
    <s v="UNICEF"/>
    <x v="1"/>
    <x v="14"/>
    <x v="0"/>
    <x v="33"/>
    <n v="311"/>
    <n v="1702"/>
    <d v="2022-09-07T00:00:00"/>
    <d v="2023-09-06T00:00:00"/>
    <m/>
    <n v="5"/>
    <m/>
    <m/>
    <s v="Yes"/>
    <n v="3"/>
    <n v="4"/>
    <n v="10"/>
    <m/>
    <m/>
    <m/>
    <m/>
    <m/>
    <m/>
    <m/>
    <m/>
    <m/>
    <m/>
    <m/>
    <m/>
    <m/>
    <n v="10"/>
    <m/>
    <m/>
    <m/>
    <m/>
    <m/>
    <m/>
    <m/>
    <m/>
    <n v="110"/>
    <m/>
    <m/>
    <n v="4"/>
    <n v="20"/>
    <m/>
    <m/>
    <n v="86"/>
    <x v="1"/>
    <x v="1"/>
    <m/>
    <m/>
    <m/>
    <m/>
    <m/>
    <m/>
    <n v="7"/>
    <m/>
    <m/>
    <n v="9"/>
    <n v="3"/>
    <n v="2"/>
    <n v="4"/>
    <m/>
    <m/>
    <m/>
    <m/>
    <m/>
    <m/>
    <m/>
    <m/>
    <m/>
    <m/>
    <m/>
    <m/>
    <m/>
    <m/>
    <m/>
    <m/>
    <m/>
    <s v="no test"/>
    <s v="no test"/>
    <s v="No Test"/>
    <n v="10"/>
    <n v="0"/>
    <n v="0"/>
    <n v="0"/>
    <n v="0"/>
    <n v="0"/>
    <n v="0"/>
    <m/>
    <n v="1"/>
    <n v="1"/>
    <n v="1"/>
    <n v="1702"/>
    <n v="0"/>
    <n v="0"/>
    <n v="1"/>
    <n v="1702"/>
    <n v="3.4039999999999999"/>
    <n v="0"/>
    <n v="0"/>
    <n v="0"/>
    <n v="3"/>
    <n v="106"/>
    <n v="1"/>
    <n v="1702"/>
    <n v="0"/>
    <n v="0"/>
    <n v="0"/>
    <n v="85"/>
    <n v="0"/>
    <n v="0"/>
    <n v="3.6363636363636362E-2"/>
    <n v="1702"/>
    <n v="0"/>
    <n v="0"/>
    <n v="0"/>
    <n v="1702"/>
    <n v="1"/>
    <n v="0"/>
    <n v="1"/>
    <n v="0"/>
    <n v="0"/>
    <n v="7"/>
    <n v="140"/>
    <n v="0"/>
    <n v="700"/>
    <s v="No"/>
    <s v=""/>
    <n v="0"/>
    <n v="0"/>
    <n v="0"/>
    <n v="0"/>
    <n v="0"/>
    <n v="0"/>
    <s v="Yes"/>
    <s v="KBC-MYT"/>
    <x v="0"/>
    <x v="2"/>
    <x v="0"/>
    <n v="25.4118005797101"/>
    <n v="97.434855869565197"/>
    <s v="MMR001CMP040"/>
    <x v="0"/>
    <x v="0"/>
    <s v="Yes. KBC is focal"/>
    <n v="431"/>
    <n v="2370"/>
  </r>
  <r>
    <x v="1"/>
    <x v="18"/>
    <x v="20"/>
    <s v="UNICEF"/>
    <x v="1"/>
    <x v="14"/>
    <x v="0"/>
    <x v="34"/>
    <n v="45"/>
    <n v="215"/>
    <d v="2022-09-07T00:00:00"/>
    <d v="2023-09-06T00:00:00"/>
    <m/>
    <n v="1"/>
    <m/>
    <m/>
    <s v="Yes"/>
    <n v="1"/>
    <n v="3"/>
    <n v="1"/>
    <m/>
    <m/>
    <m/>
    <m/>
    <m/>
    <m/>
    <m/>
    <m/>
    <m/>
    <m/>
    <m/>
    <m/>
    <m/>
    <n v="1"/>
    <m/>
    <m/>
    <m/>
    <m/>
    <m/>
    <m/>
    <m/>
    <m/>
    <n v="5"/>
    <m/>
    <m/>
    <m/>
    <m/>
    <m/>
    <m/>
    <n v="5"/>
    <x v="1"/>
    <x v="1"/>
    <m/>
    <m/>
    <m/>
    <m/>
    <m/>
    <m/>
    <n v="5"/>
    <n v="2"/>
    <m/>
    <n v="2"/>
    <m/>
    <n v="1"/>
    <m/>
    <m/>
    <m/>
    <m/>
    <m/>
    <m/>
    <m/>
    <m/>
    <m/>
    <m/>
    <m/>
    <m/>
    <m/>
    <m/>
    <m/>
    <m/>
    <m/>
    <m/>
    <s v="no test"/>
    <s v="no test"/>
    <s v="No Test"/>
    <n v="1"/>
    <n v="0"/>
    <n v="0"/>
    <n v="0"/>
    <n v="0"/>
    <n v="0"/>
    <n v="0"/>
    <m/>
    <n v="1"/>
    <n v="1"/>
    <n v="1"/>
    <n v="215"/>
    <n v="0"/>
    <n v="0"/>
    <n v="1"/>
    <n v="215"/>
    <n v="0.43"/>
    <n v="0"/>
    <n v="0"/>
    <n v="0.57000000000000006"/>
    <n v="1"/>
    <n v="5"/>
    <n v="0.46511627906976744"/>
    <n v="100"/>
    <n v="0"/>
    <n v="0"/>
    <n v="0"/>
    <n v="11"/>
    <n v="6"/>
    <n v="0.53488372093023262"/>
    <n v="0"/>
    <n v="215"/>
    <n v="0"/>
    <n v="0"/>
    <n v="0"/>
    <n v="215"/>
    <n v="1"/>
    <n v="0"/>
    <n v="1"/>
    <n v="0"/>
    <n v="0"/>
    <n v="3"/>
    <n v="45"/>
    <n v="0"/>
    <n v="215"/>
    <s v="No"/>
    <s v=""/>
    <n v="0"/>
    <n v="0"/>
    <n v="0"/>
    <n v="0"/>
    <n v="0"/>
    <n v="0"/>
    <s v="Yes"/>
    <s v="KBC-MYT"/>
    <x v="0"/>
    <x v="2"/>
    <x v="0"/>
    <n v="25.409612685185198"/>
    <n v="97.426536944444507"/>
    <s v="MMR001CMP039"/>
    <x v="0"/>
    <x v="0"/>
    <s v="Yes. KBC is focal. Planning to relocation"/>
    <n v="55"/>
    <n v="279"/>
  </r>
  <r>
    <x v="1"/>
    <x v="14"/>
    <x v="12"/>
    <s v="ANCHOR"/>
    <x v="1"/>
    <x v="14"/>
    <x v="0"/>
    <x v="194"/>
    <n v="45"/>
    <n v="221"/>
    <d v="2023-01-01T00:00:00"/>
    <d v="2024-03-31T00:00:00"/>
    <m/>
    <m/>
    <n v="1"/>
    <m/>
    <s v="Yes"/>
    <n v="2"/>
    <n v="5"/>
    <n v="1"/>
    <m/>
    <m/>
    <n v="1"/>
    <m/>
    <m/>
    <m/>
    <m/>
    <m/>
    <m/>
    <m/>
    <m/>
    <m/>
    <m/>
    <m/>
    <m/>
    <m/>
    <m/>
    <m/>
    <m/>
    <m/>
    <m/>
    <s v="နွေရာသီရေခမ်း "/>
    <n v="10"/>
    <m/>
    <m/>
    <n v="2"/>
    <m/>
    <m/>
    <m/>
    <m/>
    <x v="1"/>
    <x v="1"/>
    <m/>
    <m/>
    <m/>
    <m/>
    <m/>
    <m/>
    <n v="10"/>
    <m/>
    <m/>
    <n v="2"/>
    <m/>
    <m/>
    <n v="1"/>
    <n v="45"/>
    <m/>
    <m/>
    <n v="1"/>
    <n v="0.5"/>
    <m/>
    <n v="0.98"/>
    <n v="0.9"/>
    <m/>
    <n v="0.99"/>
    <m/>
    <m/>
    <m/>
    <m/>
    <m/>
    <m/>
    <m/>
    <s v="no test"/>
    <s v="no test"/>
    <s v="No Test"/>
    <n v="1"/>
    <n v="1"/>
    <n v="0"/>
    <n v="0"/>
    <n v="0"/>
    <n v="0"/>
    <n v="0"/>
    <m/>
    <n v="1"/>
    <n v="1"/>
    <n v="1"/>
    <n v="221"/>
    <n v="0"/>
    <n v="0"/>
    <n v="1"/>
    <n v="221"/>
    <n v="0.442"/>
    <n v="0"/>
    <n v="0"/>
    <n v="0.55800000000000005"/>
    <n v="1"/>
    <n v="8"/>
    <n v="0.72398190045248867"/>
    <n v="160"/>
    <n v="0"/>
    <n v="0"/>
    <n v="0"/>
    <n v="11"/>
    <n v="1"/>
    <n v="0.27601809954751133"/>
    <n v="0.2"/>
    <n v="221"/>
    <n v="221"/>
    <n v="0"/>
    <n v="221"/>
    <n v="221"/>
    <n v="1"/>
    <n v="0"/>
    <n v="1"/>
    <n v="1"/>
    <n v="0"/>
    <n v="10"/>
    <n v="45"/>
    <n v="0"/>
    <n v="221"/>
    <s v="No"/>
    <s v=""/>
    <n v="216.57999999999998"/>
    <n v="198.9"/>
    <n v="218.79"/>
    <n v="218.79"/>
    <n v="0"/>
    <n v="0"/>
    <s v="Yes"/>
    <s v="Shalom"/>
    <x v="0"/>
    <x v="2"/>
    <x v="0"/>
    <n v="25.345918166666699"/>
    <n v="97.437472666666693"/>
    <s v="MMR001CMP030"/>
    <x v="0"/>
    <x v="2"/>
    <s v="Yes. Focal is Shalom "/>
    <n v="45"/>
    <n v="221"/>
  </r>
  <r>
    <x v="1"/>
    <x v="13"/>
    <x v="11"/>
    <m/>
    <x v="1"/>
    <x v="14"/>
    <x v="0"/>
    <x v="147"/>
    <n v="12"/>
    <n v="80"/>
    <m/>
    <m/>
    <m/>
    <m/>
    <m/>
    <m/>
    <m/>
    <m/>
    <m/>
    <m/>
    <m/>
    <m/>
    <m/>
    <m/>
    <m/>
    <m/>
    <m/>
    <m/>
    <m/>
    <m/>
    <m/>
    <m/>
    <m/>
    <m/>
    <m/>
    <m/>
    <m/>
    <m/>
    <m/>
    <m/>
    <m/>
    <m/>
    <m/>
    <m/>
    <m/>
    <m/>
    <m/>
    <m/>
    <m/>
    <m/>
    <x v="2"/>
    <x v="2"/>
    <m/>
    <m/>
    <m/>
    <m/>
    <m/>
    <m/>
    <n v="7"/>
    <m/>
    <m/>
    <n v="4"/>
    <m/>
    <m/>
    <m/>
    <m/>
    <m/>
    <m/>
    <m/>
    <m/>
    <m/>
    <m/>
    <m/>
    <m/>
    <m/>
    <m/>
    <m/>
    <m/>
    <m/>
    <m/>
    <m/>
    <m/>
    <s v="no test"/>
    <s v="no test"/>
    <s v="No Test"/>
    <n v="0"/>
    <n v="0"/>
    <n v="0"/>
    <n v="0"/>
    <n v="0"/>
    <n v="0"/>
    <n v="0"/>
    <m/>
    <n v="0"/>
    <n v="0"/>
    <n v="0"/>
    <n v="0"/>
    <n v="0"/>
    <n v="0"/>
    <n v="0"/>
    <n v="0"/>
    <n v="0"/>
    <n v="1"/>
    <n v="80"/>
    <n v="1"/>
    <n v="1"/>
    <n v="0"/>
    <n v="0"/>
    <n v="0"/>
    <n v="0"/>
    <n v="0"/>
    <n v="0"/>
    <n v="4"/>
    <n v="4"/>
    <n v="1"/>
    <n v="0"/>
    <n v="0"/>
    <n v="0"/>
    <n v="0"/>
    <n v="0"/>
    <n v="0"/>
    <n v="0"/>
    <n v="1"/>
    <n v="0"/>
    <n v="0"/>
    <n v="0"/>
    <n v="7"/>
    <n v="12"/>
    <n v="0"/>
    <n v="80"/>
    <s v="No"/>
    <s v=""/>
    <n v="0"/>
    <n v="0"/>
    <n v="0"/>
    <n v="0"/>
    <n v="0"/>
    <n v="0"/>
    <s v="Yes"/>
    <s v="Shalom"/>
    <x v="0"/>
    <x v="0"/>
    <x v="0"/>
    <n v="25.221299999999999"/>
    <n v="97.255300000000005"/>
    <s v="MMR001CMP286"/>
    <x v="1"/>
    <x v="1"/>
    <s v="Yes"/>
    <n v="6"/>
    <n v="41"/>
  </r>
  <r>
    <x v="1"/>
    <x v="18"/>
    <x v="20"/>
    <s v="UNICEF,SIDA"/>
    <x v="1"/>
    <x v="14"/>
    <x v="0"/>
    <x v="44"/>
    <n v="171"/>
    <n v="973"/>
    <d v="2022-09-07T00:00:00"/>
    <d v="2023-09-06T00:00:00"/>
    <m/>
    <n v="3"/>
    <m/>
    <m/>
    <s v="Yes"/>
    <n v="3"/>
    <n v="2"/>
    <m/>
    <m/>
    <m/>
    <m/>
    <m/>
    <m/>
    <m/>
    <n v="3"/>
    <n v="1"/>
    <m/>
    <m/>
    <m/>
    <m/>
    <m/>
    <n v="3"/>
    <m/>
    <m/>
    <m/>
    <m/>
    <m/>
    <m/>
    <m/>
    <m/>
    <n v="170"/>
    <m/>
    <m/>
    <n v="20"/>
    <m/>
    <m/>
    <m/>
    <n v="150"/>
    <x v="1"/>
    <x v="1"/>
    <m/>
    <m/>
    <m/>
    <m/>
    <m/>
    <m/>
    <n v="25"/>
    <n v="5"/>
    <m/>
    <n v="5"/>
    <m/>
    <n v="1"/>
    <n v="2"/>
    <m/>
    <m/>
    <m/>
    <m/>
    <m/>
    <m/>
    <m/>
    <m/>
    <m/>
    <m/>
    <m/>
    <m/>
    <m/>
    <m/>
    <m/>
    <m/>
    <m/>
    <s v="no test"/>
    <s v="no test"/>
    <s v="No Test"/>
    <n v="0"/>
    <n v="0"/>
    <n v="2"/>
    <n v="0"/>
    <n v="0"/>
    <n v="0"/>
    <n v="0"/>
    <m/>
    <n v="0.13703323055841043"/>
    <n v="0.13703323055841043"/>
    <n v="0.13703323055841043"/>
    <n v="133.33333333333334"/>
    <n v="0"/>
    <n v="0"/>
    <n v="0.13703323055841043"/>
    <n v="133.33333333333334"/>
    <n v="0.26666666666666666"/>
    <n v="0.86296676944158957"/>
    <n v="839.66666666666663"/>
    <n v="1.7333333333333334"/>
    <n v="2"/>
    <n v="150"/>
    <n v="0.77081192189105863"/>
    <n v="750"/>
    <n v="0"/>
    <n v="0"/>
    <n v="0"/>
    <n v="162"/>
    <n v="0"/>
    <n v="0.22918807810894137"/>
    <n v="0.11764705882352941"/>
    <n v="973"/>
    <n v="0"/>
    <n v="0"/>
    <n v="0"/>
    <n v="973"/>
    <n v="1"/>
    <n v="0"/>
    <n v="1"/>
    <n v="0"/>
    <n v="0"/>
    <n v="20"/>
    <n v="171"/>
    <n v="0"/>
    <n v="973"/>
    <s v="No"/>
    <s v=""/>
    <n v="0"/>
    <n v="0"/>
    <n v="0"/>
    <n v="0"/>
    <n v="0"/>
    <n v="0"/>
    <s v="Yes"/>
    <s v="KBC-MYT"/>
    <x v="1"/>
    <x v="2"/>
    <x v="1"/>
    <n v="24.831944"/>
    <n v="97.751389000000003"/>
    <s v="MMR001CMP120"/>
    <x v="0"/>
    <x v="0"/>
    <s v="Yes. KBC is focal"/>
    <n v="169"/>
    <n v="970"/>
  </r>
  <r>
    <x v="1"/>
    <x v="13"/>
    <x v="11"/>
    <m/>
    <x v="1"/>
    <x v="14"/>
    <x v="0"/>
    <x v="148"/>
    <n v="61"/>
    <n v="294"/>
    <m/>
    <m/>
    <m/>
    <m/>
    <m/>
    <m/>
    <m/>
    <m/>
    <m/>
    <m/>
    <m/>
    <m/>
    <m/>
    <m/>
    <m/>
    <m/>
    <m/>
    <m/>
    <m/>
    <m/>
    <m/>
    <m/>
    <m/>
    <m/>
    <m/>
    <m/>
    <m/>
    <m/>
    <m/>
    <m/>
    <m/>
    <m/>
    <m/>
    <m/>
    <m/>
    <m/>
    <m/>
    <m/>
    <m/>
    <m/>
    <x v="3"/>
    <x v="4"/>
    <m/>
    <m/>
    <m/>
    <m/>
    <m/>
    <m/>
    <m/>
    <m/>
    <m/>
    <m/>
    <m/>
    <m/>
    <m/>
    <m/>
    <m/>
    <m/>
    <m/>
    <m/>
    <m/>
    <m/>
    <m/>
    <m/>
    <m/>
    <m/>
    <m/>
    <m/>
    <m/>
    <m/>
    <m/>
    <m/>
    <s v="no test"/>
    <s v="no test"/>
    <s v="No Test"/>
    <n v="0"/>
    <n v="0"/>
    <n v="0"/>
    <n v="0"/>
    <n v="0"/>
    <n v="0"/>
    <n v="0"/>
    <m/>
    <n v="0"/>
    <n v="0"/>
    <n v="0"/>
    <n v="0"/>
    <n v="0"/>
    <n v="0"/>
    <n v="0"/>
    <n v="0"/>
    <n v="0"/>
    <n v="1"/>
    <n v="294"/>
    <n v="1"/>
    <n v="1"/>
    <n v="0"/>
    <n v="0"/>
    <n v="0"/>
    <n v="0"/>
    <n v="0"/>
    <n v="0"/>
    <n v="15"/>
    <n v="15"/>
    <n v="1"/>
    <n v="0"/>
    <n v="0"/>
    <n v="0"/>
    <n v="0"/>
    <n v="0"/>
    <n v="0"/>
    <n v="0"/>
    <n v="1"/>
    <n v="0"/>
    <n v="0"/>
    <n v="0"/>
    <n v="0"/>
    <n v="0"/>
    <n v="0"/>
    <n v="0"/>
    <s v="No"/>
    <s v=""/>
    <n v="0"/>
    <n v="0"/>
    <n v="0"/>
    <n v="0"/>
    <n v="0"/>
    <n v="0"/>
    <n v="0"/>
    <s v="Uncovered  "/>
    <x v="0"/>
    <x v="0"/>
    <x v="0"/>
    <n v="25.2057"/>
    <n v="97.262200000000007"/>
    <s v="MMR001CMP290"/>
    <x v="1"/>
    <x v="1"/>
    <s v="Yes"/>
    <n v="61"/>
    <n v="305"/>
  </r>
  <r>
    <x v="1"/>
    <x v="14"/>
    <x v="12"/>
    <s v="ANCHOR"/>
    <x v="1"/>
    <x v="14"/>
    <x v="0"/>
    <x v="196"/>
    <n v="71"/>
    <n v="298"/>
    <d v="2023-01-01T00:00:00"/>
    <d v="2024-03-31T00:00:00"/>
    <m/>
    <m/>
    <n v="1"/>
    <m/>
    <s v="Yes"/>
    <n v="2"/>
    <n v="5"/>
    <n v="1"/>
    <n v="1"/>
    <m/>
    <n v="1"/>
    <m/>
    <m/>
    <m/>
    <m/>
    <m/>
    <m/>
    <m/>
    <m/>
    <m/>
    <m/>
    <m/>
    <m/>
    <m/>
    <m/>
    <m/>
    <m/>
    <m/>
    <n v="3"/>
    <m/>
    <n v="16"/>
    <m/>
    <s v="shalom, ICRC"/>
    <m/>
    <m/>
    <m/>
    <m/>
    <m/>
    <x v="1"/>
    <x v="1"/>
    <m/>
    <m/>
    <m/>
    <m/>
    <m/>
    <s v="New Latrine လိုအပ်"/>
    <n v="7"/>
    <m/>
    <m/>
    <n v="5"/>
    <m/>
    <m/>
    <n v="1"/>
    <n v="71"/>
    <m/>
    <m/>
    <n v="1"/>
    <n v="0.9"/>
    <m/>
    <n v="0.99"/>
    <n v="0.9"/>
    <n v="100"/>
    <n v="0.8"/>
    <m/>
    <m/>
    <m/>
    <m/>
    <m/>
    <m/>
    <m/>
    <s v="no test"/>
    <s v="no test"/>
    <s v="No Test"/>
    <n v="0"/>
    <n v="1"/>
    <n v="0"/>
    <n v="0"/>
    <n v="0"/>
    <n v="0"/>
    <n v="298"/>
    <m/>
    <n v="1"/>
    <n v="0.83892617449664431"/>
    <n v="1"/>
    <n v="298"/>
    <n v="0"/>
    <n v="0"/>
    <n v="1"/>
    <n v="298"/>
    <n v="0.59599999999999997"/>
    <n v="0"/>
    <n v="0"/>
    <n v="0.40400000000000003"/>
    <n v="1"/>
    <n v="16"/>
    <n v="1"/>
    <n v="298"/>
    <n v="0"/>
    <n v="0"/>
    <n v="0"/>
    <n v="15"/>
    <n v="0"/>
    <n v="0"/>
    <n v="0"/>
    <n v="298"/>
    <n v="298"/>
    <n v="0"/>
    <n v="298"/>
    <n v="298"/>
    <n v="1"/>
    <n v="0"/>
    <n v="1"/>
    <n v="1"/>
    <n v="0"/>
    <n v="7"/>
    <n v="71"/>
    <n v="0"/>
    <n v="298"/>
    <s v="No"/>
    <n v="0.33557046979865773"/>
    <n v="295.02"/>
    <n v="268.2"/>
    <n v="238.4"/>
    <n v="295.02"/>
    <n v="0"/>
    <n v="298"/>
    <s v="Yes"/>
    <s v="Shalom"/>
    <x v="0"/>
    <x v="2"/>
    <x v="0"/>
    <n v="25.3540362037037"/>
    <n v="97.441166388888902"/>
    <s v="MMR001CMP032"/>
    <x v="0"/>
    <x v="2"/>
    <s v="Yes. Focal is Shalom  Waingmaw Lhavo extenion planned to moved to relocation"/>
    <n v="115"/>
    <n v="528"/>
  </r>
  <r>
    <x v="1"/>
    <x v="18"/>
    <x v="20"/>
    <s v="UNICEF"/>
    <x v="1"/>
    <x v="14"/>
    <x v="0"/>
    <x v="35"/>
    <n v="53"/>
    <n v="279"/>
    <d v="2022-09-07T00:00:00"/>
    <d v="2023-09-06T00:00:00"/>
    <m/>
    <n v="1"/>
    <m/>
    <m/>
    <s v="Yes"/>
    <n v="3"/>
    <n v="3"/>
    <n v="2"/>
    <m/>
    <m/>
    <m/>
    <m/>
    <m/>
    <m/>
    <m/>
    <m/>
    <m/>
    <m/>
    <m/>
    <m/>
    <m/>
    <n v="2"/>
    <m/>
    <m/>
    <m/>
    <m/>
    <m/>
    <m/>
    <m/>
    <m/>
    <n v="14"/>
    <m/>
    <m/>
    <m/>
    <m/>
    <m/>
    <m/>
    <n v="14"/>
    <x v="1"/>
    <x v="1"/>
    <m/>
    <m/>
    <m/>
    <m/>
    <m/>
    <m/>
    <n v="6"/>
    <n v="2"/>
    <m/>
    <n v="4"/>
    <m/>
    <m/>
    <n v="1"/>
    <m/>
    <m/>
    <m/>
    <m/>
    <m/>
    <m/>
    <m/>
    <m/>
    <m/>
    <m/>
    <m/>
    <m/>
    <m/>
    <m/>
    <m/>
    <m/>
    <m/>
    <s v="no test"/>
    <s v="no test"/>
    <s v="No Test"/>
    <n v="2"/>
    <n v="0"/>
    <n v="0"/>
    <n v="0"/>
    <n v="0"/>
    <n v="0"/>
    <n v="0"/>
    <m/>
    <n v="1"/>
    <n v="1"/>
    <n v="1"/>
    <n v="279"/>
    <n v="0"/>
    <n v="0"/>
    <n v="1"/>
    <n v="279"/>
    <n v="0.55800000000000005"/>
    <n v="0"/>
    <n v="0"/>
    <n v="0.44199999999999995"/>
    <n v="1"/>
    <n v="14"/>
    <n v="1"/>
    <n v="279"/>
    <n v="0"/>
    <n v="0"/>
    <n v="0"/>
    <n v="14"/>
    <n v="0"/>
    <n v="0"/>
    <n v="0"/>
    <n v="279"/>
    <n v="0"/>
    <n v="0"/>
    <n v="0"/>
    <n v="279"/>
    <n v="1"/>
    <n v="0"/>
    <n v="1"/>
    <n v="0"/>
    <n v="0"/>
    <n v="4"/>
    <n v="53"/>
    <n v="0"/>
    <n v="279"/>
    <s v="No"/>
    <s v=""/>
    <n v="0"/>
    <n v="0"/>
    <n v="0"/>
    <n v="0"/>
    <n v="0"/>
    <n v="0"/>
    <s v="Yes"/>
    <s v="KBC-MYT"/>
    <x v="0"/>
    <x v="2"/>
    <x v="0"/>
    <n v="25.351724999999998"/>
    <n v="97.438432380952406"/>
    <s v="MMR001CMP025"/>
    <x v="0"/>
    <x v="0"/>
    <s v="Yes. KBC is focal"/>
    <n v="67"/>
    <n v="337"/>
  </r>
  <r>
    <x v="1"/>
    <x v="13"/>
    <x v="11"/>
    <m/>
    <x v="1"/>
    <x v="14"/>
    <x v="0"/>
    <x v="149"/>
    <n v="45"/>
    <n v="247"/>
    <m/>
    <m/>
    <m/>
    <m/>
    <m/>
    <m/>
    <m/>
    <m/>
    <n v="2"/>
    <m/>
    <m/>
    <m/>
    <m/>
    <m/>
    <m/>
    <m/>
    <m/>
    <m/>
    <m/>
    <m/>
    <m/>
    <m/>
    <m/>
    <m/>
    <m/>
    <m/>
    <m/>
    <m/>
    <m/>
    <m/>
    <m/>
    <m/>
    <m/>
    <m/>
    <m/>
    <m/>
    <m/>
    <m/>
    <m/>
    <m/>
    <x v="2"/>
    <x v="2"/>
    <m/>
    <m/>
    <m/>
    <m/>
    <m/>
    <m/>
    <n v="1"/>
    <m/>
    <m/>
    <n v="3"/>
    <m/>
    <m/>
    <m/>
    <m/>
    <m/>
    <m/>
    <m/>
    <m/>
    <m/>
    <m/>
    <m/>
    <m/>
    <m/>
    <m/>
    <m/>
    <m/>
    <m/>
    <m/>
    <m/>
    <m/>
    <s v="no test"/>
    <s v="no test"/>
    <s v="No Test"/>
    <n v="0"/>
    <n v="0"/>
    <n v="0"/>
    <n v="0"/>
    <n v="0"/>
    <n v="0"/>
    <n v="0"/>
    <m/>
    <n v="0"/>
    <n v="0"/>
    <n v="0"/>
    <n v="0"/>
    <n v="0"/>
    <n v="0"/>
    <n v="0"/>
    <n v="0"/>
    <n v="0"/>
    <n v="1"/>
    <n v="247"/>
    <n v="1"/>
    <n v="1"/>
    <n v="0"/>
    <n v="0"/>
    <n v="0"/>
    <n v="0"/>
    <n v="0"/>
    <n v="0"/>
    <n v="12"/>
    <n v="12"/>
    <n v="1"/>
    <n v="0"/>
    <n v="0"/>
    <n v="0"/>
    <n v="0"/>
    <n v="0"/>
    <n v="0"/>
    <n v="0"/>
    <n v="1"/>
    <n v="0"/>
    <n v="0"/>
    <n v="0"/>
    <n v="1"/>
    <n v="20"/>
    <n v="0"/>
    <n v="100"/>
    <s v="No"/>
    <s v=""/>
    <n v="0"/>
    <n v="0"/>
    <n v="0"/>
    <n v="0"/>
    <n v="0"/>
    <n v="0"/>
    <n v="0"/>
    <s v="uncovered"/>
    <x v="0"/>
    <x v="0"/>
    <x v="0"/>
    <n v="25.391428000000001"/>
    <n v="97.898184999999998"/>
    <s v="MMR001CMP258"/>
    <x v="1"/>
    <x v="1"/>
    <s v="Yes. moving to local integration"/>
    <n v="17"/>
    <n v="107"/>
  </r>
  <r>
    <x v="1"/>
    <x v="13"/>
    <x v="11"/>
    <m/>
    <x v="1"/>
    <x v="14"/>
    <x v="0"/>
    <x v="150"/>
    <n v="52"/>
    <n v="318"/>
    <m/>
    <m/>
    <m/>
    <m/>
    <m/>
    <m/>
    <m/>
    <m/>
    <m/>
    <m/>
    <m/>
    <m/>
    <m/>
    <m/>
    <m/>
    <m/>
    <m/>
    <m/>
    <m/>
    <m/>
    <m/>
    <m/>
    <m/>
    <m/>
    <m/>
    <m/>
    <m/>
    <m/>
    <m/>
    <m/>
    <m/>
    <m/>
    <m/>
    <m/>
    <m/>
    <m/>
    <m/>
    <m/>
    <m/>
    <m/>
    <x v="3"/>
    <x v="4"/>
    <m/>
    <m/>
    <m/>
    <m/>
    <m/>
    <m/>
    <m/>
    <m/>
    <m/>
    <m/>
    <m/>
    <m/>
    <m/>
    <m/>
    <m/>
    <m/>
    <m/>
    <m/>
    <m/>
    <m/>
    <m/>
    <m/>
    <m/>
    <m/>
    <m/>
    <m/>
    <m/>
    <m/>
    <m/>
    <m/>
    <s v="no test"/>
    <s v="no test"/>
    <s v="No Test"/>
    <n v="0"/>
    <n v="0"/>
    <n v="0"/>
    <n v="0"/>
    <n v="0"/>
    <n v="0"/>
    <n v="0"/>
    <m/>
    <n v="0"/>
    <n v="0"/>
    <n v="0"/>
    <n v="0"/>
    <n v="0"/>
    <n v="0"/>
    <n v="0"/>
    <n v="0"/>
    <n v="0"/>
    <n v="1"/>
    <n v="318"/>
    <n v="1"/>
    <n v="1"/>
    <n v="0"/>
    <n v="0"/>
    <n v="0"/>
    <n v="0"/>
    <n v="0"/>
    <n v="0"/>
    <n v="16"/>
    <n v="16"/>
    <n v="1"/>
    <n v="0"/>
    <n v="0"/>
    <n v="0"/>
    <n v="0"/>
    <n v="0"/>
    <n v="0"/>
    <n v="0"/>
    <n v="1"/>
    <n v="0"/>
    <n v="0"/>
    <n v="0"/>
    <n v="0"/>
    <n v="0"/>
    <n v="0"/>
    <n v="0"/>
    <s v="No"/>
    <s v=""/>
    <n v="0"/>
    <n v="0"/>
    <n v="0"/>
    <n v="0"/>
    <n v="0"/>
    <n v="0"/>
    <n v="0"/>
    <s v="KBC-MYT"/>
    <x v="0"/>
    <x v="0"/>
    <x v="0"/>
    <n v="0"/>
    <n v="0"/>
    <s v="MMR001CMP305"/>
    <x v="1"/>
    <x v="1"/>
    <s v="Yes"/>
    <n v="52"/>
    <n v="318"/>
  </r>
  <r>
    <x v="1"/>
    <x v="13"/>
    <x v="11"/>
    <m/>
    <x v="1"/>
    <x v="14"/>
    <x v="0"/>
    <x v="151"/>
    <n v="33"/>
    <n v="178"/>
    <m/>
    <m/>
    <m/>
    <m/>
    <m/>
    <m/>
    <m/>
    <m/>
    <m/>
    <m/>
    <m/>
    <m/>
    <m/>
    <m/>
    <m/>
    <m/>
    <m/>
    <m/>
    <m/>
    <m/>
    <m/>
    <m/>
    <m/>
    <m/>
    <m/>
    <m/>
    <m/>
    <m/>
    <m/>
    <m/>
    <m/>
    <m/>
    <m/>
    <m/>
    <m/>
    <m/>
    <m/>
    <m/>
    <m/>
    <m/>
    <x v="3"/>
    <x v="4"/>
    <m/>
    <m/>
    <m/>
    <m/>
    <m/>
    <m/>
    <m/>
    <m/>
    <m/>
    <m/>
    <m/>
    <m/>
    <m/>
    <m/>
    <m/>
    <m/>
    <m/>
    <m/>
    <m/>
    <m/>
    <m/>
    <m/>
    <m/>
    <m/>
    <m/>
    <m/>
    <m/>
    <m/>
    <m/>
    <m/>
    <s v="no test"/>
    <s v="no test"/>
    <s v="No Test"/>
    <n v="0"/>
    <n v="0"/>
    <n v="0"/>
    <n v="0"/>
    <n v="0"/>
    <n v="0"/>
    <n v="0"/>
    <m/>
    <n v="0"/>
    <n v="0"/>
    <n v="0"/>
    <n v="0"/>
    <n v="0"/>
    <n v="0"/>
    <n v="0"/>
    <n v="0"/>
    <n v="0"/>
    <n v="1"/>
    <n v="178"/>
    <n v="1"/>
    <n v="1"/>
    <n v="0"/>
    <n v="0"/>
    <n v="0"/>
    <n v="0"/>
    <n v="0"/>
    <n v="0"/>
    <n v="9"/>
    <n v="9"/>
    <n v="1"/>
    <n v="0"/>
    <n v="0"/>
    <n v="0"/>
    <n v="0"/>
    <n v="0"/>
    <n v="0"/>
    <n v="0"/>
    <n v="1"/>
    <n v="0"/>
    <n v="0"/>
    <n v="0"/>
    <n v="0"/>
    <n v="0"/>
    <n v="0"/>
    <n v="0"/>
    <s v="No"/>
    <s v=""/>
    <n v="0"/>
    <n v="0"/>
    <n v="0"/>
    <n v="0"/>
    <n v="0"/>
    <n v="0"/>
    <n v="0"/>
    <s v="DFSS"/>
    <x v="0"/>
    <x v="0"/>
    <x v="0"/>
    <n v="0"/>
    <n v="0"/>
    <s v="MMR001CMP302"/>
    <x v="1"/>
    <x v="1"/>
    <s v="Yes"/>
    <n v="30"/>
    <n v="160"/>
  </r>
  <r>
    <x v="1"/>
    <x v="18"/>
    <x v="20"/>
    <s v="UNICEF,SIDA"/>
    <x v="1"/>
    <x v="14"/>
    <x v="0"/>
    <x v="45"/>
    <n v="270"/>
    <n v="1463"/>
    <d v="2022-09-07T00:00:00"/>
    <d v="2023-09-06T00:00:00"/>
    <m/>
    <n v="6"/>
    <m/>
    <m/>
    <s v="Yes"/>
    <n v="9"/>
    <n v="6"/>
    <m/>
    <m/>
    <m/>
    <m/>
    <m/>
    <m/>
    <m/>
    <n v="5"/>
    <n v="1"/>
    <m/>
    <n v="5"/>
    <m/>
    <m/>
    <m/>
    <n v="5"/>
    <m/>
    <m/>
    <m/>
    <m/>
    <m/>
    <m/>
    <m/>
    <m/>
    <n v="315"/>
    <m/>
    <m/>
    <n v="200"/>
    <m/>
    <m/>
    <m/>
    <n v="110"/>
    <x v="1"/>
    <x v="1"/>
    <m/>
    <m/>
    <m/>
    <m/>
    <m/>
    <m/>
    <n v="315"/>
    <m/>
    <m/>
    <n v="5"/>
    <n v="1"/>
    <n v="2"/>
    <n v="4"/>
    <m/>
    <m/>
    <m/>
    <m/>
    <m/>
    <m/>
    <m/>
    <m/>
    <m/>
    <m/>
    <m/>
    <m/>
    <m/>
    <m/>
    <m/>
    <m/>
    <m/>
    <s v="no test"/>
    <s v="no test"/>
    <s v="No Test"/>
    <n v="0"/>
    <n v="0"/>
    <n v="4"/>
    <n v="3.7037037037037034E-3"/>
    <n v="0"/>
    <n v="0"/>
    <n v="0"/>
    <m/>
    <n v="0.18227639806587176"/>
    <n v="0.18227639806587176"/>
    <n v="0.18227639806587176"/>
    <n v="266.67037037037039"/>
    <n v="0"/>
    <n v="0"/>
    <n v="0.18227639806587176"/>
    <n v="266.67037037037039"/>
    <n v="0.53334074074074078"/>
    <n v="0.8177236019341283"/>
    <n v="1196.3296296296296"/>
    <n v="2.4666592592592593"/>
    <n v="3"/>
    <n v="115"/>
    <n v="1"/>
    <n v="1463"/>
    <n v="0"/>
    <n v="0"/>
    <n v="0"/>
    <n v="73"/>
    <n v="0"/>
    <n v="0"/>
    <n v="0.63492063492063489"/>
    <n v="1463"/>
    <n v="0"/>
    <n v="0"/>
    <n v="0"/>
    <n v="1463"/>
    <n v="1"/>
    <n v="0"/>
    <n v="1"/>
    <n v="0"/>
    <n v="0"/>
    <n v="315"/>
    <n v="270"/>
    <n v="0"/>
    <n v="1463"/>
    <s v="No"/>
    <s v=""/>
    <n v="0"/>
    <n v="0"/>
    <n v="0"/>
    <n v="0"/>
    <n v="0"/>
    <n v="0"/>
    <s v="Yes"/>
    <s v="KBC-MYT"/>
    <x v="0"/>
    <x v="2"/>
    <x v="1"/>
    <n v="25.418084"/>
    <n v="98.025662999999994"/>
    <s v="MMR001CMP249"/>
    <x v="0"/>
    <x v="0"/>
    <s v="Yes. KBC is focal"/>
    <n v="298"/>
    <n v="1458"/>
  </r>
  <r>
    <x v="1"/>
    <x v="18"/>
    <x v="20"/>
    <s v="UNICEF"/>
    <x v="1"/>
    <x v="14"/>
    <x v="0"/>
    <x v="36"/>
    <n v="206"/>
    <n v="984"/>
    <d v="2022-09-07T00:00:00"/>
    <d v="2023-09-06T00:00:00"/>
    <m/>
    <n v="1"/>
    <m/>
    <m/>
    <s v="Yes"/>
    <n v="2"/>
    <n v="3"/>
    <m/>
    <m/>
    <m/>
    <m/>
    <m/>
    <m/>
    <m/>
    <n v="3"/>
    <m/>
    <n v="3"/>
    <m/>
    <m/>
    <m/>
    <m/>
    <n v="3"/>
    <m/>
    <m/>
    <m/>
    <m/>
    <m/>
    <m/>
    <m/>
    <m/>
    <n v="158"/>
    <m/>
    <m/>
    <m/>
    <m/>
    <m/>
    <m/>
    <n v="158"/>
    <x v="1"/>
    <x v="1"/>
    <m/>
    <m/>
    <m/>
    <m/>
    <m/>
    <m/>
    <n v="7"/>
    <m/>
    <m/>
    <n v="4"/>
    <m/>
    <n v="2"/>
    <n v="1"/>
    <m/>
    <m/>
    <m/>
    <m/>
    <m/>
    <m/>
    <m/>
    <m/>
    <m/>
    <m/>
    <m/>
    <m/>
    <m/>
    <m/>
    <m/>
    <m/>
    <m/>
    <s v="no test"/>
    <s v="no test"/>
    <s v="No Test"/>
    <n v="0"/>
    <n v="0"/>
    <n v="3"/>
    <n v="0"/>
    <n v="0"/>
    <n v="0"/>
    <n v="0"/>
    <m/>
    <n v="0.2032520325203252"/>
    <n v="0.2032520325203252"/>
    <n v="0.2032520325203252"/>
    <n v="200"/>
    <n v="0"/>
    <n v="0"/>
    <n v="0.2032520325203252"/>
    <n v="200"/>
    <n v="0.4"/>
    <n v="0.7967479674796748"/>
    <n v="784"/>
    <n v="1.6"/>
    <n v="2"/>
    <n v="158"/>
    <n v="1"/>
    <n v="984"/>
    <n v="0"/>
    <n v="0"/>
    <n v="0"/>
    <n v="49"/>
    <n v="0"/>
    <n v="0"/>
    <n v="0"/>
    <n v="984"/>
    <n v="0"/>
    <n v="0"/>
    <n v="0"/>
    <n v="984"/>
    <n v="1"/>
    <n v="0"/>
    <n v="1"/>
    <n v="0"/>
    <n v="0"/>
    <n v="7"/>
    <n v="140"/>
    <n v="0"/>
    <n v="700"/>
    <s v="No"/>
    <s v=""/>
    <n v="0"/>
    <n v="0"/>
    <n v="0"/>
    <n v="0"/>
    <n v="0"/>
    <n v="0"/>
    <s v="Yes"/>
    <s v="KBC-MYT"/>
    <x v="0"/>
    <x v="2"/>
    <x v="0"/>
    <n v="25.418084"/>
    <n v="98.025662999999994"/>
    <s v="MMR001CMP041"/>
    <x v="0"/>
    <x v="0"/>
    <s v="Yes. KBC is focal"/>
    <n v="216"/>
    <n v="1190"/>
  </r>
  <r>
    <x v="1"/>
    <x v="13"/>
    <x v="11"/>
    <m/>
    <x v="1"/>
    <x v="14"/>
    <x v="0"/>
    <x v="152"/>
    <n v="30"/>
    <n v="157"/>
    <m/>
    <m/>
    <m/>
    <m/>
    <m/>
    <m/>
    <m/>
    <m/>
    <m/>
    <m/>
    <m/>
    <m/>
    <m/>
    <m/>
    <m/>
    <m/>
    <m/>
    <m/>
    <m/>
    <m/>
    <m/>
    <m/>
    <m/>
    <m/>
    <m/>
    <m/>
    <m/>
    <m/>
    <m/>
    <m/>
    <m/>
    <m/>
    <m/>
    <m/>
    <m/>
    <m/>
    <m/>
    <m/>
    <m/>
    <m/>
    <x v="3"/>
    <x v="4"/>
    <m/>
    <m/>
    <m/>
    <m/>
    <m/>
    <m/>
    <m/>
    <m/>
    <m/>
    <m/>
    <m/>
    <m/>
    <m/>
    <m/>
    <m/>
    <m/>
    <m/>
    <m/>
    <m/>
    <m/>
    <m/>
    <m/>
    <m/>
    <m/>
    <m/>
    <m/>
    <m/>
    <m/>
    <m/>
    <m/>
    <s v="no test"/>
    <s v="no test"/>
    <s v="No Test"/>
    <n v="0"/>
    <n v="0"/>
    <n v="0"/>
    <n v="0"/>
    <n v="0"/>
    <n v="0"/>
    <n v="0"/>
    <m/>
    <n v="0"/>
    <n v="0"/>
    <n v="0"/>
    <n v="0"/>
    <n v="0"/>
    <n v="0"/>
    <n v="0"/>
    <n v="0"/>
    <n v="0"/>
    <n v="1"/>
    <n v="157"/>
    <n v="1"/>
    <n v="1"/>
    <n v="0"/>
    <n v="0"/>
    <n v="0"/>
    <n v="0"/>
    <n v="0"/>
    <n v="0"/>
    <n v="8"/>
    <n v="8"/>
    <n v="1"/>
    <n v="0"/>
    <n v="0"/>
    <n v="0"/>
    <n v="0"/>
    <n v="0"/>
    <n v="0"/>
    <n v="0"/>
    <n v="1"/>
    <n v="0"/>
    <n v="0"/>
    <n v="0"/>
    <n v="0"/>
    <n v="0"/>
    <n v="0"/>
    <n v="0"/>
    <s v="No"/>
    <s v=""/>
    <n v="0"/>
    <n v="0"/>
    <n v="0"/>
    <n v="0"/>
    <n v="0"/>
    <n v="0"/>
    <n v="0"/>
    <s v="DFSS"/>
    <x v="0"/>
    <x v="0"/>
    <x v="0"/>
    <n v="0"/>
    <s v="not available"/>
    <s v="MMR001CMP296"/>
    <x v="1"/>
    <x v="1"/>
    <s v="Yes"/>
    <n v="30"/>
    <n v="159"/>
  </r>
  <r>
    <x v="1"/>
    <x v="14"/>
    <x v="12"/>
    <s v="ANCHOR"/>
    <x v="1"/>
    <x v="14"/>
    <x v="0"/>
    <x v="197"/>
    <n v="43"/>
    <n v="186"/>
    <d v="2023-01-01T00:00:00"/>
    <d v="2024-03-31T00:00:00"/>
    <m/>
    <m/>
    <n v="1"/>
    <m/>
    <s v="Yes"/>
    <n v="2"/>
    <n v="3"/>
    <n v="1"/>
    <m/>
    <m/>
    <m/>
    <m/>
    <m/>
    <m/>
    <m/>
    <m/>
    <m/>
    <m/>
    <m/>
    <m/>
    <m/>
    <m/>
    <m/>
    <m/>
    <m/>
    <m/>
    <n v="4"/>
    <m/>
    <m/>
    <s v="နွေရာသီရေခမ်း "/>
    <n v="6"/>
    <m/>
    <m/>
    <m/>
    <m/>
    <m/>
    <m/>
    <m/>
    <x v="1"/>
    <x v="1"/>
    <m/>
    <m/>
    <m/>
    <m/>
    <m/>
    <m/>
    <n v="4"/>
    <m/>
    <m/>
    <n v="2"/>
    <m/>
    <m/>
    <n v="1"/>
    <m/>
    <m/>
    <m/>
    <n v="1"/>
    <n v="0.5"/>
    <m/>
    <n v="0.9"/>
    <n v="0.95"/>
    <m/>
    <n v="0.99"/>
    <m/>
    <m/>
    <m/>
    <m/>
    <m/>
    <m/>
    <m/>
    <s v="no test"/>
    <s v="no test"/>
    <s v="No Test"/>
    <n v="1"/>
    <n v="0"/>
    <n v="0"/>
    <n v="0"/>
    <n v="0"/>
    <n v="0"/>
    <n v="0"/>
    <m/>
    <n v="1"/>
    <n v="1"/>
    <n v="1"/>
    <n v="186"/>
    <n v="0"/>
    <n v="0"/>
    <n v="1"/>
    <n v="186"/>
    <n v="0.372"/>
    <n v="0"/>
    <n v="0"/>
    <n v="0.628"/>
    <n v="1"/>
    <n v="6"/>
    <n v="0.64516129032258063"/>
    <n v="120"/>
    <n v="0"/>
    <n v="0"/>
    <n v="0"/>
    <n v="9"/>
    <n v="3"/>
    <n v="0.35483870967741937"/>
    <n v="0"/>
    <n v="186"/>
    <n v="0"/>
    <n v="0"/>
    <n v="0"/>
    <n v="186"/>
    <n v="1"/>
    <n v="0"/>
    <n v="1"/>
    <n v="0"/>
    <n v="0"/>
    <n v="4"/>
    <n v="43"/>
    <n v="0"/>
    <n v="186"/>
    <s v="No"/>
    <s v=""/>
    <n v="167.4"/>
    <n v="176.7"/>
    <n v="184.14"/>
    <n v="184.14"/>
    <n v="0"/>
    <n v="0"/>
    <s v="Yes"/>
    <s v="Shalom"/>
    <x v="0"/>
    <x v="2"/>
    <x v="0"/>
    <n v="25.333683333333301"/>
    <n v="97.428251153846105"/>
    <s v="MMR001CMP037"/>
    <x v="0"/>
    <x v="2"/>
    <s v="Yes. Focal is Shalom .Planning to relocation"/>
    <n v="32"/>
    <n v="129"/>
  </r>
  <r>
    <x v="1"/>
    <x v="18"/>
    <x v="26"/>
    <s v="UNICEF,SIDA"/>
    <x v="1"/>
    <x v="14"/>
    <x v="0"/>
    <x v="46"/>
    <n v="55"/>
    <n v="267"/>
    <d v="2022-09-07T00:00:00"/>
    <d v="2023-09-06T00:00:00"/>
    <m/>
    <n v="1"/>
    <m/>
    <m/>
    <s v="Yes"/>
    <n v="2"/>
    <n v="2"/>
    <n v="3"/>
    <m/>
    <n v="1"/>
    <m/>
    <m/>
    <m/>
    <m/>
    <m/>
    <m/>
    <m/>
    <m/>
    <m/>
    <m/>
    <m/>
    <n v="3"/>
    <m/>
    <m/>
    <m/>
    <m/>
    <m/>
    <m/>
    <m/>
    <m/>
    <n v="8"/>
    <m/>
    <m/>
    <m/>
    <m/>
    <m/>
    <m/>
    <n v="6"/>
    <x v="1"/>
    <x v="1"/>
    <m/>
    <m/>
    <m/>
    <m/>
    <m/>
    <m/>
    <n v="3"/>
    <m/>
    <m/>
    <n v="2"/>
    <m/>
    <n v="1"/>
    <n v="1"/>
    <m/>
    <m/>
    <m/>
    <m/>
    <m/>
    <m/>
    <m/>
    <m/>
    <m/>
    <m/>
    <m/>
    <m/>
    <m/>
    <m/>
    <m/>
    <m/>
    <m/>
    <s v="no test"/>
    <s v="no test"/>
    <s v="No Test"/>
    <n v="3"/>
    <n v="0"/>
    <n v="0"/>
    <n v="0"/>
    <n v="0"/>
    <n v="0"/>
    <n v="0"/>
    <m/>
    <n v="1"/>
    <n v="1"/>
    <n v="1"/>
    <n v="267"/>
    <n v="0"/>
    <n v="0"/>
    <n v="1"/>
    <n v="267"/>
    <n v="0.53400000000000003"/>
    <n v="0"/>
    <n v="0"/>
    <n v="0.46599999999999997"/>
    <n v="1"/>
    <n v="8"/>
    <n v="0.59925093632958804"/>
    <n v="160"/>
    <n v="0"/>
    <n v="0"/>
    <n v="0"/>
    <n v="13"/>
    <n v="5"/>
    <n v="0.40074906367041196"/>
    <n v="0"/>
    <n v="267"/>
    <n v="0"/>
    <n v="0"/>
    <n v="0"/>
    <n v="267"/>
    <n v="1"/>
    <n v="0"/>
    <n v="1"/>
    <n v="0"/>
    <n v="0"/>
    <n v="3"/>
    <n v="55"/>
    <n v="0"/>
    <n v="267"/>
    <s v="No"/>
    <s v=""/>
    <n v="0"/>
    <n v="0"/>
    <n v="0"/>
    <n v="0"/>
    <n v="0"/>
    <n v="0"/>
    <s v="Yes"/>
    <s v="KBC-MYT"/>
    <x v="0"/>
    <x v="2"/>
    <x v="0"/>
    <n v="25.350989999999999"/>
    <n v="97.442809999999994"/>
    <s v="MMR001CMP269"/>
    <x v="0"/>
    <x v="0"/>
    <s v="Yes. KBC is focal"/>
    <n v="81"/>
    <n v="387"/>
  </r>
  <r>
    <x v="1"/>
    <x v="14"/>
    <x v="12"/>
    <s v="ANCHOR"/>
    <x v="1"/>
    <x v="14"/>
    <x v="0"/>
    <x v="198"/>
    <n v="76"/>
    <n v="319"/>
    <d v="2023-01-01T00:00:00"/>
    <d v="2024-03-31T00:00:00"/>
    <m/>
    <m/>
    <n v="1"/>
    <m/>
    <s v="Yes"/>
    <n v="1"/>
    <n v="4"/>
    <n v="2"/>
    <n v="1"/>
    <m/>
    <n v="1"/>
    <m/>
    <m/>
    <m/>
    <m/>
    <m/>
    <m/>
    <m/>
    <m/>
    <m/>
    <m/>
    <m/>
    <m/>
    <m/>
    <m/>
    <m/>
    <n v="1"/>
    <n v="1"/>
    <m/>
    <s v="နွေရာသီရေခမ်း "/>
    <n v="9"/>
    <m/>
    <s v="Shalom"/>
    <m/>
    <m/>
    <m/>
    <m/>
    <m/>
    <x v="1"/>
    <x v="1"/>
    <m/>
    <m/>
    <m/>
    <m/>
    <m/>
    <m/>
    <n v="5"/>
    <m/>
    <m/>
    <n v="3"/>
    <m/>
    <n v="1"/>
    <m/>
    <n v="68"/>
    <m/>
    <s v="Yes"/>
    <n v="1"/>
    <n v="0.5"/>
    <m/>
    <n v="0.96"/>
    <n v="0.9"/>
    <n v="100"/>
    <n v="0.99"/>
    <m/>
    <m/>
    <m/>
    <m/>
    <m/>
    <m/>
    <m/>
    <s v="no test"/>
    <s v="no test"/>
    <s v="No Test"/>
    <n v="1"/>
    <n v="1"/>
    <n v="0"/>
    <n v="0"/>
    <n v="0"/>
    <n v="319"/>
    <n v="0"/>
    <m/>
    <n v="1"/>
    <n v="1"/>
    <n v="1"/>
    <n v="319"/>
    <n v="0"/>
    <n v="0"/>
    <n v="1"/>
    <n v="319"/>
    <n v="0.63800000000000001"/>
    <n v="0"/>
    <n v="0"/>
    <n v="0.36199999999999999"/>
    <n v="1"/>
    <n v="9"/>
    <n v="0.56426332288401249"/>
    <n v="180"/>
    <n v="0"/>
    <n v="0"/>
    <n v="0"/>
    <n v="16"/>
    <n v="7"/>
    <n v="0.43573667711598751"/>
    <n v="0"/>
    <n v="319"/>
    <n v="319"/>
    <n v="0"/>
    <n v="319"/>
    <n v="319"/>
    <n v="1"/>
    <n v="0"/>
    <n v="1"/>
    <n v="1"/>
    <n v="0"/>
    <n v="5"/>
    <n v="76"/>
    <n v="1"/>
    <n v="319"/>
    <s v="No"/>
    <n v="0.31347962382445144"/>
    <n v="306.24"/>
    <n v="287.10000000000002"/>
    <n v="315.81"/>
    <n v="315.81"/>
    <n v="319"/>
    <n v="0"/>
    <s v="Yes"/>
    <s v="Shalom"/>
    <x v="0"/>
    <x v="2"/>
    <x v="0"/>
    <n v="25.351250396825399"/>
    <n v="97.444283730158702"/>
    <s v="MMR001CMP038"/>
    <x v="0"/>
    <x v="2"/>
    <s v="Yes. Focal is Shalom "/>
    <n v="76"/>
    <n v="321"/>
  </r>
  <r>
    <x v="1"/>
    <x v="13"/>
    <x v="11"/>
    <m/>
    <x v="1"/>
    <x v="14"/>
    <x v="0"/>
    <x v="153"/>
    <n v="27"/>
    <n v="139"/>
    <m/>
    <m/>
    <m/>
    <m/>
    <m/>
    <m/>
    <m/>
    <m/>
    <m/>
    <m/>
    <m/>
    <m/>
    <m/>
    <m/>
    <m/>
    <m/>
    <m/>
    <m/>
    <m/>
    <m/>
    <m/>
    <m/>
    <m/>
    <m/>
    <m/>
    <m/>
    <m/>
    <m/>
    <m/>
    <m/>
    <m/>
    <m/>
    <m/>
    <m/>
    <m/>
    <m/>
    <m/>
    <m/>
    <m/>
    <m/>
    <x v="2"/>
    <x v="2"/>
    <m/>
    <m/>
    <m/>
    <m/>
    <m/>
    <m/>
    <n v="7"/>
    <m/>
    <m/>
    <n v="7"/>
    <m/>
    <m/>
    <m/>
    <m/>
    <m/>
    <m/>
    <m/>
    <m/>
    <m/>
    <m/>
    <m/>
    <m/>
    <m/>
    <m/>
    <m/>
    <m/>
    <m/>
    <m/>
    <m/>
    <m/>
    <s v="no test"/>
    <s v="no test"/>
    <s v="No Test"/>
    <n v="0"/>
    <n v="0"/>
    <n v="0"/>
    <n v="0"/>
    <n v="0"/>
    <n v="0"/>
    <n v="0"/>
    <m/>
    <n v="0"/>
    <n v="0"/>
    <n v="0"/>
    <n v="0"/>
    <n v="0"/>
    <n v="0"/>
    <n v="0"/>
    <n v="0"/>
    <n v="0"/>
    <n v="1"/>
    <n v="139"/>
    <n v="1"/>
    <n v="1"/>
    <n v="0"/>
    <n v="0"/>
    <n v="0"/>
    <n v="0"/>
    <n v="0"/>
    <n v="0"/>
    <n v="7"/>
    <n v="7"/>
    <n v="1"/>
    <n v="0"/>
    <n v="0"/>
    <n v="0"/>
    <n v="0"/>
    <n v="0"/>
    <n v="0"/>
    <n v="0"/>
    <n v="1"/>
    <n v="0"/>
    <n v="0"/>
    <n v="0"/>
    <n v="7"/>
    <n v="27"/>
    <n v="0"/>
    <n v="139"/>
    <s v="No"/>
    <s v=""/>
    <n v="0"/>
    <n v="0"/>
    <n v="0"/>
    <n v="0"/>
    <n v="0"/>
    <n v="0"/>
    <n v="0"/>
    <s v="Uncovered  "/>
    <x v="0"/>
    <x v="0"/>
    <x v="0"/>
    <n v="25.211500000000001"/>
    <n v="97.261799999999994"/>
    <s v="MMR001CMP287"/>
    <x v="1"/>
    <x v="1"/>
    <s v="Yes"/>
    <n v="24"/>
    <n v="126"/>
  </r>
  <r>
    <x v="1"/>
    <x v="9"/>
    <x v="7"/>
    <s v="USAID, MHF 24165, UNOPS"/>
    <x v="1"/>
    <x v="14"/>
    <x v="0"/>
    <x v="87"/>
    <n v="1350"/>
    <n v="7394"/>
    <s v=" 13-8-2021, 1-5-2023, 30-4-2023"/>
    <s v="30-6-2023, 30-4-2024, 31-12-2023"/>
    <m/>
    <m/>
    <m/>
    <m/>
    <s v="Yes"/>
    <n v="2"/>
    <n v="2"/>
    <m/>
    <m/>
    <m/>
    <m/>
    <m/>
    <m/>
    <m/>
    <n v="11"/>
    <m/>
    <m/>
    <m/>
    <m/>
    <m/>
    <m/>
    <m/>
    <m/>
    <m/>
    <m/>
    <m/>
    <n v="6"/>
    <n v="3"/>
    <m/>
    <m/>
    <n v="267"/>
    <m/>
    <m/>
    <m/>
    <n v="66"/>
    <m/>
    <m/>
    <m/>
    <x v="1"/>
    <x v="1"/>
    <m/>
    <m/>
    <m/>
    <m/>
    <m/>
    <m/>
    <n v="1"/>
    <m/>
    <m/>
    <n v="1"/>
    <m/>
    <m/>
    <m/>
    <n v="1350"/>
    <n v="1300"/>
    <m/>
    <m/>
    <m/>
    <m/>
    <m/>
    <m/>
    <m/>
    <m/>
    <n v="20"/>
    <m/>
    <m/>
    <m/>
    <m/>
    <m/>
    <m/>
    <s v="no test"/>
    <s v="no test"/>
    <s v="No Test"/>
    <n v="0"/>
    <n v="0"/>
    <n v="11"/>
    <n v="0"/>
    <n v="0"/>
    <n v="1500"/>
    <n v="0"/>
    <m/>
    <n v="9.9179514922008841E-2"/>
    <n v="9.9179514922008841E-2"/>
    <n v="9.9179514922008841E-2"/>
    <n v="733.33333333333337"/>
    <n v="0"/>
    <n v="0"/>
    <n v="9.9179514922008841E-2"/>
    <n v="733.33333333333337"/>
    <n v="1.4666666666666668"/>
    <n v="0.90082048507799117"/>
    <n v="6660.666666666667"/>
    <n v="13.533333333333333"/>
    <n v="15"/>
    <n v="267"/>
    <n v="0.72220719502299158"/>
    <n v="5340"/>
    <n v="0"/>
    <n v="0"/>
    <n v="0"/>
    <n v="370"/>
    <n v="103"/>
    <n v="0.27779280497700842"/>
    <n v="0"/>
    <n v="0"/>
    <n v="7394"/>
    <n v="1300"/>
    <n v="7394"/>
    <n v="7394"/>
    <n v="1"/>
    <n v="0"/>
    <n v="0"/>
    <n v="1"/>
    <n v="0.96296296296296291"/>
    <n v="1"/>
    <n v="20"/>
    <n v="0"/>
    <n v="100"/>
    <s v="No"/>
    <s v=""/>
    <n v="0"/>
    <n v="0"/>
    <n v="0"/>
    <n v="0"/>
    <n v="1500"/>
    <n v="0"/>
    <s v="Yes"/>
    <s v="KMSS-MYT"/>
    <x v="0"/>
    <x v="2"/>
    <x v="1"/>
    <n v="24.755253"/>
    <n v="97.546893999999995"/>
    <s v="MMR001CMP116"/>
    <x v="0"/>
    <x v="0"/>
    <s v="Yes. Metta is focal"/>
    <n v="1352"/>
    <n v="7353"/>
  </r>
  <r>
    <x v="1"/>
    <x v="9"/>
    <x v="7"/>
    <s v="USAID, MHF 24165, UNOPS"/>
    <x v="1"/>
    <x v="14"/>
    <x v="2"/>
    <x v="88"/>
    <n v="134"/>
    <n v="709"/>
    <s v=" 13-8-2021, 1-5-2023, 30-4-2023"/>
    <s v="30-6-2023, 30-4-2024, 31-12-2023"/>
    <m/>
    <m/>
    <m/>
    <m/>
    <s v="No"/>
    <m/>
    <m/>
    <m/>
    <m/>
    <m/>
    <m/>
    <m/>
    <m/>
    <m/>
    <n v="1"/>
    <m/>
    <m/>
    <m/>
    <m/>
    <m/>
    <m/>
    <m/>
    <m/>
    <m/>
    <m/>
    <m/>
    <m/>
    <m/>
    <m/>
    <m/>
    <m/>
    <m/>
    <m/>
    <m/>
    <m/>
    <m/>
    <m/>
    <m/>
    <x v="1"/>
    <x v="3"/>
    <m/>
    <m/>
    <m/>
    <m/>
    <m/>
    <m/>
    <n v="8"/>
    <m/>
    <m/>
    <n v="3"/>
    <m/>
    <m/>
    <m/>
    <m/>
    <m/>
    <m/>
    <m/>
    <m/>
    <m/>
    <m/>
    <m/>
    <m/>
    <m/>
    <m/>
    <m/>
    <m/>
    <m/>
    <m/>
    <m/>
    <m/>
    <s v="no test"/>
    <s v="no test"/>
    <s v="No Test"/>
    <n v="0"/>
    <n v="0"/>
    <n v="1"/>
    <n v="0"/>
    <n v="0"/>
    <n v="0"/>
    <n v="0"/>
    <m/>
    <n v="9.4029149036201229E-2"/>
    <n v="9.4029149036201229E-2"/>
    <n v="9.4029149036201229E-2"/>
    <n v="66.666666666666671"/>
    <n v="0"/>
    <n v="0"/>
    <n v="9.4029149036201229E-2"/>
    <n v="66.666666666666671"/>
    <n v="0.13333333333333333"/>
    <n v="0.90597085096379881"/>
    <n v="642.33333333333337"/>
    <n v="0.8666666666666667"/>
    <n v="1"/>
    <n v="0"/>
    <n v="0"/>
    <n v="0"/>
    <n v="0"/>
    <n v="0"/>
    <n v="0"/>
    <n v="35"/>
    <n v="35"/>
    <n v="1"/>
    <n v="0"/>
    <n v="0"/>
    <n v="0"/>
    <n v="0"/>
    <n v="0"/>
    <n v="0"/>
    <n v="0"/>
    <n v="1"/>
    <n v="0"/>
    <n v="0"/>
    <n v="0"/>
    <n v="8"/>
    <n v="134"/>
    <n v="0"/>
    <n v="709"/>
    <s v="No"/>
    <s v=""/>
    <n v="0"/>
    <n v="0"/>
    <n v="0"/>
    <n v="0"/>
    <n v="0"/>
    <n v="0"/>
    <n v="0"/>
    <n v="0"/>
    <x v="0"/>
    <x v="2"/>
    <x v="1"/>
    <n v="0"/>
    <n v="0"/>
    <n v="0"/>
    <x v="0"/>
    <x v="0"/>
    <s v="Yes. Metta is focal"/>
    <n v="0"/>
    <n v="0"/>
  </r>
  <r>
    <x v="1"/>
    <x v="9"/>
    <x v="7"/>
    <s v="USAID, MHF 24165, UNOPS"/>
    <x v="1"/>
    <x v="14"/>
    <x v="2"/>
    <x v="89"/>
    <n v="546"/>
    <n v="2550"/>
    <s v=" 13-8-2021, 1-5-2023, 30-4-2023"/>
    <s v="30-6-2023, 30-4-2024, 31-12-2023"/>
    <m/>
    <m/>
    <m/>
    <m/>
    <s v="No"/>
    <m/>
    <m/>
    <m/>
    <m/>
    <m/>
    <m/>
    <m/>
    <m/>
    <m/>
    <m/>
    <m/>
    <m/>
    <m/>
    <m/>
    <m/>
    <m/>
    <m/>
    <m/>
    <m/>
    <m/>
    <m/>
    <m/>
    <m/>
    <m/>
    <m/>
    <m/>
    <m/>
    <m/>
    <m/>
    <m/>
    <m/>
    <m/>
    <m/>
    <x v="0"/>
    <x v="0"/>
    <m/>
    <m/>
    <m/>
    <m/>
    <m/>
    <m/>
    <n v="7"/>
    <m/>
    <m/>
    <n v="7"/>
    <m/>
    <m/>
    <m/>
    <m/>
    <m/>
    <m/>
    <m/>
    <m/>
    <m/>
    <m/>
    <m/>
    <m/>
    <m/>
    <m/>
    <m/>
    <m/>
    <m/>
    <m/>
    <m/>
    <m/>
    <s v="no test"/>
    <s v="no test"/>
    <s v="No Test"/>
    <n v="0"/>
    <n v="0"/>
    <n v="0"/>
    <n v="0"/>
    <n v="0"/>
    <n v="0"/>
    <n v="0"/>
    <m/>
    <n v="0"/>
    <n v="0"/>
    <n v="0"/>
    <n v="0"/>
    <n v="0"/>
    <n v="0"/>
    <n v="0"/>
    <n v="0"/>
    <n v="0"/>
    <n v="1"/>
    <n v="2550"/>
    <n v="5"/>
    <n v="5"/>
    <n v="0"/>
    <n v="0"/>
    <n v="0"/>
    <n v="0"/>
    <n v="0"/>
    <n v="0"/>
    <n v="128"/>
    <n v="128"/>
    <n v="1"/>
    <n v="0"/>
    <n v="0"/>
    <n v="0"/>
    <n v="0"/>
    <n v="0"/>
    <n v="0"/>
    <n v="0"/>
    <n v="1"/>
    <n v="0"/>
    <n v="0"/>
    <n v="0"/>
    <n v="7"/>
    <n v="140"/>
    <n v="0"/>
    <n v="700"/>
    <s v="No"/>
    <s v=""/>
    <n v="0"/>
    <n v="0"/>
    <n v="0"/>
    <n v="0"/>
    <n v="0"/>
    <n v="0"/>
    <n v="0"/>
    <n v="0"/>
    <x v="0"/>
    <x v="4"/>
    <x v="1"/>
    <n v="0"/>
    <n v="0"/>
    <n v="0"/>
    <x v="0"/>
    <x v="0"/>
    <s v="Yes. Metta is focal"/>
    <n v="0"/>
    <n v="0"/>
  </r>
  <r>
    <x v="1"/>
    <x v="9"/>
    <x v="7"/>
    <s v="MHF"/>
    <x v="0"/>
    <x v="16"/>
    <x v="0"/>
    <x v="90"/>
    <n v="40"/>
    <n v="206"/>
    <d v="2021-11-11T00:00:00"/>
    <d v="2023-08-08T00:00:00"/>
    <m/>
    <m/>
    <n v="1"/>
    <m/>
    <s v="Yes"/>
    <m/>
    <n v="5"/>
    <n v="4"/>
    <m/>
    <m/>
    <n v="1"/>
    <m/>
    <m/>
    <m/>
    <m/>
    <m/>
    <m/>
    <m/>
    <m/>
    <m/>
    <m/>
    <m/>
    <m/>
    <m/>
    <m/>
    <m/>
    <m/>
    <m/>
    <m/>
    <m/>
    <n v="6"/>
    <n v="10"/>
    <m/>
    <m/>
    <m/>
    <m/>
    <m/>
    <m/>
    <x v="1"/>
    <x v="1"/>
    <m/>
    <m/>
    <m/>
    <m/>
    <m/>
    <m/>
    <m/>
    <m/>
    <m/>
    <n v="2"/>
    <m/>
    <m/>
    <n v="1"/>
    <m/>
    <m/>
    <s v="Yes"/>
    <m/>
    <m/>
    <m/>
    <m/>
    <m/>
    <m/>
    <m/>
    <m/>
    <m/>
    <m/>
    <m/>
    <m/>
    <m/>
    <m/>
    <s v="no test"/>
    <s v="no test"/>
    <s v="No Test"/>
    <n v="4"/>
    <n v="1"/>
    <n v="0"/>
    <n v="0"/>
    <n v="0"/>
    <n v="0"/>
    <n v="0"/>
    <m/>
    <n v="1"/>
    <n v="1"/>
    <n v="1"/>
    <n v="206"/>
    <n v="0"/>
    <n v="0"/>
    <n v="1"/>
    <n v="206"/>
    <n v="0.41199999999999998"/>
    <n v="0"/>
    <n v="0"/>
    <n v="0.58800000000000008"/>
    <n v="1"/>
    <n v="16"/>
    <n v="1"/>
    <n v="206"/>
    <n v="0"/>
    <n v="0"/>
    <n v="0"/>
    <n v="10"/>
    <n v="0"/>
    <n v="0"/>
    <n v="0"/>
    <n v="206"/>
    <n v="0"/>
    <n v="0"/>
    <n v="0"/>
    <n v="206"/>
    <n v="1"/>
    <n v="0"/>
    <n v="1"/>
    <n v="0"/>
    <n v="0"/>
    <n v="0"/>
    <n v="0"/>
    <n v="0"/>
    <n v="0"/>
    <s v="No"/>
    <s v=""/>
    <n v="0"/>
    <n v="0"/>
    <n v="0"/>
    <n v="0"/>
    <n v="0"/>
    <n v="0"/>
    <s v="Yes"/>
    <s v="KBC-NSS"/>
    <x v="0"/>
    <x v="2"/>
    <x v="0"/>
    <n v="23.354268999999999"/>
    <n v="98.218626999999998"/>
    <s v="MMR015CMP036"/>
    <x v="0"/>
    <x v="0"/>
    <s v="Metta is focal."/>
    <n v="33"/>
    <n v="158"/>
  </r>
  <r>
    <x v="1"/>
    <x v="9"/>
    <x v="7"/>
    <s v="MHF"/>
    <x v="0"/>
    <x v="16"/>
    <x v="0"/>
    <x v="91"/>
    <n v="42"/>
    <n v="195"/>
    <d v="2021-11-11T00:00:00"/>
    <d v="2023-08-08T00:00:00"/>
    <m/>
    <m/>
    <m/>
    <m/>
    <m/>
    <n v="4"/>
    <n v="4"/>
    <m/>
    <m/>
    <m/>
    <n v="1"/>
    <m/>
    <m/>
    <m/>
    <n v="1"/>
    <m/>
    <m/>
    <m/>
    <m/>
    <m/>
    <m/>
    <n v="1"/>
    <m/>
    <m/>
    <m/>
    <m/>
    <n v="1"/>
    <m/>
    <m/>
    <m/>
    <n v="38"/>
    <m/>
    <m/>
    <m/>
    <m/>
    <m/>
    <m/>
    <m/>
    <x v="0"/>
    <x v="0"/>
    <m/>
    <m/>
    <m/>
    <m/>
    <m/>
    <m/>
    <m/>
    <m/>
    <m/>
    <m/>
    <m/>
    <m/>
    <n v="1"/>
    <m/>
    <m/>
    <s v="Yes"/>
    <m/>
    <m/>
    <m/>
    <m/>
    <m/>
    <m/>
    <m/>
    <m/>
    <m/>
    <m/>
    <m/>
    <m/>
    <m/>
    <m/>
    <s v="no test"/>
    <s v="no test"/>
    <s v="No Test"/>
    <n v="0"/>
    <n v="1"/>
    <n v="1"/>
    <n v="0"/>
    <n v="0"/>
    <n v="0"/>
    <n v="0"/>
    <m/>
    <n v="1"/>
    <n v="1"/>
    <n v="1"/>
    <n v="195"/>
    <n v="0"/>
    <n v="0"/>
    <n v="1"/>
    <n v="195"/>
    <n v="0.39"/>
    <n v="0"/>
    <n v="0"/>
    <n v="0.61"/>
    <n v="1"/>
    <n v="38"/>
    <n v="1"/>
    <n v="195"/>
    <n v="0"/>
    <n v="0"/>
    <n v="0"/>
    <n v="10"/>
    <n v="0"/>
    <n v="0"/>
    <n v="0"/>
    <n v="195"/>
    <n v="0"/>
    <n v="0"/>
    <n v="0"/>
    <n v="195"/>
    <n v="1"/>
    <n v="0"/>
    <n v="1"/>
    <n v="0"/>
    <n v="0"/>
    <n v="0"/>
    <n v="0"/>
    <n v="1"/>
    <n v="0"/>
    <s v="No"/>
    <s v=""/>
    <n v="0"/>
    <n v="0"/>
    <n v="0"/>
    <n v="0"/>
    <n v="0"/>
    <n v="0"/>
    <n v="0"/>
    <n v="0"/>
    <x v="0"/>
    <x v="1"/>
    <x v="0"/>
    <n v="23.353999999999999"/>
    <n v="98.221000000000004"/>
    <s v="MMR015CMP226"/>
    <x v="0"/>
    <x v="0"/>
    <s v="MHF, HK. Metta is focal like a new village. No camp setting. Moved to 4W village"/>
    <n v="0"/>
    <n v="0"/>
  </r>
  <r>
    <x v="1"/>
    <x v="0"/>
    <x v="0"/>
    <s v="Luxemburg MoFA"/>
    <x v="0"/>
    <x v="0"/>
    <x v="0"/>
    <x v="0"/>
    <n v="37"/>
    <n v="120"/>
    <d v="2022-08-01T00:00:00"/>
    <d v="2023-04-30T00:00:00"/>
    <m/>
    <m/>
    <m/>
    <m/>
    <m/>
    <m/>
    <m/>
    <m/>
    <m/>
    <m/>
    <m/>
    <m/>
    <m/>
    <m/>
    <m/>
    <m/>
    <m/>
    <m/>
    <m/>
    <m/>
    <m/>
    <m/>
    <m/>
    <m/>
    <m/>
    <m/>
    <m/>
    <m/>
    <m/>
    <m/>
    <m/>
    <m/>
    <m/>
    <m/>
    <m/>
    <m/>
    <m/>
    <m/>
    <x v="0"/>
    <x v="0"/>
    <m/>
    <m/>
    <m/>
    <m/>
    <m/>
    <m/>
    <m/>
    <m/>
    <m/>
    <m/>
    <m/>
    <m/>
    <m/>
    <n v="9"/>
    <n v="14"/>
    <s v="Yes"/>
    <m/>
    <m/>
    <m/>
    <m/>
    <m/>
    <m/>
    <m/>
    <m/>
    <m/>
    <m/>
    <m/>
    <m/>
    <m/>
    <m/>
    <s v="no test"/>
    <s v="no test"/>
    <s v="No Test"/>
    <n v="0"/>
    <n v="0"/>
    <n v="0"/>
    <n v="0"/>
    <n v="0"/>
    <n v="0"/>
    <n v="0"/>
    <m/>
    <n v="0"/>
    <n v="0"/>
    <n v="0"/>
    <n v="0"/>
    <n v="0"/>
    <n v="0"/>
    <n v="0"/>
    <n v="0"/>
    <n v="0"/>
    <n v="1"/>
    <n v="120"/>
    <n v="1"/>
    <n v="1"/>
    <n v="0"/>
    <n v="0"/>
    <n v="0"/>
    <n v="0"/>
    <n v="0"/>
    <n v="0"/>
    <n v="6"/>
    <n v="6"/>
    <n v="1"/>
    <n v="0"/>
    <n v="0"/>
    <n v="45"/>
    <n v="14"/>
    <n v="45"/>
    <n v="45"/>
    <n v="0.375"/>
    <n v="0.625"/>
    <n v="0"/>
    <n v="0.97297297297297303"/>
    <n v="0.3783783783783784"/>
    <n v="0"/>
    <n v="0"/>
    <n v="0"/>
    <n v="0"/>
    <s v="No"/>
    <s v=""/>
    <n v="0"/>
    <n v="0"/>
    <n v="0"/>
    <n v="0"/>
    <n v="0"/>
    <n v="0"/>
    <n v="0"/>
    <s v="uncovered"/>
    <x v="0"/>
    <x v="0"/>
    <x v="0"/>
    <n v="22.677008000000001"/>
    <n v="97.314762999999999"/>
    <s v="MMR015CMP062"/>
    <x v="0"/>
    <x v="0"/>
    <m/>
    <n v="37"/>
    <n v="120"/>
  </r>
  <r>
    <x v="1"/>
    <x v="9"/>
    <x v="7"/>
    <s v="MHF"/>
    <x v="0"/>
    <x v="17"/>
    <x v="0"/>
    <x v="92"/>
    <n v="27"/>
    <n v="162"/>
    <d v="2021-11-11T00:00:00"/>
    <d v="2023-08-08T00:00:00"/>
    <m/>
    <m/>
    <m/>
    <m/>
    <m/>
    <m/>
    <m/>
    <m/>
    <m/>
    <m/>
    <m/>
    <m/>
    <m/>
    <m/>
    <m/>
    <m/>
    <m/>
    <m/>
    <m/>
    <m/>
    <m/>
    <m/>
    <m/>
    <m/>
    <m/>
    <m/>
    <m/>
    <m/>
    <m/>
    <m/>
    <n v="26"/>
    <m/>
    <m/>
    <m/>
    <m/>
    <m/>
    <m/>
    <m/>
    <x v="2"/>
    <x v="2"/>
    <m/>
    <m/>
    <m/>
    <m/>
    <m/>
    <m/>
    <n v="7"/>
    <m/>
    <m/>
    <n v="4"/>
    <m/>
    <m/>
    <m/>
    <m/>
    <m/>
    <s v="Yes"/>
    <m/>
    <m/>
    <m/>
    <m/>
    <m/>
    <m/>
    <m/>
    <m/>
    <m/>
    <m/>
    <m/>
    <m/>
    <m/>
    <m/>
    <s v="no test"/>
    <s v="no test"/>
    <s v="No Test"/>
    <n v="0"/>
    <n v="0"/>
    <n v="0"/>
    <n v="0"/>
    <n v="0"/>
    <n v="0"/>
    <n v="0"/>
    <m/>
    <n v="0"/>
    <n v="0"/>
    <n v="0"/>
    <n v="0"/>
    <n v="0"/>
    <n v="0"/>
    <n v="0"/>
    <n v="0"/>
    <n v="0"/>
    <n v="1"/>
    <n v="162"/>
    <n v="1"/>
    <n v="1"/>
    <n v="26"/>
    <n v="1"/>
    <n v="162"/>
    <n v="0"/>
    <n v="0"/>
    <n v="0"/>
    <n v="8"/>
    <n v="0"/>
    <n v="0"/>
    <n v="0"/>
    <n v="0"/>
    <n v="0"/>
    <n v="0"/>
    <n v="0"/>
    <n v="0"/>
    <n v="0"/>
    <n v="1"/>
    <n v="0"/>
    <n v="0"/>
    <n v="0"/>
    <n v="7"/>
    <n v="27"/>
    <n v="0"/>
    <n v="162"/>
    <s v="No"/>
    <s v=""/>
    <n v="0"/>
    <n v="0"/>
    <n v="0"/>
    <n v="0"/>
    <n v="0"/>
    <n v="0"/>
    <n v="0"/>
    <n v="0"/>
    <x v="0"/>
    <x v="4"/>
    <x v="0"/>
    <n v="23.400155999999999"/>
    <n v="98.220614999999995"/>
    <s v="MMR015CMP071"/>
    <x v="0"/>
    <x v="0"/>
    <s v="Metta is focal."/>
    <n v="27"/>
    <n v="162"/>
  </r>
  <r>
    <x v="1"/>
    <x v="9"/>
    <x v="7"/>
    <s v="MHF"/>
    <x v="0"/>
    <x v="17"/>
    <x v="0"/>
    <x v="93"/>
    <n v="74"/>
    <n v="439"/>
    <d v="2021-11-11T00:00:00"/>
    <d v="2023-08-08T00:00:00"/>
    <m/>
    <n v="1"/>
    <m/>
    <m/>
    <s v="Yes"/>
    <n v="5"/>
    <n v="1"/>
    <m/>
    <m/>
    <m/>
    <m/>
    <m/>
    <m/>
    <m/>
    <n v="14"/>
    <m/>
    <m/>
    <m/>
    <m/>
    <m/>
    <m/>
    <m/>
    <m/>
    <m/>
    <m/>
    <m/>
    <m/>
    <m/>
    <m/>
    <m/>
    <n v="40"/>
    <m/>
    <m/>
    <m/>
    <m/>
    <m/>
    <m/>
    <m/>
    <x v="2"/>
    <x v="2"/>
    <m/>
    <m/>
    <m/>
    <m/>
    <m/>
    <m/>
    <n v="3"/>
    <m/>
    <m/>
    <n v="2"/>
    <m/>
    <m/>
    <n v="1"/>
    <m/>
    <m/>
    <s v="Yes"/>
    <m/>
    <m/>
    <m/>
    <m/>
    <m/>
    <m/>
    <m/>
    <m/>
    <m/>
    <m/>
    <m/>
    <m/>
    <m/>
    <m/>
    <s v="no test"/>
    <s v="no test"/>
    <s v="No Test"/>
    <n v="0"/>
    <n v="0"/>
    <n v="14"/>
    <n v="0"/>
    <n v="0"/>
    <n v="0"/>
    <n v="0"/>
    <m/>
    <n v="1"/>
    <n v="1"/>
    <n v="1"/>
    <n v="439"/>
    <n v="0"/>
    <n v="0"/>
    <n v="1"/>
    <n v="439"/>
    <n v="0.878"/>
    <n v="0"/>
    <n v="0"/>
    <n v="0.122"/>
    <n v="1"/>
    <n v="40"/>
    <n v="1"/>
    <n v="439"/>
    <n v="0"/>
    <n v="0"/>
    <n v="0"/>
    <n v="22"/>
    <n v="0"/>
    <n v="0"/>
    <n v="0"/>
    <n v="439"/>
    <n v="0"/>
    <n v="0"/>
    <n v="0"/>
    <n v="439"/>
    <n v="1"/>
    <n v="0"/>
    <n v="1"/>
    <n v="0"/>
    <n v="0"/>
    <n v="3"/>
    <n v="60"/>
    <n v="0"/>
    <n v="300"/>
    <s v="No"/>
    <s v=""/>
    <n v="0"/>
    <n v="0"/>
    <n v="0"/>
    <n v="0"/>
    <n v="0"/>
    <n v="0"/>
    <n v="0"/>
    <s v="uncovered"/>
    <x v="0"/>
    <x v="0"/>
    <x v="0"/>
    <n v="23.234137"/>
    <n v="97.505339000000006"/>
    <s v="MMR015CMP030"/>
    <x v="0"/>
    <x v="0"/>
    <s v="Metta is focal."/>
    <n v="86"/>
    <n v="525"/>
  </r>
  <r>
    <x v="1"/>
    <x v="9"/>
    <x v="7"/>
    <s v="MHF"/>
    <x v="0"/>
    <x v="17"/>
    <x v="0"/>
    <x v="94"/>
    <n v="26"/>
    <n v="132"/>
    <d v="2021-11-11T00:00:00"/>
    <d v="2023-08-08T00:00:00"/>
    <m/>
    <m/>
    <m/>
    <m/>
    <m/>
    <n v="3"/>
    <n v="2"/>
    <m/>
    <m/>
    <m/>
    <m/>
    <m/>
    <m/>
    <m/>
    <n v="8"/>
    <m/>
    <m/>
    <m/>
    <m/>
    <m/>
    <m/>
    <m/>
    <m/>
    <m/>
    <m/>
    <m/>
    <m/>
    <m/>
    <m/>
    <m/>
    <n v="27"/>
    <m/>
    <m/>
    <m/>
    <m/>
    <m/>
    <m/>
    <n v="2"/>
    <x v="1"/>
    <x v="0"/>
    <m/>
    <m/>
    <m/>
    <m/>
    <m/>
    <m/>
    <n v="7"/>
    <m/>
    <m/>
    <n v="7"/>
    <m/>
    <m/>
    <n v="1"/>
    <m/>
    <m/>
    <m/>
    <m/>
    <m/>
    <m/>
    <m/>
    <m/>
    <m/>
    <m/>
    <m/>
    <m/>
    <m/>
    <m/>
    <m/>
    <m/>
    <m/>
    <s v="no test"/>
    <s v="no test"/>
    <s v="No Test"/>
    <n v="0"/>
    <n v="0"/>
    <n v="8"/>
    <n v="0"/>
    <n v="0"/>
    <n v="0"/>
    <n v="0"/>
    <m/>
    <n v="1"/>
    <n v="1"/>
    <n v="1"/>
    <n v="132"/>
    <n v="0"/>
    <n v="0"/>
    <n v="1"/>
    <n v="132"/>
    <n v="0.26400000000000001"/>
    <n v="0"/>
    <n v="0"/>
    <n v="0.73599999999999999"/>
    <n v="1"/>
    <n v="27"/>
    <n v="1"/>
    <n v="132"/>
    <n v="0"/>
    <n v="0"/>
    <n v="0"/>
    <n v="7"/>
    <n v="0"/>
    <n v="0"/>
    <n v="0"/>
    <n v="132"/>
    <n v="0"/>
    <n v="0"/>
    <n v="0"/>
    <n v="132"/>
    <n v="1"/>
    <n v="0"/>
    <n v="1"/>
    <n v="0"/>
    <n v="0"/>
    <n v="7"/>
    <n v="26"/>
    <n v="0"/>
    <n v="132"/>
    <s v="No"/>
    <s v=""/>
    <n v="0"/>
    <n v="0"/>
    <n v="0"/>
    <n v="0"/>
    <n v="0"/>
    <n v="0"/>
    <s v="Yes"/>
    <s v="KMSS-LSO"/>
    <x v="0"/>
    <x v="2"/>
    <x v="0"/>
    <n v="23.38503"/>
    <n v="97.837040000000002"/>
    <s v="MMR015CMP017"/>
    <x v="0"/>
    <x v="0"/>
    <s v="Metta is focal."/>
    <n v="26"/>
    <n v="135"/>
  </r>
  <r>
    <x v="1"/>
    <x v="9"/>
    <x v="7"/>
    <s v="MHF"/>
    <x v="0"/>
    <x v="17"/>
    <x v="0"/>
    <x v="95"/>
    <n v="29"/>
    <n v="130"/>
    <d v="2021-11-11T00:00:00"/>
    <d v="2023-08-08T00:00:00"/>
    <m/>
    <n v="1"/>
    <m/>
    <m/>
    <s v="Yes"/>
    <n v="4"/>
    <n v="5"/>
    <m/>
    <m/>
    <m/>
    <m/>
    <m/>
    <m/>
    <m/>
    <n v="13"/>
    <m/>
    <m/>
    <m/>
    <m/>
    <m/>
    <m/>
    <m/>
    <m/>
    <m/>
    <m/>
    <m/>
    <m/>
    <m/>
    <m/>
    <m/>
    <n v="30"/>
    <m/>
    <m/>
    <m/>
    <m/>
    <m/>
    <m/>
    <m/>
    <x v="1"/>
    <x v="1"/>
    <m/>
    <m/>
    <m/>
    <m/>
    <m/>
    <m/>
    <n v="7"/>
    <m/>
    <m/>
    <n v="1"/>
    <m/>
    <m/>
    <n v="1"/>
    <m/>
    <m/>
    <s v="Yes"/>
    <m/>
    <m/>
    <m/>
    <m/>
    <m/>
    <m/>
    <m/>
    <m/>
    <m/>
    <m/>
    <m/>
    <m/>
    <m/>
    <m/>
    <s v="no test"/>
    <s v="no test"/>
    <s v="No Test"/>
    <n v="0"/>
    <n v="0"/>
    <n v="13"/>
    <n v="0"/>
    <n v="0"/>
    <n v="0"/>
    <n v="0"/>
    <m/>
    <n v="1"/>
    <n v="1"/>
    <n v="1"/>
    <n v="130"/>
    <n v="0"/>
    <n v="0"/>
    <n v="1"/>
    <n v="130"/>
    <n v="0.26"/>
    <n v="0"/>
    <n v="0"/>
    <n v="0.74"/>
    <n v="1"/>
    <n v="30"/>
    <n v="1"/>
    <n v="130"/>
    <n v="0"/>
    <n v="0"/>
    <n v="0"/>
    <n v="7"/>
    <n v="0"/>
    <n v="0"/>
    <n v="0"/>
    <n v="130"/>
    <n v="0"/>
    <n v="0"/>
    <n v="0"/>
    <n v="130"/>
    <n v="1"/>
    <n v="0"/>
    <n v="1"/>
    <n v="0"/>
    <n v="0"/>
    <n v="7"/>
    <n v="29"/>
    <n v="0"/>
    <n v="130"/>
    <s v="No"/>
    <s v=""/>
    <n v="0"/>
    <n v="0"/>
    <n v="0"/>
    <n v="0"/>
    <n v="0"/>
    <n v="0"/>
    <s v="Yes"/>
    <s v="KMSS-LSO"/>
    <x v="0"/>
    <x v="2"/>
    <x v="0"/>
    <n v="23.638999999999999"/>
    <n v="97.861999999999995"/>
    <s v="MMR015CMP068"/>
    <x v="0"/>
    <x v="0"/>
    <s v="Metta is focal."/>
    <n v="31"/>
    <n v="145"/>
  </r>
  <r>
    <x v="1"/>
    <x v="9"/>
    <x v="7"/>
    <s v="MHF"/>
    <x v="0"/>
    <x v="17"/>
    <x v="0"/>
    <x v="96"/>
    <n v="40"/>
    <n v="244"/>
    <d v="2021-11-11T00:00:00"/>
    <d v="2023-08-08T00:00:00"/>
    <m/>
    <n v="1"/>
    <m/>
    <m/>
    <s v="Yes"/>
    <n v="3"/>
    <n v="3"/>
    <n v="1"/>
    <m/>
    <m/>
    <n v="1"/>
    <n v="2"/>
    <m/>
    <m/>
    <m/>
    <m/>
    <m/>
    <m/>
    <m/>
    <m/>
    <m/>
    <m/>
    <m/>
    <m/>
    <m/>
    <m/>
    <m/>
    <m/>
    <m/>
    <m/>
    <n v="12"/>
    <m/>
    <m/>
    <m/>
    <m/>
    <m/>
    <m/>
    <m/>
    <x v="1"/>
    <x v="0"/>
    <m/>
    <m/>
    <m/>
    <m/>
    <m/>
    <m/>
    <n v="7"/>
    <m/>
    <m/>
    <n v="1"/>
    <m/>
    <m/>
    <n v="1"/>
    <m/>
    <m/>
    <s v="Yes"/>
    <m/>
    <m/>
    <m/>
    <m/>
    <m/>
    <m/>
    <m/>
    <m/>
    <m/>
    <m/>
    <m/>
    <m/>
    <m/>
    <m/>
    <s v="no test"/>
    <s v="no test"/>
    <s v="No Test"/>
    <n v="1"/>
    <n v="3"/>
    <n v="0"/>
    <n v="0"/>
    <n v="0"/>
    <n v="0"/>
    <n v="0"/>
    <m/>
    <n v="1"/>
    <n v="1"/>
    <n v="1"/>
    <n v="244"/>
    <n v="0"/>
    <n v="0"/>
    <n v="1"/>
    <n v="244"/>
    <n v="0.48799999999999999"/>
    <n v="0"/>
    <n v="0"/>
    <n v="0.51200000000000001"/>
    <n v="1"/>
    <n v="12"/>
    <n v="0.98360655737704916"/>
    <n v="240"/>
    <n v="0"/>
    <n v="0"/>
    <n v="0"/>
    <n v="12"/>
    <n v="0"/>
    <n v="1.6393442622950838E-2"/>
    <n v="0"/>
    <n v="244"/>
    <n v="0"/>
    <n v="0"/>
    <n v="0"/>
    <n v="244"/>
    <n v="1"/>
    <n v="0"/>
    <n v="1"/>
    <n v="0"/>
    <n v="0"/>
    <n v="7"/>
    <n v="40"/>
    <n v="0"/>
    <n v="244"/>
    <s v="No"/>
    <s v=""/>
    <n v="0"/>
    <n v="0"/>
    <n v="0"/>
    <n v="0"/>
    <n v="0"/>
    <n v="0"/>
    <s v="Yes"/>
    <s v="KBC-NSS"/>
    <x v="0"/>
    <x v="2"/>
    <x v="0"/>
    <n v="23.450914000000001"/>
    <n v="97.926813999999993"/>
    <s v="MMR015CMP016"/>
    <x v="0"/>
    <x v="0"/>
    <s v="Metta is focal."/>
    <n v="39"/>
    <n v="243"/>
  </r>
  <r>
    <x v="1"/>
    <x v="9"/>
    <x v="7"/>
    <s v="MHF"/>
    <x v="0"/>
    <x v="17"/>
    <x v="0"/>
    <x v="97"/>
    <n v="38"/>
    <n v="180"/>
    <d v="2021-11-11T00:00:00"/>
    <d v="2023-08-08T00:00:00"/>
    <m/>
    <m/>
    <m/>
    <m/>
    <m/>
    <n v="4"/>
    <n v="5"/>
    <n v="1"/>
    <m/>
    <m/>
    <n v="1"/>
    <m/>
    <m/>
    <m/>
    <m/>
    <m/>
    <m/>
    <m/>
    <m/>
    <m/>
    <m/>
    <m/>
    <m/>
    <m/>
    <m/>
    <m/>
    <m/>
    <m/>
    <m/>
    <m/>
    <n v="9"/>
    <m/>
    <m/>
    <m/>
    <m/>
    <m/>
    <m/>
    <m/>
    <x v="1"/>
    <x v="1"/>
    <m/>
    <m/>
    <m/>
    <m/>
    <m/>
    <m/>
    <n v="4"/>
    <m/>
    <m/>
    <n v="2"/>
    <m/>
    <m/>
    <n v="1"/>
    <m/>
    <m/>
    <s v="Yes"/>
    <m/>
    <m/>
    <m/>
    <m/>
    <m/>
    <m/>
    <m/>
    <m/>
    <m/>
    <m/>
    <m/>
    <m/>
    <m/>
    <m/>
    <s v="no test"/>
    <s v="no test"/>
    <s v="No Test"/>
    <n v="1"/>
    <n v="1"/>
    <n v="0"/>
    <n v="0"/>
    <n v="0"/>
    <n v="0"/>
    <n v="0"/>
    <m/>
    <n v="1"/>
    <n v="1"/>
    <n v="1"/>
    <n v="180"/>
    <n v="0"/>
    <n v="0"/>
    <n v="1"/>
    <n v="180"/>
    <n v="0.36"/>
    <n v="0"/>
    <n v="0"/>
    <n v="0.64"/>
    <n v="1"/>
    <n v="9"/>
    <n v="1"/>
    <n v="180"/>
    <n v="0"/>
    <n v="0"/>
    <n v="0"/>
    <n v="9"/>
    <n v="0"/>
    <n v="0"/>
    <n v="0"/>
    <n v="180"/>
    <n v="0"/>
    <n v="0"/>
    <n v="0"/>
    <n v="180"/>
    <n v="1"/>
    <n v="0"/>
    <n v="1"/>
    <n v="0"/>
    <n v="0"/>
    <n v="4"/>
    <n v="38"/>
    <n v="0"/>
    <n v="180"/>
    <s v="No"/>
    <s v=""/>
    <n v="0"/>
    <n v="0"/>
    <n v="0"/>
    <n v="0"/>
    <n v="0"/>
    <n v="0"/>
    <s v="Yes"/>
    <s v="KBC-NSS"/>
    <x v="0"/>
    <x v="2"/>
    <x v="0"/>
    <n v="23.460349999999998"/>
    <n v="97.947360000000003"/>
    <s v="MMR015CMP063"/>
    <x v="0"/>
    <x v="0"/>
    <s v="returned to origin.closed. Changed to village setting"/>
    <n v="34"/>
    <n v="150"/>
  </r>
  <r>
    <x v="1"/>
    <x v="9"/>
    <x v="7"/>
    <s v="MHF"/>
    <x v="0"/>
    <x v="17"/>
    <x v="0"/>
    <x v="98"/>
    <n v="74"/>
    <n v="502"/>
    <d v="2021-11-11T00:00:00"/>
    <d v="2023-08-08T00:00:00"/>
    <m/>
    <m/>
    <m/>
    <m/>
    <m/>
    <n v="6"/>
    <n v="3"/>
    <m/>
    <m/>
    <m/>
    <m/>
    <m/>
    <m/>
    <m/>
    <n v="8"/>
    <m/>
    <m/>
    <m/>
    <m/>
    <m/>
    <m/>
    <m/>
    <m/>
    <m/>
    <m/>
    <m/>
    <n v="1"/>
    <n v="2"/>
    <m/>
    <m/>
    <n v="85"/>
    <m/>
    <m/>
    <m/>
    <m/>
    <m/>
    <m/>
    <n v="5"/>
    <x v="1"/>
    <x v="3"/>
    <m/>
    <m/>
    <m/>
    <m/>
    <m/>
    <m/>
    <n v="2"/>
    <m/>
    <m/>
    <n v="1"/>
    <m/>
    <n v="1"/>
    <m/>
    <m/>
    <m/>
    <s v="Yes"/>
    <m/>
    <m/>
    <m/>
    <m/>
    <m/>
    <m/>
    <m/>
    <m/>
    <m/>
    <m/>
    <m/>
    <m/>
    <m/>
    <m/>
    <s v="no test"/>
    <s v="no test"/>
    <s v="No Test"/>
    <n v="0"/>
    <n v="0"/>
    <n v="8"/>
    <n v="0"/>
    <n v="0"/>
    <n v="502"/>
    <n v="0"/>
    <m/>
    <n v="1"/>
    <n v="1"/>
    <n v="1"/>
    <n v="502"/>
    <n v="0"/>
    <n v="0"/>
    <n v="1"/>
    <n v="502"/>
    <n v="1.004"/>
    <n v="0"/>
    <n v="0"/>
    <n v="0"/>
    <n v="1"/>
    <n v="85"/>
    <n v="1"/>
    <n v="502"/>
    <n v="0"/>
    <n v="0"/>
    <n v="0"/>
    <n v="25"/>
    <n v="0"/>
    <n v="0"/>
    <n v="0"/>
    <n v="500"/>
    <n v="0"/>
    <n v="0"/>
    <n v="0"/>
    <n v="500"/>
    <n v="0.99601593625498008"/>
    <n v="3.9840637450199168E-3"/>
    <n v="0.99601593625498008"/>
    <n v="0"/>
    <n v="0"/>
    <n v="2"/>
    <n v="40"/>
    <n v="1"/>
    <n v="200"/>
    <s v="No"/>
    <s v=""/>
    <n v="0"/>
    <n v="0"/>
    <n v="0"/>
    <n v="0"/>
    <n v="502"/>
    <n v="0"/>
    <s v="Yes"/>
    <s v="KMSS-LSO"/>
    <x v="0"/>
    <x v="2"/>
    <x v="0"/>
    <n v="23.591999999999999"/>
    <n v="97.796999999999997"/>
    <s v="MMR015CMP038"/>
    <x v="0"/>
    <x v="0"/>
    <s v="Metta is focal."/>
    <n v="72"/>
    <n v="376"/>
  </r>
  <r>
    <x v="1"/>
    <x v="9"/>
    <x v="7"/>
    <s v="MHF"/>
    <x v="0"/>
    <x v="17"/>
    <x v="0"/>
    <x v="100"/>
    <n v="64"/>
    <n v="251"/>
    <d v="2021-11-11T00:00:00"/>
    <d v="2023-08-08T00:00:00"/>
    <m/>
    <n v="1"/>
    <m/>
    <m/>
    <s v="Yes"/>
    <n v="4"/>
    <n v="5"/>
    <m/>
    <m/>
    <m/>
    <m/>
    <m/>
    <m/>
    <m/>
    <n v="14"/>
    <m/>
    <m/>
    <m/>
    <m/>
    <m/>
    <m/>
    <n v="1"/>
    <m/>
    <m/>
    <m/>
    <m/>
    <n v="3"/>
    <m/>
    <m/>
    <m/>
    <n v="71"/>
    <m/>
    <m/>
    <m/>
    <m/>
    <m/>
    <m/>
    <m/>
    <x v="0"/>
    <x v="3"/>
    <m/>
    <m/>
    <m/>
    <m/>
    <m/>
    <m/>
    <n v="5"/>
    <m/>
    <m/>
    <n v="3"/>
    <m/>
    <n v="1"/>
    <m/>
    <m/>
    <m/>
    <s v="Yes"/>
    <m/>
    <m/>
    <m/>
    <m/>
    <m/>
    <m/>
    <m/>
    <m/>
    <m/>
    <m/>
    <m/>
    <m/>
    <m/>
    <m/>
    <s v="no test"/>
    <s v="no test"/>
    <s v="No Test"/>
    <n v="0"/>
    <n v="0"/>
    <n v="14"/>
    <n v="0"/>
    <n v="0"/>
    <n v="0"/>
    <n v="0"/>
    <m/>
    <n v="1"/>
    <n v="1"/>
    <n v="1"/>
    <n v="251"/>
    <n v="0"/>
    <n v="0"/>
    <n v="1"/>
    <n v="251"/>
    <n v="0.502"/>
    <n v="0"/>
    <n v="0"/>
    <n v="0.498"/>
    <n v="1"/>
    <n v="71"/>
    <n v="1"/>
    <n v="251"/>
    <n v="0"/>
    <n v="0"/>
    <n v="0"/>
    <n v="42"/>
    <n v="0"/>
    <n v="0"/>
    <n v="0"/>
    <n v="251"/>
    <n v="0"/>
    <n v="0"/>
    <n v="0"/>
    <n v="251"/>
    <n v="1"/>
    <n v="0"/>
    <n v="1"/>
    <n v="0"/>
    <n v="0"/>
    <n v="5"/>
    <n v="64"/>
    <n v="3"/>
    <n v="251"/>
    <s v="No"/>
    <s v=""/>
    <n v="0"/>
    <n v="0"/>
    <n v="0"/>
    <n v="0"/>
    <n v="0"/>
    <n v="0"/>
    <s v="Yes"/>
    <s v="KMSS-LSO"/>
    <x v="1"/>
    <x v="2"/>
    <x v="0"/>
    <n v="23.588920000000002"/>
    <n v="97.793019999999999"/>
    <s v="MMR015CMP018"/>
    <x v="0"/>
    <x v="0"/>
    <s v="Metta is focal."/>
    <n v="68"/>
    <n v="260"/>
  </r>
  <r>
    <x v="1"/>
    <x v="9"/>
    <x v="7"/>
    <s v="MHF"/>
    <x v="0"/>
    <x v="17"/>
    <x v="0"/>
    <x v="101"/>
    <n v="31"/>
    <n v="176"/>
    <d v="2021-11-11T00:00:00"/>
    <d v="2023-08-08T00:00:00"/>
    <m/>
    <m/>
    <m/>
    <m/>
    <m/>
    <n v="5"/>
    <n v="4"/>
    <m/>
    <m/>
    <m/>
    <m/>
    <m/>
    <m/>
    <m/>
    <n v="14"/>
    <m/>
    <m/>
    <m/>
    <m/>
    <m/>
    <m/>
    <m/>
    <m/>
    <m/>
    <m/>
    <m/>
    <m/>
    <m/>
    <m/>
    <m/>
    <n v="34"/>
    <m/>
    <m/>
    <m/>
    <m/>
    <m/>
    <m/>
    <m/>
    <x v="1"/>
    <x v="1"/>
    <m/>
    <m/>
    <m/>
    <m/>
    <m/>
    <m/>
    <n v="2"/>
    <m/>
    <m/>
    <n v="2"/>
    <m/>
    <m/>
    <n v="1"/>
    <m/>
    <m/>
    <s v="Yes"/>
    <m/>
    <m/>
    <m/>
    <m/>
    <m/>
    <m/>
    <m/>
    <m/>
    <m/>
    <m/>
    <m/>
    <m/>
    <m/>
    <m/>
    <s v="no test"/>
    <s v="no test"/>
    <s v="No Test"/>
    <n v="0"/>
    <n v="0"/>
    <n v="14"/>
    <n v="0"/>
    <n v="0"/>
    <n v="0"/>
    <n v="0"/>
    <m/>
    <n v="1"/>
    <n v="1"/>
    <n v="1"/>
    <n v="176"/>
    <n v="0"/>
    <n v="0"/>
    <n v="1"/>
    <n v="176"/>
    <n v="0.35199999999999998"/>
    <n v="0"/>
    <n v="0"/>
    <n v="0.64800000000000002"/>
    <n v="1"/>
    <n v="34"/>
    <n v="1"/>
    <n v="176"/>
    <n v="0"/>
    <n v="0"/>
    <n v="0"/>
    <n v="9"/>
    <n v="0"/>
    <n v="0"/>
    <n v="0"/>
    <n v="176"/>
    <n v="0"/>
    <n v="0"/>
    <n v="0"/>
    <n v="176"/>
    <n v="1"/>
    <n v="0"/>
    <n v="1"/>
    <n v="0"/>
    <n v="0"/>
    <n v="2"/>
    <n v="31"/>
    <n v="0"/>
    <n v="176"/>
    <s v="No"/>
    <s v=""/>
    <n v="0"/>
    <n v="0"/>
    <n v="0"/>
    <n v="0"/>
    <n v="0"/>
    <n v="0"/>
    <n v="0"/>
    <s v="uncovered"/>
    <x v="0"/>
    <x v="0"/>
    <x v="0"/>
    <n v="23.850999999999999"/>
    <n v="98.337999999999994"/>
    <s v="MMR015CMP045"/>
    <x v="0"/>
    <x v="0"/>
    <s v="Metta is focal."/>
    <n v="30"/>
    <n v="170"/>
  </r>
  <r>
    <x v="1"/>
    <x v="9"/>
    <x v="7"/>
    <s v="MHF"/>
    <x v="0"/>
    <x v="17"/>
    <x v="0"/>
    <x v="102"/>
    <n v="54"/>
    <n v="250"/>
    <d v="2021-11-11T00:00:00"/>
    <d v="2023-08-08T00:00:00"/>
    <m/>
    <n v="1"/>
    <m/>
    <m/>
    <s v="Yes"/>
    <n v="5"/>
    <n v="4"/>
    <m/>
    <m/>
    <m/>
    <m/>
    <m/>
    <m/>
    <m/>
    <n v="12"/>
    <m/>
    <m/>
    <m/>
    <m/>
    <m/>
    <m/>
    <n v="1"/>
    <m/>
    <m/>
    <m/>
    <m/>
    <m/>
    <m/>
    <m/>
    <m/>
    <n v="18"/>
    <m/>
    <m/>
    <m/>
    <m/>
    <m/>
    <m/>
    <m/>
    <x v="1"/>
    <x v="1"/>
    <m/>
    <m/>
    <m/>
    <m/>
    <m/>
    <m/>
    <n v="6"/>
    <m/>
    <m/>
    <n v="1"/>
    <m/>
    <m/>
    <n v="2"/>
    <m/>
    <m/>
    <s v="Yes"/>
    <m/>
    <m/>
    <m/>
    <m/>
    <m/>
    <m/>
    <m/>
    <m/>
    <m/>
    <m/>
    <m/>
    <m/>
    <m/>
    <m/>
    <s v="no test"/>
    <s v="no test"/>
    <s v="No Test"/>
    <n v="0"/>
    <n v="0"/>
    <n v="12"/>
    <n v="0"/>
    <n v="0"/>
    <n v="0"/>
    <n v="0"/>
    <m/>
    <n v="1"/>
    <n v="1"/>
    <n v="1"/>
    <n v="250"/>
    <n v="0"/>
    <n v="0"/>
    <n v="1"/>
    <n v="250"/>
    <n v="0.5"/>
    <n v="0"/>
    <n v="0"/>
    <n v="0.5"/>
    <n v="1"/>
    <n v="18"/>
    <n v="1"/>
    <n v="250"/>
    <n v="0"/>
    <n v="0"/>
    <n v="0"/>
    <n v="13"/>
    <n v="0"/>
    <n v="0"/>
    <n v="0"/>
    <n v="250"/>
    <n v="0"/>
    <n v="0"/>
    <n v="0"/>
    <n v="250"/>
    <n v="1"/>
    <n v="0"/>
    <n v="1"/>
    <n v="0"/>
    <n v="0"/>
    <n v="6"/>
    <n v="54"/>
    <n v="0"/>
    <n v="250"/>
    <s v="No"/>
    <s v=""/>
    <n v="0"/>
    <n v="0"/>
    <n v="0"/>
    <n v="0"/>
    <n v="0"/>
    <n v="0"/>
    <s v="Yes"/>
    <s v="KBC-NSS"/>
    <x v="0"/>
    <x v="2"/>
    <x v="0"/>
    <n v="23.694130000000001"/>
    <n v="97.818979999999996"/>
    <s v="MMR015CMP007"/>
    <x v="0"/>
    <x v="0"/>
    <s v="Metta is focal."/>
    <n v="57"/>
    <n v="303"/>
  </r>
  <r>
    <x v="1"/>
    <x v="9"/>
    <x v="7"/>
    <s v="MHF"/>
    <x v="0"/>
    <x v="17"/>
    <x v="0"/>
    <x v="103"/>
    <n v="35"/>
    <n v="158"/>
    <d v="2021-11-11T00:00:00"/>
    <d v="2023-08-08T00:00:00"/>
    <m/>
    <n v="1"/>
    <m/>
    <m/>
    <s v="Yes"/>
    <n v="5"/>
    <n v="4"/>
    <m/>
    <m/>
    <m/>
    <n v="2"/>
    <m/>
    <m/>
    <m/>
    <m/>
    <m/>
    <m/>
    <m/>
    <m/>
    <m/>
    <m/>
    <n v="1"/>
    <m/>
    <m/>
    <m/>
    <m/>
    <m/>
    <m/>
    <m/>
    <m/>
    <n v="8"/>
    <m/>
    <m/>
    <m/>
    <m/>
    <m/>
    <m/>
    <m/>
    <x v="1"/>
    <x v="0"/>
    <m/>
    <m/>
    <m/>
    <m/>
    <m/>
    <m/>
    <n v="4"/>
    <m/>
    <m/>
    <n v="1"/>
    <m/>
    <m/>
    <n v="2"/>
    <m/>
    <m/>
    <s v="Yes"/>
    <m/>
    <m/>
    <m/>
    <m/>
    <m/>
    <m/>
    <m/>
    <m/>
    <m/>
    <m/>
    <m/>
    <m/>
    <m/>
    <m/>
    <s v="no test"/>
    <s v="no test"/>
    <s v="No Test"/>
    <n v="0"/>
    <n v="2"/>
    <n v="0"/>
    <n v="0"/>
    <n v="0"/>
    <n v="0"/>
    <n v="0"/>
    <m/>
    <n v="1"/>
    <n v="1"/>
    <n v="1"/>
    <n v="158"/>
    <n v="0"/>
    <n v="0"/>
    <n v="1"/>
    <n v="158"/>
    <n v="0.316"/>
    <n v="0"/>
    <n v="0"/>
    <n v="0.68399999999999994"/>
    <n v="1"/>
    <n v="8"/>
    <n v="1"/>
    <n v="158"/>
    <n v="0"/>
    <n v="0"/>
    <n v="0"/>
    <n v="8"/>
    <n v="0"/>
    <n v="0"/>
    <n v="0"/>
    <n v="158"/>
    <n v="0"/>
    <n v="0"/>
    <n v="0"/>
    <n v="158"/>
    <n v="1"/>
    <n v="0"/>
    <n v="1"/>
    <n v="0"/>
    <n v="0"/>
    <n v="4"/>
    <n v="35"/>
    <n v="0"/>
    <n v="158"/>
    <s v="No"/>
    <s v=""/>
    <n v="0"/>
    <n v="0"/>
    <n v="0"/>
    <n v="0"/>
    <n v="0"/>
    <n v="0"/>
    <s v="Yes"/>
    <s v="KMSS-LSO"/>
    <x v="0"/>
    <x v="2"/>
    <x v="0"/>
    <n v="23.682887999999998"/>
    <n v="97.810101000000003"/>
    <s v="MMR015CMP043"/>
    <x v="0"/>
    <x v="0"/>
    <s v="Metta is focal."/>
    <n v="36"/>
    <n v="161"/>
  </r>
  <r>
    <x v="1"/>
    <x v="9"/>
    <x v="7"/>
    <s v="MHF"/>
    <x v="0"/>
    <x v="17"/>
    <x v="0"/>
    <x v="104"/>
    <n v="121"/>
    <n v="664"/>
    <d v="2021-11-11T00:00:00"/>
    <d v="2023-08-08T00:00:00"/>
    <m/>
    <n v="1"/>
    <m/>
    <m/>
    <s v="Yes"/>
    <n v="4"/>
    <n v="5"/>
    <m/>
    <m/>
    <m/>
    <m/>
    <m/>
    <m/>
    <m/>
    <n v="8"/>
    <m/>
    <m/>
    <m/>
    <m/>
    <m/>
    <m/>
    <m/>
    <m/>
    <m/>
    <m/>
    <m/>
    <n v="1"/>
    <m/>
    <m/>
    <m/>
    <n v="105"/>
    <m/>
    <m/>
    <m/>
    <m/>
    <m/>
    <m/>
    <m/>
    <x v="1"/>
    <x v="1"/>
    <m/>
    <m/>
    <m/>
    <m/>
    <m/>
    <m/>
    <n v="8"/>
    <m/>
    <m/>
    <n v="3"/>
    <m/>
    <m/>
    <n v="1"/>
    <m/>
    <m/>
    <s v="Yes"/>
    <m/>
    <m/>
    <m/>
    <m/>
    <m/>
    <m/>
    <m/>
    <m/>
    <m/>
    <m/>
    <m/>
    <m/>
    <m/>
    <m/>
    <s v="no test"/>
    <s v="no test"/>
    <s v="No Test"/>
    <n v="0"/>
    <n v="0"/>
    <n v="8"/>
    <n v="0"/>
    <n v="0"/>
    <n v="0"/>
    <n v="0"/>
    <m/>
    <n v="0.8032128514056226"/>
    <n v="0.8032128514056226"/>
    <n v="0.8032128514056226"/>
    <n v="533.33333333333337"/>
    <n v="0"/>
    <n v="0"/>
    <n v="0.8032128514056226"/>
    <n v="533.33333333333337"/>
    <n v="1.0666666666666667"/>
    <n v="0.1967871485943774"/>
    <n v="130.6666666666666"/>
    <n v="0"/>
    <n v="1"/>
    <n v="105"/>
    <n v="0.79066265060240959"/>
    <n v="525"/>
    <n v="0"/>
    <n v="0"/>
    <n v="0"/>
    <n v="111"/>
    <n v="6"/>
    <n v="0.20933734939759041"/>
    <n v="0"/>
    <n v="500"/>
    <n v="0"/>
    <n v="0"/>
    <n v="0"/>
    <n v="500"/>
    <n v="0.75301204819277112"/>
    <n v="0.24698795180722888"/>
    <n v="0.75301204819277112"/>
    <n v="0"/>
    <n v="0"/>
    <n v="8"/>
    <n v="121"/>
    <n v="1"/>
    <n v="664"/>
    <s v="No"/>
    <s v=""/>
    <n v="0"/>
    <n v="0"/>
    <n v="0"/>
    <n v="0"/>
    <n v="0"/>
    <n v="0"/>
    <s v="Yes"/>
    <s v="KMSS-LSO"/>
    <x v="1"/>
    <x v="2"/>
    <x v="0"/>
    <n v="23.447111"/>
    <n v="97.868876999999998"/>
    <s v="MMR015CMP037"/>
    <x v="0"/>
    <x v="0"/>
    <s v="Metta is focal."/>
    <n v="127"/>
    <n v="713"/>
  </r>
  <r>
    <x v="1"/>
    <x v="9"/>
    <x v="7"/>
    <s v="MHF"/>
    <x v="0"/>
    <x v="17"/>
    <x v="0"/>
    <x v="105"/>
    <n v="45"/>
    <n v="221"/>
    <d v="2021-11-11T00:00:00"/>
    <d v="2023-08-08T00:00:00"/>
    <m/>
    <m/>
    <m/>
    <m/>
    <m/>
    <n v="5"/>
    <n v="4"/>
    <m/>
    <m/>
    <m/>
    <m/>
    <m/>
    <m/>
    <m/>
    <n v="8"/>
    <m/>
    <m/>
    <m/>
    <m/>
    <m/>
    <m/>
    <n v="1"/>
    <m/>
    <m/>
    <m/>
    <m/>
    <n v="2"/>
    <n v="1"/>
    <m/>
    <m/>
    <n v="37"/>
    <m/>
    <m/>
    <m/>
    <m/>
    <m/>
    <m/>
    <n v="3"/>
    <x v="0"/>
    <x v="3"/>
    <m/>
    <m/>
    <m/>
    <m/>
    <m/>
    <m/>
    <n v="7"/>
    <m/>
    <m/>
    <m/>
    <m/>
    <m/>
    <n v="1"/>
    <m/>
    <m/>
    <s v="Yes"/>
    <m/>
    <m/>
    <m/>
    <m/>
    <m/>
    <m/>
    <m/>
    <m/>
    <m/>
    <m/>
    <m/>
    <m/>
    <m/>
    <m/>
    <s v="no test"/>
    <s v="no test"/>
    <s v="No Test"/>
    <n v="0"/>
    <n v="0"/>
    <n v="8"/>
    <n v="0"/>
    <n v="0"/>
    <n v="221"/>
    <n v="0"/>
    <m/>
    <n v="1"/>
    <n v="1"/>
    <n v="1"/>
    <n v="221"/>
    <n v="0"/>
    <n v="0"/>
    <n v="1"/>
    <n v="221"/>
    <n v="0.442"/>
    <n v="0"/>
    <n v="0"/>
    <n v="0.55800000000000005"/>
    <n v="1"/>
    <n v="37"/>
    <n v="1"/>
    <n v="221"/>
    <n v="0"/>
    <n v="0"/>
    <n v="0"/>
    <n v="11"/>
    <n v="0"/>
    <n v="0"/>
    <n v="0"/>
    <n v="221"/>
    <n v="0"/>
    <n v="0"/>
    <n v="0"/>
    <n v="221"/>
    <n v="1"/>
    <n v="0"/>
    <n v="1"/>
    <n v="0"/>
    <n v="0"/>
    <n v="7"/>
    <n v="45"/>
    <n v="2"/>
    <n v="221"/>
    <s v="No"/>
    <s v=""/>
    <n v="0"/>
    <n v="0"/>
    <n v="0"/>
    <n v="0"/>
    <n v="221"/>
    <n v="0"/>
    <s v="Yes"/>
    <s v="KMSS-LSO"/>
    <x v="0"/>
    <x v="2"/>
    <x v="0"/>
    <n v="23.59"/>
    <n v="97.805999999999997"/>
    <s v="MMR015CMP067"/>
    <x v="0"/>
    <x v="0"/>
    <s v="Metta is focal."/>
    <n v="49"/>
    <n v="233"/>
  </r>
  <r>
    <x v="1"/>
    <x v="9"/>
    <x v="7"/>
    <s v="MHF"/>
    <x v="0"/>
    <x v="17"/>
    <x v="0"/>
    <x v="106"/>
    <n v="209"/>
    <n v="1101"/>
    <d v="2021-11-11T00:00:00"/>
    <d v="2023-08-08T00:00:00"/>
    <m/>
    <n v="2"/>
    <m/>
    <m/>
    <s v="Yes"/>
    <n v="5"/>
    <n v="4"/>
    <n v="2"/>
    <m/>
    <m/>
    <n v="1"/>
    <m/>
    <m/>
    <m/>
    <n v="48"/>
    <m/>
    <m/>
    <m/>
    <m/>
    <m/>
    <m/>
    <n v="1"/>
    <m/>
    <m/>
    <m/>
    <m/>
    <m/>
    <n v="2"/>
    <m/>
    <m/>
    <n v="200"/>
    <n v="5"/>
    <m/>
    <m/>
    <m/>
    <m/>
    <m/>
    <n v="18"/>
    <x v="0"/>
    <x v="0"/>
    <m/>
    <m/>
    <m/>
    <m/>
    <m/>
    <m/>
    <n v="2"/>
    <m/>
    <m/>
    <n v="5"/>
    <m/>
    <m/>
    <n v="1"/>
    <m/>
    <m/>
    <s v="Yes"/>
    <m/>
    <m/>
    <m/>
    <m/>
    <m/>
    <m/>
    <m/>
    <m/>
    <m/>
    <m/>
    <m/>
    <m/>
    <m/>
    <m/>
    <s v="no test"/>
    <s v="no test"/>
    <s v="No Test"/>
    <n v="2"/>
    <n v="1"/>
    <n v="48"/>
    <n v="0"/>
    <n v="0"/>
    <n v="1000"/>
    <n v="0"/>
    <m/>
    <n v="1"/>
    <n v="1"/>
    <n v="1"/>
    <n v="1101"/>
    <n v="0"/>
    <n v="0"/>
    <n v="1"/>
    <n v="1101"/>
    <n v="2.202"/>
    <n v="0"/>
    <n v="0"/>
    <n v="0"/>
    <n v="2"/>
    <n v="205"/>
    <n v="1"/>
    <n v="1101"/>
    <n v="0"/>
    <n v="0"/>
    <n v="0"/>
    <n v="55"/>
    <n v="0"/>
    <n v="0"/>
    <n v="0"/>
    <n v="500"/>
    <n v="0"/>
    <n v="0"/>
    <n v="0"/>
    <n v="500"/>
    <n v="0.45413260672116257"/>
    <n v="0.54586739327883738"/>
    <n v="0.45413260672116257"/>
    <n v="0"/>
    <n v="0"/>
    <n v="2"/>
    <n v="40"/>
    <n v="0"/>
    <n v="200"/>
    <s v="No"/>
    <s v=""/>
    <n v="0"/>
    <n v="0"/>
    <n v="0"/>
    <n v="0"/>
    <n v="1000"/>
    <n v="0"/>
    <s v="Yes"/>
    <s v="KBC-NSS"/>
    <x v="0"/>
    <x v="0"/>
    <x v="0"/>
    <n v="23.38503"/>
    <n v="97.837040000000002"/>
    <s v="MMR015CMP020"/>
    <x v="0"/>
    <x v="0"/>
    <s v="Metta is focal."/>
    <n v="209"/>
    <n v="1084"/>
  </r>
  <r>
    <x v="1"/>
    <x v="13"/>
    <x v="11"/>
    <m/>
    <x v="0"/>
    <x v="18"/>
    <x v="0"/>
    <x v="155"/>
    <n v="142"/>
    <n v="504"/>
    <m/>
    <m/>
    <m/>
    <m/>
    <m/>
    <m/>
    <m/>
    <m/>
    <m/>
    <m/>
    <m/>
    <m/>
    <m/>
    <m/>
    <m/>
    <m/>
    <m/>
    <m/>
    <m/>
    <m/>
    <m/>
    <m/>
    <m/>
    <m/>
    <m/>
    <m/>
    <m/>
    <m/>
    <m/>
    <m/>
    <m/>
    <m/>
    <m/>
    <m/>
    <m/>
    <m/>
    <m/>
    <m/>
    <m/>
    <m/>
    <x v="2"/>
    <x v="2"/>
    <m/>
    <m/>
    <m/>
    <m/>
    <m/>
    <m/>
    <m/>
    <m/>
    <m/>
    <m/>
    <m/>
    <m/>
    <m/>
    <m/>
    <m/>
    <m/>
    <m/>
    <m/>
    <m/>
    <m/>
    <m/>
    <m/>
    <m/>
    <m/>
    <m/>
    <m/>
    <m/>
    <m/>
    <m/>
    <m/>
    <s v="no test"/>
    <s v="no test"/>
    <s v="No Test"/>
    <n v="0"/>
    <n v="0"/>
    <n v="0"/>
    <n v="0"/>
    <n v="0"/>
    <n v="0"/>
    <n v="0"/>
    <m/>
    <n v="0"/>
    <n v="0"/>
    <n v="0"/>
    <n v="0"/>
    <n v="0"/>
    <n v="0"/>
    <n v="0"/>
    <n v="0"/>
    <n v="0"/>
    <n v="1"/>
    <n v="504"/>
    <n v="1"/>
    <n v="1"/>
    <n v="0"/>
    <n v="0"/>
    <n v="0"/>
    <n v="0"/>
    <n v="0"/>
    <n v="0"/>
    <n v="25"/>
    <n v="25"/>
    <n v="1"/>
    <n v="0"/>
    <n v="0"/>
    <n v="0"/>
    <n v="0"/>
    <n v="0"/>
    <n v="0"/>
    <n v="0"/>
    <n v="1"/>
    <n v="0"/>
    <n v="0"/>
    <n v="0"/>
    <n v="0"/>
    <n v="0"/>
    <n v="0"/>
    <n v="0"/>
    <s v="No"/>
    <s v=""/>
    <n v="0"/>
    <n v="0"/>
    <n v="0"/>
    <n v="0"/>
    <n v="0"/>
    <n v="0"/>
    <n v="0"/>
    <s v="uncovered"/>
    <x v="0"/>
    <x v="4"/>
    <x v="0"/>
    <n v="22.325900000000001"/>
    <n v="97.021000000000001"/>
    <s v="MMR015CMP075"/>
    <x v="1"/>
    <x v="1"/>
    <m/>
    <n v="941"/>
    <n v="3558"/>
  </r>
  <r>
    <x v="1"/>
    <x v="13"/>
    <x v="11"/>
    <m/>
    <x v="0"/>
    <x v="18"/>
    <x v="0"/>
    <x v="107"/>
    <n v="11"/>
    <n v="40"/>
    <m/>
    <m/>
    <m/>
    <m/>
    <m/>
    <m/>
    <m/>
    <m/>
    <m/>
    <m/>
    <m/>
    <m/>
    <m/>
    <m/>
    <m/>
    <m/>
    <m/>
    <m/>
    <m/>
    <m/>
    <m/>
    <m/>
    <m/>
    <m/>
    <m/>
    <m/>
    <m/>
    <m/>
    <m/>
    <m/>
    <m/>
    <m/>
    <m/>
    <n v="3"/>
    <m/>
    <m/>
    <m/>
    <m/>
    <m/>
    <m/>
    <x v="2"/>
    <x v="2"/>
    <m/>
    <m/>
    <m/>
    <m/>
    <m/>
    <m/>
    <m/>
    <m/>
    <m/>
    <m/>
    <m/>
    <m/>
    <m/>
    <m/>
    <m/>
    <s v="Yes"/>
    <m/>
    <m/>
    <m/>
    <m/>
    <m/>
    <m/>
    <m/>
    <m/>
    <m/>
    <m/>
    <m/>
    <m/>
    <m/>
    <m/>
    <s v="no test"/>
    <s v="no test"/>
    <s v="No Test"/>
    <n v="0"/>
    <n v="0"/>
    <n v="0"/>
    <n v="0"/>
    <n v="0"/>
    <n v="0"/>
    <n v="0"/>
    <m/>
    <n v="0"/>
    <n v="0"/>
    <n v="0"/>
    <n v="0"/>
    <n v="0"/>
    <n v="0"/>
    <n v="0"/>
    <n v="0"/>
    <n v="0"/>
    <n v="1"/>
    <n v="40"/>
    <n v="1"/>
    <n v="1"/>
    <n v="3"/>
    <n v="1"/>
    <n v="40"/>
    <n v="0"/>
    <n v="0"/>
    <n v="0"/>
    <n v="2"/>
    <n v="0"/>
    <n v="0"/>
    <n v="0"/>
    <n v="0"/>
    <n v="0"/>
    <n v="0"/>
    <n v="0"/>
    <n v="0"/>
    <n v="0"/>
    <n v="1"/>
    <n v="0"/>
    <n v="0"/>
    <n v="0"/>
    <n v="0"/>
    <n v="0"/>
    <n v="0"/>
    <n v="0"/>
    <s v="No"/>
    <s v=""/>
    <n v="0"/>
    <n v="0"/>
    <n v="0"/>
    <n v="0"/>
    <n v="0"/>
    <n v="0"/>
    <n v="0"/>
    <n v="0"/>
    <x v="0"/>
    <x v="0"/>
    <x v="0"/>
    <n v="0"/>
    <n v="0"/>
    <s v="MMR015CMP077"/>
    <x v="1"/>
    <x v="1"/>
    <m/>
    <n v="7"/>
    <n v="25"/>
  </r>
  <r>
    <x v="1"/>
    <x v="13"/>
    <x v="11"/>
    <m/>
    <x v="0"/>
    <x v="18"/>
    <x v="0"/>
    <x v="108"/>
    <n v="9"/>
    <n v="28"/>
    <m/>
    <m/>
    <m/>
    <m/>
    <m/>
    <m/>
    <m/>
    <m/>
    <m/>
    <m/>
    <m/>
    <m/>
    <m/>
    <m/>
    <m/>
    <m/>
    <m/>
    <m/>
    <m/>
    <m/>
    <m/>
    <m/>
    <m/>
    <m/>
    <m/>
    <m/>
    <m/>
    <m/>
    <m/>
    <m/>
    <m/>
    <m/>
    <m/>
    <n v="6"/>
    <m/>
    <m/>
    <m/>
    <m/>
    <m/>
    <m/>
    <x v="2"/>
    <x v="2"/>
    <m/>
    <m/>
    <m/>
    <m/>
    <m/>
    <m/>
    <m/>
    <m/>
    <m/>
    <m/>
    <m/>
    <m/>
    <m/>
    <m/>
    <m/>
    <s v="Yes"/>
    <m/>
    <m/>
    <m/>
    <m/>
    <m/>
    <m/>
    <m/>
    <m/>
    <m/>
    <m/>
    <m/>
    <m/>
    <m/>
    <m/>
    <s v="no test"/>
    <s v="no test"/>
    <s v="No Test"/>
    <n v="0"/>
    <n v="0"/>
    <n v="0"/>
    <n v="0"/>
    <n v="0"/>
    <n v="0"/>
    <n v="0"/>
    <m/>
    <n v="0"/>
    <n v="0"/>
    <n v="0"/>
    <n v="0"/>
    <n v="0"/>
    <n v="0"/>
    <n v="0"/>
    <n v="0"/>
    <n v="0"/>
    <n v="1"/>
    <n v="28"/>
    <n v="1"/>
    <n v="1"/>
    <n v="6"/>
    <n v="1"/>
    <n v="28"/>
    <n v="0"/>
    <n v="0"/>
    <n v="0"/>
    <n v="1"/>
    <n v="0"/>
    <n v="0"/>
    <n v="0"/>
    <n v="0"/>
    <n v="0"/>
    <n v="0"/>
    <n v="0"/>
    <n v="0"/>
    <n v="0"/>
    <n v="1"/>
    <n v="0"/>
    <n v="0"/>
    <n v="0"/>
    <n v="0"/>
    <n v="0"/>
    <n v="0"/>
    <n v="0"/>
    <s v="No"/>
    <s v=""/>
    <n v="0"/>
    <n v="0"/>
    <n v="0"/>
    <n v="0"/>
    <n v="0"/>
    <n v="0"/>
    <n v="0"/>
    <n v="0"/>
    <x v="0"/>
    <x v="0"/>
    <x v="0"/>
    <n v="0"/>
    <n v="0"/>
    <s v="MMR015CMP078"/>
    <x v="1"/>
    <x v="1"/>
    <m/>
    <n v="9"/>
    <n v="28"/>
  </r>
  <r>
    <x v="1"/>
    <x v="13"/>
    <x v="11"/>
    <m/>
    <x v="0"/>
    <x v="18"/>
    <x v="0"/>
    <x v="109"/>
    <n v="14"/>
    <n v="31"/>
    <m/>
    <m/>
    <m/>
    <m/>
    <m/>
    <m/>
    <m/>
    <m/>
    <m/>
    <m/>
    <m/>
    <m/>
    <m/>
    <m/>
    <m/>
    <m/>
    <m/>
    <m/>
    <m/>
    <m/>
    <m/>
    <m/>
    <m/>
    <m/>
    <m/>
    <m/>
    <m/>
    <m/>
    <m/>
    <m/>
    <m/>
    <m/>
    <m/>
    <n v="4"/>
    <m/>
    <m/>
    <m/>
    <m/>
    <m/>
    <m/>
    <x v="2"/>
    <x v="2"/>
    <m/>
    <m/>
    <m/>
    <m/>
    <m/>
    <m/>
    <m/>
    <m/>
    <m/>
    <m/>
    <m/>
    <m/>
    <m/>
    <m/>
    <m/>
    <s v="Yes"/>
    <m/>
    <m/>
    <m/>
    <m/>
    <m/>
    <m/>
    <m/>
    <m/>
    <m/>
    <m/>
    <m/>
    <m/>
    <m/>
    <m/>
    <s v="no test"/>
    <s v="no test"/>
    <s v="No Test"/>
    <n v="0"/>
    <n v="0"/>
    <n v="0"/>
    <n v="0"/>
    <n v="0"/>
    <n v="0"/>
    <n v="0"/>
    <m/>
    <n v="0"/>
    <n v="0"/>
    <n v="0"/>
    <n v="0"/>
    <n v="0"/>
    <n v="0"/>
    <n v="0"/>
    <n v="0"/>
    <n v="0"/>
    <n v="1"/>
    <n v="31"/>
    <n v="1"/>
    <n v="1"/>
    <n v="4"/>
    <n v="1"/>
    <n v="31"/>
    <n v="0"/>
    <n v="0"/>
    <n v="0"/>
    <n v="2"/>
    <n v="0"/>
    <n v="0"/>
    <n v="0"/>
    <n v="0"/>
    <n v="0"/>
    <n v="0"/>
    <n v="0"/>
    <n v="0"/>
    <n v="0"/>
    <n v="1"/>
    <n v="0"/>
    <n v="0"/>
    <n v="0"/>
    <n v="0"/>
    <n v="0"/>
    <n v="0"/>
    <n v="0"/>
    <s v="No"/>
    <s v=""/>
    <n v="0"/>
    <n v="0"/>
    <n v="0"/>
    <n v="0"/>
    <n v="0"/>
    <n v="0"/>
    <n v="0"/>
    <n v="0"/>
    <x v="0"/>
    <x v="0"/>
    <x v="0"/>
    <n v="0"/>
    <n v="0"/>
    <s v="MMR015CMP079"/>
    <x v="1"/>
    <x v="1"/>
    <m/>
    <n v="14"/>
    <n v="31"/>
  </r>
  <r>
    <x v="1"/>
    <x v="13"/>
    <x v="11"/>
    <m/>
    <x v="0"/>
    <x v="18"/>
    <x v="0"/>
    <x v="111"/>
    <n v="12"/>
    <n v="26"/>
    <m/>
    <m/>
    <m/>
    <m/>
    <m/>
    <m/>
    <m/>
    <m/>
    <m/>
    <m/>
    <m/>
    <m/>
    <m/>
    <n v="1"/>
    <m/>
    <m/>
    <m/>
    <m/>
    <m/>
    <m/>
    <m/>
    <m/>
    <m/>
    <m/>
    <m/>
    <m/>
    <m/>
    <m/>
    <m/>
    <m/>
    <m/>
    <m/>
    <n v="2"/>
    <m/>
    <m/>
    <m/>
    <m/>
    <m/>
    <m/>
    <m/>
    <x v="2"/>
    <x v="2"/>
    <m/>
    <m/>
    <m/>
    <m/>
    <m/>
    <m/>
    <n v="4"/>
    <m/>
    <m/>
    <m/>
    <m/>
    <m/>
    <m/>
    <m/>
    <m/>
    <s v="Yes"/>
    <m/>
    <m/>
    <m/>
    <m/>
    <m/>
    <m/>
    <m/>
    <m/>
    <m/>
    <m/>
    <m/>
    <m/>
    <m/>
    <m/>
    <s v="no test"/>
    <s v="no test"/>
    <s v="No Test"/>
    <n v="0"/>
    <n v="1"/>
    <n v="0"/>
    <n v="0"/>
    <n v="0"/>
    <n v="0"/>
    <n v="0"/>
    <m/>
    <n v="1"/>
    <n v="1"/>
    <n v="1"/>
    <n v="26"/>
    <n v="0"/>
    <n v="0"/>
    <n v="1"/>
    <n v="26"/>
    <n v="5.1999999999999998E-2"/>
    <n v="0"/>
    <n v="0"/>
    <n v="0.94799999999999995"/>
    <n v="1"/>
    <n v="2"/>
    <n v="1"/>
    <n v="26"/>
    <n v="0"/>
    <n v="0"/>
    <n v="0"/>
    <n v="1"/>
    <n v="0"/>
    <n v="0"/>
    <n v="0"/>
    <n v="0"/>
    <n v="0"/>
    <n v="0"/>
    <n v="0"/>
    <n v="0"/>
    <n v="0"/>
    <n v="1"/>
    <n v="0"/>
    <n v="0"/>
    <n v="0"/>
    <n v="4"/>
    <n v="12"/>
    <n v="0"/>
    <n v="26"/>
    <s v="No"/>
    <s v=""/>
    <n v="0"/>
    <n v="0"/>
    <n v="0"/>
    <n v="0"/>
    <n v="0"/>
    <n v="0"/>
    <n v="0"/>
    <n v="0"/>
    <x v="0"/>
    <x v="0"/>
    <x v="0"/>
    <n v="0"/>
    <n v="0"/>
    <s v="MMR015CMP081"/>
    <x v="1"/>
    <x v="1"/>
    <m/>
    <n v="16"/>
    <n v="43"/>
  </r>
  <r>
    <x v="1"/>
    <x v="13"/>
    <x v="11"/>
    <m/>
    <x v="0"/>
    <x v="1"/>
    <x v="0"/>
    <x v="156"/>
    <n v="7"/>
    <n v="30"/>
    <m/>
    <m/>
    <m/>
    <m/>
    <m/>
    <m/>
    <m/>
    <m/>
    <m/>
    <m/>
    <m/>
    <m/>
    <m/>
    <m/>
    <m/>
    <m/>
    <m/>
    <m/>
    <m/>
    <m/>
    <m/>
    <m/>
    <m/>
    <m/>
    <m/>
    <m/>
    <m/>
    <m/>
    <m/>
    <m/>
    <m/>
    <m/>
    <m/>
    <m/>
    <m/>
    <m/>
    <m/>
    <m/>
    <m/>
    <m/>
    <x v="3"/>
    <x v="4"/>
    <m/>
    <m/>
    <m/>
    <m/>
    <m/>
    <m/>
    <m/>
    <m/>
    <m/>
    <m/>
    <m/>
    <m/>
    <m/>
    <m/>
    <m/>
    <m/>
    <m/>
    <m/>
    <m/>
    <m/>
    <m/>
    <m/>
    <m/>
    <m/>
    <m/>
    <m/>
    <m/>
    <m/>
    <m/>
    <m/>
    <s v="no test"/>
    <s v="no test"/>
    <s v="No Test"/>
    <n v="0"/>
    <n v="0"/>
    <n v="0"/>
    <n v="0"/>
    <n v="0"/>
    <n v="0"/>
    <n v="0"/>
    <m/>
    <n v="0"/>
    <n v="0"/>
    <n v="0"/>
    <n v="0"/>
    <n v="0"/>
    <n v="0"/>
    <n v="0"/>
    <n v="0"/>
    <n v="0"/>
    <n v="1"/>
    <n v="30"/>
    <n v="1"/>
    <n v="1"/>
    <n v="0"/>
    <n v="0"/>
    <n v="0"/>
    <n v="0"/>
    <n v="0"/>
    <n v="0"/>
    <n v="2"/>
    <n v="2"/>
    <n v="1"/>
    <n v="0"/>
    <n v="0"/>
    <n v="0"/>
    <n v="0"/>
    <n v="0"/>
    <n v="0"/>
    <n v="0"/>
    <n v="1"/>
    <n v="0"/>
    <n v="0"/>
    <n v="0"/>
    <n v="0"/>
    <n v="0"/>
    <n v="0"/>
    <n v="0"/>
    <s v="No"/>
    <s v=""/>
    <n v="0"/>
    <n v="0"/>
    <n v="0"/>
    <n v="0"/>
    <n v="0"/>
    <n v="0"/>
    <n v="0"/>
    <s v="uncovered"/>
    <x v="0"/>
    <x v="0"/>
    <x v="0"/>
    <n v="0"/>
    <s v="not available"/>
    <s v="MMR015CMP096"/>
    <x v="1"/>
    <x v="1"/>
    <m/>
    <n v="7"/>
    <n v="30"/>
  </r>
  <r>
    <x v="1"/>
    <x v="13"/>
    <x v="11"/>
    <m/>
    <x v="0"/>
    <x v="1"/>
    <x v="0"/>
    <x v="157"/>
    <n v="19"/>
    <n v="82"/>
    <m/>
    <m/>
    <m/>
    <m/>
    <m/>
    <m/>
    <m/>
    <m/>
    <m/>
    <m/>
    <m/>
    <m/>
    <m/>
    <m/>
    <m/>
    <m/>
    <m/>
    <m/>
    <m/>
    <m/>
    <m/>
    <m/>
    <m/>
    <m/>
    <m/>
    <m/>
    <m/>
    <m/>
    <m/>
    <m/>
    <m/>
    <m/>
    <m/>
    <m/>
    <m/>
    <m/>
    <m/>
    <m/>
    <m/>
    <m/>
    <x v="3"/>
    <x v="4"/>
    <m/>
    <m/>
    <m/>
    <m/>
    <m/>
    <m/>
    <m/>
    <m/>
    <m/>
    <m/>
    <m/>
    <m/>
    <m/>
    <m/>
    <m/>
    <m/>
    <m/>
    <m/>
    <m/>
    <m/>
    <m/>
    <m/>
    <m/>
    <m/>
    <m/>
    <m/>
    <m/>
    <m/>
    <m/>
    <m/>
    <s v="no test"/>
    <s v="no test"/>
    <s v="No Test"/>
    <n v="0"/>
    <n v="0"/>
    <n v="0"/>
    <n v="0"/>
    <n v="0"/>
    <n v="0"/>
    <n v="0"/>
    <m/>
    <n v="0"/>
    <n v="0"/>
    <n v="0"/>
    <n v="0"/>
    <n v="0"/>
    <n v="0"/>
    <n v="0"/>
    <n v="0"/>
    <n v="0"/>
    <n v="1"/>
    <n v="82"/>
    <n v="1"/>
    <n v="1"/>
    <n v="0"/>
    <n v="0"/>
    <n v="0"/>
    <n v="0"/>
    <n v="0"/>
    <n v="0"/>
    <n v="4"/>
    <n v="4"/>
    <n v="1"/>
    <n v="0"/>
    <n v="0"/>
    <n v="0"/>
    <n v="0"/>
    <n v="0"/>
    <n v="0"/>
    <n v="0"/>
    <n v="1"/>
    <n v="0"/>
    <n v="0"/>
    <n v="0"/>
    <n v="0"/>
    <n v="0"/>
    <n v="0"/>
    <n v="0"/>
    <s v="No"/>
    <s v=""/>
    <n v="0"/>
    <n v="0"/>
    <n v="0"/>
    <n v="0"/>
    <n v="0"/>
    <n v="0"/>
    <n v="0"/>
    <s v="uncovered"/>
    <x v="0"/>
    <x v="0"/>
    <x v="0"/>
    <n v="22.97711"/>
    <n v="97.699299999999994"/>
    <s v="MMR015CMP086"/>
    <x v="1"/>
    <x v="1"/>
    <m/>
    <n v="19"/>
    <n v="82"/>
  </r>
  <r>
    <x v="1"/>
    <x v="13"/>
    <x v="11"/>
    <m/>
    <x v="0"/>
    <x v="1"/>
    <x v="0"/>
    <x v="158"/>
    <n v="20"/>
    <n v="61"/>
    <m/>
    <m/>
    <m/>
    <m/>
    <m/>
    <m/>
    <m/>
    <m/>
    <m/>
    <m/>
    <m/>
    <m/>
    <m/>
    <m/>
    <m/>
    <m/>
    <m/>
    <m/>
    <m/>
    <m/>
    <m/>
    <m/>
    <m/>
    <m/>
    <m/>
    <m/>
    <m/>
    <m/>
    <m/>
    <m/>
    <m/>
    <m/>
    <m/>
    <m/>
    <m/>
    <m/>
    <m/>
    <m/>
    <m/>
    <m/>
    <x v="3"/>
    <x v="4"/>
    <m/>
    <m/>
    <m/>
    <m/>
    <m/>
    <m/>
    <m/>
    <m/>
    <m/>
    <m/>
    <m/>
    <m/>
    <m/>
    <m/>
    <m/>
    <m/>
    <m/>
    <m/>
    <m/>
    <m/>
    <m/>
    <m/>
    <m/>
    <m/>
    <m/>
    <m/>
    <m/>
    <m/>
    <m/>
    <m/>
    <s v="no test"/>
    <s v="no test"/>
    <s v="No Test"/>
    <n v="0"/>
    <n v="0"/>
    <n v="0"/>
    <n v="0"/>
    <n v="0"/>
    <n v="0"/>
    <n v="0"/>
    <m/>
    <n v="0"/>
    <n v="0"/>
    <n v="0"/>
    <n v="0"/>
    <n v="0"/>
    <n v="0"/>
    <n v="0"/>
    <n v="0"/>
    <n v="0"/>
    <n v="1"/>
    <n v="61"/>
    <n v="1"/>
    <n v="1"/>
    <n v="0"/>
    <n v="0"/>
    <n v="0"/>
    <n v="0"/>
    <n v="0"/>
    <n v="0"/>
    <n v="3"/>
    <n v="3"/>
    <n v="1"/>
    <n v="0"/>
    <n v="0"/>
    <n v="0"/>
    <n v="0"/>
    <n v="0"/>
    <n v="0"/>
    <n v="0"/>
    <n v="1"/>
    <n v="0"/>
    <n v="0"/>
    <n v="0"/>
    <n v="0"/>
    <n v="0"/>
    <n v="0"/>
    <n v="0"/>
    <s v="No"/>
    <s v=""/>
    <n v="0"/>
    <n v="0"/>
    <n v="0"/>
    <n v="0"/>
    <n v="0"/>
    <n v="0"/>
    <n v="0"/>
    <s v="uncovered"/>
    <x v="0"/>
    <x v="0"/>
    <x v="0"/>
    <n v="0"/>
    <s v="not available"/>
    <s v="MMR015CMP092"/>
    <x v="1"/>
    <x v="1"/>
    <m/>
    <n v="20"/>
    <n v="61"/>
  </r>
  <r>
    <x v="1"/>
    <x v="13"/>
    <x v="11"/>
    <m/>
    <x v="0"/>
    <x v="1"/>
    <x v="0"/>
    <x v="159"/>
    <n v="26"/>
    <n v="135"/>
    <m/>
    <m/>
    <m/>
    <m/>
    <m/>
    <m/>
    <m/>
    <m/>
    <m/>
    <m/>
    <m/>
    <m/>
    <m/>
    <m/>
    <m/>
    <m/>
    <m/>
    <m/>
    <m/>
    <m/>
    <m/>
    <m/>
    <m/>
    <m/>
    <m/>
    <m/>
    <m/>
    <m/>
    <m/>
    <m/>
    <m/>
    <m/>
    <m/>
    <m/>
    <m/>
    <m/>
    <m/>
    <m/>
    <m/>
    <m/>
    <x v="3"/>
    <x v="4"/>
    <m/>
    <m/>
    <m/>
    <m/>
    <m/>
    <m/>
    <m/>
    <m/>
    <m/>
    <m/>
    <m/>
    <m/>
    <m/>
    <m/>
    <m/>
    <m/>
    <m/>
    <m/>
    <m/>
    <m/>
    <m/>
    <m/>
    <m/>
    <m/>
    <m/>
    <m/>
    <m/>
    <m/>
    <m/>
    <m/>
    <s v="no test"/>
    <s v="no test"/>
    <s v="No Test"/>
    <n v="0"/>
    <n v="0"/>
    <n v="0"/>
    <n v="0"/>
    <n v="0"/>
    <n v="0"/>
    <n v="0"/>
    <m/>
    <n v="0"/>
    <n v="0"/>
    <n v="0"/>
    <n v="0"/>
    <n v="0"/>
    <n v="0"/>
    <n v="0"/>
    <n v="0"/>
    <n v="0"/>
    <n v="1"/>
    <n v="135"/>
    <n v="1"/>
    <n v="1"/>
    <n v="0"/>
    <n v="0"/>
    <n v="0"/>
    <n v="0"/>
    <n v="0"/>
    <n v="0"/>
    <n v="7"/>
    <n v="7"/>
    <n v="1"/>
    <n v="0"/>
    <n v="0"/>
    <n v="0"/>
    <n v="0"/>
    <n v="0"/>
    <n v="0"/>
    <n v="0"/>
    <n v="1"/>
    <n v="0"/>
    <n v="0"/>
    <n v="0"/>
    <n v="0"/>
    <n v="0"/>
    <n v="0"/>
    <n v="0"/>
    <s v="No"/>
    <s v=""/>
    <n v="0"/>
    <n v="0"/>
    <n v="0"/>
    <n v="0"/>
    <n v="0"/>
    <n v="0"/>
    <n v="0"/>
    <s v="uncovered"/>
    <x v="0"/>
    <x v="0"/>
    <x v="0"/>
    <n v="0"/>
    <s v="not available"/>
    <s v="MMR015CMP087"/>
    <x v="1"/>
    <x v="1"/>
    <m/>
    <n v="26"/>
    <n v="135"/>
  </r>
  <r>
    <x v="1"/>
    <x v="13"/>
    <x v="11"/>
    <m/>
    <x v="0"/>
    <x v="1"/>
    <x v="0"/>
    <x v="160"/>
    <n v="18"/>
    <n v="92"/>
    <m/>
    <m/>
    <m/>
    <m/>
    <m/>
    <m/>
    <m/>
    <m/>
    <m/>
    <m/>
    <m/>
    <m/>
    <m/>
    <m/>
    <m/>
    <m/>
    <m/>
    <m/>
    <m/>
    <m/>
    <m/>
    <m/>
    <m/>
    <m/>
    <m/>
    <m/>
    <m/>
    <m/>
    <m/>
    <m/>
    <m/>
    <m/>
    <m/>
    <m/>
    <m/>
    <m/>
    <m/>
    <m/>
    <m/>
    <m/>
    <x v="3"/>
    <x v="4"/>
    <m/>
    <m/>
    <m/>
    <m/>
    <m/>
    <m/>
    <m/>
    <m/>
    <m/>
    <m/>
    <m/>
    <m/>
    <m/>
    <m/>
    <m/>
    <m/>
    <m/>
    <m/>
    <m/>
    <m/>
    <m/>
    <m/>
    <m/>
    <m/>
    <m/>
    <m/>
    <m/>
    <m/>
    <m/>
    <m/>
    <s v="no test"/>
    <s v="no test"/>
    <s v="No Test"/>
    <n v="0"/>
    <n v="0"/>
    <n v="0"/>
    <n v="0"/>
    <n v="0"/>
    <n v="0"/>
    <n v="0"/>
    <m/>
    <n v="0"/>
    <n v="0"/>
    <n v="0"/>
    <n v="0"/>
    <n v="0"/>
    <n v="0"/>
    <n v="0"/>
    <n v="0"/>
    <n v="0"/>
    <n v="1"/>
    <n v="92"/>
    <n v="1"/>
    <n v="1"/>
    <n v="0"/>
    <n v="0"/>
    <n v="0"/>
    <n v="0"/>
    <n v="0"/>
    <n v="0"/>
    <n v="5"/>
    <n v="5"/>
    <n v="1"/>
    <n v="0"/>
    <n v="0"/>
    <n v="0"/>
    <n v="0"/>
    <n v="0"/>
    <n v="0"/>
    <n v="0"/>
    <n v="1"/>
    <n v="0"/>
    <n v="0"/>
    <n v="0"/>
    <n v="0"/>
    <n v="0"/>
    <n v="0"/>
    <n v="0"/>
    <s v="No"/>
    <s v=""/>
    <n v="0"/>
    <n v="0"/>
    <n v="0"/>
    <n v="0"/>
    <n v="0"/>
    <n v="0"/>
    <n v="0"/>
    <s v="uncovered"/>
    <x v="0"/>
    <x v="0"/>
    <x v="0"/>
    <n v="0"/>
    <s v="not available"/>
    <s v="MMR015CMP095"/>
    <x v="1"/>
    <x v="1"/>
    <m/>
    <n v="18"/>
    <n v="92"/>
  </r>
  <r>
    <x v="1"/>
    <x v="0"/>
    <x v="1"/>
    <s v="Luxemburg MoFA"/>
    <x v="0"/>
    <x v="1"/>
    <x v="0"/>
    <x v="1"/>
    <n v="96"/>
    <n v="469"/>
    <d v="2022-08-01T00:00:00"/>
    <d v="2023-04-30T00:00:00"/>
    <m/>
    <m/>
    <m/>
    <m/>
    <m/>
    <m/>
    <m/>
    <m/>
    <m/>
    <m/>
    <m/>
    <m/>
    <m/>
    <m/>
    <n v="1"/>
    <m/>
    <m/>
    <m/>
    <m/>
    <m/>
    <n v="9"/>
    <m/>
    <m/>
    <m/>
    <m/>
    <m/>
    <m/>
    <m/>
    <m/>
    <m/>
    <m/>
    <m/>
    <m/>
    <m/>
    <m/>
    <m/>
    <m/>
    <m/>
    <x v="0"/>
    <x v="0"/>
    <m/>
    <m/>
    <m/>
    <m/>
    <m/>
    <m/>
    <m/>
    <m/>
    <m/>
    <m/>
    <m/>
    <m/>
    <m/>
    <m/>
    <m/>
    <m/>
    <m/>
    <m/>
    <m/>
    <m/>
    <m/>
    <m/>
    <m/>
    <m/>
    <m/>
    <m/>
    <m/>
    <m/>
    <m/>
    <m/>
    <s v="no test"/>
    <s v="no test"/>
    <s v="No Test"/>
    <n v="0"/>
    <n v="0"/>
    <n v="1"/>
    <n v="0"/>
    <n v="0"/>
    <n v="0"/>
    <n v="0"/>
    <m/>
    <n v="0.14214641080312723"/>
    <n v="0.14214641080312723"/>
    <n v="0.14214641080312723"/>
    <n v="66.666666666666671"/>
    <n v="0"/>
    <n v="0"/>
    <n v="0.14214641080312723"/>
    <n v="66.666666666666671"/>
    <n v="0.13333333333333333"/>
    <n v="0.85785358919687282"/>
    <n v="402.33333333333337"/>
    <n v="0.8666666666666667"/>
    <n v="1"/>
    <n v="0"/>
    <n v="0"/>
    <n v="0"/>
    <n v="0"/>
    <n v="0"/>
    <n v="0"/>
    <n v="23"/>
    <n v="23"/>
    <n v="1"/>
    <n v="0"/>
    <n v="0"/>
    <n v="0"/>
    <n v="0"/>
    <n v="0"/>
    <n v="0"/>
    <n v="0"/>
    <n v="1"/>
    <n v="0"/>
    <n v="0"/>
    <n v="0"/>
    <n v="0"/>
    <n v="0"/>
    <n v="0"/>
    <n v="0"/>
    <s v="No"/>
    <s v=""/>
    <n v="0"/>
    <n v="0"/>
    <n v="0"/>
    <n v="0"/>
    <n v="0"/>
    <n v="0"/>
    <n v="0"/>
    <s v="uncovered"/>
    <x v="0"/>
    <x v="0"/>
    <x v="0"/>
    <n v="0"/>
    <s v="not available"/>
    <s v="MMR015CMP093"/>
    <x v="0"/>
    <x v="0"/>
    <m/>
    <n v="92"/>
    <n v="451"/>
  </r>
  <r>
    <x v="1"/>
    <x v="13"/>
    <x v="11"/>
    <m/>
    <x v="0"/>
    <x v="1"/>
    <x v="0"/>
    <x v="215"/>
    <n v="44"/>
    <n v="145"/>
    <m/>
    <m/>
    <m/>
    <m/>
    <m/>
    <m/>
    <m/>
    <m/>
    <m/>
    <m/>
    <m/>
    <m/>
    <m/>
    <m/>
    <m/>
    <m/>
    <m/>
    <m/>
    <m/>
    <m/>
    <m/>
    <m/>
    <m/>
    <m/>
    <m/>
    <m/>
    <m/>
    <m/>
    <m/>
    <m/>
    <m/>
    <m/>
    <m/>
    <m/>
    <m/>
    <m/>
    <m/>
    <m/>
    <m/>
    <m/>
    <x v="3"/>
    <x v="4"/>
    <m/>
    <m/>
    <m/>
    <m/>
    <m/>
    <m/>
    <m/>
    <m/>
    <m/>
    <m/>
    <m/>
    <m/>
    <m/>
    <m/>
    <m/>
    <m/>
    <m/>
    <m/>
    <m/>
    <m/>
    <m/>
    <m/>
    <m/>
    <m/>
    <m/>
    <m/>
    <m/>
    <m/>
    <m/>
    <m/>
    <s v="no test"/>
    <s v="no test"/>
    <s v="No Test"/>
    <n v="0"/>
    <n v="0"/>
    <n v="0"/>
    <n v="0"/>
    <n v="0"/>
    <n v="0"/>
    <n v="0"/>
    <m/>
    <n v="0"/>
    <n v="0"/>
    <n v="0"/>
    <n v="0"/>
    <n v="0"/>
    <n v="0"/>
    <n v="0"/>
    <n v="0"/>
    <n v="0"/>
    <n v="1"/>
    <n v="145"/>
    <n v="1"/>
    <n v="1"/>
    <n v="0"/>
    <n v="0"/>
    <n v="0"/>
    <n v="0"/>
    <n v="0"/>
    <n v="0"/>
    <n v="7"/>
    <n v="7"/>
    <n v="1"/>
    <n v="0"/>
    <n v="0"/>
    <n v="0"/>
    <n v="0"/>
    <n v="0"/>
    <n v="0"/>
    <n v="0"/>
    <n v="1"/>
    <n v="0"/>
    <n v="0"/>
    <n v="0"/>
    <n v="0"/>
    <n v="0"/>
    <n v="0"/>
    <n v="0"/>
    <s v="No"/>
    <s v=""/>
    <n v="0"/>
    <n v="0"/>
    <n v="0"/>
    <n v="0"/>
    <n v="0"/>
    <n v="0"/>
    <n v="0"/>
    <n v="0"/>
    <x v="0"/>
    <x v="4"/>
    <x v="0"/>
    <n v="0"/>
    <n v="0"/>
    <s v="MMR015CMP097"/>
    <x v="1"/>
    <x v="1"/>
    <m/>
    <n v="44"/>
    <n v="145"/>
  </r>
  <r>
    <x v="1"/>
    <x v="13"/>
    <x v="11"/>
    <m/>
    <x v="0"/>
    <x v="1"/>
    <x v="0"/>
    <x v="216"/>
    <n v="37"/>
    <n v="114"/>
    <m/>
    <m/>
    <m/>
    <m/>
    <m/>
    <m/>
    <m/>
    <m/>
    <m/>
    <m/>
    <m/>
    <m/>
    <m/>
    <m/>
    <m/>
    <m/>
    <m/>
    <m/>
    <m/>
    <m/>
    <m/>
    <m/>
    <m/>
    <m/>
    <m/>
    <m/>
    <m/>
    <m/>
    <m/>
    <m/>
    <m/>
    <m/>
    <m/>
    <m/>
    <m/>
    <m/>
    <m/>
    <m/>
    <m/>
    <m/>
    <x v="3"/>
    <x v="4"/>
    <m/>
    <m/>
    <m/>
    <m/>
    <m/>
    <m/>
    <m/>
    <m/>
    <m/>
    <m/>
    <m/>
    <m/>
    <m/>
    <m/>
    <m/>
    <m/>
    <m/>
    <m/>
    <m/>
    <m/>
    <m/>
    <m/>
    <m/>
    <m/>
    <m/>
    <m/>
    <m/>
    <m/>
    <m/>
    <m/>
    <s v="no test"/>
    <s v="no test"/>
    <s v="No Test"/>
    <n v="0"/>
    <n v="0"/>
    <n v="0"/>
    <n v="0"/>
    <n v="0"/>
    <n v="0"/>
    <n v="0"/>
    <m/>
    <n v="0"/>
    <n v="0"/>
    <n v="0"/>
    <n v="0"/>
    <n v="0"/>
    <n v="0"/>
    <n v="0"/>
    <n v="0"/>
    <n v="0"/>
    <n v="1"/>
    <n v="114"/>
    <n v="1"/>
    <n v="1"/>
    <n v="0"/>
    <n v="0"/>
    <n v="0"/>
    <n v="0"/>
    <n v="0"/>
    <n v="0"/>
    <n v="6"/>
    <n v="6"/>
    <n v="1"/>
    <n v="0"/>
    <n v="0"/>
    <n v="0"/>
    <n v="0"/>
    <n v="0"/>
    <n v="0"/>
    <n v="0"/>
    <n v="1"/>
    <n v="0"/>
    <n v="0"/>
    <n v="0"/>
    <n v="0"/>
    <n v="0"/>
    <n v="0"/>
    <n v="0"/>
    <s v="No"/>
    <s v=""/>
    <n v="0"/>
    <n v="0"/>
    <n v="0"/>
    <n v="0"/>
    <n v="0"/>
    <n v="0"/>
    <n v="0"/>
    <n v="0"/>
    <x v="0"/>
    <x v="4"/>
    <x v="0"/>
    <n v="0"/>
    <n v="0"/>
    <s v="MMR015CMP098"/>
    <x v="1"/>
    <x v="1"/>
    <m/>
    <n v="37"/>
    <n v="114"/>
  </r>
  <r>
    <x v="1"/>
    <x v="13"/>
    <x v="11"/>
    <m/>
    <x v="0"/>
    <x v="1"/>
    <x v="0"/>
    <x v="161"/>
    <n v="18"/>
    <n v="123"/>
    <m/>
    <m/>
    <m/>
    <m/>
    <m/>
    <m/>
    <m/>
    <m/>
    <m/>
    <m/>
    <m/>
    <m/>
    <m/>
    <m/>
    <m/>
    <m/>
    <m/>
    <m/>
    <m/>
    <m/>
    <m/>
    <m/>
    <m/>
    <m/>
    <m/>
    <m/>
    <m/>
    <m/>
    <m/>
    <m/>
    <m/>
    <m/>
    <m/>
    <m/>
    <m/>
    <m/>
    <m/>
    <m/>
    <m/>
    <m/>
    <x v="3"/>
    <x v="4"/>
    <m/>
    <m/>
    <m/>
    <m/>
    <m/>
    <m/>
    <m/>
    <m/>
    <m/>
    <m/>
    <m/>
    <m/>
    <m/>
    <m/>
    <m/>
    <m/>
    <m/>
    <m/>
    <m/>
    <m/>
    <m/>
    <m/>
    <m/>
    <m/>
    <m/>
    <m/>
    <m/>
    <m/>
    <m/>
    <m/>
    <s v="no test"/>
    <s v="no test"/>
    <s v="No Test"/>
    <n v="0"/>
    <n v="0"/>
    <n v="0"/>
    <n v="0"/>
    <n v="0"/>
    <n v="0"/>
    <n v="0"/>
    <m/>
    <n v="0"/>
    <n v="0"/>
    <n v="0"/>
    <n v="0"/>
    <n v="0"/>
    <n v="0"/>
    <n v="0"/>
    <n v="0"/>
    <n v="0"/>
    <n v="1"/>
    <n v="123"/>
    <n v="1"/>
    <n v="1"/>
    <n v="0"/>
    <n v="0"/>
    <n v="0"/>
    <n v="0"/>
    <n v="0"/>
    <n v="0"/>
    <n v="6"/>
    <n v="6"/>
    <n v="1"/>
    <n v="0"/>
    <n v="0"/>
    <n v="0"/>
    <n v="0"/>
    <n v="0"/>
    <n v="0"/>
    <n v="0"/>
    <n v="1"/>
    <n v="0"/>
    <n v="0"/>
    <n v="0"/>
    <n v="0"/>
    <n v="0"/>
    <n v="0"/>
    <n v="0"/>
    <s v="No"/>
    <s v=""/>
    <n v="0"/>
    <n v="0"/>
    <n v="0"/>
    <n v="0"/>
    <n v="0"/>
    <n v="0"/>
    <n v="0"/>
    <s v="uncovered"/>
    <x v="0"/>
    <x v="0"/>
    <x v="0"/>
    <n v="0"/>
    <s v="not available"/>
    <s v="MMR015CMP088"/>
    <x v="1"/>
    <x v="1"/>
    <m/>
    <n v="18"/>
    <n v="123"/>
  </r>
  <r>
    <x v="1"/>
    <x v="13"/>
    <x v="11"/>
    <m/>
    <x v="0"/>
    <x v="1"/>
    <x v="0"/>
    <x v="162"/>
    <n v="62"/>
    <n v="144"/>
    <m/>
    <m/>
    <m/>
    <m/>
    <m/>
    <m/>
    <m/>
    <m/>
    <m/>
    <m/>
    <m/>
    <m/>
    <m/>
    <m/>
    <m/>
    <m/>
    <m/>
    <m/>
    <m/>
    <m/>
    <m/>
    <m/>
    <m/>
    <m/>
    <m/>
    <m/>
    <m/>
    <m/>
    <m/>
    <m/>
    <m/>
    <m/>
    <m/>
    <m/>
    <m/>
    <m/>
    <m/>
    <m/>
    <m/>
    <m/>
    <x v="3"/>
    <x v="4"/>
    <m/>
    <m/>
    <m/>
    <m/>
    <m/>
    <m/>
    <m/>
    <m/>
    <m/>
    <m/>
    <m/>
    <m/>
    <m/>
    <m/>
    <m/>
    <m/>
    <m/>
    <m/>
    <m/>
    <m/>
    <m/>
    <m/>
    <m/>
    <m/>
    <m/>
    <m/>
    <m/>
    <m/>
    <m/>
    <m/>
    <s v="no test"/>
    <s v="no test"/>
    <s v="No Test"/>
    <n v="0"/>
    <n v="0"/>
    <n v="0"/>
    <n v="0"/>
    <n v="0"/>
    <n v="0"/>
    <n v="0"/>
    <m/>
    <n v="0"/>
    <n v="0"/>
    <n v="0"/>
    <n v="0"/>
    <n v="0"/>
    <n v="0"/>
    <n v="0"/>
    <n v="0"/>
    <n v="0"/>
    <n v="1"/>
    <n v="144"/>
    <n v="1"/>
    <n v="1"/>
    <n v="0"/>
    <n v="0"/>
    <n v="0"/>
    <n v="0"/>
    <n v="0"/>
    <n v="0"/>
    <n v="7"/>
    <n v="7"/>
    <n v="1"/>
    <n v="0"/>
    <n v="0"/>
    <n v="0"/>
    <n v="0"/>
    <n v="0"/>
    <n v="0"/>
    <n v="0"/>
    <n v="1"/>
    <n v="0"/>
    <n v="0"/>
    <n v="0"/>
    <n v="0"/>
    <n v="0"/>
    <n v="0"/>
    <n v="0"/>
    <s v="No"/>
    <s v=""/>
    <n v="0"/>
    <n v="0"/>
    <n v="0"/>
    <n v="0"/>
    <n v="0"/>
    <n v="0"/>
    <n v="0"/>
    <s v="uncovered"/>
    <x v="0"/>
    <x v="0"/>
    <x v="0"/>
    <n v="0"/>
    <s v="not available"/>
    <s v="MMR015CMP091"/>
    <x v="1"/>
    <x v="1"/>
    <m/>
    <n v="62"/>
    <n v="144"/>
  </r>
  <r>
    <x v="1"/>
    <x v="1"/>
    <x v="2"/>
    <s v="UNICEF"/>
    <x v="0"/>
    <x v="3"/>
    <x v="0"/>
    <x v="4"/>
    <n v="340"/>
    <n v="1674"/>
    <d v="2021-10-19T00:00:00"/>
    <d v="2022-10-18T00:00:00"/>
    <m/>
    <m/>
    <m/>
    <m/>
    <s v="Yes"/>
    <n v="2"/>
    <n v="2"/>
    <m/>
    <m/>
    <m/>
    <m/>
    <m/>
    <m/>
    <m/>
    <n v="24"/>
    <m/>
    <m/>
    <m/>
    <m/>
    <m/>
    <m/>
    <n v="1"/>
    <m/>
    <m/>
    <m/>
    <m/>
    <m/>
    <n v="1"/>
    <m/>
    <m/>
    <n v="30"/>
    <m/>
    <m/>
    <m/>
    <m/>
    <m/>
    <m/>
    <m/>
    <x v="0"/>
    <x v="0"/>
    <m/>
    <m/>
    <m/>
    <m/>
    <m/>
    <m/>
    <n v="3"/>
    <m/>
    <m/>
    <m/>
    <m/>
    <m/>
    <m/>
    <m/>
    <m/>
    <m/>
    <m/>
    <m/>
    <m/>
    <m/>
    <m/>
    <m/>
    <m/>
    <m/>
    <m/>
    <m/>
    <m/>
    <m/>
    <m/>
    <m/>
    <s v="no test"/>
    <s v="no test"/>
    <s v="No Test"/>
    <n v="0"/>
    <n v="0"/>
    <n v="24"/>
    <n v="0"/>
    <n v="0"/>
    <n v="500"/>
    <n v="0"/>
    <m/>
    <n v="0.95579450418160095"/>
    <n v="0.95579450418160095"/>
    <n v="0.95579450418160095"/>
    <n v="1600"/>
    <n v="0"/>
    <n v="0"/>
    <n v="0.95579450418160095"/>
    <n v="1600"/>
    <n v="3.2"/>
    <n v="4.4205495818399054E-2"/>
    <n v="74.000000000000014"/>
    <n v="0"/>
    <n v="3"/>
    <n v="30"/>
    <n v="0.35842293906810035"/>
    <n v="600"/>
    <n v="0"/>
    <n v="0"/>
    <n v="0"/>
    <n v="84"/>
    <n v="54"/>
    <n v="0.64157706093189959"/>
    <n v="0"/>
    <n v="0"/>
    <n v="0"/>
    <n v="0"/>
    <n v="0"/>
    <n v="0"/>
    <n v="0"/>
    <n v="1"/>
    <n v="0"/>
    <n v="0"/>
    <n v="0"/>
    <n v="3"/>
    <n v="60"/>
    <n v="0"/>
    <n v="300"/>
    <s v="No"/>
    <s v=""/>
    <n v="0"/>
    <n v="0"/>
    <n v="0"/>
    <n v="0"/>
    <n v="500"/>
    <n v="0"/>
    <n v="0"/>
    <n v="0"/>
    <x v="0"/>
    <x v="0"/>
    <x v="0"/>
    <n v="23.420603"/>
    <n v="98.451791999999998"/>
    <s v="MMR015CMP069"/>
    <x v="0"/>
    <x v="0"/>
    <m/>
    <n v="166"/>
    <n v="830"/>
  </r>
  <r>
    <x v="1"/>
    <x v="13"/>
    <x v="11"/>
    <m/>
    <x v="0"/>
    <x v="3"/>
    <x v="3"/>
    <x v="163"/>
    <n v="219"/>
    <n v="653"/>
    <m/>
    <m/>
    <m/>
    <m/>
    <m/>
    <m/>
    <m/>
    <m/>
    <m/>
    <m/>
    <m/>
    <m/>
    <m/>
    <m/>
    <m/>
    <m/>
    <m/>
    <m/>
    <m/>
    <m/>
    <m/>
    <m/>
    <m/>
    <m/>
    <m/>
    <m/>
    <m/>
    <m/>
    <m/>
    <m/>
    <m/>
    <m/>
    <m/>
    <m/>
    <m/>
    <m/>
    <m/>
    <m/>
    <m/>
    <m/>
    <x v="2"/>
    <x v="2"/>
    <m/>
    <m/>
    <m/>
    <m/>
    <m/>
    <m/>
    <m/>
    <m/>
    <m/>
    <m/>
    <m/>
    <m/>
    <m/>
    <m/>
    <m/>
    <m/>
    <m/>
    <m/>
    <m/>
    <m/>
    <m/>
    <m/>
    <m/>
    <m/>
    <m/>
    <m/>
    <m/>
    <m/>
    <m/>
    <m/>
    <s v="no test"/>
    <s v="no test"/>
    <s v="No Test"/>
    <n v="0"/>
    <n v="0"/>
    <n v="0"/>
    <n v="0"/>
    <n v="0"/>
    <n v="0"/>
    <n v="0"/>
    <m/>
    <n v="0"/>
    <n v="0"/>
    <n v="0"/>
    <n v="0"/>
    <n v="0"/>
    <n v="0"/>
    <n v="0"/>
    <n v="0"/>
    <n v="0"/>
    <n v="1"/>
    <n v="653"/>
    <n v="1"/>
    <n v="1"/>
    <n v="0"/>
    <n v="0"/>
    <n v="0"/>
    <n v="0"/>
    <n v="0"/>
    <n v="0"/>
    <n v="109"/>
    <n v="109"/>
    <n v="1"/>
    <n v="0"/>
    <n v="0"/>
    <n v="0"/>
    <n v="0"/>
    <n v="0"/>
    <n v="0"/>
    <n v="0"/>
    <n v="1"/>
    <n v="0"/>
    <n v="0"/>
    <n v="0"/>
    <n v="0"/>
    <n v="0"/>
    <n v="0"/>
    <n v="0"/>
    <s v="No"/>
    <s v=""/>
    <n v="0"/>
    <n v="0"/>
    <n v="0"/>
    <n v="0"/>
    <n v="0"/>
    <n v="0"/>
    <n v="0"/>
    <n v="0"/>
    <x v="2"/>
    <x v="6"/>
    <x v="0"/>
    <n v="23.415991000000002"/>
    <n v="98.471779999999995"/>
    <s v="MMR015CMP073"/>
    <x v="1"/>
    <x v="1"/>
    <s v="individual house"/>
    <n v="219"/>
    <n v="653"/>
  </r>
  <r>
    <x v="1"/>
    <x v="13"/>
    <x v="11"/>
    <m/>
    <x v="0"/>
    <x v="3"/>
    <x v="3"/>
    <x v="164"/>
    <n v="657"/>
    <n v="2786"/>
    <m/>
    <m/>
    <m/>
    <m/>
    <m/>
    <m/>
    <m/>
    <m/>
    <m/>
    <m/>
    <m/>
    <m/>
    <m/>
    <m/>
    <m/>
    <m/>
    <m/>
    <m/>
    <m/>
    <m/>
    <m/>
    <m/>
    <m/>
    <m/>
    <m/>
    <m/>
    <m/>
    <m/>
    <m/>
    <m/>
    <m/>
    <m/>
    <m/>
    <m/>
    <m/>
    <m/>
    <m/>
    <m/>
    <m/>
    <m/>
    <x v="2"/>
    <x v="2"/>
    <m/>
    <m/>
    <m/>
    <m/>
    <m/>
    <m/>
    <m/>
    <m/>
    <m/>
    <m/>
    <m/>
    <m/>
    <m/>
    <m/>
    <m/>
    <m/>
    <m/>
    <m/>
    <m/>
    <m/>
    <m/>
    <m/>
    <m/>
    <m/>
    <m/>
    <m/>
    <m/>
    <m/>
    <m/>
    <m/>
    <s v="no test"/>
    <s v="no test"/>
    <s v="No Test"/>
    <n v="0"/>
    <n v="0"/>
    <n v="0"/>
    <n v="0"/>
    <n v="0"/>
    <n v="0"/>
    <n v="0"/>
    <m/>
    <n v="0"/>
    <n v="0"/>
    <n v="0"/>
    <n v="0"/>
    <n v="0"/>
    <n v="0"/>
    <n v="0"/>
    <n v="0"/>
    <n v="0"/>
    <n v="1"/>
    <n v="2786"/>
    <n v="6"/>
    <n v="6"/>
    <n v="0"/>
    <n v="0"/>
    <n v="0"/>
    <n v="0"/>
    <n v="0"/>
    <n v="0"/>
    <n v="464"/>
    <n v="464"/>
    <n v="1"/>
    <n v="0"/>
    <n v="0"/>
    <n v="0"/>
    <n v="0"/>
    <n v="0"/>
    <n v="0"/>
    <n v="0"/>
    <n v="1"/>
    <n v="0"/>
    <n v="0"/>
    <n v="0"/>
    <n v="0"/>
    <n v="0"/>
    <n v="0"/>
    <n v="0"/>
    <s v="No"/>
    <s v=""/>
    <n v="0"/>
    <n v="0"/>
    <n v="0"/>
    <n v="0"/>
    <n v="0"/>
    <n v="0"/>
    <n v="0"/>
    <n v="0"/>
    <x v="2"/>
    <x v="6"/>
    <x v="0"/>
    <n v="23.363275999999999"/>
    <n v="98.472977999999998"/>
    <s v="MMR015CMP072"/>
    <x v="1"/>
    <x v="1"/>
    <s v="individual house"/>
    <n v="657"/>
    <n v="2786"/>
  </r>
  <r>
    <x v="1"/>
    <x v="13"/>
    <x v="11"/>
    <m/>
    <x v="0"/>
    <x v="3"/>
    <x v="0"/>
    <x v="165"/>
    <n v="34"/>
    <n v="170"/>
    <m/>
    <m/>
    <m/>
    <m/>
    <m/>
    <m/>
    <m/>
    <m/>
    <m/>
    <m/>
    <m/>
    <m/>
    <m/>
    <m/>
    <m/>
    <m/>
    <m/>
    <m/>
    <m/>
    <m/>
    <m/>
    <m/>
    <m/>
    <m/>
    <m/>
    <m/>
    <m/>
    <m/>
    <m/>
    <m/>
    <m/>
    <m/>
    <m/>
    <m/>
    <m/>
    <m/>
    <m/>
    <m/>
    <m/>
    <m/>
    <x v="2"/>
    <x v="2"/>
    <m/>
    <m/>
    <m/>
    <m/>
    <m/>
    <m/>
    <m/>
    <m/>
    <m/>
    <m/>
    <m/>
    <m/>
    <m/>
    <m/>
    <m/>
    <m/>
    <m/>
    <m/>
    <m/>
    <m/>
    <m/>
    <m/>
    <m/>
    <m/>
    <m/>
    <m/>
    <m/>
    <m/>
    <m/>
    <m/>
    <s v="no test"/>
    <s v="no test"/>
    <s v="No Test"/>
    <n v="0"/>
    <n v="0"/>
    <n v="0"/>
    <n v="0"/>
    <n v="0"/>
    <n v="0"/>
    <n v="0"/>
    <m/>
    <n v="0"/>
    <n v="0"/>
    <n v="0"/>
    <n v="0"/>
    <n v="0"/>
    <n v="0"/>
    <n v="0"/>
    <n v="0"/>
    <n v="0"/>
    <n v="1"/>
    <n v="170"/>
    <n v="1"/>
    <n v="1"/>
    <n v="0"/>
    <n v="0"/>
    <n v="0"/>
    <n v="0"/>
    <n v="0"/>
    <n v="0"/>
    <n v="9"/>
    <n v="9"/>
    <n v="1"/>
    <n v="0"/>
    <n v="0"/>
    <n v="0"/>
    <n v="0"/>
    <n v="0"/>
    <n v="0"/>
    <n v="0"/>
    <n v="1"/>
    <n v="0"/>
    <n v="0"/>
    <n v="0"/>
    <n v="0"/>
    <n v="0"/>
    <n v="0"/>
    <n v="0"/>
    <s v="No"/>
    <s v=""/>
    <n v="0"/>
    <n v="0"/>
    <n v="0"/>
    <n v="0"/>
    <n v="0"/>
    <n v="0"/>
    <n v="0"/>
    <n v="0"/>
    <x v="0"/>
    <x v="0"/>
    <x v="0"/>
    <n v="23.729893000000001"/>
    <n v="98.779853500000002"/>
    <s v="MMR015CMP070"/>
    <x v="1"/>
    <x v="1"/>
    <m/>
    <n v="34"/>
    <n v="170"/>
  </r>
  <r>
    <x v="1"/>
    <x v="0"/>
    <x v="1"/>
    <s v="Luxemburg MoFA"/>
    <x v="0"/>
    <x v="2"/>
    <x v="0"/>
    <x v="2"/>
    <n v="11"/>
    <n v="37"/>
    <d v="2022-08-01T00:00:00"/>
    <d v="2023-04-30T00:00:00"/>
    <m/>
    <m/>
    <m/>
    <m/>
    <m/>
    <m/>
    <m/>
    <m/>
    <m/>
    <m/>
    <m/>
    <m/>
    <m/>
    <m/>
    <n v="1"/>
    <m/>
    <m/>
    <m/>
    <m/>
    <m/>
    <n v="26"/>
    <m/>
    <m/>
    <m/>
    <m/>
    <m/>
    <m/>
    <m/>
    <m/>
    <m/>
    <m/>
    <m/>
    <m/>
    <m/>
    <m/>
    <m/>
    <m/>
    <m/>
    <x v="0"/>
    <x v="0"/>
    <m/>
    <m/>
    <m/>
    <m/>
    <m/>
    <m/>
    <m/>
    <m/>
    <m/>
    <m/>
    <m/>
    <m/>
    <m/>
    <m/>
    <m/>
    <m/>
    <m/>
    <m/>
    <m/>
    <m/>
    <m/>
    <m/>
    <m/>
    <m/>
    <m/>
    <m/>
    <m/>
    <m/>
    <m/>
    <m/>
    <s v="no test"/>
    <s v="no test"/>
    <s v="No Test"/>
    <n v="0"/>
    <n v="0"/>
    <n v="1"/>
    <n v="0"/>
    <n v="0"/>
    <n v="0"/>
    <n v="0"/>
    <m/>
    <n v="1"/>
    <n v="1"/>
    <n v="1"/>
    <n v="37"/>
    <n v="0"/>
    <n v="0"/>
    <n v="1"/>
    <n v="37"/>
    <n v="7.3999999999999996E-2"/>
    <n v="0"/>
    <n v="0"/>
    <n v="0.92600000000000005"/>
    <n v="1"/>
    <n v="0"/>
    <n v="0"/>
    <n v="0"/>
    <n v="0"/>
    <n v="0"/>
    <n v="0"/>
    <n v="2"/>
    <n v="2"/>
    <n v="1"/>
    <n v="0"/>
    <n v="0"/>
    <n v="0"/>
    <n v="0"/>
    <n v="0"/>
    <n v="0"/>
    <n v="0"/>
    <n v="1"/>
    <n v="0"/>
    <n v="0"/>
    <n v="0"/>
    <n v="0"/>
    <n v="0"/>
    <n v="0"/>
    <n v="0"/>
    <s v="No"/>
    <s v=""/>
    <n v="0"/>
    <n v="0"/>
    <n v="0"/>
    <n v="0"/>
    <n v="0"/>
    <n v="0"/>
    <n v="0"/>
    <s v="uncovered"/>
    <x v="0"/>
    <x v="1"/>
    <x v="0"/>
    <n v="0"/>
    <s v="not available"/>
    <s v="MMR015CMP089"/>
    <x v="0"/>
    <x v="0"/>
    <m/>
    <n v="11"/>
    <n v="32"/>
  </r>
  <r>
    <x v="1"/>
    <x v="0"/>
    <x v="0"/>
    <s v="Luxemburg MoFA"/>
    <x v="0"/>
    <x v="2"/>
    <x v="0"/>
    <x v="3"/>
    <n v="270"/>
    <n v="1414"/>
    <d v="2022-08-01T00:00:00"/>
    <d v="2023-04-30T00:00:00"/>
    <m/>
    <m/>
    <m/>
    <m/>
    <m/>
    <m/>
    <m/>
    <m/>
    <m/>
    <m/>
    <m/>
    <m/>
    <m/>
    <m/>
    <n v="18"/>
    <m/>
    <m/>
    <m/>
    <m/>
    <m/>
    <m/>
    <m/>
    <m/>
    <m/>
    <m/>
    <m/>
    <m/>
    <m/>
    <m/>
    <m/>
    <m/>
    <m/>
    <m/>
    <m/>
    <m/>
    <m/>
    <m/>
    <m/>
    <x v="0"/>
    <x v="0"/>
    <m/>
    <m/>
    <m/>
    <m/>
    <m/>
    <m/>
    <m/>
    <m/>
    <m/>
    <m/>
    <m/>
    <m/>
    <m/>
    <m/>
    <m/>
    <m/>
    <m/>
    <m/>
    <m/>
    <m/>
    <m/>
    <m/>
    <m/>
    <m/>
    <m/>
    <m/>
    <m/>
    <m/>
    <m/>
    <m/>
    <s v="no test"/>
    <s v="no test"/>
    <s v="No Test"/>
    <n v="0"/>
    <n v="0"/>
    <n v="18"/>
    <n v="0"/>
    <n v="0"/>
    <n v="0"/>
    <n v="0"/>
    <m/>
    <n v="0.84865629420084865"/>
    <n v="0.84865629420084865"/>
    <n v="0.84865629420084865"/>
    <n v="1200"/>
    <n v="0"/>
    <n v="0"/>
    <n v="0.84865629420084865"/>
    <n v="1200"/>
    <n v="2.4"/>
    <n v="0.15134370579915135"/>
    <n v="214"/>
    <n v="0.60000000000000009"/>
    <n v="3"/>
    <n v="0"/>
    <n v="0"/>
    <n v="0"/>
    <n v="0"/>
    <n v="0"/>
    <n v="0"/>
    <n v="71"/>
    <n v="71"/>
    <n v="1"/>
    <n v="0"/>
    <n v="0"/>
    <n v="0"/>
    <n v="0"/>
    <n v="0"/>
    <n v="0"/>
    <n v="0"/>
    <n v="1"/>
    <n v="0"/>
    <n v="0"/>
    <n v="0"/>
    <n v="0"/>
    <n v="0"/>
    <n v="0"/>
    <n v="0"/>
    <s v="No"/>
    <s v=""/>
    <n v="0"/>
    <n v="0"/>
    <n v="0"/>
    <n v="0"/>
    <n v="0"/>
    <n v="0"/>
    <s v="Yes"/>
    <s v="KBC-NSS"/>
    <x v="0"/>
    <x v="0"/>
    <x v="0"/>
    <n v="24.08738"/>
    <n v="98.115809999999996"/>
    <s v="MMR015CMP065"/>
    <x v="0"/>
    <x v="0"/>
    <m/>
    <n v="307"/>
    <n v="1581"/>
  </r>
  <r>
    <x v="1"/>
    <x v="13"/>
    <x v="28"/>
    <s v="MHF"/>
    <x v="0"/>
    <x v="2"/>
    <x v="0"/>
    <x v="217"/>
    <n v="85"/>
    <n v="362"/>
    <d v="2021-11-11T00:00:00"/>
    <d v="2023-08-08T00:00:00"/>
    <m/>
    <m/>
    <m/>
    <m/>
    <m/>
    <m/>
    <m/>
    <m/>
    <m/>
    <m/>
    <m/>
    <m/>
    <m/>
    <m/>
    <m/>
    <m/>
    <m/>
    <m/>
    <m/>
    <m/>
    <m/>
    <m/>
    <m/>
    <m/>
    <m/>
    <m/>
    <m/>
    <m/>
    <m/>
    <m/>
    <m/>
    <m/>
    <m/>
    <m/>
    <m/>
    <m/>
    <m/>
    <m/>
    <x v="2"/>
    <x v="4"/>
    <m/>
    <m/>
    <m/>
    <m/>
    <m/>
    <m/>
    <m/>
    <m/>
    <m/>
    <m/>
    <m/>
    <m/>
    <m/>
    <m/>
    <m/>
    <m/>
    <m/>
    <m/>
    <m/>
    <m/>
    <m/>
    <m/>
    <m/>
    <m/>
    <m/>
    <m/>
    <m/>
    <m/>
    <m/>
    <m/>
    <s v="no test"/>
    <s v="no test"/>
    <s v="No Test"/>
    <n v="0"/>
    <n v="0"/>
    <n v="0"/>
    <n v="0"/>
    <n v="0"/>
    <n v="0"/>
    <n v="0"/>
    <m/>
    <n v="0"/>
    <n v="0"/>
    <n v="0"/>
    <n v="0"/>
    <n v="0"/>
    <n v="0"/>
    <n v="0"/>
    <n v="0"/>
    <n v="0"/>
    <n v="1"/>
    <n v="362"/>
    <n v="1"/>
    <n v="1"/>
    <n v="0"/>
    <n v="0"/>
    <n v="0"/>
    <n v="0"/>
    <n v="0"/>
    <n v="0"/>
    <n v="18"/>
    <n v="18"/>
    <n v="1"/>
    <n v="0"/>
    <n v="0"/>
    <n v="0"/>
    <n v="0"/>
    <n v="0"/>
    <n v="0"/>
    <n v="0"/>
    <n v="1"/>
    <n v="0"/>
    <n v="0"/>
    <n v="0"/>
    <n v="0"/>
    <n v="0"/>
    <n v="0"/>
    <n v="0"/>
    <s v="No"/>
    <s v=""/>
    <n v="0"/>
    <n v="0"/>
    <n v="0"/>
    <n v="0"/>
    <n v="0"/>
    <n v="0"/>
    <n v="0"/>
    <n v="0"/>
    <x v="0"/>
    <x v="4"/>
    <x v="0"/>
    <n v="0"/>
    <n v="0"/>
    <s v="MMR015CMP101"/>
    <x v="0"/>
    <x v="0"/>
    <s v="No focal. UNICEF is IP. Metta will confirm as focal since MHF area"/>
    <n v="85"/>
    <n v="362"/>
  </r>
  <r>
    <x v="1"/>
    <x v="13"/>
    <x v="28"/>
    <s v="MHF"/>
    <x v="0"/>
    <x v="2"/>
    <x v="0"/>
    <x v="218"/>
    <n v="35"/>
    <n v="136"/>
    <d v="2021-11-11T00:00:00"/>
    <d v="2023-08-08T00:00:00"/>
    <m/>
    <m/>
    <m/>
    <m/>
    <m/>
    <m/>
    <m/>
    <m/>
    <m/>
    <m/>
    <m/>
    <m/>
    <m/>
    <m/>
    <m/>
    <m/>
    <m/>
    <m/>
    <m/>
    <m/>
    <m/>
    <m/>
    <m/>
    <m/>
    <m/>
    <m/>
    <m/>
    <m/>
    <m/>
    <m/>
    <m/>
    <m/>
    <m/>
    <m/>
    <m/>
    <m/>
    <m/>
    <m/>
    <x v="2"/>
    <x v="4"/>
    <m/>
    <m/>
    <m/>
    <m/>
    <m/>
    <m/>
    <m/>
    <m/>
    <m/>
    <m/>
    <m/>
    <m/>
    <m/>
    <m/>
    <m/>
    <m/>
    <m/>
    <m/>
    <m/>
    <m/>
    <m/>
    <m/>
    <m/>
    <m/>
    <m/>
    <m/>
    <m/>
    <m/>
    <m/>
    <m/>
    <s v="no test"/>
    <s v="no test"/>
    <s v="No Test"/>
    <n v="0"/>
    <n v="0"/>
    <n v="0"/>
    <n v="0"/>
    <n v="0"/>
    <n v="0"/>
    <n v="0"/>
    <m/>
    <n v="0"/>
    <n v="0"/>
    <n v="0"/>
    <n v="0"/>
    <n v="0"/>
    <n v="0"/>
    <n v="0"/>
    <n v="0"/>
    <n v="0"/>
    <n v="1"/>
    <n v="136"/>
    <n v="1"/>
    <n v="1"/>
    <n v="0"/>
    <n v="0"/>
    <n v="0"/>
    <n v="0"/>
    <n v="0"/>
    <n v="0"/>
    <n v="7"/>
    <n v="7"/>
    <n v="1"/>
    <n v="0"/>
    <n v="0"/>
    <n v="0"/>
    <n v="0"/>
    <n v="0"/>
    <n v="0"/>
    <n v="0"/>
    <n v="1"/>
    <n v="0"/>
    <n v="0"/>
    <n v="0"/>
    <n v="0"/>
    <n v="0"/>
    <n v="0"/>
    <n v="0"/>
    <s v="No"/>
    <s v=""/>
    <n v="0"/>
    <n v="0"/>
    <n v="0"/>
    <n v="0"/>
    <n v="0"/>
    <n v="0"/>
    <n v="0"/>
    <n v="0"/>
    <x v="0"/>
    <x v="0"/>
    <x v="0"/>
    <n v="0"/>
    <n v="0"/>
    <s v="MMR015CMP100"/>
    <x v="0"/>
    <x v="0"/>
    <s v="No focal. UNICEF is IP. Metta will confirm as focal since MHF area"/>
    <n v="35"/>
    <n v="136"/>
  </r>
  <r>
    <x v="1"/>
    <x v="13"/>
    <x v="28"/>
    <s v="MHF"/>
    <x v="0"/>
    <x v="2"/>
    <x v="0"/>
    <x v="219"/>
    <n v="30"/>
    <n v="127"/>
    <d v="2021-11-11T00:00:00"/>
    <d v="2023-08-08T00:00:00"/>
    <m/>
    <m/>
    <m/>
    <m/>
    <m/>
    <m/>
    <m/>
    <m/>
    <m/>
    <m/>
    <m/>
    <m/>
    <m/>
    <m/>
    <m/>
    <m/>
    <m/>
    <m/>
    <m/>
    <m/>
    <m/>
    <m/>
    <m/>
    <m/>
    <m/>
    <m/>
    <m/>
    <m/>
    <m/>
    <m/>
    <m/>
    <m/>
    <m/>
    <m/>
    <m/>
    <m/>
    <m/>
    <m/>
    <x v="2"/>
    <x v="4"/>
    <m/>
    <m/>
    <m/>
    <m/>
    <m/>
    <m/>
    <m/>
    <m/>
    <m/>
    <m/>
    <m/>
    <m/>
    <m/>
    <m/>
    <m/>
    <m/>
    <m/>
    <m/>
    <m/>
    <m/>
    <m/>
    <m/>
    <m/>
    <m/>
    <m/>
    <m/>
    <m/>
    <m/>
    <m/>
    <m/>
    <s v="no test"/>
    <s v="no test"/>
    <s v="No Test"/>
    <n v="0"/>
    <n v="0"/>
    <n v="0"/>
    <n v="0"/>
    <n v="0"/>
    <n v="0"/>
    <n v="0"/>
    <m/>
    <n v="0"/>
    <n v="0"/>
    <n v="0"/>
    <n v="0"/>
    <n v="0"/>
    <n v="0"/>
    <n v="0"/>
    <n v="0"/>
    <n v="0"/>
    <n v="1"/>
    <n v="127"/>
    <n v="1"/>
    <n v="1"/>
    <n v="0"/>
    <n v="0"/>
    <n v="0"/>
    <n v="0"/>
    <n v="0"/>
    <n v="0"/>
    <n v="6"/>
    <n v="6"/>
    <n v="1"/>
    <n v="0"/>
    <n v="0"/>
    <n v="0"/>
    <n v="0"/>
    <n v="0"/>
    <n v="0"/>
    <n v="0"/>
    <n v="1"/>
    <n v="0"/>
    <n v="0"/>
    <n v="0"/>
    <n v="0"/>
    <n v="0"/>
    <n v="0"/>
    <n v="0"/>
    <s v="No"/>
    <s v=""/>
    <n v="0"/>
    <n v="0"/>
    <n v="0"/>
    <n v="0"/>
    <n v="0"/>
    <n v="0"/>
    <n v="0"/>
    <n v="0"/>
    <x v="0"/>
    <x v="0"/>
    <x v="0"/>
    <n v="0"/>
    <n v="0"/>
    <s v="MMR015CMP099"/>
    <x v="0"/>
    <x v="0"/>
    <s v="No focal. UNICEF is IP. Metta will confirm as focal since MHF area"/>
    <n v="30"/>
    <n v="127"/>
  </r>
  <r>
    <x v="1"/>
    <x v="9"/>
    <x v="9"/>
    <s v="MHF"/>
    <x v="0"/>
    <x v="20"/>
    <x v="0"/>
    <x v="123"/>
    <n v="85"/>
    <n v="396"/>
    <d v="2021-11-11T00:00:00"/>
    <d v="2023-08-08T00:00:00"/>
    <m/>
    <n v="2"/>
    <m/>
    <m/>
    <s v="Yes"/>
    <n v="7"/>
    <n v="9"/>
    <m/>
    <m/>
    <m/>
    <m/>
    <n v="1"/>
    <m/>
    <m/>
    <n v="1"/>
    <m/>
    <m/>
    <m/>
    <m/>
    <m/>
    <m/>
    <n v="2"/>
    <m/>
    <m/>
    <m/>
    <m/>
    <n v="8"/>
    <m/>
    <m/>
    <m/>
    <n v="14"/>
    <n v="6"/>
    <m/>
    <m/>
    <m/>
    <m/>
    <m/>
    <n v="14"/>
    <x v="1"/>
    <x v="1"/>
    <m/>
    <m/>
    <m/>
    <m/>
    <m/>
    <m/>
    <n v="8"/>
    <m/>
    <m/>
    <n v="2"/>
    <m/>
    <n v="1"/>
    <n v="1"/>
    <m/>
    <m/>
    <s v="Yes"/>
    <m/>
    <m/>
    <m/>
    <m/>
    <m/>
    <m/>
    <m/>
    <m/>
    <m/>
    <m/>
    <m/>
    <m/>
    <m/>
    <m/>
    <s v="no test"/>
    <s v="no test"/>
    <s v="No Test"/>
    <n v="0"/>
    <n v="1"/>
    <n v="1"/>
    <n v="0"/>
    <n v="0"/>
    <n v="0"/>
    <n v="0"/>
    <m/>
    <n v="1"/>
    <n v="0.79966329966329974"/>
    <n v="1"/>
    <n v="396"/>
    <n v="0"/>
    <n v="0"/>
    <n v="1"/>
    <n v="396"/>
    <n v="0.79200000000000004"/>
    <n v="0"/>
    <n v="0"/>
    <n v="0.20799999999999996"/>
    <n v="1"/>
    <n v="20"/>
    <n v="1"/>
    <n v="396"/>
    <n v="0"/>
    <n v="0"/>
    <n v="0"/>
    <n v="20"/>
    <n v="0"/>
    <n v="0"/>
    <n v="0"/>
    <n v="396"/>
    <n v="0"/>
    <n v="0"/>
    <n v="0"/>
    <n v="396"/>
    <n v="1"/>
    <n v="0"/>
    <n v="1"/>
    <n v="0"/>
    <n v="0"/>
    <n v="8"/>
    <n v="85"/>
    <n v="8"/>
    <n v="396"/>
    <s v="No"/>
    <s v=""/>
    <n v="0"/>
    <n v="0"/>
    <n v="0"/>
    <n v="0"/>
    <n v="0"/>
    <n v="0"/>
    <s v="Yes"/>
    <s v="KBC-NSS"/>
    <x v="0"/>
    <x v="2"/>
    <x v="0"/>
    <n v="23.821380000000001"/>
    <n v="97.681970000000007"/>
    <s v="MMR015CMP004"/>
    <x v="0"/>
    <x v="0"/>
    <s v="Metta is focal."/>
    <n v="89"/>
    <n v="407"/>
  </r>
  <r>
    <x v="1"/>
    <x v="9"/>
    <x v="7"/>
    <s v="MHF"/>
    <x v="0"/>
    <x v="20"/>
    <x v="0"/>
    <x v="116"/>
    <n v="64"/>
    <n v="323"/>
    <d v="2021-11-11T00:00:00"/>
    <d v="2023-08-08T00:00:00"/>
    <m/>
    <n v="1"/>
    <n v="1"/>
    <m/>
    <s v="Yes"/>
    <m/>
    <m/>
    <m/>
    <m/>
    <m/>
    <m/>
    <n v="1"/>
    <m/>
    <m/>
    <m/>
    <m/>
    <m/>
    <m/>
    <m/>
    <m/>
    <m/>
    <m/>
    <m/>
    <m/>
    <m/>
    <m/>
    <m/>
    <m/>
    <m/>
    <m/>
    <n v="10"/>
    <m/>
    <m/>
    <m/>
    <m/>
    <m/>
    <m/>
    <m/>
    <x v="2"/>
    <x v="2"/>
    <m/>
    <m/>
    <m/>
    <m/>
    <m/>
    <m/>
    <n v="7"/>
    <m/>
    <m/>
    <n v="7"/>
    <m/>
    <m/>
    <m/>
    <m/>
    <m/>
    <s v="Yes"/>
    <m/>
    <m/>
    <m/>
    <m/>
    <m/>
    <m/>
    <m/>
    <m/>
    <m/>
    <m/>
    <m/>
    <m/>
    <m/>
    <m/>
    <s v="no test"/>
    <s v="no test"/>
    <s v="No Test"/>
    <n v="0"/>
    <n v="1"/>
    <n v="0"/>
    <n v="0"/>
    <n v="0"/>
    <n v="0"/>
    <n v="0"/>
    <m/>
    <n v="1"/>
    <n v="0.77399380804953566"/>
    <n v="1"/>
    <n v="323"/>
    <n v="0"/>
    <n v="0"/>
    <n v="1"/>
    <n v="323"/>
    <n v="0.64600000000000002"/>
    <n v="0"/>
    <n v="0"/>
    <n v="0.35399999999999998"/>
    <n v="1"/>
    <n v="10"/>
    <n v="0.61919504643962853"/>
    <n v="200"/>
    <n v="0"/>
    <n v="0"/>
    <n v="0"/>
    <n v="16"/>
    <n v="6"/>
    <n v="0.38080495356037147"/>
    <n v="0"/>
    <n v="0"/>
    <n v="0"/>
    <n v="0"/>
    <n v="0"/>
    <n v="0"/>
    <n v="0"/>
    <n v="1"/>
    <n v="0"/>
    <n v="0"/>
    <n v="0"/>
    <n v="7"/>
    <n v="64"/>
    <n v="0"/>
    <n v="323"/>
    <s v="No"/>
    <s v=""/>
    <n v="0"/>
    <n v="0"/>
    <n v="0"/>
    <n v="0"/>
    <n v="0"/>
    <n v="0"/>
    <s v="Yes"/>
    <s v="KBC-NSS"/>
    <x v="0"/>
    <x v="2"/>
    <x v="0"/>
    <n v="23.828520000000001"/>
    <n v="97.669557999999995"/>
    <s v="MMR015CMP001"/>
    <x v="0"/>
    <x v="0"/>
    <s v="Metta is focal."/>
    <n v="51"/>
    <n v="250"/>
  </r>
  <r>
    <x v="1"/>
    <x v="9"/>
    <x v="9"/>
    <s v="MHF"/>
    <x v="0"/>
    <x v="20"/>
    <x v="0"/>
    <x v="124"/>
    <n v="44"/>
    <n v="213"/>
    <d v="2021-11-11T00:00:00"/>
    <d v="2023-08-08T00:00:00"/>
    <m/>
    <n v="2"/>
    <m/>
    <m/>
    <s v="Yes"/>
    <n v="3"/>
    <n v="9"/>
    <n v="1"/>
    <m/>
    <m/>
    <m/>
    <n v="2"/>
    <m/>
    <m/>
    <m/>
    <m/>
    <m/>
    <m/>
    <n v="1"/>
    <m/>
    <m/>
    <n v="2"/>
    <m/>
    <m/>
    <m/>
    <m/>
    <n v="3"/>
    <m/>
    <m/>
    <m/>
    <n v="14"/>
    <m/>
    <m/>
    <m/>
    <m/>
    <m/>
    <m/>
    <n v="14"/>
    <x v="1"/>
    <x v="1"/>
    <m/>
    <m/>
    <m/>
    <m/>
    <m/>
    <m/>
    <n v="3"/>
    <m/>
    <m/>
    <n v="2"/>
    <m/>
    <n v="1"/>
    <n v="1"/>
    <m/>
    <m/>
    <s v="Yes"/>
    <m/>
    <m/>
    <m/>
    <m/>
    <m/>
    <m/>
    <m/>
    <m/>
    <m/>
    <m/>
    <m/>
    <m/>
    <m/>
    <m/>
    <s v="no test"/>
    <s v="no test"/>
    <s v="No Test"/>
    <n v="1"/>
    <n v="2"/>
    <n v="0"/>
    <n v="0"/>
    <n v="0"/>
    <n v="0"/>
    <n v="0"/>
    <m/>
    <n v="1"/>
    <n v="1"/>
    <n v="1"/>
    <n v="213"/>
    <n v="1"/>
    <n v="213"/>
    <n v="1"/>
    <n v="213"/>
    <n v="0.42599999999999999"/>
    <n v="0"/>
    <n v="0"/>
    <n v="0.57400000000000007"/>
    <n v="1"/>
    <n v="14"/>
    <n v="1"/>
    <n v="213"/>
    <n v="0"/>
    <n v="0"/>
    <n v="0"/>
    <n v="11"/>
    <n v="0"/>
    <n v="0"/>
    <n v="0"/>
    <n v="213"/>
    <n v="0"/>
    <n v="0"/>
    <n v="0"/>
    <n v="213"/>
    <n v="1"/>
    <n v="0"/>
    <n v="1"/>
    <n v="0"/>
    <n v="0"/>
    <n v="3"/>
    <n v="44"/>
    <n v="3"/>
    <n v="213"/>
    <s v="No"/>
    <s v=""/>
    <n v="0"/>
    <n v="0"/>
    <n v="0"/>
    <n v="0"/>
    <n v="0"/>
    <n v="0"/>
    <s v="Yes"/>
    <s v="KMSS-LSO"/>
    <x v="0"/>
    <x v="2"/>
    <x v="0"/>
    <n v="23.828150000000001"/>
    <n v="97.670360000000002"/>
    <s v="MMR015CMP003"/>
    <x v="0"/>
    <x v="0"/>
    <s v="Metta is focal."/>
    <n v="44"/>
    <n v="220"/>
  </r>
  <r>
    <x v="1"/>
    <x v="19"/>
    <x v="29"/>
    <m/>
    <x v="0"/>
    <x v="24"/>
    <x v="0"/>
    <x v="169"/>
    <n v="43"/>
    <n v="157"/>
    <m/>
    <m/>
    <m/>
    <m/>
    <m/>
    <m/>
    <m/>
    <m/>
    <m/>
    <m/>
    <m/>
    <m/>
    <m/>
    <m/>
    <m/>
    <m/>
    <m/>
    <m/>
    <m/>
    <m/>
    <m/>
    <m/>
    <m/>
    <m/>
    <m/>
    <m/>
    <m/>
    <m/>
    <m/>
    <m/>
    <m/>
    <m/>
    <m/>
    <m/>
    <m/>
    <m/>
    <m/>
    <m/>
    <m/>
    <m/>
    <x v="2"/>
    <x v="4"/>
    <m/>
    <m/>
    <m/>
    <m/>
    <m/>
    <m/>
    <m/>
    <m/>
    <m/>
    <m/>
    <m/>
    <m/>
    <m/>
    <m/>
    <m/>
    <m/>
    <m/>
    <m/>
    <m/>
    <m/>
    <m/>
    <m/>
    <m/>
    <m/>
    <m/>
    <m/>
    <m/>
    <m/>
    <m/>
    <m/>
    <s v="no test"/>
    <s v="no test"/>
    <s v="No Test"/>
    <n v="0"/>
    <n v="0"/>
    <n v="0"/>
    <n v="0"/>
    <n v="0"/>
    <n v="0"/>
    <n v="0"/>
    <m/>
    <n v="0"/>
    <n v="0"/>
    <n v="0"/>
    <n v="0"/>
    <n v="0"/>
    <n v="0"/>
    <n v="0"/>
    <n v="0"/>
    <n v="0"/>
    <n v="1"/>
    <n v="157"/>
    <n v="1"/>
    <n v="1"/>
    <n v="0"/>
    <n v="0"/>
    <n v="0"/>
    <n v="0"/>
    <n v="0"/>
    <n v="0"/>
    <n v="8"/>
    <n v="8"/>
    <n v="1"/>
    <n v="0"/>
    <n v="0"/>
    <n v="0"/>
    <n v="0"/>
    <n v="0"/>
    <n v="0"/>
    <n v="0"/>
    <n v="1"/>
    <n v="0"/>
    <n v="0"/>
    <n v="0"/>
    <n v="0"/>
    <n v="0"/>
    <n v="0"/>
    <n v="0"/>
    <s v="No"/>
    <s v=""/>
    <n v="0"/>
    <n v="0"/>
    <n v="0"/>
    <n v="0"/>
    <n v="0"/>
    <n v="0"/>
    <n v="0"/>
    <s v="uncovered"/>
    <x v="0"/>
    <x v="0"/>
    <x v="0"/>
    <m/>
    <m/>
    <s v="MMR015CMP094"/>
    <x v="0"/>
    <x v="0"/>
    <s v="to be confirmed with SCI"/>
    <n v="43"/>
    <n v="15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3CF63A5-2968-45E5-A665-3FA2F131B16C}" name="PivotTable1" cacheId="12"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B4" firstHeaderRow="1" firstDataRow="1" firstDataCol="1" rowPageCount="1" colPageCount="1"/>
  <pivotFields count="160">
    <pivotField axis="axisPage" multipleItemSelectionAllowed="1" showAll="0">
      <items count="29">
        <item m="1" x="25"/>
        <item m="1" x="26"/>
        <item m="1" x="12"/>
        <item m="1" x="27"/>
        <item m="1" x="19"/>
        <item m="1" x="21"/>
        <item m="1" x="23"/>
        <item m="1" x="24"/>
        <item m="1" x="7"/>
        <item m="1" x="15"/>
        <item m="1" x="17"/>
        <item m="1" x="20"/>
        <item m="1" x="22"/>
        <item h="1" m="1" x="10"/>
        <item h="1" m="1" x="13"/>
        <item m="1" x="16"/>
        <item m="1" x="2"/>
        <item h="1" m="1" x="18"/>
        <item h="1" m="1" x="5"/>
        <item h="1" m="1" x="8"/>
        <item h="1" m="1" x="11"/>
        <item h="1" m="1" x="14"/>
        <item h="1" m="1" x="3"/>
        <item h="1" m="1" x="4"/>
        <item h="1" m="1" x="6"/>
        <item h="1" m="1" x="9"/>
        <item h="1" x="0"/>
        <item h="1" x="1"/>
        <item t="default"/>
      </items>
    </pivotField>
    <pivotField showAll="0"/>
    <pivotField showAll="0"/>
    <pivotField showAll="0"/>
    <pivotField axis="axisRow" showAll="0">
      <items count="7">
        <item m="1" x="3"/>
        <item x="1"/>
        <item m="1" x="5"/>
        <item m="1" x="4"/>
        <item x="0"/>
        <item m="1" x="2"/>
        <item t="default"/>
      </items>
    </pivotField>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1" showAll="0"/>
    <pivotField numFmtId="1" showAll="0"/>
    <pivotField numFmtId="1" showAll="0"/>
    <pivotField numFmtId="1" showAll="0"/>
    <pivotField numFmtId="1"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numFmtId="1" showAll="0"/>
    <pivotField numFmtId="9" showAll="0"/>
    <pivotField numFmtId="1" showAll="0"/>
    <pivotField numFmtId="1" showAll="0"/>
    <pivotField numFmtId="1" showAll="0"/>
    <pivotField numFmtId="1" showAll="0"/>
    <pivotField numFmtId="9" showAll="0"/>
    <pivotField numFmtId="1" showAll="0"/>
    <pivotField numFmtId="1" showAll="0"/>
    <pivotField numFmtId="1" showAll="0"/>
    <pivotField numFmtId="1" showAll="0"/>
    <pivotField numFmtId="1" showAll="0"/>
    <pivotField numFmtId="1" showAll="0"/>
    <pivotField numFmtId="9" showAll="0"/>
    <pivotField numFmtId="9" showAll="0"/>
    <pivotField numFmtId="1" showAll="0"/>
    <pivotField numFmtId="1" showAll="0"/>
    <pivotField numFmtId="1" showAll="0"/>
    <pivotField numFmtId="1" showAll="0"/>
    <pivotField numFmtId="1" showAll="0"/>
    <pivotField numFmtId="9" showAll="0"/>
    <pivotField numFmtId="9" showAll="0"/>
    <pivotField numFmtId="9" showAll="0"/>
    <pivotField showAll="0"/>
    <pivotField showAll="0"/>
    <pivotField dataField="1" numFmtId="1" showAll="0"/>
    <pivotField numFmtId="1" showAll="0"/>
    <pivotField numFmtId="1" showAll="0"/>
    <pivotField numFmtId="1" showAll="0"/>
    <pivotField showAll="0"/>
    <pivotField showAll="0"/>
    <pivotField numFmtId="164" showAll="0"/>
    <pivotField numFmtId="164" showAll="0"/>
    <pivotField numFmtId="164" showAll="0"/>
    <pivotField numFmtId="164"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t="grand">
      <x/>
    </i>
  </rowItems>
  <colItems count="1">
    <i/>
  </colItems>
  <pageFields count="1">
    <pageField fld="0" hier="-1"/>
  </pageFields>
  <dataFields count="1">
    <dataField name="Sum of # Functional hand washing stations during reporting period" fld="12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800-000024000000}" name="W_Shan_C_G_C" cacheId="12"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54" rowHeaderCaption="State" colHeaderCaption=" ">
  <location ref="B105:D113" firstHeaderRow="0" firstDataRow="1" firstDataCol="1" rowPageCount="5" colPageCount="1"/>
  <pivotFields count="160">
    <pivotField axis="axisPage" subtotalTop="0" multipleItemSelectionAllowed="1" showAll="0">
      <items count="29">
        <item m="1" x="26"/>
        <item m="1" x="12"/>
        <item h="1" m="1" x="19"/>
        <item h="1" m="1" x="2"/>
        <item m="1" x="27"/>
        <item m="1" x="7"/>
        <item h="1" m="1" x="25"/>
        <item h="1" m="1" x="21"/>
        <item h="1" m="1" x="23"/>
        <item m="1" x="24"/>
        <item h="1" m="1" x="15"/>
        <item h="1" m="1" x="17"/>
        <item h="1" m="1" x="20"/>
        <item m="1" x="22"/>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Page" subtotalTop="0" multipleItemSelectionAllowed="1" showAll="0">
      <items count="7">
        <item h="1" x="1"/>
        <item m="1" x="4"/>
        <item x="0"/>
        <item m="1" x="2"/>
        <item h="1" m="1" x="3"/>
        <item h="1" m="1" x="5"/>
        <item t="default"/>
      </items>
    </pivotField>
    <pivotField axis="axisRow" subtotalTop="0" showAll="0" sortType="ascending">
      <items count="49">
        <item m="1" x="32"/>
        <item x="15"/>
        <item m="1" x="45"/>
        <item m="1" x="37"/>
        <item x="5"/>
        <item x="6"/>
        <item x="16"/>
        <item x="0"/>
        <item x="22"/>
        <item x="17"/>
        <item x="18"/>
        <item m="1" x="40"/>
        <item m="1" x="27"/>
        <item x="1"/>
        <item m="1" x="47"/>
        <item x="3"/>
        <item m="1" x="43"/>
        <item x="7"/>
        <item x="19"/>
        <item m="1" x="38"/>
        <item m="1" x="31"/>
        <item x="8"/>
        <item x="9"/>
        <item m="1" x="26"/>
        <item x="4"/>
        <item m="1" x="44"/>
        <item x="2"/>
        <item m="1" x="35"/>
        <item x="10"/>
        <item m="1" x="34"/>
        <item x="20"/>
        <item m="1" x="30"/>
        <item x="21"/>
        <item m="1" x="28"/>
        <item m="1" x="29"/>
        <item m="1" x="33"/>
        <item m="1" x="39"/>
        <item m="1" x="36"/>
        <item m="1" x="46"/>
        <item m="1" x="42"/>
        <item x="11"/>
        <item m="1" x="41"/>
        <item x="12"/>
        <item x="13"/>
        <item x="24"/>
        <item x="23"/>
        <item x="14"/>
        <item m="1" x="25"/>
        <item t="default"/>
      </items>
    </pivotField>
    <pivotField axis="axisPage" multipleItemSelectionAllowed="1" showAll="0" defaultSubtotal="0">
      <items count="15">
        <item x="0"/>
        <item x="2"/>
        <item m="1" x="11"/>
        <item h="1" m="1" x="9"/>
        <item m="1" x="7"/>
        <item m="1" x="6"/>
        <item h="1" m="1" x="13"/>
        <item m="1" x="10"/>
        <item h="1" m="1" x="14"/>
        <item h="1"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axis="axisPage" subtotalTop="0" multipleItemSelectionAllowed="1" showAll="0">
      <items count="53">
        <item x="0"/>
        <item x="1"/>
        <item x="2"/>
        <item m="1" x="29"/>
        <item m="1" x="9"/>
        <item m="1" x="14"/>
        <item m="1" x="33"/>
        <item m="1" x="27"/>
        <item m="1" x="22"/>
        <item m="1" x="7"/>
        <item m="1" x="4"/>
        <item m="1" x="21"/>
        <item m="1" x="25"/>
        <item m="1" x="5"/>
        <item m="1" x="36"/>
        <item m="1" x="34"/>
        <item m="1" x="15"/>
        <item m="1" x="28"/>
        <item m="1" x="42"/>
        <item m="1" x="48"/>
        <item m="1" x="50"/>
        <item m="1" x="46"/>
        <item m="1" x="23"/>
        <item m="1" x="43"/>
        <item m="1" x="37"/>
        <item m="1" x="18"/>
        <item m="1" x="12"/>
        <item m="1" x="51"/>
        <item m="1" x="44"/>
        <item m="1" x="38"/>
        <item m="1" x="39"/>
        <item m="1" x="3"/>
        <item m="1" x="11"/>
        <item m="1" x="19"/>
        <item m="1" x="6"/>
        <item m="1" x="13"/>
        <item m="1" x="17"/>
        <item m="1" x="10"/>
        <item m="1" x="20"/>
        <item m="1" x="47"/>
        <item m="1" x="26"/>
        <item m="1" x="45"/>
        <item m="1" x="41"/>
        <item m="1" x="32"/>
        <item m="1" x="31"/>
        <item m="1" x="35"/>
        <item m="1" x="16"/>
        <item m="1" x="8"/>
        <item m="1" x="24"/>
        <item m="1" x="49"/>
        <item m="1" x="30"/>
        <item m="1" x="40"/>
        <item t="default"/>
      </items>
    </pivotField>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8">
    <i>
      <x v="6"/>
    </i>
    <i>
      <x v="7"/>
    </i>
    <i>
      <x v="9"/>
    </i>
    <i>
      <x v="13"/>
    </i>
    <i>
      <x v="15"/>
    </i>
    <i>
      <x v="26"/>
    </i>
    <i>
      <x v="30"/>
    </i>
    <i>
      <x v="44"/>
    </i>
  </rowItems>
  <colFields count="1">
    <field x="-2"/>
  </colFields>
  <colItems count="2">
    <i>
      <x/>
    </i>
    <i i="1">
      <x v="1"/>
    </i>
  </colItems>
  <pageFields count="5">
    <pageField fld="0" hier="-1"/>
    <pageField fld="146" item="0" hier="-1"/>
    <pageField fld="4" hier="-1"/>
    <pageField fld="6" hier="-1"/>
    <pageField fld="147" hier="-1"/>
  </pageFields>
  <dataFields count="2">
    <dataField name=" % Water Coverage" fld="155" baseField="0" baseItem="0"/>
    <dataField name=" % Water GAP" fld="156" baseField="0" baseItem="0"/>
  </dataFields>
  <formats count="13">
    <format dxfId="191">
      <pivotArea field="4" type="button" dataOnly="0" labelOnly="1" outline="0" axis="axisPage" fieldPosition="2"/>
    </format>
    <format dxfId="190">
      <pivotArea type="all" dataOnly="0" outline="0" fieldPosition="0"/>
    </format>
    <format dxfId="189">
      <pivotArea outline="0" collapsedLevelsAreSubtotals="1" fieldPosition="0"/>
    </format>
    <format dxfId="188">
      <pivotArea field="4" type="button" dataOnly="0" labelOnly="1" outline="0" axis="axisPage" fieldPosition="2"/>
    </format>
    <format dxfId="187">
      <pivotArea type="all" dataOnly="0" outline="0" fieldPosition="0"/>
    </format>
    <format dxfId="186">
      <pivotArea outline="0" collapsedLevelsAreSubtotals="1" fieldPosition="0"/>
    </format>
    <format dxfId="185">
      <pivotArea outline="0" collapsedLevelsAreSubtotals="1" fieldPosition="0"/>
    </format>
    <format dxfId="184">
      <pivotArea field="5" type="button" dataOnly="0" labelOnly="1" outline="0" axis="axisRow" fieldPosition="0"/>
    </format>
    <format dxfId="183">
      <pivotArea field="5" type="button" dataOnly="0" labelOnly="1" outline="0" axis="axisRow" fieldPosition="0"/>
    </format>
    <format dxfId="182">
      <pivotArea field="5" type="button" dataOnly="0" labelOnly="1" outline="0" axis="axisRow" fieldPosition="0"/>
    </format>
    <format dxfId="181">
      <pivotArea field="4" type="button" dataOnly="0" labelOnly="1" outline="0" axis="axisPage" fieldPosition="2"/>
    </format>
    <format dxfId="180">
      <pivotArea dataOnly="0" labelOnly="1" outline="0" fieldPosition="0">
        <references count="2">
          <reference field="4" count="1">
            <x v="2"/>
          </reference>
          <reference field="146" count="1" selected="0">
            <x v="0"/>
          </reference>
        </references>
      </pivotArea>
    </format>
    <format dxfId="179">
      <pivotArea dataOnly="0" labelOnly="1" outline="0" fieldPosition="0">
        <references count="2">
          <reference field="4" count="0"/>
          <reference field="146" count="1" selected="0">
            <x v="0"/>
          </reference>
        </references>
      </pivotArea>
    </format>
  </formats>
  <conditionalFormats count="1">
    <conditionalFormat priority="8">
      <pivotAreas count="1">
        <pivotArea type="data" outline="0" collapsedLevelsAreSubtotals="1" fieldPosition="0">
          <references count="1">
            <reference field="4294967294" count="1" selected="0">
              <x v="1"/>
            </reference>
          </references>
        </pivotArea>
      </pivotAreas>
    </conditionalFormat>
  </conditionalFormats>
  <chartFormats count="2">
    <chartFormat chart="51" format="3" series="1">
      <pivotArea type="data" outline="0" fieldPosition="0">
        <references count="1">
          <reference field="4294967294" count="1" selected="0">
            <x v="0"/>
          </reference>
        </references>
      </pivotArea>
    </chartFormat>
    <chartFormat chart="51" format="4"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5B3C6537-C2D6-4791-9BF1-695185B14FB7}" name="PivotTable10" cacheId="12"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67">
  <location ref="M297:O300" firstHeaderRow="1" firstDataRow="2" firstDataCol="1" rowPageCount="1" colPageCount="1"/>
  <pivotFields count="160">
    <pivotField axis="axisPage" subtotalTop="0" multipleItemSelectionAllowed="1" showAll="0">
      <items count="29">
        <item m="1" x="26"/>
        <item m="1" x="12"/>
        <item m="1" x="27"/>
        <item m="1" x="19"/>
        <item m="1" x="7"/>
        <item m="1" x="2"/>
        <item m="1" x="25"/>
        <item m="1" x="21"/>
        <item m="1" x="23"/>
        <item m="1" x="24"/>
        <item m="1" x="15"/>
        <item m="1" x="17"/>
        <item m="1" x="20"/>
        <item m="1" x="22"/>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Row" subtotalTop="0" multipleItemSelectionAllowed="1" showAll="0">
      <items count="7">
        <item x="1"/>
        <item m="1" x="4"/>
        <item x="0"/>
        <item m="1" x="2"/>
        <item m="1" x="3"/>
        <item m="1" x="5"/>
        <item t="default"/>
      </items>
    </pivotField>
    <pivotField subtotalTop="0" showAll="0"/>
    <pivotField showAll="0" defaultSubtotal="0"/>
    <pivotField dataField="1"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6">
        <item x="0"/>
        <item n="Gap" x="1"/>
        <item m="1" x="4"/>
        <item m="1" x="2"/>
        <item m="1" x="3"/>
        <item t="default"/>
      </items>
    </pivotField>
    <pivotField subtotalTop="0"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146"/>
  </colFields>
  <colItems count="2">
    <i>
      <x/>
    </i>
    <i>
      <x v="1"/>
    </i>
  </colItems>
  <pageFields count="1">
    <pageField fld="0" hier="-1"/>
  </pageFields>
  <dataFields count="1">
    <dataField name="Count of Site Name" fld="7" subtotal="count" baseField="0" baseItem="0"/>
  </dataFields>
  <formats count="19">
    <format dxfId="210">
      <pivotArea type="all" dataOnly="0" outline="0" fieldPosition="0"/>
    </format>
    <format dxfId="209">
      <pivotArea outline="0" collapsedLevelsAreSubtotals="1" fieldPosition="0"/>
    </format>
    <format dxfId="208">
      <pivotArea field="4" type="button" dataOnly="0" labelOnly="1" outline="0" axis="axisRow" fieldPosition="0"/>
    </format>
    <format dxfId="207">
      <pivotArea dataOnly="0" labelOnly="1" fieldPosition="0">
        <references count="1">
          <reference field="4" count="0"/>
        </references>
      </pivotArea>
    </format>
    <format dxfId="206">
      <pivotArea dataOnly="0" labelOnly="1" grandRow="1" outline="0" fieldPosition="0"/>
    </format>
    <format dxfId="205">
      <pivotArea dataOnly="0" labelOnly="1" outline="0" fieldPosition="0">
        <references count="1">
          <reference field="4294967294" count="1">
            <x v="0"/>
          </reference>
        </references>
      </pivotArea>
    </format>
    <format dxfId="204">
      <pivotArea type="all" dataOnly="0" outline="0" fieldPosition="0"/>
    </format>
    <format dxfId="203">
      <pivotArea outline="0" collapsedLevelsAreSubtotals="1" fieldPosition="0"/>
    </format>
    <format dxfId="202">
      <pivotArea type="origin" dataOnly="0" labelOnly="1" outline="0" fieldPosition="0"/>
    </format>
    <format dxfId="201">
      <pivotArea field="146" type="button" dataOnly="0" labelOnly="1" outline="0" axis="axisCol" fieldPosition="0"/>
    </format>
    <format dxfId="200">
      <pivotArea type="topRight" dataOnly="0" labelOnly="1" outline="0" fieldPosition="0"/>
    </format>
    <format dxfId="199">
      <pivotArea dataOnly="0" labelOnly="1" fieldPosition="0">
        <references count="1">
          <reference field="146" count="0"/>
        </references>
      </pivotArea>
    </format>
    <format dxfId="198">
      <pivotArea type="all" dataOnly="0" outline="0" fieldPosition="0"/>
    </format>
    <format dxfId="197">
      <pivotArea outline="0" collapsedLevelsAreSubtotals="1" fieldPosition="0"/>
    </format>
    <format dxfId="196">
      <pivotArea dataOnly="0" labelOnly="1" fieldPosition="0">
        <references count="1">
          <reference field="146" count="0"/>
        </references>
      </pivotArea>
    </format>
    <format dxfId="195">
      <pivotArea field="4" type="button" dataOnly="0" labelOnly="1" outline="0" axis="axisRow" fieldPosition="0"/>
    </format>
    <format dxfId="194">
      <pivotArea dataOnly="0" labelOnly="1" outline="0" fieldPosition="0">
        <references count="2">
          <reference field="0" count="1" selected="0">
            <x v="8"/>
          </reference>
          <reference field="4" count="0"/>
        </references>
      </pivotArea>
    </format>
    <format dxfId="193">
      <pivotArea dataOnly="0" labelOnly="1" outline="0" fieldPosition="0">
        <references count="2">
          <reference field="0" count="1" selected="0">
            <x v="9"/>
          </reference>
          <reference field="4" count="0"/>
        </references>
      </pivotArea>
    </format>
    <format dxfId="192">
      <pivotArea dataOnly="0" labelOnly="1" outline="0" fieldPosition="0">
        <references count="2">
          <reference field="0" count="1" selected="0">
            <x v="9"/>
          </reference>
          <reference field="4" count="0"/>
        </references>
      </pivotArea>
    </format>
  </formats>
  <chartFormats count="10">
    <chartFormat chart="7" format="8" series="1">
      <pivotArea type="data" outline="0" fieldPosition="0">
        <references count="2">
          <reference field="4294967294" count="1" selected="0">
            <x v="0"/>
          </reference>
          <reference field="146" count="1" selected="0">
            <x v="0"/>
          </reference>
        </references>
      </pivotArea>
    </chartFormat>
    <chartFormat chart="7" format="9" series="1">
      <pivotArea type="data" outline="0" fieldPosition="0">
        <references count="2">
          <reference field="4294967294" count="1" selected="0">
            <x v="0"/>
          </reference>
          <reference field="146" count="1" selected="0">
            <x v="1"/>
          </reference>
        </references>
      </pivotArea>
    </chartFormat>
    <chartFormat chart="10" format="8" series="1">
      <pivotArea type="data" outline="0" fieldPosition="0">
        <references count="2">
          <reference field="4294967294" count="1" selected="0">
            <x v="0"/>
          </reference>
          <reference field="146" count="1" selected="0">
            <x v="0"/>
          </reference>
        </references>
      </pivotArea>
    </chartFormat>
    <chartFormat chart="10" format="9" series="1">
      <pivotArea type="data" outline="0" fieldPosition="0">
        <references count="2">
          <reference field="4294967294" count="1" selected="0">
            <x v="0"/>
          </reference>
          <reference field="146" count="1" selected="0">
            <x v="1"/>
          </reference>
        </references>
      </pivotArea>
    </chartFormat>
    <chartFormat chart="40" format="8" series="1">
      <pivotArea type="data" outline="0" fieldPosition="0">
        <references count="2">
          <reference field="4294967294" count="1" selected="0">
            <x v="0"/>
          </reference>
          <reference field="146" count="1" selected="0">
            <x v="0"/>
          </reference>
        </references>
      </pivotArea>
    </chartFormat>
    <chartFormat chart="40" format="9" series="1">
      <pivotArea type="data" outline="0" fieldPosition="0">
        <references count="2">
          <reference field="4294967294" count="1" selected="0">
            <x v="0"/>
          </reference>
          <reference field="146" count="1" selected="0">
            <x v="1"/>
          </reference>
        </references>
      </pivotArea>
    </chartFormat>
    <chartFormat chart="42" format="12" series="1">
      <pivotArea type="data" outline="0" fieldPosition="0">
        <references count="2">
          <reference field="4294967294" count="1" selected="0">
            <x v="0"/>
          </reference>
          <reference field="146" count="1" selected="0">
            <x v="0"/>
          </reference>
        </references>
      </pivotArea>
    </chartFormat>
    <chartFormat chart="42" format="13" series="1">
      <pivotArea type="data" outline="0" fieldPosition="0">
        <references count="2">
          <reference field="4294967294" count="1" selected="0">
            <x v="0"/>
          </reference>
          <reference field="146" count="1" selected="0">
            <x v="1"/>
          </reference>
        </references>
      </pivotArea>
    </chartFormat>
    <chartFormat chart="60" format="12" series="1">
      <pivotArea type="data" outline="0" fieldPosition="0">
        <references count="2">
          <reference field="4294967294" count="1" selected="0">
            <x v="0"/>
          </reference>
          <reference field="146" count="1" selected="0">
            <x v="0"/>
          </reference>
        </references>
      </pivotArea>
    </chartFormat>
    <chartFormat chart="60" format="13" series="1">
      <pivotArea type="data" outline="0" fieldPosition="0">
        <references count="2">
          <reference field="4294967294" count="1" selected="0">
            <x v="0"/>
          </reference>
          <reference field="146" count="1" selected="0">
            <x v="1"/>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334D5E82-C100-4BB4-BE71-765BE5A50094}" name="PivotTable12" cacheId="6"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V65:W67" firstHeaderRow="1" firstDataRow="1" firstDataCol="1" rowPageCount="3" colPageCount="1"/>
  <pivotFields count="6">
    <pivotField axis="axisRow" allDrilled="1" subtotalTop="0" showAll="0" dataSourceSort="1" defaultSubtotal="0" defaultAttributeDrillState="1">
      <items count="1">
        <item x="0"/>
      </items>
    </pivotField>
    <pivotField axis="axisPage" allDrilled="1" subtotalTop="0" showAll="0" dataSourceSort="1" defaultSubtotal="0" defaultAttributeDrillState="1"/>
    <pivotField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s>
  <rowFields count="1">
    <field x="0"/>
  </rowFields>
  <rowItems count="2">
    <i>
      <x/>
    </i>
    <i t="grand">
      <x/>
    </i>
  </rowItems>
  <colItems count="1">
    <i/>
  </colItems>
  <pageFields count="3">
    <pageField fld="1" hier="146" name="[WWWW].[Covered].&amp;[Covered]" cap="Covered"/>
    <pageField fld="4" hier="36" name="[WWWW].[#_Household water samples tested for fecal coliform].&amp;[1]" cap="1"/>
    <pageField fld="5" hier="147" name="[WWWW].[Remark].&amp;[yes]" cap="yes"/>
  </pageFields>
  <dataFields count="1">
    <dataField name="Distinct Count of Site Name" fld="3" subtotal="count" baseField="0" baseItem="0">
      <extLst>
        <ext xmlns:x15="http://schemas.microsoft.com/office/spreadsheetml/2010/11/main" uri="{FABC7310-3BB5-11E1-824E-6D434824019B}">
          <x15:dataField isCountDistinct="1"/>
        </ext>
      </extLst>
    </dataField>
  </dataField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0" level="1">
        <member name="[WWWW].[#_Water sources tested for fecal coliform].&amp;[1]"/>
        <member name="[WWWW].[#_Water sources tested for fecal coliform].&amp;[2]"/>
        <member name="[WWWW].[#_Water sources tested for fecal coliform].&amp;[3]"/>
        <member name="[WWWW].[#_Water sources tested for fecal coliform].&amp;[4]"/>
        <member name="[WWWW].[#_Water sources tested for fecal coliform].&amp;[6]"/>
        <member name="[WWWW].[#_Water sources tested for fecal coliform].&amp;[7]"/>
        <member name="[WWWW].[#_Water sources tested for fecal coliform].&amp;[8]"/>
        <member name="[WWWW].[#_Water sources tested for fecal coliform].&amp;[10]"/>
        <member name="[WWWW].[#_Water sources tested for fecal coliform].&amp;[14]"/>
        <member name="[WWWW].[#_Water sources tested for fecal coliform].&amp;[16]"/>
      </members>
    </pivotHierarchy>
    <pivotHierarchy dragToData="1"/>
    <pivotHierarchy multipleItemSelectionAllowed="1" dragToData="1">
      <members count="12" level="1">
        <member name="[WWWW].[#_Household water samples tested for fecal coliform].&amp;[1]"/>
        <member name="[WWWW].[#_Household water samples tested for fecal coliform].&amp;[2]"/>
        <member name="[WWWW].[#_Household water samples tested for fecal coliform].&amp;[3]"/>
        <member name="[WWWW].[#_Household water samples tested for fecal coliform].&amp;[5]"/>
        <member name="[WWWW].[#_Household water samples tested for fecal coliform].&amp;[6]"/>
        <member name="[WWWW].[#_Household water samples tested for fecal coliform].&amp;[7]"/>
        <member name="[WWWW].[#_Household water samples tested for fecal coliform].&amp;[9]"/>
        <member name="[WWWW].[#_Household water samples tested for fecal coliform].&amp;[15]"/>
        <member name="[WWWW].[#_Household water samples tested for fecal coliform].&amp;[18]"/>
        <member name="[WWWW].[#_Household water samples tested for fecal coliform].&amp;[21]"/>
        <member name="[WWWW].[#_Household water samples tested for fecal coliform].&amp;[27]"/>
        <member name="[WWWW].[#_Household water samples tested for fecal coliform].&amp;[36]"/>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Site Name"/>
  </pivotHierarchies>
  <pivotTableStyleInfo name="PivotStyleLight16" showRowHeaders="1" showColHeaders="1" showRowStripes="0" showColStripes="0" showLastColumn="1"/>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6_Myanmar_WASH_4W_2020_Q2_KachinShan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800-00001F000000}" name="S_water1" cacheId="12"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49">
  <location ref="I42:K43" firstHeaderRow="0" firstDataRow="1" firstDataCol="1" rowPageCount="4" colPageCount="1"/>
  <pivotFields count="160">
    <pivotField axis="axisPage" subtotalTop="0" multipleItemSelectionAllowed="1" showAll="0">
      <items count="29">
        <item m="1" x="26"/>
        <item m="1" x="12"/>
        <item h="1" m="1" x="19"/>
        <item h="1" m="1" x="2"/>
        <item m="1" x="27"/>
        <item m="1" x="7"/>
        <item h="1" m="1" x="25"/>
        <item h="1" m="1" x="21"/>
        <item h="1" m="1" x="23"/>
        <item m="1" x="24"/>
        <item h="1" m="1" x="15"/>
        <item h="1" m="1" x="17"/>
        <item h="1" m="1" x="20"/>
        <item m="1" x="22"/>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Page" subtotalTop="0" multipleItemSelectionAllowed="1" showAll="0">
      <items count="7">
        <item h="1" x="1"/>
        <item m="1" x="4"/>
        <item x="0"/>
        <item m="1" x="2"/>
        <item h="1" m="1" x="3"/>
        <item h="1" m="1" x="5"/>
        <item t="default"/>
      </items>
    </pivotField>
    <pivotField subtotalTop="0" showAll="0"/>
    <pivotField axis="axisPage" multipleItemSelectionAllowed="1" showAll="0" defaultSubtotal="0">
      <items count="15">
        <item x="0"/>
        <item x="2"/>
        <item m="1" x="11"/>
        <item m="1" x="7"/>
        <item h="1" m="1" x="6"/>
        <item h="1" m="1" x="13"/>
        <item h="1" m="1" x="10"/>
        <item h="1" m="1" x="14"/>
        <item h="1" m="1" x="8"/>
        <item h="1" m="1" x="9"/>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dataField="1" showAll="0" defaultSubtotal="0"/>
    <pivotField subtotalTop="0" showAll="0"/>
    <pivotField numFmtId="9" subtotalTop="0" showAll="0"/>
    <pivotField dataField="1"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m="1" x="2"/>
        <item m="1" x="186"/>
        <item m="1" x="209"/>
        <item m="1" x="340"/>
        <item m="1" x="290"/>
        <item m="1" x="180"/>
        <item m="1" x="168"/>
        <item m="1" x="127"/>
        <item m="1" x="289"/>
        <item m="1" x="126"/>
        <item m="1" x="13"/>
        <item m="1" x="274"/>
        <item m="1" x="24"/>
        <item m="1" x="119"/>
        <item m="1" x="303"/>
        <item m="1" x="97"/>
        <item m="1" x="275"/>
        <item m="1" x="296"/>
        <item m="1" x="104"/>
        <item m="1" x="218"/>
        <item m="1" x="80"/>
        <item m="1" x="118"/>
        <item m="1" x="20"/>
        <item m="1" x="204"/>
        <item m="1" x="114"/>
        <item m="1" x="138"/>
        <item m="1" x="25"/>
        <item m="1" x="165"/>
        <item m="1" x="212"/>
        <item m="1" x="146"/>
        <item m="1" x="224"/>
        <item m="1" x="171"/>
        <item m="1" x="107"/>
        <item m="1" x="26"/>
        <item m="1" x="145"/>
        <item m="1" x="50"/>
        <item m="1" x="263"/>
        <item m="1" x="244"/>
        <item m="1" x="213"/>
        <item m="1" x="59"/>
        <item m="1" x="108"/>
        <item m="1" x="128"/>
        <item m="1" x="272"/>
        <item m="1" x="324"/>
        <item m="1" x="115"/>
        <item m="1" x="58"/>
        <item m="1" x="72"/>
        <item m="1" x="170"/>
        <item m="1" x="307"/>
        <item m="1" x="337"/>
        <item m="1" x="273"/>
        <item m="1" x="48"/>
        <item m="1" x="294"/>
        <item m="1" x="43"/>
        <item m="1" x="60"/>
        <item m="1" x="217"/>
        <item m="1" x="210"/>
        <item m="1" x="49"/>
        <item m="1" x="86"/>
        <item m="1" x="129"/>
        <item m="1" x="237"/>
        <item m="1" x="253"/>
        <item m="1" x="116"/>
        <item m="1" x="84"/>
        <item m="1" x="211"/>
        <item m="1" x="36"/>
        <item m="1" x="46"/>
        <item m="1" x="251"/>
        <item m="1" x="318"/>
        <item m="1" x="71"/>
        <item m="1" x="323"/>
        <item m="1" x="133"/>
        <item m="1" x="73"/>
        <item m="1" x="8"/>
        <item m="1" x="93"/>
        <item m="1" x="227"/>
        <item m="1" x="155"/>
        <item m="1" x="111"/>
        <item m="1" x="295"/>
        <item m="1" x="195"/>
        <item m="1" x="179"/>
        <item m="1" x="110"/>
        <item m="1" x="327"/>
        <item m="1" x="246"/>
        <item m="1" x="202"/>
        <item m="1" x="9"/>
        <item m="1" x="103"/>
        <item m="1" x="277"/>
        <item m="1" x="39"/>
        <item m="1" x="254"/>
        <item m="1" x="306"/>
        <item m="1" x="249"/>
        <item m="1" x="29"/>
        <item m="1" x="85"/>
        <item m="1" x="287"/>
        <item m="1" x="181"/>
        <item m="1" x="319"/>
        <item m="1" x="19"/>
        <item m="1" x="260"/>
        <item m="1" x="125"/>
        <item m="1" x="311"/>
        <item m="1" x="74"/>
        <item m="1" x="236"/>
        <item m="1" x="320"/>
        <item m="1" x="187"/>
        <item m="1" x="196"/>
        <item m="1" x="98"/>
        <item m="1" x="120"/>
        <item m="1" x="96"/>
        <item m="1" x="12"/>
        <item m="1" x="79"/>
        <item m="1" x="276"/>
        <item m="1" x="183"/>
        <item m="1" x="162"/>
        <item m="1" x="291"/>
        <item m="1" x="14"/>
        <item m="1" x="109"/>
        <item m="1" x="169"/>
        <item m="1" x="161"/>
        <item m="1" x="243"/>
        <item m="1" x="286"/>
        <item m="1" x="203"/>
        <item m="1" x="139"/>
        <item m="1" x="75"/>
        <item m="1" x="206"/>
        <item m="1" x="10"/>
        <item m="1" x="282"/>
        <item m="1" x="325"/>
        <item m="1" x="140"/>
        <item m="1" x="141"/>
        <item m="1" x="166"/>
        <item m="1" x="328"/>
        <item m="1" x="53"/>
        <item m="1" x="81"/>
        <item m="1" x="87"/>
        <item m="1" x="262"/>
        <item m="1" x="292"/>
        <item m="1" x="338"/>
        <item m="1" x="105"/>
        <item m="1" x="283"/>
        <item m="1" x="221"/>
        <item m="1" x="99"/>
        <item m="1" x="233"/>
        <item m="1" x="308"/>
        <item m="1" x="238"/>
        <item m="1" x="197"/>
        <item m="1" x="135"/>
        <item m="1" x="333"/>
        <item m="1" x="147"/>
        <item m="1" x="316"/>
        <item m="1" x="279"/>
        <item m="1" x="193"/>
        <item m="1" x="266"/>
        <item m="1" x="137"/>
        <item m="1" x="151"/>
        <item m="1" x="317"/>
        <item m="1" x="27"/>
        <item m="1" x="37"/>
        <item m="1" x="269"/>
        <item m="1" x="241"/>
        <item m="1" x="298"/>
        <item m="1" x="23"/>
        <item m="1" x="41"/>
        <item m="1" x="62"/>
        <item m="1" x="143"/>
        <item m="1" x="192"/>
        <item m="1" x="270"/>
        <item m="1" x="159"/>
        <item m="1" x="78"/>
        <item m="1" x="4"/>
        <item m="1" x="231"/>
        <item m="1" x="271"/>
        <item m="1" x="153"/>
        <item m="1" x="160"/>
        <item m="1" x="82"/>
        <item m="1" x="123"/>
        <item m="1" x="61"/>
        <item m="1" x="152"/>
        <item m="1" x="315"/>
        <item m="1" x="184"/>
        <item m="1" x="16"/>
        <item m="1" x="300"/>
        <item m="1" x="150"/>
        <item m="1" x="106"/>
        <item m="1" x="68"/>
        <item m="1" x="226"/>
        <item m="1" x="301"/>
        <item m="1" x="83"/>
        <item m="1" x="144"/>
        <item m="1" x="34"/>
        <item m="1" x="149"/>
        <item m="1" x="230"/>
        <item m="1" x="265"/>
        <item m="1" x="336"/>
        <item m="1" x="113"/>
        <item m="1" x="223"/>
        <item m="1" x="38"/>
        <item m="1" x="305"/>
        <item m="1" x="281"/>
        <item m="1" x="158"/>
        <item m="1" x="51"/>
        <item m="1" x="91"/>
        <item m="1" x="280"/>
        <item m="1" x="200"/>
        <item m="1" x="132"/>
        <item m="1" x="284"/>
        <item m="1" x="76"/>
        <item m="1" x="33"/>
        <item m="1" x="199"/>
        <item m="1" x="44"/>
        <item m="1" x="310"/>
        <item m="1" x="288"/>
        <item m="1" x="156"/>
        <item m="1" x="335"/>
        <item m="1" x="304"/>
        <item m="1" x="299"/>
        <item m="1" x="242"/>
        <item m="1" x="117"/>
        <item m="1" x="121"/>
        <item m="1" x="334"/>
        <item m="1" x="215"/>
        <item m="1" x="339"/>
        <item m="1" x="322"/>
        <item m="1" x="207"/>
        <item m="1" x="314"/>
        <item m="1" x="11"/>
        <item m="1" x="40"/>
        <item m="1" x="293"/>
        <item m="1" x="22"/>
        <item m="1" x="94"/>
        <item m="1" x="131"/>
        <item m="1" x="234"/>
        <item m="1" x="208"/>
        <item m="1" x="164"/>
        <item m="1" x="6"/>
        <item m="1" x="261"/>
        <item m="1" x="190"/>
        <item m="1" x="112"/>
        <item m="1" x="285"/>
        <item m="1" x="100"/>
        <item m="1" x="90"/>
        <item m="1" x="225"/>
        <item m="1" x="229"/>
        <item m="1" x="257"/>
        <item m="1" x="331"/>
        <item m="1" x="45"/>
        <item m="1" x="240"/>
        <item m="1" x="232"/>
        <item m="1" x="77"/>
        <item m="1" x="177"/>
        <item m="1" x="122"/>
        <item m="1" x="124"/>
        <item m="1" x="248"/>
        <item m="1" x="32"/>
        <item m="1" x="256"/>
        <item m="1" x="250"/>
        <item m="1" x="228"/>
        <item m="1" x="65"/>
        <item m="1" x="278"/>
        <item m="1" x="329"/>
        <item m="1" x="172"/>
        <item m="1" x="21"/>
        <item m="1" x="222"/>
        <item m="1" x="67"/>
        <item m="1" x="255"/>
        <item m="1" x="264"/>
        <item m="1" x="89"/>
        <item m="1" x="55"/>
        <item m="1" x="239"/>
        <item m="1" x="247"/>
        <item m="1" x="142"/>
        <item m="1" x="148"/>
        <item m="1" x="188"/>
        <item m="1" x="216"/>
        <item m="1" x="88"/>
        <item m="1" x="176"/>
        <item m="1" x="5"/>
        <item m="1" x="28"/>
        <item m="1" x="64"/>
        <item m="1" x="163"/>
        <item m="1" x="54"/>
        <item m="1" x="198"/>
        <item m="1" x="326"/>
        <item m="1" x="189"/>
        <item m="1" x="297"/>
        <item m="1" x="130"/>
        <item m="1" x="313"/>
        <item m="1" x="175"/>
        <item m="1" x="309"/>
        <item m="1" x="312"/>
        <item m="1" x="174"/>
        <item m="1" x="3"/>
        <item m="1" x="66"/>
        <item m="1" x="31"/>
        <item m="1" x="136"/>
        <item m="1" x="173"/>
        <item m="1" x="220"/>
        <item m="1" x="268"/>
        <item m="1" x="214"/>
        <item m="1" x="321"/>
        <item m="1" x="15"/>
        <item m="1" x="63"/>
        <item m="1" x="167"/>
        <item m="1" x="267"/>
        <item m="1" x="47"/>
        <item m="1" x="52"/>
        <item m="1" x="154"/>
        <item m="1" x="18"/>
        <item m="1" x="92"/>
        <item m="1" x="35"/>
        <item m="1" x="69"/>
        <item m="1" x="42"/>
        <item m="1" x="56"/>
        <item m="1" x="191"/>
        <item m="1" x="182"/>
        <item m="1" x="157"/>
        <item m="1" x="259"/>
        <item m="1" x="17"/>
        <item m="1" x="185"/>
        <item m="1" x="201"/>
        <item m="1" x="302"/>
        <item m="1" x="101"/>
        <item m="1" x="102"/>
        <item m="1" x="194"/>
        <item m="1" x="57"/>
        <item m="1" x="95"/>
        <item m="1" x="7"/>
        <item m="1" x="235"/>
        <item m="1" x="258"/>
        <item m="1" x="252"/>
        <item m="1" x="332"/>
        <item m="1" x="330"/>
        <item m="1" x="70"/>
        <item m="1" x="178"/>
        <item m="1" x="205"/>
        <item m="1" x="245"/>
        <item m="1" x="219"/>
        <item m="1" x="134"/>
        <item m="1" x="30"/>
        <item x="0"/>
        <item x="1"/>
        <item t="default"/>
      </items>
    </pivotField>
    <pivotField subtotalTop="0" showAll="0"/>
    <pivotField subtotalTop="0" showAll="0"/>
    <pivotField subtotalTop="0" showAll="0"/>
    <pivotField axis="axisPage" subtotalTop="0" multipleItemSelectionAllowed="1" showAll="0">
      <items count="6">
        <item x="0"/>
        <item h="1" x="1"/>
        <item m="1" x="4"/>
        <item m="1" x="2"/>
        <item h="1" m="1" x="3"/>
        <item t="default"/>
      </items>
    </pivotField>
    <pivotField subtotalTop="0"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142"/>
  </rowFields>
  <rowItems count="1">
    <i>
      <x v="339"/>
    </i>
  </rowItems>
  <colFields count="1">
    <field x="-2"/>
  </colFields>
  <colItems count="2">
    <i>
      <x/>
    </i>
    <i i="1">
      <x v="1"/>
    </i>
  </colItems>
  <pageFields count="4">
    <pageField fld="0" hier="-1"/>
    <pageField fld="4" hier="-1"/>
    <pageField fld="146" hier="-1"/>
    <pageField fld="6" hier="-1"/>
  </pageFields>
  <dataFields count="2">
    <dataField name="Coverage" fld="100" baseField="132" baseItem="339"/>
    <dataField name="Gap" fld="103" baseField="132" baseItem="339"/>
  </dataFields>
  <formats count="12">
    <format dxfId="222">
      <pivotArea type="all" dataOnly="0" outline="0" fieldPosition="0"/>
    </format>
    <format dxfId="221">
      <pivotArea outline="0" collapsedLevelsAreSubtotals="1" fieldPosition="0"/>
    </format>
    <format dxfId="220">
      <pivotArea field="142" type="button" dataOnly="0" labelOnly="1" outline="0" axis="axisRow" fieldPosition="0"/>
    </format>
    <format dxfId="219">
      <pivotArea type="all" dataOnly="0" outline="0" fieldPosition="0"/>
    </format>
    <format dxfId="218">
      <pivotArea field="142" type="button" dataOnly="0" labelOnly="1" outline="0" axis="axisRow" fieldPosition="0"/>
    </format>
    <format dxfId="217">
      <pivotArea field="142" type="button" dataOnly="0" labelOnly="1" outline="0" axis="axisRow" fieldPosition="0"/>
    </format>
    <format dxfId="216">
      <pivotArea type="all" dataOnly="0" outline="0" fieldPosition="0"/>
    </format>
    <format dxfId="215">
      <pivotArea outline="0" collapsedLevelsAreSubtotals="1" fieldPosition="0"/>
    </format>
    <format dxfId="214">
      <pivotArea field="142" type="button" dataOnly="0" labelOnly="1" outline="0" axis="axisRow" fieldPosition="0"/>
    </format>
    <format dxfId="213">
      <pivotArea field="4" type="button" dataOnly="0" labelOnly="1" outline="0" axis="axisPage" fieldPosition="1"/>
    </format>
    <format dxfId="212">
      <pivotArea dataOnly="0" labelOnly="1" outline="0" fieldPosition="0">
        <references count="1">
          <reference field="4" count="1">
            <x v="2"/>
          </reference>
        </references>
      </pivotArea>
    </format>
    <format dxfId="211">
      <pivotArea outline="0" collapsedLevelsAreSubtotals="1" fieldPosition="0"/>
    </format>
  </formats>
  <chartFormats count="8">
    <chartFormat chart="14" format="16" series="1">
      <pivotArea type="data" outline="0" fieldPosition="0">
        <references count="1">
          <reference field="4294967294" count="1" selected="0">
            <x v="0"/>
          </reference>
        </references>
      </pivotArea>
    </chartFormat>
    <chartFormat chart="6" format="4" series="1">
      <pivotArea type="data" outline="0" fieldPosition="0">
        <references count="1">
          <reference field="4294967294" count="1" selected="0">
            <x v="0"/>
          </reference>
        </references>
      </pivotArea>
    </chartFormat>
    <chartFormat chart="14" format="17" series="1">
      <pivotArea type="data" outline="0" fieldPosition="0">
        <references count="1">
          <reference field="4294967294" count="1" selected="0">
            <x v="1"/>
          </reference>
        </references>
      </pivotArea>
    </chartFormat>
    <chartFormat chart="6" format="5" series="1">
      <pivotArea type="data" outline="0" fieldPosition="0">
        <references count="1">
          <reference field="4294967294" count="1" selected="0">
            <x v="1"/>
          </reference>
        </references>
      </pivotArea>
    </chartFormat>
    <chartFormat chart="46" format="18" series="1">
      <pivotArea type="data" outline="0" fieldPosition="0">
        <references count="1">
          <reference field="4294967294" count="1" selected="0">
            <x v="0"/>
          </reference>
        </references>
      </pivotArea>
    </chartFormat>
    <chartFormat chart="46" format="19" series="1">
      <pivotArea type="data" outline="0" fieldPosition="0">
        <references count="1">
          <reference field="4294967294" count="1" selected="0">
            <x v="1"/>
          </reference>
        </references>
      </pivotArea>
    </chartFormat>
    <chartFormat chart="47" format="20" series="1">
      <pivotArea type="data" outline="0" fieldPosition="0">
        <references count="1">
          <reference field="4294967294" count="1" selected="0">
            <x v="0"/>
          </reference>
        </references>
      </pivotArea>
    </chartFormat>
    <chartFormat chart="47" format="21"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759B72DB-9407-4B8F-A3A5-4416A3177B54}" name="PivotTable13" cacheId="12"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33">
  <location ref="AI124:AK137" firstHeaderRow="0" firstDataRow="1" firstDataCol="1" rowPageCount="4" colPageCount="1"/>
  <pivotFields count="160">
    <pivotField axis="axisPage" subtotalTop="0" multipleItemSelectionAllowed="1" showAll="0">
      <items count="29">
        <item m="1" x="26"/>
        <item m="1" x="12"/>
        <item m="1" x="27"/>
        <item m="1" x="19"/>
        <item m="1" x="7"/>
        <item m="1" x="2"/>
        <item m="1" x="25"/>
        <item m="1" x="21"/>
        <item m="1" x="23"/>
        <item m="1" x="24"/>
        <item m="1" x="15"/>
        <item m="1" x="17"/>
        <item m="1" x="20"/>
        <item m="1" x="22"/>
        <item h="1" m="1" x="10"/>
        <item h="1" m="1" x="13"/>
        <item h="1" m="1" x="16"/>
        <item m="1" x="18"/>
        <item h="1" m="1" x="5"/>
        <item h="1" m="1" x="8"/>
        <item h="1" m="1" x="11"/>
        <item m="1" x="14"/>
        <item m="1" x="3"/>
        <item h="1" m="1" x="4"/>
        <item h="1" m="1" x="6"/>
        <item h="1" m="1" x="9"/>
        <item x="0"/>
        <item h="1" x="1"/>
        <item t="default"/>
      </items>
    </pivotField>
    <pivotField showAll="0" defaultSubtotal="0"/>
    <pivotField showAll="0" defaultSubtotal="0"/>
    <pivotField subtotalTop="0" showAll="0"/>
    <pivotField axis="axisPage" subtotalTop="0" showAll="0">
      <items count="7">
        <item x="1"/>
        <item m="1" x="4"/>
        <item x="0"/>
        <item m="1" x="2"/>
        <item m="1" x="3"/>
        <item m="1" x="5"/>
        <item t="default"/>
      </items>
    </pivotField>
    <pivotField axis="axisRow" subtotalTop="0" showAll="0">
      <items count="49">
        <item m="1" x="32"/>
        <item x="15"/>
        <item m="1" x="45"/>
        <item m="1" x="37"/>
        <item x="5"/>
        <item x="6"/>
        <item x="16"/>
        <item x="0"/>
        <item x="22"/>
        <item x="17"/>
        <item x="18"/>
        <item m="1" x="40"/>
        <item m="1" x="27"/>
        <item x="1"/>
        <item x="3"/>
        <item m="1" x="43"/>
        <item x="7"/>
        <item x="19"/>
        <item m="1" x="38"/>
        <item m="1" x="31"/>
        <item x="8"/>
        <item x="9"/>
        <item m="1" x="26"/>
        <item x="4"/>
        <item m="1" x="44"/>
        <item x="2"/>
        <item m="1" x="35"/>
        <item x="10"/>
        <item m="1" x="34"/>
        <item x="20"/>
        <item m="1" x="30"/>
        <item x="21"/>
        <item m="1" x="28"/>
        <item m="1" x="29"/>
        <item m="1" x="33"/>
        <item m="1" x="39"/>
        <item m="1" x="36"/>
        <item m="1" x="46"/>
        <item m="1" x="42"/>
        <item x="11"/>
        <item m="1" x="41"/>
        <item x="12"/>
        <item x="13"/>
        <item x="14"/>
        <item m="1" x="25"/>
        <item m="1" x="47"/>
        <item x="23"/>
        <item x="24"/>
        <item t="default"/>
      </items>
    </pivotField>
    <pivotField axis="axisPage" multipleItemSelectionAllowed="1" showAll="0" defaultSubtotal="0">
      <items count="15">
        <item x="0"/>
        <item x="2"/>
        <item m="1" x="11"/>
        <item h="1" m="1" x="9"/>
        <item m="1" x="7"/>
        <item m="1" x="6"/>
        <item h="1" m="1" x="13"/>
        <item m="1" x="10"/>
        <item h="1" m="1" x="14"/>
        <item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3">
    <i>
      <x v="1"/>
    </i>
    <i>
      <x v="4"/>
    </i>
    <i>
      <x v="5"/>
    </i>
    <i>
      <x v="8"/>
    </i>
    <i>
      <x v="16"/>
    </i>
    <i>
      <x v="20"/>
    </i>
    <i>
      <x v="21"/>
    </i>
    <i>
      <x v="23"/>
    </i>
    <i>
      <x v="27"/>
    </i>
    <i>
      <x v="39"/>
    </i>
    <i>
      <x v="41"/>
    </i>
    <i>
      <x v="42"/>
    </i>
    <i>
      <x v="43"/>
    </i>
  </rowItems>
  <colFields count="1">
    <field x="-2"/>
  </colFields>
  <colItems count="2">
    <i>
      <x/>
    </i>
    <i i="1">
      <x v="1"/>
    </i>
  </colItems>
  <pageFields count="4">
    <pageField fld="0" hier="-1"/>
    <pageField fld="4" item="0" hier="-1"/>
    <pageField fld="146" item="0" hier="-1"/>
    <pageField fld="6" hier="-1"/>
  </pageFields>
  <dataFields count="2">
    <dataField name="Reached" fld="106" baseField="0" baseItem="0"/>
    <dataField name="Target (20:1)" fld="112" baseField="0" baseItem="0"/>
  </dataFields>
  <formats count="14">
    <format dxfId="236">
      <pivotArea field="4" type="button" dataOnly="0" labelOnly="1" outline="0" axis="axisPage" fieldPosition="1"/>
    </format>
    <format dxfId="235">
      <pivotArea type="all" dataOnly="0" outline="0" fieldPosition="0"/>
    </format>
    <format dxfId="234">
      <pivotArea type="origin" dataOnly="0" labelOnly="1" outline="0" fieldPosition="0"/>
    </format>
    <format dxfId="233">
      <pivotArea type="topRight" dataOnly="0" labelOnly="1" outline="0" fieldPosition="0"/>
    </format>
    <format dxfId="232">
      <pivotArea field="-2" type="button" dataOnly="0" labelOnly="1" outline="0" axis="axisCol" fieldPosition="0"/>
    </format>
    <format dxfId="231">
      <pivotArea type="all" dataOnly="0" outline="0" fieldPosition="0"/>
    </format>
    <format dxfId="230">
      <pivotArea outline="0" collapsedLevelsAreSubtotals="1" fieldPosition="0"/>
    </format>
    <format dxfId="229">
      <pivotArea type="origin" dataOnly="0" labelOnly="1" outline="0" fieldPosition="0"/>
    </format>
    <format dxfId="228">
      <pivotArea type="topRight" dataOnly="0" labelOnly="1" outline="0" fieldPosition="0"/>
    </format>
    <format dxfId="227">
      <pivotArea field="-2" type="button" dataOnly="0" labelOnly="1" outline="0" axis="axisCol" fieldPosition="0"/>
    </format>
    <format dxfId="226">
      <pivotArea dataOnly="0" labelOnly="1" outline="0" fieldPosition="0">
        <references count="3">
          <reference field="0" count="1" selected="0">
            <x v="7"/>
          </reference>
          <reference field="4" count="1">
            <x v="0"/>
          </reference>
          <reference field="146" count="1" selected="0">
            <x v="0"/>
          </reference>
        </references>
      </pivotArea>
    </format>
    <format dxfId="225">
      <pivotArea type="all" dataOnly="0" outline="0" fieldPosition="0"/>
    </format>
    <format dxfId="224">
      <pivotArea outline="0" collapsedLevelsAreSubtotals="1" fieldPosition="0"/>
    </format>
    <format dxfId="223">
      <pivotArea dataOnly="0" labelOnly="1" outline="0" fieldPosition="0">
        <references count="1">
          <reference field="4294967294" count="1">
            <x v="1"/>
          </reference>
        </references>
      </pivotArea>
    </format>
  </formats>
  <chartFormats count="4">
    <chartFormat chart="24" format="0" series="1">
      <pivotArea type="data" outline="0" fieldPosition="0">
        <references count="1">
          <reference field="4294967294" count="1" selected="0">
            <x v="1"/>
          </reference>
        </references>
      </pivotArea>
    </chartFormat>
    <chartFormat chart="24" format="1" series="1">
      <pivotArea type="data" outline="0" fieldPosition="0">
        <references count="1">
          <reference field="4294967294" count="1" selected="0">
            <x v="0"/>
          </reference>
        </references>
      </pivotArea>
    </chartFormat>
    <chartFormat chart="26" format="4" series="1">
      <pivotArea type="data" outline="0" fieldPosition="0">
        <references count="1">
          <reference field="4294967294" count="1" selected="0">
            <x v="1"/>
          </reference>
        </references>
      </pivotArea>
    </chartFormat>
    <chartFormat chart="26" format="5" series="1">
      <pivotArea type="data" outline="0" fieldPosition="0">
        <references count="1">
          <reference field="4294967294" count="1" selected="0">
            <x v="0"/>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800-00001D000000}" name="S_SWM" cacheId="12"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rowHeaderCaption="State">
  <location ref="B173:E176" firstHeaderRow="1" firstDataRow="2" firstDataCol="1" rowPageCount="4" colPageCount="1"/>
  <pivotFields count="160">
    <pivotField axis="axisPage" subtotalTop="0" multipleItemSelectionAllowed="1" showAll="0">
      <items count="29">
        <item m="1" x="26"/>
        <item m="1" x="12"/>
        <item m="1" x="27"/>
        <item h="1" m="1" x="19"/>
        <item m="1" x="7"/>
        <item h="1" m="1" x="2"/>
        <item h="1" m="1" x="25"/>
        <item h="1" m="1" x="21"/>
        <item h="1" m="1" x="23"/>
        <item m="1" x="24"/>
        <item h="1" m="1" x="15"/>
        <item h="1" m="1" x="17"/>
        <item h="1" m="1" x="20"/>
        <item m="1" x="22"/>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Row" subtotalTop="0" showAll="0">
      <items count="7">
        <item x="1"/>
        <item m="1" x="4"/>
        <item x="0"/>
        <item h="1" m="1" x="2"/>
        <item m="1" x="3"/>
        <item m="1" x="5"/>
        <item t="default"/>
      </items>
    </pivotField>
    <pivotField subtotalTop="0" showAll="0"/>
    <pivotField axis="axisPage" multipleItemSelectionAllowed="1" showAll="0" defaultSubtotal="0">
      <items count="15">
        <item x="0"/>
        <item x="2"/>
        <item m="1" x="11"/>
        <item h="1" m="1" x="9"/>
        <item m="1" x="7"/>
        <item m="1" x="6"/>
        <item h="1" m="1" x="13"/>
        <item m="1" x="10"/>
        <item h="1" m="1" x="14"/>
        <item h="1"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sortType="ascending" defaultSubtotal="0">
      <items count="4">
        <item x="2"/>
        <item x="0"/>
        <item x="1"/>
        <item x="3"/>
      </items>
    </pivotField>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numFmtId="9" subtotalTop="0" showAll="0"/>
    <pivotField numFmtId="9"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axis="axisPage" subtotalTop="0" multipleItemSelectionAllowed="1" showAll="0">
      <items count="53">
        <item x="0"/>
        <item x="1"/>
        <item x="2"/>
        <item m="1" x="29"/>
        <item m="1" x="9"/>
        <item m="1" x="14"/>
        <item m="1" x="33"/>
        <item m="1" x="27"/>
        <item m="1" x="22"/>
        <item m="1" x="7"/>
        <item m="1" x="4"/>
        <item m="1" x="21"/>
        <item m="1" x="25"/>
        <item m="1" x="5"/>
        <item m="1" x="36"/>
        <item m="1" x="34"/>
        <item m="1" x="15"/>
        <item m="1" x="28"/>
        <item m="1" x="42"/>
        <item m="1" x="48"/>
        <item m="1" x="50"/>
        <item m="1" x="46"/>
        <item m="1" x="23"/>
        <item m="1" x="43"/>
        <item m="1" x="37"/>
        <item m="1" x="18"/>
        <item m="1" x="12"/>
        <item m="1" x="51"/>
        <item m="1" x="44"/>
        <item m="1" x="38"/>
        <item m="1" x="39"/>
        <item m="1" x="3"/>
        <item m="1" x="11"/>
        <item m="1" x="19"/>
        <item m="1" x="6"/>
        <item m="1" x="13"/>
        <item m="1" x="17"/>
        <item m="1" x="10"/>
        <item m="1" x="20"/>
        <item m="1" x="47"/>
        <item m="1" x="26"/>
        <item m="1" x="45"/>
        <item m="1" x="41"/>
        <item m="1" x="32"/>
        <item m="1" x="31"/>
        <item m="1" x="35"/>
        <item m="1" x="16"/>
        <item m="1" x="8"/>
        <item m="1" x="24"/>
        <item m="1" x="49"/>
        <item m="1" x="30"/>
        <item m="1" x="40"/>
        <item t="default"/>
      </items>
    </pivotField>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50"/>
  </colFields>
  <colItems count="3">
    <i>
      <x/>
    </i>
    <i>
      <x v="1"/>
    </i>
    <i>
      <x v="2"/>
    </i>
  </colItems>
  <pageFields count="4">
    <pageField fld="0" hier="-1"/>
    <pageField fld="146" item="0" hier="-1"/>
    <pageField fld="6" hier="-1"/>
    <pageField fld="147" hier="-1"/>
  </pageFields>
  <dataFields count="1">
    <dataField name="Count of Is there provision of solid waste management equipment?" fld="50" subtotal="count" baseField="0" baseItem="0"/>
  </dataFields>
  <formats count="11">
    <format dxfId="247">
      <pivotArea type="all" dataOnly="0" outline="0" fieldPosition="0"/>
    </format>
    <format dxfId="246">
      <pivotArea outline="0" collapsedLevelsAreSubtotals="1" fieldPosition="0"/>
    </format>
    <format dxfId="245">
      <pivotArea type="origin" dataOnly="0" labelOnly="1" outline="0" fieldPosition="0"/>
    </format>
    <format dxfId="244">
      <pivotArea type="topRight" dataOnly="0" labelOnly="1" outline="0" fieldPosition="0"/>
    </format>
    <format dxfId="243">
      <pivotArea field="4" type="button" dataOnly="0" labelOnly="1" outline="0" axis="axisRow" fieldPosition="0"/>
    </format>
    <format dxfId="242">
      <pivotArea dataOnly="0" labelOnly="1" fieldPosition="0">
        <references count="1">
          <reference field="4" count="0"/>
        </references>
      </pivotArea>
    </format>
    <format dxfId="241">
      <pivotArea dataOnly="0" labelOnly="1" grandRow="1" outline="0" fieldPosition="0"/>
    </format>
    <format dxfId="240">
      <pivotArea dataOnly="0" labelOnly="1" grandCol="1" outline="0" fieldPosition="0"/>
    </format>
    <format dxfId="239">
      <pivotArea type="all" dataOnly="0" outline="0" fieldPosition="0"/>
    </format>
    <format dxfId="238">
      <pivotArea outline="0" collapsedLevelsAreSubtotals="1" fieldPosition="0"/>
    </format>
    <format dxfId="237">
      <pivotArea dataOnly="0" labelOnly="1" fieldPosition="0">
        <references count="1">
          <reference field="4" count="0"/>
        </references>
      </pivotArea>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Hygiene_1" cacheId="12" applyNumberFormats="0" applyBorderFormats="0" applyFontFormats="0" applyPatternFormats="0" applyAlignmentFormats="0" applyWidthHeightFormats="1" dataCaption="Values" updatedVersion="7" minRefreshableVersion="3" itemPrintTitles="1" createdVersion="6" indent="0" outline="1" outlineData="1" multipleFieldFilters="0">
  <location ref="B216:E218" firstHeaderRow="0" firstDataRow="1" firstDataCol="1" rowPageCount="4" colPageCount="1"/>
  <pivotFields count="160">
    <pivotField axis="axisPage" subtotalTop="0" multipleItemSelectionAllowed="1" showAll="0">
      <items count="29">
        <item h="1" m="1" x="26"/>
        <item m="1" x="12"/>
        <item m="1" x="27"/>
        <item h="1" m="1" x="19"/>
        <item m="1" x="7"/>
        <item h="1" m="1" x="2"/>
        <item h="1" m="1" x="25"/>
        <item h="1" m="1" x="21"/>
        <item h="1" m="1" x="23"/>
        <item m="1" x="24"/>
        <item h="1" m="1" x="15"/>
        <item h="1" m="1" x="17"/>
        <item h="1" m="1" x="20"/>
        <item m="1" x="22"/>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Row" subtotalTop="0" showAll="0">
      <items count="7">
        <item x="1"/>
        <item h="1" m="1" x="4"/>
        <item h="1" x="0"/>
        <item h="1" m="1" x="2"/>
        <item h="1" m="1" x="3"/>
        <item h="1" m="1" x="5"/>
        <item t="default"/>
      </items>
    </pivotField>
    <pivotField subtotalTop="0" showAll="0"/>
    <pivotField axis="axisPage" multipleItemSelectionAllowed="1" showAll="0" defaultSubtotal="0">
      <items count="15">
        <item x="0"/>
        <item x="2"/>
        <item m="1" x="11"/>
        <item h="1" m="1" x="9"/>
        <item m="1" x="7"/>
        <item m="1" x="6"/>
        <item h="1" m="1" x="13"/>
        <item m="1" x="10"/>
        <item h="1" m="1" x="14"/>
        <item h="1" m="1" x="8"/>
        <item h="1" m="1" x="12"/>
        <item h="1" m="1" x="4"/>
        <item h="1" m="1" x="5"/>
        <item x="3"/>
        <item x="1"/>
      </items>
    </pivotField>
    <pivotField subtotalTop="0" showAll="0"/>
    <pivotField dataField="1"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dataField="1" numFmtId="1"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axis="axisPage" subtotalTop="0" multipleItemSelectionAllowed="1" showAll="0">
      <items count="53">
        <item x="0"/>
        <item x="1"/>
        <item x="2"/>
        <item m="1" x="29"/>
        <item m="1" x="9"/>
        <item m="1" x="14"/>
        <item m="1" x="33"/>
        <item m="1" x="27"/>
        <item m="1" x="22"/>
        <item m="1" x="7"/>
        <item m="1" x="4"/>
        <item m="1" x="21"/>
        <item m="1" x="25"/>
        <item m="1" x="5"/>
        <item m="1" x="36"/>
        <item m="1" x="34"/>
        <item m="1" x="15"/>
        <item m="1" x="28"/>
        <item m="1" x="42"/>
        <item m="1" x="48"/>
        <item m="1" x="50"/>
        <item m="1" x="46"/>
        <item m="1" x="23"/>
        <item m="1" x="43"/>
        <item m="1" x="37"/>
        <item m="1" x="18"/>
        <item m="1" x="12"/>
        <item m="1" x="51"/>
        <item m="1" x="44"/>
        <item m="1" x="38"/>
        <item m="1" x="39"/>
        <item m="1" x="3"/>
        <item m="1" x="11"/>
        <item m="1" x="19"/>
        <item m="1" x="6"/>
        <item m="1" x="13"/>
        <item m="1" x="17"/>
        <item m="1" x="10"/>
        <item m="1" x="20"/>
        <item m="1" x="47"/>
        <item m="1" x="26"/>
        <item m="1" x="45"/>
        <item m="1" x="41"/>
        <item m="1" x="32"/>
        <item m="1" x="31"/>
        <item m="1" x="35"/>
        <item m="1" x="16"/>
        <item m="1" x="8"/>
        <item m="1" x="24"/>
        <item m="1" x="49"/>
        <item m="1" x="30"/>
        <item m="1" x="40"/>
        <item t="default"/>
      </items>
    </pivotField>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t="grand">
      <x/>
    </i>
  </rowItems>
  <colFields count="1">
    <field x="-2"/>
  </colFields>
  <colItems count="3">
    <i>
      <x/>
    </i>
    <i i="1">
      <x v="1"/>
    </i>
    <i i="2">
      <x v="2"/>
    </i>
  </colItems>
  <pageFields count="4">
    <pageField fld="147" hier="-1"/>
    <pageField fld="0" hier="-1"/>
    <pageField fld="146" item="0" hier="-1"/>
    <pageField fld="6" hier="-1"/>
  </pageFields>
  <dataFields count="3">
    <dataField name="Sum of Total HH" fld="8" baseField="2" baseItem="0" numFmtId="3"/>
    <dataField name="Sum of # people reached by regular dedicated hygiene promotion_5" fld="116" baseField="0" baseItem="0"/>
    <dataField name="Sum of #HH with access to Hand Washing Station" fld="127" baseField="2" baseItem="0" numFmtId="3"/>
  </dataFields>
  <formats count="15">
    <format dxfId="262">
      <pivotArea type="all" dataOnly="0" outline="0" fieldPosition="0"/>
    </format>
    <format dxfId="261">
      <pivotArea type="all" dataOnly="0" outline="0" fieldPosition="0"/>
    </format>
    <format dxfId="260">
      <pivotArea outline="0" collapsedLevelsAreSubtotals="1" fieldPosition="0"/>
    </format>
    <format dxfId="259">
      <pivotArea field="4" type="button" dataOnly="0" labelOnly="1" outline="0" axis="axisRow" fieldPosition="0"/>
    </format>
    <format dxfId="258">
      <pivotArea dataOnly="0" labelOnly="1" fieldPosition="0">
        <references count="1">
          <reference field="4" count="0"/>
        </references>
      </pivotArea>
    </format>
    <format dxfId="257">
      <pivotArea dataOnly="0" labelOnly="1" grandRow="1" outline="0" fieldPosition="0"/>
    </format>
    <format dxfId="256">
      <pivotArea dataOnly="0" labelOnly="1" outline="0" fieldPosition="0">
        <references count="1">
          <reference field="4294967294" count="2">
            <x v="0"/>
            <x v="2"/>
          </reference>
        </references>
      </pivotArea>
    </format>
    <format dxfId="255">
      <pivotArea outline="0" fieldPosition="0">
        <references count="1">
          <reference field="4294967294" count="1">
            <x v="0"/>
          </reference>
        </references>
      </pivotArea>
    </format>
    <format dxfId="254">
      <pivotArea outline="0" fieldPosition="0">
        <references count="1">
          <reference field="4294967294" count="1">
            <x v="2"/>
          </reference>
        </references>
      </pivotArea>
    </format>
    <format dxfId="253">
      <pivotArea type="all" dataOnly="0" outline="0" fieldPosition="0"/>
    </format>
    <format dxfId="252">
      <pivotArea outline="0" collapsedLevelsAreSubtotals="1" fieldPosition="0"/>
    </format>
    <format dxfId="251">
      <pivotArea field="4" type="button" dataOnly="0" labelOnly="1" outline="0" axis="axisRow" fieldPosition="0"/>
    </format>
    <format dxfId="250">
      <pivotArea dataOnly="0" labelOnly="1" fieldPosition="0">
        <references count="1">
          <reference field="4" count="0"/>
        </references>
      </pivotArea>
    </format>
    <format dxfId="249">
      <pivotArea dataOnly="0" labelOnly="1" grandRow="1" outline="0" fieldPosition="0"/>
    </format>
    <format dxfId="248">
      <pivotArea dataOnly="0" labelOnly="1" outline="0" fieldPosition="0">
        <references count="1">
          <reference field="4294967294" count="3">
            <x v="0"/>
            <x v="1"/>
            <x v="2"/>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800-00001E000000}" name="S_Traffic" cacheId="12" applyNumberFormats="0" applyBorderFormats="0" applyFontFormats="0" applyPatternFormats="0" applyAlignmentFormats="0" applyWidthHeightFormats="1" dataCaption="Values" updatedVersion="7" minRefreshableVersion="3" itemPrintTitles="1" createdVersion="6" indent="0" outline="1" outlineData="1" multipleFieldFilters="0">
  <location ref="I10:N19" firstHeaderRow="0" firstDataRow="1" firstDataCol="1" rowPageCount="5" colPageCount="1"/>
  <pivotFields count="160">
    <pivotField axis="axisPage" subtotalTop="0" multipleItemSelectionAllowed="1" showAll="0">
      <items count="29">
        <item m="1" x="26"/>
        <item m="1" x="12"/>
        <item m="1" x="19"/>
        <item m="1" x="2"/>
        <item m="1" x="27"/>
        <item m="1" x="7"/>
        <item m="1" x="25"/>
        <item m="1" x="21"/>
        <item m="1" x="23"/>
        <item m="1" x="24"/>
        <item m="1" x="15"/>
        <item m="1" x="17"/>
        <item m="1" x="20"/>
        <item m="1" x="22"/>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Page" subtotalTop="0" showAll="0">
      <items count="7">
        <item x="1"/>
        <item m="1" x="4"/>
        <item x="0"/>
        <item m="1" x="2"/>
        <item m="1" x="3"/>
        <item m="1" x="5"/>
        <item t="default"/>
      </items>
    </pivotField>
    <pivotField axis="axisRow" subtotalTop="0" showAll="0" sortType="ascending">
      <items count="49">
        <item m="1" x="32"/>
        <item x="15"/>
        <item m="1" x="45"/>
        <item m="1" x="37"/>
        <item x="5"/>
        <item x="6"/>
        <item x="16"/>
        <item x="0"/>
        <item x="22"/>
        <item x="17"/>
        <item x="18"/>
        <item m="1" x="40"/>
        <item m="1" x="27"/>
        <item x="1"/>
        <item m="1" x="47"/>
        <item x="3"/>
        <item m="1" x="43"/>
        <item x="7"/>
        <item x="19"/>
        <item m="1" x="38"/>
        <item m="1" x="31"/>
        <item x="8"/>
        <item x="9"/>
        <item m="1" x="26"/>
        <item x="4"/>
        <item m="1" x="44"/>
        <item x="2"/>
        <item m="1" x="35"/>
        <item x="10"/>
        <item m="1" x="34"/>
        <item x="20"/>
        <item m="1" x="30"/>
        <item x="21"/>
        <item m="1" x="28"/>
        <item m="1" x="29"/>
        <item m="1" x="33"/>
        <item m="1" x="39"/>
        <item m="1" x="36"/>
        <item m="1" x="46"/>
        <item m="1" x="42"/>
        <item x="11"/>
        <item m="1" x="41"/>
        <item x="12"/>
        <item x="13"/>
        <item x="24"/>
        <item x="23"/>
        <item x="14"/>
        <item m="1" x="25"/>
        <item t="default"/>
      </items>
    </pivotField>
    <pivotField axis="axisPage" multipleItemSelectionAllowed="1" showAll="0" defaultSubtotal="0">
      <items count="15">
        <item x="0"/>
        <item x="2"/>
        <item m="1" x="11"/>
        <item m="1" x="7"/>
        <item h="1" m="1" x="6"/>
        <item h="1" m="1" x="13"/>
        <item h="1" m="1" x="10"/>
        <item h="1" m="1" x="14"/>
        <item h="1" m="1" x="8"/>
        <item m="1" x="9"/>
        <item h="1" m="1" x="12"/>
        <item h="1" m="1" x="4"/>
        <item h="1" m="1" x="5"/>
        <item x="3"/>
        <item x="1"/>
      </items>
    </pivotField>
    <pivotField dataField="1" subtotalTop="0" showAll="0"/>
    <pivotField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axis="axisPage" subtotalTop="0" multipleItemSelectionAllowed="1" showAll="0">
      <items count="53">
        <item x="0"/>
        <item x="1"/>
        <item x="2"/>
        <item m="1" x="29"/>
        <item m="1" x="9"/>
        <item m="1" x="14"/>
        <item m="1" x="33"/>
        <item m="1" x="27"/>
        <item m="1" x="22"/>
        <item m="1" x="7"/>
        <item m="1" x="4"/>
        <item m="1" x="21"/>
        <item m="1" x="25"/>
        <item m="1" x="5"/>
        <item m="1" x="36"/>
        <item m="1" x="34"/>
        <item m="1" x="15"/>
        <item m="1" x="28"/>
        <item m="1" x="42"/>
        <item m="1" x="48"/>
        <item m="1" x="50"/>
        <item m="1" x="46"/>
        <item m="1" x="23"/>
        <item m="1" x="43"/>
        <item m="1" x="37"/>
        <item m="1" x="18"/>
        <item m="1" x="12"/>
        <item m="1" x="51"/>
        <item m="1" x="44"/>
        <item m="1" x="38"/>
        <item m="1" x="39"/>
        <item m="1" x="3"/>
        <item m="1" x="11"/>
        <item m="1" x="19"/>
        <item m="1" x="6"/>
        <item m="1" x="13"/>
        <item m="1" x="17"/>
        <item m="1" x="10"/>
        <item m="1" x="20"/>
        <item m="1" x="47"/>
        <item m="1" x="26"/>
        <item m="1" x="45"/>
        <item m="1" x="41"/>
        <item m="1" x="32"/>
        <item m="1" x="31"/>
        <item m="1" x="35"/>
        <item m="1" x="16"/>
        <item m="1" x="8"/>
        <item m="1" x="24"/>
        <item m="1" x="49"/>
        <item m="1" x="30"/>
        <item m="1" x="40"/>
        <item t="default"/>
      </items>
    </pivotField>
    <pivotField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5"/>
  </rowFields>
  <rowItems count="9">
    <i>
      <x v="6"/>
    </i>
    <i>
      <x v="7"/>
    </i>
    <i>
      <x v="9"/>
    </i>
    <i>
      <x v="13"/>
    </i>
    <i>
      <x v="15"/>
    </i>
    <i>
      <x v="26"/>
    </i>
    <i>
      <x v="30"/>
    </i>
    <i>
      <x v="44"/>
    </i>
    <i t="grand">
      <x/>
    </i>
  </rowItems>
  <colFields count="1">
    <field x="-2"/>
  </colFields>
  <colItems count="5">
    <i>
      <x/>
    </i>
    <i i="1">
      <x v="1"/>
    </i>
    <i i="2">
      <x v="2"/>
    </i>
    <i i="3">
      <x v="3"/>
    </i>
    <i i="4">
      <x v="4"/>
    </i>
  </colItems>
  <pageFields count="5">
    <pageField fld="0" hier="-1"/>
    <pageField fld="146" item="0" hier="-1"/>
    <pageField fld="4" item="2" hier="-1"/>
    <pageField fld="6" hier="-1"/>
    <pageField fld="147" hier="-1"/>
  </pageFields>
  <dataFields count="5">
    <dataField name="# of sites" fld="7" subtotal="count" baseField="0" baseItem="0"/>
    <dataField name="PoP " fld="9" baseField="0" baseItem="0" numFmtId="164"/>
    <dataField name=" % Water GAP" fld="156" baseField="0" baseItem="0" numFmtId="9"/>
    <dataField name=" % Sanitation GAP" fld="158" baseField="0" baseItem="0" numFmtId="9"/>
    <dataField name="  % Hygiene Gap" fld="153" baseField="0" baseItem="0" numFmtId="9"/>
  </dataFields>
  <formats count="38">
    <format dxfId="300">
      <pivotArea type="all" dataOnly="0" outline="0" fieldPosition="0"/>
    </format>
    <format dxfId="299">
      <pivotArea outline="0" collapsedLevelsAreSubtotals="1" fieldPosition="0"/>
    </format>
    <format dxfId="298">
      <pivotArea field="5" type="button" dataOnly="0" labelOnly="1" outline="0" axis="axisRow" fieldPosition="0"/>
    </format>
    <format dxfId="297">
      <pivotArea dataOnly="0" labelOnly="1" outline="0" axis="axisValues" fieldPosition="0"/>
    </format>
    <format dxfId="296">
      <pivotArea dataOnly="0" labelOnly="1" fieldPosition="0">
        <references count="1">
          <reference field="5" count="0"/>
        </references>
      </pivotArea>
    </format>
    <format dxfId="295">
      <pivotArea dataOnly="0" labelOnly="1" grandRow="1" outline="0" fieldPosition="0"/>
    </format>
    <format dxfId="294">
      <pivotArea dataOnly="0" labelOnly="1" outline="0" axis="axisValues" fieldPosition="0"/>
    </format>
    <format dxfId="293">
      <pivotArea type="all" dataOnly="0" outline="0" fieldPosition="0"/>
    </format>
    <format dxfId="292">
      <pivotArea field="5" type="button" dataOnly="0" labelOnly="1" outline="0" axis="axisRow" fieldPosition="0"/>
    </format>
    <format dxfId="291">
      <pivotArea dataOnly="0" labelOnly="1" outline="0" axis="axisValues" fieldPosition="0"/>
    </format>
    <format dxfId="290">
      <pivotArea dataOnly="0" labelOnly="1" fieldPosition="0">
        <references count="1">
          <reference field="5" count="0"/>
        </references>
      </pivotArea>
    </format>
    <format dxfId="289">
      <pivotArea dataOnly="0" labelOnly="1" outline="0" axis="axisValues" fieldPosition="0"/>
    </format>
    <format dxfId="288">
      <pivotArea field="5" type="button" dataOnly="0" labelOnly="1" outline="0" axis="axisRow" fieldPosition="0"/>
    </format>
    <format dxfId="287">
      <pivotArea type="all" dataOnly="0" outline="0" fieldPosition="0"/>
    </format>
    <format dxfId="286">
      <pivotArea field="5" type="button" dataOnly="0" labelOnly="1" outline="0" axis="axisRow" fieldPosition="0"/>
    </format>
    <format dxfId="285">
      <pivotArea dataOnly="0" labelOnly="1" fieldPosition="0">
        <references count="1">
          <reference field="5" count="7">
            <x v="6"/>
            <x v="9"/>
            <x v="13"/>
            <x v="18"/>
            <x v="26"/>
            <x v="30"/>
            <x v="32"/>
          </reference>
        </references>
      </pivotArea>
    </format>
    <format dxfId="284">
      <pivotArea dataOnly="0" labelOnly="1" outline="0" fieldPosition="0">
        <references count="1">
          <reference field="4294967294" count="1">
            <x v="1"/>
          </reference>
        </references>
      </pivotArea>
    </format>
    <format dxfId="283">
      <pivotArea type="all" dataOnly="0" outline="0" fieldPosition="0"/>
    </format>
    <format dxfId="282">
      <pivotArea outline="0" collapsedLevelsAreSubtotals="1" fieldPosition="0"/>
    </format>
    <format dxfId="281">
      <pivotArea field="5" type="button" dataOnly="0" labelOnly="1" outline="0" axis="axisRow" fieldPosition="0"/>
    </format>
    <format dxfId="280">
      <pivotArea dataOnly="0" labelOnly="1" fieldPosition="0">
        <references count="1">
          <reference field="5" count="7">
            <x v="6"/>
            <x v="9"/>
            <x v="13"/>
            <x v="18"/>
            <x v="26"/>
            <x v="30"/>
            <x v="32"/>
          </reference>
        </references>
      </pivotArea>
    </format>
    <format dxfId="279">
      <pivotArea dataOnly="0" labelOnly="1" outline="0" fieldPosition="0">
        <references count="1">
          <reference field="4294967294" count="1">
            <x v="1"/>
          </reference>
        </references>
      </pivotArea>
    </format>
    <format dxfId="278">
      <pivotArea field="5" type="button" dataOnly="0" labelOnly="1" outline="0" axis="axisRow" fieldPosition="0"/>
    </format>
    <format dxfId="277">
      <pivotArea dataOnly="0" labelOnly="1" outline="0" fieldPosition="0">
        <references count="1">
          <reference field="4294967294" count="1">
            <x v="1"/>
          </reference>
        </references>
      </pivotArea>
    </format>
    <format dxfId="276">
      <pivotArea type="all" dataOnly="0" outline="0" fieldPosition="0"/>
    </format>
    <format dxfId="275">
      <pivotArea outline="0" collapsedLevelsAreSubtotals="1" fieldPosition="0"/>
    </format>
    <format dxfId="274">
      <pivotArea field="5" type="button" dataOnly="0" labelOnly="1" outline="0" axis="axisRow" fieldPosition="0"/>
    </format>
    <format dxfId="273">
      <pivotArea dataOnly="0" labelOnly="1" fieldPosition="0">
        <references count="1">
          <reference field="5" count="6">
            <x v="6"/>
            <x v="9"/>
            <x v="18"/>
            <x v="26"/>
            <x v="30"/>
            <x v="32"/>
          </reference>
        </references>
      </pivotArea>
    </format>
    <format dxfId="272">
      <pivotArea dataOnly="0" labelOnly="1" grandRow="1" outline="0" fieldPosition="0"/>
    </format>
    <format dxfId="271">
      <pivotArea dataOnly="0" labelOnly="1" outline="0" fieldPosition="0">
        <references count="1">
          <reference field="4294967294" count="1">
            <x v="1"/>
          </reference>
        </references>
      </pivotArea>
    </format>
    <format dxfId="270">
      <pivotArea field="4" type="button" dataOnly="0" labelOnly="1" outline="0" axis="axisPage" fieldPosition="2"/>
    </format>
    <format dxfId="269">
      <pivotArea dataOnly="0" labelOnly="1" outline="0" fieldPosition="0">
        <references count="3">
          <reference field="0" count="1" selected="0">
            <x v="7"/>
          </reference>
          <reference field="4" count="1">
            <x v="2"/>
          </reference>
          <reference field="146" count="1" selected="0">
            <x v="0"/>
          </reference>
        </references>
      </pivotArea>
    </format>
    <format dxfId="268">
      <pivotArea dataOnly="0" labelOnly="1" outline="0" fieldPosition="0">
        <references count="3">
          <reference field="0" count="1" selected="0">
            <x v="8"/>
          </reference>
          <reference field="4" count="1">
            <x v="2"/>
          </reference>
          <reference field="146" count="1" selected="0">
            <x v="0"/>
          </reference>
        </references>
      </pivotArea>
    </format>
    <format dxfId="267">
      <pivotArea outline="0" collapsedLevelsAreSubtotals="1" fieldPosition="0">
        <references count="1">
          <reference field="4294967294" count="1" selected="0">
            <x v="1"/>
          </reference>
        </references>
      </pivotArea>
    </format>
    <format dxfId="266">
      <pivotArea dataOnly="0" labelOnly="1" outline="0" fieldPosition="0">
        <references count="3">
          <reference field="0" count="1" selected="0">
            <x v="10"/>
          </reference>
          <reference field="4" count="1">
            <x v="0"/>
          </reference>
          <reference field="146" count="1" selected="0">
            <x v="0"/>
          </reference>
        </references>
      </pivotArea>
    </format>
    <format dxfId="265">
      <pivotArea dataOnly="0" labelOnly="1" outline="0" fieldPosition="0">
        <references count="3">
          <reference field="0" count="1" selected="0">
            <x v="10"/>
          </reference>
          <reference field="4" count="1">
            <x v="2"/>
          </reference>
          <reference field="146" count="1" selected="0">
            <x v="0"/>
          </reference>
        </references>
      </pivotArea>
    </format>
    <format dxfId="264">
      <pivotArea outline="0" collapsedLevelsAreSubtotals="1" fieldPosition="0">
        <references count="1">
          <reference field="4294967294" count="3" selected="0">
            <x v="2"/>
            <x v="3"/>
            <x v="4"/>
          </reference>
        </references>
      </pivotArea>
    </format>
    <format dxfId="263">
      <pivotArea dataOnly="0" labelOnly="1" outline="0" fieldPosition="0">
        <references count="3">
          <reference field="0" count="1" selected="0">
            <x v="11"/>
          </reference>
          <reference field="4" count="1">
            <x v="2"/>
          </reference>
          <reference field="146" count="1" selected="0">
            <x v="0"/>
          </reference>
        </references>
      </pivotArea>
    </format>
  </formats>
  <conditionalFormats count="1">
    <conditionalFormat priority="14">
      <pivotAreas count="1">
        <pivotArea type="data" outline="0" collapsedLevelsAreSubtotals="1" fieldPosition="0">
          <references count="1">
            <reference field="4294967294" count="3" selected="0">
              <x v="2"/>
              <x v="3"/>
              <x v="4"/>
            </reference>
          </references>
        </pivotArea>
      </pivotAreas>
    </conditionalFormat>
  </conditional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800-000025000000}" name="water_test" cacheId="12"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21" rowHeaderCaption="State">
  <location ref="B56:D65" firstHeaderRow="0" firstDataRow="1" firstDataCol="1" rowPageCount="3" colPageCount="1"/>
  <pivotFields count="160">
    <pivotField axis="axisRow" subtotalTop="0" multipleItemSelectionAllowed="1" showAll="0">
      <items count="29">
        <item m="1" x="26"/>
        <item m="1" x="12"/>
        <item m="1" x="19"/>
        <item m="1" x="2"/>
        <item m="1" x="27"/>
        <item m="1" x="7"/>
        <item m="1" x="25"/>
        <item m="1" x="21"/>
        <item m="1" x="23"/>
        <item m="1" x="24"/>
        <item m="1" x="15"/>
        <item m="1" x="17"/>
        <item m="1" x="20"/>
        <item m="1" x="22"/>
        <item m="1" x="10"/>
        <item m="1" x="13"/>
        <item m="1" x="16"/>
        <item m="1" x="18"/>
        <item m="1" x="5"/>
        <item m="1" x="8"/>
        <item m="1" x="11"/>
        <item m="1" x="14"/>
        <item m="1" x="3"/>
        <item m="1" x="4"/>
        <item m="1" x="6"/>
        <item m="1" x="9"/>
        <item x="0"/>
        <item x="1"/>
        <item t="default"/>
      </items>
    </pivotField>
    <pivotField showAll="0" defaultSubtotal="0"/>
    <pivotField showAll="0" defaultSubtotal="0"/>
    <pivotField subtotalTop="0" showAll="0"/>
    <pivotField axis="axisRow" subtotalTop="0" showAll="0">
      <items count="7">
        <item x="1"/>
        <item m="1" x="4"/>
        <item x="0"/>
        <item m="1" x="2"/>
        <item m="1" x="3"/>
        <item m="1" x="5"/>
        <item t="default"/>
      </items>
    </pivotField>
    <pivotField subtotalTop="0" showAll="0"/>
    <pivotField axis="axisPage" multipleItemSelectionAllowed="1" showAll="0" defaultSubtotal="0">
      <items count="15">
        <item x="0"/>
        <item x="2"/>
        <item m="1" x="11"/>
        <item m="1" x="7"/>
        <item m="1" x="6"/>
        <item h="1" m="1" x="13"/>
        <item m="1" x="10"/>
        <item h="1" m="1" x="14"/>
        <item h="1" m="1" x="8"/>
        <item h="1" m="1" x="9"/>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dataField="1" showAll="0"/>
    <pivotField dataField="1"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h="1" x="1"/>
        <item m="1" x="4"/>
        <item m="1" x="2"/>
        <item h="1" m="1" x="3"/>
        <item t="default"/>
      </items>
    </pivotField>
    <pivotField axis="axisPage" subtotalTop="0" multipleItemSelectionAllowed="1" showAll="0">
      <items count="53">
        <item x="0"/>
        <item x="1"/>
        <item x="2"/>
        <item m="1" x="29"/>
        <item m="1" x="9"/>
        <item m="1" x="14"/>
        <item m="1" x="33"/>
        <item m="1" x="27"/>
        <item m="1" x="22"/>
        <item m="1" x="7"/>
        <item m="1" x="4"/>
        <item m="1" x="21"/>
        <item m="1" x="25"/>
        <item m="1" x="5"/>
        <item m="1" x="36"/>
        <item m="1" x="34"/>
        <item m="1" x="15"/>
        <item m="1" x="28"/>
        <item m="1" x="42"/>
        <item m="1" x="48"/>
        <item m="1" x="50"/>
        <item m="1" x="46"/>
        <item m="1" x="23"/>
        <item m="1" x="43"/>
        <item m="1" x="37"/>
        <item m="1" x="18"/>
        <item m="1" x="12"/>
        <item m="1" x="51"/>
        <item m="1" x="44"/>
        <item m="1" x="38"/>
        <item m="1" x="39"/>
        <item m="1" x="3"/>
        <item m="1" x="11"/>
        <item m="1" x="19"/>
        <item m="1" x="6"/>
        <item m="1" x="13"/>
        <item m="1" x="17"/>
        <item m="1" x="10"/>
        <item m="1" x="20"/>
        <item m="1" x="47"/>
        <item m="1" x="26"/>
        <item m="1" x="45"/>
        <item m="1" x="41"/>
        <item m="1" x="32"/>
        <item m="1" x="31"/>
        <item m="1" x="35"/>
        <item m="1" x="16"/>
        <item m="1" x="8"/>
        <item m="1" x="24"/>
        <item m="1" x="49"/>
        <item m="1" x="30"/>
        <item m="1" x="40"/>
        <item t="default"/>
      </items>
    </pivotField>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4"/>
    <field x="0"/>
  </rowFields>
  <rowItems count="9">
    <i>
      <x/>
    </i>
    <i r="1">
      <x v="26"/>
    </i>
    <i r="1">
      <x v="27"/>
    </i>
    <i t="default">
      <x/>
    </i>
    <i>
      <x v="2"/>
    </i>
    <i r="1">
      <x v="26"/>
    </i>
    <i r="1">
      <x v="27"/>
    </i>
    <i t="default">
      <x v="2"/>
    </i>
    <i t="grand">
      <x/>
    </i>
  </rowItems>
  <colFields count="1">
    <field x="-2"/>
  </colFields>
  <colItems count="2">
    <i>
      <x/>
    </i>
    <i i="1">
      <x v="1"/>
    </i>
  </colItems>
  <pageFields count="3">
    <pageField fld="146" hier="-1"/>
    <pageField fld="6" hier="-1"/>
    <pageField fld="147" hier="-1"/>
  </pageFields>
  <dataFields count="2">
    <dataField name="Sum of #_Water sources tested for fecal coliform " fld="34" baseField="0" baseItem="0"/>
    <dataField name="Sum of #_Water sources passed" fld="35" baseField="0" baseItem="0"/>
  </dataFields>
  <formats count="10">
    <format dxfId="310">
      <pivotArea field="4" type="button" dataOnly="0" labelOnly="1" outline="0" axis="axisRow" fieldPosition="0"/>
    </format>
    <format dxfId="309">
      <pivotArea type="all" dataOnly="0" outline="0" fieldPosition="0"/>
    </format>
    <format dxfId="308">
      <pivotArea outline="0" collapsedLevelsAreSubtotals="1" fieldPosition="0"/>
    </format>
    <format dxfId="307">
      <pivotArea field="4" type="button" dataOnly="0" labelOnly="1" outline="0" axis="axisRow" fieldPosition="0"/>
    </format>
    <format dxfId="306">
      <pivotArea dataOnly="0" labelOnly="1" fieldPosition="0">
        <references count="1">
          <reference field="4" count="0"/>
        </references>
      </pivotArea>
    </format>
    <format dxfId="305">
      <pivotArea type="all" dataOnly="0" outline="0" fieldPosition="0"/>
    </format>
    <format dxfId="304">
      <pivotArea type="all" dataOnly="0" outline="0" fieldPosition="0"/>
    </format>
    <format dxfId="303">
      <pivotArea outline="0" collapsedLevelsAreSubtotals="1" fieldPosition="0"/>
    </format>
    <format dxfId="302">
      <pivotArea field="4" type="button" dataOnly="0" labelOnly="1" outline="0" axis="axisRow" fieldPosition="0"/>
    </format>
    <format dxfId="301">
      <pivotArea dataOnly="0" labelOnly="1" fieldPosition="0">
        <references count="1">
          <reference field="4" count="0"/>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3300D68C-CB54-4905-82D8-19F175A22385}" name="PivotTable3" cacheId="12"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21" rowHeaderCaption="State">
  <location ref="C412:E417" firstHeaderRow="1" firstDataRow="2" firstDataCol="1" rowPageCount="4" colPageCount="1"/>
  <pivotFields count="160">
    <pivotField axis="axisCol" subtotalTop="0" multipleItemSelectionAllowed="1" showAll="0">
      <items count="29">
        <item m="1" x="26"/>
        <item m="1" x="12"/>
        <item m="1" x="27"/>
        <item m="1" x="19"/>
        <item m="1" x="7"/>
        <item m="1" x="2"/>
        <item m="1" x="25"/>
        <item m="1" x="21"/>
        <item m="1" x="23"/>
        <item m="1" x="24"/>
        <item m="1" x="15"/>
        <item m="1" x="17"/>
        <item m="1" x="20"/>
        <item m="1" x="22"/>
        <item m="1" x="10"/>
        <item m="1" x="13"/>
        <item m="1" x="16"/>
        <item m="1" x="18"/>
        <item m="1" x="5"/>
        <item m="1" x="8"/>
        <item m="1" x="11"/>
        <item m="1" x="14"/>
        <item m="1" x="3"/>
        <item m="1" x="4"/>
        <item m="1" x="6"/>
        <item m="1" x="9"/>
        <item x="0"/>
        <item x="1"/>
        <item t="default"/>
      </items>
    </pivotField>
    <pivotField showAll="0" defaultSubtotal="0"/>
    <pivotField showAll="0" defaultSubtotal="0"/>
    <pivotField subtotalTop="0" showAll="0"/>
    <pivotField axis="axisPage" subtotalTop="0" multipleItemSelectionAllowed="1" showAll="0">
      <items count="7">
        <item x="1"/>
        <item m="1" x="4"/>
        <item h="1" x="0"/>
        <item m="1" x="2"/>
        <item h="1" m="1" x="3"/>
        <item h="1" m="1" x="5"/>
        <item t="default"/>
      </items>
    </pivotField>
    <pivotField subtotalTop="0" showAll="0"/>
    <pivotField axis="axisPage" multipleItemSelectionAllowed="1" showAll="0" defaultSubtotal="0">
      <items count="15">
        <item x="0"/>
        <item x="2"/>
        <item m="1" x="11"/>
        <item h="1" m="1" x="9"/>
        <item m="1" x="7"/>
        <item m="1" x="6"/>
        <item h="1" m="1" x="13"/>
        <item m="1" x="10"/>
        <item h="1" m="1" x="14"/>
        <item h="1"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dataField="1"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n="Gap" h="1" x="1"/>
        <item h="1" m="1" x="4"/>
        <item h="1" m="1" x="2"/>
        <item h="1" m="1" x="3"/>
        <item t="default"/>
      </items>
    </pivotField>
    <pivotField axis="axisPage" subtotalTop="0" multipleItemSelectionAllowed="1" showAll="0">
      <items count="53">
        <item x="0"/>
        <item x="1"/>
        <item x="2"/>
        <item m="1" x="29"/>
        <item m="1" x="9"/>
        <item m="1" x="14"/>
        <item m="1" x="33"/>
        <item m="1" x="27"/>
        <item m="1" x="22"/>
        <item m="1" x="7"/>
        <item m="1" x="4"/>
        <item m="1" x="21"/>
        <item m="1" x="25"/>
        <item m="1" x="5"/>
        <item m="1" x="36"/>
        <item m="1" x="34"/>
        <item m="1" x="15"/>
        <item m="1" x="28"/>
        <item m="1" x="42"/>
        <item m="1" x="48"/>
        <item m="1" x="50"/>
        <item m="1" x="46"/>
        <item m="1" x="23"/>
        <item m="1" x="43"/>
        <item m="1" x="37"/>
        <item m="1" x="18"/>
        <item m="1" x="12"/>
        <item m="1" x="51"/>
        <item m="1" x="44"/>
        <item m="1" x="38"/>
        <item m="1" x="39"/>
        <item m="1" x="3"/>
        <item m="1" x="11"/>
        <item m="1" x="19"/>
        <item m="1" x="6"/>
        <item m="1" x="13"/>
        <item m="1" x="17"/>
        <item m="1" x="10"/>
        <item m="1" x="20"/>
        <item m="1" x="47"/>
        <item m="1" x="26"/>
        <item m="1" x="45"/>
        <item m="1" x="41"/>
        <item m="1" x="32"/>
        <item m="1" x="31"/>
        <item m="1" x="35"/>
        <item m="1" x="16"/>
        <item m="1" x="8"/>
        <item m="1" x="24"/>
        <item m="1" x="49"/>
        <item m="1" x="30"/>
        <item m="1" x="40"/>
        <item t="default"/>
      </items>
    </pivotField>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Fields count="1">
    <field x="0"/>
  </colFields>
  <colItems count="2">
    <i>
      <x v="26"/>
    </i>
    <i>
      <x v="27"/>
    </i>
  </colItems>
  <pageFields count="4">
    <pageField fld="146" hier="-1"/>
    <pageField fld="6" hier="-1"/>
    <pageField fld="4" hier="-1"/>
    <pageField fld="147" hier="-1"/>
  </pageFields>
  <dataFields count="4">
    <dataField name=" % of affected people surveyed who report feeling satistfied with the latrine design and sanitation service" fld="71" subtotal="average" baseField="0" baseItem="1"/>
    <dataField name="% of affected people surveyed who report feeling satistfied with the water point design and water service" fld="72" subtotal="average" baseField="0" baseItem="1"/>
    <dataField name="% of complaints received that result in timely corrective action and feedback to the community" fld="74" subtotal="average" baseField="0" baseItem="1"/>
    <dataField name="% of affected people surveyed who report feeling informed about the different WASH services available to them" fld="131" subtotal="average" baseField="0" baseItem="3"/>
  </dataFields>
  <formats count="14">
    <format dxfId="324">
      <pivotArea type="all" dataOnly="0" outline="0" fieldPosition="0"/>
    </format>
    <format dxfId="323">
      <pivotArea outline="0" collapsedLevelsAreSubtotals="1" fieldPosition="0"/>
    </format>
    <format dxfId="322">
      <pivotArea field="4" type="button" dataOnly="0" labelOnly="1" outline="0" axis="axisPage" fieldPosition="2"/>
    </format>
    <format dxfId="321">
      <pivotArea dataOnly="0" labelOnly="1" grandRow="1" outline="0" fieldPosition="0"/>
    </format>
    <format dxfId="320">
      <pivotArea type="all" dataOnly="0" outline="0" fieldPosition="0"/>
    </format>
    <format dxfId="319">
      <pivotArea outline="0" collapsedLevelsAreSubtotals="1" fieldPosition="0"/>
    </format>
    <format dxfId="318">
      <pivotArea type="origin" dataOnly="0" labelOnly="1" outline="0" fieldPosition="0"/>
    </format>
    <format dxfId="317">
      <pivotArea field="146" type="button" dataOnly="0" labelOnly="1" outline="0" axis="axisPage" fieldPosition="0"/>
    </format>
    <format dxfId="316">
      <pivotArea type="topRight" dataOnly="0" labelOnly="1" outline="0" fieldPosition="0"/>
    </format>
    <format dxfId="315">
      <pivotArea dataOnly="0" labelOnly="1" fieldPosition="0">
        <references count="1">
          <reference field="146" count="0"/>
        </references>
      </pivotArea>
    </format>
    <format dxfId="314">
      <pivotArea type="all" dataOnly="0" outline="0" fieldPosition="0"/>
    </format>
    <format dxfId="313">
      <pivotArea outline="0" collapsedLevelsAreSubtotals="1" fieldPosition="0"/>
    </format>
    <format dxfId="312">
      <pivotArea field="4" type="button" dataOnly="0" labelOnly="1" outline="0" axis="axisPage" fieldPosition="2"/>
    </format>
    <format dxfId="311">
      <pivotArea outline="0" collapsedLevelsAreSubtotals="1" fieldPosition="0"/>
    </format>
  </formats>
  <chartFormats count="23">
    <chartFormat chart="18" format="0" series="1">
      <pivotArea type="data" outline="0" fieldPosition="0">
        <references count="2">
          <reference field="4294967294" count="1" selected="0">
            <x v="0"/>
          </reference>
          <reference field="0" count="1" selected="0">
            <x v="18"/>
          </reference>
        </references>
      </pivotArea>
    </chartFormat>
    <chartFormat chart="18" format="1" series="1">
      <pivotArea type="data" outline="0" fieldPosition="0">
        <references count="2">
          <reference field="4294967294" count="1" selected="0">
            <x v="0"/>
          </reference>
          <reference field="0" count="1" selected="0">
            <x v="19"/>
          </reference>
        </references>
      </pivotArea>
    </chartFormat>
    <chartFormat chart="18" format="2" series="1">
      <pivotArea type="data" outline="0" fieldPosition="0">
        <references count="2">
          <reference field="4294967294" count="1" selected="0">
            <x v="0"/>
          </reference>
          <reference field="0" count="1" selected="0">
            <x v="20"/>
          </reference>
        </references>
      </pivotArea>
    </chartFormat>
    <chartFormat chart="20" format="6" series="1">
      <pivotArea type="data" outline="0" fieldPosition="0">
        <references count="2">
          <reference field="4294967294" count="1" selected="0">
            <x v="0"/>
          </reference>
          <reference field="0" count="1" selected="0">
            <x v="18"/>
          </reference>
        </references>
      </pivotArea>
    </chartFormat>
    <chartFormat chart="20" format="7" series="1">
      <pivotArea type="data" outline="0" fieldPosition="0">
        <references count="2">
          <reference field="4294967294" count="1" selected="0">
            <x v="0"/>
          </reference>
          <reference field="0" count="1" selected="0">
            <x v="19"/>
          </reference>
        </references>
      </pivotArea>
    </chartFormat>
    <chartFormat chart="20" format="8" series="1">
      <pivotArea type="data" outline="0" fieldPosition="0">
        <references count="2">
          <reference field="4294967294" count="1" selected="0">
            <x v="0"/>
          </reference>
          <reference field="0" count="1" selected="0">
            <x v="20"/>
          </reference>
        </references>
      </pivotArea>
    </chartFormat>
    <chartFormat chart="18" format="3" series="1">
      <pivotArea type="data" outline="0" fieldPosition="0">
        <references count="2">
          <reference field="4294967294" count="1" selected="0">
            <x v="0"/>
          </reference>
          <reference field="0" count="1" selected="0">
            <x v="21"/>
          </reference>
        </references>
      </pivotArea>
    </chartFormat>
    <chartFormat chart="20" format="9" series="1">
      <pivotArea type="data" outline="0" fieldPosition="0">
        <references count="2">
          <reference field="4294967294" count="1" selected="0">
            <x v="0"/>
          </reference>
          <reference field="0" count="1" selected="0">
            <x v="21"/>
          </reference>
        </references>
      </pivotArea>
    </chartFormat>
    <chartFormat chart="18" format="4" series="1">
      <pivotArea type="data" outline="0" fieldPosition="0">
        <references count="1">
          <reference field="4294967294" count="1" selected="0">
            <x v="0"/>
          </reference>
        </references>
      </pivotArea>
    </chartFormat>
    <chartFormat chart="20" format="10" series="1">
      <pivotArea type="data" outline="0" fieldPosition="0">
        <references count="1">
          <reference field="4294967294" count="1" selected="0">
            <x v="0"/>
          </reference>
        </references>
      </pivotArea>
    </chartFormat>
    <chartFormat chart="18" format="5" series="1">
      <pivotArea type="data" outline="0" fieldPosition="0">
        <references count="2">
          <reference field="4294967294" count="1" selected="0">
            <x v="0"/>
          </reference>
          <reference field="0" count="1" selected="0">
            <x v="23"/>
          </reference>
        </references>
      </pivotArea>
    </chartFormat>
    <chartFormat chart="20" format="11" series="1">
      <pivotArea type="data" outline="0" fieldPosition="0">
        <references count="2">
          <reference field="4294967294" count="1" selected="0">
            <x v="0"/>
          </reference>
          <reference field="0" count="1" selected="0">
            <x v="23"/>
          </reference>
        </references>
      </pivotArea>
    </chartFormat>
    <chartFormat chart="18" format="6" series="1">
      <pivotArea type="data" outline="0" fieldPosition="0">
        <references count="2">
          <reference field="4294967294" count="1" selected="0">
            <x v="0"/>
          </reference>
          <reference field="0" count="1" selected="0">
            <x v="22"/>
          </reference>
        </references>
      </pivotArea>
    </chartFormat>
    <chartFormat chart="20" format="12">
      <pivotArea type="data" outline="0" fieldPosition="0">
        <references count="2">
          <reference field="4294967294" count="1" selected="0">
            <x v="0"/>
          </reference>
          <reference field="0" count="1" selected="0">
            <x v="22"/>
          </reference>
        </references>
      </pivotArea>
    </chartFormat>
    <chartFormat chart="20" format="13" series="1">
      <pivotArea type="data" outline="0" fieldPosition="0">
        <references count="2">
          <reference field="4294967294" count="1" selected="0">
            <x v="0"/>
          </reference>
          <reference field="0" count="1" selected="0">
            <x v="22"/>
          </reference>
        </references>
      </pivotArea>
    </chartFormat>
    <chartFormat chart="18" format="7" series="1">
      <pivotArea type="data" outline="0" fieldPosition="0">
        <references count="2">
          <reference field="4294967294" count="1" selected="0">
            <x v="0"/>
          </reference>
          <reference field="0" count="1" selected="0">
            <x v="24"/>
          </reference>
        </references>
      </pivotArea>
    </chartFormat>
    <chartFormat chart="20" format="14" series="1">
      <pivotArea type="data" outline="0" fieldPosition="0">
        <references count="2">
          <reference field="4294967294" count="1" selected="0">
            <x v="0"/>
          </reference>
          <reference field="0" count="1" selected="0">
            <x v="24"/>
          </reference>
        </references>
      </pivotArea>
    </chartFormat>
    <chartFormat chart="18" format="8" series="1">
      <pivotArea type="data" outline="0" fieldPosition="0">
        <references count="2">
          <reference field="4294967294" count="1" selected="0">
            <x v="0"/>
          </reference>
          <reference field="0" count="1" selected="0">
            <x v="25"/>
          </reference>
        </references>
      </pivotArea>
    </chartFormat>
    <chartFormat chart="20" format="15" series="1">
      <pivotArea type="data" outline="0" fieldPosition="0">
        <references count="2">
          <reference field="4294967294" count="1" selected="0">
            <x v="0"/>
          </reference>
          <reference field="0" count="1" selected="0">
            <x v="25"/>
          </reference>
        </references>
      </pivotArea>
    </chartFormat>
    <chartFormat chart="18" format="9" series="1">
      <pivotArea type="data" outline="0" fieldPosition="0">
        <references count="2">
          <reference field="4294967294" count="1" selected="0">
            <x v="0"/>
          </reference>
          <reference field="0" count="1" selected="0">
            <x v="27"/>
          </reference>
        </references>
      </pivotArea>
    </chartFormat>
    <chartFormat chart="20" format="16" series="1">
      <pivotArea type="data" outline="0" fieldPosition="0">
        <references count="2">
          <reference field="4294967294" count="1" selected="0">
            <x v="0"/>
          </reference>
          <reference field="0" count="1" selected="0">
            <x v="27"/>
          </reference>
        </references>
      </pivotArea>
    </chartFormat>
    <chartFormat chart="18" format="10" series="1">
      <pivotArea type="data" outline="0" fieldPosition="0">
        <references count="2">
          <reference field="4294967294" count="1" selected="0">
            <x v="0"/>
          </reference>
          <reference field="0" count="1" selected="0">
            <x v="26"/>
          </reference>
        </references>
      </pivotArea>
    </chartFormat>
    <chartFormat chart="20" format="17" series="1">
      <pivotArea type="data" outline="0" fieldPosition="0">
        <references count="2">
          <reference field="4294967294" count="1" selected="0">
            <x v="0"/>
          </reference>
          <reference field="0" count="1" selected="0">
            <x v="26"/>
          </reference>
        </references>
      </pivotArea>
    </chartFormat>
  </chartFormats>
  <pivotTableStyleInfo name="PivotStyleMedium2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155AB57-4DE1-4F2E-B654-D3CE773980D7}" name="PivotTable1" cacheId="12" applyNumberFormats="0" applyBorderFormats="0" applyFontFormats="0" applyPatternFormats="0" applyAlignmentFormats="0" applyWidthHeightFormats="1" dataCaption="Values" updatedVersion="7" minRefreshableVersion="3" useAutoFormatting="1" itemPrintTitles="1" createdVersion="6" indent="0" compact="0" compactData="0" multipleFieldFilters="0" chartFormat="4">
  <location ref="A5:C38" firstHeaderRow="1" firstDataRow="1" firstDataCol="2" rowPageCount="3" colPageCount="1"/>
  <pivotFields count="160">
    <pivotField axis="axisPage" compact="0" outline="0" showAll="0">
      <items count="29">
        <item m="1" x="25"/>
        <item m="1" x="26"/>
        <item m="1" x="12"/>
        <item m="1" x="27"/>
        <item m="1" x="19"/>
        <item m="1" x="21"/>
        <item m="1" x="23"/>
        <item m="1" x="24"/>
        <item m="1" x="7"/>
        <item m="1" x="15"/>
        <item m="1" x="17"/>
        <item m="1" x="20"/>
        <item m="1" x="22"/>
        <item m="1" x="10"/>
        <item m="1" x="13"/>
        <item m="1" x="16"/>
        <item m="1" x="18"/>
        <item m="1" x="5"/>
        <item m="1" x="8"/>
        <item m="1" x="11"/>
        <item m="1" x="14"/>
        <item m="1" x="3"/>
        <item m="1" x="4"/>
        <item m="1" x="6"/>
        <item m="1" x="9"/>
        <item x="0"/>
        <item x="1"/>
        <item m="1" x="2"/>
        <item t="default"/>
      </items>
    </pivotField>
    <pivotField name="WASH focal agency" axis="axisRow" compact="0" outline="0" showAll="0">
      <items count="76">
        <item m="1" x="40"/>
        <item x="0"/>
        <item m="1" x="22"/>
        <item m="1" x="61"/>
        <item m="1" x="48"/>
        <item m="1" x="74"/>
        <item m="1" x="41"/>
        <item m="1" x="49"/>
        <item x="1"/>
        <item x="2"/>
        <item m="1" x="46"/>
        <item x="3"/>
        <item x="4"/>
        <item x="5"/>
        <item m="1" x="32"/>
        <item x="6"/>
        <item m="1" x="69"/>
        <item m="1" x="50"/>
        <item x="7"/>
        <item m="1" x="62"/>
        <item x="8"/>
        <item m="1" x="27"/>
        <item m="1" x="60"/>
        <item m="1" x="38"/>
        <item m="1" x="29"/>
        <item m="1" x="70"/>
        <item x="9"/>
        <item x="10"/>
        <item x="11"/>
        <item m="1" x="54"/>
        <item m="1" x="56"/>
        <item x="12"/>
        <item m="1" x="73"/>
        <item m="1" x="23"/>
        <item m="1" x="47"/>
        <item m="1" x="45"/>
        <item m="1" x="37"/>
        <item m="1" x="28"/>
        <item m="1" x="58"/>
        <item m="1" x="25"/>
        <item m="1" x="24"/>
        <item m="1" x="66"/>
        <item h="1" x="13"/>
        <item m="1" x="35"/>
        <item m="1" x="34"/>
        <item m="1" x="31"/>
        <item m="1" x="53"/>
        <item m="1" x="30"/>
        <item m="1" x="63"/>
        <item m="1" x="68"/>
        <item m="1" x="21"/>
        <item m="1" x="26"/>
        <item m="1" x="57"/>
        <item m="1" x="44"/>
        <item m="1" x="72"/>
        <item m="1" x="55"/>
        <item x="19"/>
        <item m="1" x="71"/>
        <item m="1" x="65"/>
        <item x="14"/>
        <item x="15"/>
        <item m="1" x="51"/>
        <item m="1" x="64"/>
        <item x="16"/>
        <item m="1" x="39"/>
        <item m="1" x="43"/>
        <item m="1" x="59"/>
        <item m="1" x="42"/>
        <item m="1" x="67"/>
        <item x="17"/>
        <item m="1" x="36"/>
        <item m="1" x="52"/>
        <item m="1" x="20"/>
        <item m="1" x="33"/>
        <item h="1" x="18"/>
        <item t="default"/>
      </items>
    </pivotField>
    <pivotField compact="0" outline="0" showAll="0"/>
    <pivotField compact="0" outline="0" showAll="0"/>
    <pivotField axis="axisPage" compact="0" outline="0" showAll="0">
      <items count="7">
        <item m="1" x="3"/>
        <item x="1"/>
        <item m="1" x="5"/>
        <item m="1" x="4"/>
        <item x="0"/>
        <item m="1" x="2"/>
        <item t="default"/>
      </items>
    </pivotField>
    <pivotField axis="axisRow" compact="0" outline="0" showAll="0">
      <items count="49">
        <item m="1" x="32"/>
        <item x="15"/>
        <item m="1" x="45"/>
        <item m="1" x="37"/>
        <item x="5"/>
        <item x="6"/>
        <item x="16"/>
        <item x="0"/>
        <item x="22"/>
        <item x="17"/>
        <item x="18"/>
        <item m="1" x="40"/>
        <item m="1" x="27"/>
        <item x="1"/>
        <item m="1" x="47"/>
        <item x="3"/>
        <item m="1" x="43"/>
        <item x="7"/>
        <item x="19"/>
        <item m="1" x="38"/>
        <item m="1" x="31"/>
        <item x="8"/>
        <item x="9"/>
        <item m="1" x="26"/>
        <item x="4"/>
        <item m="1" x="44"/>
        <item x="2"/>
        <item m="1" x="35"/>
        <item x="10"/>
        <item m="1" x="34"/>
        <item x="20"/>
        <item m="1" x="30"/>
        <item x="21"/>
        <item m="1" x="28"/>
        <item m="1" x="29"/>
        <item m="1" x="33"/>
        <item m="1" x="39"/>
        <item m="1" x="36"/>
        <item m="1" x="46"/>
        <item m="1" x="42"/>
        <item x="11"/>
        <item m="1" x="41"/>
        <item x="12"/>
        <item x="13"/>
        <item x="23"/>
        <item x="14"/>
        <item m="1" x="25"/>
        <item x="24"/>
        <item t="default"/>
      </items>
    </pivotField>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numFmtId="1"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numFmtId="9"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53">
        <item h="1" m="1" x="38"/>
        <item h="1" m="1" x="33"/>
        <item h="1" m="1" x="36"/>
        <item h="1" m="1" x="47"/>
        <item h="1" m="1" x="12"/>
        <item m="1" x="44"/>
        <item m="1" x="3"/>
        <item m="1" x="48"/>
        <item m="1" x="17"/>
        <item m="1" x="23"/>
        <item m="1" x="29"/>
        <item m="1" x="10"/>
        <item m="1" x="13"/>
        <item m="1" x="51"/>
        <item x="2"/>
        <item m="1" x="11"/>
        <item m="1" x="6"/>
        <item x="0"/>
        <item m="1" x="34"/>
        <item m="1" x="32"/>
        <item m="1" x="46"/>
        <item m="1" x="5"/>
        <item m="1" x="15"/>
        <item m="1" x="7"/>
        <item m="1" x="27"/>
        <item m="1" x="50"/>
        <item m="1" x="42"/>
        <item m="1" x="31"/>
        <item m="1" x="26"/>
        <item m="1" x="14"/>
        <item m="1" x="21"/>
        <item m="1" x="19"/>
        <item m="1" x="20"/>
        <item m="1" x="43"/>
        <item m="1" x="25"/>
        <item m="1" x="45"/>
        <item m="1" x="9"/>
        <item m="1" x="37"/>
        <item m="1" x="22"/>
        <item m="1" x="4"/>
        <item m="1" x="39"/>
        <item m="1" x="18"/>
        <item m="1" x="28"/>
        <item m="1" x="41"/>
        <item x="1"/>
        <item h="1" m="1" x="35"/>
        <item h="1" m="1" x="16"/>
        <item h="1" m="1" x="8"/>
        <item h="1" m="1" x="24"/>
        <item h="1" m="1" x="49"/>
        <item h="1" m="1" x="30"/>
        <item h="1" m="1" x="40"/>
        <item t="default"/>
      </items>
    </pivotField>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1"/>
    <field x="5"/>
  </rowFields>
  <rowItems count="33">
    <i>
      <x v="11"/>
      <x v="17"/>
    </i>
    <i r="1">
      <x v="24"/>
    </i>
    <i t="default">
      <x v="11"/>
    </i>
    <i>
      <x v="20"/>
      <x v="5"/>
    </i>
    <i r="1">
      <x v="17"/>
    </i>
    <i r="1">
      <x v="21"/>
    </i>
    <i r="1">
      <x v="24"/>
    </i>
    <i r="1">
      <x v="28"/>
    </i>
    <i r="1">
      <x v="43"/>
    </i>
    <i r="1">
      <x v="45"/>
    </i>
    <i t="default">
      <x v="20"/>
    </i>
    <i>
      <x v="26"/>
      <x v="1"/>
    </i>
    <i r="1">
      <x v="17"/>
    </i>
    <i r="1">
      <x v="24"/>
    </i>
    <i r="1">
      <x v="40"/>
    </i>
    <i r="1">
      <x v="45"/>
    </i>
    <i t="default">
      <x v="26"/>
    </i>
    <i>
      <x v="59"/>
      <x v="1"/>
    </i>
    <i r="1">
      <x v="4"/>
    </i>
    <i r="1">
      <x v="5"/>
    </i>
    <i r="1">
      <x v="28"/>
    </i>
    <i r="1">
      <x v="45"/>
    </i>
    <i t="default">
      <x v="59"/>
    </i>
    <i>
      <x v="60"/>
      <x v="1"/>
    </i>
    <i r="1">
      <x v="24"/>
    </i>
    <i t="default">
      <x v="60"/>
    </i>
    <i>
      <x v="63"/>
      <x v="8"/>
    </i>
    <i r="1">
      <x v="45"/>
    </i>
    <i t="default">
      <x v="63"/>
    </i>
    <i>
      <x v="69"/>
      <x v="17"/>
    </i>
    <i r="1">
      <x v="24"/>
    </i>
    <i t="default">
      <x v="69"/>
    </i>
    <i t="grand">
      <x/>
    </i>
  </rowItems>
  <colItems count="1">
    <i/>
  </colItems>
  <pageFields count="3">
    <pageField fld="0" item="26" hier="-1"/>
    <pageField fld="4" item="1" hier="-1"/>
    <pageField fld="147" hier="-1"/>
  </pageFields>
  <dataFields count="1">
    <dataField name="# of sites covered" fld="7" subtotal="count"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Geo_Gap" cacheId="12" applyNumberFormats="0" applyBorderFormats="0" applyFontFormats="0" applyPatternFormats="0" applyAlignmentFormats="0" applyWidthHeightFormats="1" dataCaption="Values" updatedVersion="7" minRefreshableVersion="3" rowGrandTotals="0" colGrandTotals="0" itemPrintTitles="1" createdVersion="6" indent="0" compact="0" compactData="0" multipleFieldFilters="0" chartFormat="8">
  <location ref="C324:L367" firstHeaderRow="0" firstDataRow="1" firstDataCol="4" rowPageCount="2" colPageCount="1"/>
  <pivotFields count="160">
    <pivotField axis="axisPage" compact="0" outline="0" subtotalTop="0" multipleItemSelectionAllowed="1" showAll="0" defaultSubtotal="0">
      <items count="28">
        <item m="1" x="26"/>
        <item m="1" x="12"/>
        <item m="1" x="27"/>
        <item m="1" x="19"/>
        <item m="1" x="7"/>
        <item m="1" x="2"/>
        <item m="1" x="25"/>
        <item m="1" x="21"/>
        <item m="1" x="23"/>
        <item m="1" x="24"/>
        <item m="1" x="15"/>
        <item m="1" x="17"/>
        <item m="1" x="20"/>
        <item m="1" x="22"/>
        <item h="1" m="1" x="10"/>
        <item h="1" m="1" x="13"/>
        <item h="1" m="1" x="16"/>
        <item m="1" x="18"/>
        <item h="1" m="1" x="5"/>
        <item h="1" m="1" x="8"/>
        <item h="1" m="1" x="11"/>
        <item m="1" x="14"/>
        <item h="1" m="1" x="3"/>
        <item h="1" m="1" x="4"/>
        <item h="1" m="1" x="6"/>
        <item m="1" x="9"/>
        <item h="1" x="0"/>
        <item x="1"/>
      </items>
    </pivotField>
    <pivotField compact="0" outline="0" showAll="0" defaultSubtotal="0"/>
    <pivotField compact="0" outline="0" showAll="0" defaultSubtotal="0"/>
    <pivotField compact="0" outline="0" subtotalTop="0" showAll="0" defaultSubtotal="0"/>
    <pivotField axis="axisRow" compact="0" outline="0" subtotalTop="0" multipleItemSelectionAllowed="1" showAll="0">
      <items count="7">
        <item x="1"/>
        <item m="1" x="4"/>
        <item x="0"/>
        <item m="1" x="2"/>
        <item m="1" x="3"/>
        <item m="1" x="5"/>
        <item t="default"/>
      </items>
    </pivotField>
    <pivotField axis="axisRow" compact="0" outline="0" subtotalTop="0" showAll="0" defaultSubtotal="0">
      <items count="48">
        <item m="1" x="32"/>
        <item x="15"/>
        <item m="1" x="45"/>
        <item x="5"/>
        <item x="6"/>
        <item x="16"/>
        <item x="0"/>
        <item x="17"/>
        <item m="1" x="40"/>
        <item m="1" x="27"/>
        <item x="1"/>
        <item m="1" x="43"/>
        <item x="7"/>
        <item x="19"/>
        <item m="1" x="38"/>
        <item m="1" x="31"/>
        <item x="8"/>
        <item x="9"/>
        <item x="4"/>
        <item m="1" x="44"/>
        <item x="2"/>
        <item m="1" x="35"/>
        <item x="10"/>
        <item x="20"/>
        <item x="21"/>
        <item m="1" x="29"/>
        <item m="1" x="33"/>
        <item m="1" x="39"/>
        <item m="1" x="36"/>
        <item m="1" x="46"/>
        <item m="1" x="42"/>
        <item x="11"/>
        <item m="1" x="41"/>
        <item x="12"/>
        <item x="13"/>
        <item x="14"/>
        <item m="1" x="34"/>
        <item m="1" x="26"/>
        <item m="1" x="28"/>
        <item m="1" x="25"/>
        <item m="1" x="37"/>
        <item x="3"/>
        <item m="1" x="30"/>
        <item x="18"/>
        <item x="22"/>
        <item m="1" x="47"/>
        <item x="23"/>
        <item x="24"/>
      </items>
    </pivotField>
    <pivotField compact="0" outline="0" showAll="0" defaultSubtotal="0"/>
    <pivotField axis="axisRow" dataField="1" compact="0" outline="0" subtotalTop="0" showAll="0" defaultSubtotal="0">
      <items count="1102">
        <item m="1" x="762"/>
        <item m="1" x="1058"/>
        <item x="199"/>
        <item x="174"/>
        <item x="175"/>
        <item x="47"/>
        <item m="1" x="382"/>
        <item m="1" x="632"/>
        <item m="1" x="294"/>
        <item m="1" x="337"/>
        <item m="1" x="606"/>
        <item m="1" x="724"/>
        <item m="1" x="738"/>
        <item m="1" x="511"/>
        <item m="1" x="339"/>
        <item m="1" x="1007"/>
        <item m="1" x="911"/>
        <item m="1" x="351"/>
        <item m="1" x="787"/>
        <item m="1" x="567"/>
        <item m="1" x="949"/>
        <item m="1" x="889"/>
        <item m="1" x="972"/>
        <item m="1" x="994"/>
        <item m="1" x="420"/>
        <item m="1" x="866"/>
        <item m="1" x="455"/>
        <item m="1" x="472"/>
        <item m="1" x="470"/>
        <item m="1" x="378"/>
        <item x="70"/>
        <item m="1" x="1045"/>
        <item m="1" x="1087"/>
        <item m="1" x="798"/>
        <item m="1" x="523"/>
        <item m="1" x="407"/>
        <item x="176"/>
        <item m="1" x="456"/>
        <item m="1" x="947"/>
        <item m="1" x="900"/>
        <item m="1" x="964"/>
        <item m="1" x="283"/>
        <item m="1" x="393"/>
        <item m="1" x="619"/>
        <item m="1" x="859"/>
        <item m="1" x="860"/>
        <item m="1" x="615"/>
        <item m="1" x="589"/>
        <item m="1" x="450"/>
        <item x="67"/>
        <item m="1" x="1081"/>
        <item m="1" x="1035"/>
        <item m="1" x="795"/>
        <item x="209"/>
        <item m="1" x="1001"/>
        <item m="1" x="785"/>
        <item m="1" x="817"/>
        <item m="1" x="256"/>
        <item m="1" x="279"/>
        <item x="177"/>
        <item m="1" x="974"/>
        <item m="1" x="492"/>
        <item m="1" x="405"/>
        <item m="1" x="488"/>
        <item x="172"/>
        <item m="1" x="682"/>
        <item m="1" x="848"/>
        <item m="1" x="236"/>
        <item m="1" x="791"/>
        <item m="1" x="1038"/>
        <item m="1" x="705"/>
        <item m="1" x="284"/>
        <item m="1" x="424"/>
        <item m="1" x="967"/>
        <item x="178"/>
        <item m="1" x="899"/>
        <item m="1" x="621"/>
        <item m="1" x="512"/>
        <item m="1" x="1005"/>
        <item m="1" x="678"/>
        <item m="1" x="439"/>
        <item x="19"/>
        <item m="1" x="868"/>
        <item x="58"/>
        <item m="1" x="1022"/>
        <item m="1" x="380"/>
        <item m="1" x="1043"/>
        <item m="1" x="753"/>
        <item m="1" x="629"/>
        <item m="1" x="659"/>
        <item m="1" x="927"/>
        <item m="1" x="286"/>
        <item m="1" x="821"/>
        <item m="1" x="746"/>
        <item m="1" x="1020"/>
        <item m="1" x="961"/>
        <item m="1" x="812"/>
        <item m="1" x="663"/>
        <item m="1" x="697"/>
        <item m="1" x="254"/>
        <item x="208"/>
        <item x="192"/>
        <item x="42"/>
        <item m="1" x="347"/>
        <item m="1" x="243"/>
        <item m="1" x="654"/>
        <item x="7"/>
        <item m="1" x="556"/>
        <item m="1" x="624"/>
        <item m="1" x="513"/>
        <item m="1" x="272"/>
        <item x="3"/>
        <item m="1" x="777"/>
        <item x="179"/>
        <item m="1" x="514"/>
        <item m="1" x="783"/>
        <item x="6"/>
        <item m="1" x="267"/>
        <item x="79"/>
        <item x="71"/>
        <item x="86"/>
        <item m="1" x="793"/>
        <item m="1" x="481"/>
        <item m="1" x="308"/>
        <item m="1" x="760"/>
        <item m="1" x="422"/>
        <item x="20"/>
        <item x="59"/>
        <item x="17"/>
        <item m="1" x="718"/>
        <item m="1" x="1053"/>
        <item m="1" x="1097"/>
        <item m="1" x="990"/>
        <item x="48"/>
        <item m="1" x="687"/>
        <item m="1" x="679"/>
        <item m="1" x="902"/>
        <item m="1" x="435"/>
        <item m="1" x="383"/>
        <item m="1" x="429"/>
        <item m="1" x="665"/>
        <item m="1" x="826"/>
        <item m="1" x="1012"/>
        <item m="1" x="778"/>
        <item m="1" x="303"/>
        <item m="1" x="933"/>
        <item m="1" x="532"/>
        <item m="1" x="641"/>
        <item m="1" x="463"/>
        <item m="1" x="594"/>
        <item x="81"/>
        <item m="1" x="537"/>
        <item m="1" x="1089"/>
        <item m="1" x="781"/>
        <item m="1" x="406"/>
        <item m="1" x="498"/>
        <item m="1" x="788"/>
        <item m="1" x="541"/>
        <item m="1" x="323"/>
        <item m="1" x="408"/>
        <item m="1" x="336"/>
        <item m="1" x="794"/>
        <item m="1" x="1040"/>
        <item x="96"/>
        <item x="97"/>
        <item m="1" x="1061"/>
        <item m="1" x="636"/>
        <item m="1" x="328"/>
        <item m="1" x="808"/>
        <item m="1" x="366"/>
        <item m="1" x="865"/>
        <item m="1" x="364"/>
        <item m="1" x="414"/>
        <item m="1" x="671"/>
        <item m="1" x="1075"/>
        <item m="1" x="1091"/>
        <item m="1" x="346"/>
        <item m="1" x="304"/>
        <item m="1" x="400"/>
        <item m="1" x="822"/>
        <item m="1" x="434"/>
        <item m="1" x="507"/>
        <item m="1" x="895"/>
        <item m="1" x="354"/>
        <item m="1" x="973"/>
        <item m="1" x="1011"/>
        <item m="1" x="349"/>
        <item m="1" x="622"/>
        <item m="1" x="976"/>
        <item m="1" x="421"/>
        <item m="1" x="292"/>
        <item x="119"/>
        <item m="1" x="741"/>
        <item m="1" x="239"/>
        <item x="11"/>
        <item m="1" x="960"/>
        <item m="1" x="674"/>
        <item m="1" x="484"/>
        <item m="1" x="427"/>
        <item x="18"/>
        <item m="1" x="966"/>
        <item x="210"/>
        <item m="1" x="306"/>
        <item m="1" x="721"/>
        <item m="1" x="944"/>
        <item m="1" x="857"/>
        <item x="180"/>
        <item x="21"/>
        <item x="38"/>
        <item m="1" x="1099"/>
        <item m="1" x="285"/>
        <item m="1" x="227"/>
        <item m="1" x="918"/>
        <item m="1" x="558"/>
        <item m="1" x="280"/>
        <item m="1" x="763"/>
        <item m="1" x="518"/>
        <item x="173"/>
        <item m="1" x="547"/>
        <item m="1" x="660"/>
        <item x="181"/>
        <item x="182"/>
        <item x="125"/>
        <item x="120"/>
        <item x="202"/>
        <item x="82"/>
        <item x="203"/>
        <item m="1" x="358"/>
        <item m="1" x="296"/>
        <item m="1" x="343"/>
        <item m="1" x="772"/>
        <item m="1" x="884"/>
        <item m="1" x="928"/>
        <item m="1" x="922"/>
        <item x="32"/>
        <item x="43"/>
        <item m="1" x="444"/>
        <item x="193"/>
        <item x="68"/>
        <item x="33"/>
        <item x="34"/>
        <item x="10"/>
        <item x="55"/>
        <item m="1" x="950"/>
        <item x="22"/>
        <item x="83"/>
        <item x="204"/>
        <item x="39"/>
        <item x="0"/>
        <item x="99"/>
        <item m="1" x="588"/>
        <item x="73"/>
        <item x="74"/>
        <item x="75"/>
        <item x="76"/>
        <item m="1" x="735"/>
        <item m="1" x="228"/>
        <item m="1" x="386"/>
        <item x="113"/>
        <item x="122"/>
        <item m="1" x="238"/>
        <item x="78"/>
        <item m="1" x="646"/>
        <item m="1" x="293"/>
        <item m="1" x="975"/>
        <item m="1" x="348"/>
        <item x="187"/>
        <item x="188"/>
        <item m="1" x="270"/>
        <item m="1" x="333"/>
        <item m="1" x="946"/>
        <item x="128"/>
        <item m="1" x="447"/>
        <item m="1" x="536"/>
        <item m="1" x="345"/>
        <item m="1" x="355"/>
        <item m="1" x="505"/>
        <item m="1" x="365"/>
        <item m="1" x="1063"/>
        <item m="1" x="1046"/>
        <item m="1" x="784"/>
        <item m="1" x="289"/>
        <item m="1" x="593"/>
        <item x="84"/>
        <item m="1" x="796"/>
        <item m="1" x="744"/>
        <item x="101"/>
        <item m="1" x="833"/>
        <item m="1" x="402"/>
        <item m="1" x="617"/>
        <item m="1" x="692"/>
        <item m="1" x="302"/>
        <item m="1" x="898"/>
        <item m="1" x="578"/>
        <item x="8"/>
        <item m="1" x="504"/>
        <item m="1" x="694"/>
        <item m="1" x="1026"/>
        <item m="1" x="524"/>
        <item m="1" x="416"/>
        <item m="1" x="530"/>
        <item x="123"/>
        <item x="116"/>
        <item x="117"/>
        <item x="124"/>
        <item m="1" x="715"/>
        <item x="102"/>
        <item m="1" x="425"/>
        <item x="183"/>
        <item x="90"/>
        <item x="121"/>
        <item m="1" x="438"/>
        <item m="1" x="893"/>
        <item x="61"/>
        <item m="1" x="849"/>
        <item m="1" x="1018"/>
        <item x="54"/>
        <item m="1" x="313"/>
        <item m="1" x="566"/>
        <item m="1" x="905"/>
        <item x="15"/>
        <item m="1" x="417"/>
        <item m="1" x="982"/>
        <item m="1" x="324"/>
        <item x="195"/>
        <item x="16"/>
        <item m="1" x="230"/>
        <item x="29"/>
        <item x="104"/>
        <item m="1" x="599"/>
        <item m="1" x="879"/>
        <item m="1" x="710"/>
        <item m="1" x="373"/>
        <item m="1" x="639"/>
        <item m="1" x="971"/>
        <item m="1" x="403"/>
        <item m="1" x="527"/>
        <item m="1" x="395"/>
        <item m="1" x="522"/>
        <item m="1" x="381"/>
        <item m="1" x="441"/>
        <item m="1" x="998"/>
        <item x="211"/>
        <item m="1" x="374"/>
        <item m="1" x="322"/>
        <item x="23"/>
        <item m="1" x="391"/>
        <item m="1" x="627"/>
        <item m="1" x="608"/>
        <item m="1" x="909"/>
        <item x="205"/>
        <item m="1" x="564"/>
        <item m="1" x="309"/>
        <item m="1" x="464"/>
        <item m="1" x="655"/>
        <item m="1" x="540"/>
        <item m="1" x="305"/>
        <item m="1" x="913"/>
        <item m="1" x="565"/>
        <item m="1" x="769"/>
        <item m="1" x="410"/>
        <item m="1" x="493"/>
        <item m="1" x="941"/>
        <item m="1" x="1006"/>
        <item m="1" x="409"/>
        <item x="62"/>
        <item x="212"/>
        <item m="1" x="851"/>
        <item x="44"/>
        <item m="1" x="809"/>
        <item m="1" x="418"/>
        <item m="1" x="603"/>
        <item x="105"/>
        <item m="1" x="247"/>
        <item m="1" x="220"/>
        <item m="1" x="1056"/>
        <item m="1" x="844"/>
        <item m="1" x="923"/>
        <item m="1" x="525"/>
        <item m="1" x="1079"/>
        <item x="72"/>
        <item m="1" x="553"/>
        <item m="1" x="708"/>
        <item m="1" x="611"/>
        <item m="1" x="584"/>
        <item m="1" x="426"/>
        <item m="1" x="465"/>
        <item m="1" x="732"/>
        <item m="1" x="396"/>
        <item m="1" x="273"/>
        <item m="1" x="502"/>
        <item m="1" x="872"/>
        <item m="1" x="626"/>
        <item m="1" x="1030"/>
        <item m="1" x="631"/>
        <item m="1" x="520"/>
        <item m="1" x="664"/>
        <item m="1" x="1039"/>
        <item m="1" x="249"/>
        <item x="196"/>
        <item x="35"/>
        <item m="1" x="698"/>
        <item m="1" x="316"/>
        <item m="1" x="737"/>
        <item m="1" x="1029"/>
        <item m="1" x="376"/>
        <item m="1" x="473"/>
        <item m="1" x="223"/>
        <item m="1" x="361"/>
        <item x="184"/>
        <item m="1" x="823"/>
        <item x="201"/>
        <item m="1" x="559"/>
        <item m="1" x="618"/>
        <item m="1" x="232"/>
        <item m="1" x="612"/>
        <item x="30"/>
        <item m="1" x="651"/>
        <item m="1" x="1031"/>
        <item m="1" x="1023"/>
        <item m="1" x="497"/>
        <item x="51"/>
        <item m="1" x="824"/>
        <item m="1" x="870"/>
        <item m="1" x="706"/>
        <item m="1" x="861"/>
        <item m="1" x="896"/>
        <item m="1" x="570"/>
        <item m="1" x="926"/>
        <item m="1" x="728"/>
        <item m="1" x="908"/>
        <item m="1" x="912"/>
        <item x="206"/>
        <item m="1" x="224"/>
        <item m="1" x="315"/>
        <item m="1" x="568"/>
        <item x="45"/>
        <item m="1" x="1094"/>
        <item x="9"/>
        <item m="1" x="707"/>
        <item m="1" x="573"/>
        <item m="1" x="1070"/>
        <item x="40"/>
        <item x="190"/>
        <item m="1" x="320"/>
        <item x="36"/>
        <item x="50"/>
        <item x="85"/>
        <item m="1" x="711"/>
        <item m="1" x="544"/>
        <item m="1" x="843"/>
        <item m="1" x="677"/>
        <item x="41"/>
        <item m="1" x="252"/>
        <item m="1" x="952"/>
        <item m="1" x="869"/>
        <item m="1" x="259"/>
        <item m="1" x="959"/>
        <item m="1" x="867"/>
        <item m="1" x="509"/>
        <item m="1" x="437"/>
        <item m="1" x="814"/>
        <item m="1" x="590"/>
        <item m="1" x="881"/>
        <item m="1" x="700"/>
        <item m="1" x="597"/>
        <item m="1" x="883"/>
        <item m="1" x="936"/>
        <item m="1" x="850"/>
        <item m="1" x="297"/>
        <item m="1" x="1017"/>
        <item m="1" x="939"/>
        <item m="1" x="803"/>
        <item m="1" x="890"/>
        <item x="66"/>
        <item m="1" x="225"/>
        <item m="1" x="516"/>
        <item x="24"/>
        <item x="191"/>
        <item m="1" x="534"/>
        <item x="25"/>
        <item x="26"/>
        <item m="1" x="359"/>
        <item m="1" x="776"/>
        <item m="1" x="709"/>
        <item m="1" x="771"/>
        <item m="1" x="789"/>
        <item m="1" x="598"/>
        <item m="1" x="250"/>
        <item m="1" x="1068"/>
        <item m="1" x="827"/>
        <item m="1" x="1074"/>
        <item m="1" x="845"/>
        <item m="1" x="970"/>
        <item m="1" x="748"/>
        <item m="1" x="1092"/>
        <item m="1" x="1050"/>
        <item m="1" x="739"/>
        <item m="1" x="506"/>
        <item m="1" x="415"/>
        <item m="1" x="264"/>
        <item m="1" x="1028"/>
        <item m="1" x="574"/>
        <item m="1" x="592"/>
        <item m="1" x="801"/>
        <item m="1" x="1100"/>
        <item m="1" x="643"/>
        <item m="1" x="943"/>
        <item m="1" x="295"/>
        <item x="197"/>
        <item m="1" x="719"/>
        <item m="1" x="1036"/>
        <item m="1" x="1062"/>
        <item m="1" x="1037"/>
        <item m="1" x="543"/>
        <item m="1" x="460"/>
        <item m="1" x="413"/>
        <item m="1" x="262"/>
        <item m="1" x="411"/>
        <item m="1" x="237"/>
        <item m="1" x="222"/>
        <item m="1" x="880"/>
        <item m="1" x="428"/>
        <item m="1" x="370"/>
        <item m="1" x="805"/>
        <item m="1" x="997"/>
        <item m="1" x="360"/>
        <item m="1" x="1088"/>
        <item m="1" x="545"/>
        <item m="1" x="780"/>
        <item x="91"/>
        <item m="1" x="326"/>
        <item m="1" x="874"/>
        <item m="1" x="363"/>
        <item m="1" x="864"/>
        <item m="1" x="640"/>
        <item m="1" x="887"/>
        <item m="1" x="466"/>
        <item x="198"/>
        <item m="1" x="834"/>
        <item x="185"/>
        <item m="1" x="1052"/>
        <item m="1" x="986"/>
        <item m="1" x="924"/>
        <item x="87"/>
        <item x="88"/>
        <item x="89"/>
        <item m="1" x="810"/>
        <item m="1" x="517"/>
        <item m="1" x="609"/>
        <item m="1" x="929"/>
        <item m="1" x="745"/>
        <item m="1" x="605"/>
        <item m="1" x="1098"/>
        <item m="1" x="1083"/>
        <item x="186"/>
        <item m="1" x="650"/>
        <item m="1" x="266"/>
        <item m="1" x="897"/>
        <item m="1" x="915"/>
        <item m="1" x="916"/>
        <item m="1" x="989"/>
        <item m="1" x="335"/>
        <item m="1" x="637"/>
        <item m="1" x="445"/>
        <item m="1" x="446"/>
        <item m="1" x="1060"/>
        <item m="1" x="1002"/>
        <item m="1" x="984"/>
        <item m="1" x="633"/>
        <item m="1" x="1044"/>
        <item m="1" x="560"/>
        <item m="1" x="754"/>
        <item m="1" x="934"/>
        <item m="1" x="271"/>
        <item m="1" x="489"/>
        <item m="1" x="291"/>
        <item m="1" x="750"/>
        <item m="1" x="691"/>
        <item m="1" x="722"/>
        <item x="106"/>
        <item m="1" x="786"/>
        <item m="1" x="987"/>
        <item m="1" x="329"/>
        <item m="1" x="613"/>
        <item x="134"/>
        <item m="1" x="325"/>
        <item m="1" x="1072"/>
        <item m="1" x="683"/>
        <item m="1" x="816"/>
        <item m="1" x="768"/>
        <item x="149"/>
        <item m="1" x="298"/>
        <item x="52"/>
        <item x="60"/>
        <item m="1" x="675"/>
        <item m="1" x="508"/>
        <item m="1" x="274"/>
        <item m="1" x="1077"/>
        <item m="1" x="836"/>
        <item m="1" x="394"/>
        <item m="1" x="734"/>
        <item m="1" x="638"/>
        <item m="1" x="1096"/>
        <item m="1" x="1014"/>
        <item m="1" x="580"/>
        <item m="1" x="467"/>
        <item m="1" x="557"/>
        <item m="1" x="312"/>
        <item m="1" x="968"/>
        <item m="1" x="764"/>
        <item m="1" x="1054"/>
        <item m="1" x="231"/>
        <item m="1" x="815"/>
        <item x="28"/>
        <item x="53"/>
        <item m="1" x="453"/>
        <item m="1" x="288"/>
        <item m="1" x="440"/>
        <item m="1" x="317"/>
        <item m="1" x="442"/>
        <item m="1" x="720"/>
        <item m="1" x="1051"/>
        <item m="1" x="616"/>
        <item m="1" x="761"/>
        <item m="1" x="601"/>
        <item m="1" x="882"/>
        <item m="1" x="852"/>
        <item m="1" x="500"/>
        <item m="1" x="980"/>
        <item m="1" x="610"/>
        <item m="1" x="726"/>
        <item m="1" x="839"/>
        <item m="1" x="443"/>
        <item m="1" x="327"/>
        <item m="1" x="1095"/>
        <item m="1" x="301"/>
        <item m="1" x="846"/>
        <item m="1" x="1086"/>
        <item m="1" x="1016"/>
        <item m="1" x="1084"/>
        <item m="1" x="1048"/>
        <item m="1" x="476"/>
        <item m="1" x="423"/>
        <item m="1" x="644"/>
        <item m="1" x="526"/>
        <item m="1" x="1090"/>
        <item m="1" x="875"/>
        <item m="1" x="1010"/>
        <item m="1" x="278"/>
        <item m="1" x="549"/>
        <item m="1" x="469"/>
        <item m="1" x="287"/>
        <item m="1" x="747"/>
        <item m="1" x="676"/>
        <item m="1" x="962"/>
        <item m="1" x="432"/>
        <item m="1" x="528"/>
        <item m="1" x="712"/>
        <item m="1" x="634"/>
        <item m="1" x="979"/>
        <item m="1" x="662"/>
        <item m="1" x="486"/>
        <item m="1" x="1067"/>
        <item m="1" x="894"/>
        <item m="1" x="1066"/>
        <item m="1" x="1065"/>
        <item m="1" x="344"/>
        <item m="1" x="717"/>
        <item m="1" x="388"/>
        <item m="1" x="906"/>
        <item m="1" x="988"/>
        <item m="1" x="529"/>
        <item m="1" x="318"/>
        <item m="1" x="226"/>
        <item m="1" x="451"/>
        <item m="1" x="1024"/>
        <item m="1" x="430"/>
        <item m="1" x="555"/>
        <item m="1" x="1047"/>
        <item m="1" x="725"/>
        <item m="1" x="820"/>
        <item m="1" x="482"/>
        <item m="1" x="765"/>
        <item m="1" x="307"/>
        <item m="1" x="653"/>
        <item m="1" x="499"/>
        <item m="1" x="807"/>
        <item m="1" x="542"/>
        <item m="1" x="587"/>
        <item m="1" x="468"/>
        <item m="1" x="404"/>
        <item m="1" x="802"/>
        <item m="1" x="948"/>
        <item x="12"/>
        <item x="31"/>
        <item x="103"/>
        <item x="98"/>
        <item x="100"/>
        <item x="14"/>
        <item x="27"/>
        <item x="37"/>
        <item x="46"/>
        <item x="63"/>
        <item m="1" x="688"/>
        <item m="1" x="352"/>
        <item m="1" x="965"/>
        <item m="1" x="904"/>
        <item m="1" x="385"/>
        <item m="1" x="519"/>
        <item m="1" x="276"/>
        <item m="1" x="635"/>
        <item m="1" x="263"/>
        <item x="65"/>
        <item m="1" x="268"/>
        <item m="1" x="1027"/>
        <item m="1" x="471"/>
        <item m="1" x="704"/>
        <item m="1" x="713"/>
        <item m="1" x="277"/>
        <item m="1" x="871"/>
        <item x="93"/>
        <item x="95"/>
        <item m="1" x="647"/>
        <item m="1" x="596"/>
        <item m="1" x="384"/>
        <item m="1" x="368"/>
        <item m="1" x="938"/>
        <item m="1" x="461"/>
        <item m="1" x="449"/>
        <item m="1" x="932"/>
        <item m="1" x="436"/>
        <item m="1" x="940"/>
        <item m="1" x="478"/>
        <item m="1" x="229"/>
        <item m="1" x="1013"/>
        <item m="1" x="681"/>
        <item m="1" x="862"/>
        <item m="1" x="731"/>
        <item m="1" x="625"/>
        <item m="1" x="479"/>
        <item m="1" x="607"/>
        <item m="1" x="685"/>
        <item m="1" x="561"/>
        <item m="1" x="401"/>
        <item m="1" x="1057"/>
        <item m="1" x="379"/>
        <item m="1" x="485"/>
        <item m="1" x="1009"/>
        <item m="1" x="577"/>
        <item m="1" x="548"/>
        <item m="1" x="921"/>
        <item m="1" x="656"/>
        <item m="1" x="392"/>
        <item m="1" x="840"/>
        <item m="1" x="583"/>
        <item m="1" x="602"/>
        <item m="1" x="595"/>
        <item m="1" x="240"/>
        <item m="1" x="648"/>
        <item m="1" x="448"/>
        <item m="1" x="338"/>
        <item m="1" x="1085"/>
        <item m="1" x="642"/>
        <item m="1" x="341"/>
        <item m="1" x="942"/>
        <item m="1" x="600"/>
        <item m="1" x="628"/>
        <item m="1" x="260"/>
        <item m="1" x="367"/>
        <item m="1" x="888"/>
        <item m="1" x="569"/>
        <item m="1" x="684"/>
        <item m="1" x="269"/>
        <item m="1" x="670"/>
        <item m="1" x="800"/>
        <item m="1" x="369"/>
        <item m="1" x="475"/>
        <item m="1" x="387"/>
        <item m="1" x="495"/>
        <item m="1" x="483"/>
        <item m="1" x="319"/>
        <item m="1" x="999"/>
        <item m="1" x="863"/>
        <item m="1" x="652"/>
        <item m="1" x="248"/>
        <item m="1" x="751"/>
        <item m="1" x="963"/>
        <item m="1" x="842"/>
        <item m="1" x="585"/>
        <item m="1" x="620"/>
        <item m="1" x="767"/>
        <item m="1" x="398"/>
        <item m="1" x="901"/>
        <item m="1" x="690"/>
        <item m="1" x="604"/>
        <item m="1" x="841"/>
        <item m="1" x="806"/>
        <item m="1" x="775"/>
        <item m="1" x="742"/>
        <item m="1" x="978"/>
        <item m="1" x="756"/>
        <item m="1" x="255"/>
        <item m="1" x="241"/>
        <item m="1" x="390"/>
        <item m="1" x="770"/>
        <item m="1" x="431"/>
        <item m="1" x="755"/>
        <item m="1" x="958"/>
        <item m="1" x="452"/>
        <item m="1" x="399"/>
        <item m="1" x="757"/>
        <item m="1" x="730"/>
        <item m="1" x="494"/>
        <item m="1" x="490"/>
        <item m="1" x="957"/>
        <item m="1" x="521"/>
        <item m="1" x="829"/>
        <item m="1" x="752"/>
        <item m="1" x="985"/>
        <item m="1" x="1019"/>
        <item m="1" x="299"/>
        <item m="1" x="1071"/>
        <item m="1" x="703"/>
        <item m="1" x="538"/>
        <item m="1" x="925"/>
        <item m="1" x="310"/>
        <item m="1" x="991"/>
        <item m="1" x="837"/>
        <item m="1" x="535"/>
        <item m="1" x="510"/>
        <item m="1" x="491"/>
        <item m="1" x="552"/>
        <item m="1" x="903"/>
        <item m="1" x="487"/>
        <item m="1" x="235"/>
        <item m="1" x="993"/>
        <item m="1" x="919"/>
        <item m="1" x="668"/>
        <item m="1" x="579"/>
        <item m="1" x="953"/>
        <item m="1" x="645"/>
        <item m="1" x="614"/>
        <item m="1" x="321"/>
        <item m="1" x="562"/>
        <item m="1" x="689"/>
        <item m="1" x="661"/>
        <item m="1" x="667"/>
        <item m="1" x="246"/>
        <item m="1" x="332"/>
        <item m="1" x="474"/>
        <item m="1" x="397"/>
        <item m="1" x="917"/>
        <item m="1" x="920"/>
        <item m="1" x="853"/>
        <item m="1" x="876"/>
        <item m="1" x="462"/>
        <item m="1" x="1082"/>
        <item m="1" x="591"/>
        <item m="1" x="300"/>
        <item m="1" x="907"/>
        <item m="1" x="575"/>
        <item m="1" x="496"/>
        <item m="1" x="419"/>
        <item m="1" x="244"/>
        <item m="1" x="221"/>
        <item x="141"/>
        <item m="1" x="459"/>
        <item m="1" x="797"/>
        <item m="1" x="261"/>
        <item m="1" x="847"/>
        <item m="1" x="819"/>
        <item m="1" x="265"/>
        <item m="1" x="649"/>
        <item m="1" x="937"/>
        <item m="1" x="623"/>
        <item m="1" x="1032"/>
        <item m="1" x="877"/>
        <item m="1" x="977"/>
        <item m="1" x="669"/>
        <item m="1" x="275"/>
        <item m="1" x="954"/>
        <item m="1" x="832"/>
        <item m="1" x="858"/>
        <item m="1" x="433"/>
        <item m="1" x="582"/>
        <item m="1" x="892"/>
        <item m="1" x="554"/>
        <item m="1" x="935"/>
        <item m="1" x="377"/>
        <item m="1" x="723"/>
        <item m="1" x="477"/>
        <item m="1" x="314"/>
        <item m="1" x="792"/>
        <item m="1" x="811"/>
        <item m="1" x="630"/>
        <item m="1" x="701"/>
        <item m="1" x="702"/>
        <item m="1" x="696"/>
        <item m="1" x="983"/>
        <item m="1" x="389"/>
        <item m="1" x="995"/>
        <item m="1" x="1055"/>
        <item m="1" x="353"/>
        <item m="1" x="281"/>
        <item m="1" x="350"/>
        <item m="1" x="774"/>
        <item m="1" x="743"/>
        <item m="1" x="412"/>
        <item m="1" x="1000"/>
        <item m="1" x="835"/>
        <item m="1" x="234"/>
        <item m="1" x="342"/>
        <item m="1" x="956"/>
        <item m="1" x="586"/>
        <item m="1" x="838"/>
        <item m="1" x="818"/>
        <item m="1" x="799"/>
        <item m="1" x="680"/>
        <item m="1" x="571"/>
        <item m="1" x="546"/>
        <item m="1" x="258"/>
        <item m="1" x="371"/>
        <item m="1" x="969"/>
        <item m="1" x="1033"/>
        <item m="1" x="727"/>
        <item m="1" x="1078"/>
        <item m="1" x="290"/>
        <item m="1" x="766"/>
        <item m="1" x="830"/>
        <item m="1" x="1025"/>
        <item m="1" x="910"/>
        <item m="1" x="854"/>
        <item m="1" x="1042"/>
        <item m="1" x="804"/>
        <item m="1" x="699"/>
        <item m="1" x="356"/>
        <item m="1" x="733"/>
        <item m="1" x="931"/>
        <item m="1" x="1101"/>
        <item m="1" x="885"/>
        <item m="1" x="503"/>
        <item m="1" x="740"/>
        <item m="1" x="1073"/>
        <item m="1" x="686"/>
        <item m="1" x="551"/>
        <item m="1" x="673"/>
        <item m="1" x="581"/>
        <item m="1" x="1034"/>
        <item m="1" x="693"/>
        <item m="1" x="1008"/>
        <item m="1" x="758"/>
        <item m="1" x="454"/>
        <item m="1" x="331"/>
        <item m="1" x="233"/>
        <item m="1" x="1015"/>
        <item m="1" x="253"/>
        <item m="1" x="672"/>
        <item m="1" x="340"/>
        <item m="1" x="1003"/>
        <item m="1" x="1080"/>
        <item m="1" x="736"/>
        <item m="1" x="992"/>
        <item m="1" x="1069"/>
        <item m="1" x="695"/>
        <item m="1" x="981"/>
        <item m="1" x="362"/>
        <item m="1" x="951"/>
        <item m="1" x="245"/>
        <item m="1" x="790"/>
        <item m="1" x="501"/>
        <item m="1" x="563"/>
        <item m="1" x="1076"/>
        <item m="1" x="930"/>
        <item x="80"/>
        <item x="112"/>
        <item m="1" x="330"/>
        <item m="1" x="714"/>
        <item m="1" x="878"/>
        <item m="1" x="658"/>
        <item m="1" x="1093"/>
        <item m="1" x="782"/>
        <item m="1" x="1004"/>
        <item m="1" x="1049"/>
        <item m="1" x="873"/>
        <item m="1" x="480"/>
        <item m="1" x="1041"/>
        <item m="1" x="334"/>
        <item m="1" x="945"/>
        <item m="1" x="759"/>
        <item m="1" x="372"/>
        <item m="1" x="1021"/>
        <item m="1" x="533"/>
        <item m="1" x="831"/>
        <item m="1" x="257"/>
        <item m="1" x="457"/>
        <item m="1" x="515"/>
        <item m="1" x="716"/>
        <item m="1" x="955"/>
        <item m="1" x="550"/>
        <item m="1" x="572"/>
        <item x="5"/>
        <item x="64"/>
        <item m="1" x="729"/>
        <item m="1" x="666"/>
        <item m="1" x="282"/>
        <item m="1" x="657"/>
        <item m="1" x="375"/>
        <item m="1" x="773"/>
        <item m="1" x="251"/>
        <item m="1" x="1064"/>
        <item m="1" x="855"/>
        <item m="1" x="576"/>
        <item m="1" x="1059"/>
        <item m="1" x="996"/>
        <item x="13"/>
        <item m="1" x="458"/>
        <item m="1" x="749"/>
        <item x="4"/>
        <item x="165"/>
        <item m="1" x="914"/>
        <item m="1" x="242"/>
        <item x="207"/>
        <item x="114"/>
        <item m="1" x="856"/>
        <item x="155"/>
        <item x="200"/>
        <item x="147"/>
        <item x="153"/>
        <item m="1" x="779"/>
        <item m="1" x="813"/>
        <item x="148"/>
        <item m="1" x="311"/>
        <item m="1" x="539"/>
        <item x="142"/>
        <item x="143"/>
        <item m="1" x="886"/>
        <item x="133"/>
        <item x="146"/>
        <item x="163"/>
        <item x="164"/>
        <item x="49"/>
        <item x="56"/>
        <item x="57"/>
        <item x="92"/>
        <item x="94"/>
        <item x="77"/>
        <item x="126"/>
        <item x="127"/>
        <item m="1" x="825"/>
        <item x="130"/>
        <item x="132"/>
        <item x="135"/>
        <item x="136"/>
        <item x="139"/>
        <item x="140"/>
        <item x="189"/>
        <item m="1" x="891"/>
        <item x="69"/>
        <item x="107"/>
        <item x="108"/>
        <item x="109"/>
        <item x="110"/>
        <item x="111"/>
        <item x="115"/>
        <item m="1" x="531"/>
        <item x="118"/>
        <item x="194"/>
        <item x="144"/>
        <item x="145"/>
        <item x="131"/>
        <item x="129"/>
        <item x="138"/>
        <item x="150"/>
        <item x="151"/>
        <item x="152"/>
        <item x="137"/>
        <item x="154"/>
        <item x="167"/>
        <item x="157"/>
        <item x="159"/>
        <item x="161"/>
        <item x="2"/>
        <item x="168"/>
        <item x="162"/>
        <item x="158"/>
        <item x="1"/>
        <item x="169"/>
        <item x="160"/>
        <item x="156"/>
        <item x="166"/>
        <item x="170"/>
        <item x="171"/>
        <item x="213"/>
        <item x="215"/>
        <item x="216"/>
        <item x="219"/>
        <item x="218"/>
        <item x="217"/>
        <item x="214"/>
        <item m="1" x="357"/>
        <item m="1" x="828"/>
      </items>
    </pivotField>
    <pivotField dataField="1"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numFmtId="1" outline="0" showAll="0"/>
    <pivotField compact="0" numFmtId="1" outline="0" showAll="0"/>
    <pivotField compact="0" outline="0" showAll="0"/>
    <pivotField compact="0" outline="0" subtotalTop="0" showAll="0" defaultSubtotal="0"/>
    <pivotField compact="0" numFmtId="9" outline="0" subtotalTop="0" showAll="0" defaultSubtotal="0"/>
    <pivotField compact="0" outline="0" subtotalTop="0" showAll="0" defaultSubtotal="0"/>
    <pivotField compact="0" outline="0" showAll="0" defaultSubtotal="0"/>
    <pivotField compact="0" outline="0" showAll="0"/>
    <pivotField compact="0" numFmtId="1" outline="0" subtotalTop="0" showAll="0" defaultSubtotal="0"/>
    <pivotField compact="0" outline="0" showAll="0" defaultSubtotal="0"/>
    <pivotField compact="0" outline="0" showAll="0" defaultSubtotal="0"/>
    <pivotField compact="0" outline="0" subtotalTop="0" showAll="0" defaultSubtotal="0"/>
    <pivotField dataField="1" compact="0" outline="0" subtotalTop="0" showAll="0" defaultSubtotal="0"/>
    <pivotField compact="0" outline="0" showAll="0" defaultSubtotal="0"/>
    <pivotField compact="0" numFmtId="1" outline="0" subtotalTop="0" showAll="0" defaultSubtotal="0"/>
    <pivotField compact="0" numFmtId="1" outline="0" subtotalTop="0" showAll="0" defaultSubtotal="0"/>
    <pivotField compact="0" numFmtId="1" outline="0" showAll="0" defaultSubtotal="0"/>
    <pivotField compact="0" numFmtId="9" outline="0" showAll="0"/>
    <pivotField compact="0" numFmtId="1" outline="0" showAll="0" defaultSubtotal="0"/>
    <pivotField compact="0" outline="0" showAll="0" defaultSubtotal="0"/>
    <pivotField compact="0" outline="0" showAll="0"/>
    <pivotField compact="0" numFmtId="1" outline="0" showAll="0"/>
    <pivotField compact="0" outline="0" subtotalTop="0" showAll="0" defaultSubtotal="0"/>
    <pivotField compact="0" outline="0" subtotalTop="0" showAll="0" defaultSubtotal="0"/>
    <pivotField dataField="1" compact="0" outline="0" subtotalTop="0" showAll="0" defaultSubtota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ubtotalTop="0" showAll="0" defaultSubtotal="0"/>
    <pivotField dataField="1" compact="0" numFmtId="9" outline="0" subtotalTop="0" showAll="0" defaultSubtotal="0"/>
    <pivotField compact="0" numFmtId="9" outline="0" subtotalTop="0" showAll="0" defaultSubtotal="0"/>
    <pivotField compact="0" numFmtId="9" outline="0" subtotalTop="0" showAll="0" defaultSubtotal="0"/>
    <pivotField compact="0" numFmtId="9" outline="0" subtotalTop="0" showAll="0" defaultSubtotal="0"/>
    <pivotField compact="0" numFmtId="1" outline="0" showAll="0" defaultSubtotal="0"/>
    <pivotField compact="0" numFmtId="1" outline="0" subtotalTop="0" showAll="0" defaultSubtotal="0"/>
    <pivotField compact="0" numFmtId="1" outline="0" showAll="0" defaultSubtotal="0"/>
    <pivotField compact="0" numFmtId="1" outline="0" showAll="0"/>
    <pivotField compact="0" outline="0" showAll="0"/>
    <pivotField compact="0" numFmtId="9" outline="0" showAll="0"/>
    <pivotField compact="0" numFmtId="164" outline="0" showAll="0"/>
    <pivotField compact="0" numFmtId="164" outline="0" showAll="0"/>
    <pivotField compact="0" numFmtId="164" outline="0" showAll="0"/>
    <pivotField compact="0" numFmtId="164" outline="0" showAll="0"/>
    <pivotField compact="0" outline="0" showAll="0"/>
    <pivotField compact="0" numFmtId="164" outline="0" showAll="0"/>
    <pivotField compact="0" outline="0" subtotalTop="0" showAll="0" defaultSubtotal="0"/>
    <pivotField compact="0" outline="0" subtotalTop="0" showAll="0" defaultSubtotal="0"/>
    <pivotField compact="0" outline="0" subtotalTop="0" showAll="0" defaultSubtotal="0">
      <items count="9">
        <item x="0"/>
        <item m="1" x="5"/>
        <item x="2"/>
        <item m="1" x="4"/>
        <item m="1" x="6"/>
        <item m="1" x="8"/>
        <item x="1"/>
        <item m="1" x="7"/>
        <item m="1" x="3"/>
      </items>
    </pivotField>
    <pivotField axis="axisRow" compact="0" outline="0" subtotalTop="0" showAll="0" defaultSubtotal="0">
      <items count="9">
        <item m="1" x="8"/>
        <item x="2"/>
        <item x="5"/>
        <item x="0"/>
        <item x="1"/>
        <item x="3"/>
        <item x="4"/>
        <item x="6"/>
        <item x="7"/>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5">
        <item x="0"/>
        <item n="Gap" x="1"/>
        <item h="1" m="1" x="4"/>
        <item h="1" m="1" x="2"/>
        <item h="1" m="1" x="3"/>
      </items>
    </pivotField>
    <pivotField compact="0" outline="0" subtotalTop="0" showAll="0" defaultSubtota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
    <field x="5"/>
    <field x="7"/>
    <field x="141"/>
  </rowFields>
  <rowItems count="43">
    <i>
      <x/>
      <x v="1"/>
      <x v="1048"/>
      <x v="6"/>
    </i>
    <i r="1">
      <x v="4"/>
      <x v="271"/>
      <x v="3"/>
    </i>
    <i r="2">
      <x v="1071"/>
      <x v="3"/>
    </i>
    <i r="1">
      <x v="12"/>
      <x v="1037"/>
      <x v="7"/>
    </i>
    <i r="2">
      <x v="1051"/>
      <x v="6"/>
    </i>
    <i r="1">
      <x v="17"/>
      <x v="1052"/>
      <x v="6"/>
    </i>
    <i r="2">
      <x v="1053"/>
      <x v="6"/>
    </i>
    <i r="2">
      <x v="1072"/>
      <x v="3"/>
    </i>
    <i r="2">
      <x v="1076"/>
      <x v="6"/>
    </i>
    <i r="1">
      <x v="18"/>
      <x v="1054"/>
      <x v="6"/>
    </i>
    <i r="2">
      <x v="1055"/>
      <x v="6"/>
    </i>
    <i r="1">
      <x v="31"/>
      <x v="614"/>
      <x v="3"/>
    </i>
    <i r="1">
      <x v="35"/>
      <x v="591"/>
      <x v="3"/>
    </i>
    <i r="2">
      <x v="1027"/>
      <x v="3"/>
    </i>
    <i r="2">
      <x v="1028"/>
      <x v="3"/>
    </i>
    <i r="2">
      <x v="1031"/>
      <x v="3"/>
    </i>
    <i r="2">
      <x v="1034"/>
      <x v="3"/>
    </i>
    <i r="2">
      <x v="1035"/>
      <x v="3"/>
    </i>
    <i r="2">
      <x v="1068"/>
      <x v="3"/>
    </i>
    <i r="2">
      <x v="1069"/>
      <x v="3"/>
    </i>
    <i r="2">
      <x v="1073"/>
      <x v="3"/>
    </i>
    <i r="2">
      <x v="1074"/>
      <x v="3"/>
    </i>
    <i r="2">
      <x v="1075"/>
      <x v="3"/>
    </i>
    <i r="1">
      <x v="44"/>
      <x v="1070"/>
      <x v="3"/>
    </i>
    <i t="default">
      <x/>
    </i>
    <i>
      <x v="2"/>
      <x v="10"/>
      <x v="1079"/>
      <x v="3"/>
    </i>
    <i r="2">
      <x v="1080"/>
      <x v="3"/>
    </i>
    <i r="2">
      <x v="1081"/>
      <x v="3"/>
    </i>
    <i r="2">
      <x v="1084"/>
      <x v="3"/>
    </i>
    <i r="2">
      <x v="1085"/>
      <x v="3"/>
    </i>
    <i r="2">
      <x v="1088"/>
      <x v="3"/>
    </i>
    <i r="2">
      <x v="1089"/>
      <x v="3"/>
    </i>
    <i r="2">
      <x v="1094"/>
      <x v="6"/>
    </i>
    <i r="2">
      <x v="1095"/>
      <x v="6"/>
    </i>
    <i r="1">
      <x v="41"/>
      <x v="1019"/>
      <x v="3"/>
    </i>
    <i r="2">
      <x v="1039"/>
      <x v="7"/>
    </i>
    <i r="2">
      <x v="1040"/>
      <x v="7"/>
    </i>
    <i r="1">
      <x v="43"/>
      <x v="1025"/>
      <x v="6"/>
    </i>
    <i r="2">
      <x v="1059"/>
      <x v="3"/>
    </i>
    <i r="2">
      <x v="1060"/>
      <x v="3"/>
    </i>
    <i r="2">
      <x v="1061"/>
      <x v="3"/>
    </i>
    <i r="2">
      <x v="1063"/>
      <x v="3"/>
    </i>
    <i t="default">
      <x v="2"/>
    </i>
  </rowItems>
  <colFields count="1">
    <field x="-2"/>
  </colFields>
  <colItems count="6">
    <i>
      <x/>
    </i>
    <i i="1">
      <x v="1"/>
    </i>
    <i i="2">
      <x v="2"/>
    </i>
    <i i="3">
      <x v="3"/>
    </i>
    <i i="4">
      <x v="4"/>
    </i>
    <i i="5">
      <x v="5"/>
    </i>
  </colItems>
  <pageFields count="2">
    <pageField fld="0" hier="-1"/>
    <pageField fld="146" item="1" hier="-1"/>
  </pageFields>
  <dataFields count="6">
    <dataField name="Count of Site Name" fld="7" subtotal="count" baseField="0" baseItem="0"/>
    <dataField name="HHs" fld="8" baseField="0" baseItem="0" numFmtId="164"/>
    <dataField name="Pops" fld="9" baseField="0" baseItem="0" numFmtId="164"/>
    <dataField name="% WATER GAP" fld="102" subtotal="average" baseField="85" baseItem="1" numFmtId="9"/>
    <dataField name="% LATRINE GAP" fld="114" subtotal="average" baseField="85" baseItem="1" numFmtId="9"/>
    <dataField name="% HYGIENE GAP" fld="122" subtotal="average" baseField="85" baseItem="1" numFmtId="9"/>
  </dataFields>
  <formats count="54">
    <format dxfId="378">
      <pivotArea type="all" dataOnly="0" outline="0" fieldPosition="0"/>
    </format>
    <format dxfId="377">
      <pivotArea outline="0" collapsedLevelsAreSubtotals="1" fieldPosition="0"/>
    </format>
    <format dxfId="376">
      <pivotArea field="4" type="button" dataOnly="0" labelOnly="1" outline="0" axis="axisRow" fieldPosition="0"/>
    </format>
    <format dxfId="375">
      <pivotArea dataOnly="0" labelOnly="1" grandRow="1" outline="0" fieldPosition="0"/>
    </format>
    <format dxfId="374">
      <pivotArea type="all" dataOnly="0" outline="0" fieldPosition="0"/>
    </format>
    <format dxfId="373">
      <pivotArea dataOnly="0" labelOnly="1" grandRow="1" outline="0" fieldPosition="0"/>
    </format>
    <format dxfId="372">
      <pivotArea type="all" dataOnly="0" outline="0" fieldPosition="0"/>
    </format>
    <format dxfId="371">
      <pivotArea type="origin" dataOnly="0" labelOnly="1" outline="0" fieldPosition="0"/>
    </format>
    <format dxfId="370">
      <pivotArea field="146" type="button" dataOnly="0" labelOnly="1" outline="0" axis="axisPage" fieldPosition="1"/>
    </format>
    <format dxfId="369">
      <pivotArea type="topRight" dataOnly="0" labelOnly="1" outline="0" fieldPosition="0"/>
    </format>
    <format dxfId="368">
      <pivotArea type="all" dataOnly="0" outline="0" fieldPosition="0"/>
    </format>
    <format dxfId="367">
      <pivotArea outline="0" collapsedLevelsAreSubtotals="1" fieldPosition="0"/>
    </format>
    <format dxfId="366">
      <pivotArea type="origin" dataOnly="0" labelOnly="1" outline="0" fieldPosition="0"/>
    </format>
    <format dxfId="365">
      <pivotArea field="146" type="button" dataOnly="0" labelOnly="1" outline="0" axis="axisPage" fieldPosition="1"/>
    </format>
    <format dxfId="364">
      <pivotArea type="topRight" dataOnly="0" labelOnly="1" outline="0" fieldPosition="0"/>
    </format>
    <format dxfId="363">
      <pivotArea outline="0" fieldPosition="0">
        <references count="1">
          <reference field="4294967294" count="3" selected="0">
            <x v="3"/>
            <x v="4"/>
            <x v="5"/>
          </reference>
        </references>
      </pivotArea>
    </format>
    <format dxfId="362">
      <pivotArea outline="0" fieldPosition="0">
        <references count="1">
          <reference field="4294967294" count="2" selected="0">
            <x v="1"/>
            <x v="2"/>
          </reference>
        </references>
      </pivotArea>
    </format>
    <format dxfId="361">
      <pivotArea type="all" dataOnly="0" outline="0" fieldPosition="0"/>
    </format>
    <format dxfId="360">
      <pivotArea outline="0" collapsedLevelsAreSubtotals="1" fieldPosition="0"/>
    </format>
    <format dxfId="359">
      <pivotArea field="4" type="button" dataOnly="0" labelOnly="1" outline="0" axis="axisRow" fieldPosition="0"/>
    </format>
    <format dxfId="358">
      <pivotArea field="5" type="button" dataOnly="0" labelOnly="1" outline="0" axis="axisRow" fieldPosition="1"/>
    </format>
    <format dxfId="357">
      <pivotArea field="7" type="button" dataOnly="0" labelOnly="1" outline="0" axis="axisRow" fieldPosition="2"/>
    </format>
    <format dxfId="356">
      <pivotArea field="141" type="button" dataOnly="0" labelOnly="1" outline="0" axis="axisRow" fieldPosition="3"/>
    </format>
    <format dxfId="355">
      <pivotArea dataOnly="0" labelOnly="1" outline="0" fieldPosition="0">
        <references count="1">
          <reference field="4" count="0"/>
        </references>
      </pivotArea>
    </format>
    <format dxfId="354">
      <pivotArea dataOnly="0" labelOnly="1" outline="0" fieldPosition="0">
        <references count="1">
          <reference field="4" count="0" defaultSubtotal="1"/>
        </references>
      </pivotArea>
    </format>
    <format dxfId="353">
      <pivotArea dataOnly="0" labelOnly="1" outline="0" fieldPosition="0">
        <references count="2">
          <reference field="4" count="1" selected="0">
            <x v="0"/>
          </reference>
          <reference field="5" count="8">
            <x v="1"/>
            <x v="12"/>
            <x v="17"/>
            <x v="18"/>
            <x v="28"/>
            <x v="31"/>
            <x v="33"/>
            <x v="35"/>
          </reference>
        </references>
      </pivotArea>
    </format>
    <format dxfId="352">
      <pivotArea dataOnly="0" labelOnly="1" outline="0" fieldPosition="0">
        <references count="2">
          <reference field="4" count="1" selected="0">
            <x v="1"/>
          </reference>
          <reference field="5" count="7">
            <x v="8"/>
            <x v="9"/>
            <x v="15"/>
            <x v="19"/>
            <x v="27"/>
            <x v="30"/>
            <x v="32"/>
          </reference>
        </references>
      </pivotArea>
    </format>
    <format dxfId="351">
      <pivotArea dataOnly="0" labelOnly="1" outline="0" fieldPosition="0">
        <references count="2">
          <reference field="4" count="1" selected="0">
            <x v="2"/>
          </reference>
          <reference field="5" count="4">
            <x v="6"/>
            <x v="7"/>
            <x v="13"/>
            <x v="20"/>
          </reference>
        </references>
      </pivotArea>
    </format>
    <format dxfId="350">
      <pivotArea dataOnly="0" labelOnly="1" outline="0" fieldPosition="0">
        <references count="3">
          <reference field="4" count="1" selected="0">
            <x v="0"/>
          </reference>
          <reference field="5" count="1" selected="0">
            <x v="1"/>
          </reference>
          <reference field="7" count="1">
            <x v="47"/>
          </reference>
        </references>
      </pivotArea>
    </format>
    <format dxfId="349">
      <pivotArea dataOnly="0" labelOnly="1" outline="0" fieldPosition="0">
        <references count="3">
          <reference field="4" count="1" selected="0">
            <x v="0"/>
          </reference>
          <reference field="5" count="1" selected="0">
            <x v="12"/>
          </reference>
          <reference field="7" count="2">
            <x v="256"/>
            <x v="262"/>
          </reference>
        </references>
      </pivotArea>
    </format>
    <format dxfId="348">
      <pivotArea dataOnly="0" labelOnly="1" outline="0" fieldPosition="0">
        <references count="3">
          <reference field="4" count="1" selected="0">
            <x v="0"/>
          </reference>
          <reference field="5" count="1" selected="0">
            <x v="17"/>
          </reference>
          <reference field="7" count="2">
            <x v="110"/>
            <x v="282"/>
          </reference>
        </references>
      </pivotArea>
    </format>
    <format dxfId="347">
      <pivotArea dataOnly="0" labelOnly="1" outline="0" fieldPosition="0">
        <references count="3">
          <reference field="4" count="1" selected="0">
            <x v="0"/>
          </reference>
          <reference field="5" count="1" selected="0">
            <x v="18"/>
          </reference>
          <reference field="7" count="3">
            <x v="154"/>
            <x v="284"/>
            <x v="299"/>
          </reference>
        </references>
      </pivotArea>
    </format>
    <format dxfId="346">
      <pivotArea dataOnly="0" labelOnly="1" outline="0" fieldPosition="0">
        <references count="3">
          <reference field="4" count="1" selected="0">
            <x v="0"/>
          </reference>
          <reference field="5" count="1" selected="0">
            <x v="28"/>
          </reference>
          <reference field="7" count="2">
            <x v="125"/>
            <x v="529"/>
          </reference>
        </references>
      </pivotArea>
    </format>
    <format dxfId="345">
      <pivotArea dataOnly="0" labelOnly="1" outline="0" fieldPosition="0">
        <references count="3">
          <reference field="4" count="1" selected="0">
            <x v="0"/>
          </reference>
          <reference field="5" count="1" selected="0">
            <x v="31"/>
          </reference>
          <reference field="7" count="1">
            <x v="205"/>
          </reference>
        </references>
      </pivotArea>
    </format>
    <format dxfId="344">
      <pivotArea dataOnly="0" labelOnly="1" outline="0" fieldPosition="0">
        <references count="3">
          <reference field="4" count="1" selected="0">
            <x v="0"/>
          </reference>
          <reference field="5" count="1" selected="0">
            <x v="33"/>
          </reference>
          <reference field="7" count="1">
            <x v="466"/>
          </reference>
        </references>
      </pivotArea>
    </format>
    <format dxfId="343">
      <pivotArea dataOnly="0" labelOnly="1" outline="0" fieldPosition="0">
        <references count="3">
          <reference field="4" count="1" selected="0">
            <x v="0"/>
          </reference>
          <reference field="5" count="1" selected="0">
            <x v="35"/>
          </reference>
          <reference field="7" count="1">
            <x v="100"/>
          </reference>
        </references>
      </pivotArea>
    </format>
    <format dxfId="342">
      <pivotArea dataOnly="0" labelOnly="1" outline="0" fieldPosition="0">
        <references count="3">
          <reference field="4" count="1" selected="0">
            <x v="1"/>
          </reference>
          <reference field="5" count="1" selected="0">
            <x v="8"/>
          </reference>
          <reference field="7" count="1">
            <x v="132"/>
          </reference>
        </references>
      </pivotArea>
    </format>
    <format dxfId="341">
      <pivotArea dataOnly="0" labelOnly="1" outline="0" fieldPosition="0">
        <references count="3">
          <reference field="4" count="1" selected="0">
            <x v="1"/>
          </reference>
          <reference field="5" count="1" selected="0">
            <x v="9"/>
          </reference>
          <reference field="7" count="18">
            <x v="14"/>
            <x v="22"/>
            <x v="23"/>
            <x v="89"/>
            <x v="92"/>
            <x v="93"/>
            <x v="153"/>
            <x v="182"/>
            <x v="198"/>
            <x v="209"/>
            <x v="367"/>
            <x v="394"/>
            <x v="420"/>
            <x v="448"/>
            <x v="449"/>
            <x v="490"/>
            <x v="556"/>
            <x v="567"/>
          </reference>
        </references>
      </pivotArea>
    </format>
    <format dxfId="340">
      <pivotArea dataOnly="0" labelOnly="1" outline="0" fieldPosition="0">
        <references count="3">
          <reference field="4" count="1" selected="0">
            <x v="1"/>
          </reference>
          <reference field="5" count="1" selected="0">
            <x v="15"/>
          </reference>
          <reference field="7" count="8">
            <x v="54"/>
            <x v="57"/>
            <x v="134"/>
            <x v="137"/>
            <x v="418"/>
            <x v="450"/>
            <x v="453"/>
            <x v="494"/>
          </reference>
        </references>
      </pivotArea>
    </format>
    <format dxfId="339">
      <pivotArea dataOnly="0" labelOnly="1" outline="0" fieldPosition="0">
        <references count="3">
          <reference field="4" count="1" selected="0">
            <x v="1"/>
          </reference>
          <reference field="5" count="1" selected="0">
            <x v="19"/>
          </reference>
          <reference field="7" count="5">
            <x v="12"/>
            <x v="51"/>
            <x v="210"/>
            <x v="211"/>
            <x v="363"/>
          </reference>
        </references>
      </pivotArea>
    </format>
    <format dxfId="338">
      <pivotArea dataOnly="0" labelOnly="1" outline="0" fieldPosition="0">
        <references count="3">
          <reference field="4" count="1" selected="0">
            <x v="1"/>
          </reference>
          <reference field="5" count="1" selected="0">
            <x v="27"/>
          </reference>
          <reference field="7" count="14">
            <x v="72"/>
            <x v="144"/>
            <x v="195"/>
            <x v="265"/>
            <x v="298"/>
            <x v="379"/>
            <x v="397"/>
            <x v="471"/>
            <x v="472"/>
            <x v="483"/>
            <x v="506"/>
            <x v="531"/>
            <x v="552"/>
            <x v="554"/>
          </reference>
        </references>
      </pivotArea>
    </format>
    <format dxfId="337">
      <pivotArea dataOnly="0" labelOnly="1" outline="0" fieldPosition="0">
        <references count="3">
          <reference field="4" count="1" selected="0">
            <x v="1"/>
          </reference>
          <reference field="5" count="1" selected="0">
            <x v="30"/>
          </reference>
          <reference field="7" count="3">
            <x v="19"/>
            <x v="351"/>
            <x v="352"/>
          </reference>
        </references>
      </pivotArea>
    </format>
    <format dxfId="336">
      <pivotArea dataOnly="0" labelOnly="1" outline="0" fieldPosition="0">
        <references count="3">
          <reference field="4" count="1" selected="0">
            <x v="1"/>
          </reference>
          <reference field="5" count="1" selected="0">
            <x v="32"/>
          </reference>
          <reference field="7" count="7">
            <x v="13"/>
            <x v="40"/>
            <x v="43"/>
            <x v="71"/>
            <x v="189"/>
            <x v="383"/>
            <x v="512"/>
          </reference>
        </references>
      </pivotArea>
    </format>
    <format dxfId="335">
      <pivotArea dataOnly="0" labelOnly="1" outline="0" fieldPosition="0">
        <references count="3">
          <reference field="4" count="1" selected="0">
            <x v="2"/>
          </reference>
          <reference field="5" count="1" selected="0">
            <x v="6"/>
          </reference>
          <reference field="7" count="1">
            <x v="248"/>
          </reference>
        </references>
      </pivotArea>
    </format>
    <format dxfId="334">
      <pivotArea dataOnly="0" labelOnly="1" outline="0" fieldPosition="0">
        <references count="3">
          <reference field="4" count="1" selected="0">
            <x v="2"/>
          </reference>
          <reference field="5" count="1" selected="0">
            <x v="7"/>
          </reference>
          <reference field="7" count="1">
            <x v="372"/>
          </reference>
        </references>
      </pivotArea>
    </format>
    <format dxfId="333">
      <pivotArea dataOnly="0" labelOnly="1" outline="0" fieldPosition="0">
        <references count="3">
          <reference field="4" count="1" selected="0">
            <x v="2"/>
          </reference>
          <reference field="5" count="1" selected="0">
            <x v="13"/>
          </reference>
          <reference field="7" count="1">
            <x v="250"/>
          </reference>
        </references>
      </pivotArea>
    </format>
    <format dxfId="332">
      <pivotArea dataOnly="0" labelOnly="1" outline="0" fieldPosition="0">
        <references count="3">
          <reference field="4" count="1" selected="0">
            <x v="2"/>
          </reference>
          <reference field="5" count="1" selected="0">
            <x v="20"/>
          </reference>
          <reference field="7" count="1">
            <x v="111"/>
          </reference>
        </references>
      </pivotArea>
    </format>
    <format dxfId="331">
      <pivotArea dataOnly="0" labelOnly="1" outline="0" fieldPosition="0">
        <references count="4">
          <reference field="4" count="1" selected="0">
            <x v="0"/>
          </reference>
          <reference field="5" count="1" selected="0">
            <x v="33"/>
          </reference>
          <reference field="7" count="1" selected="0">
            <x v="466"/>
          </reference>
          <reference field="141" count="1">
            <x v="3"/>
          </reference>
        </references>
      </pivotArea>
    </format>
    <format dxfId="330">
      <pivotArea dataOnly="0" labelOnly="1" outline="0" fieldPosition="0">
        <references count="4">
          <reference field="4" count="1" selected="0">
            <x v="0"/>
          </reference>
          <reference field="5" count="1" selected="0">
            <x v="35"/>
          </reference>
          <reference field="7" count="1" selected="0">
            <x v="100"/>
          </reference>
          <reference field="141" count="1">
            <x v="3"/>
          </reference>
        </references>
      </pivotArea>
    </format>
    <format dxfId="329">
      <pivotArea dataOnly="0" labelOnly="1" outline="0" fieldPosition="0">
        <references count="4">
          <reference field="4" count="1" selected="0">
            <x v="2"/>
          </reference>
          <reference field="5" count="1" selected="0">
            <x v="6"/>
          </reference>
          <reference field="7" count="1" selected="0">
            <x v="248"/>
          </reference>
          <reference field="141" count="1">
            <x v="3"/>
          </reference>
        </references>
      </pivotArea>
    </format>
    <format dxfId="328">
      <pivotArea dataOnly="0" labelOnly="1" outline="0" fieldPosition="0">
        <references count="4">
          <reference field="4" count="1" selected="0">
            <x v="2"/>
          </reference>
          <reference field="5" count="1" selected="0">
            <x v="7"/>
          </reference>
          <reference field="7" count="1" selected="0">
            <x v="372"/>
          </reference>
          <reference field="141" count="1">
            <x v="3"/>
          </reference>
        </references>
      </pivotArea>
    </format>
    <format dxfId="327">
      <pivotArea dataOnly="0" labelOnly="1" outline="0" fieldPosition="0">
        <references count="4">
          <reference field="4" count="1" selected="0">
            <x v="2"/>
          </reference>
          <reference field="5" count="1" selected="0">
            <x v="13"/>
          </reference>
          <reference field="7" count="1" selected="0">
            <x v="250"/>
          </reference>
          <reference field="141" count="1">
            <x v="3"/>
          </reference>
        </references>
      </pivotArea>
    </format>
    <format dxfId="326">
      <pivotArea dataOnly="0" labelOnly="1" outline="0" fieldPosition="0">
        <references count="4">
          <reference field="4" count="1" selected="0">
            <x v="2"/>
          </reference>
          <reference field="5" count="1" selected="0">
            <x v="20"/>
          </reference>
          <reference field="7" count="1" selected="0">
            <x v="111"/>
          </reference>
          <reference field="141" count="1">
            <x v="3"/>
          </reference>
        </references>
      </pivotArea>
    </format>
    <format dxfId="325">
      <pivotArea dataOnly="0" labelOnly="1" outline="0" fieldPosition="0">
        <references count="1">
          <reference field="4294967294" count="5">
            <x v="1"/>
            <x v="2"/>
            <x v="3"/>
            <x v="4"/>
            <x v="5"/>
          </reference>
        </references>
      </pivotArea>
    </format>
  </formats>
  <pivotTableStyleInfo name="PivotStyleLight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800-000003000000}" name="K_H_CG_C" cacheId="12"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43" rowHeaderCaption="State" colHeaderCaption=" ">
  <location ref="B271:D284" firstHeaderRow="0" firstDataRow="1" firstDataCol="1" rowPageCount="5" colPageCount="1"/>
  <pivotFields count="160">
    <pivotField axis="axisPage" subtotalTop="0" multipleItemSelectionAllowed="1" showAll="0">
      <items count="29">
        <item m="1" x="26"/>
        <item m="1" x="12"/>
        <item h="1" m="1" x="19"/>
        <item h="1" m="1" x="2"/>
        <item m="1" x="27"/>
        <item m="1" x="7"/>
        <item h="1" m="1" x="25"/>
        <item h="1" m="1" x="21"/>
        <item h="1" m="1" x="23"/>
        <item m="1" x="24"/>
        <item h="1" m="1" x="15"/>
        <item h="1" m="1" x="17"/>
        <item h="1" m="1" x="20"/>
        <item m="1" x="22"/>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Page" subtotalTop="0" showAll="0">
      <items count="7">
        <item x="1"/>
        <item m="1" x="4"/>
        <item x="0"/>
        <item m="1" x="2"/>
        <item m="1" x="3"/>
        <item m="1" x="5"/>
        <item t="default"/>
      </items>
    </pivotField>
    <pivotField axis="axisRow" subtotalTop="0" showAll="0" sortType="ascending">
      <items count="49">
        <item m="1" x="32"/>
        <item x="15"/>
        <item m="1" x="45"/>
        <item m="1" x="37"/>
        <item x="5"/>
        <item x="6"/>
        <item x="16"/>
        <item x="0"/>
        <item x="22"/>
        <item x="17"/>
        <item x="18"/>
        <item m="1" x="40"/>
        <item m="1" x="27"/>
        <item x="1"/>
        <item m="1" x="47"/>
        <item x="3"/>
        <item m="1" x="43"/>
        <item x="7"/>
        <item x="19"/>
        <item m="1" x="38"/>
        <item m="1" x="31"/>
        <item x="8"/>
        <item x="9"/>
        <item m="1" x="26"/>
        <item x="4"/>
        <item m="1" x="44"/>
        <item x="2"/>
        <item m="1" x="35"/>
        <item x="10"/>
        <item m="1" x="34"/>
        <item x="20"/>
        <item m="1" x="30"/>
        <item x="21"/>
        <item m="1" x="28"/>
        <item m="1" x="29"/>
        <item m="1" x="33"/>
        <item m="1" x="39"/>
        <item m="1" x="36"/>
        <item m="1" x="46"/>
        <item m="1" x="42"/>
        <item x="11"/>
        <item m="1" x="41"/>
        <item x="12"/>
        <item x="13"/>
        <item x="24"/>
        <item x="23"/>
        <item x="14"/>
        <item m="1" x="25"/>
        <item t="default"/>
      </items>
    </pivotField>
    <pivotField axis="axisPage" multipleItemSelectionAllowed="1" showAll="0" defaultSubtotal="0">
      <items count="15">
        <item x="0"/>
        <item x="2"/>
        <item m="1" x="11"/>
        <item h="1" m="1" x="9"/>
        <item m="1" x="7"/>
        <item m="1" x="6"/>
        <item h="1" m="1" x="13"/>
        <item m="1" x="10"/>
        <item h="1" m="1" x="14"/>
        <item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axis="axisPage" subtotalTop="0" multipleItemSelectionAllowed="1" showAll="0">
      <items count="53">
        <item x="0"/>
        <item x="1"/>
        <item x="2"/>
        <item m="1" x="29"/>
        <item m="1" x="9"/>
        <item m="1" x="14"/>
        <item m="1" x="33"/>
        <item m="1" x="27"/>
        <item m="1" x="22"/>
        <item m="1" x="7"/>
        <item m="1" x="4"/>
        <item m="1" x="21"/>
        <item m="1" x="25"/>
        <item m="1" x="5"/>
        <item m="1" x="36"/>
        <item m="1" x="34"/>
        <item m="1" x="15"/>
        <item m="1" x="28"/>
        <item m="1" x="42"/>
        <item m="1" x="48"/>
        <item m="1" x="50"/>
        <item m="1" x="46"/>
        <item m="1" x="23"/>
        <item m="1" x="43"/>
        <item m="1" x="37"/>
        <item m="1" x="18"/>
        <item m="1" x="12"/>
        <item m="1" x="51"/>
        <item m="1" x="44"/>
        <item m="1" x="38"/>
        <item m="1" x="39"/>
        <item m="1" x="3"/>
        <item m="1" x="11"/>
        <item m="1" x="19"/>
        <item m="1" x="6"/>
        <item m="1" x="13"/>
        <item m="1" x="17"/>
        <item m="1" x="10"/>
        <item m="1" x="20"/>
        <item m="1" x="47"/>
        <item m="1" x="26"/>
        <item m="1" x="45"/>
        <item m="1" x="41"/>
        <item m="1" x="32"/>
        <item m="1" x="31"/>
        <item m="1" x="35"/>
        <item m="1" x="16"/>
        <item m="1" x="8"/>
        <item m="1" x="24"/>
        <item m="1" x="49"/>
        <item m="1" x="30"/>
        <item m="1" x="40"/>
        <item t="default"/>
      </items>
    </pivotField>
    <pivotField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3">
    <i>
      <x v="1"/>
    </i>
    <i>
      <x v="4"/>
    </i>
    <i>
      <x v="5"/>
    </i>
    <i>
      <x v="8"/>
    </i>
    <i>
      <x v="17"/>
    </i>
    <i>
      <x v="21"/>
    </i>
    <i>
      <x v="22"/>
    </i>
    <i>
      <x v="24"/>
    </i>
    <i>
      <x v="28"/>
    </i>
    <i>
      <x v="40"/>
    </i>
    <i>
      <x v="42"/>
    </i>
    <i>
      <x v="43"/>
    </i>
    <i>
      <x v="46"/>
    </i>
  </rowItems>
  <colFields count="1">
    <field x="-2"/>
  </colFields>
  <colItems count="2">
    <i>
      <x/>
    </i>
    <i i="1">
      <x v="1"/>
    </i>
  </colItems>
  <pageFields count="5">
    <pageField fld="147" hier="-1"/>
    <pageField fld="0" hier="-1"/>
    <pageField fld="146" item="0" hier="-1"/>
    <pageField fld="4" item="0" hier="-1"/>
    <pageField fld="6" hier="-1"/>
  </pageFields>
  <dataFields count="2">
    <dataField name="  % Hygiene Coverage" fld="154" baseField="0" baseItem="0" numFmtId="1"/>
    <dataField name="  % Hygiene Gap" fld="153" baseField="0" baseItem="0" numFmtId="1"/>
  </dataFields>
  <formats count="11">
    <format dxfId="389">
      <pivotArea type="all" dataOnly="0" outline="0" fieldPosition="0"/>
    </format>
    <format dxfId="388">
      <pivotArea outline="0" collapsedLevelsAreSubtotals="1" fieldPosition="0"/>
    </format>
    <format dxfId="387">
      <pivotArea field="4" type="button" dataOnly="0" labelOnly="1" outline="0" axis="axisPage" fieldPosition="3"/>
    </format>
    <format dxfId="386">
      <pivotArea type="all" dataOnly="0" outline="0" fieldPosition="0"/>
    </format>
    <format dxfId="385">
      <pivotArea outline="0" collapsedLevelsAreSubtotals="1" fieldPosition="0"/>
    </format>
    <format dxfId="384">
      <pivotArea outline="0" collapsedLevelsAreSubtotals="1" fieldPosition="0"/>
    </format>
    <format dxfId="383">
      <pivotArea field="5" type="button" dataOnly="0" labelOnly="1" outline="0" axis="axisRow" fieldPosition="0"/>
    </format>
    <format dxfId="382">
      <pivotArea field="5" type="button" dataOnly="0" labelOnly="1" outline="0" axis="axisRow" fieldPosition="0"/>
    </format>
    <format dxfId="381">
      <pivotArea field="5" type="button" dataOnly="0" labelOnly="1" outline="0" axis="axisRow" fieldPosition="0"/>
    </format>
    <format dxfId="380">
      <pivotArea field="4" type="button" dataOnly="0" labelOnly="1" outline="0" axis="axisPage" fieldPosition="3"/>
    </format>
    <format dxfId="379">
      <pivotArea dataOnly="0" labelOnly="1" outline="0" fieldPosition="0">
        <references count="2">
          <reference field="4" count="1">
            <x v="0"/>
          </reference>
          <reference field="146" count="1" selected="0">
            <x v="0"/>
          </reference>
        </references>
      </pivotArea>
    </format>
  </formats>
  <conditionalFormats count="1">
    <conditionalFormat priority="5">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2" series="1">
      <pivotArea type="data" outline="0" fieldPosition="0">
        <references count="1">
          <reference field="4294967294" count="1" selected="0">
            <x v="0"/>
          </reference>
        </references>
      </pivotArea>
    </chartFormat>
    <chartFormat chart="39"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AA7C8AC0-8C72-4E30-AFF2-E66D01E4FF02}" name="PivotTable6" cacheId="12" dataOnRows="1" applyNumberFormats="0" applyBorderFormats="0" applyFontFormats="0" applyPatternFormats="0" applyAlignmentFormats="0" applyWidthHeightFormats="1" dataCaption="Values" updatedVersion="7" minRefreshableVersion="3" rowGrandTotals="0" colGrandTotals="0" itemPrintTitles="1" createdVersion="6" indent="0" compact="0" compactData="0" multipleFieldFilters="0" chartFormat="16" rowHeaderCaption="State">
  <location ref="C441:F450" firstHeaderRow="1" firstDataRow="2" firstDataCol="2" rowPageCount="3" colPageCount="1"/>
  <pivotFields count="160">
    <pivotField axis="axisCol" compact="0" outline="0" subtotalTop="0" showAll="0">
      <items count="29">
        <item m="1" x="26"/>
        <item m="1" x="12"/>
        <item m="1" x="27"/>
        <item m="1" x="19"/>
        <item m="1" x="7"/>
        <item m="1" x="2"/>
        <item m="1" x="25"/>
        <item m="1" x="21"/>
        <item m="1" x="23"/>
        <item m="1" x="24"/>
        <item m="1" x="15"/>
        <item m="1" x="17"/>
        <item m="1" x="20"/>
        <item m="1" x="22"/>
        <item m="1" x="10"/>
        <item m="1" x="13"/>
        <item m="1" x="16"/>
        <item m="1" x="18"/>
        <item m="1" x="5"/>
        <item m="1" x="8"/>
        <item m="1" x="11"/>
        <item m="1" x="14"/>
        <item m="1" x="3"/>
        <item m="1" x="4"/>
        <item m="1" x="6"/>
        <item m="1" x="9"/>
        <item x="0"/>
        <item x="1"/>
        <item t="default"/>
      </items>
    </pivotField>
    <pivotField compact="0" outline="0" showAll="0" defaultSubtotal="0"/>
    <pivotField compact="0" outline="0" showAll="0" defaultSubtotal="0"/>
    <pivotField compact="0" outline="0" subtotalTop="0" showAll="0"/>
    <pivotField axis="axisRow" compact="0" outline="0" subtotalTop="0" multipleItemSelectionAllowed="1" showAll="0">
      <items count="7">
        <item x="1"/>
        <item m="1" x="4"/>
        <item x="0"/>
        <item m="1" x="2"/>
        <item h="1" m="1" x="3"/>
        <item h="1" m="1" x="5"/>
        <item t="default"/>
      </items>
    </pivotField>
    <pivotField compact="0" outline="0" subtotalTop="0" showAll="0"/>
    <pivotField axis="axisPage" compact="0" outline="0" multipleItemSelectionAllowed="1" showAll="0" defaultSubtotal="0">
      <items count="15">
        <item x="0"/>
        <item x="2"/>
        <item m="1" x="11"/>
        <item h="1" m="1" x="9"/>
        <item m="1" x="7"/>
        <item m="1" x="6"/>
        <item h="1" m="1" x="13"/>
        <item m="1" x="10"/>
        <item h="1" m="1" x="14"/>
        <item h="1" m="1" x="8"/>
        <item h="1" m="1" x="12"/>
        <item h="1" m="1" x="4"/>
        <item h="1" m="1" x="5"/>
        <item x="3"/>
        <item x="1"/>
      </items>
    </pivotField>
    <pivotField compact="0" outline="0" subtotalTop="0" showAll="0"/>
    <pivotField compact="0" outline="0" subtotalTop="0" showAl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ubtotalTop="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dataField="1" compact="0" outline="0" showAll="0"/>
    <pivotField dataField="1"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numFmtId="1" outline="0" showAll="0"/>
    <pivotField compact="0" numFmtId="1" outline="0" showAll="0"/>
    <pivotField compact="0" outline="0" showAll="0"/>
    <pivotField compact="0" outline="0" subtotalTop="0" showAll="0"/>
    <pivotField compact="0" numFmtId="9" outline="0" subtotalTop="0" showAll="0"/>
    <pivotField compact="0" outline="0" subtotalTop="0" showAll="0"/>
    <pivotField compact="0" outline="0" showAll="0" defaultSubtotal="0"/>
    <pivotField compact="0" outline="0" showAll="0"/>
    <pivotField compact="0" numFmtId="1" outline="0" subtotalTop="0" showAll="0"/>
    <pivotField compact="0" outline="0" showAll="0" defaultSubtotal="0"/>
    <pivotField compact="0" outline="0" showAll="0" defaultSubtotal="0"/>
    <pivotField compact="0" outline="0" subtotalTop="0" showAll="0"/>
    <pivotField compact="0" outline="0" subtotalTop="0" showAll="0"/>
    <pivotField compact="0" outline="0" showAll="0" defaultSubtotal="0"/>
    <pivotField compact="0" numFmtId="1" outline="0" subtotalTop="0" showAll="0"/>
    <pivotField compact="0" numFmtId="1" outline="0" subtotalTop="0" showAll="0"/>
    <pivotField compact="0" numFmtId="1" outline="0" showAll="0" defaultSubtotal="0"/>
    <pivotField compact="0" numFmtId="9" outline="0" showAll="0"/>
    <pivotField compact="0" numFmtId="1" outline="0" showAll="0" defaultSubtotal="0"/>
    <pivotField compact="0" outline="0" showAll="0" defaultSubtotal="0"/>
    <pivotField compact="0" outline="0" showAll="0"/>
    <pivotField compact="0" numFmtId="1" outline="0" showAll="0"/>
    <pivotField compact="0" outline="0" subtotalTop="0" showAll="0"/>
    <pivotField compact="0" outline="0" subtotalTop="0" showAll="0"/>
    <pivotField compact="0" outline="0" subtotalTop="0" showAl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ubtotalTop="0" showAll="0"/>
    <pivotField compact="0" numFmtId="9" outline="0" subtotalTop="0" showAll="0"/>
    <pivotField compact="0" numFmtId="9" outline="0" subtotalTop="0" showAll="0"/>
    <pivotField compact="0" numFmtId="9" outline="0" subtotalTop="0" showAll="0"/>
    <pivotField compact="0" numFmtId="9" outline="0" subtotalTop="0" showAll="0"/>
    <pivotField compact="0" numFmtId="1" outline="0" showAll="0" defaultSubtotal="0"/>
    <pivotField compact="0" numFmtId="1" outline="0" subtotalTop="0" showAll="0"/>
    <pivotField compact="0" numFmtId="1" outline="0" showAll="0" defaultSubtotal="0"/>
    <pivotField compact="0" numFmtId="1" outline="0" showAll="0"/>
    <pivotField compact="0" outline="0" showAll="0"/>
    <pivotField dataField="1" compact="0" numFmtId="9" outline="0" showAll="0"/>
    <pivotField compact="0" numFmtId="164" outline="0" showAll="0"/>
    <pivotField compact="0" numFmtId="164" outline="0" showAll="0"/>
    <pivotField compact="0" numFmtId="164" outline="0" showAll="0"/>
    <pivotField compact="0" numFmtId="164" outline="0" showAll="0"/>
    <pivotField compact="0" outline="0" showAll="0"/>
    <pivotField compact="0" numFmtId="164"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multipleItemSelectionAllowed="1" showAll="0">
      <items count="6">
        <item x="0"/>
        <item n="Gap" h="1" x="1"/>
        <item h="1" m="1" x="4"/>
        <item h="1" m="1" x="2"/>
        <item h="1" m="1" x="3"/>
        <item t="default"/>
      </items>
    </pivotField>
    <pivotField axis="axisPage" compact="0" outline="0" subtotalTop="0" multipleItemSelectionAllowed="1" showAll="0">
      <items count="53">
        <item x="0"/>
        <item x="1"/>
        <item x="2"/>
        <item m="1" x="29"/>
        <item m="1" x="9"/>
        <item m="1" x="14"/>
        <item m="1" x="33"/>
        <item m="1" x="27"/>
        <item m="1" x="22"/>
        <item m="1" x="7"/>
        <item m="1" x="4"/>
        <item m="1" x="21"/>
        <item m="1" x="25"/>
        <item m="1" x="5"/>
        <item m="1" x="36"/>
        <item m="1" x="34"/>
        <item m="1" x="15"/>
        <item m="1" x="28"/>
        <item m="1" x="42"/>
        <item m="1" x="48"/>
        <item m="1" x="50"/>
        <item m="1" x="46"/>
        <item m="1" x="23"/>
        <item m="1" x="43"/>
        <item m="1" x="37"/>
        <item m="1" x="18"/>
        <item m="1" x="12"/>
        <item m="1" x="51"/>
        <item m="1" x="44"/>
        <item m="1" x="38"/>
        <item m="1" x="39"/>
        <item m="1" x="3"/>
        <item m="1" x="11"/>
        <item m="1" x="19"/>
        <item m="1" x="6"/>
        <item m="1" x="13"/>
        <item m="1" x="17"/>
        <item m="1" x="10"/>
        <item m="1" x="20"/>
        <item m="1" x="47"/>
        <item m="1" x="26"/>
        <item m="1" x="45"/>
        <item m="1" x="41"/>
        <item m="1" x="32"/>
        <item m="1" x="31"/>
        <item m="1" x="35"/>
        <item m="1" x="16"/>
        <item m="1" x="8"/>
        <item m="1" x="24"/>
        <item m="1" x="49"/>
        <item m="1" x="30"/>
        <item m="1" x="40"/>
        <item t="default"/>
      </items>
    </pivotField>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2"/>
  </rowFields>
  <rowItems count="8">
    <i>
      <x/>
      <x/>
    </i>
    <i r="1" i="1">
      <x v="1"/>
    </i>
    <i r="1" i="2">
      <x v="2"/>
    </i>
    <i r="1" i="3">
      <x v="3"/>
    </i>
    <i>
      <x v="2"/>
      <x/>
    </i>
    <i r="1" i="1">
      <x v="1"/>
    </i>
    <i r="1" i="2">
      <x v="2"/>
    </i>
    <i r="1" i="3">
      <x v="3"/>
    </i>
  </rowItems>
  <colFields count="1">
    <field x="0"/>
  </colFields>
  <colItems count="2">
    <i>
      <x v="26"/>
    </i>
    <i>
      <x v="27"/>
    </i>
  </colItems>
  <pageFields count="3">
    <pageField fld="146" hier="-1"/>
    <pageField fld="6" hier="-1"/>
    <pageField fld="147" hier="-1"/>
  </pageFields>
  <dataFields count="4">
    <dataField name="Average of %_of_affected_people_surveyed_who_report_feeling_satistfied_with_the_latrine_design_and_sanitation_service" fld="71" subtotal="average" baseField="0" baseItem="1"/>
    <dataField name="Average of %_of_affected_people_surveyed_who_report_feeling_satistfied_with_the_water_point_design_and_water_service" fld="72" subtotal="average" baseField="0" baseItem="1"/>
    <dataField name="Average of %_of_complaints_received_that_result_in_timely_corrective_action_and_feedback_to_the_community" fld="74" subtotal="average" baseField="0" baseItem="1"/>
    <dataField name="Average of %_of_affected_people_surveyed_who_report_feeling_informed_about_the_different_WASH_services_available_to_them2" fld="131" subtotal="average" baseField="0" baseItem="3"/>
  </dataFields>
  <formats count="14">
    <format dxfId="403">
      <pivotArea type="all" dataOnly="0" outline="0" fieldPosition="0"/>
    </format>
    <format dxfId="402">
      <pivotArea outline="0" collapsedLevelsAreSubtotals="1" fieldPosition="0"/>
    </format>
    <format dxfId="401">
      <pivotArea field="4" type="button" dataOnly="0" labelOnly="1" outline="0" axis="axisRow" fieldPosition="0"/>
    </format>
    <format dxfId="400">
      <pivotArea dataOnly="0" labelOnly="1" grandRow="1" outline="0" fieldPosition="0"/>
    </format>
    <format dxfId="399">
      <pivotArea type="all" dataOnly="0" outline="0" fieldPosition="0"/>
    </format>
    <format dxfId="398">
      <pivotArea outline="0" collapsedLevelsAreSubtotals="1" fieldPosition="0"/>
    </format>
    <format dxfId="397">
      <pivotArea type="origin" dataOnly="0" labelOnly="1" outline="0" fieldPosition="0"/>
    </format>
    <format dxfId="396">
      <pivotArea field="146" type="button" dataOnly="0" labelOnly="1" outline="0" axis="axisPage" fieldPosition="0"/>
    </format>
    <format dxfId="395">
      <pivotArea type="topRight" dataOnly="0" labelOnly="1" outline="0" fieldPosition="0"/>
    </format>
    <format dxfId="394">
      <pivotArea dataOnly="0" labelOnly="1" fieldPosition="0">
        <references count="1">
          <reference field="146" count="0"/>
        </references>
      </pivotArea>
    </format>
    <format dxfId="393">
      <pivotArea type="all" dataOnly="0" outline="0" fieldPosition="0"/>
    </format>
    <format dxfId="392">
      <pivotArea outline="0" collapsedLevelsAreSubtotals="1" fieldPosition="0"/>
    </format>
    <format dxfId="391">
      <pivotArea field="4" type="button" dataOnly="0" labelOnly="1" outline="0" axis="axisRow" fieldPosition="0"/>
    </format>
    <format dxfId="390">
      <pivotArea outline="0" collapsedLevelsAreSubtotals="1" fieldPosition="0"/>
    </format>
  </formats>
  <chartFormats count="3">
    <chartFormat chart="15"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2"/>
          </reference>
        </references>
      </pivotArea>
    </chartFormat>
  </chartFormats>
  <pivotTableStyleInfo name="PivotStyleMedium2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F59249A3-B57E-4491-85EE-7E373CE682BA}" name="PivotTable5" cacheId="12"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21" rowHeaderCaption="State">
  <location ref="P56:R65" firstHeaderRow="0" firstDataRow="1" firstDataCol="1" rowPageCount="3" colPageCount="1"/>
  <pivotFields count="160">
    <pivotField axis="axisRow" subtotalTop="0" multipleItemSelectionAllowed="1" showAll="0">
      <items count="29">
        <item m="1" x="26"/>
        <item m="1" x="12"/>
        <item m="1" x="19"/>
        <item m="1" x="2"/>
        <item m="1" x="27"/>
        <item m="1" x="7"/>
        <item m="1" x="25"/>
        <item m="1" x="21"/>
        <item m="1" x="23"/>
        <item m="1" x="24"/>
        <item m="1" x="15"/>
        <item m="1" x="17"/>
        <item m="1" x="20"/>
        <item m="1" x="22"/>
        <item m="1" x="10"/>
        <item m="1" x="13"/>
        <item m="1" x="16"/>
        <item m="1" x="18"/>
        <item m="1" x="5"/>
        <item m="1" x="8"/>
        <item m="1" x="11"/>
        <item m="1" x="14"/>
        <item m="1" x="3"/>
        <item m="1" x="4"/>
        <item m="1" x="6"/>
        <item m="1" x="9"/>
        <item x="0"/>
        <item x="1"/>
        <item t="default"/>
      </items>
    </pivotField>
    <pivotField showAll="0" defaultSubtotal="0"/>
    <pivotField showAll="0" defaultSubtotal="0"/>
    <pivotField subtotalTop="0" showAll="0"/>
    <pivotField axis="axisRow" subtotalTop="0" showAll="0">
      <items count="7">
        <item x="1"/>
        <item m="1" x="4"/>
        <item x="0"/>
        <item m="1" x="2"/>
        <item m="1" x="3"/>
        <item m="1" x="5"/>
        <item t="default"/>
      </items>
    </pivotField>
    <pivotField subtotalTop="0" showAll="0"/>
    <pivotField axis="axisPage" multipleItemSelectionAllowed="1" showAll="0" defaultSubtotal="0">
      <items count="15">
        <item x="0"/>
        <item x="2"/>
        <item m="1" x="11"/>
        <item m="1" x="7"/>
        <item m="1" x="6"/>
        <item h="1" m="1" x="13"/>
        <item m="1" x="10"/>
        <item h="1" m="1" x="14"/>
        <item m="1" x="8"/>
        <item h="1" m="1" x="9"/>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dataField="1" showAll="0"/>
    <pivotField dataField="1"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h="1" x="1"/>
        <item m="1" x="4"/>
        <item m="1" x="2"/>
        <item h="1" m="1" x="3"/>
        <item t="default"/>
      </items>
    </pivotField>
    <pivotField axis="axisPage" subtotalTop="0" multipleItemSelectionAllowed="1" showAll="0">
      <items count="53">
        <item x="0"/>
        <item x="1"/>
        <item x="2"/>
        <item m="1" x="29"/>
        <item m="1" x="9"/>
        <item m="1" x="14"/>
        <item m="1" x="33"/>
        <item m="1" x="27"/>
        <item m="1" x="22"/>
        <item m="1" x="7"/>
        <item m="1" x="4"/>
        <item m="1" x="21"/>
        <item m="1" x="25"/>
        <item m="1" x="5"/>
        <item m="1" x="36"/>
        <item m="1" x="34"/>
        <item m="1" x="15"/>
        <item m="1" x="28"/>
        <item m="1" x="42"/>
        <item m="1" x="48"/>
        <item m="1" x="50"/>
        <item m="1" x="46"/>
        <item m="1" x="23"/>
        <item m="1" x="43"/>
        <item m="1" x="37"/>
        <item m="1" x="18"/>
        <item m="1" x="12"/>
        <item m="1" x="51"/>
        <item m="1" x="44"/>
        <item m="1" x="38"/>
        <item m="1" x="39"/>
        <item m="1" x="3"/>
        <item m="1" x="11"/>
        <item m="1" x="19"/>
        <item m="1" x="6"/>
        <item m="1" x="13"/>
        <item m="1" x="17"/>
        <item m="1" x="10"/>
        <item m="1" x="20"/>
        <item m="1" x="47"/>
        <item m="1" x="26"/>
        <item m="1" x="45"/>
        <item m="1" x="41"/>
        <item m="1" x="32"/>
        <item m="1" x="31"/>
        <item m="1" x="35"/>
        <item m="1" x="16"/>
        <item m="1" x="8"/>
        <item m="1" x="24"/>
        <item m="1" x="49"/>
        <item m="1" x="30"/>
        <item m="1" x="40"/>
        <item t="default"/>
      </items>
    </pivotField>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4"/>
    <field x="0"/>
  </rowFields>
  <rowItems count="9">
    <i>
      <x/>
    </i>
    <i r="1">
      <x v="26"/>
    </i>
    <i r="1">
      <x v="27"/>
    </i>
    <i t="default">
      <x/>
    </i>
    <i>
      <x v="2"/>
    </i>
    <i r="1">
      <x v="26"/>
    </i>
    <i r="1">
      <x v="27"/>
    </i>
    <i t="default">
      <x v="2"/>
    </i>
    <i t="grand">
      <x/>
    </i>
  </rowItems>
  <colFields count="1">
    <field x="-2"/>
  </colFields>
  <colItems count="2">
    <i>
      <x/>
    </i>
    <i i="1">
      <x v="1"/>
    </i>
  </colItems>
  <pageFields count="3">
    <pageField fld="146" hier="-1"/>
    <pageField fld="6" hier="-1"/>
    <pageField fld="147" hier="-1"/>
  </pageFields>
  <dataFields count="2">
    <dataField name="Sum of #_Household water samples tested for fecal coliform" fld="36" baseField="0" baseItem="0"/>
    <dataField name="Sum of #_Household passed" fld="37" baseField="0" baseItem="0"/>
  </dataFields>
  <formats count="10">
    <format dxfId="413">
      <pivotArea field="4" type="button" dataOnly="0" labelOnly="1" outline="0" axis="axisRow" fieldPosition="0"/>
    </format>
    <format dxfId="412">
      <pivotArea type="all" dataOnly="0" outline="0" fieldPosition="0"/>
    </format>
    <format dxfId="411">
      <pivotArea outline="0" collapsedLevelsAreSubtotals="1" fieldPosition="0"/>
    </format>
    <format dxfId="410">
      <pivotArea field="4" type="button" dataOnly="0" labelOnly="1" outline="0" axis="axisRow" fieldPosition="0"/>
    </format>
    <format dxfId="409">
      <pivotArea dataOnly="0" labelOnly="1" fieldPosition="0">
        <references count="1">
          <reference field="4" count="0"/>
        </references>
      </pivotArea>
    </format>
    <format dxfId="408">
      <pivotArea type="all" dataOnly="0" outline="0" fieldPosition="0"/>
    </format>
    <format dxfId="407">
      <pivotArea type="all" dataOnly="0" outline="0" fieldPosition="0"/>
    </format>
    <format dxfId="406">
      <pivotArea outline="0" collapsedLevelsAreSubtotals="1" fieldPosition="0"/>
    </format>
    <format dxfId="405">
      <pivotArea field="4" type="button" dataOnly="0" labelOnly="1" outline="0" axis="axisRow" fieldPosition="0"/>
    </format>
    <format dxfId="404">
      <pivotArea dataOnly="0" labelOnly="1" fieldPosition="0">
        <references count="1">
          <reference field="4" count="0"/>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0800-000002000000}" name="K_Geo" cacheId="12"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67">
  <location ref="C298:E303" firstHeaderRow="1" firstDataRow="2" firstDataCol="1" rowPageCount="3" colPageCount="1"/>
  <pivotFields count="160">
    <pivotField axis="axisPage" subtotalTop="0" multipleItemSelectionAllowed="1" showAll="0">
      <items count="29">
        <item m="1" x="26"/>
        <item m="1" x="12"/>
        <item m="1" x="27"/>
        <item m="1" x="19"/>
        <item m="1" x="7"/>
        <item m="1" x="2"/>
        <item m="1" x="25"/>
        <item m="1" x="21"/>
        <item m="1" x="23"/>
        <item m="1" x="24"/>
        <item m="1" x="15"/>
        <item m="1" x="17"/>
        <item m="1" x="20"/>
        <item m="1" x="22"/>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Page" subtotalTop="0" multipleItemSelectionAllowed="1" showAll="0">
      <items count="7">
        <item x="1"/>
        <item h="1" m="1" x="4"/>
        <item h="1" x="0"/>
        <item m="1" x="2"/>
        <item h="1" m="1" x="3"/>
        <item h="1" m="1" x="5"/>
        <item t="default"/>
      </items>
    </pivotField>
    <pivotField subtotalTop="0" showAll="0"/>
    <pivotField axis="axisRow" showAll="0" defaultSubtotal="0">
      <items count="15">
        <item x="0"/>
        <item x="2"/>
        <item m="1" x="11"/>
        <item m="1" x="7"/>
        <item m="1" x="6"/>
        <item m="1" x="13"/>
        <item m="1" x="10"/>
        <item m="1" x="14"/>
        <item m="1" x="8"/>
        <item m="1" x="9"/>
        <item m="1" x="12"/>
        <item m="1" x="4"/>
        <item m="1" x="5"/>
        <item x="3"/>
        <item x="1"/>
      </items>
    </pivotField>
    <pivotField dataField="1"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6">
        <item x="0"/>
        <item n="Gap" x="1"/>
        <item h="1" m="1" x="4"/>
        <item h="1" m="1" x="2"/>
        <item h="1" m="1" x="3"/>
        <item t="default"/>
      </items>
    </pivotField>
    <pivotField axis="axisPage" subtotalTop="0" multipleItemSelectionAllowed="1" showAll="0">
      <items count="53">
        <item x="0"/>
        <item x="1"/>
        <item x="2"/>
        <item m="1" x="29"/>
        <item m="1" x="9"/>
        <item m="1" x="14"/>
        <item m="1" x="33"/>
        <item m="1" x="27"/>
        <item m="1" x="22"/>
        <item m="1" x="7"/>
        <item m="1" x="4"/>
        <item m="1" x="21"/>
        <item m="1" x="25"/>
        <item m="1" x="5"/>
        <item m="1" x="36"/>
        <item m="1" x="34"/>
        <item m="1" x="15"/>
        <item m="1" x="28"/>
        <item m="1" x="42"/>
        <item m="1" x="48"/>
        <item m="1" x="50"/>
        <item m="1" x="46"/>
        <item m="1" x="23"/>
        <item m="1" x="43"/>
        <item m="1" x="37"/>
        <item m="1" x="18"/>
        <item m="1" x="12"/>
        <item m="1" x="51"/>
        <item m="1" x="44"/>
        <item m="1" x="38"/>
        <item m="1" x="39"/>
        <item m="1" x="3"/>
        <item m="1" x="11"/>
        <item m="1" x="19"/>
        <item m="1" x="6"/>
        <item m="1" x="13"/>
        <item m="1" x="17"/>
        <item m="1" x="10"/>
        <item m="1" x="20"/>
        <item m="1" x="47"/>
        <item m="1" x="26"/>
        <item m="1" x="45"/>
        <item m="1" x="41"/>
        <item m="1" x="32"/>
        <item m="1" x="31"/>
        <item m="1" x="35"/>
        <item m="1" x="16"/>
        <item m="1" x="8"/>
        <item m="1" x="24"/>
        <item m="1" x="49"/>
        <item m="1" x="30"/>
        <item m="1" x="40"/>
        <item t="default"/>
      </items>
    </pivotField>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4">
    <i>
      <x/>
    </i>
    <i>
      <x v="1"/>
    </i>
    <i>
      <x v="13"/>
    </i>
    <i>
      <x v="14"/>
    </i>
  </rowItems>
  <colFields count="1">
    <field x="146"/>
  </colFields>
  <colItems count="2">
    <i>
      <x/>
    </i>
    <i>
      <x v="1"/>
    </i>
  </colItems>
  <pageFields count="3">
    <pageField fld="0" hier="-1"/>
    <pageField fld="4" hier="-1"/>
    <pageField fld="147" hier="-1"/>
  </pageFields>
  <dataFields count="1">
    <dataField name="Count of Site Name" fld="7" subtotal="count" baseField="0" baseItem="0"/>
  </dataFields>
  <formats count="19">
    <format dxfId="432">
      <pivotArea type="all" dataOnly="0" outline="0" fieldPosition="0"/>
    </format>
    <format dxfId="431">
      <pivotArea outline="0" collapsedLevelsAreSubtotals="1" fieldPosition="0"/>
    </format>
    <format dxfId="430">
      <pivotArea field="4" type="button" dataOnly="0" labelOnly="1" outline="0" axis="axisPage" fieldPosition="1"/>
    </format>
    <format dxfId="429">
      <pivotArea dataOnly="0" labelOnly="1" fieldPosition="0">
        <references count="1">
          <reference field="4" count="0"/>
        </references>
      </pivotArea>
    </format>
    <format dxfId="428">
      <pivotArea dataOnly="0" labelOnly="1" grandRow="1" outline="0" fieldPosition="0"/>
    </format>
    <format dxfId="427">
      <pivotArea dataOnly="0" labelOnly="1" outline="0" fieldPosition="0">
        <references count="1">
          <reference field="4294967294" count="1">
            <x v="0"/>
          </reference>
        </references>
      </pivotArea>
    </format>
    <format dxfId="426">
      <pivotArea type="all" dataOnly="0" outline="0" fieldPosition="0"/>
    </format>
    <format dxfId="425">
      <pivotArea outline="0" collapsedLevelsAreSubtotals="1" fieldPosition="0"/>
    </format>
    <format dxfId="424">
      <pivotArea type="origin" dataOnly="0" labelOnly="1" outline="0" fieldPosition="0"/>
    </format>
    <format dxfId="423">
      <pivotArea field="146" type="button" dataOnly="0" labelOnly="1" outline="0" axis="axisCol" fieldPosition="0"/>
    </format>
    <format dxfId="422">
      <pivotArea type="topRight" dataOnly="0" labelOnly="1" outline="0" fieldPosition="0"/>
    </format>
    <format dxfId="421">
      <pivotArea dataOnly="0" labelOnly="1" fieldPosition="0">
        <references count="1">
          <reference field="146" count="0"/>
        </references>
      </pivotArea>
    </format>
    <format dxfId="420">
      <pivotArea type="all" dataOnly="0" outline="0" fieldPosition="0"/>
    </format>
    <format dxfId="419">
      <pivotArea outline="0" collapsedLevelsAreSubtotals="1" fieldPosition="0"/>
    </format>
    <format dxfId="418">
      <pivotArea dataOnly="0" labelOnly="1" fieldPosition="0">
        <references count="1">
          <reference field="146" count="0"/>
        </references>
      </pivotArea>
    </format>
    <format dxfId="417">
      <pivotArea field="4" type="button" dataOnly="0" labelOnly="1" outline="0" axis="axisPage" fieldPosition="1"/>
    </format>
    <format dxfId="416">
      <pivotArea dataOnly="0" labelOnly="1" outline="0" fieldPosition="0">
        <references count="2">
          <reference field="0" count="1" selected="0">
            <x v="8"/>
          </reference>
          <reference field="4" count="0"/>
        </references>
      </pivotArea>
    </format>
    <format dxfId="415">
      <pivotArea dataOnly="0" labelOnly="1" outline="0" fieldPosition="0">
        <references count="2">
          <reference field="0" count="1" selected="0">
            <x v="9"/>
          </reference>
          <reference field="4" count="0"/>
        </references>
      </pivotArea>
    </format>
    <format dxfId="414">
      <pivotArea dataOnly="0" labelOnly="1" outline="0" fieldPosition="0">
        <references count="2">
          <reference field="0" count="1" selected="0">
            <x v="9"/>
          </reference>
          <reference field="4" count="0"/>
        </references>
      </pivotArea>
    </format>
  </formats>
  <chartFormats count="12">
    <chartFormat chart="7" format="8" series="1">
      <pivotArea type="data" outline="0" fieldPosition="0">
        <references count="2">
          <reference field="4294967294" count="1" selected="0">
            <x v="0"/>
          </reference>
          <reference field="146" count="1" selected="0">
            <x v="0"/>
          </reference>
        </references>
      </pivotArea>
    </chartFormat>
    <chartFormat chart="7" format="9" series="1">
      <pivotArea type="data" outline="0" fieldPosition="0">
        <references count="2">
          <reference field="4294967294" count="1" selected="0">
            <x v="0"/>
          </reference>
          <reference field="146" count="1" selected="0">
            <x v="1"/>
          </reference>
        </references>
      </pivotArea>
    </chartFormat>
    <chartFormat chart="10" format="8" series="1">
      <pivotArea type="data" outline="0" fieldPosition="0">
        <references count="2">
          <reference field="4294967294" count="1" selected="0">
            <x v="0"/>
          </reference>
          <reference field="146" count="1" selected="0">
            <x v="0"/>
          </reference>
        </references>
      </pivotArea>
    </chartFormat>
    <chartFormat chart="10" format="9" series="1">
      <pivotArea type="data" outline="0" fieldPosition="0">
        <references count="2">
          <reference field="4294967294" count="1" selected="0">
            <x v="0"/>
          </reference>
          <reference field="146" count="1" selected="0">
            <x v="1"/>
          </reference>
        </references>
      </pivotArea>
    </chartFormat>
    <chartFormat chart="40" format="8" series="1">
      <pivotArea type="data" outline="0" fieldPosition="0">
        <references count="2">
          <reference field="4294967294" count="1" selected="0">
            <x v="0"/>
          </reference>
          <reference field="146" count="1" selected="0">
            <x v="0"/>
          </reference>
        </references>
      </pivotArea>
    </chartFormat>
    <chartFormat chart="40" format="9" series="1">
      <pivotArea type="data" outline="0" fieldPosition="0">
        <references count="2">
          <reference field="4294967294" count="1" selected="0">
            <x v="0"/>
          </reference>
          <reference field="146" count="1" selected="0">
            <x v="1"/>
          </reference>
        </references>
      </pivotArea>
    </chartFormat>
    <chartFormat chart="42" format="12" series="1">
      <pivotArea type="data" outline="0" fieldPosition="0">
        <references count="2">
          <reference field="4294967294" count="1" selected="0">
            <x v="0"/>
          </reference>
          <reference field="146" count="1" selected="0">
            <x v="0"/>
          </reference>
        </references>
      </pivotArea>
    </chartFormat>
    <chartFormat chart="42" format="13" series="1">
      <pivotArea type="data" outline="0" fieldPosition="0">
        <references count="2">
          <reference field="4294967294" count="1" selected="0">
            <x v="0"/>
          </reference>
          <reference field="146" count="1" selected="0">
            <x v="1"/>
          </reference>
        </references>
      </pivotArea>
    </chartFormat>
    <chartFormat chart="60" format="12" series="1">
      <pivotArea type="data" outline="0" fieldPosition="0">
        <references count="2">
          <reference field="4294967294" count="1" selected="0">
            <x v="0"/>
          </reference>
          <reference field="146" count="1" selected="0">
            <x v="0"/>
          </reference>
        </references>
      </pivotArea>
    </chartFormat>
    <chartFormat chart="60" format="13" series="1">
      <pivotArea type="data" outline="0" fieldPosition="0">
        <references count="2">
          <reference field="4294967294" count="1" selected="0">
            <x v="0"/>
          </reference>
          <reference field="146" count="1" selected="0">
            <x v="1"/>
          </reference>
        </references>
      </pivotArea>
    </chartFormat>
    <chartFormat chart="40" format="10" series="1">
      <pivotArea type="data" outline="0" fieldPosition="0">
        <references count="1">
          <reference field="4294967294" count="1" selected="0">
            <x v="0"/>
          </reference>
        </references>
      </pivotArea>
    </chartFormat>
    <chartFormat chart="10" format="10" series="1">
      <pivotArea type="data" outline="0" fieldPosition="0">
        <references count="1">
          <reference field="4294967294" count="1" selected="0">
            <x v="0"/>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F0D38B07-8EAB-4257-BE84-A387F53E19D2}" name="PivotTable16" cacheId="12" dataOnRows="1" applyNumberFormats="0" applyBorderFormats="0" applyFontFormats="0" applyPatternFormats="0" applyAlignmentFormats="0" applyWidthHeightFormats="1" dataCaption="Values" updatedVersion="7" minRefreshableVersion="3" rowGrandTotals="0" colGrandTotals="0" itemPrintTitles="1" createdVersion="6" indent="0" compact="0" compactData="0" multipleFieldFilters="0" chartFormat="16" rowHeaderCaption="State">
  <location ref="C459:G546" firstHeaderRow="1" firstDataRow="1" firstDataCol="5" rowPageCount="3" colPageCount="1"/>
  <pivotFields count="160">
    <pivotField axis="axisRow" compact="0" outline="0" subtotalTop="0" showAll="0" defaultSubtotal="0">
      <items count="28">
        <item m="1" x="26"/>
        <item m="1" x="12"/>
        <item m="1" x="27"/>
        <item m="1" x="19"/>
        <item m="1" x="7"/>
        <item m="1" x="2"/>
        <item m="1" x="25"/>
        <item m="1" x="21"/>
        <item m="1" x="23"/>
        <item m="1" x="24"/>
        <item m="1" x="15"/>
        <item m="1" x="17"/>
        <item m="1" x="20"/>
        <item m="1" x="22"/>
        <item m="1" x="10"/>
        <item m="1" x="13"/>
        <item m="1" x="16"/>
        <item m="1" x="18"/>
        <item m="1" x="5"/>
        <item m="1" x="8"/>
        <item m="1" x="11"/>
        <item m="1" x="14"/>
        <item m="1" x="3"/>
        <item m="1" x="4"/>
        <item m="1" x="6"/>
        <item m="1" x="9"/>
        <item x="0"/>
        <item x="1"/>
      </items>
      <extLst>
        <ext xmlns:x14="http://schemas.microsoft.com/office/spreadsheetml/2009/9/main" uri="{2946ED86-A175-432a-8AC1-64E0C546D7DE}">
          <x14:pivotField fillDownLabels="1"/>
        </ext>
      </extLst>
    </pivotField>
    <pivotField axis="axisRow" compact="0" outline="0" showAll="0" defaultSubtotal="0">
      <items count="75">
        <item m="1" x="40"/>
        <item x="0"/>
        <item m="1" x="22"/>
        <item m="1" x="61"/>
        <item m="1" x="48"/>
        <item m="1" x="74"/>
        <item m="1" x="41"/>
        <item m="1" x="49"/>
        <item x="1"/>
        <item x="2"/>
        <item m="1" x="46"/>
        <item x="3"/>
        <item m="1" x="32"/>
        <item m="1" x="69"/>
        <item m="1" x="50"/>
        <item m="1" x="62"/>
        <item x="8"/>
        <item m="1" x="27"/>
        <item m="1" x="60"/>
        <item m="1" x="38"/>
        <item m="1" x="29"/>
        <item m="1" x="70"/>
        <item x="9"/>
        <item x="10"/>
        <item x="11"/>
        <item m="1" x="54"/>
        <item m="1" x="56"/>
        <item m="1" x="73"/>
        <item m="1" x="23"/>
        <item m="1" x="47"/>
        <item m="1" x="45"/>
        <item m="1" x="37"/>
        <item m="1" x="28"/>
        <item m="1" x="58"/>
        <item m="1" x="25"/>
        <item m="1" x="24"/>
        <item m="1" x="66"/>
        <item x="13"/>
        <item m="1" x="35"/>
        <item m="1" x="34"/>
        <item m="1" x="31"/>
        <item m="1" x="53"/>
        <item m="1" x="30"/>
        <item m="1" x="63"/>
        <item m="1" x="68"/>
        <item m="1" x="21"/>
        <item m="1" x="26"/>
        <item m="1" x="57"/>
        <item m="1" x="44"/>
        <item m="1" x="72"/>
        <item m="1" x="55"/>
        <item x="19"/>
        <item m="1" x="71"/>
        <item m="1" x="65"/>
        <item x="14"/>
        <item x="15"/>
        <item m="1" x="51"/>
        <item x="16"/>
        <item m="1" x="39"/>
        <item m="1" x="43"/>
        <item m="1" x="59"/>
        <item m="1" x="42"/>
        <item m="1" x="67"/>
        <item x="17"/>
        <item m="1" x="36"/>
        <item m="1" x="52"/>
        <item m="1" x="20"/>
        <item x="6"/>
        <item x="12"/>
        <item x="7"/>
        <item x="4"/>
        <item x="5"/>
        <item m="1" x="64"/>
        <item m="1" x="33"/>
        <item x="18"/>
      </items>
      <extLst>
        <ext xmlns:x14="http://schemas.microsoft.com/office/spreadsheetml/2009/9/main" uri="{2946ED86-A175-432a-8AC1-64E0C546D7DE}">
          <x14:pivotField fillDownLabels="1"/>
        </ext>
      </extLst>
    </pivotField>
    <pivotField axis="axisRow" compact="0" outline="0" showAll="0" defaultSubtotal="0">
      <items count="82">
        <item m="1" x="50"/>
        <item m="1" x="68"/>
        <item m="1" x="70"/>
        <item m="1" x="61"/>
        <item m="1" x="80"/>
        <item m="1" x="31"/>
        <item m="1" x="51"/>
        <item m="1" x="62"/>
        <item x="2"/>
        <item x="3"/>
        <item x="25"/>
        <item m="1" x="52"/>
        <item m="1" x="63"/>
        <item x="6"/>
        <item m="1" x="35"/>
        <item m="1" x="69"/>
        <item m="1" x="47"/>
        <item m="1" x="37"/>
        <item m="1" x="76"/>
        <item x="1"/>
        <item x="7"/>
        <item x="8"/>
        <item x="9"/>
        <item m="1" x="75"/>
        <item m="1" x="67"/>
        <item m="1" x="79"/>
        <item m="1" x="39"/>
        <item m="1" x="33"/>
        <item m="1" x="53"/>
        <item m="1" x="59"/>
        <item m="1" x="58"/>
        <item m="1" x="44"/>
        <item m="1" x="81"/>
        <item m="1" x="36"/>
        <item m="1" x="60"/>
        <item m="1" x="34"/>
        <item x="11"/>
        <item m="1" x="42"/>
        <item m="1" x="41"/>
        <item m="1" x="38"/>
        <item m="1" x="65"/>
        <item m="1" x="71"/>
        <item m="1" x="32"/>
        <item m="1" x="78"/>
        <item m="1" x="66"/>
        <item x="29"/>
        <item m="1" x="77"/>
        <item m="1" x="73"/>
        <item x="12"/>
        <item x="13"/>
        <item m="1" x="40"/>
        <item m="1" x="64"/>
        <item x="14"/>
        <item m="1" x="48"/>
        <item m="1" x="55"/>
        <item m="1" x="54"/>
        <item m="1" x="74"/>
        <item m="1" x="57"/>
        <item x="15"/>
        <item m="1" x="43"/>
        <item m="1" x="30"/>
        <item x="5"/>
        <item x="10"/>
        <item x="4"/>
        <item x="0"/>
        <item m="1" x="46"/>
        <item m="1" x="56"/>
        <item m="1" x="72"/>
        <item m="1" x="45"/>
        <item m="1" x="49"/>
        <item x="24"/>
        <item x="17"/>
        <item x="19"/>
        <item x="20"/>
        <item x="22"/>
        <item x="23"/>
        <item x="26"/>
        <item x="18"/>
        <item x="28"/>
        <item x="16"/>
        <item x="21"/>
        <item x="27"/>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multipleItemSelectionAllowed="1" showAll="0" defaultSubtotal="0">
      <items count="6">
        <item x="1"/>
        <item h="1" m="1" x="4"/>
        <item h="1" x="0"/>
        <item h="1" m="1" x="2"/>
        <item h="1" m="1" x="3"/>
        <item h="1" m="1" x="5"/>
      </items>
      <extLst>
        <ext xmlns:x14="http://schemas.microsoft.com/office/spreadsheetml/2009/9/main" uri="{2946ED86-A175-432a-8AC1-64E0C546D7DE}">
          <x14:pivotField fillDownLabels="1"/>
        </ext>
      </extLst>
    </pivotField>
    <pivotField axis="axisRow" compact="0" outline="0" subtotalTop="0" showAll="0" defaultSubtotal="0">
      <items count="48">
        <item m="1" x="32"/>
        <item x="15"/>
        <item m="1" x="45"/>
        <item m="1" x="37"/>
        <item x="5"/>
        <item x="6"/>
        <item x="16"/>
        <item x="0"/>
        <item x="22"/>
        <item x="17"/>
        <item x="18"/>
        <item m="1" x="40"/>
        <item m="1" x="27"/>
        <item x="1"/>
        <item m="1" x="47"/>
        <item x="3"/>
        <item m="1" x="43"/>
        <item x="7"/>
        <item x="19"/>
        <item m="1" x="38"/>
        <item m="1" x="31"/>
        <item x="8"/>
        <item x="9"/>
        <item m="1" x="26"/>
        <item x="4"/>
        <item m="1" x="44"/>
        <item x="2"/>
        <item m="1" x="35"/>
        <item x="10"/>
        <item m="1" x="34"/>
        <item x="20"/>
        <item m="1" x="30"/>
        <item x="21"/>
        <item m="1" x="28"/>
        <item m="1" x="29"/>
        <item m="1" x="33"/>
        <item m="1" x="39"/>
        <item m="1" x="36"/>
        <item m="1" x="46"/>
        <item m="1" x="42"/>
        <item x="11"/>
        <item m="1" x="41"/>
        <item x="12"/>
        <item x="13"/>
        <item x="23"/>
        <item x="14"/>
        <item m="1" x="25"/>
        <item x="24"/>
      </items>
      <extLst>
        <ext xmlns:x14="http://schemas.microsoft.com/office/spreadsheetml/2009/9/main" uri="{2946ED86-A175-432a-8AC1-64E0C546D7DE}">
          <x14:pivotField fillDownLabels="1"/>
        </ext>
      </extLst>
    </pivotField>
    <pivotField axis="axisPage" compact="0" outline="0" multipleItemSelectionAllowed="1" showAll="0" defaultSubtotal="0">
      <items count="15">
        <item x="0"/>
        <item x="2"/>
        <item m="1" x="11"/>
        <item h="1" m="1" x="9"/>
        <item m="1" x="7"/>
        <item m="1" x="6"/>
        <item h="1" m="1" x="13"/>
        <item m="1" x="10"/>
        <item h="1" m="1" x="14"/>
        <item h="1" m="1" x="8"/>
        <item h="1" m="1" x="12"/>
        <item h="1" m="1" x="4"/>
        <item h="1" m="1" x="5"/>
        <item x="3"/>
        <item x="1"/>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9"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ubtotalTop="0" showAll="0" defaultSubtotal="0">
      <extLst>
        <ext xmlns:x14="http://schemas.microsoft.com/office/spreadsheetml/2009/9/main" uri="{2946ED86-A175-432a-8AC1-64E0C546D7DE}">
          <x14:pivotField fillDownLabels="1"/>
        </ext>
      </extLst>
    </pivotField>
    <pivotField compact="0" numFmtId="9" outline="0" subtotalTop="0" showAll="0" defaultSubtotal="0">
      <extLst>
        <ext xmlns:x14="http://schemas.microsoft.com/office/spreadsheetml/2009/9/main" uri="{2946ED86-A175-432a-8AC1-64E0C546D7DE}">
          <x14:pivotField fillDownLabels="1"/>
        </ext>
      </extLst>
    </pivotField>
    <pivotField compact="0" numFmtId="9" outline="0" subtotalTop="0" showAll="0" defaultSubtotal="0">
      <extLst>
        <ext xmlns:x14="http://schemas.microsoft.com/office/spreadsheetml/2009/9/main" uri="{2946ED86-A175-432a-8AC1-64E0C546D7DE}">
          <x14:pivotField fillDownLabels="1"/>
        </ext>
      </extLst>
    </pivotField>
    <pivotField compact="0" numFmtId="9" outline="0" subtotalTop="0" showAll="0" defaultSubtotal="0">
      <extLst>
        <ext xmlns:x14="http://schemas.microsoft.com/office/spreadsheetml/2009/9/main" uri="{2946ED86-A175-432a-8AC1-64E0C546D7DE}">
          <x14:pivotField fillDownLabels="1"/>
        </ext>
      </extLst>
    </pivotField>
    <pivotField compact="0" numFmtId="9" outline="0" subtotalTop="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5">
        <item x="0"/>
        <item n="Gap" h="1" x="1"/>
        <item h="1" m="1" x="4"/>
        <item h="1" m="1" x="2"/>
        <item h="1" m="1" x="3"/>
      </items>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52">
        <item x="0"/>
        <item x="1"/>
        <item x="2"/>
        <item m="1" x="29"/>
        <item m="1" x="9"/>
        <item m="1" x="14"/>
        <item m="1" x="33"/>
        <item m="1" x="27"/>
        <item m="1" x="22"/>
        <item m="1" x="7"/>
        <item m="1" x="4"/>
        <item m="1" x="21"/>
        <item m="1" x="25"/>
        <item m="1" x="5"/>
        <item m="1" x="36"/>
        <item m="1" x="34"/>
        <item m="1" x="15"/>
        <item m="1" x="28"/>
        <item m="1" x="42"/>
        <item m="1" x="48"/>
        <item m="1" x="50"/>
        <item m="1" x="46"/>
        <item m="1" x="23"/>
        <item m="1" x="43"/>
        <item m="1" x="37"/>
        <item m="1" x="18"/>
        <item m="1" x="12"/>
        <item m="1" x="51"/>
        <item m="1" x="44"/>
        <item m="1" x="38"/>
        <item m="1" x="39"/>
        <item m="1" x="3"/>
        <item m="1" x="11"/>
        <item m="1" x="19"/>
        <item m="1" x="6"/>
        <item m="1" x="13"/>
        <item m="1" x="17"/>
        <item m="1" x="10"/>
        <item m="1" x="20"/>
        <item m="1" x="47"/>
        <item m="1" x="26"/>
        <item m="1" x="45"/>
        <item m="1" x="41"/>
        <item m="1" x="32"/>
        <item m="1" x="31"/>
        <item m="1" x="35"/>
        <item m="1" x="16"/>
        <item m="1" x="8"/>
        <item m="1" x="24"/>
        <item m="1" x="49"/>
        <item m="1" x="30"/>
        <item m="1" x="4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5">
    <field x="0"/>
    <field x="4"/>
    <field x="5"/>
    <field x="1"/>
    <field x="2"/>
  </rowFields>
  <rowItems count="87">
    <i>
      <x v="26"/>
      <x/>
      <x v="1"/>
      <x v="22"/>
      <x v="20"/>
    </i>
    <i r="3">
      <x v="54"/>
      <x v="48"/>
    </i>
    <i r="3">
      <x v="55"/>
      <x v="49"/>
    </i>
    <i r="3">
      <x v="68"/>
      <x v="62"/>
    </i>
    <i r="2">
      <x v="4"/>
      <x v="11"/>
      <x v="9"/>
    </i>
    <i r="3">
      <x v="54"/>
      <x v="48"/>
    </i>
    <i r="2">
      <x v="5"/>
      <x v="11"/>
      <x v="9"/>
    </i>
    <i r="3">
      <x v="16"/>
      <x v="13"/>
    </i>
    <i r="3">
      <x v="54"/>
      <x v="48"/>
    </i>
    <i r="2">
      <x v="8"/>
      <x v="57"/>
      <x v="52"/>
    </i>
    <i r="2">
      <x v="17"/>
      <x v="11"/>
      <x v="9"/>
    </i>
    <i r="3">
      <x v="16"/>
      <x v="13"/>
    </i>
    <i r="3">
      <x v="22"/>
      <x v="20"/>
    </i>
    <i r="3">
      <x v="63"/>
      <x v="58"/>
    </i>
    <i r="2">
      <x v="21"/>
      <x v="11"/>
      <x v="9"/>
    </i>
    <i r="3">
      <x v="16"/>
      <x v="13"/>
    </i>
    <i r="3">
      <x v="69"/>
      <x v="9"/>
    </i>
    <i r="2">
      <x v="22"/>
      <x v="11"/>
      <x v="9"/>
    </i>
    <i r="2">
      <x v="24"/>
      <x v="9"/>
      <x v="9"/>
    </i>
    <i r="3">
      <x v="11"/>
      <x v="9"/>
    </i>
    <i r="3">
      <x v="16"/>
      <x v="13"/>
    </i>
    <i r="3">
      <x v="22"/>
      <x v="20"/>
    </i>
    <i r="3">
      <x v="55"/>
      <x v="49"/>
    </i>
    <i r="3">
      <x v="63"/>
      <x v="58"/>
    </i>
    <i r="3">
      <x v="67"/>
      <x v="61"/>
    </i>
    <i r="2">
      <x v="28"/>
      <x v="11"/>
      <x v="9"/>
    </i>
    <i r="3">
      <x v="16"/>
      <x v="13"/>
    </i>
    <i r="3">
      <x v="54"/>
      <x v="48"/>
    </i>
    <i r="3">
      <x v="70"/>
      <x v="9"/>
    </i>
    <i r="2">
      <x v="40"/>
      <x v="11"/>
      <x v="9"/>
    </i>
    <i r="3">
      <x v="22"/>
      <x v="20"/>
    </i>
    <i r="3">
      <x v="67"/>
      <x v="61"/>
    </i>
    <i r="2">
      <x v="42"/>
      <x v="11"/>
      <x v="9"/>
    </i>
    <i r="2">
      <x v="43"/>
      <x v="11"/>
      <x v="9"/>
    </i>
    <i r="3">
      <x v="16"/>
      <x v="13"/>
    </i>
    <i r="2">
      <x v="45"/>
      <x v="11"/>
      <x v="9"/>
    </i>
    <i r="3">
      <x v="16"/>
      <x v="13"/>
    </i>
    <i r="3">
      <x v="22"/>
      <x v="20"/>
    </i>
    <i r="3">
      <x v="54"/>
      <x v="48"/>
    </i>
    <i r="3">
      <x v="57"/>
      <x v="52"/>
    </i>
    <i r="3">
      <x v="70"/>
      <x v="9"/>
    </i>
    <i r="3">
      <x v="71"/>
      <x v="63"/>
    </i>
    <i>
      <x v="27"/>
      <x/>
      <x v="1"/>
      <x v="22"/>
      <x v="20"/>
    </i>
    <i r="4">
      <x v="71"/>
    </i>
    <i r="4">
      <x v="77"/>
    </i>
    <i r="3">
      <x v="54"/>
      <x v="79"/>
    </i>
    <i r="3">
      <x v="55"/>
      <x v="49"/>
    </i>
    <i r="4">
      <x v="72"/>
    </i>
    <i r="2">
      <x v="4"/>
      <x v="54"/>
      <x v="48"/>
    </i>
    <i r="3">
      <x v="74"/>
      <x v="73"/>
    </i>
    <i r="2">
      <x v="5"/>
      <x v="16"/>
      <x v="13"/>
    </i>
    <i r="3">
      <x v="54"/>
      <x v="48"/>
    </i>
    <i r="3">
      <x v="74"/>
      <x v="73"/>
    </i>
    <i r="2">
      <x v="8"/>
      <x v="57"/>
      <x v="52"/>
    </i>
    <i r="2">
      <x v="17"/>
      <x v="11"/>
      <x v="9"/>
    </i>
    <i r="3">
      <x v="16"/>
      <x v="13"/>
    </i>
    <i r="3">
      <x v="22"/>
      <x v="71"/>
    </i>
    <i r="3">
      <x v="63"/>
      <x v="58"/>
    </i>
    <i r="2">
      <x v="21"/>
      <x v="16"/>
      <x v="13"/>
    </i>
    <i r="3">
      <x v="74"/>
      <x v="73"/>
    </i>
    <i r="4">
      <x v="80"/>
    </i>
    <i r="2">
      <x v="22"/>
      <x v="74"/>
      <x v="73"/>
    </i>
    <i r="2">
      <x v="24"/>
      <x v="11"/>
      <x v="9"/>
    </i>
    <i r="4">
      <x v="10"/>
    </i>
    <i r="4">
      <x v="70"/>
    </i>
    <i r="4">
      <x v="74"/>
    </i>
    <i r="4">
      <x v="75"/>
    </i>
    <i r="3">
      <x v="16"/>
      <x v="13"/>
    </i>
    <i r="3">
      <x v="22"/>
      <x v="20"/>
    </i>
    <i r="4">
      <x v="71"/>
    </i>
    <i r="3">
      <x v="55"/>
      <x v="49"/>
    </i>
    <i r="3">
      <x v="63"/>
      <x v="58"/>
    </i>
    <i r="2">
      <x v="28"/>
      <x v="16"/>
      <x v="13"/>
    </i>
    <i r="3">
      <x v="54"/>
      <x v="48"/>
    </i>
    <i r="3">
      <x v="74"/>
      <x v="73"/>
    </i>
    <i r="4">
      <x v="76"/>
    </i>
    <i r="2">
      <x v="40"/>
      <x v="22"/>
      <x v="20"/>
    </i>
    <i r="2">
      <x v="42"/>
      <x v="74"/>
      <x v="73"/>
    </i>
    <i r="2">
      <x v="43"/>
      <x v="16"/>
      <x v="13"/>
    </i>
    <i r="3">
      <x v="74"/>
      <x v="73"/>
    </i>
    <i r="2">
      <x v="45"/>
      <x v="16"/>
      <x v="13"/>
    </i>
    <i r="3">
      <x v="22"/>
      <x v="20"/>
    </i>
    <i r="3">
      <x v="54"/>
      <x v="48"/>
    </i>
    <i r="3">
      <x v="57"/>
      <x v="52"/>
    </i>
    <i r="3">
      <x v="74"/>
      <x v="73"/>
    </i>
    <i r="4">
      <x v="76"/>
    </i>
    <i r="4">
      <x v="81"/>
    </i>
  </rowItems>
  <colItems count="1">
    <i/>
  </colItems>
  <pageFields count="3">
    <pageField fld="146" hier="-1"/>
    <pageField fld="6" hier="-1"/>
    <pageField fld="147" hier="-1"/>
  </pageFields>
  <formats count="14">
    <format dxfId="446">
      <pivotArea type="all" dataOnly="0" outline="0" fieldPosition="0"/>
    </format>
    <format dxfId="445">
      <pivotArea outline="0" collapsedLevelsAreSubtotals="1" fieldPosition="0"/>
    </format>
    <format dxfId="444">
      <pivotArea field="4" type="button" dataOnly="0" labelOnly="1" outline="0" axis="axisRow" fieldPosition="1"/>
    </format>
    <format dxfId="443">
      <pivotArea dataOnly="0" labelOnly="1" grandRow="1" outline="0" fieldPosition="0"/>
    </format>
    <format dxfId="442">
      <pivotArea type="all" dataOnly="0" outline="0" fieldPosition="0"/>
    </format>
    <format dxfId="441">
      <pivotArea outline="0" collapsedLevelsAreSubtotals="1" fieldPosition="0"/>
    </format>
    <format dxfId="440">
      <pivotArea type="origin" dataOnly="0" labelOnly="1" outline="0" fieldPosition="0"/>
    </format>
    <format dxfId="439">
      <pivotArea field="146" type="button" dataOnly="0" labelOnly="1" outline="0" axis="axisPage" fieldPosition="0"/>
    </format>
    <format dxfId="438">
      <pivotArea type="topRight" dataOnly="0" labelOnly="1" outline="0" fieldPosition="0"/>
    </format>
    <format dxfId="437">
      <pivotArea dataOnly="0" labelOnly="1" fieldPosition="0">
        <references count="1">
          <reference field="146" count="0"/>
        </references>
      </pivotArea>
    </format>
    <format dxfId="436">
      <pivotArea type="all" dataOnly="0" outline="0" fieldPosition="0"/>
    </format>
    <format dxfId="435">
      <pivotArea outline="0" collapsedLevelsAreSubtotals="1" fieldPosition="0"/>
    </format>
    <format dxfId="434">
      <pivotArea field="4" type="button" dataOnly="0" labelOnly="1" outline="0" axis="axisRow" fieldPosition="1"/>
    </format>
    <format dxfId="433">
      <pivotArea outline="0" collapsedLevelsAreSubtotals="1" fieldPosition="0"/>
    </format>
  </formats>
  <pivotTableStyleInfo name="PivotStyleMedium22"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0800-000009000000}" name="latrine_kachin" cacheId="12"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23">
  <location ref="C124:E132" firstHeaderRow="1" firstDataRow="2" firstDataCol="1" rowPageCount="5" colPageCount="1"/>
  <pivotFields count="160">
    <pivotField axis="axisPage" subtotalTop="0" multipleItemSelectionAllowed="1" showAll="0">
      <items count="29">
        <item m="1" x="26"/>
        <item m="1" x="12"/>
        <item m="1" x="27"/>
        <item m="1" x="19"/>
        <item m="1" x="7"/>
        <item m="1" x="2"/>
        <item m="1" x="25"/>
        <item m="1" x="21"/>
        <item m="1" x="23"/>
        <item m="1" x="24"/>
        <item m="1" x="15"/>
        <item m="1" x="17"/>
        <item m="1" x="20"/>
        <item m="1" x="22"/>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Page" subtotalTop="0" showAll="0">
      <items count="7">
        <item x="1"/>
        <item m="1" x="4"/>
        <item x="0"/>
        <item m="1" x="2"/>
        <item m="1" x="3"/>
        <item m="1" x="5"/>
        <item t="default"/>
      </items>
    </pivotField>
    <pivotField subtotalTop="0" showAll="0"/>
    <pivotField axis="axisPage" multipleItemSelectionAllowed="1" showAll="0" defaultSubtotal="0">
      <items count="15">
        <item x="0"/>
        <item x="2"/>
        <item m="1" x="11"/>
        <item h="1" m="1" x="9"/>
        <item m="1" x="7"/>
        <item m="1" x="6"/>
        <item h="1" m="1" x="13"/>
        <item m="1" x="10"/>
        <item h="1" m="1" x="14"/>
        <item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dataField="1"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axis="axisCol" subtotalTop="0" showAll="0">
      <items count="342">
        <item m="1" x="2"/>
        <item m="1" x="186"/>
        <item m="1" x="209"/>
        <item m="1" x="340"/>
        <item m="1" x="290"/>
        <item m="1" x="180"/>
        <item m="1" x="168"/>
        <item m="1" x="127"/>
        <item m="1" x="289"/>
        <item m="1" x="126"/>
        <item m="1" x="13"/>
        <item m="1" x="274"/>
        <item m="1" x="24"/>
        <item m="1" x="119"/>
        <item m="1" x="303"/>
        <item m="1" x="97"/>
        <item m="1" x="275"/>
        <item m="1" x="296"/>
        <item m="1" x="104"/>
        <item m="1" x="218"/>
        <item m="1" x="80"/>
        <item m="1" x="118"/>
        <item m="1" x="20"/>
        <item m="1" x="204"/>
        <item m="1" x="114"/>
        <item m="1" x="138"/>
        <item m="1" x="25"/>
        <item m="1" x="165"/>
        <item m="1" x="212"/>
        <item m="1" x="146"/>
        <item m="1" x="224"/>
        <item m="1" x="171"/>
        <item m="1" x="107"/>
        <item m="1" x="26"/>
        <item m="1" x="145"/>
        <item m="1" x="50"/>
        <item m="1" x="263"/>
        <item m="1" x="244"/>
        <item m="1" x="213"/>
        <item m="1" x="59"/>
        <item m="1" x="108"/>
        <item m="1" x="128"/>
        <item m="1" x="272"/>
        <item m="1" x="324"/>
        <item m="1" x="115"/>
        <item m="1" x="58"/>
        <item m="1" x="72"/>
        <item m="1" x="170"/>
        <item m="1" x="307"/>
        <item m="1" x="337"/>
        <item m="1" x="273"/>
        <item m="1" x="48"/>
        <item m="1" x="294"/>
        <item m="1" x="43"/>
        <item m="1" x="60"/>
        <item m="1" x="217"/>
        <item m="1" x="210"/>
        <item m="1" x="49"/>
        <item m="1" x="86"/>
        <item m="1" x="129"/>
        <item m="1" x="237"/>
        <item m="1" x="253"/>
        <item m="1" x="116"/>
        <item m="1" x="84"/>
        <item m="1" x="211"/>
        <item m="1" x="36"/>
        <item m="1" x="46"/>
        <item m="1" x="251"/>
        <item m="1" x="318"/>
        <item m="1" x="71"/>
        <item m="1" x="323"/>
        <item m="1" x="133"/>
        <item m="1" x="73"/>
        <item m="1" x="8"/>
        <item m="1" x="93"/>
        <item m="1" x="227"/>
        <item m="1" x="155"/>
        <item m="1" x="111"/>
        <item m="1" x="295"/>
        <item m="1" x="195"/>
        <item m="1" x="179"/>
        <item m="1" x="110"/>
        <item m="1" x="327"/>
        <item m="1" x="246"/>
        <item m="1" x="202"/>
        <item m="1" x="9"/>
        <item m="1" x="103"/>
        <item m="1" x="277"/>
        <item m="1" x="39"/>
        <item m="1" x="254"/>
        <item m="1" x="306"/>
        <item m="1" x="249"/>
        <item m="1" x="29"/>
        <item m="1" x="85"/>
        <item m="1" x="287"/>
        <item m="1" x="181"/>
        <item m="1" x="319"/>
        <item m="1" x="19"/>
        <item m="1" x="260"/>
        <item m="1" x="125"/>
        <item m="1" x="311"/>
        <item m="1" x="74"/>
        <item m="1" x="236"/>
        <item m="1" x="320"/>
        <item m="1" x="187"/>
        <item m="1" x="196"/>
        <item m="1" x="98"/>
        <item m="1" x="120"/>
        <item m="1" x="96"/>
        <item m="1" x="12"/>
        <item m="1" x="79"/>
        <item m="1" x="276"/>
        <item m="1" x="183"/>
        <item m="1" x="162"/>
        <item m="1" x="291"/>
        <item m="1" x="14"/>
        <item m="1" x="109"/>
        <item m="1" x="169"/>
        <item m="1" x="161"/>
        <item m="1" x="243"/>
        <item m="1" x="286"/>
        <item m="1" x="203"/>
        <item m="1" x="139"/>
        <item m="1" x="75"/>
        <item m="1" x="206"/>
        <item m="1" x="10"/>
        <item m="1" x="282"/>
        <item m="1" x="325"/>
        <item m="1" x="140"/>
        <item m="1" x="141"/>
        <item m="1" x="166"/>
        <item m="1" x="328"/>
        <item m="1" x="53"/>
        <item m="1" x="81"/>
        <item m="1" x="87"/>
        <item m="1" x="262"/>
        <item m="1" x="292"/>
        <item m="1" x="338"/>
        <item m="1" x="105"/>
        <item m="1" x="283"/>
        <item m="1" x="221"/>
        <item m="1" x="99"/>
        <item m="1" x="233"/>
        <item m="1" x="308"/>
        <item m="1" x="238"/>
        <item m="1" x="197"/>
        <item m="1" x="135"/>
        <item m="1" x="333"/>
        <item m="1" x="147"/>
        <item m="1" x="316"/>
        <item m="1" x="279"/>
        <item m="1" x="193"/>
        <item m="1" x="266"/>
        <item m="1" x="137"/>
        <item m="1" x="151"/>
        <item m="1" x="317"/>
        <item m="1" x="27"/>
        <item m="1" x="37"/>
        <item m="1" x="269"/>
        <item m="1" x="241"/>
        <item m="1" x="298"/>
        <item m="1" x="23"/>
        <item m="1" x="41"/>
        <item m="1" x="62"/>
        <item m="1" x="143"/>
        <item m="1" x="192"/>
        <item m="1" x="270"/>
        <item m="1" x="159"/>
        <item m="1" x="78"/>
        <item m="1" x="4"/>
        <item m="1" x="231"/>
        <item m="1" x="271"/>
        <item m="1" x="153"/>
        <item m="1" x="160"/>
        <item m="1" x="82"/>
        <item m="1" x="123"/>
        <item m="1" x="61"/>
        <item m="1" x="152"/>
        <item m="1" x="315"/>
        <item m="1" x="184"/>
        <item m="1" x="16"/>
        <item m="1" x="300"/>
        <item m="1" x="150"/>
        <item m="1" x="106"/>
        <item m="1" x="68"/>
        <item m="1" x="226"/>
        <item m="1" x="301"/>
        <item m="1" x="83"/>
        <item m="1" x="144"/>
        <item m="1" x="34"/>
        <item m="1" x="149"/>
        <item m="1" x="230"/>
        <item m="1" x="265"/>
        <item m="1" x="336"/>
        <item m="1" x="113"/>
        <item m="1" x="223"/>
        <item m="1" x="38"/>
        <item m="1" x="305"/>
        <item m="1" x="281"/>
        <item m="1" x="158"/>
        <item m="1" x="51"/>
        <item m="1" x="91"/>
        <item m="1" x="280"/>
        <item m="1" x="200"/>
        <item m="1" x="132"/>
        <item m="1" x="284"/>
        <item m="1" x="76"/>
        <item m="1" x="33"/>
        <item m="1" x="199"/>
        <item m="1" x="44"/>
        <item m="1" x="310"/>
        <item m="1" x="288"/>
        <item m="1" x="156"/>
        <item m="1" x="335"/>
        <item m="1" x="304"/>
        <item m="1" x="299"/>
        <item m="1" x="242"/>
        <item m="1" x="117"/>
        <item m="1" x="121"/>
        <item m="1" x="334"/>
        <item m="1" x="215"/>
        <item m="1" x="339"/>
        <item m="1" x="322"/>
        <item m="1" x="207"/>
        <item m="1" x="314"/>
        <item m="1" x="11"/>
        <item m="1" x="40"/>
        <item m="1" x="293"/>
        <item m="1" x="22"/>
        <item m="1" x="94"/>
        <item m="1" x="131"/>
        <item m="1" x="234"/>
        <item m="1" x="208"/>
        <item m="1" x="164"/>
        <item m="1" x="6"/>
        <item m="1" x="261"/>
        <item m="1" x="190"/>
        <item m="1" x="112"/>
        <item m="1" x="285"/>
        <item m="1" x="100"/>
        <item m="1" x="90"/>
        <item m="1" x="225"/>
        <item m="1" x="229"/>
        <item m="1" x="257"/>
        <item m="1" x="331"/>
        <item m="1" x="45"/>
        <item m="1" x="240"/>
        <item m="1" x="232"/>
        <item m="1" x="77"/>
        <item m="1" x="177"/>
        <item m="1" x="122"/>
        <item m="1" x="124"/>
        <item m="1" x="248"/>
        <item m="1" x="32"/>
        <item m="1" x="256"/>
        <item m="1" x="250"/>
        <item m="1" x="228"/>
        <item m="1" x="65"/>
        <item m="1" x="278"/>
        <item m="1" x="329"/>
        <item m="1" x="172"/>
        <item m="1" x="21"/>
        <item m="1" x="222"/>
        <item m="1" x="67"/>
        <item m="1" x="255"/>
        <item m="1" x="264"/>
        <item m="1" x="89"/>
        <item m="1" x="55"/>
        <item m="1" x="239"/>
        <item m="1" x="247"/>
        <item m="1" x="142"/>
        <item m="1" x="148"/>
        <item m="1" x="188"/>
        <item m="1" x="216"/>
        <item m="1" x="88"/>
        <item m="1" x="176"/>
        <item m="1" x="5"/>
        <item m="1" x="28"/>
        <item m="1" x="64"/>
        <item m="1" x="163"/>
        <item m="1" x="54"/>
        <item m="1" x="198"/>
        <item m="1" x="326"/>
        <item m="1" x="189"/>
        <item m="1" x="297"/>
        <item m="1" x="130"/>
        <item m="1" x="313"/>
        <item m="1" x="175"/>
        <item m="1" x="309"/>
        <item m="1" x="312"/>
        <item m="1" x="174"/>
        <item m="1" x="3"/>
        <item m="1" x="66"/>
        <item m="1" x="31"/>
        <item m="1" x="136"/>
        <item m="1" x="173"/>
        <item m="1" x="220"/>
        <item m="1" x="268"/>
        <item m="1" x="214"/>
        <item m="1" x="321"/>
        <item m="1" x="15"/>
        <item m="1" x="63"/>
        <item m="1" x="167"/>
        <item m="1" x="267"/>
        <item m="1" x="47"/>
        <item m="1" x="52"/>
        <item m="1" x="154"/>
        <item m="1" x="18"/>
        <item m="1" x="92"/>
        <item m="1" x="35"/>
        <item m="1" x="69"/>
        <item m="1" x="42"/>
        <item m="1" x="56"/>
        <item m="1" x="191"/>
        <item m="1" x="182"/>
        <item m="1" x="157"/>
        <item m="1" x="259"/>
        <item m="1" x="17"/>
        <item m="1" x="185"/>
        <item m="1" x="201"/>
        <item m="1" x="302"/>
        <item m="1" x="101"/>
        <item m="1" x="102"/>
        <item m="1" x="194"/>
        <item m="1" x="57"/>
        <item m="1" x="95"/>
        <item m="1" x="7"/>
        <item m="1" x="235"/>
        <item m="1" x="258"/>
        <item m="1" x="252"/>
        <item m="1" x="332"/>
        <item m="1" x="330"/>
        <item m="1" x="70"/>
        <item m="1" x="178"/>
        <item m="1" x="205"/>
        <item m="1" x="245"/>
        <item m="1" x="219"/>
        <item m="1" x="134"/>
        <item m="1" x="30"/>
        <item x="0"/>
        <item x="1"/>
        <item t="default"/>
      </items>
    </pivotField>
    <pivotField subtotalTop="0" showAll="0"/>
    <pivotField subtotalTop="0" showAll="0"/>
    <pivotField subtotalTop="0" showAll="0"/>
    <pivotField axis="axisPage" subtotalTop="0" showAll="0">
      <items count="6">
        <item x="0"/>
        <item x="1"/>
        <item m="1" x="4"/>
        <item m="1" x="2"/>
        <item m="1" x="3"/>
        <item t="default"/>
      </items>
    </pivotField>
    <pivotField axis="axisPage" subtotalTop="0" multipleItemSelectionAllowed="1" showAll="0">
      <items count="53">
        <item x="0"/>
        <item x="1"/>
        <item x="2"/>
        <item m="1" x="29"/>
        <item m="1" x="9"/>
        <item m="1" x="14"/>
        <item m="1" x="33"/>
        <item m="1" x="27"/>
        <item m="1" x="22"/>
        <item m="1" x="7"/>
        <item m="1" x="4"/>
        <item m="1" x="21"/>
        <item m="1" x="25"/>
        <item m="1" x="5"/>
        <item m="1" x="36"/>
        <item m="1" x="34"/>
        <item m="1" x="15"/>
        <item m="1" x="28"/>
        <item m="1" x="42"/>
        <item m="1" x="48"/>
        <item m="1" x="50"/>
        <item m="1" x="46"/>
        <item m="1" x="23"/>
        <item m="1" x="43"/>
        <item m="1" x="37"/>
        <item m="1" x="18"/>
        <item m="1" x="12"/>
        <item m="1" x="51"/>
        <item m="1" x="44"/>
        <item m="1" x="38"/>
        <item m="1" x="39"/>
        <item m="1" x="3"/>
        <item m="1" x="11"/>
        <item m="1" x="19"/>
        <item m="1" x="6"/>
        <item m="1" x="13"/>
        <item m="1" x="17"/>
        <item m="1" x="10"/>
        <item m="1" x="20"/>
        <item m="1" x="47"/>
        <item m="1" x="26"/>
        <item m="1" x="45"/>
        <item m="1" x="41"/>
        <item m="1" x="32"/>
        <item m="1" x="31"/>
        <item m="1" x="35"/>
        <item m="1" x="16"/>
        <item m="1" x="8"/>
        <item m="1" x="24"/>
        <item m="1" x="49"/>
        <item m="1" x="30"/>
        <item m="1" x="40"/>
        <item t="default"/>
      </items>
    </pivotField>
    <pivotField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7">
    <i>
      <x/>
    </i>
    <i i="1">
      <x v="1"/>
    </i>
    <i i="2">
      <x v="2"/>
    </i>
    <i i="3">
      <x v="3"/>
    </i>
    <i i="4">
      <x v="4"/>
    </i>
    <i i="5">
      <x v="5"/>
    </i>
    <i i="6">
      <x v="6"/>
    </i>
  </rowItems>
  <colFields count="1">
    <field x="142"/>
  </colFields>
  <colItems count="2">
    <i>
      <x v="339"/>
    </i>
    <i>
      <x v="340"/>
    </i>
  </colItems>
  <pageFields count="5">
    <pageField fld="147" hier="-1"/>
    <pageField fld="0" hier="-1"/>
    <pageField fld="4" item="0" hier="-1"/>
    <pageField fld="146" item="0" hier="-1"/>
    <pageField fld="6" hier="-1"/>
  </pageFields>
  <dataFields count="7">
    <dataField name="# latrines (target)" fld="112" baseField="0" baseItem="0"/>
    <dataField name="# Operation &amp; maintenance of latrines" fld="46" baseField="0" baseItem="0"/>
    <dataField name="# Latrines desludged" fld="47" baseField="0" baseItem="0"/>
    <dataField name="# handed over" fld="49" baseField="0" baseItem="0"/>
    <dataField name="Sum of # Existing functional latrines" fld="106" baseField="0" baseItem="0"/>
    <dataField name="  Total # of latrine" fld="151" baseField="0" baseItem="0"/>
    <dataField name="Sum of #_Non-functional latrines" fld="45" baseField="0" baseItem="0"/>
  </dataFields>
  <formats count="14">
    <format dxfId="460">
      <pivotArea field="4" type="button" dataOnly="0" labelOnly="1" outline="0" axis="axisPage" fieldPosition="2"/>
    </format>
    <format dxfId="459">
      <pivotArea type="all" dataOnly="0" outline="0" fieldPosition="0"/>
    </format>
    <format dxfId="458">
      <pivotArea type="origin" dataOnly="0" labelOnly="1" outline="0" fieldPosition="0"/>
    </format>
    <format dxfId="457">
      <pivotArea type="topRight" dataOnly="0" labelOnly="1" outline="0" fieldPosition="0"/>
    </format>
    <format dxfId="456">
      <pivotArea field="-2" type="button" dataOnly="0" labelOnly="1" outline="0" axis="axisRow" fieldPosition="0"/>
    </format>
    <format dxfId="455">
      <pivotArea type="all" dataOnly="0" outline="0" fieldPosition="0"/>
    </format>
    <format dxfId="454">
      <pivotArea outline="0" collapsedLevelsAreSubtotals="1" fieldPosition="0"/>
    </format>
    <format dxfId="453">
      <pivotArea type="origin" dataOnly="0" labelOnly="1" outline="0" fieldPosition="0"/>
    </format>
    <format dxfId="452">
      <pivotArea type="topRight" dataOnly="0" labelOnly="1" outline="0" fieldPosition="0"/>
    </format>
    <format dxfId="451">
      <pivotArea field="-2" type="button" dataOnly="0" labelOnly="1" outline="0" axis="axisRow" fieldPosition="0"/>
    </format>
    <format dxfId="450">
      <pivotArea dataOnly="0" labelOnly="1" outline="0" fieldPosition="0">
        <references count="3">
          <reference field="0" count="1" selected="0">
            <x v="7"/>
          </reference>
          <reference field="4" count="1">
            <x v="0"/>
          </reference>
          <reference field="146" count="1" selected="0">
            <x v="0"/>
          </reference>
        </references>
      </pivotArea>
    </format>
    <format dxfId="449">
      <pivotArea type="all" dataOnly="0" outline="0" fieldPosition="0"/>
    </format>
    <format dxfId="448">
      <pivotArea outline="0" collapsedLevelsAreSubtotals="1" fieldPosition="0"/>
    </format>
    <format dxfId="447">
      <pivotArea dataOnly="0" labelOnly="1" outline="0" fieldPosition="0">
        <references count="1">
          <reference field="4294967294" count="1">
            <x v="0"/>
          </reference>
        </references>
      </pivotArea>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2D9DA67A-9FDE-46D1-93AC-F6795F17EF2F}" name="PivotTable2" cacheId="12" applyNumberFormats="0" applyBorderFormats="0" applyFontFormats="0" applyPatternFormats="0" applyAlignmentFormats="0" applyWidthHeightFormats="1" dataCaption="Values" updatedVersion="7" minRefreshableVersion="3" itemPrintTitles="1" createdVersion="6" indent="0" outline="1" outlineData="1" multipleFieldFilters="0">
  <location ref="G216:M218" firstHeaderRow="0" firstDataRow="1" firstDataCol="1" rowPageCount="4" colPageCount="1"/>
  <pivotFields count="160">
    <pivotField axis="axisPage" subtotalTop="0" multipleItemSelectionAllowed="1" showAll="0">
      <items count="29">
        <item h="1" m="1" x="26"/>
        <item m="1" x="12"/>
        <item m="1" x="27"/>
        <item h="1" m="1" x="19"/>
        <item m="1" x="7"/>
        <item h="1" m="1" x="2"/>
        <item h="1" m="1" x="25"/>
        <item h="1" m="1" x="21"/>
        <item h="1" m="1" x="23"/>
        <item m="1" x="24"/>
        <item h="1" m="1" x="15"/>
        <item h="1" m="1" x="17"/>
        <item h="1" m="1" x="20"/>
        <item m="1" x="22"/>
        <item h="1" m="1" x="10"/>
        <item h="1" m="1" x="13"/>
        <item h="1" m="1" x="16"/>
        <item m="1" x="18"/>
        <item h="1" m="1" x="5"/>
        <item h="1" m="1" x="8"/>
        <item h="1" m="1" x="11"/>
        <item m="1" x="14"/>
        <item h="1" m="1" x="3"/>
        <item h="1" m="1" x="4"/>
        <item h="1" m="1" x="6"/>
        <item m="1" x="9"/>
        <item x="0"/>
        <item x="1"/>
        <item t="default"/>
      </items>
    </pivotField>
    <pivotField showAll="0" defaultSubtotal="0"/>
    <pivotField showAll="0" defaultSubtotal="0"/>
    <pivotField subtotalTop="0" showAll="0"/>
    <pivotField axis="axisRow" subtotalTop="0" showAll="0">
      <items count="7">
        <item h="1" x="1"/>
        <item h="1" m="1" x="4"/>
        <item x="0"/>
        <item h="1" m="1" x="2"/>
        <item h="1" m="1" x="3"/>
        <item h="1" m="1" x="5"/>
        <item t="default"/>
      </items>
    </pivotField>
    <pivotField subtotalTop="0" showAll="0"/>
    <pivotField axis="axisPage" multipleItemSelectionAllowed="1" showAll="0" defaultSubtotal="0">
      <items count="15">
        <item x="0"/>
        <item x="2"/>
        <item m="1" x="11"/>
        <item h="1" m="1" x="9"/>
        <item m="1" x="7"/>
        <item m="1" x="6"/>
        <item h="1" m="1" x="13"/>
        <item m="1" x="10"/>
        <item h="1" m="1" x="14"/>
        <item h="1" m="1" x="8"/>
        <item h="1" m="1" x="12"/>
        <item h="1" m="1" x="4"/>
        <item h="1" m="1" x="5"/>
        <item x="3"/>
        <item x="1"/>
      </items>
    </pivotField>
    <pivotField subtotalTop="0" showAl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dataField="1"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dataField="1" numFmtId="1"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axis="axisPage" subtotalTop="0" multipleItemSelectionAllowed="1" showAll="0">
      <items count="53">
        <item x="0"/>
        <item x="1"/>
        <item x="2"/>
        <item m="1" x="29"/>
        <item m="1" x="9"/>
        <item m="1" x="14"/>
        <item m="1" x="33"/>
        <item m="1" x="27"/>
        <item m="1" x="22"/>
        <item m="1" x="7"/>
        <item m="1" x="4"/>
        <item m="1" x="21"/>
        <item m="1" x="25"/>
        <item m="1" x="5"/>
        <item m="1" x="36"/>
        <item m="1" x="34"/>
        <item m="1" x="15"/>
        <item m="1" x="28"/>
        <item m="1" x="42"/>
        <item m="1" x="48"/>
        <item m="1" x="50"/>
        <item m="1" x="46"/>
        <item m="1" x="23"/>
        <item m="1" x="43"/>
        <item m="1" x="37"/>
        <item m="1" x="18"/>
        <item m="1" x="12"/>
        <item m="1" x="51"/>
        <item m="1" x="44"/>
        <item m="1" x="38"/>
        <item m="1" x="39"/>
        <item m="1" x="3"/>
        <item m="1" x="11"/>
        <item m="1" x="19"/>
        <item m="1" x="6"/>
        <item m="1" x="13"/>
        <item m="1" x="17"/>
        <item m="1" x="10"/>
        <item m="1" x="20"/>
        <item m="1" x="47"/>
        <item m="1" x="26"/>
        <item m="1" x="45"/>
        <item m="1" x="41"/>
        <item m="1" x="32"/>
        <item m="1" x="31"/>
        <item m="1" x="35"/>
        <item m="1" x="16"/>
        <item m="1" x="8"/>
        <item m="1" x="24"/>
        <item m="1" x="49"/>
        <item m="1" x="30"/>
        <item m="1" x="40"/>
        <item t="default"/>
      </items>
    </pivotField>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v="2"/>
    </i>
    <i t="grand">
      <x/>
    </i>
  </rowItems>
  <colFields count="1">
    <field x="-2"/>
  </colFields>
  <colItems count="6">
    <i>
      <x/>
    </i>
    <i i="1">
      <x v="1"/>
    </i>
    <i i="2">
      <x v="2"/>
    </i>
    <i i="3">
      <x v="3"/>
    </i>
    <i i="4">
      <x v="4"/>
    </i>
    <i i="5">
      <x v="5"/>
    </i>
  </colItems>
  <pageFields count="4">
    <pageField fld="147" hier="-1"/>
    <pageField fld="0" hier="-1"/>
    <pageField fld="146" item="0" hier="-1"/>
    <pageField fld="6" hier="-1"/>
  </pageFields>
  <dataFields count="6">
    <dataField name="Sum of Total PoP " fld="9" baseField="0" baseItem="0"/>
    <dataField name="Sum of Total HH" fld="8" baseField="2" baseItem="0" numFmtId="3"/>
    <dataField name="Sum of # people reached by regular dedicated hygiene promotion_5" fld="116" baseField="0" baseItem="0"/>
    <dataField name="Sum of #HH with access to Hand Washing Station" fld="127" baseField="2" baseItem="0" numFmtId="3"/>
    <dataField name="Sum of #_households that received standard amount of soap for this quarter" fld="65" baseField="0" baseItem="0"/>
    <dataField name="Sum of # of affected women and girls receiving a sufficient quantity of sanitary pads from direct distribution or from MHM room facilities" fld="66" baseField="0" baseItem="0"/>
  </dataFields>
  <formats count="15">
    <format dxfId="475">
      <pivotArea type="all" dataOnly="0" outline="0" fieldPosition="0"/>
    </format>
    <format dxfId="474">
      <pivotArea type="all" dataOnly="0" outline="0" fieldPosition="0"/>
    </format>
    <format dxfId="473">
      <pivotArea outline="0" collapsedLevelsAreSubtotals="1" fieldPosition="0"/>
    </format>
    <format dxfId="472">
      <pivotArea field="4" type="button" dataOnly="0" labelOnly="1" outline="0" axis="axisRow" fieldPosition="0"/>
    </format>
    <format dxfId="471">
      <pivotArea dataOnly="0" labelOnly="1" fieldPosition="0">
        <references count="1">
          <reference field="4" count="0"/>
        </references>
      </pivotArea>
    </format>
    <format dxfId="470">
      <pivotArea dataOnly="0" labelOnly="1" grandRow="1" outline="0" fieldPosition="0"/>
    </format>
    <format dxfId="469">
      <pivotArea dataOnly="0" labelOnly="1" outline="0" fieldPosition="0">
        <references count="1">
          <reference field="4294967294" count="2">
            <x v="1"/>
            <x v="3"/>
          </reference>
        </references>
      </pivotArea>
    </format>
    <format dxfId="468">
      <pivotArea outline="0" fieldPosition="0">
        <references count="1">
          <reference field="4294967294" count="1">
            <x v="1"/>
          </reference>
        </references>
      </pivotArea>
    </format>
    <format dxfId="467">
      <pivotArea outline="0" fieldPosition="0">
        <references count="1">
          <reference field="4294967294" count="1">
            <x v="3"/>
          </reference>
        </references>
      </pivotArea>
    </format>
    <format dxfId="466">
      <pivotArea type="all" dataOnly="0" outline="0" fieldPosition="0"/>
    </format>
    <format dxfId="465">
      <pivotArea outline="0" collapsedLevelsAreSubtotals="1" fieldPosition="0"/>
    </format>
    <format dxfId="464">
      <pivotArea field="4" type="button" dataOnly="0" labelOnly="1" outline="0" axis="axisRow" fieldPosition="0"/>
    </format>
    <format dxfId="463">
      <pivotArea dataOnly="0" labelOnly="1" fieldPosition="0">
        <references count="1">
          <reference field="4" count="0"/>
        </references>
      </pivotArea>
    </format>
    <format dxfId="462">
      <pivotArea dataOnly="0" labelOnly="1" grandRow="1" outline="0" fieldPosition="0"/>
    </format>
    <format dxfId="461">
      <pivotArea dataOnly="0" labelOnly="1" outline="0" fieldPosition="0">
        <references count="1">
          <reference field="4294967294" count="3">
            <x v="1"/>
            <x v="2"/>
            <x v="3"/>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0800-000005000000}" name="K_L_CG_C" cacheId="12"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37" rowHeaderCaption="State" colHeaderCaption=" ">
  <location ref="B191:D204" firstHeaderRow="0" firstDataRow="1" firstDataCol="1" rowPageCount="5" colPageCount="1"/>
  <pivotFields count="160">
    <pivotField axis="axisPage" subtotalTop="0" multipleItemSelectionAllowed="1" showAll="0">
      <items count="29">
        <item m="1" x="26"/>
        <item m="1" x="12"/>
        <item h="1" m="1" x="19"/>
        <item h="1" m="1" x="2"/>
        <item m="1" x="27"/>
        <item m="1" x="7"/>
        <item h="1" m="1" x="25"/>
        <item h="1" m="1" x="21"/>
        <item h="1" m="1" x="23"/>
        <item m="1" x="24"/>
        <item h="1" m="1" x="15"/>
        <item h="1" m="1" x="17"/>
        <item h="1" m="1" x="20"/>
        <item m="1" x="22"/>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Page" subtotalTop="0" showAll="0">
      <items count="7">
        <item x="1"/>
        <item m="1" x="4"/>
        <item x="0"/>
        <item m="1" x="2"/>
        <item m="1" x="3"/>
        <item m="1" x="5"/>
        <item t="default"/>
      </items>
    </pivotField>
    <pivotField axis="axisRow" subtotalTop="0" showAll="0" sortType="ascending">
      <items count="49">
        <item m="1" x="32"/>
        <item x="15"/>
        <item m="1" x="45"/>
        <item m="1" x="37"/>
        <item x="5"/>
        <item x="6"/>
        <item x="16"/>
        <item x="0"/>
        <item x="22"/>
        <item x="17"/>
        <item x="18"/>
        <item m="1" x="40"/>
        <item m="1" x="27"/>
        <item x="1"/>
        <item m="1" x="47"/>
        <item x="3"/>
        <item m="1" x="43"/>
        <item x="7"/>
        <item x="19"/>
        <item m="1" x="38"/>
        <item m="1" x="31"/>
        <item x="8"/>
        <item x="9"/>
        <item m="1" x="26"/>
        <item x="4"/>
        <item m="1" x="44"/>
        <item x="2"/>
        <item m="1" x="35"/>
        <item x="10"/>
        <item m="1" x="34"/>
        <item x="20"/>
        <item m="1" x="30"/>
        <item x="21"/>
        <item m="1" x="28"/>
        <item m="1" x="29"/>
        <item m="1" x="33"/>
        <item m="1" x="39"/>
        <item m="1" x="36"/>
        <item m="1" x="46"/>
        <item m="1" x="42"/>
        <item x="11"/>
        <item m="1" x="41"/>
        <item x="12"/>
        <item x="13"/>
        <item x="24"/>
        <item x="23"/>
        <item x="14"/>
        <item m="1" x="25"/>
        <item t="default"/>
      </items>
    </pivotField>
    <pivotField axis="axisPage" multipleItemSelectionAllowed="1" showAll="0" defaultSubtotal="0">
      <items count="15">
        <item x="0"/>
        <item x="2"/>
        <item m="1" x="11"/>
        <item h="1" m="1" x="9"/>
        <item m="1" x="7"/>
        <item m="1" x="6"/>
        <item h="1" m="1" x="13"/>
        <item m="1" x="10"/>
        <item h="1" m="1" x="14"/>
        <item h="1"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axis="axisPage" subtotalTop="0" multipleItemSelectionAllowed="1" showAll="0">
      <items count="53">
        <item x="0"/>
        <item x="1"/>
        <item x="2"/>
        <item m="1" x="29"/>
        <item m="1" x="9"/>
        <item m="1" x="14"/>
        <item m="1" x="33"/>
        <item m="1" x="27"/>
        <item m="1" x="22"/>
        <item m="1" x="7"/>
        <item m="1" x="4"/>
        <item m="1" x="21"/>
        <item m="1" x="25"/>
        <item m="1" x="5"/>
        <item m="1" x="36"/>
        <item m="1" x="34"/>
        <item m="1" x="15"/>
        <item m="1" x="28"/>
        <item m="1" x="42"/>
        <item m="1" x="48"/>
        <item m="1" x="50"/>
        <item m="1" x="46"/>
        <item m="1" x="23"/>
        <item m="1" x="43"/>
        <item m="1" x="37"/>
        <item m="1" x="18"/>
        <item m="1" x="12"/>
        <item m="1" x="51"/>
        <item m="1" x="44"/>
        <item m="1" x="38"/>
        <item m="1" x="39"/>
        <item m="1" x="3"/>
        <item m="1" x="11"/>
        <item m="1" x="19"/>
        <item m="1" x="6"/>
        <item m="1" x="13"/>
        <item m="1" x="17"/>
        <item m="1" x="10"/>
        <item m="1" x="20"/>
        <item m="1" x="47"/>
        <item m="1" x="26"/>
        <item m="1" x="45"/>
        <item m="1" x="41"/>
        <item m="1" x="32"/>
        <item m="1" x="31"/>
        <item m="1" x="35"/>
        <item m="1" x="16"/>
        <item m="1" x="8"/>
        <item m="1" x="24"/>
        <item m="1" x="49"/>
        <item m="1" x="30"/>
        <item m="1" x="40"/>
        <item t="default"/>
      </items>
    </pivotField>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s>
  <rowFields count="1">
    <field x="5"/>
  </rowFields>
  <rowItems count="13">
    <i>
      <x v="1"/>
    </i>
    <i>
      <x v="4"/>
    </i>
    <i>
      <x v="5"/>
    </i>
    <i>
      <x v="8"/>
    </i>
    <i>
      <x v="17"/>
    </i>
    <i>
      <x v="21"/>
    </i>
    <i>
      <x v="22"/>
    </i>
    <i>
      <x v="24"/>
    </i>
    <i>
      <x v="28"/>
    </i>
    <i>
      <x v="40"/>
    </i>
    <i>
      <x v="42"/>
    </i>
    <i>
      <x v="43"/>
    </i>
    <i>
      <x v="46"/>
    </i>
  </rowItems>
  <colFields count="1">
    <field x="-2"/>
  </colFields>
  <colItems count="2">
    <i>
      <x/>
    </i>
    <i i="1">
      <x v="1"/>
    </i>
  </colItems>
  <pageFields count="5">
    <pageField fld="147" hier="-1"/>
    <pageField fld="0" hier="-1"/>
    <pageField fld="146" item="0" hier="-1"/>
    <pageField fld="4" item="0" hier="-1"/>
    <pageField fld="6" hier="-1"/>
  </pageFields>
  <dataFields count="2">
    <dataField name=" % Latrine Coverage" fld="157" baseField="0" baseItem="0" numFmtId="1"/>
    <dataField name="  % Latrine GAP" fld="158" baseField="0" baseItem="0" numFmtId="1"/>
  </dataFields>
  <formats count="11">
    <format dxfId="486">
      <pivotArea type="all" dataOnly="0" outline="0" fieldPosition="0"/>
    </format>
    <format dxfId="485">
      <pivotArea outline="0" collapsedLevelsAreSubtotals="1" fieldPosition="0"/>
    </format>
    <format dxfId="484">
      <pivotArea field="4" type="button" dataOnly="0" labelOnly="1" outline="0" axis="axisPage" fieldPosition="3"/>
    </format>
    <format dxfId="483">
      <pivotArea type="all" dataOnly="0" outline="0" fieldPosition="0"/>
    </format>
    <format dxfId="482">
      <pivotArea outline="0" collapsedLevelsAreSubtotals="1" fieldPosition="0"/>
    </format>
    <format dxfId="481">
      <pivotArea outline="0" collapsedLevelsAreSubtotals="1" fieldPosition="0"/>
    </format>
    <format dxfId="480">
      <pivotArea field="5" type="button" dataOnly="0" labelOnly="1" outline="0" axis="axisRow" fieldPosition="0"/>
    </format>
    <format dxfId="479">
      <pivotArea field="5" type="button" dataOnly="0" labelOnly="1" outline="0" axis="axisRow" fieldPosition="0"/>
    </format>
    <format dxfId="478">
      <pivotArea field="5" type="button" dataOnly="0" labelOnly="1" outline="0" axis="axisRow" fieldPosition="0"/>
    </format>
    <format dxfId="477">
      <pivotArea field="4" type="button" dataOnly="0" labelOnly="1" outline="0" axis="axisPage" fieldPosition="3"/>
    </format>
    <format dxfId="476">
      <pivotArea dataOnly="0" labelOnly="1" outline="0" fieldPosition="0">
        <references count="2">
          <reference field="4" count="1">
            <x v="0"/>
          </reference>
          <reference field="146" count="1" selected="0">
            <x v="0"/>
          </reference>
        </references>
      </pivotArea>
    </format>
  </formats>
  <conditionalFormats count="1">
    <conditionalFormat priority="7">
      <pivotAreas count="1">
        <pivotArea type="data" outline="0" collapsedLevelsAreSubtotals="1" fieldPosition="0">
          <references count="1">
            <reference field="4294967294" count="1" selected="0">
              <x v="1"/>
            </reference>
          </references>
        </pivotArea>
      </pivotAreas>
    </conditionalFormat>
  </conditionalFormats>
  <chartFormats count="2">
    <chartFormat chart="34" format="3" series="1">
      <pivotArea type="data" outline="0" fieldPosition="0">
        <references count="1">
          <reference field="4294967294" count="1" selected="0">
            <x v="0"/>
          </reference>
        </references>
      </pivotArea>
    </chartFormat>
    <chartFormat chart="34" format="4"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5884CAAA-68D5-413C-89CE-FFAB15FA28ED}" name="PivotTable17" cacheId="12"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97">
  <location ref="R11:S16" firstHeaderRow="1" firstDataRow="1" firstDataCol="1" rowPageCount="3" colPageCount="1"/>
  <pivotFields count="160">
    <pivotField axis="axisPage" subtotalTop="0" multipleItemSelectionAllowed="1" showAll="0" defaultSubtotal="0">
      <items count="28">
        <item h="1" m="1" x="26"/>
        <item m="1" x="12"/>
        <item h="1" m="1" x="19"/>
        <item h="1" m="1" x="2"/>
        <item m="1" x="27"/>
        <item m="1" x="7"/>
        <item h="1" m="1" x="25"/>
        <item h="1" m="1" x="21"/>
        <item h="1" m="1" x="23"/>
        <item m="1" x="24"/>
        <item h="1" m="1" x="15"/>
        <item h="1" m="1" x="17"/>
        <item h="1" m="1" x="20"/>
        <item m="1" x="22"/>
        <item h="1" m="1" x="10"/>
        <item h="1" m="1" x="13"/>
        <item h="1" m="1" x="16"/>
        <item m="1" x="18"/>
        <item h="1" m="1" x="5"/>
        <item h="1" m="1" x="8"/>
        <item h="1" m="1" x="11"/>
        <item m="1" x="14"/>
        <item h="1" m="1" x="3"/>
        <item h="1" m="1" x="4"/>
        <item h="1" m="1" x="6"/>
        <item m="1" x="9"/>
        <item h="1" x="0"/>
        <item x="1"/>
      </items>
    </pivotField>
    <pivotField showAll="0" defaultSubtotal="0"/>
    <pivotField showAll="0" defaultSubtotal="0"/>
    <pivotField subtotalTop="0" showAll="0" defaultSubtotal="0"/>
    <pivotField axis="axisPage" subtotalTop="0" multipleItemSelectionAllowed="1" showAll="0" defaultSubtotal="0">
      <items count="6">
        <item x="1"/>
        <item h="1" m="1" x="4"/>
        <item h="1" x="0"/>
        <item h="1" m="1" x="2"/>
        <item h="1" m="1" x="3"/>
        <item h="1" m="1" x="5"/>
      </items>
    </pivotField>
    <pivotField subtotalTop="0" showAll="0" defaultSubtotal="0"/>
    <pivotField axis="axisPage" multipleItemSelectionAllowed="1" showAll="0" defaultSubtotal="0">
      <items count="15">
        <item x="0"/>
        <item x="2"/>
        <item m="1" x="11"/>
        <item m="1" x="7"/>
        <item m="1" x="6"/>
        <item h="1" m="1" x="13"/>
        <item m="1" x="10"/>
        <item h="1" m="1" x="14"/>
        <item h="1" m="1" x="8"/>
        <item h="1" m="1" x="9"/>
        <item h="1" m="1" x="12"/>
        <item h="1" m="1" x="4"/>
        <item h="1" m="1" x="5"/>
        <item x="3"/>
        <item x="1"/>
      </items>
    </pivotField>
    <pivotField dataField="1" subtotalTop="0"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numFmtId="9" subtotalTop="0" showAll="0" defaultSubtotal="0"/>
    <pivotField showAll="0" defaultSubtotal="0"/>
    <pivotField subtotalTop="0" showAll="0" defaultSubtotal="0"/>
    <pivotField subtotalTop="0" showAll="0" defaultSubtotal="0"/>
    <pivotField numFmtId="1" showAll="0" defaultSubtotal="0"/>
    <pivotField numFmtId="9" showAll="0" defaultSubtotal="0"/>
    <pivotField numFmtId="1" showAll="0" defaultSubtotal="0"/>
    <pivotField showAll="0" defaultSubtotal="0"/>
    <pivotField showAll="0" defaultSubtotal="0"/>
    <pivotField numFmtId="1" showAll="0" defaultSubtotal="0"/>
    <pivotField subtotalTop="0" showAll="0" defaultSubtotal="0"/>
    <pivotField numFmtId="1" subtotalTop="0" showAll="0" defaultSubtotal="0"/>
    <pivotField numFmtId="9" subtotalTop="0" showAll="0" defaultSubtota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defaultSubtotal="0"/>
    <pivotField subtotalTop="0" showAll="0" defaultSubtotal="0"/>
    <pivotField subtotalTop="0" showAll="0" defaultSubtotal="0"/>
    <pivotField numFmtId="9" subtotalTop="0" showAll="0" defaultSubtotal="0"/>
    <pivotField numFmtId="9" subtotalTop="0" showAll="0" defaultSubtotal="0"/>
    <pivotField numFmtId="1" showAll="0" defaultSubtotal="0"/>
    <pivotField subtotalTop="0" showAll="0" defaultSubtotal="0"/>
    <pivotField numFmtId="1" showAll="0" defaultSubtotal="0"/>
    <pivotField numFmtId="1" showAll="0" defaultSubtotal="0"/>
    <pivotField showAll="0" defaultSubtotal="0"/>
    <pivotField numFmtId="9" showAll="0" defaultSubtotal="0"/>
    <pivotField numFmtId="164" showAll="0" defaultSubtotal="0"/>
    <pivotField numFmtId="164" showAll="0" defaultSubtotal="0"/>
    <pivotField numFmtId="164" showAll="0" defaultSubtotal="0"/>
    <pivotField numFmtId="164" showAll="0" defaultSubtotal="0"/>
    <pivotField showAll="0" defaultSubtotal="0"/>
    <pivotField numFmtId="164" showAll="0" defaultSubtotal="0"/>
    <pivotField subtotalTop="0" showAll="0" defaultSubtotal="0"/>
    <pivotField subtotalTop="0" showAll="0" defaultSubtotal="0"/>
    <pivotField subtotalTop="0" showAll="0" defaultSubtotal="0"/>
    <pivotField subtotalTop="0" showAll="0" defaultSubtotal="0"/>
    <pivotField subtotalTop="0" showAll="0" defaultSubtotal="0">
      <items count="341">
        <item m="1" x="2"/>
        <item m="1" x="186"/>
        <item m="1" x="209"/>
        <item m="1" x="340"/>
        <item m="1" x="290"/>
        <item m="1" x="180"/>
        <item m="1" x="168"/>
        <item m="1" x="127"/>
        <item m="1" x="289"/>
        <item m="1" x="126"/>
        <item m="1" x="13"/>
        <item m="1" x="274"/>
        <item m="1" x="24"/>
        <item m="1" x="119"/>
        <item m="1" x="303"/>
        <item m="1" x="97"/>
        <item m="1" x="275"/>
        <item m="1" x="296"/>
        <item m="1" x="104"/>
        <item m="1" x="218"/>
        <item m="1" x="80"/>
        <item m="1" x="118"/>
        <item m="1" x="20"/>
        <item m="1" x="204"/>
        <item m="1" x="114"/>
        <item m="1" x="138"/>
        <item m="1" x="25"/>
        <item m="1" x="165"/>
        <item m="1" x="212"/>
        <item m="1" x="146"/>
        <item m="1" x="224"/>
        <item m="1" x="171"/>
        <item m="1" x="107"/>
        <item m="1" x="26"/>
        <item m="1" x="145"/>
        <item m="1" x="50"/>
        <item m="1" x="263"/>
        <item m="1" x="244"/>
        <item m="1" x="213"/>
        <item m="1" x="59"/>
        <item m="1" x="108"/>
        <item m="1" x="128"/>
        <item m="1" x="272"/>
        <item m="1" x="324"/>
        <item m="1" x="115"/>
        <item m="1" x="58"/>
        <item m="1" x="72"/>
        <item m="1" x="170"/>
        <item m="1" x="307"/>
        <item m="1" x="337"/>
        <item m="1" x="273"/>
        <item m="1" x="48"/>
        <item m="1" x="294"/>
        <item m="1" x="43"/>
        <item m="1" x="60"/>
        <item m="1" x="217"/>
        <item m="1" x="210"/>
        <item m="1" x="49"/>
        <item m="1" x="86"/>
        <item m="1" x="129"/>
        <item m="1" x="237"/>
        <item m="1" x="253"/>
        <item m="1" x="116"/>
        <item m="1" x="84"/>
        <item m="1" x="211"/>
        <item m="1" x="36"/>
        <item m="1" x="46"/>
        <item m="1" x="251"/>
        <item m="1" x="318"/>
        <item m="1" x="71"/>
        <item m="1" x="323"/>
        <item m="1" x="133"/>
        <item m="1" x="73"/>
        <item m="1" x="8"/>
        <item m="1" x="93"/>
        <item m="1" x="227"/>
        <item m="1" x="155"/>
        <item m="1" x="111"/>
        <item m="1" x="295"/>
        <item m="1" x="195"/>
        <item m="1" x="179"/>
        <item m="1" x="110"/>
        <item m="1" x="327"/>
        <item m="1" x="246"/>
        <item m="1" x="202"/>
        <item m="1" x="9"/>
        <item m="1" x="103"/>
        <item m="1" x="277"/>
        <item m="1" x="39"/>
        <item m="1" x="254"/>
        <item m="1" x="306"/>
        <item m="1" x="249"/>
        <item m="1" x="29"/>
        <item m="1" x="85"/>
        <item m="1" x="287"/>
        <item m="1" x="181"/>
        <item m="1" x="319"/>
        <item m="1" x="19"/>
        <item m="1" x="260"/>
        <item m="1" x="125"/>
        <item m="1" x="311"/>
        <item m="1" x="74"/>
        <item m="1" x="236"/>
        <item m="1" x="320"/>
        <item m="1" x="187"/>
        <item m="1" x="196"/>
        <item m="1" x="98"/>
        <item m="1" x="120"/>
        <item m="1" x="96"/>
        <item m="1" x="12"/>
        <item m="1" x="79"/>
        <item m="1" x="276"/>
        <item m="1" x="183"/>
        <item m="1" x="162"/>
        <item m="1" x="291"/>
        <item m="1" x="14"/>
        <item m="1" x="109"/>
        <item m="1" x="169"/>
        <item m="1" x="161"/>
        <item m="1" x="243"/>
        <item m="1" x="286"/>
        <item m="1" x="203"/>
        <item m="1" x="139"/>
        <item m="1" x="75"/>
        <item m="1" x="206"/>
        <item m="1" x="10"/>
        <item m="1" x="282"/>
        <item m="1" x="325"/>
        <item m="1" x="140"/>
        <item m="1" x="141"/>
        <item m="1" x="166"/>
        <item m="1" x="328"/>
        <item m="1" x="53"/>
        <item m="1" x="81"/>
        <item m="1" x="87"/>
        <item m="1" x="262"/>
        <item m="1" x="292"/>
        <item m="1" x="338"/>
        <item m="1" x="105"/>
        <item m="1" x="283"/>
        <item m="1" x="221"/>
        <item m="1" x="99"/>
        <item m="1" x="233"/>
        <item m="1" x="308"/>
        <item m="1" x="238"/>
        <item m="1" x="197"/>
        <item m="1" x="135"/>
        <item m="1" x="333"/>
        <item m="1" x="147"/>
        <item m="1" x="316"/>
        <item m="1" x="279"/>
        <item m="1" x="193"/>
        <item m="1" x="266"/>
        <item m="1" x="137"/>
        <item m="1" x="151"/>
        <item m="1" x="317"/>
        <item m="1" x="27"/>
        <item m="1" x="37"/>
        <item m="1" x="269"/>
        <item m="1" x="241"/>
        <item m="1" x="298"/>
        <item m="1" x="23"/>
        <item m="1" x="41"/>
        <item m="1" x="62"/>
        <item m="1" x="143"/>
        <item m="1" x="192"/>
        <item m="1" x="270"/>
        <item m="1" x="159"/>
        <item m="1" x="78"/>
        <item m="1" x="4"/>
        <item m="1" x="231"/>
        <item m="1" x="271"/>
        <item m="1" x="153"/>
        <item m="1" x="160"/>
        <item m="1" x="82"/>
        <item m="1" x="123"/>
        <item m="1" x="61"/>
        <item m="1" x="152"/>
        <item m="1" x="315"/>
        <item m="1" x="184"/>
        <item m="1" x="16"/>
        <item m="1" x="300"/>
        <item m="1" x="150"/>
        <item m="1" x="106"/>
        <item m="1" x="68"/>
        <item m="1" x="226"/>
        <item m="1" x="301"/>
        <item m="1" x="83"/>
        <item m="1" x="144"/>
        <item m="1" x="34"/>
        <item m="1" x="149"/>
        <item m="1" x="230"/>
        <item m="1" x="265"/>
        <item m="1" x="336"/>
        <item m="1" x="113"/>
        <item m="1" x="223"/>
        <item m="1" x="38"/>
        <item m="1" x="305"/>
        <item m="1" x="281"/>
        <item m="1" x="158"/>
        <item m="1" x="51"/>
        <item m="1" x="91"/>
        <item m="1" x="280"/>
        <item m="1" x="200"/>
        <item m="1" x="132"/>
        <item m="1" x="284"/>
        <item m="1" x="76"/>
        <item m="1" x="33"/>
        <item m="1" x="199"/>
        <item m="1" x="44"/>
        <item m="1" x="310"/>
        <item m="1" x="288"/>
        <item m="1" x="156"/>
        <item m="1" x="335"/>
        <item m="1" x="304"/>
        <item m="1" x="299"/>
        <item m="1" x="242"/>
        <item m="1" x="117"/>
        <item m="1" x="121"/>
        <item m="1" x="334"/>
        <item m="1" x="215"/>
        <item m="1" x="339"/>
        <item m="1" x="322"/>
        <item m="1" x="207"/>
        <item m="1" x="314"/>
        <item m="1" x="11"/>
        <item m="1" x="40"/>
        <item m="1" x="293"/>
        <item m="1" x="22"/>
        <item m="1" x="94"/>
        <item m="1" x="131"/>
        <item m="1" x="234"/>
        <item m="1" x="208"/>
        <item m="1" x="164"/>
        <item m="1" x="6"/>
        <item m="1" x="261"/>
        <item m="1" x="190"/>
        <item m="1" x="112"/>
        <item m="1" x="285"/>
        <item m="1" x="100"/>
        <item m="1" x="90"/>
        <item m="1" x="225"/>
        <item m="1" x="229"/>
        <item m="1" x="257"/>
        <item m="1" x="331"/>
        <item m="1" x="45"/>
        <item m="1" x="240"/>
        <item m="1" x="232"/>
        <item m="1" x="77"/>
        <item m="1" x="177"/>
        <item m="1" x="122"/>
        <item m="1" x="124"/>
        <item m="1" x="248"/>
        <item m="1" x="32"/>
        <item m="1" x="256"/>
        <item m="1" x="250"/>
        <item m="1" x="228"/>
        <item m="1" x="65"/>
        <item m="1" x="278"/>
        <item m="1" x="329"/>
        <item m="1" x="172"/>
        <item m="1" x="21"/>
        <item m="1" x="222"/>
        <item m="1" x="67"/>
        <item m="1" x="255"/>
        <item m="1" x="264"/>
        <item m="1" x="89"/>
        <item m="1" x="55"/>
        <item m="1" x="239"/>
        <item m="1" x="247"/>
        <item m="1" x="142"/>
        <item m="1" x="148"/>
        <item m="1" x="188"/>
        <item m="1" x="216"/>
        <item m="1" x="88"/>
        <item m="1" x="176"/>
        <item m="1" x="5"/>
        <item m="1" x="28"/>
        <item m="1" x="64"/>
        <item m="1" x="163"/>
        <item m="1" x="54"/>
        <item m="1" x="198"/>
        <item m="1" x="326"/>
        <item m="1" x="189"/>
        <item m="1" x="297"/>
        <item m="1" x="130"/>
        <item m="1" x="313"/>
        <item m="1" x="175"/>
        <item m="1" x="309"/>
        <item m="1" x="312"/>
        <item m="1" x="174"/>
        <item m="1" x="3"/>
        <item m="1" x="66"/>
        <item m="1" x="31"/>
        <item m="1" x="136"/>
        <item m="1" x="173"/>
        <item m="1" x="220"/>
        <item m="1" x="268"/>
        <item m="1" x="214"/>
        <item m="1" x="321"/>
        <item m="1" x="15"/>
        <item m="1" x="63"/>
        <item m="1" x="167"/>
        <item m="1" x="267"/>
        <item m="1" x="47"/>
        <item m="1" x="52"/>
        <item m="1" x="154"/>
        <item m="1" x="18"/>
        <item m="1" x="92"/>
        <item m="1" x="35"/>
        <item m="1" x="69"/>
        <item m="1" x="42"/>
        <item m="1" x="56"/>
        <item m="1" x="191"/>
        <item m="1" x="182"/>
        <item m="1" x="157"/>
        <item m="1" x="259"/>
        <item m="1" x="17"/>
        <item m="1" x="185"/>
        <item m="1" x="201"/>
        <item m="1" x="302"/>
        <item m="1" x="101"/>
        <item m="1" x="102"/>
        <item m="1" x="194"/>
        <item m="1" x="57"/>
        <item m="1" x="95"/>
        <item m="1" x="7"/>
        <item m="1" x="235"/>
        <item m="1" x="258"/>
        <item m="1" x="252"/>
        <item m="1" x="332"/>
        <item m="1" x="330"/>
        <item m="1" x="70"/>
        <item m="1" x="178"/>
        <item m="1" x="205"/>
        <item m="1" x="245"/>
        <item m="1" x="219"/>
        <item m="1" x="134"/>
        <item m="1" x="30"/>
        <item x="0"/>
        <item x="1"/>
      </items>
    </pivotField>
    <pivotField subtotalTop="0" showAll="0" defaultSubtotal="0"/>
    <pivotField subtotalTop="0" showAll="0" defaultSubtotal="0"/>
    <pivotField subtotalTop="0" showAll="0" defaultSubtotal="0"/>
    <pivotField axis="axisRow" subtotalTop="0" showAll="0" defaultSubtotal="0">
      <items count="5">
        <item n="Covered_x000a_(119 camps)" x="0"/>
        <item x="1"/>
        <item m="1" x="4"/>
        <item m="1" x="2"/>
        <item m="1" x="3"/>
      </items>
    </pivotField>
    <pivotField axis="axisRow" subtotalTop="0" showAll="0" defaultSubtotal="0">
      <items count="52">
        <item m="1" x="38"/>
        <item m="1" x="33"/>
        <item m="1" x="36"/>
        <item m="1" x="47"/>
        <item m="1" x="12"/>
        <item m="1" x="44"/>
        <item m="1" x="3"/>
        <item m="1" x="49"/>
        <item m="1" x="16"/>
        <item m="1" x="48"/>
        <item m="1" x="8"/>
        <item m="1" x="17"/>
        <item m="1" x="23"/>
        <item m="1" x="29"/>
        <item m="1" x="10"/>
        <item m="1" x="35"/>
        <item m="1" x="13"/>
        <item m="1" x="51"/>
        <item x="2"/>
        <item m="1" x="30"/>
        <item m="1" x="11"/>
        <item m="1" x="24"/>
        <item m="1" x="40"/>
        <item m="1" x="6"/>
        <item n="reported" x="0"/>
        <item m="1" x="34"/>
        <item m="1" x="32"/>
        <item m="1" x="46"/>
        <item m="1" x="5"/>
        <item m="1" x="15"/>
        <item m="1" x="7"/>
        <item m="1" x="27"/>
        <item m="1" x="50"/>
        <item m="1" x="42"/>
        <item m="1" x="31"/>
        <item m="1" x="26"/>
        <item m="1" x="14"/>
        <item m="1" x="21"/>
        <item m="1" x="19"/>
        <item m="1" x="20"/>
        <item m="1" x="43"/>
        <item m="1" x="25"/>
        <item m="1" x="45"/>
        <item m="1" x="9"/>
        <item m="1" x="37"/>
        <item m="1" x="22"/>
        <item m="1" x="4"/>
        <item m="1" x="39"/>
        <item m="1" x="18"/>
        <item m="1" x="28"/>
        <item m="1" x="41"/>
        <item n="not reported" x="1"/>
      </items>
    </pivotField>
    <pivotField subtotalTop="0"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146"/>
    <field x="147"/>
  </rowFields>
  <rowItems count="5">
    <i>
      <x/>
    </i>
    <i r="1">
      <x v="18"/>
    </i>
    <i r="1">
      <x v="24"/>
    </i>
    <i>
      <x v="1"/>
    </i>
    <i r="1">
      <x v="51"/>
    </i>
  </rowItems>
  <colItems count="1">
    <i/>
  </colItems>
  <pageFields count="3">
    <pageField fld="0" hier="-1"/>
    <pageField fld="6" hier="-1"/>
    <pageField fld="4" hier="-1"/>
  </pageFields>
  <dataFields count="1">
    <dataField name="Count of Site Name" fld="7" subtotal="count" baseField="0" baseItem="0"/>
  </dataFields>
  <formats count="12">
    <format dxfId="498">
      <pivotArea type="all" dataOnly="0" outline="0" fieldPosition="0"/>
    </format>
    <format dxfId="497">
      <pivotArea outline="0" collapsedLevelsAreSubtotals="1" fieldPosition="0"/>
    </format>
    <format dxfId="496">
      <pivotArea field="142" type="button" dataOnly="0" labelOnly="1" outline="0"/>
    </format>
    <format dxfId="495">
      <pivotArea type="all" dataOnly="0" outline="0" fieldPosition="0"/>
    </format>
    <format dxfId="494">
      <pivotArea field="142" type="button" dataOnly="0" labelOnly="1" outline="0"/>
    </format>
    <format dxfId="493">
      <pivotArea field="142" type="button" dataOnly="0" labelOnly="1" outline="0"/>
    </format>
    <format dxfId="492">
      <pivotArea type="all" dataOnly="0" outline="0" fieldPosition="0"/>
    </format>
    <format dxfId="491">
      <pivotArea outline="0" collapsedLevelsAreSubtotals="1" fieldPosition="0"/>
    </format>
    <format dxfId="490">
      <pivotArea field="142" type="button" dataOnly="0" labelOnly="1" outline="0"/>
    </format>
    <format dxfId="489">
      <pivotArea field="4" type="button" dataOnly="0" labelOnly="1" outline="0" axis="axisPage" fieldPosition="2"/>
    </format>
    <format dxfId="488">
      <pivotArea dataOnly="0" labelOnly="1" outline="0" fieldPosition="0">
        <references count="2">
          <reference field="4" count="0"/>
          <reference field="146" count="1" selected="0">
            <x v="0"/>
          </reference>
        </references>
      </pivotArea>
    </format>
    <format dxfId="487">
      <pivotArea outline="0" collapsedLevelsAreSubtotals="1" fieldPosition="0"/>
    </format>
  </formats>
  <chartFormats count="7">
    <chartFormat chart="62" format="2" series="1">
      <pivotArea type="data" outline="0" fieldPosition="0">
        <references count="2">
          <reference field="4294967294" count="1" selected="0">
            <x v="0"/>
          </reference>
          <reference field="146" count="1" selected="0">
            <x v="1"/>
          </reference>
        </references>
      </pivotArea>
    </chartFormat>
    <chartFormat chart="62" format="6" series="1">
      <pivotArea type="data" outline="0" fieldPosition="0">
        <references count="2">
          <reference field="4294967294" count="1" selected="0">
            <x v="0"/>
          </reference>
          <reference field="146" count="1" selected="0">
            <x v="0"/>
          </reference>
        </references>
      </pivotArea>
    </chartFormat>
    <chartFormat chart="62" format="7" series="1">
      <pivotArea type="data" outline="0" fieldPosition="0">
        <references count="1">
          <reference field="4294967294" count="1" selected="0">
            <x v="0"/>
          </reference>
        </references>
      </pivotArea>
    </chartFormat>
    <chartFormat chart="64" format="15" series="1">
      <pivotArea type="data" outline="0" fieldPosition="0">
        <references count="1">
          <reference field="4294967294" count="1" selected="0">
            <x v="0"/>
          </reference>
        </references>
      </pivotArea>
    </chartFormat>
    <chartFormat chart="64" format="20">
      <pivotArea type="data" outline="0" fieldPosition="0">
        <references count="3">
          <reference field="4294967294" count="1" selected="0">
            <x v="0"/>
          </reference>
          <reference field="146" count="1" selected="0">
            <x v="0"/>
          </reference>
          <reference field="147" count="1" selected="0">
            <x v="51"/>
          </reference>
        </references>
      </pivotArea>
    </chartFormat>
    <chartFormat chart="64" format="21">
      <pivotArea type="data" outline="0" fieldPosition="0">
        <references count="3">
          <reference field="4294967294" count="1" selected="0">
            <x v="0"/>
          </reference>
          <reference field="146" count="1" selected="0">
            <x v="0"/>
          </reference>
          <reference field="147" count="1" selected="0">
            <x v="18"/>
          </reference>
        </references>
      </pivotArea>
    </chartFormat>
    <chartFormat chart="62" format="12">
      <pivotArea type="data" outline="0" fieldPosition="0">
        <references count="3">
          <reference field="4294967294" count="1" selected="0">
            <x v="0"/>
          </reference>
          <reference field="146" count="1" selected="0">
            <x v="0"/>
          </reference>
          <reference field="147" count="1" selected="0">
            <x v="18"/>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6038FF-6AB3-4B63-8C87-A3F4B720896E}" name="PivotTable2" cacheId="12" applyNumberFormats="0" applyBorderFormats="0" applyFontFormats="0" applyPatternFormats="0" applyAlignmentFormats="0" applyWidthHeightFormats="1" dataCaption="Values" updatedVersion="7" minRefreshableVersion="3" useAutoFormatting="1" itemPrintTitles="1" createdVersion="6" indent="0" compact="0" compactData="0" multipleFieldFilters="0" chartFormat="4">
  <location ref="A53:B61" firstHeaderRow="1" firstDataRow="1" firstDataCol="1" rowPageCount="3" colPageCount="1"/>
  <pivotFields count="160">
    <pivotField axis="axisPage" compact="0" outline="0" showAll="0">
      <items count="29">
        <item m="1" x="25"/>
        <item m="1" x="26"/>
        <item m="1" x="12"/>
        <item m="1" x="27"/>
        <item m="1" x="19"/>
        <item m="1" x="21"/>
        <item m="1" x="23"/>
        <item m="1" x="24"/>
        <item m="1" x="7"/>
        <item m="1" x="15"/>
        <item m="1" x="17"/>
        <item m="1" x="20"/>
        <item m="1" x="22"/>
        <item m="1" x="10"/>
        <item m="1" x="13"/>
        <item m="1" x="16"/>
        <item m="1" x="18"/>
        <item m="1" x="5"/>
        <item m="1" x="8"/>
        <item m="1" x="11"/>
        <item m="1" x="14"/>
        <item m="1" x="3"/>
        <item m="1" x="4"/>
        <item m="1" x="6"/>
        <item m="1" x="9"/>
        <item x="0"/>
        <item x="1"/>
        <item m="1" x="2"/>
        <item t="default"/>
      </items>
    </pivotField>
    <pivotField name="WASH focal agency" axis="axisRow" compact="0" outline="0" showAll="0">
      <items count="76">
        <item m="1" x="40"/>
        <item x="0"/>
        <item m="1" x="22"/>
        <item m="1" x="61"/>
        <item m="1" x="48"/>
        <item m="1" x="74"/>
        <item m="1" x="41"/>
        <item m="1" x="49"/>
        <item x="1"/>
        <item x="2"/>
        <item m="1" x="46"/>
        <item x="3"/>
        <item x="4"/>
        <item x="5"/>
        <item m="1" x="32"/>
        <item x="6"/>
        <item m="1" x="69"/>
        <item m="1" x="50"/>
        <item x="7"/>
        <item m="1" x="62"/>
        <item x="8"/>
        <item m="1" x="27"/>
        <item m="1" x="60"/>
        <item m="1" x="38"/>
        <item m="1" x="29"/>
        <item m="1" x="70"/>
        <item x="9"/>
        <item x="10"/>
        <item x="11"/>
        <item m="1" x="54"/>
        <item m="1" x="56"/>
        <item x="12"/>
        <item m="1" x="73"/>
        <item m="1" x="23"/>
        <item m="1" x="47"/>
        <item m="1" x="45"/>
        <item m="1" x="37"/>
        <item m="1" x="28"/>
        <item m="1" x="58"/>
        <item m="1" x="25"/>
        <item m="1" x="24"/>
        <item m="1" x="66"/>
        <item h="1" x="13"/>
        <item m="1" x="35"/>
        <item m="1" x="34"/>
        <item m="1" x="31"/>
        <item m="1" x="53"/>
        <item m="1" x="30"/>
        <item m="1" x="63"/>
        <item m="1" x="68"/>
        <item m="1" x="21"/>
        <item m="1" x="26"/>
        <item m="1" x="57"/>
        <item m="1" x="44"/>
        <item m="1" x="72"/>
        <item m="1" x="55"/>
        <item x="19"/>
        <item m="1" x="71"/>
        <item m="1" x="65"/>
        <item x="14"/>
        <item x="15"/>
        <item m="1" x="51"/>
        <item m="1" x="64"/>
        <item x="16"/>
        <item m="1" x="39"/>
        <item m="1" x="43"/>
        <item m="1" x="59"/>
        <item m="1" x="42"/>
        <item m="1" x="67"/>
        <item x="17"/>
        <item m="1" x="36"/>
        <item m="1" x="52"/>
        <item m="1" x="20"/>
        <item m="1" x="33"/>
        <item h="1" x="18"/>
        <item t="default"/>
      </items>
    </pivotField>
    <pivotField compact="0" outline="0" showAll="0"/>
    <pivotField compact="0" outline="0" showAll="0"/>
    <pivotField axis="axisPage" compact="0" outline="0" showAll="0">
      <items count="7">
        <item m="1" x="3"/>
        <item x="1"/>
        <item m="1" x="5"/>
        <item m="1" x="4"/>
        <item x="0"/>
        <item m="1" x="2"/>
        <item t="default"/>
      </items>
    </pivotField>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numFmtId="1" outline="0" showAll="0"/>
    <pivotField compact="0" outline="0" showAll="0"/>
    <pivotField compact="0" numFmtId="1" outline="0" showAll="0"/>
    <pivotField compact="0" numFmtId="1" outline="0" showAll="0"/>
    <pivotField compact="0" outline="0" showAll="0"/>
    <pivotField compact="0" outline="0" showAll="0"/>
    <pivotField compact="0" outline="0" showAll="0"/>
    <pivotField compact="0" numFmtId="9" outline="0" showAll="0"/>
    <pivotField compact="0" numFmtId="1"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53">
        <item h="1" m="1" x="38"/>
        <item h="1" m="1" x="33"/>
        <item h="1" m="1" x="36"/>
        <item h="1" m="1" x="47"/>
        <item h="1" m="1" x="12"/>
        <item m="1" x="44"/>
        <item m="1" x="3"/>
        <item m="1" x="48"/>
        <item m="1" x="17"/>
        <item m="1" x="23"/>
        <item m="1" x="29"/>
        <item m="1" x="10"/>
        <item m="1" x="13"/>
        <item m="1" x="51"/>
        <item x="2"/>
        <item m="1" x="11"/>
        <item m="1" x="6"/>
        <item x="0"/>
        <item m="1" x="34"/>
        <item m="1" x="32"/>
        <item m="1" x="46"/>
        <item m="1" x="5"/>
        <item m="1" x="15"/>
        <item m="1" x="7"/>
        <item m="1" x="27"/>
        <item m="1" x="50"/>
        <item m="1" x="42"/>
        <item m="1" x="31"/>
        <item m="1" x="26"/>
        <item m="1" x="14"/>
        <item m="1" x="21"/>
        <item m="1" x="19"/>
        <item m="1" x="20"/>
        <item m="1" x="43"/>
        <item m="1" x="25"/>
        <item m="1" x="45"/>
        <item m="1" x="9"/>
        <item m="1" x="37"/>
        <item m="1" x="22"/>
        <item m="1" x="4"/>
        <item m="1" x="39"/>
        <item m="1" x="18"/>
        <item m="1" x="28"/>
        <item m="1" x="41"/>
        <item x="1"/>
        <item h="1" m="1" x="35"/>
        <item h="1" m="1" x="16"/>
        <item h="1" m="1" x="8"/>
        <item h="1" m="1" x="24"/>
        <item h="1" m="1" x="49"/>
        <item h="1" m="1" x="30"/>
        <item h="1" m="1" x="40"/>
        <item t="default"/>
      </items>
    </pivotField>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1"/>
  </rowFields>
  <rowItems count="8">
    <i>
      <x v="11"/>
    </i>
    <i>
      <x v="20"/>
    </i>
    <i>
      <x v="26"/>
    </i>
    <i>
      <x v="59"/>
    </i>
    <i>
      <x v="60"/>
    </i>
    <i>
      <x v="63"/>
    </i>
    <i>
      <x v="69"/>
    </i>
    <i t="grand">
      <x/>
    </i>
  </rowItems>
  <colItems count="1">
    <i/>
  </colItems>
  <pageFields count="3">
    <pageField fld="0" item="26" hier="-1"/>
    <pageField fld="4" item="1" hier="-1"/>
    <pageField fld="147" hier="-1"/>
  </pageFields>
  <dataFields count="1">
    <dataField name="# of sites covered" fld="7" subtotal="count"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27723737-4FFD-4B1B-B781-1F806A8DE381}" name="PivotTable9" cacheId="12"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location ref="B254:D258" firstHeaderRow="0" firstDataRow="1" firstDataCol="1" rowPageCount="4" colPageCount="1"/>
  <pivotFields count="160">
    <pivotField axis="axisPage" subtotalTop="0" multipleItemSelectionAllowed="1" showAll="0">
      <items count="29">
        <item h="1" m="1" x="26"/>
        <item m="1" x="12"/>
        <item m="1" x="27"/>
        <item h="1" m="1" x="19"/>
        <item m="1" x="7"/>
        <item h="1" m="1" x="2"/>
        <item h="1" m="1" x="25"/>
        <item h="1" m="1" x="21"/>
        <item h="1" m="1" x="23"/>
        <item m="1" x="24"/>
        <item h="1" m="1" x="15"/>
        <item h="1" m="1" x="17"/>
        <item h="1" m="1" x="20"/>
        <item m="1" x="22"/>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Row" subtotalTop="0" showAll="0">
      <items count="7">
        <item x="1"/>
        <item h="1" m="1" x="4"/>
        <item h="1" x="0"/>
        <item h="1" m="1" x="2"/>
        <item h="1" m="1" x="3"/>
        <item h="1" m="1" x="5"/>
        <item t="default"/>
      </items>
    </pivotField>
    <pivotField subtotalTop="0" showAll="0"/>
    <pivotField axis="axisPage" multipleItemSelectionAllowed="1" showAll="0" defaultSubtotal="0">
      <items count="15">
        <item x="0"/>
        <item x="2"/>
        <item m="1" x="11"/>
        <item h="1" m="1" x="9"/>
        <item m="1" x="7"/>
        <item m="1" x="6"/>
        <item h="1" m="1" x="13"/>
        <item m="1" x="10"/>
        <item h="1" m="1" x="14"/>
        <item h="1"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m="1" x="2"/>
        <item m="1" x="37"/>
        <item m="1" x="27"/>
        <item m="1" x="261"/>
        <item m="1" x="139"/>
        <item m="1" x="75"/>
        <item m="1" x="206"/>
        <item m="1" x="10"/>
        <item m="1" x="282"/>
        <item m="1" x="325"/>
        <item m="1" x="140"/>
        <item m="1" x="141"/>
        <item m="1" x="166"/>
        <item m="1" x="328"/>
        <item m="1" x="53"/>
        <item m="1" x="81"/>
        <item m="1" x="87"/>
        <item m="1" x="262"/>
        <item m="1" x="292"/>
        <item m="1" x="338"/>
        <item m="1" x="105"/>
        <item m="1" x="283"/>
        <item m="1" x="221"/>
        <item m="1" x="99"/>
        <item m="1" x="233"/>
        <item m="1" x="308"/>
        <item m="1" x="238"/>
        <item m="1" x="197"/>
        <item m="1" x="135"/>
        <item m="1" x="333"/>
        <item m="1" x="147"/>
        <item m="1" x="117"/>
        <item m="1" x="121"/>
        <item m="1" x="63"/>
        <item m="1" x="15"/>
        <item m="1" x="321"/>
        <item m="1" x="334"/>
        <item m="1" x="214"/>
        <item m="1" x="309"/>
        <item m="1" x="247"/>
        <item m="1" x="215"/>
        <item m="1" x="326"/>
        <item m="1" x="312"/>
        <item m="1" x="172"/>
        <item m="1" x="64"/>
        <item m="1" x="268"/>
        <item m="1" x="65"/>
        <item m="1" x="163"/>
        <item m="1" x="167"/>
        <item m="1" x="173"/>
        <item m="1" x="220"/>
        <item m="1" x="31"/>
        <item m="1" x="66"/>
        <item m="1" x="174"/>
        <item m="1" x="54"/>
        <item m="1" x="136"/>
        <item m="1" x="3"/>
        <item m="1" x="198"/>
        <item m="1" x="250"/>
        <item m="1" x="175"/>
        <item m="1" x="21"/>
        <item m="1" x="329"/>
        <item m="1" x="188"/>
        <item m="1" x="88"/>
        <item m="1" x="28"/>
        <item m="1" x="222"/>
        <item m="1" x="67"/>
        <item m="1" x="216"/>
        <item m="1" x="5"/>
        <item m="1" x="313"/>
        <item m="1" x="176"/>
        <item m="1" x="255"/>
        <item m="1" x="228"/>
        <item m="1" x="278"/>
        <item m="1" x="130"/>
        <item m="1" x="189"/>
        <item m="1" x="284"/>
        <item m="1" x="264"/>
        <item m="1" x="297"/>
        <item m="1" x="142"/>
        <item m="1" x="148"/>
        <item m="1" x="89"/>
        <item m="1" x="339"/>
        <item m="1" x="55"/>
        <item m="1" x="239"/>
        <item m="1" x="322"/>
        <item m="1" x="248"/>
        <item m="1" x="32"/>
        <item m="1" x="207"/>
        <item m="1" x="76"/>
        <item m="1" x="33"/>
        <item m="1" x="199"/>
        <item m="1" x="44"/>
        <item m="1" x="310"/>
        <item m="1" x="256"/>
        <item m="1" x="314"/>
        <item m="1" x="190"/>
        <item m="1" x="156"/>
        <item m="1" x="112"/>
        <item m="1" x="335"/>
        <item m="1" x="285"/>
        <item m="1" x="100"/>
        <item m="1" x="158"/>
        <item m="1" x="90"/>
        <item m="1" x="225"/>
        <item m="1" x="11"/>
        <item m="1" x="229"/>
        <item m="1" x="304"/>
        <item m="1" x="40"/>
        <item m="1" x="77"/>
        <item m="1" x="122"/>
        <item m="1" x="257"/>
        <item m="1" x="177"/>
        <item m="1" x="293"/>
        <item m="1" x="22"/>
        <item m="1" x="288"/>
        <item m="1" x="331"/>
        <item m="1" x="94"/>
        <item m="1" x="45"/>
        <item m="1" x="240"/>
        <item m="1" x="269"/>
        <item m="1" x="131"/>
        <item m="1" x="336"/>
        <item m="1" x="234"/>
        <item m="1" x="265"/>
        <item m="1" x="208"/>
        <item m="1" x="164"/>
        <item m="1" x="315"/>
        <item m="1" x="6"/>
        <item m="1" x="232"/>
        <item m="1" x="61"/>
        <item m="1" x="241"/>
        <item m="1" x="298"/>
        <item m="1" x="299"/>
        <item m="1" x="149"/>
        <item m="1" x="242"/>
        <item m="1" x="23"/>
        <item m="1" x="184"/>
        <item m="1" x="41"/>
        <item m="1" x="16"/>
        <item m="1" x="230"/>
        <item m="1" x="300"/>
        <item m="1" x="150"/>
        <item m="1" x="106"/>
        <item m="1" x="51"/>
        <item m="1" x="316"/>
        <item m="1" x="68"/>
        <item m="1" x="226"/>
        <item m="1" x="62"/>
        <item m="1" x="82"/>
        <item m="1" x="143"/>
        <item m="1" x="123"/>
        <item m="1" x="279"/>
        <item m="1" x="301"/>
        <item m="1" x="83"/>
        <item m="1" x="192"/>
        <item m="1" x="270"/>
        <item m="1" x="137"/>
        <item m="1" x="124"/>
        <item m="1" x="159"/>
        <item m="1" x="151"/>
        <item m="1" x="78"/>
        <item m="1" x="4"/>
        <item m="1" x="160"/>
        <item m="1" x="231"/>
        <item m="1" x="152"/>
        <item m="1" x="91"/>
        <item m="1" x="200"/>
        <item m="1" x="144"/>
        <item m="1" x="271"/>
        <item m="1" x="153"/>
        <item m="1" x="280"/>
        <item m="1" x="34"/>
        <item m="1" x="113"/>
        <item m="1" x="193"/>
        <item m="1" x="317"/>
        <item m="1" x="132"/>
        <item m="1" x="223"/>
        <item m="1" x="38"/>
        <item m="1" x="305"/>
        <item m="1" x="281"/>
        <item m="1" x="266"/>
        <item m="1" x="52"/>
        <item m="1" x="330"/>
        <item m="1" x="258"/>
        <item m="1" x="69"/>
        <item m="1" x="191"/>
        <item m="1" x="56"/>
        <item m="1" x="70"/>
        <item m="1" x="235"/>
        <item m="1" x="154"/>
        <item m="1" x="178"/>
        <item m="1" x="17"/>
        <item m="1" x="18"/>
        <item m="1" x="332"/>
        <item m="1" x="92"/>
        <item m="1" x="35"/>
        <item m="1" x="185"/>
        <item m="1" x="182"/>
        <item m="1" x="42"/>
        <item m="1" x="157"/>
        <item m="1" x="7"/>
        <item m="1" x="95"/>
        <item m="1" x="101"/>
        <item m="1" x="289"/>
        <item m="1" x="57"/>
        <item m="1" x="102"/>
        <item m="1" x="46"/>
        <item m="1" x="36"/>
        <item m="1" x="318"/>
        <item m="1" x="251"/>
        <item m="1" x="252"/>
        <item m="1" x="194"/>
        <item m="1" x="259"/>
        <item m="1" x="267"/>
        <item m="1" x="253"/>
        <item m="1" x="186"/>
        <item m="1" x="165"/>
        <item m="1" x="201"/>
        <item m="1" x="302"/>
        <item m="1" x="58"/>
        <item m="1" x="47"/>
        <item m="1" x="274"/>
        <item m="1" x="133"/>
        <item m="1" x="96"/>
        <item m="1" x="12"/>
        <item m="1" x="294"/>
        <item m="1" x="340"/>
        <item m="1" x="290"/>
        <item m="1" x="187"/>
        <item m="1" x="29"/>
        <item m="1" x="84"/>
        <item m="1" x="59"/>
        <item m="1" x="286"/>
        <item m="1" x="227"/>
        <item m="1" x="275"/>
        <item m="1" x="71"/>
        <item m="1" x="155"/>
        <item m="1" x="114"/>
        <item m="1" x="118"/>
        <item m="1" x="48"/>
        <item m="1" x="13"/>
        <item m="1" x="125"/>
        <item m="1" x="254"/>
        <item m="1" x="126"/>
        <item m="1" x="179"/>
        <item m="1" x="303"/>
        <item m="1" x="103"/>
        <item m="1" x="97"/>
        <item m="1" x="107"/>
        <item m="1" x="209"/>
        <item m="1" x="272"/>
        <item m="1" x="168"/>
        <item m="1" x="180"/>
        <item m="1" x="276"/>
        <item m="1" x="119"/>
        <item m="1" x="306"/>
        <item m="1" x="210"/>
        <item m="1" x="24"/>
        <item m="1" x="202"/>
        <item m="1" x="145"/>
        <item m="1" x="25"/>
        <item m="1" x="236"/>
        <item m="1" x="85"/>
        <item m="1" x="323"/>
        <item m="1" x="60"/>
        <item m="1" x="327"/>
        <item m="1" x="127"/>
        <item m="1" x="115"/>
        <item m="1" x="26"/>
        <item m="1" x="169"/>
        <item m="1" x="319"/>
        <item m="1" x="19"/>
        <item m="1" x="170"/>
        <item m="1" x="161"/>
        <item m="1" x="181"/>
        <item m="1" x="246"/>
        <item m="1" x="287"/>
        <item m="1" x="217"/>
        <item m="1" x="116"/>
        <item m="1" x="72"/>
        <item m="1" x="324"/>
        <item m="1" x="8"/>
        <item m="1" x="73"/>
        <item m="1" x="171"/>
        <item m="1" x="128"/>
        <item m="1" x="108"/>
        <item m="1" x="109"/>
        <item m="1" x="14"/>
        <item m="1" x="237"/>
        <item m="1" x="195"/>
        <item m="1" x="129"/>
        <item m="1" x="196"/>
        <item m="1" x="183"/>
        <item m="1" x="86"/>
        <item m="1" x="291"/>
        <item m="1" x="120"/>
        <item m="1" x="277"/>
        <item m="1" x="162"/>
        <item m="1" x="98"/>
        <item m="1" x="49"/>
        <item m="1" x="211"/>
        <item m="1" x="79"/>
        <item m="1" x="39"/>
        <item m="1" x="50"/>
        <item m="1" x="260"/>
        <item m="1" x="337"/>
        <item m="1" x="243"/>
        <item m="1" x="212"/>
        <item m="1" x="203"/>
        <item m="1" x="249"/>
        <item m="1" x="244"/>
        <item m="1" x="110"/>
        <item m="1" x="93"/>
        <item m="1" x="263"/>
        <item m="1" x="204"/>
        <item m="1" x="295"/>
        <item m="1" x="273"/>
        <item m="1" x="20"/>
        <item m="1" x="224"/>
        <item m="1" x="320"/>
        <item m="1" x="138"/>
        <item m="1" x="80"/>
        <item m="1" x="311"/>
        <item m="1" x="213"/>
        <item m="1" x="307"/>
        <item m="1" x="146"/>
        <item m="1" x="111"/>
        <item m="1" x="218"/>
        <item m="1" x="74"/>
        <item m="1" x="9"/>
        <item m="1" x="104"/>
        <item m="1" x="296"/>
        <item m="1" x="43"/>
        <item m="1" x="205"/>
        <item m="1" x="245"/>
        <item m="1" x="219"/>
        <item m="1" x="134"/>
        <item m="1" x="30"/>
        <item x="0"/>
        <item x="1"/>
        <item t="default"/>
      </items>
    </pivotField>
    <pivotField subtotalTop="0" showAll="0"/>
    <pivotField subtotalTop="0" showAll="0"/>
    <pivotField subtotalTop="0" showAll="0"/>
    <pivotField axis="axisPage" subtotalTop="0" showAll="0">
      <items count="6">
        <item x="0"/>
        <item x="1"/>
        <item m="1" x="4"/>
        <item m="1" x="2"/>
        <item m="1" x="3"/>
        <item t="default"/>
      </items>
    </pivotField>
    <pivotField axis="axisPage" subtotalTop="0" multipleItemSelectionAllowed="1" showAll="0">
      <items count="53">
        <item x="0"/>
        <item x="1"/>
        <item x="2"/>
        <item m="1" x="29"/>
        <item m="1" x="9"/>
        <item m="1" x="14"/>
        <item m="1" x="33"/>
        <item m="1" x="27"/>
        <item m="1" x="22"/>
        <item m="1" x="7"/>
        <item m="1" x="4"/>
        <item m="1" x="21"/>
        <item m="1" x="25"/>
        <item m="1" x="5"/>
        <item m="1" x="36"/>
        <item m="1" x="34"/>
        <item m="1" x="15"/>
        <item m="1" x="28"/>
        <item m="1" x="42"/>
        <item m="1" x="48"/>
        <item m="1" x="50"/>
        <item m="1" x="46"/>
        <item m="1" x="23"/>
        <item m="1" x="43"/>
        <item m="1" x="37"/>
        <item m="1" x="18"/>
        <item m="1" x="12"/>
        <item m="1" x="51"/>
        <item m="1" x="44"/>
        <item m="1" x="38"/>
        <item m="1" x="39"/>
        <item m="1" x="3"/>
        <item m="1" x="11"/>
        <item m="1" x="19"/>
        <item m="1" x="6"/>
        <item m="1" x="13"/>
        <item m="1" x="17"/>
        <item m="1" x="10"/>
        <item m="1" x="20"/>
        <item m="1" x="47"/>
        <item m="1" x="26"/>
        <item m="1" x="45"/>
        <item m="1" x="41"/>
        <item m="1" x="32"/>
        <item m="1" x="31"/>
        <item m="1" x="35"/>
        <item m="1" x="16"/>
        <item m="1" x="8"/>
        <item m="1" x="24"/>
        <item m="1" x="49"/>
        <item m="1" x="30"/>
        <item m="1" x="40"/>
        <item t="default"/>
      </items>
    </pivotField>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4"/>
    <field x="142"/>
  </rowFields>
  <rowItems count="4">
    <i>
      <x/>
    </i>
    <i r="1">
      <x v="339"/>
    </i>
    <i r="1">
      <x v="340"/>
    </i>
    <i t="default">
      <x/>
    </i>
  </rowItems>
  <colFields count="1">
    <field x="-2"/>
  </colFields>
  <colItems count="2">
    <i>
      <x/>
    </i>
    <i i="1">
      <x v="1"/>
    </i>
  </colItems>
  <pageFields count="4">
    <pageField fld="147" hier="-1"/>
    <pageField fld="0" hier="-1"/>
    <pageField fld="146" item="0" hier="-1"/>
    <pageField fld="6" hier="-1"/>
  </pageFields>
  <dataFields count="2">
    <dataField name="Sum of #_households that received standard amount of soap for this quarter" fld="65" baseField="0" baseItem="0"/>
    <dataField name="Sum of # of affected women and girls receiving a sufficient quantity of sanitary pads from direct distribution or from MHM room facilities" fld="66" baseField="0" baseItem="0"/>
  </dataFields>
  <formats count="11">
    <format dxfId="509">
      <pivotArea type="all" dataOnly="0" outline="0" fieldPosition="0"/>
    </format>
    <format dxfId="508">
      <pivotArea type="all" dataOnly="0" outline="0" fieldPosition="0"/>
    </format>
    <format dxfId="507">
      <pivotArea outline="0" collapsedLevelsAreSubtotals="1" fieldPosition="0"/>
    </format>
    <format dxfId="506">
      <pivotArea field="4" type="button" dataOnly="0" labelOnly="1" outline="0" axis="axisRow" fieldPosition="0"/>
    </format>
    <format dxfId="505">
      <pivotArea dataOnly="0" labelOnly="1" fieldPosition="0">
        <references count="1">
          <reference field="4" count="0"/>
        </references>
      </pivotArea>
    </format>
    <format dxfId="504">
      <pivotArea dataOnly="0" labelOnly="1" grandRow="1" outline="0" fieldPosition="0"/>
    </format>
    <format dxfId="503">
      <pivotArea type="all" dataOnly="0" outline="0" fieldPosition="0"/>
    </format>
    <format dxfId="502">
      <pivotArea outline="0" collapsedLevelsAreSubtotals="1" fieldPosition="0"/>
    </format>
    <format dxfId="501">
      <pivotArea field="4" type="button" dataOnly="0" labelOnly="1" outline="0" axis="axisRow" fieldPosition="0"/>
    </format>
    <format dxfId="500">
      <pivotArea dataOnly="0" labelOnly="1" fieldPosition="0">
        <references count="1">
          <reference field="4" count="0"/>
        </references>
      </pivotArea>
    </format>
    <format dxfId="499">
      <pivotArea dataOnly="0" labelOnly="1" grandRow="1" outline="0"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0800-000006000000}" name="K_L_CG_N" cacheId="12"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42" rowHeaderCaption="State" colHeaderCaption=" ">
  <location ref="J192:L200" firstHeaderRow="0" firstDataRow="1" firstDataCol="1" rowPageCount="4" colPageCount="1"/>
  <pivotFields count="160">
    <pivotField axis="axisPage" subtotalTop="0" multipleItemSelectionAllowed="1" showAll="0">
      <items count="29">
        <item m="1" x="26"/>
        <item m="1" x="12"/>
        <item h="1" m="1" x="19"/>
        <item h="1" m="1" x="2"/>
        <item m="1" x="27"/>
        <item m="1" x="7"/>
        <item h="1" m="1" x="25"/>
        <item h="1" m="1" x="21"/>
        <item h="1" m="1" x="23"/>
        <item m="1" x="24"/>
        <item h="1" m="1" x="15"/>
        <item h="1" m="1" x="17"/>
        <item h="1" m="1" x="20"/>
        <item m="1" x="22"/>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Page" subtotalTop="0" showAll="0">
      <items count="7">
        <item x="1"/>
        <item m="1" x="4"/>
        <item x="0"/>
        <item m="1" x="2"/>
        <item m="1" x="3"/>
        <item m="1" x="5"/>
        <item t="default"/>
      </items>
    </pivotField>
    <pivotField axis="axisRow" subtotalTop="0" showAll="0">
      <items count="49">
        <item m="1" x="32"/>
        <item x="15"/>
        <item m="1" x="45"/>
        <item x="5"/>
        <item x="6"/>
        <item x="16"/>
        <item x="0"/>
        <item x="17"/>
        <item m="1" x="40"/>
        <item m="1" x="27"/>
        <item x="1"/>
        <item m="1" x="43"/>
        <item x="7"/>
        <item x="19"/>
        <item m="1" x="38"/>
        <item m="1" x="31"/>
        <item x="8"/>
        <item x="9"/>
        <item x="4"/>
        <item m="1" x="44"/>
        <item x="2"/>
        <item m="1" x="35"/>
        <item x="10"/>
        <item m="1" x="34"/>
        <item x="20"/>
        <item x="21"/>
        <item m="1" x="29"/>
        <item m="1" x="33"/>
        <item m="1" x="39"/>
        <item m="1" x="36"/>
        <item m="1" x="46"/>
        <item m="1" x="42"/>
        <item x="11"/>
        <item m="1" x="41"/>
        <item x="12"/>
        <item x="13"/>
        <item x="14"/>
        <item m="1" x="26"/>
        <item m="1" x="28"/>
        <item m="1" x="25"/>
        <item m="1" x="37"/>
        <item x="3"/>
        <item m="1" x="30"/>
        <item x="18"/>
        <item x="22"/>
        <item m="1" x="47"/>
        <item x="23"/>
        <item x="24"/>
        <item t="default"/>
      </items>
    </pivotField>
    <pivotField axis="axisPage" multipleItemSelectionAllowed="1" showAll="0" defaultSubtotal="0">
      <items count="15">
        <item x="0"/>
        <item x="2"/>
        <item m="1" x="11"/>
        <item h="1" m="1" x="9"/>
        <item m="1" x="7"/>
        <item m="1" x="6"/>
        <item h="1" m="1" x="13"/>
        <item m="1" x="10"/>
        <item h="1" m="1" x="14"/>
        <item h="1"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s>
  <rowFields count="1">
    <field x="5"/>
  </rowFields>
  <rowItems count="8">
    <i>
      <x v="5"/>
    </i>
    <i>
      <x v="6"/>
    </i>
    <i>
      <x v="7"/>
    </i>
    <i>
      <x v="10"/>
    </i>
    <i>
      <x v="20"/>
    </i>
    <i>
      <x v="24"/>
    </i>
    <i>
      <x v="41"/>
    </i>
    <i>
      <x v="47"/>
    </i>
  </rowItems>
  <colFields count="1">
    <field x="-2"/>
  </colFields>
  <colItems count="2">
    <i>
      <x/>
    </i>
    <i i="1">
      <x v="1"/>
    </i>
  </colItems>
  <pageFields count="4">
    <pageField fld="0" hier="-1"/>
    <pageField fld="146" item="0" hier="-1"/>
    <pageField fld="4" item="2" hier="-1"/>
    <pageField fld="6" hier="-1"/>
  </pageFields>
  <dataFields count="2">
    <dataField name="  % Latrine Coverage" fld="157" baseField="0" baseItem="0" numFmtId="1"/>
    <dataField name="  % Latrine GAP" fld="158" baseField="0" baseItem="0" numFmtId="1"/>
  </dataFields>
  <formats count="12">
    <format dxfId="521">
      <pivotArea type="all" dataOnly="0" outline="0" fieldPosition="0"/>
    </format>
    <format dxfId="520">
      <pivotArea outline="0" collapsedLevelsAreSubtotals="1" fieldPosition="0"/>
    </format>
    <format dxfId="519">
      <pivotArea field="4" type="button" dataOnly="0" labelOnly="1" outline="0" axis="axisPage" fieldPosition="2"/>
    </format>
    <format dxfId="518">
      <pivotArea type="all" dataOnly="0" outline="0" fieldPosition="0"/>
    </format>
    <format dxfId="517">
      <pivotArea outline="0" collapsedLevelsAreSubtotals="1" fieldPosition="0"/>
    </format>
    <format dxfId="516">
      <pivotArea outline="0" collapsedLevelsAreSubtotals="1" fieldPosition="0"/>
    </format>
    <format dxfId="515">
      <pivotArea field="5" type="button" dataOnly="0" labelOnly="1" outline="0" axis="axisRow" fieldPosition="0"/>
    </format>
    <format dxfId="514">
      <pivotArea field="5" type="button" dataOnly="0" labelOnly="1" outline="0" axis="axisRow" fieldPosition="0"/>
    </format>
    <format dxfId="513">
      <pivotArea field="5" type="button" dataOnly="0" labelOnly="1" outline="0" axis="axisRow" fieldPosition="0"/>
    </format>
    <format dxfId="512">
      <pivotArea field="4" type="button" dataOnly="0" labelOnly="1" outline="0" axis="axisPage" fieldPosition="2"/>
    </format>
    <format dxfId="511">
      <pivotArea dataOnly="0" labelOnly="1" outline="0" fieldPosition="0">
        <references count="2">
          <reference field="4" count="1">
            <x v="0"/>
          </reference>
          <reference field="146" count="1" selected="0">
            <x v="0"/>
          </reference>
        </references>
      </pivotArea>
    </format>
    <format dxfId="510">
      <pivotArea dataOnly="0" labelOnly="1" outline="0" fieldPosition="0">
        <references count="2">
          <reference field="4" count="1">
            <x v="2"/>
          </reference>
          <reference field="146" count="1" selected="0">
            <x v="0"/>
          </reference>
        </references>
      </pivotArea>
    </format>
  </formats>
  <conditionalFormats count="1">
    <conditionalFormat priority="6">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3" series="1">
      <pivotArea type="data" outline="0" fieldPosition="0">
        <references count="1">
          <reference field="4294967294" count="1" selected="0">
            <x v="0"/>
          </reference>
        </references>
      </pivotArea>
    </chartFormat>
    <chartFormat chart="39" format="4"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0800-00000E000000}" name="PivotTable14" cacheId="12"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8" rowHeaderCaption="State">
  <location ref="C378:I380" firstHeaderRow="0" firstDataRow="1" firstDataCol="1" rowPageCount="3" colPageCount="1"/>
  <pivotFields count="160">
    <pivotField axis="axisPage" subtotalTop="0" multipleItemSelectionAllowed="1" showAll="0">
      <items count="29">
        <item m="1" x="26"/>
        <item m="1" x="12"/>
        <item m="1" x="27"/>
        <item m="1" x="19"/>
        <item m="1" x="7"/>
        <item m="1" x="2"/>
        <item m="1" x="25"/>
        <item m="1" x="21"/>
        <item m="1" x="23"/>
        <item m="1" x="24"/>
        <item m="1" x="15"/>
        <item m="1" x="17"/>
        <item m="1" x="20"/>
        <item m="1" x="22"/>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Row" subtotalTop="0" multipleItemSelectionAllowed="1" showAll="0">
      <items count="7">
        <item x="1"/>
        <item m="1" x="4"/>
        <item x="0"/>
        <item h="1" m="1" x="2"/>
        <item m="1" x="3"/>
        <item m="1" x="5"/>
        <item t="default"/>
      </items>
    </pivotField>
    <pivotField subtotalTop="0" showAll="0"/>
    <pivotField showAll="0" defaultSubtotal="0"/>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dataField="1" showAll="0"/>
    <pivotField dataField="1"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pivotField dataField="1"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dataField="1"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dataField="1"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n="Gap" h="1" x="1"/>
        <item h="1" m="1" x="4"/>
        <item h="1" m="1" x="2"/>
        <item h="1" m="1" x="3"/>
        <item t="default"/>
      </items>
    </pivotField>
    <pivotField axis="axisPage" subtotalTop="0" multipleItemSelectionAllowed="1" showAll="0">
      <items count="53">
        <item x="0"/>
        <item x="1"/>
        <item x="2"/>
        <item m="1" x="29"/>
        <item m="1" x="9"/>
        <item m="1" x="14"/>
        <item m="1" x="33"/>
        <item m="1" x="27"/>
        <item m="1" x="22"/>
        <item m="1" x="7"/>
        <item m="1" x="4"/>
        <item m="1" x="21"/>
        <item m="1" x="25"/>
        <item m="1" x="5"/>
        <item m="1" x="36"/>
        <item m="1" x="34"/>
        <item m="1" x="15"/>
        <item m="1" x="28"/>
        <item m="1" x="42"/>
        <item m="1" x="48"/>
        <item m="1" x="50"/>
        <item m="1" x="46"/>
        <item m="1" x="23"/>
        <item m="1" x="43"/>
        <item m="1" x="37"/>
        <item m="1" x="18"/>
        <item m="1" x="12"/>
        <item m="1" x="51"/>
        <item m="1" x="44"/>
        <item m="1" x="38"/>
        <item m="1" x="39"/>
        <item m="1" x="3"/>
        <item m="1" x="11"/>
        <item m="1" x="19"/>
        <item m="1" x="6"/>
        <item m="1" x="13"/>
        <item m="1" x="17"/>
        <item m="1" x="10"/>
        <item m="1" x="20"/>
        <item m="1" x="47"/>
        <item m="1" x="26"/>
        <item m="1" x="45"/>
        <item m="1" x="41"/>
        <item m="1" x="32"/>
        <item m="1" x="31"/>
        <item m="1" x="35"/>
        <item m="1" x="16"/>
        <item m="1" x="8"/>
        <item m="1" x="24"/>
        <item m="1" x="49"/>
        <item m="1" x="30"/>
        <item m="1" x="40"/>
        <item t="default"/>
      </items>
    </pivotField>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2"/>
  </colFields>
  <colItems count="6">
    <i>
      <x/>
    </i>
    <i i="1">
      <x v="1"/>
    </i>
    <i i="2">
      <x v="2"/>
    </i>
    <i i="3">
      <x v="3"/>
    </i>
    <i i="4">
      <x v="4"/>
    </i>
    <i i="5">
      <x v="5"/>
    </i>
  </colItems>
  <pageFields count="3">
    <pageField fld="0" hier="-1"/>
    <pageField fld="146" hier="-1"/>
    <pageField fld="147" hier="-1"/>
  </pageFields>
  <dataFields count="6">
    <dataField name="  functional latrines in TLS/CFS supported by WASH partners during the reporting period" fld="54" baseField="0" baseItem="0"/>
    <dataField name=" #_Hygiene Promotion activities (sessions) in TLS?" fld="68" baseField="4" baseItem="0"/>
    <dataField name=" # of hand washing stations with soap in TLS" fld="128" baseField="4" baseItem="0"/>
    <dataField name=" #_of water points in TLS/CFS" fld="39" baseField="0" baseItem="0"/>
    <dataField name="Sum of #_of water points in THF" fld="40" baseField="4" baseItem="0"/>
    <dataField name="Sum of # of functional latrines in THF supported by WASH partners during the reporting period2" fld="55" baseField="4" baseItem="0"/>
  </dataFields>
  <formats count="21">
    <format dxfId="542">
      <pivotArea type="all" dataOnly="0" outline="0" fieldPosition="0"/>
    </format>
    <format dxfId="541">
      <pivotArea outline="0" collapsedLevelsAreSubtotals="1" fieldPosition="0"/>
    </format>
    <format dxfId="540">
      <pivotArea field="4" type="button" dataOnly="0" labelOnly="1" outline="0" axis="axisRow" fieldPosition="0"/>
    </format>
    <format dxfId="539">
      <pivotArea dataOnly="0" labelOnly="1" grandRow="1" outline="0" fieldPosition="0"/>
    </format>
    <format dxfId="538">
      <pivotArea type="all" dataOnly="0" outline="0" fieldPosition="0"/>
    </format>
    <format dxfId="537">
      <pivotArea outline="0" collapsedLevelsAreSubtotals="1" fieldPosition="0"/>
    </format>
    <format dxfId="536">
      <pivotArea type="origin" dataOnly="0" labelOnly="1" outline="0" fieldPosition="0"/>
    </format>
    <format dxfId="535">
      <pivotArea field="146" type="button" dataOnly="0" labelOnly="1" outline="0" axis="axisPage" fieldPosition="1"/>
    </format>
    <format dxfId="534">
      <pivotArea type="topRight" dataOnly="0" labelOnly="1" outline="0" fieldPosition="0"/>
    </format>
    <format dxfId="533">
      <pivotArea dataOnly="0" labelOnly="1" fieldPosition="0">
        <references count="1">
          <reference field="146" count="0"/>
        </references>
      </pivotArea>
    </format>
    <format dxfId="532">
      <pivotArea type="all" dataOnly="0" outline="0" fieldPosition="0"/>
    </format>
    <format dxfId="531">
      <pivotArea outline="0" collapsedLevelsAreSubtotals="1" fieldPosition="0"/>
    </format>
    <format dxfId="530">
      <pivotArea field="4" type="button" dataOnly="0" labelOnly="1" outline="0" axis="axisRow" fieldPosition="0"/>
    </format>
    <format dxfId="529">
      <pivotArea dataOnly="0" labelOnly="1" fieldPosition="0">
        <references count="1">
          <reference field="4" count="0"/>
        </references>
      </pivotArea>
    </format>
    <format dxfId="528">
      <pivotArea outline="0" collapsedLevelsAreSubtotals="1" fieldPosition="0"/>
    </format>
    <format dxfId="527">
      <pivotArea field="4" type="button" dataOnly="0" labelOnly="1" outline="0" axis="axisRow" fieldPosition="0"/>
    </format>
    <format dxfId="526">
      <pivotArea dataOnly="0" labelOnly="1" outline="0" fieldPosition="0">
        <references count="1">
          <reference field="4294967294" count="6">
            <x v="0"/>
            <x v="1"/>
            <x v="2"/>
            <x v="3"/>
            <x v="4"/>
            <x v="5"/>
          </reference>
        </references>
      </pivotArea>
    </format>
    <format dxfId="525">
      <pivotArea field="4" type="button" dataOnly="0" labelOnly="1" outline="0" axis="axisRow" fieldPosition="0"/>
    </format>
    <format dxfId="524">
      <pivotArea dataOnly="0" labelOnly="1" outline="0" fieldPosition="0">
        <references count="1">
          <reference field="4294967294" count="6">
            <x v="0"/>
            <x v="1"/>
            <x v="2"/>
            <x v="3"/>
            <x v="4"/>
            <x v="5"/>
          </reference>
        </references>
      </pivotArea>
    </format>
    <format dxfId="523">
      <pivotArea field="4" type="button" dataOnly="0" labelOnly="1" outline="0" axis="axisRow" fieldPosition="0"/>
    </format>
    <format dxfId="522">
      <pivotArea dataOnly="0" labelOnly="1" outline="0" fieldPosition="0">
        <references count="1">
          <reference field="4294967294" count="6">
            <x v="0"/>
            <x v="1"/>
            <x v="2"/>
            <x v="3"/>
            <x v="4"/>
            <x v="5"/>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239D1C1C-C340-45D8-ACB2-C3DF346ACF92}" name="PivotTable15" cacheId="12"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36">
  <location ref="AI144:AK154" firstHeaderRow="0" firstDataRow="1" firstDataCol="1" rowPageCount="4" colPageCount="1"/>
  <pivotFields count="160">
    <pivotField axis="axisPage" subtotalTop="0" multipleItemSelectionAllowed="1" showAll="0">
      <items count="29">
        <item m="1" x="26"/>
        <item m="1" x="12"/>
        <item m="1" x="27"/>
        <item m="1" x="19"/>
        <item m="1" x="7"/>
        <item m="1" x="2"/>
        <item m="1" x="25"/>
        <item m="1" x="21"/>
        <item m="1" x="23"/>
        <item m="1" x="24"/>
        <item m="1" x="15"/>
        <item m="1" x="17"/>
        <item m="1" x="20"/>
        <item m="1" x="22"/>
        <item h="1" m="1" x="10"/>
        <item h="1" m="1" x="13"/>
        <item h="1" m="1" x="16"/>
        <item m="1" x="18"/>
        <item h="1" m="1" x="5"/>
        <item h="1" m="1" x="8"/>
        <item h="1" m="1" x="11"/>
        <item m="1" x="14"/>
        <item m="1" x="3"/>
        <item h="1" m="1" x="4"/>
        <item h="1" m="1" x="6"/>
        <item h="1" m="1" x="9"/>
        <item x="0"/>
        <item h="1" x="1"/>
        <item t="default"/>
      </items>
    </pivotField>
    <pivotField showAll="0" defaultSubtotal="0"/>
    <pivotField showAll="0" defaultSubtotal="0"/>
    <pivotField subtotalTop="0" showAll="0"/>
    <pivotField axis="axisPage" subtotalTop="0" showAll="0">
      <items count="7">
        <item x="1"/>
        <item m="1" x="4"/>
        <item x="0"/>
        <item m="1" x="2"/>
        <item m="1" x="3"/>
        <item m="1" x="5"/>
        <item t="default"/>
      </items>
    </pivotField>
    <pivotField axis="axisRow" subtotalTop="0" showAll="0">
      <items count="49">
        <item m="1" x="32"/>
        <item x="15"/>
        <item m="1" x="45"/>
        <item m="1" x="37"/>
        <item x="5"/>
        <item x="6"/>
        <item x="16"/>
        <item x="0"/>
        <item x="22"/>
        <item x="17"/>
        <item x="18"/>
        <item m="1" x="40"/>
        <item m="1" x="27"/>
        <item x="1"/>
        <item n="Laukkaing" x="3"/>
        <item m="1" x="43"/>
        <item x="7"/>
        <item x="19"/>
        <item m="1" x="38"/>
        <item m="1" x="31"/>
        <item x="8"/>
        <item x="9"/>
        <item m="1" x="26"/>
        <item x="4"/>
        <item m="1" x="44"/>
        <item x="2"/>
        <item m="1" x="35"/>
        <item x="10"/>
        <item m="1" x="34"/>
        <item x="20"/>
        <item m="1" x="30"/>
        <item x="21"/>
        <item m="1" x="28"/>
        <item m="1" x="29"/>
        <item m="1" x="33"/>
        <item m="1" x="39"/>
        <item m="1" x="36"/>
        <item m="1" x="46"/>
        <item m="1" x="42"/>
        <item x="11"/>
        <item m="1" x="41"/>
        <item x="12"/>
        <item x="13"/>
        <item x="14"/>
        <item m="1" x="25"/>
        <item n="Laukkaing2" m="1" x="47"/>
        <item x="23"/>
        <item x="24"/>
        <item t="default"/>
      </items>
    </pivotField>
    <pivotField axis="axisPage" multipleItemSelectionAllowed="1" showAll="0" defaultSubtotal="0">
      <items count="15">
        <item x="0"/>
        <item x="2"/>
        <item m="1" x="11"/>
        <item h="1" m="1" x="9"/>
        <item m="1" x="7"/>
        <item m="1" x="6"/>
        <item h="1" m="1" x="13"/>
        <item m="1" x="10"/>
        <item h="1" m="1" x="14"/>
        <item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0">
    <i>
      <x v="6"/>
    </i>
    <i>
      <x v="7"/>
    </i>
    <i>
      <x v="9"/>
    </i>
    <i>
      <x v="10"/>
    </i>
    <i>
      <x v="13"/>
    </i>
    <i>
      <x v="14"/>
    </i>
    <i>
      <x v="17"/>
    </i>
    <i>
      <x v="25"/>
    </i>
    <i>
      <x v="29"/>
    </i>
    <i>
      <x v="31"/>
    </i>
  </rowItems>
  <colFields count="1">
    <field x="-2"/>
  </colFields>
  <colItems count="2">
    <i>
      <x/>
    </i>
    <i i="1">
      <x v="1"/>
    </i>
  </colItems>
  <pageFields count="4">
    <pageField fld="0" hier="-1"/>
    <pageField fld="4" item="2" hier="-1"/>
    <pageField fld="146" item="0" hier="-1"/>
    <pageField fld="6" hier="-1"/>
  </pageFields>
  <dataFields count="2">
    <dataField name="Reached" fld="106" baseField="0" baseItem="0"/>
    <dataField name="Target (20:1)" fld="112" baseField="0" baseItem="0"/>
  </dataFields>
  <formats count="14">
    <format dxfId="556">
      <pivotArea field="4" type="button" dataOnly="0" labelOnly="1" outline="0" axis="axisPage" fieldPosition="1"/>
    </format>
    <format dxfId="555">
      <pivotArea type="all" dataOnly="0" outline="0" fieldPosition="0"/>
    </format>
    <format dxfId="554">
      <pivotArea type="origin" dataOnly="0" labelOnly="1" outline="0" fieldPosition="0"/>
    </format>
    <format dxfId="553">
      <pivotArea type="topRight" dataOnly="0" labelOnly="1" outline="0" fieldPosition="0"/>
    </format>
    <format dxfId="552">
      <pivotArea field="-2" type="button" dataOnly="0" labelOnly="1" outline="0" axis="axisCol" fieldPosition="0"/>
    </format>
    <format dxfId="551">
      <pivotArea type="all" dataOnly="0" outline="0" fieldPosition="0"/>
    </format>
    <format dxfId="550">
      <pivotArea outline="0" collapsedLevelsAreSubtotals="1" fieldPosition="0"/>
    </format>
    <format dxfId="549">
      <pivotArea type="origin" dataOnly="0" labelOnly="1" outline="0" fieldPosition="0"/>
    </format>
    <format dxfId="548">
      <pivotArea type="topRight" dataOnly="0" labelOnly="1" outline="0" fieldPosition="0"/>
    </format>
    <format dxfId="547">
      <pivotArea field="-2" type="button" dataOnly="0" labelOnly="1" outline="0" axis="axisCol" fieldPosition="0"/>
    </format>
    <format dxfId="546">
      <pivotArea dataOnly="0" labelOnly="1" outline="0" fieldPosition="0">
        <references count="3">
          <reference field="0" count="1" selected="0">
            <x v="7"/>
          </reference>
          <reference field="4" count="1">
            <x v="0"/>
          </reference>
          <reference field="146" count="1" selected="0">
            <x v="0"/>
          </reference>
        </references>
      </pivotArea>
    </format>
    <format dxfId="545">
      <pivotArea type="all" dataOnly="0" outline="0" fieldPosition="0"/>
    </format>
    <format dxfId="544">
      <pivotArea outline="0" collapsedLevelsAreSubtotals="1" fieldPosition="0"/>
    </format>
    <format dxfId="543">
      <pivotArea dataOnly="0" labelOnly="1" outline="0" fieldPosition="0">
        <references count="1">
          <reference field="4294967294" count="1">
            <x v="1"/>
          </reference>
        </references>
      </pivotArea>
    </format>
  </formats>
  <chartFormats count="10">
    <chartFormat chart="24" format="0" series="1">
      <pivotArea type="data" outline="0" fieldPosition="0">
        <references count="1">
          <reference field="4294967294" count="1" selected="0">
            <x v="1"/>
          </reference>
        </references>
      </pivotArea>
    </chartFormat>
    <chartFormat chart="24" format="1" series="1">
      <pivotArea type="data" outline="0" fieldPosition="0">
        <references count="1">
          <reference field="4294967294" count="1" selected="0">
            <x v="0"/>
          </reference>
        </references>
      </pivotArea>
    </chartFormat>
    <chartFormat chart="26" format="4" series="1">
      <pivotArea type="data" outline="0" fieldPosition="0">
        <references count="1">
          <reference field="4294967294" count="1" selected="0">
            <x v="1"/>
          </reference>
        </references>
      </pivotArea>
    </chartFormat>
    <chartFormat chart="26" format="5" series="1">
      <pivotArea type="data" outline="0" fieldPosition="0">
        <references count="1">
          <reference field="4294967294" count="1" selected="0">
            <x v="0"/>
          </reference>
        </references>
      </pivotArea>
    </chartFormat>
    <chartFormat chart="31" format="0" series="1">
      <pivotArea type="data" outline="0" fieldPosition="0">
        <references count="1">
          <reference field="4294967294" count="1" selected="0">
            <x v="0"/>
          </reference>
        </references>
      </pivotArea>
    </chartFormat>
    <chartFormat chart="31" format="1" series="1">
      <pivotArea type="data" outline="0" fieldPosition="0">
        <references count="1">
          <reference field="4294967294" count="1" selected="0">
            <x v="1"/>
          </reference>
        </references>
      </pivotArea>
    </chartFormat>
    <chartFormat chart="33" format="4" series="1">
      <pivotArea type="data" outline="0" fieldPosition="0">
        <references count="1">
          <reference field="4294967294" count="1" selected="0">
            <x v="0"/>
          </reference>
        </references>
      </pivotArea>
    </chartFormat>
    <chartFormat chart="33" format="5" series="1">
      <pivotArea type="data" outline="0" fieldPosition="0">
        <references count="1">
          <reference field="4294967294" count="1" selected="0">
            <x v="1"/>
          </reference>
        </references>
      </pivotArea>
    </chartFormat>
    <chartFormat chart="35" format="8" series="1">
      <pivotArea type="data" outline="0" fieldPosition="0">
        <references count="1">
          <reference field="4294967294" count="1" selected="0">
            <x v="0"/>
          </reference>
        </references>
      </pivotArea>
    </chartFormat>
    <chartFormat chart="35" format="9" series="1">
      <pivotArea type="data" outline="0" fieldPosition="0">
        <references count="1">
          <reference field="4294967294" count="1" selected="0">
            <x v="1"/>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0800-00000B000000}" name="Latrine_shan" cacheId="12"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19">
  <location ref="J124:K132" firstHeaderRow="1" firstDataRow="2" firstDataCol="1" rowPageCount="4" colPageCount="1"/>
  <pivotFields count="160">
    <pivotField axis="axisPage" subtotalTop="0" multipleItemSelectionAllowed="1" showAll="0">
      <items count="29">
        <item m="1" x="26"/>
        <item m="1" x="12"/>
        <item m="1" x="27"/>
        <item h="1" m="1" x="19"/>
        <item m="1" x="7"/>
        <item h="1" m="1" x="2"/>
        <item h="1" m="1" x="25"/>
        <item h="1" m="1" x="21"/>
        <item h="1" m="1" x="23"/>
        <item m="1" x="24"/>
        <item h="1" m="1" x="15"/>
        <item h="1" m="1" x="17"/>
        <item h="1" m="1" x="20"/>
        <item m="1" x="22"/>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Page" subtotalTop="0" multipleItemSelectionAllowed="1" showAll="0">
      <items count="7">
        <item h="1" x="1"/>
        <item h="1" m="1" x="4"/>
        <item x="0"/>
        <item m="1" x="2"/>
        <item h="1" m="1" x="3"/>
        <item h="1" m="1" x="5"/>
        <item t="default"/>
      </items>
    </pivotField>
    <pivotField subtotalTop="0" showAll="0"/>
    <pivotField axis="axisPage" multipleItemSelectionAllowed="1" showAll="0" defaultSubtotal="0">
      <items count="15">
        <item x="0"/>
        <item x="2"/>
        <item m="1" x="11"/>
        <item m="1" x="9"/>
        <item m="1" x="7"/>
        <item m="1" x="6"/>
        <item h="1" m="1" x="13"/>
        <item m="1" x="10"/>
        <item h="1" m="1" x="14"/>
        <item h="1"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dataField="1"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dataField="1" numFmtId="1" showAll="0" defaultSubtotal="0"/>
    <pivotField numFmtId="9" showAll="0"/>
    <pivotField numFmtId="1" showAll="0" defaultSubtotal="0"/>
    <pivotField showAll="0" defaultSubtotal="0"/>
    <pivotField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axis="axisCol" subtotalTop="0" showAll="0">
      <items count="342">
        <item h="1" m="1" x="2"/>
        <item m="1" x="186"/>
        <item m="1" x="209"/>
        <item m="1" x="340"/>
        <item m="1" x="290"/>
        <item m="1" x="180"/>
        <item m="1" x="168"/>
        <item m="1" x="127"/>
        <item m="1" x="289"/>
        <item m="1" x="126"/>
        <item m="1" x="13"/>
        <item m="1" x="274"/>
        <item m="1" x="24"/>
        <item m="1" x="119"/>
        <item m="1" x="303"/>
        <item m="1" x="97"/>
        <item m="1" x="275"/>
        <item m="1" x="296"/>
        <item m="1" x="104"/>
        <item m="1" x="218"/>
        <item m="1" x="80"/>
        <item m="1" x="118"/>
        <item m="1" x="20"/>
        <item m="1" x="204"/>
        <item m="1" x="114"/>
        <item m="1" x="138"/>
        <item m="1" x="25"/>
        <item m="1" x="165"/>
        <item m="1" x="212"/>
        <item m="1" x="146"/>
        <item m="1" x="224"/>
        <item m="1" x="171"/>
        <item m="1" x="107"/>
        <item m="1" x="26"/>
        <item m="1" x="145"/>
        <item m="1" x="50"/>
        <item m="1" x="263"/>
        <item m="1" x="244"/>
        <item m="1" x="213"/>
        <item m="1" x="59"/>
        <item m="1" x="108"/>
        <item m="1" x="128"/>
        <item m="1" x="272"/>
        <item m="1" x="324"/>
        <item m="1" x="115"/>
        <item m="1" x="58"/>
        <item m="1" x="72"/>
        <item m="1" x="170"/>
        <item m="1" x="307"/>
        <item m="1" x="337"/>
        <item m="1" x="273"/>
        <item m="1" x="48"/>
        <item m="1" x="294"/>
        <item m="1" x="43"/>
        <item m="1" x="60"/>
        <item m="1" x="217"/>
        <item m="1" x="210"/>
        <item m="1" x="49"/>
        <item m="1" x="86"/>
        <item m="1" x="129"/>
        <item m="1" x="237"/>
        <item m="1" x="253"/>
        <item m="1" x="116"/>
        <item m="1" x="84"/>
        <item m="1" x="211"/>
        <item m="1" x="36"/>
        <item m="1" x="46"/>
        <item m="1" x="251"/>
        <item m="1" x="318"/>
        <item m="1" x="71"/>
        <item m="1" x="323"/>
        <item m="1" x="133"/>
        <item m="1" x="73"/>
        <item m="1" x="8"/>
        <item m="1" x="93"/>
        <item m="1" x="227"/>
        <item m="1" x="155"/>
        <item m="1" x="111"/>
        <item m="1" x="295"/>
        <item m="1" x="195"/>
        <item m="1" x="179"/>
        <item m="1" x="110"/>
        <item m="1" x="327"/>
        <item m="1" x="246"/>
        <item m="1" x="202"/>
        <item m="1" x="9"/>
        <item m="1" x="103"/>
        <item m="1" x="277"/>
        <item m="1" x="39"/>
        <item m="1" x="254"/>
        <item m="1" x="306"/>
        <item m="1" x="249"/>
        <item m="1" x="29"/>
        <item m="1" x="85"/>
        <item m="1" x="287"/>
        <item m="1" x="181"/>
        <item m="1" x="319"/>
        <item m="1" x="19"/>
        <item m="1" x="260"/>
        <item m="1" x="125"/>
        <item m="1" x="311"/>
        <item m="1" x="74"/>
        <item m="1" x="236"/>
        <item m="1" x="320"/>
        <item m="1" x="187"/>
        <item m="1" x="196"/>
        <item m="1" x="98"/>
        <item m="1" x="120"/>
        <item m="1" x="96"/>
        <item m="1" x="12"/>
        <item m="1" x="79"/>
        <item m="1" x="276"/>
        <item m="1" x="183"/>
        <item m="1" x="162"/>
        <item m="1" x="291"/>
        <item m="1" x="14"/>
        <item m="1" x="109"/>
        <item m="1" x="169"/>
        <item m="1" x="161"/>
        <item m="1" x="243"/>
        <item m="1" x="286"/>
        <item m="1" x="203"/>
        <item m="1" x="139"/>
        <item m="1" x="75"/>
        <item m="1" x="206"/>
        <item m="1" x="10"/>
        <item m="1" x="282"/>
        <item m="1" x="325"/>
        <item m="1" x="140"/>
        <item m="1" x="141"/>
        <item m="1" x="166"/>
        <item m="1" x="328"/>
        <item m="1" x="53"/>
        <item m="1" x="81"/>
        <item m="1" x="87"/>
        <item m="1" x="262"/>
        <item m="1" x="292"/>
        <item m="1" x="338"/>
        <item m="1" x="105"/>
        <item m="1" x="283"/>
        <item m="1" x="221"/>
        <item m="1" x="99"/>
        <item m="1" x="233"/>
        <item m="1" x="308"/>
        <item m="1" x="238"/>
        <item m="1" x="197"/>
        <item m="1" x="135"/>
        <item m="1" x="333"/>
        <item m="1" x="147"/>
        <item m="1" x="316"/>
        <item m="1" x="279"/>
        <item m="1" x="193"/>
        <item m="1" x="266"/>
        <item m="1" x="137"/>
        <item m="1" x="151"/>
        <item m="1" x="317"/>
        <item m="1" x="27"/>
        <item m="1" x="37"/>
        <item m="1" x="269"/>
        <item m="1" x="241"/>
        <item m="1" x="298"/>
        <item m="1" x="23"/>
        <item m="1" x="41"/>
        <item m="1" x="62"/>
        <item m="1" x="143"/>
        <item m="1" x="192"/>
        <item m="1" x="270"/>
        <item m="1" x="159"/>
        <item m="1" x="78"/>
        <item m="1" x="4"/>
        <item m="1" x="231"/>
        <item m="1" x="271"/>
        <item m="1" x="153"/>
        <item m="1" x="160"/>
        <item m="1" x="82"/>
        <item m="1" x="123"/>
        <item m="1" x="61"/>
        <item m="1" x="152"/>
        <item m="1" x="315"/>
        <item m="1" x="184"/>
        <item m="1" x="16"/>
        <item m="1" x="300"/>
        <item m="1" x="150"/>
        <item m="1" x="106"/>
        <item m="1" x="68"/>
        <item m="1" x="226"/>
        <item m="1" x="301"/>
        <item m="1" x="83"/>
        <item m="1" x="144"/>
        <item m="1" x="34"/>
        <item m="1" x="149"/>
        <item m="1" x="230"/>
        <item m="1" x="265"/>
        <item m="1" x="336"/>
        <item m="1" x="113"/>
        <item m="1" x="223"/>
        <item m="1" x="38"/>
        <item m="1" x="305"/>
        <item m="1" x="281"/>
        <item m="1" x="158"/>
        <item m="1" x="51"/>
        <item m="1" x="91"/>
        <item m="1" x="280"/>
        <item m="1" x="200"/>
        <item m="1" x="132"/>
        <item m="1" x="284"/>
        <item m="1" x="76"/>
        <item m="1" x="33"/>
        <item m="1" x="199"/>
        <item m="1" x="44"/>
        <item m="1" x="310"/>
        <item m="1" x="288"/>
        <item m="1" x="156"/>
        <item m="1" x="335"/>
        <item m="1" x="304"/>
        <item m="1" x="299"/>
        <item m="1" x="242"/>
        <item m="1" x="117"/>
        <item m="1" x="121"/>
        <item m="1" x="334"/>
        <item m="1" x="215"/>
        <item m="1" x="339"/>
        <item m="1" x="322"/>
        <item m="1" x="207"/>
        <item m="1" x="314"/>
        <item m="1" x="11"/>
        <item m="1" x="40"/>
        <item m="1" x="293"/>
        <item m="1" x="22"/>
        <item m="1" x="94"/>
        <item m="1" x="131"/>
        <item m="1" x="234"/>
        <item m="1" x="208"/>
        <item m="1" x="164"/>
        <item m="1" x="6"/>
        <item m="1" x="261"/>
        <item m="1" x="190"/>
        <item m="1" x="112"/>
        <item m="1" x="285"/>
        <item m="1" x="100"/>
        <item m="1" x="90"/>
        <item m="1" x="225"/>
        <item m="1" x="229"/>
        <item m="1" x="257"/>
        <item m="1" x="331"/>
        <item m="1" x="45"/>
        <item m="1" x="240"/>
        <item m="1" x="232"/>
        <item m="1" x="77"/>
        <item m="1" x="177"/>
        <item m="1" x="122"/>
        <item m="1" x="124"/>
        <item m="1" x="248"/>
        <item m="1" x="32"/>
        <item m="1" x="256"/>
        <item m="1" x="250"/>
        <item m="1" x="228"/>
        <item m="1" x="65"/>
        <item m="1" x="278"/>
        <item m="1" x="329"/>
        <item m="1" x="172"/>
        <item m="1" x="21"/>
        <item m="1" x="222"/>
        <item m="1" x="67"/>
        <item m="1" x="255"/>
        <item m="1" x="264"/>
        <item m="1" x="89"/>
        <item m="1" x="55"/>
        <item m="1" x="239"/>
        <item m="1" x="247"/>
        <item m="1" x="142"/>
        <item m="1" x="148"/>
        <item m="1" x="188"/>
        <item m="1" x="216"/>
        <item m="1" x="88"/>
        <item m="1" x="176"/>
        <item m="1" x="5"/>
        <item m="1" x="28"/>
        <item m="1" x="64"/>
        <item m="1" x="163"/>
        <item m="1" x="54"/>
        <item m="1" x="198"/>
        <item m="1" x="326"/>
        <item m="1" x="189"/>
        <item m="1" x="297"/>
        <item m="1" x="130"/>
        <item m="1" x="313"/>
        <item m="1" x="175"/>
        <item m="1" x="309"/>
        <item m="1" x="312"/>
        <item m="1" x="174"/>
        <item m="1" x="3"/>
        <item m="1" x="66"/>
        <item m="1" x="31"/>
        <item m="1" x="136"/>
        <item m="1" x="173"/>
        <item m="1" x="220"/>
        <item m="1" x="268"/>
        <item m="1" x="214"/>
        <item m="1" x="321"/>
        <item m="1" x="15"/>
        <item m="1" x="63"/>
        <item m="1" x="167"/>
        <item m="1" x="267"/>
        <item m="1" x="47"/>
        <item m="1" x="52"/>
        <item m="1" x="154"/>
        <item m="1" x="18"/>
        <item m="1" x="92"/>
        <item m="1" x="35"/>
        <item m="1" x="69"/>
        <item m="1" x="42"/>
        <item m="1" x="56"/>
        <item m="1" x="191"/>
        <item m="1" x="182"/>
        <item m="1" x="157"/>
        <item m="1" x="259"/>
        <item m="1" x="17"/>
        <item m="1" x="185"/>
        <item m="1" x="201"/>
        <item m="1" x="302"/>
        <item m="1" x="101"/>
        <item m="1" x="102"/>
        <item m="1" x="194"/>
        <item m="1" x="57"/>
        <item m="1" x="95"/>
        <item m="1" x="7"/>
        <item m="1" x="235"/>
        <item m="1" x="258"/>
        <item m="1" x="252"/>
        <item m="1" x="332"/>
        <item m="1" x="330"/>
        <item m="1" x="70"/>
        <item m="1" x="178"/>
        <item m="1" x="205"/>
        <item m="1" x="245"/>
        <item m="1" x="219"/>
        <item m="1" x="134"/>
        <item m="1" x="30"/>
        <item n="# in GCA (20:1)" x="0"/>
        <item x="1"/>
        <item t="default"/>
      </items>
    </pivotField>
    <pivotField subtotalTop="0" showAll="0"/>
    <pivotField subtotalTop="0" showAll="0"/>
    <pivotField subtotalTop="0" showAll="0"/>
    <pivotField axis="axisPage" subtotalTop="0" multipleItemSelectionAllowed="1" showAll="0">
      <items count="6">
        <item x="0"/>
        <item h="1" x="1"/>
        <item m="1" x="4"/>
        <item m="1" x="2"/>
        <item h="1" m="1" x="3"/>
        <item t="default"/>
      </items>
    </pivotField>
    <pivotField subtotalTop="0" showAll="0"/>
    <pivotField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7">
    <i>
      <x/>
    </i>
    <i i="1">
      <x v="1"/>
    </i>
    <i i="2">
      <x v="2"/>
    </i>
    <i i="3">
      <x v="3"/>
    </i>
    <i i="4">
      <x v="4"/>
    </i>
    <i i="5">
      <x v="5"/>
    </i>
    <i i="6">
      <x v="6"/>
    </i>
  </rowItems>
  <colFields count="1">
    <field x="142"/>
  </colFields>
  <colItems count="1">
    <i>
      <x v="339"/>
    </i>
  </colItems>
  <pageFields count="4">
    <pageField fld="0" hier="-1"/>
    <pageField fld="4" hier="-1"/>
    <pageField fld="146" hier="-1"/>
    <pageField fld="6" hier="-1"/>
  </pageFields>
  <dataFields count="7">
    <dataField name="# latrines (target)" fld="112" baseField="0" baseItem="0"/>
    <dataField name="# Operation &amp; maintenance of latrines" fld="46" baseField="0" baseItem="0"/>
    <dataField name="# Latrines desludged" fld="47" baseField="0" baseItem="0"/>
    <dataField name="# handed over" fld="49" baseField="0" baseItem="0"/>
    <dataField name="Sum of # Existing functional latrines" fld="106" baseField="0" baseItem="0"/>
    <dataField name="  Total # of latrine" fld="151" baseField="0" baseItem="0"/>
    <dataField name="Sum of #_Non-functional latrines" fld="45" baseField="0" baseItem="0"/>
  </dataFields>
  <formats count="10">
    <format dxfId="566">
      <pivotArea field="4" type="button" dataOnly="0" labelOnly="1" outline="0" axis="axisPage" fieldPosition="1"/>
    </format>
    <format dxfId="565">
      <pivotArea type="all" dataOnly="0" outline="0" fieldPosition="0"/>
    </format>
    <format dxfId="564">
      <pivotArea outline="0" collapsedLevelsAreSubtotals="1" fieldPosition="0"/>
    </format>
    <format dxfId="563">
      <pivotArea type="origin" dataOnly="0" labelOnly="1" outline="0" fieldPosition="0"/>
    </format>
    <format dxfId="562">
      <pivotArea type="topRight" dataOnly="0" labelOnly="1" outline="0" fieldPosition="0"/>
    </format>
    <format dxfId="561">
      <pivotArea field="-2" type="button" dataOnly="0" labelOnly="1" outline="0" axis="axisRow" fieldPosition="0"/>
    </format>
    <format dxfId="560">
      <pivotArea type="all" dataOnly="0" outline="0" fieldPosition="0"/>
    </format>
    <format dxfId="559">
      <pivotArea dataOnly="0" labelOnly="1" outline="0" fieldPosition="0">
        <references count="1">
          <reference field="4294967294" count="1">
            <x v="0"/>
          </reference>
        </references>
      </pivotArea>
    </format>
    <format dxfId="558">
      <pivotArea field="4" type="button" dataOnly="0" labelOnly="1" outline="0" axis="axisPage" fieldPosition="1"/>
    </format>
    <format dxfId="557">
      <pivotArea dataOnly="0" labelOnly="1" outline="0" fieldPosition="0">
        <references count="1">
          <reference field="4" count="0"/>
        </references>
      </pivotArea>
    </format>
  </formats>
  <pivotTableStyleInfo name="PivotStyleLight10 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D1F0B845-DADD-4674-A7DC-79C513603414}" name="PivotTable8" cacheId="7"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H67:I69" firstHeaderRow="1" firstDataRow="1" firstDataCol="1" rowPageCount="2" colPageCount="1"/>
  <pivotFields count="4">
    <pivotField axis="axisRow" allDrilled="1" subtotalTop="0" showAll="0" dataSourceSort="1" defaultSubtotal="0" defaultAttributeDrillState="1">
      <items count="1">
        <item x="0"/>
      </items>
    </pivotField>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s>
  <rowFields count="1">
    <field x="0"/>
  </rowFields>
  <rowItems count="2">
    <i>
      <x/>
    </i>
    <i t="grand">
      <x/>
    </i>
  </rowItems>
  <colItems count="1">
    <i/>
  </colItems>
  <pageFields count="2">
    <pageField fld="1" hier="146" name="[WWWW].[Covered].&amp;[Covered]" cap="Covered"/>
    <pageField fld="2" hier="34" name="[WWWW].[#_Water sources tested for fecal coliform].&amp;[1]" cap="1"/>
  </pageFields>
  <dataFields count="1">
    <dataField name="Distinct Count of Site Name" fld="3" subtotal="count" baseField="0" baseItem="0">
      <extLst>
        <ext xmlns:x15="http://schemas.microsoft.com/office/spreadsheetml/2010/11/main" uri="{FABC7310-3BB5-11E1-824E-6D434824019B}">
          <x15:dataField isCountDistinct="1"/>
        </ext>
      </extLst>
    </dataField>
  </dataField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1" level="1">
        <member name="[WWWW].[#_Water sources tested for fecal coliform].&amp;[1]"/>
        <member name="[WWWW].[#_Water sources tested for fecal coliform].&amp;[2]"/>
        <member name="[WWWW].[#_Water sources tested for fecal coliform].&amp;[3]"/>
        <member name="[WWWW].[#_Water sources tested for fecal coliform].&amp;[4]"/>
        <member name="[WWWW].[#_Water sources tested for fecal coliform].&amp;[5]"/>
        <member name="[WWWW].[#_Water sources tested for fecal coliform].&amp;[6]"/>
        <member name="[WWWW].[#_Water sources tested for fecal coliform].&amp;[7]"/>
        <member name="[WWWW].[#_Water sources tested for fecal coliform].&amp;[12]"/>
        <member name="[WWWW].[#_Water sources tested for fecal coliform].&amp;[15]"/>
        <member name="[WWWW].[#_Water sources tested for fecal coliform].&amp;[21]"/>
        <member name="[WWWW].[#_Water sources tested for fecal coliform].&amp;[4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Site Name"/>
  </pivotHierarchies>
  <pivotTableStyleInfo name="PivotStyleLight16" showRowHeaders="1" showColHeaders="1" showRowStripes="0" showColStripes="0" showLastColumn="1"/>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6_Myanmar_WASH_4W_2020_Q2_KachinShan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00000000-0007-0000-0800-000019000000}" name="S_drainage" cacheId="12"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5" rowHeaderCaption="State">
  <location ref="B157:G160" firstHeaderRow="1" firstDataRow="2" firstDataCol="1" rowPageCount="4" colPageCount="1"/>
  <pivotFields count="160">
    <pivotField axis="axisPage" subtotalTop="0" multipleItemSelectionAllowed="1" showAll="0">
      <items count="29">
        <item m="1" x="26"/>
        <item m="1" x="12"/>
        <item m="1" x="27"/>
        <item h="1" m="1" x="19"/>
        <item m="1" x="7"/>
        <item h="1" m="1" x="2"/>
        <item h="1" m="1" x="25"/>
        <item h="1" m="1" x="21"/>
        <item h="1" m="1" x="23"/>
        <item m="1" x="24"/>
        <item h="1" m="1" x="15"/>
        <item h="1" m="1" x="17"/>
        <item h="1" m="1" x="20"/>
        <item m="1" x="22"/>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Row" subtotalTop="0" showAll="0">
      <items count="7">
        <item x="1"/>
        <item m="1" x="4"/>
        <item x="0"/>
        <item h="1" m="1" x="2"/>
        <item m="1" x="3"/>
        <item m="1" x="5"/>
        <item t="default"/>
      </items>
    </pivotField>
    <pivotField subtotalTop="0" showAll="0"/>
    <pivotField axis="axisPage" multipleItemSelectionAllowed="1" showAll="0" defaultSubtotal="0">
      <items count="15">
        <item x="0"/>
        <item x="2"/>
        <item m="1" x="11"/>
        <item h="1" m="1" x="9"/>
        <item m="1" x="7"/>
        <item m="1" x="6"/>
        <item h="1" m="1" x="13"/>
        <item m="1" x="10"/>
        <item h="1" m="1" x="14"/>
        <item h="1"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6">
        <item x="1"/>
        <item x="2"/>
        <item x="0"/>
        <item x="3"/>
        <item x="4"/>
        <item m="1" x="5"/>
      </items>
    </pivotField>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numFmtId="9" subtotalTop="0" showAll="0"/>
    <pivotField numFmtId="9"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h="1" x="1"/>
        <item m="1" x="4"/>
        <item h="1" m="1" x="2"/>
        <item h="1" m="1" x="3"/>
        <item t="default"/>
      </items>
    </pivotField>
    <pivotField axis="axisPage" subtotalTop="0" multipleItemSelectionAllowed="1" showAll="0">
      <items count="53">
        <item x="0"/>
        <item x="1"/>
        <item x="2"/>
        <item m="1" x="29"/>
        <item m="1" x="9"/>
        <item m="1" x="14"/>
        <item m="1" x="33"/>
        <item m="1" x="27"/>
        <item m="1" x="22"/>
        <item m="1" x="7"/>
        <item m="1" x="4"/>
        <item m="1" x="21"/>
        <item m="1" x="25"/>
        <item m="1" x="5"/>
        <item m="1" x="36"/>
        <item m="1" x="34"/>
        <item m="1" x="15"/>
        <item m="1" x="28"/>
        <item m="1" x="42"/>
        <item m="1" x="48"/>
        <item m="1" x="50"/>
        <item m="1" x="46"/>
        <item m="1" x="23"/>
        <item m="1" x="43"/>
        <item m="1" x="37"/>
        <item m="1" x="18"/>
        <item m="1" x="12"/>
        <item m="1" x="51"/>
        <item m="1" x="44"/>
        <item m="1" x="38"/>
        <item m="1" x="39"/>
        <item m="1" x="3"/>
        <item m="1" x="11"/>
        <item m="1" x="19"/>
        <item m="1" x="6"/>
        <item m="1" x="13"/>
        <item m="1" x="17"/>
        <item m="1" x="10"/>
        <item m="1" x="20"/>
        <item m="1" x="47"/>
        <item m="1" x="26"/>
        <item m="1" x="45"/>
        <item m="1" x="41"/>
        <item m="1" x="32"/>
        <item m="1" x="31"/>
        <item m="1" x="35"/>
        <item m="1" x="16"/>
        <item m="1" x="8"/>
        <item m="1" x="24"/>
        <item m="1" x="49"/>
        <item m="1" x="30"/>
        <item m="1" x="40"/>
        <item t="default"/>
      </items>
    </pivotField>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i>
    <i>
      <x v="2"/>
    </i>
  </rowItems>
  <colFields count="1">
    <field x="51"/>
  </colFields>
  <colItems count="5">
    <i>
      <x/>
    </i>
    <i>
      <x v="1"/>
    </i>
    <i>
      <x v="2"/>
    </i>
    <i>
      <x v="3"/>
    </i>
    <i>
      <x v="4"/>
    </i>
  </colItems>
  <pageFields count="4">
    <pageField fld="0" hier="-1"/>
    <pageField fld="146" hier="-1"/>
    <pageField fld="6" hier="-1"/>
    <pageField fld="147" hier="-1"/>
  </pageFields>
  <dataFields count="1">
    <dataField name="Count of Is there constructed surface water drainage system?_x000a_" fld="51" subtotal="count" baseField="0" baseItem="0"/>
  </dataFields>
  <formats count="9">
    <format dxfId="575">
      <pivotArea type="all" dataOnly="0" outline="0" fieldPosition="0"/>
    </format>
    <format dxfId="574">
      <pivotArea outline="0" collapsedLevelsAreSubtotals="1" fieldPosition="0"/>
    </format>
    <format dxfId="573">
      <pivotArea type="origin" dataOnly="0" labelOnly="1" outline="0" fieldPosition="0"/>
    </format>
    <format dxfId="572">
      <pivotArea type="topRight" dataOnly="0" labelOnly="1" outline="0" fieldPosition="0"/>
    </format>
    <format dxfId="571">
      <pivotArea field="4" type="button" dataOnly="0" labelOnly="1" outline="0" axis="axisRow" fieldPosition="0"/>
    </format>
    <format dxfId="570">
      <pivotArea dataOnly="0" labelOnly="1" fieldPosition="0">
        <references count="1">
          <reference field="4" count="0"/>
        </references>
      </pivotArea>
    </format>
    <format dxfId="569">
      <pivotArea type="all" dataOnly="0" outline="0" fieldPosition="0"/>
    </format>
    <format dxfId="568">
      <pivotArea outline="0" collapsedLevelsAreSubtotals="1" fieldPosition="0"/>
    </format>
    <format dxfId="567">
      <pivotArea dataOnly="0" labelOnly="1" fieldPosition="0">
        <references count="1">
          <reference field="4" count="0"/>
        </references>
      </pivotArea>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4D124756-5AB1-4955-AACF-2E39A22E30C3}" name="PivotTable11" cacheId="12" dataPosition="0"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34">
  <location ref="X124:Z125" firstHeaderRow="0" firstDataRow="1" firstDataCol="1" rowPageCount="4" colPageCount="1"/>
  <pivotFields count="160">
    <pivotField axis="axisPage" subtotalTop="0" multipleItemSelectionAllowed="1" showAll="0">
      <items count="29">
        <item m="1" x="26"/>
        <item m="1" x="12"/>
        <item m="1" x="27"/>
        <item m="1" x="19"/>
        <item m="1" x="7"/>
        <item m="1" x="2"/>
        <item m="1" x="25"/>
        <item m="1" x="21"/>
        <item m="1" x="23"/>
        <item m="1" x="24"/>
        <item m="1" x="15"/>
        <item m="1" x="17"/>
        <item m="1" x="20"/>
        <item m="1" x="22"/>
        <item h="1" m="1" x="10"/>
        <item h="1" m="1" x="13"/>
        <item h="1" m="1" x="16"/>
        <item m="1" x="18"/>
        <item h="1" m="1" x="5"/>
        <item h="1" m="1" x="8"/>
        <item h="1" m="1" x="11"/>
        <item m="1" x="14"/>
        <item h="1" m="1" x="3"/>
        <item h="1" m="1" x="4"/>
        <item m="1" x="6"/>
        <item h="1" m="1" x="9"/>
        <item h="1" x="0"/>
        <item x="1"/>
        <item t="default"/>
      </items>
    </pivotField>
    <pivotField showAll="0" defaultSubtotal="0"/>
    <pivotField showAll="0" defaultSubtotal="0"/>
    <pivotField subtotalTop="0" showAll="0"/>
    <pivotField axis="axisPage" subtotalTop="0" showAll="0">
      <items count="7">
        <item x="1"/>
        <item m="1" x="4"/>
        <item x="0"/>
        <item m="1" x="2"/>
        <item m="1" x="3"/>
        <item m="1" x="5"/>
        <item t="default"/>
      </items>
    </pivotField>
    <pivotField subtotalTop="0" showAll="0"/>
    <pivotField axis="axisPage" multipleItemSelectionAllowed="1" showAll="0" defaultSubtotal="0">
      <items count="15">
        <item x="0"/>
        <item x="2"/>
        <item m="1" x="11"/>
        <item h="1" m="1" x="9"/>
        <item m="1" x="7"/>
        <item m="1" x="6"/>
        <item h="1" m="1" x="13"/>
        <item m="1" x="10"/>
        <item h="1" m="1" x="14"/>
        <item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dataField="1"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m="1" x="2"/>
        <item m="1" x="186"/>
        <item m="1" x="209"/>
        <item m="1" x="340"/>
        <item m="1" x="290"/>
        <item m="1" x="180"/>
        <item m="1" x="168"/>
        <item m="1" x="127"/>
        <item m="1" x="289"/>
        <item m="1" x="126"/>
        <item m="1" x="13"/>
        <item m="1" x="274"/>
        <item m="1" x="24"/>
        <item m="1" x="119"/>
        <item m="1" x="303"/>
        <item m="1" x="97"/>
        <item m="1" x="275"/>
        <item m="1" x="296"/>
        <item m="1" x="104"/>
        <item m="1" x="218"/>
        <item m="1" x="80"/>
        <item m="1" x="118"/>
        <item m="1" x="20"/>
        <item m="1" x="204"/>
        <item m="1" x="114"/>
        <item m="1" x="138"/>
        <item m="1" x="25"/>
        <item m="1" x="165"/>
        <item m="1" x="212"/>
        <item m="1" x="146"/>
        <item m="1" x="224"/>
        <item m="1" x="171"/>
        <item m="1" x="107"/>
        <item m="1" x="26"/>
        <item m="1" x="145"/>
        <item m="1" x="50"/>
        <item m="1" x="263"/>
        <item m="1" x="244"/>
        <item m="1" x="213"/>
        <item m="1" x="59"/>
        <item m="1" x="108"/>
        <item m="1" x="128"/>
        <item m="1" x="272"/>
        <item m="1" x="324"/>
        <item m="1" x="115"/>
        <item m="1" x="58"/>
        <item m="1" x="72"/>
        <item m="1" x="170"/>
        <item m="1" x="307"/>
        <item m="1" x="337"/>
        <item m="1" x="273"/>
        <item m="1" x="48"/>
        <item m="1" x="294"/>
        <item m="1" x="43"/>
        <item m="1" x="60"/>
        <item m="1" x="217"/>
        <item m="1" x="210"/>
        <item m="1" x="49"/>
        <item m="1" x="86"/>
        <item m="1" x="129"/>
        <item m="1" x="237"/>
        <item m="1" x="253"/>
        <item m="1" x="116"/>
        <item m="1" x="84"/>
        <item m="1" x="211"/>
        <item m="1" x="36"/>
        <item m="1" x="46"/>
        <item m="1" x="251"/>
        <item m="1" x="318"/>
        <item m="1" x="71"/>
        <item m="1" x="323"/>
        <item m="1" x="133"/>
        <item m="1" x="73"/>
        <item m="1" x="8"/>
        <item m="1" x="93"/>
        <item m="1" x="227"/>
        <item m="1" x="155"/>
        <item m="1" x="111"/>
        <item m="1" x="295"/>
        <item m="1" x="195"/>
        <item m="1" x="179"/>
        <item m="1" x="110"/>
        <item m="1" x="327"/>
        <item m="1" x="246"/>
        <item m="1" x="202"/>
        <item m="1" x="9"/>
        <item m="1" x="103"/>
        <item m="1" x="277"/>
        <item m="1" x="39"/>
        <item m="1" x="254"/>
        <item m="1" x="306"/>
        <item m="1" x="249"/>
        <item m="1" x="29"/>
        <item m="1" x="85"/>
        <item m="1" x="287"/>
        <item m="1" x="181"/>
        <item m="1" x="319"/>
        <item m="1" x="19"/>
        <item m="1" x="260"/>
        <item m="1" x="125"/>
        <item m="1" x="311"/>
        <item m="1" x="74"/>
        <item m="1" x="236"/>
        <item m="1" x="320"/>
        <item m="1" x="187"/>
        <item m="1" x="196"/>
        <item m="1" x="98"/>
        <item m="1" x="120"/>
        <item m="1" x="96"/>
        <item m="1" x="12"/>
        <item m="1" x="79"/>
        <item m="1" x="276"/>
        <item m="1" x="183"/>
        <item m="1" x="162"/>
        <item m="1" x="291"/>
        <item m="1" x="14"/>
        <item m="1" x="109"/>
        <item m="1" x="169"/>
        <item m="1" x="161"/>
        <item m="1" x="243"/>
        <item m="1" x="286"/>
        <item m="1" x="203"/>
        <item m="1" x="139"/>
        <item m="1" x="75"/>
        <item m="1" x="206"/>
        <item m="1" x="10"/>
        <item m="1" x="282"/>
        <item m="1" x="325"/>
        <item m="1" x="140"/>
        <item m="1" x="141"/>
        <item m="1" x="166"/>
        <item m="1" x="328"/>
        <item m="1" x="53"/>
        <item m="1" x="81"/>
        <item m="1" x="87"/>
        <item m="1" x="262"/>
        <item m="1" x="292"/>
        <item m="1" x="338"/>
        <item m="1" x="105"/>
        <item m="1" x="283"/>
        <item m="1" x="221"/>
        <item m="1" x="99"/>
        <item m="1" x="233"/>
        <item m="1" x="308"/>
        <item m="1" x="238"/>
        <item m="1" x="197"/>
        <item m="1" x="135"/>
        <item m="1" x="333"/>
        <item m="1" x="147"/>
        <item m="1" x="316"/>
        <item m="1" x="279"/>
        <item m="1" x="193"/>
        <item m="1" x="266"/>
        <item m="1" x="137"/>
        <item m="1" x="151"/>
        <item m="1" x="317"/>
        <item m="1" x="27"/>
        <item m="1" x="37"/>
        <item m="1" x="269"/>
        <item m="1" x="241"/>
        <item m="1" x="298"/>
        <item m="1" x="23"/>
        <item m="1" x="41"/>
        <item m="1" x="62"/>
        <item m="1" x="143"/>
        <item m="1" x="192"/>
        <item m="1" x="270"/>
        <item m="1" x="159"/>
        <item m="1" x="78"/>
        <item m="1" x="4"/>
        <item m="1" x="231"/>
        <item m="1" x="271"/>
        <item m="1" x="153"/>
        <item m="1" x="160"/>
        <item m="1" x="82"/>
        <item m="1" x="123"/>
        <item m="1" x="61"/>
        <item m="1" x="152"/>
        <item m="1" x="315"/>
        <item m="1" x="184"/>
        <item m="1" x="16"/>
        <item m="1" x="300"/>
        <item m="1" x="150"/>
        <item m="1" x="106"/>
        <item m="1" x="68"/>
        <item m="1" x="226"/>
        <item m="1" x="301"/>
        <item m="1" x="83"/>
        <item m="1" x="144"/>
        <item m="1" x="34"/>
        <item m="1" x="149"/>
        <item m="1" x="230"/>
        <item m="1" x="265"/>
        <item m="1" x="336"/>
        <item m="1" x="113"/>
        <item m="1" x="223"/>
        <item m="1" x="38"/>
        <item m="1" x="305"/>
        <item m="1" x="281"/>
        <item m="1" x="158"/>
        <item m="1" x="51"/>
        <item m="1" x="91"/>
        <item m="1" x="280"/>
        <item m="1" x="200"/>
        <item m="1" x="132"/>
        <item m="1" x="284"/>
        <item m="1" x="76"/>
        <item m="1" x="33"/>
        <item m="1" x="199"/>
        <item m="1" x="44"/>
        <item m="1" x="310"/>
        <item m="1" x="288"/>
        <item m="1" x="156"/>
        <item m="1" x="335"/>
        <item m="1" x="304"/>
        <item m="1" x="299"/>
        <item m="1" x="242"/>
        <item m="1" x="117"/>
        <item m="1" x="121"/>
        <item m="1" x="334"/>
        <item m="1" x="215"/>
        <item m="1" x="339"/>
        <item m="1" x="322"/>
        <item m="1" x="207"/>
        <item m="1" x="314"/>
        <item m="1" x="11"/>
        <item m="1" x="40"/>
        <item m="1" x="293"/>
        <item m="1" x="22"/>
        <item m="1" x="94"/>
        <item m="1" x="131"/>
        <item m="1" x="234"/>
        <item m="1" x="208"/>
        <item m="1" x="164"/>
        <item m="1" x="6"/>
        <item m="1" x="261"/>
        <item m="1" x="190"/>
        <item m="1" x="112"/>
        <item m="1" x="285"/>
        <item m="1" x="100"/>
        <item m="1" x="90"/>
        <item m="1" x="225"/>
        <item m="1" x="229"/>
        <item m="1" x="257"/>
        <item m="1" x="331"/>
        <item m="1" x="45"/>
        <item m="1" x="240"/>
        <item m="1" x="232"/>
        <item m="1" x="77"/>
        <item m="1" x="177"/>
        <item m="1" x="122"/>
        <item m="1" x="124"/>
        <item m="1" x="248"/>
        <item m="1" x="32"/>
        <item m="1" x="256"/>
        <item m="1" x="250"/>
        <item m="1" x="228"/>
        <item m="1" x="65"/>
        <item m="1" x="278"/>
        <item m="1" x="329"/>
        <item m="1" x="172"/>
        <item m="1" x="21"/>
        <item m="1" x="222"/>
        <item m="1" x="67"/>
        <item m="1" x="255"/>
        <item m="1" x="264"/>
        <item m="1" x="89"/>
        <item m="1" x="55"/>
        <item m="1" x="239"/>
        <item m="1" x="247"/>
        <item m="1" x="142"/>
        <item m="1" x="148"/>
        <item m="1" x="188"/>
        <item m="1" x="216"/>
        <item m="1" x="88"/>
        <item m="1" x="176"/>
        <item m="1" x="5"/>
        <item m="1" x="28"/>
        <item m="1" x="64"/>
        <item m="1" x="163"/>
        <item m="1" x="54"/>
        <item m="1" x="198"/>
        <item m="1" x="326"/>
        <item m="1" x="189"/>
        <item m="1" x="297"/>
        <item m="1" x="130"/>
        <item m="1" x="313"/>
        <item m="1" x="175"/>
        <item m="1" x="309"/>
        <item m="1" x="312"/>
        <item m="1" x="174"/>
        <item m="1" x="3"/>
        <item m="1" x="66"/>
        <item m="1" x="31"/>
        <item m="1" x="136"/>
        <item m="1" x="173"/>
        <item m="1" x="220"/>
        <item m="1" x="268"/>
        <item m="1" x="214"/>
        <item m="1" x="321"/>
        <item m="1" x="15"/>
        <item m="1" x="63"/>
        <item m="1" x="167"/>
        <item m="1" x="267"/>
        <item m="1" x="47"/>
        <item m="1" x="52"/>
        <item m="1" x="154"/>
        <item m="1" x="18"/>
        <item m="1" x="92"/>
        <item m="1" x="35"/>
        <item m="1" x="69"/>
        <item m="1" x="42"/>
        <item m="1" x="56"/>
        <item m="1" x="191"/>
        <item m="1" x="182"/>
        <item m="1" x="157"/>
        <item m="1" x="259"/>
        <item m="1" x="17"/>
        <item m="1" x="185"/>
        <item m="1" x="201"/>
        <item m="1" x="302"/>
        <item m="1" x="101"/>
        <item m="1" x="102"/>
        <item m="1" x="194"/>
        <item m="1" x="57"/>
        <item m="1" x="95"/>
        <item m="1" x="7"/>
        <item m="1" x="235"/>
        <item m="1" x="258"/>
        <item m="1" x="252"/>
        <item m="1" x="332"/>
        <item m="1" x="330"/>
        <item m="1" x="70"/>
        <item m="1" x="178"/>
        <item m="1" x="205"/>
        <item m="1" x="245"/>
        <item m="1" x="219"/>
        <item m="1" x="134"/>
        <item m="1" x="30"/>
        <item x="0"/>
        <item x="1"/>
        <item t="default"/>
      </items>
    </pivotField>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142"/>
  </rowFields>
  <rowItems count="1">
    <i>
      <x v="339"/>
    </i>
  </rowItems>
  <colFields count="1">
    <field x="-2"/>
  </colFields>
  <colItems count="2">
    <i>
      <x/>
    </i>
    <i i="1">
      <x v="1"/>
    </i>
  </colItems>
  <pageFields count="4">
    <pageField fld="0" hier="-1"/>
    <pageField fld="4" item="2" hier="-1"/>
    <pageField fld="146" item="0" hier="-1"/>
    <pageField fld="6" hier="-1"/>
  </pageFields>
  <dataFields count="2">
    <dataField name="Accessed" fld="108" baseField="0" baseItem="0"/>
    <dataField name="Not-accessed" fld="159" baseField="0" baseItem="0" numFmtId="1"/>
  </dataFields>
  <formats count="14">
    <format dxfId="589">
      <pivotArea field="4" type="button" dataOnly="0" labelOnly="1" outline="0" axis="axisPage" fieldPosition="1"/>
    </format>
    <format dxfId="588">
      <pivotArea type="all" dataOnly="0" outline="0" fieldPosition="0"/>
    </format>
    <format dxfId="587">
      <pivotArea type="origin" dataOnly="0" labelOnly="1" outline="0" fieldPosition="0"/>
    </format>
    <format dxfId="586">
      <pivotArea type="topRight" dataOnly="0" labelOnly="1" outline="0" fieldPosition="0"/>
    </format>
    <format dxfId="585">
      <pivotArea field="-2" type="button" dataOnly="0" labelOnly="1" outline="0" axis="axisCol" fieldPosition="0"/>
    </format>
    <format dxfId="584">
      <pivotArea type="all" dataOnly="0" outline="0" fieldPosition="0"/>
    </format>
    <format dxfId="583">
      <pivotArea outline="0" collapsedLevelsAreSubtotals="1" fieldPosition="0"/>
    </format>
    <format dxfId="582">
      <pivotArea type="origin" dataOnly="0" labelOnly="1" outline="0" fieldPosition="0"/>
    </format>
    <format dxfId="581">
      <pivotArea type="topRight" dataOnly="0" labelOnly="1" outline="0" fieldPosition="0"/>
    </format>
    <format dxfId="580">
      <pivotArea field="-2" type="button" dataOnly="0" labelOnly="1" outline="0" axis="axisCol" fieldPosition="0"/>
    </format>
    <format dxfId="579">
      <pivotArea dataOnly="0" labelOnly="1" outline="0" fieldPosition="0">
        <references count="3">
          <reference field="0" count="1" selected="0">
            <x v="7"/>
          </reference>
          <reference field="4" count="1">
            <x v="0"/>
          </reference>
          <reference field="146" count="1" selected="0">
            <x v="0"/>
          </reference>
        </references>
      </pivotArea>
    </format>
    <format dxfId="578">
      <pivotArea type="all" dataOnly="0" outline="0" fieldPosition="0"/>
    </format>
    <format dxfId="577">
      <pivotArea outline="0" collapsedLevelsAreSubtotals="1" fieldPosition="0"/>
    </format>
    <format dxfId="576">
      <pivotArea outline="0" collapsedLevelsAreSubtotals="1" fieldPosition="0"/>
    </format>
  </formats>
  <chartFormats count="8">
    <chartFormat chart="27" format="2" series="1">
      <pivotArea type="data" outline="0" fieldPosition="0">
        <references count="1">
          <reference field="4294967294" count="1" selected="0">
            <x v="0"/>
          </reference>
        </references>
      </pivotArea>
    </chartFormat>
    <chartFormat chart="27" format="3" series="1">
      <pivotArea type="data" outline="0" fieldPosition="0">
        <references count="1">
          <reference field="4294967294" count="1" selected="0">
            <x v="1"/>
          </reference>
        </references>
      </pivotArea>
    </chartFormat>
    <chartFormat chart="29" format="6" series="1">
      <pivotArea type="data" outline="0" fieldPosition="0">
        <references count="1">
          <reference field="4294967294" count="1" selected="0">
            <x v="0"/>
          </reference>
        </references>
      </pivotArea>
    </chartFormat>
    <chartFormat chart="29" format="7" series="1">
      <pivotArea type="data" outline="0" fieldPosition="0">
        <references count="1">
          <reference field="4294967294" count="1" selected="0">
            <x v="1"/>
          </reference>
        </references>
      </pivotArea>
    </chartFormat>
    <chartFormat chart="31" format="0" series="1">
      <pivotArea type="data" outline="0" fieldPosition="0">
        <references count="1">
          <reference field="4294967294" count="1" selected="0">
            <x v="0"/>
          </reference>
        </references>
      </pivotArea>
    </chartFormat>
    <chartFormat chart="31" format="1" series="1">
      <pivotArea type="data" outline="0" fieldPosition="0">
        <references count="1">
          <reference field="4294967294" count="1" selected="0">
            <x v="1"/>
          </reference>
        </references>
      </pivotArea>
    </chartFormat>
    <chartFormat chart="33" format="4" series="1">
      <pivotArea type="data" outline="0" fieldPosition="0">
        <references count="1">
          <reference field="4294967294" count="1" selected="0">
            <x v="0"/>
          </reference>
        </references>
      </pivotArea>
    </chartFormat>
    <chartFormat chart="33" format="5" series="1">
      <pivotArea type="data" outline="0" fieldPosition="0">
        <references count="1">
          <reference field="4294967294" count="1" selected="0">
            <x v="1"/>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197A2615-AF6E-4D96-B23D-A92D9FC660C2}" name="PivotTable4" cacheId="12"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30" rowHeaderCaption="State">
  <location ref="C427:E432" firstHeaderRow="1" firstDataRow="2" firstDataCol="1" rowPageCount="3" colPageCount="1"/>
  <pivotFields count="160">
    <pivotField axis="axisCol" subtotalTop="0" multipleItemSelectionAllowed="1" showAll="0">
      <items count="29">
        <item m="1" x="26"/>
        <item m="1" x="12"/>
        <item m="1" x="27"/>
        <item m="1" x="19"/>
        <item m="1" x="7"/>
        <item m="1" x="2"/>
        <item m="1" x="25"/>
        <item m="1" x="21"/>
        <item m="1" x="23"/>
        <item m="1" x="24"/>
        <item m="1" x="15"/>
        <item m="1" x="17"/>
        <item m="1" x="20"/>
        <item m="1" x="22"/>
        <item m="1" x="10"/>
        <item m="1" x="13"/>
        <item m="1" x="16"/>
        <item m="1" x="18"/>
        <item m="1" x="5"/>
        <item m="1" x="8"/>
        <item m="1" x="11"/>
        <item m="1" x="14"/>
        <item m="1" x="3"/>
        <item m="1" x="4"/>
        <item m="1" x="6"/>
        <item m="1" x="9"/>
        <item x="0"/>
        <item x="1"/>
        <item t="default"/>
      </items>
    </pivotField>
    <pivotField showAll="0" defaultSubtotal="0"/>
    <pivotField showAll="0" defaultSubtotal="0"/>
    <pivotField subtotalTop="0" showAll="0"/>
    <pivotField axis="axisPage" subtotalTop="0" multipleItemSelectionAllowed="1" showAll="0">
      <items count="7">
        <item h="1" x="1"/>
        <item m="1" x="4"/>
        <item x="0"/>
        <item m="1" x="2"/>
        <item h="1" m="1" x="3"/>
        <item h="1" m="1" x="5"/>
        <item t="default"/>
      </items>
    </pivotField>
    <pivotField subtotalTop="0" showAll="0"/>
    <pivotField axis="axisPage" multipleItemSelectionAllowed="1" showAll="0" defaultSubtotal="0">
      <items count="15">
        <item x="0"/>
        <item x="2"/>
        <item m="1" x="11"/>
        <item h="1" m="1" x="9"/>
        <item m="1" x="7"/>
        <item m="1" x="6"/>
        <item h="1" m="1" x="13"/>
        <item m="1" x="10"/>
        <item h="1" m="1" x="14"/>
        <item h="1"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dataField="1"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n="Gap" h="1" x="1"/>
        <item h="1" m="1" x="4"/>
        <item h="1" m="1" x="2"/>
        <item h="1" m="1" x="3"/>
        <item t="default"/>
      </items>
    </pivotField>
    <pivotField subtotalTop="0"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Fields count="1">
    <field x="0"/>
  </colFields>
  <colItems count="2">
    <i>
      <x v="26"/>
    </i>
    <i>
      <x v="27"/>
    </i>
  </colItems>
  <pageFields count="3">
    <pageField fld="146" hier="-1"/>
    <pageField fld="6" hier="-1"/>
    <pageField fld="4" hier="-1"/>
  </pageFields>
  <dataFields count="4">
    <dataField name=" % of affected people surveyed who report feeling satistfied with the latrine design and sanitation service" fld="71" subtotal="average" baseField="0" baseItem="1"/>
    <dataField name="% of affected people surveyed who report feeling satistfied with the water point design and water service" fld="72" subtotal="average" baseField="0" baseItem="1"/>
    <dataField name="% of complaints received that result in timely corrective action and feedback to the community" fld="74" subtotal="average" baseField="0" baseItem="1"/>
    <dataField name="% of affected people surveyed who report feeling informed about the different WASH services available to them" fld="131" subtotal="average" baseField="0" baseItem="3"/>
  </dataFields>
  <formats count="14">
    <format dxfId="603">
      <pivotArea type="all" dataOnly="0" outline="0" fieldPosition="0"/>
    </format>
    <format dxfId="602">
      <pivotArea outline="0" collapsedLevelsAreSubtotals="1" fieldPosition="0"/>
    </format>
    <format dxfId="601">
      <pivotArea field="4" type="button" dataOnly="0" labelOnly="1" outline="0" axis="axisPage" fieldPosition="2"/>
    </format>
    <format dxfId="600">
      <pivotArea dataOnly="0" labelOnly="1" grandRow="1" outline="0" fieldPosition="0"/>
    </format>
    <format dxfId="599">
      <pivotArea type="all" dataOnly="0" outline="0" fieldPosition="0"/>
    </format>
    <format dxfId="598">
      <pivotArea outline="0" collapsedLevelsAreSubtotals="1" fieldPosition="0"/>
    </format>
    <format dxfId="597">
      <pivotArea type="origin" dataOnly="0" labelOnly="1" outline="0" fieldPosition="0"/>
    </format>
    <format dxfId="596">
      <pivotArea field="146" type="button" dataOnly="0" labelOnly="1" outline="0" axis="axisPage" fieldPosition="0"/>
    </format>
    <format dxfId="595">
      <pivotArea type="topRight" dataOnly="0" labelOnly="1" outline="0" fieldPosition="0"/>
    </format>
    <format dxfId="594">
      <pivotArea dataOnly="0" labelOnly="1" fieldPosition="0">
        <references count="1">
          <reference field="146" count="0"/>
        </references>
      </pivotArea>
    </format>
    <format dxfId="593">
      <pivotArea type="all" dataOnly="0" outline="0" fieldPosition="0"/>
    </format>
    <format dxfId="592">
      <pivotArea outline="0" collapsedLevelsAreSubtotals="1" fieldPosition="0"/>
    </format>
    <format dxfId="591">
      <pivotArea field="4" type="button" dataOnly="0" labelOnly="1" outline="0" axis="axisPage" fieldPosition="2"/>
    </format>
    <format dxfId="590">
      <pivotArea outline="0" collapsedLevelsAreSubtotals="1" fieldPosition="0"/>
    </format>
  </formats>
  <chartFormats count="29">
    <chartFormat chart="18" format="0" series="1">
      <pivotArea type="data" outline="0" fieldPosition="0">
        <references count="2">
          <reference field="4294967294" count="1" selected="0">
            <x v="0"/>
          </reference>
          <reference field="0" count="1" selected="0">
            <x v="18"/>
          </reference>
        </references>
      </pivotArea>
    </chartFormat>
    <chartFormat chart="18" format="1" series="1">
      <pivotArea type="data" outline="0" fieldPosition="0">
        <references count="2">
          <reference field="4294967294" count="1" selected="0">
            <x v="0"/>
          </reference>
          <reference field="0" count="1" selected="0">
            <x v="19"/>
          </reference>
        </references>
      </pivotArea>
    </chartFormat>
    <chartFormat chart="18" format="2" series="1">
      <pivotArea type="data" outline="0" fieldPosition="0">
        <references count="2">
          <reference field="4294967294" count="1" selected="0">
            <x v="0"/>
          </reference>
          <reference field="0" count="1" selected="0">
            <x v="20"/>
          </reference>
        </references>
      </pivotArea>
    </chartFormat>
    <chartFormat chart="20" format="6" series="1">
      <pivotArea type="data" outline="0" fieldPosition="0">
        <references count="2">
          <reference field="4294967294" count="1" selected="0">
            <x v="0"/>
          </reference>
          <reference field="0" count="1" selected="0">
            <x v="18"/>
          </reference>
        </references>
      </pivotArea>
    </chartFormat>
    <chartFormat chart="20" format="7" series="1">
      <pivotArea type="data" outline="0" fieldPosition="0">
        <references count="2">
          <reference field="4294967294" count="1" selected="0">
            <x v="0"/>
          </reference>
          <reference field="0" count="1" selected="0">
            <x v="19"/>
          </reference>
        </references>
      </pivotArea>
    </chartFormat>
    <chartFormat chart="20" format="8" series="1">
      <pivotArea type="data" outline="0" fieldPosition="0">
        <references count="2">
          <reference field="4294967294" count="1" selected="0">
            <x v="0"/>
          </reference>
          <reference field="0" count="1" selected="0">
            <x v="20"/>
          </reference>
        </references>
      </pivotArea>
    </chartFormat>
    <chartFormat chart="18" format="3" series="1">
      <pivotArea type="data" outline="0" fieldPosition="0">
        <references count="2">
          <reference field="4294967294" count="1" selected="0">
            <x v="0"/>
          </reference>
          <reference field="0" count="1" selected="0">
            <x v="21"/>
          </reference>
        </references>
      </pivotArea>
    </chartFormat>
    <chartFormat chart="20" format="9" series="1">
      <pivotArea type="data" outline="0" fieldPosition="0">
        <references count="2">
          <reference field="4294967294" count="1" selected="0">
            <x v="0"/>
          </reference>
          <reference field="0" count="1" selected="0">
            <x v="21"/>
          </reference>
        </references>
      </pivotArea>
    </chartFormat>
    <chartFormat chart="18" format="4" series="1">
      <pivotArea type="data" outline="0" fieldPosition="0">
        <references count="1">
          <reference field="4294967294" count="1" selected="0">
            <x v="0"/>
          </reference>
        </references>
      </pivotArea>
    </chartFormat>
    <chartFormat chart="20" format="10" series="1">
      <pivotArea type="data" outline="0" fieldPosition="0">
        <references count="1">
          <reference field="4294967294" count="1" selected="0">
            <x v="0"/>
          </reference>
        </references>
      </pivotArea>
    </chartFormat>
    <chartFormat chart="18" format="5" series="1">
      <pivotArea type="data" outline="0" fieldPosition="0">
        <references count="2">
          <reference field="4294967294" count="1" selected="0">
            <x v="0"/>
          </reference>
          <reference field="0" count="1" selected="0">
            <x v="23"/>
          </reference>
        </references>
      </pivotArea>
    </chartFormat>
    <chartFormat chart="20" format="11" series="1">
      <pivotArea type="data" outline="0" fieldPosition="0">
        <references count="2">
          <reference field="4294967294" count="1" selected="0">
            <x v="0"/>
          </reference>
          <reference field="0" count="1" selected="0">
            <x v="23"/>
          </reference>
        </references>
      </pivotArea>
    </chartFormat>
    <chartFormat chart="18" format="6" series="1">
      <pivotArea type="data" outline="0" fieldPosition="0">
        <references count="2">
          <reference field="4294967294" count="1" selected="0">
            <x v="0"/>
          </reference>
          <reference field="0" count="1" selected="0">
            <x v="22"/>
          </reference>
        </references>
      </pivotArea>
    </chartFormat>
    <chartFormat chart="20" format="12">
      <pivotArea type="data" outline="0" fieldPosition="0">
        <references count="2">
          <reference field="4294967294" count="1" selected="0">
            <x v="0"/>
          </reference>
          <reference field="0" count="1" selected="0">
            <x v="22"/>
          </reference>
        </references>
      </pivotArea>
    </chartFormat>
    <chartFormat chart="20" format="13" series="1">
      <pivotArea type="data" outline="0" fieldPosition="0">
        <references count="2">
          <reference field="4294967294" count="1" selected="0">
            <x v="0"/>
          </reference>
          <reference field="0" count="1" selected="0">
            <x v="22"/>
          </reference>
        </references>
      </pivotArea>
    </chartFormat>
    <chartFormat chart="24" format="0" series="1">
      <pivotArea type="data" outline="0" fieldPosition="0">
        <references count="2">
          <reference field="4294967294" count="1" selected="0">
            <x v="0"/>
          </reference>
          <reference field="0" count="1" selected="0">
            <x v="22"/>
          </reference>
        </references>
      </pivotArea>
    </chartFormat>
    <chartFormat chart="24" format="1" series="1">
      <pivotArea type="data" outline="0" fieldPosition="0">
        <references count="2">
          <reference field="4294967294" count="1" selected="0">
            <x v="0"/>
          </reference>
          <reference field="0" count="1" selected="0">
            <x v="23"/>
          </reference>
        </references>
      </pivotArea>
    </chartFormat>
    <chartFormat chart="29" format="8" series="1">
      <pivotArea type="data" outline="0" fieldPosition="0">
        <references count="2">
          <reference field="4294967294" count="1" selected="0">
            <x v="0"/>
          </reference>
          <reference field="0" count="1" selected="0">
            <x v="22"/>
          </reference>
        </references>
      </pivotArea>
    </chartFormat>
    <chartFormat chart="29" format="9" series="1">
      <pivotArea type="data" outline="0" fieldPosition="0">
        <references count="2">
          <reference field="4294967294" count="1" selected="0">
            <x v="0"/>
          </reference>
          <reference field="0" count="1" selected="0">
            <x v="23"/>
          </reference>
        </references>
      </pivotArea>
    </chartFormat>
    <chartFormat chart="24" format="2" series="1">
      <pivotArea type="data" outline="0" fieldPosition="0">
        <references count="2">
          <reference field="4294967294" count="1" selected="0">
            <x v="0"/>
          </reference>
          <reference field="0" count="1" selected="0">
            <x v="24"/>
          </reference>
        </references>
      </pivotArea>
    </chartFormat>
    <chartFormat chart="29" format="10" series="1">
      <pivotArea type="data" outline="0" fieldPosition="0">
        <references count="2">
          <reference field="4294967294" count="1" selected="0">
            <x v="0"/>
          </reference>
          <reference field="0" count="1" selected="0">
            <x v="24"/>
          </reference>
        </references>
      </pivotArea>
    </chartFormat>
    <chartFormat chart="24" format="3" series="1">
      <pivotArea type="data" outline="0" fieldPosition="0">
        <references count="2">
          <reference field="4294967294" count="1" selected="0">
            <x v="0"/>
          </reference>
          <reference field="0" count="1" selected="0">
            <x v="25"/>
          </reference>
        </references>
      </pivotArea>
    </chartFormat>
    <chartFormat chart="29" format="11" series="1">
      <pivotArea type="data" outline="0" fieldPosition="0">
        <references count="2">
          <reference field="4294967294" count="1" selected="0">
            <x v="0"/>
          </reference>
          <reference field="0" count="1" selected="0">
            <x v="25"/>
          </reference>
        </references>
      </pivotArea>
    </chartFormat>
    <chartFormat chart="24" format="4" series="1">
      <pivotArea type="data" outline="0" fieldPosition="0">
        <references count="1">
          <reference field="4294967294" count="1" selected="0">
            <x v="0"/>
          </reference>
        </references>
      </pivotArea>
    </chartFormat>
    <chartFormat chart="29" format="12" series="1">
      <pivotArea type="data" outline="0" fieldPosition="0">
        <references count="1">
          <reference field="4294967294" count="1" selected="0">
            <x v="0"/>
          </reference>
        </references>
      </pivotArea>
    </chartFormat>
    <chartFormat chart="24" format="5" series="1">
      <pivotArea type="data" outline="0" fieldPosition="0">
        <references count="2">
          <reference field="4294967294" count="1" selected="0">
            <x v="0"/>
          </reference>
          <reference field="0" count="1" selected="0">
            <x v="27"/>
          </reference>
        </references>
      </pivotArea>
    </chartFormat>
    <chartFormat chart="29" format="13" series="1">
      <pivotArea type="data" outline="0" fieldPosition="0">
        <references count="2">
          <reference field="4294967294" count="1" selected="0">
            <x v="0"/>
          </reference>
          <reference field="0" count="1" selected="0">
            <x v="27"/>
          </reference>
        </references>
      </pivotArea>
    </chartFormat>
    <chartFormat chart="24" format="6" series="1">
      <pivotArea type="data" outline="0" fieldPosition="0">
        <references count="2">
          <reference field="4294967294" count="1" selected="0">
            <x v="0"/>
          </reference>
          <reference field="0" count="1" selected="0">
            <x v="26"/>
          </reference>
        </references>
      </pivotArea>
    </chartFormat>
    <chartFormat chart="29" format="14" series="1">
      <pivotArea type="data" outline="0" fieldPosition="0">
        <references count="2">
          <reference field="4294967294" count="1" selected="0">
            <x v="0"/>
          </reference>
          <reference field="0" count="1" selected="0">
            <x v="26"/>
          </reference>
        </references>
      </pivotArea>
    </chartFormat>
  </chartFormats>
  <pivotTableStyleInfo name="PivotStyleMedium2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00000000-0007-0000-0800-000007000000}" name="K_Traffic" cacheId="12" applyNumberFormats="0" applyBorderFormats="0" applyFontFormats="0" applyPatternFormats="0" applyAlignmentFormats="0" applyWidthHeightFormats="1" dataCaption="Values" updatedVersion="7" minRefreshableVersion="3" itemPrintTitles="1" createdVersion="6" indent="0" outline="1" outlineData="1" multipleFieldFilters="0" rowHeaderCaption="Township">
  <location ref="B10:G24" firstHeaderRow="0" firstDataRow="1" firstDataCol="1" rowPageCount="5" colPageCount="1"/>
  <pivotFields count="160">
    <pivotField axis="axisPage" subtotalTop="0" multipleItemSelectionAllowed="1" showAll="0">
      <items count="29">
        <item m="1" x="26"/>
        <item m="1" x="12"/>
        <item h="1" m="1" x="19"/>
        <item m="1" x="2"/>
        <item m="1" x="27"/>
        <item m="1" x="7"/>
        <item m="1" x="25"/>
        <item h="1" m="1" x="21"/>
        <item h="1" m="1" x="23"/>
        <item m="1" x="24"/>
        <item h="1" m="1" x="15"/>
        <item h="1" m="1" x="17"/>
        <item h="1" m="1" x="20"/>
        <item m="1" x="22"/>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Page" subtotalTop="0" showAll="0">
      <items count="7">
        <item x="1"/>
        <item m="1" x="4"/>
        <item x="0"/>
        <item m="1" x="2"/>
        <item m="1" x="3"/>
        <item m="1" x="5"/>
        <item t="default"/>
      </items>
    </pivotField>
    <pivotField axis="axisRow" subtotalTop="0" showAll="0" sortType="ascending">
      <items count="49">
        <item m="1" x="32"/>
        <item x="15"/>
        <item m="1" x="45"/>
        <item m="1" x="37"/>
        <item x="5"/>
        <item x="6"/>
        <item x="16"/>
        <item x="0"/>
        <item x="22"/>
        <item x="17"/>
        <item x="18"/>
        <item m="1" x="40"/>
        <item m="1" x="27"/>
        <item x="1"/>
        <item m="1" x="47"/>
        <item x="3"/>
        <item m="1" x="43"/>
        <item x="7"/>
        <item x="19"/>
        <item m="1" x="38"/>
        <item m="1" x="31"/>
        <item x="8"/>
        <item x="9"/>
        <item m="1" x="26"/>
        <item x="4"/>
        <item m="1" x="44"/>
        <item x="2"/>
        <item m="1" x="35"/>
        <item x="10"/>
        <item m="1" x="34"/>
        <item x="20"/>
        <item m="1" x="30"/>
        <item x="21"/>
        <item m="1" x="28"/>
        <item m="1" x="29"/>
        <item m="1" x="33"/>
        <item m="1" x="39"/>
        <item m="1" x="36"/>
        <item m="1" x="46"/>
        <item m="1" x="42"/>
        <item x="11"/>
        <item m="1" x="41"/>
        <item x="12"/>
        <item x="13"/>
        <item x="24"/>
        <item x="23"/>
        <item x="14"/>
        <item m="1" x="25"/>
        <item t="default"/>
      </items>
    </pivotField>
    <pivotField axis="axisPage" multipleItemSelectionAllowed="1" showAll="0" defaultSubtotal="0">
      <items count="15">
        <item x="0"/>
        <item x="2"/>
        <item m="1" x="11"/>
        <item m="1" x="7"/>
        <item h="1" m="1" x="6"/>
        <item h="1" m="1" x="13"/>
        <item h="1" m="1" x="10"/>
        <item h="1" m="1" x="14"/>
        <item h="1" m="1" x="8"/>
        <item m="1" x="9"/>
        <item h="1" m="1" x="12"/>
        <item h="1" m="1" x="4"/>
        <item h="1" m="1" x="5"/>
        <item x="3"/>
        <item x="1"/>
      </items>
    </pivotField>
    <pivotField dataField="1" subtotalTop="0" showAll="0"/>
    <pivotField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6">
        <item x="0"/>
        <item h="1" x="1"/>
        <item m="1" x="4"/>
        <item m="1" x="2"/>
        <item m="1" x="3"/>
        <item t="default"/>
      </items>
    </pivotField>
    <pivotField axis="axisPage" subtotalTop="0" multipleItemSelectionAllowed="1" showAll="0">
      <items count="53">
        <item x="0"/>
        <item x="1"/>
        <item x="2"/>
        <item m="1" x="29"/>
        <item m="1" x="9"/>
        <item m="1" x="14"/>
        <item h="1" m="1" x="33"/>
        <item m="1" x="27"/>
        <item m="1" x="22"/>
        <item m="1" x="7"/>
        <item m="1" x="4"/>
        <item m="1" x="21"/>
        <item m="1" x="25"/>
        <item m="1" x="5"/>
        <item h="1" m="1" x="36"/>
        <item m="1" x="34"/>
        <item m="1" x="15"/>
        <item m="1" x="28"/>
        <item m="1" x="42"/>
        <item h="1" m="1" x="48"/>
        <item m="1" x="50"/>
        <item h="1" m="1" x="46"/>
        <item m="1" x="23"/>
        <item m="1" x="43"/>
        <item m="1" x="37"/>
        <item m="1" x="18"/>
        <item h="1" m="1" x="12"/>
        <item m="1" x="51"/>
        <item m="1" x="44"/>
        <item h="1" m="1" x="38"/>
        <item m="1" x="39"/>
        <item m="1" x="3"/>
        <item m="1" x="11"/>
        <item m="1" x="19"/>
        <item m="1" x="6"/>
        <item m="1" x="13"/>
        <item m="1" x="17"/>
        <item m="1" x="10"/>
        <item m="1" x="20"/>
        <item h="1" m="1" x="47"/>
        <item m="1" x="26"/>
        <item m="1" x="45"/>
        <item m="1" x="41"/>
        <item m="1" x="32"/>
        <item m="1" x="31"/>
        <item m="1" x="35"/>
        <item m="1" x="16"/>
        <item m="1" x="8"/>
        <item m="1" x="24"/>
        <item m="1" x="49"/>
        <item m="1" x="30"/>
        <item m="1" x="40"/>
        <item t="default"/>
      </items>
    </pivotField>
    <pivotField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5"/>
  </rowFields>
  <rowItems count="14">
    <i>
      <x v="1"/>
    </i>
    <i>
      <x v="4"/>
    </i>
    <i>
      <x v="5"/>
    </i>
    <i>
      <x v="8"/>
    </i>
    <i>
      <x v="17"/>
    </i>
    <i>
      <x v="21"/>
    </i>
    <i>
      <x v="22"/>
    </i>
    <i>
      <x v="24"/>
    </i>
    <i>
      <x v="28"/>
    </i>
    <i>
      <x v="40"/>
    </i>
    <i>
      <x v="42"/>
    </i>
    <i>
      <x v="43"/>
    </i>
    <i>
      <x v="46"/>
    </i>
    <i t="grand">
      <x/>
    </i>
  </rowItems>
  <colFields count="1">
    <field x="-2"/>
  </colFields>
  <colItems count="5">
    <i>
      <x/>
    </i>
    <i i="1">
      <x v="1"/>
    </i>
    <i i="2">
      <x v="2"/>
    </i>
    <i i="3">
      <x v="3"/>
    </i>
    <i i="4">
      <x v="4"/>
    </i>
  </colItems>
  <pageFields count="5">
    <pageField fld="0" hier="-1"/>
    <pageField fld="146" hier="-1"/>
    <pageField fld="4" item="0" hier="-1"/>
    <pageField fld="6" hier="-1"/>
    <pageField fld="147" hier="-1"/>
  </pageFields>
  <dataFields count="5">
    <dataField name="# of sites" fld="7" subtotal="count" baseField="0" baseItem="0"/>
    <dataField name="PoP " fld="9" baseField="0" baseItem="0" numFmtId="164"/>
    <dataField name=" % Water GAP" fld="156" baseField="0" baseItem="0" numFmtId="9"/>
    <dataField name=" % Sanitation GAP" fld="158" baseField="0" baseItem="0" numFmtId="9"/>
    <dataField name=" % Hygiene Gap" fld="153" baseField="0" baseItem="0" numFmtId="9"/>
  </dataFields>
  <formats count="35">
    <format dxfId="638">
      <pivotArea type="all" dataOnly="0" outline="0" fieldPosition="0"/>
    </format>
    <format dxfId="637">
      <pivotArea outline="0" collapsedLevelsAreSubtotals="1" fieldPosition="0"/>
    </format>
    <format dxfId="636">
      <pivotArea field="5" type="button" dataOnly="0" labelOnly="1" outline="0" axis="axisRow" fieldPosition="0"/>
    </format>
    <format dxfId="635">
      <pivotArea dataOnly="0" labelOnly="1" outline="0" axis="axisValues" fieldPosition="0"/>
    </format>
    <format dxfId="634">
      <pivotArea dataOnly="0" labelOnly="1" fieldPosition="0">
        <references count="1">
          <reference field="5" count="0"/>
        </references>
      </pivotArea>
    </format>
    <format dxfId="633">
      <pivotArea dataOnly="0" labelOnly="1" grandRow="1" outline="0" fieldPosition="0"/>
    </format>
    <format dxfId="632">
      <pivotArea dataOnly="0" labelOnly="1" outline="0" axis="axisValues" fieldPosition="0"/>
    </format>
    <format dxfId="631">
      <pivotArea type="all" dataOnly="0" outline="0" fieldPosition="0"/>
    </format>
    <format dxfId="630">
      <pivotArea field="5" type="button" dataOnly="0" labelOnly="1" outline="0" axis="axisRow" fieldPosition="0"/>
    </format>
    <format dxfId="629">
      <pivotArea dataOnly="0" labelOnly="1" outline="0" axis="axisValues" fieldPosition="0"/>
    </format>
    <format dxfId="628">
      <pivotArea dataOnly="0" labelOnly="1" fieldPosition="0">
        <references count="1">
          <reference field="5" count="0"/>
        </references>
      </pivotArea>
    </format>
    <format dxfId="627">
      <pivotArea dataOnly="0" labelOnly="1" outline="0" axis="axisValues" fieldPosition="0"/>
    </format>
    <format dxfId="626">
      <pivotArea field="5" type="button" dataOnly="0" labelOnly="1" outline="0" axis="axisRow" fieldPosition="0"/>
    </format>
    <format dxfId="625">
      <pivotArea type="all" dataOnly="0" outline="0" fieldPosition="0"/>
    </format>
    <format dxfId="624">
      <pivotArea field="5" type="button" dataOnly="0" labelOnly="1" outline="0" axis="axisRow" fieldPosition="0"/>
    </format>
    <format dxfId="623">
      <pivotArea dataOnly="0" labelOnly="1" fieldPosition="0">
        <references count="1">
          <reference field="5" count="0"/>
        </references>
      </pivotArea>
    </format>
    <format dxfId="622">
      <pivotArea dataOnly="0" labelOnly="1" outline="0" fieldPosition="0">
        <references count="1">
          <reference field="4294967294" count="1">
            <x v="1"/>
          </reference>
        </references>
      </pivotArea>
    </format>
    <format dxfId="621">
      <pivotArea type="all" dataOnly="0" outline="0" fieldPosition="0"/>
    </format>
    <format dxfId="620">
      <pivotArea outline="0" collapsedLevelsAreSubtotals="1" fieldPosition="0"/>
    </format>
    <format dxfId="619">
      <pivotArea field="5" type="button" dataOnly="0" labelOnly="1" outline="0" axis="axisRow" fieldPosition="0"/>
    </format>
    <format dxfId="618">
      <pivotArea dataOnly="0" labelOnly="1" fieldPosition="0">
        <references count="1">
          <reference field="5" count="0"/>
        </references>
      </pivotArea>
    </format>
    <format dxfId="617">
      <pivotArea dataOnly="0" labelOnly="1" outline="0" fieldPosition="0">
        <references count="1">
          <reference field="4294967294" count="1">
            <x v="1"/>
          </reference>
        </references>
      </pivotArea>
    </format>
    <format dxfId="616">
      <pivotArea field="5" type="button" dataOnly="0" labelOnly="1" outline="0" axis="axisRow" fieldPosition="0"/>
    </format>
    <format dxfId="615">
      <pivotArea dataOnly="0" labelOnly="1" outline="0" fieldPosition="0">
        <references count="1">
          <reference field="4294967294" count="1">
            <x v="1"/>
          </reference>
        </references>
      </pivotArea>
    </format>
    <format dxfId="614">
      <pivotArea outline="0" collapsedLevelsAreSubtotals="1" fieldPosition="0">
        <references count="1">
          <reference field="4294967294" count="1" selected="0">
            <x v="1"/>
          </reference>
        </references>
      </pivotArea>
    </format>
    <format dxfId="613">
      <pivotArea type="all" dataOnly="0" outline="0" fieldPosition="0"/>
    </format>
    <format dxfId="612">
      <pivotArea outline="0" collapsedLevelsAreSubtotals="1" fieldPosition="0"/>
    </format>
    <format dxfId="611">
      <pivotArea field="5" type="button" dataOnly="0" labelOnly="1" outline="0" axis="axisRow" fieldPosition="0"/>
    </format>
    <format dxfId="610">
      <pivotArea dataOnly="0" labelOnly="1" fieldPosition="0">
        <references count="1">
          <reference field="5" count="13">
            <x v="1"/>
            <x v="4"/>
            <x v="5"/>
            <x v="17"/>
            <x v="21"/>
            <x v="22"/>
            <x v="24"/>
            <x v="28"/>
            <x v="37"/>
            <x v="40"/>
            <x v="42"/>
            <x v="43"/>
            <x v="46"/>
          </reference>
        </references>
      </pivotArea>
    </format>
    <format dxfId="609">
      <pivotArea dataOnly="0" labelOnly="1" grandRow="1" outline="0" fieldPosition="0"/>
    </format>
    <format dxfId="608">
      <pivotArea dataOnly="0" labelOnly="1" outline="0" fieldPosition="0">
        <references count="1">
          <reference field="4294967294" count="1">
            <x v="1"/>
          </reference>
        </references>
      </pivotArea>
    </format>
    <format dxfId="607">
      <pivotArea field="4" type="button" dataOnly="0" labelOnly="1" outline="0" axis="axisPage" fieldPosition="2"/>
    </format>
    <format dxfId="606">
      <pivotArea dataOnly="0" labelOnly="1" outline="0" fieldPosition="0">
        <references count="2">
          <reference field="4" count="1">
            <x v="0"/>
          </reference>
          <reference field="146" count="1" selected="0">
            <x v="0"/>
          </reference>
        </references>
      </pivotArea>
    </format>
    <format dxfId="605">
      <pivotArea outline="0" collapsedLevelsAreSubtotals="1" fieldPosition="0">
        <references count="1">
          <reference field="4294967294" count="1" selected="0">
            <x v="3"/>
          </reference>
        </references>
      </pivotArea>
    </format>
    <format dxfId="604">
      <pivotArea outline="0" collapsedLevelsAreSubtotals="1" fieldPosition="0">
        <references count="1">
          <reference field="4294967294" count="1" selected="0">
            <x v="4"/>
          </reference>
        </references>
      </pivotArea>
    </format>
  </formats>
  <conditionalFormats count="1">
    <conditionalFormat priority="18">
      <pivotAreas count="1">
        <pivotArea type="data" outline="0" collapsedLevelsAreSubtotals="1" fieldPosition="0">
          <references count="1">
            <reference field="4294967294" count="3" selected="0">
              <x v="2"/>
              <x v="3"/>
              <x v="4"/>
            </reference>
          </references>
        </pivotArea>
      </pivotAreas>
    </conditionalFormat>
  </conditionalFormats>
  <chartFormats count="1">
    <chartFormat chart="1" format="7" series="1">
      <pivotArea type="data" outline="0" fieldPosition="0">
        <references count="1">
          <reference field="4294967294" count="1" selected="0">
            <x v="1"/>
          </reference>
        </references>
      </pivotArea>
    </chartFormat>
  </chart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HRP_1" cacheId="12" applyNumberFormats="0" applyBorderFormats="0" applyFontFormats="0" applyPatternFormats="0" applyAlignmentFormats="0" applyWidthHeightFormats="1" dataCaption="Values" updatedVersion="7" minRefreshableVersion="3" colGrandTotals="0" itemPrintTitles="1" createdVersion="6" indent="0" showHeaders="0" compact="0" compactData="0" multipleFieldFilters="0">
  <location ref="A8:L13" firstHeaderRow="0" firstDataRow="1" firstDataCol="2" rowPageCount="2" colPageCount="1"/>
  <pivotFields count="160">
    <pivotField axis="axisRow" compact="0" outline="0" subtotalTop="0" showAll="0" defaultSubtotal="0">
      <items count="28">
        <item m="1" x="26"/>
        <item m="1" x="19"/>
        <item m="1" x="2"/>
        <item m="1" x="12"/>
        <item m="1" x="27"/>
        <item m="1" x="7"/>
        <item m="1" x="25"/>
        <item m="1" x="21"/>
        <item m="1" x="23"/>
        <item m="1" x="24"/>
        <item m="1" x="15"/>
        <item m="1" x="17"/>
        <item m="1" x="20"/>
        <item m="1" x="22"/>
        <item m="1" x="10"/>
        <item m="1" x="13"/>
        <item m="1" x="16"/>
        <item m="1" x="18"/>
        <item m="1" x="5"/>
        <item m="1" x="8"/>
        <item m="1" x="11"/>
        <item m="1" x="14"/>
        <item m="1" x="3"/>
        <item m="1" x="4"/>
        <item m="1" x="6"/>
        <item m="1" x="9"/>
        <item x="0"/>
        <item x="1"/>
      </items>
    </pivotField>
    <pivotField compact="0" outline="0" showAll="0" defaultSubtotal="0"/>
    <pivotField compact="0" outline="0" showAll="0" defaultSubtotal="0"/>
    <pivotField compact="0" outline="0" subtotalTop="0" showAll="0" defaultSubtotal="0"/>
    <pivotField axis="axisRow" compact="0" outline="0" subtotalTop="0" showAll="0" defaultSubtotal="0">
      <items count="6">
        <item x="1"/>
        <item m="1" x="4"/>
        <item x="0"/>
        <item m="1" x="2"/>
        <item m="1" x="3"/>
        <item m="1" x="5"/>
      </items>
    </pivotField>
    <pivotField compact="0" outline="0" subtotalTop="0" showAll="0" defaultSubtotal="0"/>
    <pivotField axis="axisPage" compact="0" outline="0" multipleItemSelectionAllowed="1" showAll="0" defaultSubtotal="0">
      <items count="15">
        <item x="0"/>
        <item x="2"/>
        <item m="1" x="11"/>
        <item h="1" m="1" x="13"/>
        <item h="1" m="1" x="14"/>
        <item h="1" m="1" x="7"/>
        <item h="1" m="1" x="10"/>
        <item h="1" m="1" x="6"/>
        <item m="1" x="8"/>
        <item m="1" x="9"/>
        <item h="1" m="1" x="12"/>
        <item h="1" m="1" x="4"/>
        <item h="1" m="1" x="5"/>
        <item h="1" x="3"/>
        <item h="1" x="1"/>
      </items>
    </pivotField>
    <pivotField compact="0" outline="0" subtotalTop="0" showAll="0" defaultSubtotal="0"/>
    <pivotField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ubtotalTop="0" showAll="0" defaultSubtotal="0"/>
    <pivotField compact="0" numFmtId="1" outline="0" subtotalTop="0" showAll="0" defaultSubtotal="0"/>
    <pivotField compact="0" outline="0" subtotalTop="0" showAll="0" defaultSubtotal="0"/>
    <pivotField compact="0" outline="0" subtotalTop="0" showAll="0" defaultSubtotal="0"/>
    <pivotField compact="0" numFmtId="9"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dataField="1"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numFmtId="1" outline="0" subtotalTop="0" showAll="0" defaultSubtotal="0"/>
    <pivotField compact="0" numFmtId="1" outline="0" showAll="0" defaultSubtotal="0"/>
    <pivotField compact="0" numFmtId="9" outline="0" showAll="0" defaultSubtotal="0"/>
    <pivotField dataField="1" compact="0" numFmtId="1" outline="0" showAll="0" defaultSubtotal="0"/>
    <pivotField compact="0" outline="0" showAll="0" defaultSubtotal="0"/>
    <pivotField dataField="1" compact="0" outline="0" showAll="0" defaultSubtotal="0"/>
    <pivotField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9" outline="0" showAll="0" defaultSubtotal="0"/>
    <pivotField dataField="1" compact="0" numFmtId="1" outline="0" showAll="0" defaultSubtotal="0"/>
    <pivotField compact="0" numFmtId="1" outline="0" showAll="0" defaultSubtotal="0"/>
    <pivotField compact="0" numFmtId="1" outline="0" showAll="0" defaultSubtotal="0"/>
    <pivotField dataField="1" compact="0" numFmtId="1" outline="0" showAll="0" defaultSubtotal="0"/>
    <pivotField dataField="1" compact="0" numFmtId="1"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 outline="0" showAll="0" defaultSubtotal="0"/>
    <pivotField compact="0" numFmtId="1" outline="0" subtotalTop="0" showAll="0" defaultSubtotal="0"/>
    <pivotField compact="0" numFmtId="1" outline="0" showAll="0" defaultSubtotal="0"/>
    <pivotField dataField="1" compact="0" numFmtId="1" outline="0" showAll="0" defaultSubtotal="0"/>
    <pivotField compact="0" outline="0" showAll="0" defaultSubtotal="0"/>
    <pivotField compact="0" numFmtId="9" outline="0" showAll="0" defaultSubtotal="0"/>
    <pivotField compact="0" numFmtId="164" outline="0" subtotalTop="0" showAll="0" defaultSubtotal="0"/>
    <pivotField compact="0" numFmtId="164" outline="0" subtotalTop="0" showAll="0" defaultSubtotal="0"/>
    <pivotField compact="0" numFmtId="164" outline="0" subtotalTop="0" showAll="0" defaultSubtotal="0"/>
    <pivotField dataField="1" compact="0" numFmtId="164" outline="0" showAll="0" defaultSubtotal="0"/>
    <pivotField dataField="1" compact="0" outline="0" showAll="0" defaultSubtotal="0"/>
    <pivotField compact="0" numFmtId="164"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5">
        <item x="0"/>
        <item x="1"/>
        <item m="1" x="2"/>
        <item m="1" x="4"/>
        <item m="1" x="3"/>
      </items>
    </pivotField>
    <pivotField compact="0" outline="0" subtotalTop="0" showAll="0" defaultSubtotal="0"/>
    <pivotField compact="0" outline="0" subtotalTop="0" showAll="0" defaultSubtota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0"/>
  </rowFields>
  <rowItems count="5">
    <i>
      <x/>
      <x v="26"/>
    </i>
    <i r="1">
      <x v="27"/>
    </i>
    <i>
      <x v="2"/>
      <x v="26"/>
    </i>
    <i r="1">
      <x v="27"/>
    </i>
    <i t="grand">
      <x/>
    </i>
  </rowItems>
  <colFields count="1">
    <field x="-2"/>
  </colFields>
  <colItems count="10">
    <i>
      <x/>
    </i>
    <i i="1">
      <x v="1"/>
    </i>
    <i i="2">
      <x v="2"/>
    </i>
    <i i="3">
      <x v="3"/>
    </i>
    <i i="4">
      <x v="4"/>
    </i>
    <i i="5">
      <x v="5"/>
    </i>
    <i i="6">
      <x v="6"/>
    </i>
    <i i="7">
      <x v="7"/>
    </i>
    <i i="8">
      <x v="8"/>
    </i>
    <i i="9">
      <x v="9"/>
    </i>
  </colItems>
  <pageFields count="2">
    <pageField fld="146" item="0" hier="-1"/>
    <pageField fld="6" hier="-1"/>
  </pageFields>
  <dataFields count="10">
    <dataField name="Total Population reached" fld="9" baseField="2" baseItem="0" numFmtId="3"/>
    <dataField name=" HRP1" fld="100" baseField="4" baseItem="0"/>
    <dataField name=" HRP2" fld="108" baseField="0" baseItem="0"/>
    <dataField name=" HRP3" fld="120" baseField="0" baseItem="0"/>
    <dataField name=" HRP4" fld="135" baseField="4" baseItem="0"/>
    <dataField name=" HRP5" fld="136" baseField="4" baseItem="0"/>
    <dataField name=" # People received regular supply of hygiene items" fld="119" baseField="0" baseItem="0"/>
    <dataField name=" # people reached by regular dedicated hygiene promotion" fld="116" baseField="0" baseItem="0"/>
    <dataField name=" # People access to Handwashing Station" fld="129" baseField="0" baseItem="0"/>
    <dataField name=" # students access to functioning school latrines_HRP5" fld="110" baseField="0" baseItem="0"/>
  </dataFields>
  <formats count="53">
    <format dxfId="863">
      <pivotArea field="4" type="button" dataOnly="0" labelOnly="1" outline="0" axis="axisRow" fieldPosition="0"/>
    </format>
    <format dxfId="862">
      <pivotArea type="all" dataOnly="0" outline="0" fieldPosition="0"/>
    </format>
    <format dxfId="861">
      <pivotArea field="4" type="button" dataOnly="0" labelOnly="1" outline="0" axis="axisRow" fieldPosition="0"/>
    </format>
    <format dxfId="860">
      <pivotArea outline="0" fieldPosition="0">
        <references count="1">
          <reference field="4294967294" count="1">
            <x v="0"/>
          </reference>
        </references>
      </pivotArea>
    </format>
    <format dxfId="859">
      <pivotArea dataOnly="0" labelOnly="1" outline="0" fieldPosition="0">
        <references count="1">
          <reference field="4294967294" count="1">
            <x v="0"/>
          </reference>
        </references>
      </pivotArea>
    </format>
    <format dxfId="858">
      <pivotArea type="all" dataOnly="0" outline="0" fieldPosition="0"/>
    </format>
    <format dxfId="857">
      <pivotArea outline="0" collapsedLevelsAreSubtotals="1" fieldPosition="0"/>
    </format>
    <format dxfId="856">
      <pivotArea dataOnly="0" labelOnly="1" fieldPosition="0">
        <references count="1">
          <reference field="4" count="0"/>
        </references>
      </pivotArea>
    </format>
    <format dxfId="855">
      <pivotArea dataOnly="0" labelOnly="1" grandRow="1" outline="0" fieldPosition="0"/>
    </format>
    <format dxfId="854">
      <pivotArea dataOnly="0" labelOnly="1" outline="0" fieldPosition="0">
        <references count="1">
          <reference field="4294967294" count="1">
            <x v="0"/>
          </reference>
        </references>
      </pivotArea>
    </format>
    <format dxfId="853">
      <pivotArea type="all" dataOnly="0" outline="0" fieldPosition="0"/>
    </format>
    <format dxfId="852">
      <pivotArea outline="0" collapsedLevelsAreSubtotals="1" fieldPosition="0"/>
    </format>
    <format dxfId="851">
      <pivotArea dataOnly="0" labelOnly="1" fieldPosition="0">
        <references count="1">
          <reference field="4" count="0"/>
        </references>
      </pivotArea>
    </format>
    <format dxfId="850">
      <pivotArea dataOnly="0" labelOnly="1" grandRow="1" outline="0" fieldPosition="0"/>
    </format>
    <format dxfId="849">
      <pivotArea dataOnly="0" labelOnly="1" outline="0" fieldPosition="0">
        <references count="1">
          <reference field="4294967294" count="1">
            <x v="0"/>
          </reference>
        </references>
      </pivotArea>
    </format>
    <format dxfId="848">
      <pivotArea outline="0" collapsedLevelsAreSubtotals="1" fieldPosition="0"/>
    </format>
    <format dxfId="847">
      <pivotArea outline="0" collapsedLevelsAreSubtotals="1" fieldPosition="0">
        <references count="1">
          <reference field="4294967294" count="1" selected="0">
            <x v="1"/>
          </reference>
        </references>
      </pivotArea>
    </format>
    <format dxfId="846">
      <pivotArea dataOnly="0" labelOnly="1" outline="0" fieldPosition="0">
        <references count="1">
          <reference field="4294967294" count="1">
            <x v="1"/>
          </reference>
        </references>
      </pivotArea>
    </format>
    <format dxfId="845">
      <pivotArea outline="0" collapsedLevelsAreSubtotals="1" fieldPosition="0">
        <references count="1">
          <reference field="4294967294" count="1" selected="0">
            <x v="1"/>
          </reference>
        </references>
      </pivotArea>
    </format>
    <format dxfId="844">
      <pivotArea dataOnly="0" labelOnly="1" outline="0" fieldPosition="0">
        <references count="1">
          <reference field="4294967294" count="1">
            <x v="1"/>
          </reference>
        </references>
      </pivotArea>
    </format>
    <format dxfId="843">
      <pivotArea outline="0" collapsedLevelsAreSubtotals="1" fieldPosition="0">
        <references count="1">
          <reference field="4294967294" count="1" selected="0">
            <x v="2"/>
          </reference>
        </references>
      </pivotArea>
    </format>
    <format dxfId="842">
      <pivotArea dataOnly="0" labelOnly="1" outline="0" fieldPosition="0">
        <references count="1">
          <reference field="4294967294" count="1">
            <x v="2"/>
          </reference>
        </references>
      </pivotArea>
    </format>
    <format dxfId="841">
      <pivotArea outline="0" collapsedLevelsAreSubtotals="1" fieldPosition="0">
        <references count="1">
          <reference field="4294967294" count="1" selected="0">
            <x v="2"/>
          </reference>
        </references>
      </pivotArea>
    </format>
    <format dxfId="840">
      <pivotArea dataOnly="0" labelOnly="1" outline="0" fieldPosition="0">
        <references count="1">
          <reference field="4294967294" count="1">
            <x v="2"/>
          </reference>
        </references>
      </pivotArea>
    </format>
    <format dxfId="839">
      <pivotArea outline="0" collapsedLevelsAreSubtotals="1" fieldPosition="0">
        <references count="1">
          <reference field="4294967294" count="1" selected="0">
            <x v="3"/>
          </reference>
        </references>
      </pivotArea>
    </format>
    <format dxfId="838">
      <pivotArea dataOnly="0" labelOnly="1" outline="0" fieldPosition="0">
        <references count="1">
          <reference field="4294967294" count="1">
            <x v="3"/>
          </reference>
        </references>
      </pivotArea>
    </format>
    <format dxfId="837">
      <pivotArea outline="0" collapsedLevelsAreSubtotals="1" fieldPosition="0">
        <references count="1">
          <reference field="4294967294" count="1" selected="0">
            <x v="3"/>
          </reference>
        </references>
      </pivotArea>
    </format>
    <format dxfId="836">
      <pivotArea dataOnly="0" labelOnly="1" outline="0" fieldPosition="0">
        <references count="1">
          <reference field="4294967294" count="1">
            <x v="3"/>
          </reference>
        </references>
      </pivotArea>
    </format>
    <format dxfId="835">
      <pivotArea outline="0" collapsedLevelsAreSubtotals="1" fieldPosition="0">
        <references count="1">
          <reference field="4294967294" count="1" selected="0">
            <x v="0"/>
          </reference>
        </references>
      </pivotArea>
    </format>
    <format dxfId="834">
      <pivotArea dataOnly="0" labelOnly="1" outline="0" fieldPosition="0">
        <references count="1">
          <reference field="4294967294" count="1">
            <x v="0"/>
          </reference>
        </references>
      </pivotArea>
    </format>
    <format dxfId="833">
      <pivotArea outline="0" collapsedLevelsAreSubtotals="1" fieldPosition="0">
        <references count="1">
          <reference field="4294967294" count="1" selected="0">
            <x v="0"/>
          </reference>
        </references>
      </pivotArea>
    </format>
    <format dxfId="832">
      <pivotArea dataOnly="0" labelOnly="1" outline="0" fieldPosition="0">
        <references count="1">
          <reference field="4294967294" count="1">
            <x v="0"/>
          </reference>
        </references>
      </pivotArea>
    </format>
    <format dxfId="831">
      <pivotArea dataOnly="0" labelOnly="1" outline="0" fieldPosition="0">
        <references count="1">
          <reference field="4294967294" count="4">
            <x v="0"/>
            <x v="1"/>
            <x v="2"/>
            <x v="3"/>
          </reference>
        </references>
      </pivotArea>
    </format>
    <format dxfId="830">
      <pivotArea dataOnly="0" labelOnly="1" outline="0" fieldPosition="0">
        <references count="1">
          <reference field="4294967294" count="4">
            <x v="0"/>
            <x v="1"/>
            <x v="2"/>
            <x v="3"/>
          </reference>
        </references>
      </pivotArea>
    </format>
    <format dxfId="829">
      <pivotArea dataOnly="0" labelOnly="1" outline="0" fieldPosition="0">
        <references count="1">
          <reference field="4294967294" count="1">
            <x v="6"/>
          </reference>
        </references>
      </pivotArea>
    </format>
    <format dxfId="828">
      <pivotArea dataOnly="0" labelOnly="1" outline="0" fieldPosition="0">
        <references count="1">
          <reference field="4294967294" count="1">
            <x v="6"/>
          </reference>
        </references>
      </pivotArea>
    </format>
    <format dxfId="827">
      <pivotArea dataOnly="0" labelOnly="1" outline="0" fieldPosition="0">
        <references count="1">
          <reference field="4294967294" count="1">
            <x v="8"/>
          </reference>
        </references>
      </pivotArea>
    </format>
    <format dxfId="826">
      <pivotArea outline="0" collapsedLevelsAreSubtotals="1" fieldPosition="0">
        <references count="1">
          <reference field="4294967294" count="2" selected="0">
            <x v="6"/>
            <x v="8"/>
          </reference>
        </references>
      </pivotArea>
    </format>
    <format dxfId="825">
      <pivotArea dataOnly="0" labelOnly="1" outline="0" fieldPosition="0">
        <references count="1">
          <reference field="4294967294" count="1">
            <x v="7"/>
          </reference>
        </references>
      </pivotArea>
    </format>
    <format dxfId="824">
      <pivotArea collapsedLevelsAreSubtotals="1" fieldPosition="0">
        <references count="2">
          <reference field="4294967294" count="1" selected="0">
            <x v="7"/>
          </reference>
          <reference field="4" count="1">
            <x v="0"/>
          </reference>
        </references>
      </pivotArea>
    </format>
    <format dxfId="823">
      <pivotArea outline="0" collapsedLevelsAreSubtotals="1" fieldPosition="0">
        <references count="1">
          <reference field="4294967294" count="3" selected="0">
            <x v="6"/>
            <x v="7"/>
            <x v="8"/>
          </reference>
        </references>
      </pivotArea>
    </format>
    <format dxfId="822">
      <pivotArea dataOnly="0" labelOnly="1" outline="0" fieldPosition="0">
        <references count="1">
          <reference field="4294967294" count="3">
            <x v="6"/>
            <x v="7"/>
            <x v="8"/>
          </reference>
        </references>
      </pivotArea>
    </format>
    <format dxfId="821">
      <pivotArea outline="0" collapsedLevelsAreSubtotals="1" fieldPosition="0">
        <references count="1">
          <reference field="4294967294" count="3" selected="0">
            <x v="6"/>
            <x v="7"/>
            <x v="8"/>
          </reference>
        </references>
      </pivotArea>
    </format>
    <format dxfId="820">
      <pivotArea dataOnly="0" labelOnly="1" outline="0" fieldPosition="0">
        <references count="1">
          <reference field="4294967294" count="3">
            <x v="6"/>
            <x v="7"/>
            <x v="8"/>
          </reference>
        </references>
      </pivotArea>
    </format>
    <format dxfId="819">
      <pivotArea outline="0" collapsedLevelsAreSubtotals="1" fieldPosition="0">
        <references count="1">
          <reference field="4294967294" count="1" selected="0">
            <x v="4"/>
          </reference>
        </references>
      </pivotArea>
    </format>
    <format dxfId="818">
      <pivotArea dataOnly="0" labelOnly="1" outline="0" fieldPosition="0">
        <references count="1">
          <reference field="4294967294" count="1">
            <x v="4"/>
          </reference>
        </references>
      </pivotArea>
    </format>
    <format dxfId="817">
      <pivotArea outline="0" collapsedLevelsAreSubtotals="1" fieldPosition="0">
        <references count="1">
          <reference field="4294967294" count="1" selected="0">
            <x v="5"/>
          </reference>
        </references>
      </pivotArea>
    </format>
    <format dxfId="816">
      <pivotArea dataOnly="0" labelOnly="1" outline="0" fieldPosition="0">
        <references count="1">
          <reference field="4294967294" count="1">
            <x v="5"/>
          </reference>
        </references>
      </pivotArea>
    </format>
    <format dxfId="815">
      <pivotArea dataOnly="0" labelOnly="1" outline="0" fieldPosition="0">
        <references count="1">
          <reference field="4294967294" count="5">
            <x v="4"/>
            <x v="5"/>
            <x v="6"/>
            <x v="7"/>
            <x v="8"/>
          </reference>
        </references>
      </pivotArea>
    </format>
    <format dxfId="814">
      <pivotArea dataOnly="0" labelOnly="1" outline="0" fieldPosition="0">
        <references count="1">
          <reference field="4294967294" count="1">
            <x v="9"/>
          </reference>
        </references>
      </pivotArea>
    </format>
    <format dxfId="813">
      <pivotArea dataOnly="0" labelOnly="1" outline="0" fieldPosition="0">
        <references count="1">
          <reference field="4294967294" count="1">
            <x v="9"/>
          </reference>
        </references>
      </pivotArea>
    </format>
    <format dxfId="812">
      <pivotArea dataOnly="0" labelOnly="1" outline="0" fieldPosition="0">
        <references count="1">
          <reference field="4294967294" count="1">
            <x v="9"/>
          </reference>
        </references>
      </pivotArea>
    </format>
    <format dxfId="811">
      <pivotArea dataOnly="0" outline="0" fieldPosition="0">
        <references count="2">
          <reference field="4" count="0" defaultSubtotal="1"/>
          <reference field="146" count="1" selected="0">
            <x v="0"/>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DAF68722-0847-44DE-B739-E1339CBA805C}" name="PivotTable1" cacheId="12" dataPosition="0"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35">
  <location ref="O124:Q126" firstHeaderRow="0" firstDataRow="1" firstDataCol="1" rowPageCount="4" colPageCount="1"/>
  <pivotFields count="160">
    <pivotField axis="axisPage" subtotalTop="0" multipleItemSelectionAllowed="1" showAll="0">
      <items count="29">
        <item m="1" x="26"/>
        <item m="1" x="12"/>
        <item m="1" x="27"/>
        <item m="1" x="19"/>
        <item m="1" x="7"/>
        <item m="1" x="2"/>
        <item m="1" x="25"/>
        <item m="1" x="21"/>
        <item m="1" x="23"/>
        <item m="1" x="24"/>
        <item m="1" x="15"/>
        <item m="1" x="17"/>
        <item m="1" x="20"/>
        <item m="1" x="22"/>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Page" subtotalTop="0" showAll="0">
      <items count="7">
        <item x="1"/>
        <item m="1" x="4"/>
        <item x="0"/>
        <item m="1" x="2"/>
        <item m="1" x="3"/>
        <item m="1" x="5"/>
        <item t="default"/>
      </items>
    </pivotField>
    <pivotField subtotalTop="0" showAll="0"/>
    <pivotField axis="axisPage" multipleItemSelectionAllowed="1" showAll="0" defaultSubtotal="0">
      <items count="15">
        <item x="0"/>
        <item x="2"/>
        <item m="1" x="11"/>
        <item h="1" m="1" x="9"/>
        <item m="1" x="7"/>
        <item m="1" x="6"/>
        <item h="1" m="1" x="13"/>
        <item m="1" x="10"/>
        <item h="1" m="1" x="14"/>
        <item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dataField="1"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m="1" x="2"/>
        <item m="1" x="186"/>
        <item m="1" x="209"/>
        <item m="1" x="340"/>
        <item m="1" x="290"/>
        <item m="1" x="180"/>
        <item m="1" x="168"/>
        <item m="1" x="127"/>
        <item m="1" x="289"/>
        <item m="1" x="126"/>
        <item m="1" x="13"/>
        <item m="1" x="274"/>
        <item m="1" x="24"/>
        <item m="1" x="119"/>
        <item m="1" x="303"/>
        <item m="1" x="97"/>
        <item m="1" x="275"/>
        <item m="1" x="296"/>
        <item m="1" x="104"/>
        <item m="1" x="218"/>
        <item m="1" x="80"/>
        <item m="1" x="118"/>
        <item m="1" x="20"/>
        <item m="1" x="204"/>
        <item m="1" x="114"/>
        <item m="1" x="138"/>
        <item m="1" x="25"/>
        <item m="1" x="165"/>
        <item m="1" x="212"/>
        <item m="1" x="146"/>
        <item m="1" x="224"/>
        <item m="1" x="171"/>
        <item m="1" x="107"/>
        <item m="1" x="26"/>
        <item m="1" x="145"/>
        <item m="1" x="50"/>
        <item m="1" x="263"/>
        <item m="1" x="244"/>
        <item m="1" x="213"/>
        <item m="1" x="59"/>
        <item m="1" x="108"/>
        <item m="1" x="128"/>
        <item m="1" x="272"/>
        <item m="1" x="324"/>
        <item m="1" x="115"/>
        <item m="1" x="58"/>
        <item m="1" x="72"/>
        <item m="1" x="170"/>
        <item m="1" x="307"/>
        <item m="1" x="337"/>
        <item m="1" x="273"/>
        <item m="1" x="48"/>
        <item m="1" x="294"/>
        <item m="1" x="43"/>
        <item m="1" x="60"/>
        <item m="1" x="217"/>
        <item m="1" x="210"/>
        <item m="1" x="49"/>
        <item m="1" x="86"/>
        <item m="1" x="129"/>
        <item m="1" x="237"/>
        <item m="1" x="253"/>
        <item m="1" x="116"/>
        <item m="1" x="84"/>
        <item m="1" x="211"/>
        <item m="1" x="36"/>
        <item m="1" x="46"/>
        <item m="1" x="251"/>
        <item m="1" x="318"/>
        <item m="1" x="71"/>
        <item m="1" x="323"/>
        <item m="1" x="133"/>
        <item m="1" x="73"/>
        <item m="1" x="8"/>
        <item m="1" x="93"/>
        <item m="1" x="227"/>
        <item m="1" x="155"/>
        <item m="1" x="111"/>
        <item m="1" x="295"/>
        <item m="1" x="195"/>
        <item m="1" x="179"/>
        <item m="1" x="110"/>
        <item m="1" x="327"/>
        <item m="1" x="246"/>
        <item m="1" x="202"/>
        <item m="1" x="9"/>
        <item m="1" x="103"/>
        <item m="1" x="277"/>
        <item m="1" x="39"/>
        <item m="1" x="254"/>
        <item m="1" x="306"/>
        <item m="1" x="249"/>
        <item m="1" x="29"/>
        <item m="1" x="85"/>
        <item m="1" x="287"/>
        <item m="1" x="181"/>
        <item m="1" x="319"/>
        <item m="1" x="19"/>
        <item m="1" x="260"/>
        <item m="1" x="125"/>
        <item m="1" x="311"/>
        <item m="1" x="74"/>
        <item m="1" x="236"/>
        <item m="1" x="320"/>
        <item m="1" x="187"/>
        <item m="1" x="196"/>
        <item m="1" x="98"/>
        <item m="1" x="120"/>
        <item m="1" x="96"/>
        <item m="1" x="12"/>
        <item m="1" x="79"/>
        <item m="1" x="276"/>
        <item m="1" x="183"/>
        <item m="1" x="162"/>
        <item m="1" x="291"/>
        <item m="1" x="14"/>
        <item m="1" x="109"/>
        <item m="1" x="169"/>
        <item m="1" x="161"/>
        <item m="1" x="243"/>
        <item m="1" x="286"/>
        <item m="1" x="203"/>
        <item m="1" x="139"/>
        <item m="1" x="75"/>
        <item m="1" x="206"/>
        <item m="1" x="10"/>
        <item m="1" x="282"/>
        <item m="1" x="325"/>
        <item m="1" x="140"/>
        <item m="1" x="141"/>
        <item m="1" x="166"/>
        <item m="1" x="328"/>
        <item m="1" x="53"/>
        <item m="1" x="81"/>
        <item m="1" x="87"/>
        <item m="1" x="262"/>
        <item m="1" x="292"/>
        <item m="1" x="338"/>
        <item m="1" x="105"/>
        <item m="1" x="283"/>
        <item m="1" x="221"/>
        <item m="1" x="99"/>
        <item m="1" x="233"/>
        <item m="1" x="308"/>
        <item m="1" x="238"/>
        <item m="1" x="197"/>
        <item m="1" x="135"/>
        <item m="1" x="333"/>
        <item m="1" x="147"/>
        <item m="1" x="316"/>
        <item m="1" x="279"/>
        <item m="1" x="193"/>
        <item m="1" x="266"/>
        <item m="1" x="137"/>
        <item m="1" x="151"/>
        <item m="1" x="317"/>
        <item m="1" x="27"/>
        <item m="1" x="37"/>
        <item m="1" x="269"/>
        <item m="1" x="241"/>
        <item m="1" x="298"/>
        <item m="1" x="23"/>
        <item m="1" x="41"/>
        <item m="1" x="62"/>
        <item m="1" x="143"/>
        <item m="1" x="192"/>
        <item m="1" x="270"/>
        <item m="1" x="159"/>
        <item m="1" x="78"/>
        <item m="1" x="4"/>
        <item m="1" x="231"/>
        <item m="1" x="271"/>
        <item m="1" x="153"/>
        <item m="1" x="160"/>
        <item m="1" x="82"/>
        <item m="1" x="123"/>
        <item m="1" x="61"/>
        <item m="1" x="152"/>
        <item m="1" x="315"/>
        <item m="1" x="184"/>
        <item m="1" x="16"/>
        <item m="1" x="300"/>
        <item m="1" x="150"/>
        <item m="1" x="106"/>
        <item m="1" x="68"/>
        <item m="1" x="226"/>
        <item m="1" x="301"/>
        <item m="1" x="83"/>
        <item m="1" x="144"/>
        <item m="1" x="34"/>
        <item m="1" x="149"/>
        <item m="1" x="230"/>
        <item m="1" x="265"/>
        <item m="1" x="336"/>
        <item m="1" x="113"/>
        <item m="1" x="223"/>
        <item m="1" x="38"/>
        <item m="1" x="305"/>
        <item m="1" x="281"/>
        <item m="1" x="158"/>
        <item m="1" x="51"/>
        <item m="1" x="91"/>
        <item m="1" x="280"/>
        <item m="1" x="200"/>
        <item m="1" x="132"/>
        <item m="1" x="284"/>
        <item m="1" x="76"/>
        <item m="1" x="33"/>
        <item m="1" x="199"/>
        <item m="1" x="44"/>
        <item m="1" x="310"/>
        <item m="1" x="288"/>
        <item m="1" x="156"/>
        <item m="1" x="335"/>
        <item m="1" x="304"/>
        <item m="1" x="299"/>
        <item m="1" x="242"/>
        <item m="1" x="117"/>
        <item m="1" x="121"/>
        <item m="1" x="334"/>
        <item m="1" x="215"/>
        <item m="1" x="339"/>
        <item m="1" x="322"/>
        <item m="1" x="207"/>
        <item m="1" x="314"/>
        <item m="1" x="11"/>
        <item m="1" x="40"/>
        <item m="1" x="293"/>
        <item m="1" x="22"/>
        <item m="1" x="94"/>
        <item m="1" x="131"/>
        <item m="1" x="234"/>
        <item m="1" x="208"/>
        <item m="1" x="164"/>
        <item m="1" x="6"/>
        <item m="1" x="261"/>
        <item m="1" x="190"/>
        <item m="1" x="112"/>
        <item m="1" x="285"/>
        <item m="1" x="100"/>
        <item m="1" x="90"/>
        <item m="1" x="225"/>
        <item m="1" x="229"/>
        <item m="1" x="257"/>
        <item m="1" x="331"/>
        <item m="1" x="45"/>
        <item m="1" x="240"/>
        <item m="1" x="232"/>
        <item m="1" x="77"/>
        <item m="1" x="177"/>
        <item m="1" x="122"/>
        <item m="1" x="124"/>
        <item m="1" x="248"/>
        <item m="1" x="32"/>
        <item m="1" x="256"/>
        <item m="1" x="250"/>
        <item m="1" x="228"/>
        <item m="1" x="65"/>
        <item m="1" x="278"/>
        <item m="1" x="329"/>
        <item m="1" x="172"/>
        <item m="1" x="21"/>
        <item m="1" x="222"/>
        <item m="1" x="67"/>
        <item m="1" x="255"/>
        <item m="1" x="264"/>
        <item m="1" x="89"/>
        <item m="1" x="55"/>
        <item m="1" x="239"/>
        <item m="1" x="247"/>
        <item m="1" x="142"/>
        <item m="1" x="148"/>
        <item m="1" x="188"/>
        <item m="1" x="216"/>
        <item m="1" x="88"/>
        <item m="1" x="176"/>
        <item m="1" x="5"/>
        <item m="1" x="28"/>
        <item m="1" x="64"/>
        <item m="1" x="163"/>
        <item m="1" x="54"/>
        <item m="1" x="198"/>
        <item m="1" x="326"/>
        <item m="1" x="189"/>
        <item m="1" x="297"/>
        <item m="1" x="130"/>
        <item m="1" x="313"/>
        <item m="1" x="175"/>
        <item m="1" x="309"/>
        <item m="1" x="312"/>
        <item m="1" x="174"/>
        <item m="1" x="3"/>
        <item m="1" x="66"/>
        <item m="1" x="31"/>
        <item m="1" x="136"/>
        <item m="1" x="173"/>
        <item m="1" x="220"/>
        <item m="1" x="268"/>
        <item m="1" x="214"/>
        <item m="1" x="321"/>
        <item m="1" x="15"/>
        <item m="1" x="63"/>
        <item m="1" x="167"/>
        <item m="1" x="267"/>
        <item m="1" x="47"/>
        <item m="1" x="52"/>
        <item m="1" x="154"/>
        <item m="1" x="18"/>
        <item m="1" x="92"/>
        <item m="1" x="35"/>
        <item m="1" x="69"/>
        <item m="1" x="42"/>
        <item m="1" x="56"/>
        <item m="1" x="191"/>
        <item m="1" x="182"/>
        <item m="1" x="157"/>
        <item m="1" x="259"/>
        <item m="1" x="17"/>
        <item m="1" x="185"/>
        <item m="1" x="201"/>
        <item m="1" x="302"/>
        <item m="1" x="101"/>
        <item m="1" x="102"/>
        <item m="1" x="194"/>
        <item m="1" x="57"/>
        <item m="1" x="95"/>
        <item m="1" x="7"/>
        <item m="1" x="235"/>
        <item m="1" x="258"/>
        <item m="1" x="252"/>
        <item m="1" x="332"/>
        <item m="1" x="330"/>
        <item m="1" x="70"/>
        <item m="1" x="178"/>
        <item m="1" x="205"/>
        <item m="1" x="245"/>
        <item m="1" x="219"/>
        <item m="1" x="134"/>
        <item m="1" x="30"/>
        <item x="0"/>
        <item x="1"/>
        <item t="default"/>
      </items>
    </pivotField>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142"/>
  </rowFields>
  <rowItems count="2">
    <i>
      <x v="339"/>
    </i>
    <i>
      <x v="340"/>
    </i>
  </rowItems>
  <colFields count="1">
    <field x="-2"/>
  </colFields>
  <colItems count="2">
    <i>
      <x/>
    </i>
    <i i="1">
      <x v="1"/>
    </i>
  </colItems>
  <pageFields count="4">
    <pageField fld="0" hier="-1"/>
    <pageField fld="4" item="0" hier="-1"/>
    <pageField fld="146" item="0" hier="-1"/>
    <pageField fld="6" hier="-1"/>
  </pageFields>
  <dataFields count="2">
    <dataField name="Accessed" fld="108" baseField="0" baseItem="0"/>
    <dataField name="Not-accessed" fld="159" baseField="0" baseItem="0" numFmtId="1"/>
  </dataFields>
  <formats count="14">
    <format dxfId="652">
      <pivotArea field="4" type="button" dataOnly="0" labelOnly="1" outline="0" axis="axisPage" fieldPosition="1"/>
    </format>
    <format dxfId="651">
      <pivotArea type="all" dataOnly="0" outline="0" fieldPosition="0"/>
    </format>
    <format dxfId="650">
      <pivotArea type="origin" dataOnly="0" labelOnly="1" outline="0" fieldPosition="0"/>
    </format>
    <format dxfId="649">
      <pivotArea type="topRight" dataOnly="0" labelOnly="1" outline="0" fieldPosition="0"/>
    </format>
    <format dxfId="648">
      <pivotArea field="-2" type="button" dataOnly="0" labelOnly="1" outline="0" axis="axisCol" fieldPosition="0"/>
    </format>
    <format dxfId="647">
      <pivotArea type="all" dataOnly="0" outline="0" fieldPosition="0"/>
    </format>
    <format dxfId="646">
      <pivotArea outline="0" collapsedLevelsAreSubtotals="1" fieldPosition="0"/>
    </format>
    <format dxfId="645">
      <pivotArea type="origin" dataOnly="0" labelOnly="1" outline="0" fieldPosition="0"/>
    </format>
    <format dxfId="644">
      <pivotArea type="topRight" dataOnly="0" labelOnly="1" outline="0" fieldPosition="0"/>
    </format>
    <format dxfId="643">
      <pivotArea field="-2" type="button" dataOnly="0" labelOnly="1" outline="0" axis="axisCol" fieldPosition="0"/>
    </format>
    <format dxfId="642">
      <pivotArea dataOnly="0" labelOnly="1" outline="0" fieldPosition="0">
        <references count="3">
          <reference field="0" count="1" selected="0">
            <x v="7"/>
          </reference>
          <reference field="4" count="1">
            <x v="0"/>
          </reference>
          <reference field="146" count="1" selected="0">
            <x v="0"/>
          </reference>
        </references>
      </pivotArea>
    </format>
    <format dxfId="641">
      <pivotArea type="all" dataOnly="0" outline="0" fieldPosition="0"/>
    </format>
    <format dxfId="640">
      <pivotArea outline="0" collapsedLevelsAreSubtotals="1" fieldPosition="0"/>
    </format>
    <format dxfId="639">
      <pivotArea outline="0" collapsedLevelsAreSubtotals="1" fieldPosition="0"/>
    </format>
  </formats>
  <chartFormats count="4">
    <chartFormat chart="27" format="2" series="1">
      <pivotArea type="data" outline="0" fieldPosition="0">
        <references count="1">
          <reference field="4294967294" count="1" selected="0">
            <x v="0"/>
          </reference>
        </references>
      </pivotArea>
    </chartFormat>
    <chartFormat chart="27" format="3" series="1">
      <pivotArea type="data" outline="0" fieldPosition="0">
        <references count="1">
          <reference field="4294967294" count="1" selected="0">
            <x v="1"/>
          </reference>
        </references>
      </pivotArea>
    </chartFormat>
    <chartFormat chart="29" format="6" series="1">
      <pivotArea type="data" outline="0" fieldPosition="0">
        <references count="1">
          <reference field="4294967294" count="1" selected="0">
            <x v="0"/>
          </reference>
        </references>
      </pivotArea>
    </chartFormat>
    <chartFormat chart="29" format="7" series="1">
      <pivotArea type="data" outline="0" fieldPosition="0">
        <references count="1">
          <reference field="4294967294" count="1" selected="0">
            <x v="1"/>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00000000-0007-0000-0800-00001B000000}" name="S_H_CG_C" cacheId="12"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57" rowHeaderCaption="State" colHeaderCaption=" ">
  <location ref="K270:M278" firstHeaderRow="0" firstDataRow="1" firstDataCol="1" rowPageCount="4" colPageCount="1"/>
  <pivotFields count="160">
    <pivotField axis="axisPage" subtotalTop="0" multipleItemSelectionAllowed="1" showAll="0">
      <items count="29">
        <item m="1" x="26"/>
        <item m="1" x="12"/>
        <item h="1" m="1" x="19"/>
        <item h="1" m="1" x="2"/>
        <item m="1" x="27"/>
        <item m="1" x="7"/>
        <item h="1" m="1" x="25"/>
        <item h="1" m="1" x="21"/>
        <item h="1" m="1" x="23"/>
        <item m="1" x="24"/>
        <item h="1" m="1" x="15"/>
        <item h="1" m="1" x="17"/>
        <item h="1" m="1" x="20"/>
        <item m="1" x="22"/>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Page" subtotalTop="0" multipleItemSelectionAllowed="1" showAll="0">
      <items count="7">
        <item h="1" x="1"/>
        <item m="1" x="4"/>
        <item x="0"/>
        <item m="1" x="2"/>
        <item h="1" m="1" x="3"/>
        <item h="1" m="1" x="5"/>
        <item t="default"/>
      </items>
    </pivotField>
    <pivotField axis="axisRow" subtotalTop="0" showAll="0" sortType="ascending">
      <items count="49">
        <item m="1" x="32"/>
        <item x="15"/>
        <item m="1" x="45"/>
        <item m="1" x="37"/>
        <item x="5"/>
        <item x="6"/>
        <item x="16"/>
        <item x="0"/>
        <item x="22"/>
        <item x="17"/>
        <item x="18"/>
        <item m="1" x="40"/>
        <item m="1" x="27"/>
        <item x="1"/>
        <item m="1" x="47"/>
        <item x="3"/>
        <item m="1" x="43"/>
        <item x="7"/>
        <item x="19"/>
        <item m="1" x="38"/>
        <item m="1" x="31"/>
        <item x="8"/>
        <item x="9"/>
        <item m="1" x="26"/>
        <item x="4"/>
        <item m="1" x="44"/>
        <item x="2"/>
        <item m="1" x="35"/>
        <item x="10"/>
        <item m="1" x="34"/>
        <item x="20"/>
        <item m="1" x="30"/>
        <item x="21"/>
        <item m="1" x="28"/>
        <item m="1" x="29"/>
        <item m="1" x="33"/>
        <item m="1" x="39"/>
        <item m="1" x="36"/>
        <item m="1" x="46"/>
        <item m="1" x="42"/>
        <item x="11"/>
        <item m="1" x="41"/>
        <item x="12"/>
        <item x="13"/>
        <item x="24"/>
        <item x="23"/>
        <item x="14"/>
        <item m="1" x="25"/>
        <item t="default"/>
      </items>
    </pivotField>
    <pivotField axis="axisPage" multipleItemSelectionAllowed="1" showAll="0" defaultSubtotal="0">
      <items count="15">
        <item x="0"/>
        <item x="2"/>
        <item m="1" x="11"/>
        <item h="1" m="1" x="9"/>
        <item m="1" x="7"/>
        <item m="1" x="6"/>
        <item h="1" m="1" x="13"/>
        <item m="1" x="10"/>
        <item h="1" m="1" x="14"/>
        <item h="1"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subtotalTop="0" showAll="0"/>
    <pivotField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8">
    <i>
      <x v="6"/>
    </i>
    <i>
      <x v="7"/>
    </i>
    <i>
      <x v="9"/>
    </i>
    <i>
      <x v="13"/>
    </i>
    <i>
      <x v="15"/>
    </i>
    <i>
      <x v="26"/>
    </i>
    <i>
      <x v="30"/>
    </i>
    <i>
      <x v="44"/>
    </i>
  </rowItems>
  <colFields count="1">
    <field x="-2"/>
  </colFields>
  <colItems count="2">
    <i>
      <x/>
    </i>
    <i i="1">
      <x v="1"/>
    </i>
  </colItems>
  <pageFields count="4">
    <pageField fld="0" hier="-1"/>
    <pageField fld="146" item="0" hier="-1"/>
    <pageField fld="4" hier="-1"/>
    <pageField fld="6" hier="-1"/>
  </pageFields>
  <dataFields count="2">
    <dataField name="  % Hygiene Coverage" fld="154" baseField="0" baseItem="0" numFmtId="1"/>
    <dataField name="  % Hygiene Gap" fld="153" baseField="0" baseItem="0" numFmtId="1"/>
  </dataFields>
  <formats count="11">
    <format dxfId="663">
      <pivotArea type="all" dataOnly="0" outline="0" fieldPosition="0"/>
    </format>
    <format dxfId="662">
      <pivotArea outline="0" collapsedLevelsAreSubtotals="1" fieldPosition="0"/>
    </format>
    <format dxfId="661">
      <pivotArea field="4" type="button" dataOnly="0" labelOnly="1" outline="0" axis="axisPage" fieldPosition="2"/>
    </format>
    <format dxfId="660">
      <pivotArea type="all" dataOnly="0" outline="0" fieldPosition="0"/>
    </format>
    <format dxfId="659">
      <pivotArea outline="0" collapsedLevelsAreSubtotals="1" fieldPosition="0"/>
    </format>
    <format dxfId="658">
      <pivotArea outline="0" collapsedLevelsAreSubtotals="1" fieldPosition="0"/>
    </format>
    <format dxfId="657">
      <pivotArea field="5" type="button" dataOnly="0" labelOnly="1" outline="0" axis="axisRow" fieldPosition="0"/>
    </format>
    <format dxfId="656">
      <pivotArea field="5" type="button" dataOnly="0" labelOnly="1" outline="0" axis="axisRow" fieldPosition="0"/>
    </format>
    <format dxfId="655">
      <pivotArea field="5" type="button" dataOnly="0" labelOnly="1" outline="0" axis="axisRow" fieldPosition="0"/>
    </format>
    <format dxfId="654">
      <pivotArea field="4" type="button" dataOnly="0" labelOnly="1" outline="0" axis="axisPage" fieldPosition="2"/>
    </format>
    <format dxfId="653">
      <pivotArea dataOnly="0" labelOnly="1" outline="0" fieldPosition="0">
        <references count="2">
          <reference field="4" count="0"/>
          <reference field="146" count="1" selected="0">
            <x v="0"/>
          </reference>
        </references>
      </pivotArea>
    </format>
  </formats>
  <conditionalFormats count="1">
    <conditionalFormat priority="4">
      <pivotAreas count="1">
        <pivotArea type="data" outline="0" collapsedLevelsAreSubtotals="1" fieldPosition="0">
          <references count="1">
            <reference field="4294967294" count="1" selected="0">
              <x v="1"/>
            </reference>
          </references>
        </pivotArea>
      </pivotAreas>
    </conditionalFormat>
  </conditionalFormats>
  <chartFormats count="2">
    <chartFormat chart="54" format="2" series="1">
      <pivotArea type="data" outline="0" fieldPosition="0">
        <references count="1">
          <reference field="4294967294" count="1" selected="0">
            <x v="0"/>
          </reference>
        </references>
      </pivotArea>
    </chartFormat>
    <chartFormat chart="54"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00000000-0007-0000-0800-000020000000}" name="W_K_C_G_C" cacheId="12"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32" rowHeaderCaption="State" colHeaderCaption=" ">
  <location ref="B84:D97" firstHeaderRow="0" firstDataRow="1" firstDataCol="1" rowPageCount="5" colPageCount="1"/>
  <pivotFields count="160">
    <pivotField axis="axisPage" subtotalTop="0" multipleItemSelectionAllowed="1" showAll="0">
      <items count="29">
        <item m="1" x="26"/>
        <item m="1" x="12"/>
        <item h="1" m="1" x="19"/>
        <item h="1" m="1" x="2"/>
        <item m="1" x="27"/>
        <item m="1" x="7"/>
        <item h="1" m="1" x="25"/>
        <item h="1" m="1" x="21"/>
        <item h="1" m="1" x="23"/>
        <item m="1" x="24"/>
        <item h="1" m="1" x="15"/>
        <item h="1" m="1" x="17"/>
        <item h="1" m="1" x="20"/>
        <item m="1" x="22"/>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Page" subtotalTop="0" showAll="0">
      <items count="7">
        <item x="1"/>
        <item m="1" x="4"/>
        <item x="0"/>
        <item m="1" x="2"/>
        <item m="1" x="3"/>
        <item m="1" x="5"/>
        <item t="default"/>
      </items>
    </pivotField>
    <pivotField axis="axisRow" subtotalTop="0" showAll="0" sortType="ascending">
      <items count="49">
        <item m="1" x="32"/>
        <item x="15"/>
        <item m="1" x="45"/>
        <item m="1" x="37"/>
        <item x="5"/>
        <item x="6"/>
        <item x="16"/>
        <item x="0"/>
        <item x="22"/>
        <item x="17"/>
        <item x="18"/>
        <item m="1" x="40"/>
        <item m="1" x="27"/>
        <item x="1"/>
        <item m="1" x="47"/>
        <item x="3"/>
        <item m="1" x="43"/>
        <item x="7"/>
        <item x="19"/>
        <item m="1" x="38"/>
        <item m="1" x="31"/>
        <item x="8"/>
        <item x="9"/>
        <item m="1" x="26"/>
        <item x="4"/>
        <item m="1" x="44"/>
        <item x="2"/>
        <item m="1" x="35"/>
        <item x="10"/>
        <item m="1" x="34"/>
        <item x="20"/>
        <item m="1" x="30"/>
        <item x="21"/>
        <item m="1" x="28"/>
        <item m="1" x="29"/>
        <item m="1" x="33"/>
        <item m="1" x="39"/>
        <item m="1" x="36"/>
        <item m="1" x="46"/>
        <item m="1" x="42"/>
        <item x="11"/>
        <item m="1" x="41"/>
        <item x="12"/>
        <item x="13"/>
        <item x="24"/>
        <item x="23"/>
        <item x="14"/>
        <item m="1" x="25"/>
        <item t="default"/>
      </items>
    </pivotField>
    <pivotField axis="axisPage" multipleItemSelectionAllowed="1" showAll="0" defaultSubtotal="0">
      <items count="15">
        <item x="0"/>
        <item x="2"/>
        <item m="1" x="11"/>
        <item h="1" m="1" x="9"/>
        <item m="1" x="7"/>
        <item m="1" x="6"/>
        <item h="1" m="1" x="13"/>
        <item m="1" x="10"/>
        <item h="1" m="1" x="14"/>
        <item h="1" m="1" x="8"/>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6">
        <item x="0"/>
        <item x="1"/>
        <item m="1" x="4"/>
        <item m="1" x="2"/>
        <item m="1" x="3"/>
        <item t="default"/>
      </items>
    </pivotField>
    <pivotField axis="axisPage" subtotalTop="0" multipleItemSelectionAllowed="1" showAll="0">
      <items count="53">
        <item x="0"/>
        <item x="1"/>
        <item x="2"/>
        <item m="1" x="29"/>
        <item m="1" x="9"/>
        <item m="1" x="14"/>
        <item m="1" x="33"/>
        <item m="1" x="27"/>
        <item m="1" x="22"/>
        <item m="1" x="7"/>
        <item m="1" x="4"/>
        <item m="1" x="21"/>
        <item m="1" x="25"/>
        <item m="1" x="5"/>
        <item m="1" x="36"/>
        <item m="1" x="34"/>
        <item m="1" x="15"/>
        <item m="1" x="28"/>
        <item m="1" x="42"/>
        <item m="1" x="48"/>
        <item m="1" x="50"/>
        <item m="1" x="46"/>
        <item m="1" x="23"/>
        <item m="1" x="43"/>
        <item m="1" x="37"/>
        <item m="1" x="18"/>
        <item m="1" x="12"/>
        <item m="1" x="51"/>
        <item m="1" x="44"/>
        <item m="1" x="38"/>
        <item m="1" x="39"/>
        <item m="1" x="3"/>
        <item m="1" x="11"/>
        <item m="1" x="19"/>
        <item m="1" x="6"/>
        <item m="1" x="13"/>
        <item m="1" x="17"/>
        <item m="1" x="10"/>
        <item m="1" x="20"/>
        <item m="1" x="47"/>
        <item m="1" x="26"/>
        <item m="1" x="45"/>
        <item m="1" x="41"/>
        <item m="1" x="32"/>
        <item m="1" x="31"/>
        <item m="1" x="35"/>
        <item m="1" x="16"/>
        <item m="1" x="8"/>
        <item m="1" x="24"/>
        <item m="1" x="49"/>
        <item m="1" x="30"/>
        <item m="1" x="40"/>
        <item t="default"/>
      </items>
    </pivotField>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3">
    <i>
      <x v="1"/>
    </i>
    <i>
      <x v="4"/>
    </i>
    <i>
      <x v="5"/>
    </i>
    <i>
      <x v="8"/>
    </i>
    <i>
      <x v="17"/>
    </i>
    <i>
      <x v="21"/>
    </i>
    <i>
      <x v="22"/>
    </i>
    <i>
      <x v="24"/>
    </i>
    <i>
      <x v="28"/>
    </i>
    <i>
      <x v="40"/>
    </i>
    <i>
      <x v="42"/>
    </i>
    <i>
      <x v="43"/>
    </i>
    <i>
      <x v="46"/>
    </i>
  </rowItems>
  <colFields count="1">
    <field x="-2"/>
  </colFields>
  <colItems count="2">
    <i>
      <x/>
    </i>
    <i i="1">
      <x v="1"/>
    </i>
  </colItems>
  <pageFields count="5">
    <pageField fld="0" hier="-1"/>
    <pageField fld="146" item="0" hier="-1"/>
    <pageField fld="4" item="0" hier="-1"/>
    <pageField fld="6" hier="-1"/>
    <pageField fld="147" hier="-1"/>
  </pageFields>
  <dataFields count="2">
    <dataField name=" % Water Coverage" fld="155" baseField="0" baseItem="0"/>
    <dataField name=" % Water GAP" fld="156" baseField="0" baseItem="0"/>
  </dataFields>
  <formats count="10">
    <format dxfId="673">
      <pivotArea field="4" type="button" dataOnly="0" labelOnly="1" outline="0" axis="axisPage" fieldPosition="2"/>
    </format>
    <format dxfId="672">
      <pivotArea type="all" dataOnly="0" outline="0" fieldPosition="0"/>
    </format>
    <format dxfId="671">
      <pivotArea outline="0" collapsedLevelsAreSubtotals="1" fieldPosition="0"/>
    </format>
    <format dxfId="670">
      <pivotArea field="4" type="button" dataOnly="0" labelOnly="1" outline="0" axis="axisPage" fieldPosition="2"/>
    </format>
    <format dxfId="669">
      <pivotArea type="all" dataOnly="0" outline="0" fieldPosition="0"/>
    </format>
    <format dxfId="668">
      <pivotArea outline="0" collapsedLevelsAreSubtotals="1" fieldPosition="0"/>
    </format>
    <format dxfId="667">
      <pivotArea outline="0" collapsedLevelsAreSubtotals="1" fieldPosition="0"/>
    </format>
    <format dxfId="666">
      <pivotArea field="5" type="button" dataOnly="0" labelOnly="1" outline="0" axis="axisRow" fieldPosition="0"/>
    </format>
    <format dxfId="665">
      <pivotArea field="5" type="button" dataOnly="0" labelOnly="1" outline="0" axis="axisRow" fieldPosition="0"/>
    </format>
    <format dxfId="664">
      <pivotArea field="5" type="button" dataOnly="0" labelOnly="1" outline="0" axis="axisRow" fieldPosition="0"/>
    </format>
  </formats>
  <conditionalFormats count="1">
    <conditionalFormat priority="9">
      <pivotAreas count="1">
        <pivotArea type="data" outline="0" collapsedLevelsAreSubtotals="1" fieldPosition="0">
          <references count="1">
            <reference field="4294967294" count="1" selected="0">
              <x v="1"/>
            </reference>
          </references>
        </pivotArea>
      </pivotAreas>
    </conditionalFormat>
  </conditionalFormats>
  <chartFormats count="3">
    <chartFormat chart="28" format="6" series="1">
      <pivotArea type="data" outline="0" fieldPosition="0">
        <references count="1">
          <reference field="4294967294" count="1" selected="0">
            <x v="0"/>
          </reference>
        </references>
      </pivotArea>
    </chartFormat>
    <chartFormat chart="28" format="7" series="1">
      <pivotArea type="data" outline="0" fieldPosition="0">
        <references count="1">
          <reference field="4294967294" count="1" selected="0">
            <x v="1"/>
          </reference>
        </references>
      </pivotArea>
    </chartFormat>
    <chartFormat chart="28" format="8">
      <pivotArea type="data" outline="0" fieldPosition="0">
        <references count="2">
          <reference field="4294967294" count="1" selected="0">
            <x v="1"/>
          </reference>
          <reference field="5" count="1" selected="0">
            <x v="4"/>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BAED457C-F50B-4FC5-AC37-6B1229A54515}" name="PivotTable1" cacheId="12" applyNumberFormats="0" applyBorderFormats="0" applyFontFormats="0" applyPatternFormats="0" applyAlignmentFormats="0" applyWidthHeightFormats="1" dataCaption="Values" updatedVersion="7" minRefreshableVersion="3" useAutoFormatting="1" rowGrandTotals="0" colGrandTotals="0" itemPrintTitles="1" createdVersion="6" indent="0" compact="0" compactData="0" multipleFieldFilters="0">
  <location ref="A6:C40" firstHeaderRow="1" firstDataRow="1" firstDataCol="3" rowPageCount="2" colPageCount="1"/>
  <pivotFields count="160">
    <pivotField axis="axisPage" compact="0" outline="0" multipleItemSelectionAllowed="1" showAll="0" defaultSubtotal="0">
      <items count="28">
        <item m="1" x="25"/>
        <item m="1" x="26"/>
        <item m="1" x="12"/>
        <item m="1" x="27"/>
        <item m="1" x="19"/>
        <item m="1" x="21"/>
        <item m="1" x="23"/>
        <item m="1" x="24"/>
        <item m="1" x="7"/>
        <item m="1" x="15"/>
        <item m="1" x="17"/>
        <item m="1" x="20"/>
        <item m="1" x="2"/>
        <item m="1" x="22"/>
        <item m="1" x="10"/>
        <item m="1" x="13"/>
        <item m="1" x="16"/>
        <item m="1" x="18"/>
        <item m="1" x="5"/>
        <item m="1" x="8"/>
        <item m="1" x="11"/>
        <item m="1" x="14"/>
        <item m="1" x="3"/>
        <item m="1" x="4"/>
        <item m="1" x="6"/>
        <item m="1" x="9"/>
        <item x="0"/>
        <item x="1"/>
      </items>
      <extLst>
        <ext xmlns:x14="http://schemas.microsoft.com/office/spreadsheetml/2009/9/main" uri="{2946ED86-A175-432a-8AC1-64E0C546D7DE}">
          <x14:pivotField fillDownLabels="1"/>
        </ext>
      </extLst>
    </pivotField>
    <pivotField axis="axisRow" compact="0" outline="0" showAll="0" defaultSubtotal="0">
      <items count="75">
        <item m="1" x="40"/>
        <item x="0"/>
        <item m="1" x="61"/>
        <item m="1" x="48"/>
        <item m="1" x="74"/>
        <item m="1" x="41"/>
        <item m="1" x="49"/>
        <item x="1"/>
        <item x="2"/>
        <item m="1" x="46"/>
        <item x="3"/>
        <item m="1" x="32"/>
        <item m="1" x="69"/>
        <item m="1" x="50"/>
        <item m="1" x="62"/>
        <item x="8"/>
        <item m="1" x="27"/>
        <item m="1" x="60"/>
        <item m="1" x="38"/>
        <item m="1" x="29"/>
        <item m="1" x="70"/>
        <item x="9"/>
        <item x="10"/>
        <item x="11"/>
        <item m="1" x="54"/>
        <item m="1" x="56"/>
        <item m="1" x="73"/>
        <item m="1" x="23"/>
        <item m="1" x="47"/>
        <item m="1" x="45"/>
        <item m="1" x="37"/>
        <item m="1" x="28"/>
        <item m="1" x="58"/>
        <item m="1" x="25"/>
        <item m="1" x="24"/>
        <item m="1" x="66"/>
        <item x="13"/>
        <item m="1" x="35"/>
        <item m="1" x="34"/>
        <item m="1" x="31"/>
        <item m="1" x="53"/>
        <item m="1" x="30"/>
        <item m="1" x="63"/>
        <item m="1" x="68"/>
        <item m="1" x="21"/>
        <item m="1" x="26"/>
        <item m="1" x="57"/>
        <item sd="0" m="1" x="44"/>
        <item m="1" x="72"/>
        <item m="1" x="55"/>
        <item x="19"/>
        <item m="1" x="71"/>
        <item m="1" x="65"/>
        <item x="14"/>
        <item x="15"/>
        <item m="1" x="51"/>
        <item x="16"/>
        <item m="1" x="39"/>
        <item m="1" x="42"/>
        <item m="1" x="67"/>
        <item x="17"/>
        <item m="1" x="36"/>
        <item m="1" x="52"/>
        <item m="1" x="20"/>
        <item m="1" x="59"/>
        <item m="1" x="43"/>
        <item m="1" x="22"/>
        <item x="6"/>
        <item x="12"/>
        <item x="7"/>
        <item x="4"/>
        <item x="5"/>
        <item m="1" x="64"/>
        <item m="1" x="33"/>
        <item x="18"/>
      </items>
      <extLst>
        <ext xmlns:x14="http://schemas.microsoft.com/office/spreadsheetml/2009/9/main" uri="{2946ED86-A175-432a-8AC1-64E0C546D7DE}">
          <x14:pivotField fillDownLabels="1"/>
        </ext>
      </extLst>
    </pivotField>
    <pivotField axis="axisRow" compact="0" outline="0" multipleItemSelectionAllowed="1" showAll="0" defaultSubtotal="0">
      <items count="82">
        <item m="1" x="50"/>
        <item m="1" x="68"/>
        <item m="1" x="70"/>
        <item m="1" x="61"/>
        <item m="1" x="80"/>
        <item m="1" x="51"/>
        <item m="1" x="62"/>
        <item x="2"/>
        <item x="3"/>
        <item x="25"/>
        <item x="6"/>
        <item m="1" x="69"/>
        <item m="1" x="47"/>
        <item m="1" x="37"/>
        <item m="1" x="76"/>
        <item x="7"/>
        <item x="9"/>
        <item m="1" x="39"/>
        <item m="1" x="33"/>
        <item m="1" x="53"/>
        <item m="1" x="59"/>
        <item m="1" x="58"/>
        <item m="1" x="44"/>
        <item m="1" x="81"/>
        <item m="1" x="36"/>
        <item m="1" x="60"/>
        <item m="1" x="34"/>
        <item x="11"/>
        <item m="1" x="42"/>
        <item m="1" x="41"/>
        <item m="1" x="38"/>
        <item m="1" x="65"/>
        <item m="1" x="71"/>
        <item m="1" x="32"/>
        <item m="1" x="66"/>
        <item x="29"/>
        <item m="1" x="77"/>
        <item m="1" x="73"/>
        <item x="12"/>
        <item x="13"/>
        <item m="1" x="48"/>
        <item m="1" x="55"/>
        <item m="1" x="54"/>
        <item m="1" x="57"/>
        <item x="15"/>
        <item m="1" x="30"/>
        <item m="1" x="63"/>
        <item m="1" x="43"/>
        <item m="1" x="79"/>
        <item m="1" x="35"/>
        <item m="1" x="64"/>
        <item m="1" x="74"/>
        <item m="1" x="31"/>
        <item x="8"/>
        <item m="1" x="67"/>
        <item x="14"/>
        <item m="1" x="75"/>
        <item m="1" x="52"/>
        <item m="1" x="40"/>
        <item m="1" x="78"/>
        <item x="1"/>
        <item x="5"/>
        <item x="10"/>
        <item x="4"/>
        <item x="0"/>
        <item m="1" x="46"/>
        <item m="1" x="56"/>
        <item m="1" x="72"/>
        <item m="1" x="45"/>
        <item m="1" x="49"/>
        <item x="24"/>
        <item x="17"/>
        <item x="19"/>
        <item x="20"/>
        <item x="22"/>
        <item x="23"/>
        <item x="26"/>
        <item x="18"/>
        <item x="28"/>
        <item x="16"/>
        <item x="21"/>
        <item x="2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multipleItemSelectionAllowed="1" showAll="0" defaultSubtotal="0">
      <items count="6">
        <item m="1" x="3"/>
        <item x="1"/>
        <item m="1" x="5"/>
        <item m="1" x="4"/>
        <item x="0"/>
        <item m="1" x="2"/>
      </items>
      <extLst>
        <ext xmlns:x14="http://schemas.microsoft.com/office/spreadsheetml/2009/9/main" uri="{2946ED86-A175-432a-8AC1-64E0C546D7DE}">
          <x14:pivotField fillDownLabels="1"/>
        </ext>
      </extLst>
    </pivotField>
    <pivotField compact="0" outline="0" showAll="0" defaultSubtotal="0">
      <items count="48">
        <item m="1" x="32"/>
        <item x="15"/>
        <item m="1" x="45"/>
        <item m="1" x="37"/>
        <item x="5"/>
        <item x="6"/>
        <item x="16"/>
        <item x="0"/>
        <item x="22"/>
        <item x="17"/>
        <item x="18"/>
        <item m="1" x="40"/>
        <item m="1" x="27"/>
        <item x="1"/>
        <item m="1" x="47"/>
        <item x="3"/>
        <item m="1" x="43"/>
        <item x="7"/>
        <item x="19"/>
        <item m="1" x="38"/>
        <item m="1" x="31"/>
        <item x="8"/>
        <item x="9"/>
        <item m="1" x="26"/>
        <item x="4"/>
        <item m="1" x="44"/>
        <item x="2"/>
        <item m="1" x="35"/>
        <item x="10"/>
        <item m="1" x="34"/>
        <item x="20"/>
        <item m="1" x="30"/>
        <item x="21"/>
        <item m="1" x="28"/>
        <item m="1" x="29"/>
        <item m="1" x="33"/>
        <item m="1" x="39"/>
        <item m="1" x="36"/>
        <item m="1" x="46"/>
        <item m="1" x="42"/>
        <item x="11"/>
        <item m="1" x="41"/>
        <item x="12"/>
        <item x="13"/>
        <item x="24"/>
        <item x="23"/>
        <item x="14"/>
        <item m="1" x="2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5">
        <item m="1" x="3"/>
        <item x="0"/>
        <item x="1"/>
        <item m="1" x="4"/>
        <item m="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s>
  <rowFields count="3">
    <field x="4"/>
    <field x="1"/>
    <field x="2"/>
  </rowFields>
  <rowItems count="34">
    <i>
      <x v="1"/>
      <x v="8"/>
      <x v="8"/>
    </i>
    <i r="1">
      <x v="10"/>
      <x v="8"/>
    </i>
    <i r="2">
      <x v="9"/>
    </i>
    <i r="2">
      <x v="70"/>
    </i>
    <i r="2">
      <x v="74"/>
    </i>
    <i r="2">
      <x v="75"/>
    </i>
    <i r="1">
      <x v="15"/>
      <x v="10"/>
    </i>
    <i r="1">
      <x v="21"/>
      <x v="15"/>
    </i>
    <i r="2">
      <x v="71"/>
    </i>
    <i r="2">
      <x v="77"/>
    </i>
    <i r="1">
      <x v="53"/>
      <x v="38"/>
    </i>
    <i r="2">
      <x v="79"/>
    </i>
    <i r="1">
      <x v="54"/>
      <x v="39"/>
    </i>
    <i r="2">
      <x v="72"/>
    </i>
    <i r="1">
      <x v="56"/>
      <x v="55"/>
    </i>
    <i r="1">
      <x v="60"/>
      <x v="44"/>
    </i>
    <i r="1">
      <x v="67"/>
      <x v="61"/>
    </i>
    <i r="1">
      <x v="68"/>
      <x v="62"/>
    </i>
    <i r="1">
      <x v="69"/>
      <x v="8"/>
    </i>
    <i r="1">
      <x v="70"/>
      <x v="8"/>
    </i>
    <i r="1">
      <x v="71"/>
      <x v="63"/>
    </i>
    <i r="1">
      <x v="74"/>
      <x v="73"/>
    </i>
    <i r="2">
      <x v="76"/>
    </i>
    <i r="2">
      <x v="80"/>
    </i>
    <i r="2">
      <x v="81"/>
    </i>
    <i>
      <x v="4"/>
      <x v="1"/>
      <x v="60"/>
    </i>
    <i r="2">
      <x v="64"/>
    </i>
    <i r="1">
      <x v="7"/>
      <x v="7"/>
    </i>
    <i r="1">
      <x v="21"/>
      <x v="15"/>
    </i>
    <i r="2">
      <x v="16"/>
    </i>
    <i r="1">
      <x v="22"/>
      <x v="53"/>
    </i>
    <i r="1">
      <x v="23"/>
      <x v="16"/>
    </i>
    <i r="1">
      <x v="36"/>
      <x v="78"/>
    </i>
    <i r="1">
      <x v="50"/>
      <x v="35"/>
    </i>
  </rowItems>
  <colItems count="1">
    <i/>
  </colItems>
  <pageFields count="2">
    <pageField fld="0" hier="-1"/>
    <pageField fld="146" item="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AAAF34BA-73D2-40F5-A669-2B04411D8DC1}" name="PivotTable6" cacheId="9" applyNumberFormats="0" applyBorderFormats="0" applyFontFormats="0" applyPatternFormats="0" applyAlignmentFormats="0" applyWidthHeightFormats="1" dataCaption="Values" updatedVersion="7" minRefreshableVersion="3" useAutoFormatting="1" itemPrintTitles="1" createdVersion="6" indent="0" compact="0" compactData="0" multipleFieldFilters="0">
  <location ref="F1:G60" firstHeaderRow="1" firstDataRow="1" firstDataCol="2"/>
  <pivotFields count="3">
    <pivotField axis="axisRow" compact="0" outline="0" showAll="0" defaultSubtotal="0">
      <items count="12">
        <item x="7"/>
        <item m="1" x="11"/>
        <item x="3"/>
        <item x="0"/>
        <item m="1" x="10"/>
        <item x="6"/>
        <item x="4"/>
        <item x="2"/>
        <item x="5"/>
        <item x="1"/>
        <item m="1" x="9"/>
        <item x="8"/>
      </items>
      <extLst>
        <ext xmlns:x14="http://schemas.microsoft.com/office/spreadsheetml/2009/9/main" uri="{2946ED86-A175-432a-8AC1-64E0C546D7DE}">
          <x14:pivotField fillDownLabels="1"/>
        </ext>
      </extLst>
    </pivotField>
    <pivotField axis="axisRow" compact="0" outline="0" showAll="0" defaultSubtotal="0">
      <items count="56">
        <item x="11"/>
        <item x="14"/>
        <item x="32"/>
        <item x="34"/>
        <item x="26"/>
        <item x="17"/>
        <item x="9"/>
        <item m="1" x="48"/>
        <item x="0"/>
        <item m="1" x="43"/>
        <item x="1"/>
        <item x="2"/>
        <item x="35"/>
        <item x="18"/>
        <item x="24"/>
        <item x="23"/>
        <item x="12"/>
        <item x="3"/>
        <item m="1" x="55"/>
        <item m="1" x="53"/>
        <item m="1" x="49"/>
        <item m="1" x="51"/>
        <item x="25"/>
        <item x="16"/>
        <item x="13"/>
        <item m="1" x="46"/>
        <item x="4"/>
        <item x="5"/>
        <item x="6"/>
        <item x="27"/>
        <item x="7"/>
        <item m="1" x="50"/>
        <item m="1" x="54"/>
        <item m="1" x="52"/>
        <item m="1" x="47"/>
        <item m="1" x="45"/>
        <item m="1" x="44"/>
        <item m="1" x="42"/>
        <item x="8"/>
        <item x="41"/>
        <item x="10"/>
        <item x="15"/>
        <item x="19"/>
        <item x="20"/>
        <item x="21"/>
        <item x="22"/>
        <item x="28"/>
        <item x="29"/>
        <item x="30"/>
        <item x="31"/>
        <item x="33"/>
        <item x="36"/>
        <item x="37"/>
        <item x="38"/>
        <item x="39"/>
        <item x="4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0"/>
    <field x="1"/>
  </rowFields>
  <rowItems count="59">
    <i>
      <x/>
      <x v="53"/>
    </i>
    <i r="1">
      <x v="54"/>
    </i>
    <i>
      <x v="2"/>
      <x/>
    </i>
    <i r="1">
      <x v="4"/>
    </i>
    <i r="1">
      <x v="11"/>
    </i>
    <i r="1">
      <x v="14"/>
    </i>
    <i r="1">
      <x v="22"/>
    </i>
    <i r="1">
      <x v="24"/>
    </i>
    <i r="1">
      <x v="29"/>
    </i>
    <i>
      <x v="3"/>
      <x v="5"/>
    </i>
    <i r="1">
      <x v="8"/>
    </i>
    <i r="1">
      <x v="10"/>
    </i>
    <i r="1">
      <x v="11"/>
    </i>
    <i r="1">
      <x v="17"/>
    </i>
    <i r="1">
      <x v="26"/>
    </i>
    <i r="1">
      <x v="27"/>
    </i>
    <i r="1">
      <x v="28"/>
    </i>
    <i r="1">
      <x v="30"/>
    </i>
    <i r="1">
      <x v="38"/>
    </i>
    <i r="1">
      <x v="55"/>
    </i>
    <i>
      <x v="5"/>
      <x v="53"/>
    </i>
    <i r="1">
      <x v="54"/>
    </i>
    <i>
      <x v="6"/>
      <x v="11"/>
    </i>
    <i r="1">
      <x v="14"/>
    </i>
    <i r="1">
      <x v="46"/>
    </i>
    <i>
      <x v="7"/>
      <x v="1"/>
    </i>
    <i r="1">
      <x v="2"/>
    </i>
    <i r="1">
      <x v="3"/>
    </i>
    <i r="1">
      <x v="5"/>
    </i>
    <i r="1">
      <x v="8"/>
    </i>
    <i r="1">
      <x v="12"/>
    </i>
    <i r="1">
      <x v="13"/>
    </i>
    <i r="1">
      <x v="15"/>
    </i>
    <i r="1">
      <x v="22"/>
    </i>
    <i r="1">
      <x v="23"/>
    </i>
    <i r="1">
      <x v="24"/>
    </i>
    <i r="1">
      <x v="27"/>
    </i>
    <i r="1">
      <x v="30"/>
    </i>
    <i r="1">
      <x v="41"/>
    </i>
    <i r="1">
      <x v="42"/>
    </i>
    <i r="1">
      <x v="43"/>
    </i>
    <i r="1">
      <x v="44"/>
    </i>
    <i r="1">
      <x v="45"/>
    </i>
    <i r="1">
      <x v="50"/>
    </i>
    <i r="1">
      <x v="51"/>
    </i>
    <i r="1">
      <x v="52"/>
    </i>
    <i>
      <x v="8"/>
      <x v="11"/>
    </i>
    <i r="1">
      <x v="47"/>
    </i>
    <i r="1">
      <x v="48"/>
    </i>
    <i r="1">
      <x v="49"/>
    </i>
    <i>
      <x v="9"/>
      <x/>
    </i>
    <i r="1">
      <x v="6"/>
    </i>
    <i r="1">
      <x v="11"/>
    </i>
    <i r="1">
      <x v="16"/>
    </i>
    <i r="1">
      <x v="17"/>
    </i>
    <i r="1">
      <x v="24"/>
    </i>
    <i r="1">
      <x v="40"/>
    </i>
    <i>
      <x v="11"/>
      <x v="39"/>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B0339F03-D67E-4D64-B709-83AA5533B02A}" name="PivotTable7" cacheId="1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N5:O11" firstHeaderRow="1" firstDataRow="1" firstDataCol="1"/>
  <pivotFields count="2">
    <pivotField dataField="1" showAll="0"/>
    <pivotField axis="axisRow" showAll="0">
      <items count="6">
        <item x="1"/>
        <item x="0"/>
        <item x="2"/>
        <item x="3"/>
        <item x="4"/>
        <item t="default"/>
      </items>
    </pivotField>
  </pivotFields>
  <rowFields count="1">
    <field x="1"/>
  </rowFields>
  <rowItems count="6">
    <i>
      <x/>
    </i>
    <i>
      <x v="1"/>
    </i>
    <i>
      <x v="2"/>
    </i>
    <i>
      <x v="3"/>
    </i>
    <i>
      <x v="4"/>
    </i>
    <i t="grand">
      <x/>
    </i>
  </rowItems>
  <colItems count="1">
    <i/>
  </colItems>
  <dataFields count="1">
    <dataField name="Count of Acronym"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926B17F8-2673-4821-98A4-D289EF6E644E}" name="PivotTable8" cacheId="11" applyNumberFormats="0" applyBorderFormats="0" applyFontFormats="0" applyPatternFormats="0" applyAlignmentFormats="0" applyWidthHeightFormats="1" dataCaption="Values" updatedVersion="7" minRefreshableVersion="3" useAutoFormatting="1" rowGrandTotals="0" colGrandTotals="0" itemPrintTitles="1" createdVersion="6" indent="0" compact="0" compactData="0" multipleFieldFilters="0">
  <location ref="F2:G86" firstHeaderRow="1" firstDataRow="1" firstDataCol="2"/>
  <pivotFields count="3">
    <pivotField axis="axisRow" compact="0" outline="0" showAll="0" sortType="ascending" defaultSubtotal="0">
      <items count="11">
        <item x="6"/>
        <item x="0"/>
        <item x="1"/>
        <item x="2"/>
        <item x="3"/>
        <item x="4"/>
        <item x="5"/>
        <item x="7"/>
        <item x="8"/>
        <item x="9"/>
        <item x="10"/>
      </items>
      <extLst>
        <ext xmlns:x14="http://schemas.microsoft.com/office/spreadsheetml/2009/9/main" uri="{2946ED86-A175-432a-8AC1-64E0C546D7DE}">
          <x14:pivotField fillDownLabels="1"/>
        </ext>
      </extLst>
    </pivotField>
    <pivotField axis="axisRow" compact="0" outline="0" showAll="0" defaultSubtotal="0">
      <items count="48">
        <item x="29"/>
        <item x="16"/>
        <item x="30"/>
        <item x="2"/>
        <item x="37"/>
        <item x="20"/>
        <item x="21"/>
        <item x="3"/>
        <item x="17"/>
        <item x="22"/>
        <item x="45"/>
        <item x="34"/>
        <item x="9"/>
        <item x="23"/>
        <item x="40"/>
        <item x="10"/>
        <item x="4"/>
        <item x="13"/>
        <item x="24"/>
        <item x="5"/>
        <item x="41"/>
        <item m="1" x="47"/>
        <item x="14"/>
        <item x="32"/>
        <item x="33"/>
        <item x="19"/>
        <item x="38"/>
        <item x="6"/>
        <item x="42"/>
        <item x="0"/>
        <item x="25"/>
        <item x="7"/>
        <item x="43"/>
        <item x="35"/>
        <item x="26"/>
        <item x="11"/>
        <item x="27"/>
        <item x="8"/>
        <item x="44"/>
        <item x="18"/>
        <item x="1"/>
        <item x="12"/>
        <item x="15"/>
        <item x="28"/>
        <item x="36"/>
        <item x="39"/>
        <item x="31"/>
        <item x="4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0"/>
    <field x="1"/>
  </rowFields>
  <rowItems count="84">
    <i>
      <x/>
      <x v="3"/>
    </i>
    <i r="1">
      <x v="25"/>
    </i>
    <i r="1">
      <x v="29"/>
    </i>
    <i r="1">
      <x v="40"/>
    </i>
    <i>
      <x v="1"/>
      <x v="29"/>
    </i>
    <i r="1">
      <x v="40"/>
    </i>
    <i>
      <x v="2"/>
      <x v="3"/>
    </i>
    <i r="1">
      <x v="7"/>
    </i>
    <i r="1">
      <x v="16"/>
    </i>
    <i r="1">
      <x v="19"/>
    </i>
    <i r="1">
      <x v="27"/>
    </i>
    <i r="1">
      <x v="31"/>
    </i>
    <i r="1">
      <x v="37"/>
    </i>
    <i r="1">
      <x v="40"/>
    </i>
    <i>
      <x v="3"/>
      <x v="11"/>
    </i>
    <i r="1">
      <x v="12"/>
    </i>
    <i r="1">
      <x v="13"/>
    </i>
    <i r="1">
      <x v="15"/>
    </i>
    <i r="1">
      <x v="16"/>
    </i>
    <i r="1">
      <x v="23"/>
    </i>
    <i r="1">
      <x v="27"/>
    </i>
    <i r="1">
      <x v="33"/>
    </i>
    <i r="1">
      <x v="34"/>
    </i>
    <i r="1">
      <x v="35"/>
    </i>
    <i r="1">
      <x v="40"/>
    </i>
    <i r="1">
      <x v="41"/>
    </i>
    <i r="1">
      <x v="44"/>
    </i>
    <i r="1">
      <x v="45"/>
    </i>
    <i>
      <x v="4"/>
      <x v="3"/>
    </i>
    <i r="1">
      <x v="16"/>
    </i>
    <i r="1">
      <x v="17"/>
    </i>
    <i r="1">
      <x v="22"/>
    </i>
    <i r="1">
      <x v="40"/>
    </i>
    <i r="1">
      <x v="42"/>
    </i>
    <i>
      <x v="5"/>
      <x v="1"/>
    </i>
    <i r="1">
      <x v="8"/>
    </i>
    <i r="1">
      <x v="16"/>
    </i>
    <i r="1">
      <x v="22"/>
    </i>
    <i r="1">
      <x v="29"/>
    </i>
    <i r="1">
      <x v="39"/>
    </i>
    <i r="1">
      <x v="40"/>
    </i>
    <i>
      <x v="6"/>
      <x v="16"/>
    </i>
    <i r="1">
      <x v="19"/>
    </i>
    <i>
      <x v="7"/>
      <x v="4"/>
    </i>
    <i r="1">
      <x v="5"/>
    </i>
    <i r="1">
      <x v="6"/>
    </i>
    <i r="1">
      <x v="9"/>
    </i>
    <i r="1">
      <x v="13"/>
    </i>
    <i r="1">
      <x v="14"/>
    </i>
    <i r="1">
      <x v="18"/>
    </i>
    <i r="1">
      <x v="19"/>
    </i>
    <i r="1">
      <x v="20"/>
    </i>
    <i r="1">
      <x v="26"/>
    </i>
    <i r="1">
      <x v="27"/>
    </i>
    <i r="1">
      <x v="28"/>
    </i>
    <i r="1">
      <x v="30"/>
    </i>
    <i r="1">
      <x v="31"/>
    </i>
    <i r="1">
      <x v="32"/>
    </i>
    <i r="1">
      <x v="34"/>
    </i>
    <i r="1">
      <x v="36"/>
    </i>
    <i r="1">
      <x v="38"/>
    </i>
    <i r="1">
      <x v="40"/>
    </i>
    <i r="1">
      <x v="43"/>
    </i>
    <i>
      <x v="8"/>
      <x/>
    </i>
    <i r="1">
      <x v="2"/>
    </i>
    <i r="1">
      <x v="16"/>
    </i>
    <i r="1">
      <x v="40"/>
    </i>
    <i r="1">
      <x v="46"/>
    </i>
    <i>
      <x v="9"/>
      <x v="3"/>
    </i>
    <i r="1">
      <x v="10"/>
    </i>
    <i r="1">
      <x v="11"/>
    </i>
    <i r="1">
      <x v="12"/>
    </i>
    <i r="1">
      <x v="16"/>
    </i>
    <i r="1">
      <x v="23"/>
    </i>
    <i r="1">
      <x v="24"/>
    </i>
    <i r="1">
      <x v="31"/>
    </i>
    <i r="1">
      <x v="40"/>
    </i>
    <i r="1">
      <x v="47"/>
    </i>
    <i>
      <x v="10"/>
      <x v="3"/>
    </i>
    <i r="1">
      <x v="17"/>
    </i>
    <i r="1">
      <x v="22"/>
    </i>
    <i r="1">
      <x v="30"/>
    </i>
    <i r="1">
      <x v="31"/>
    </i>
    <i r="1">
      <x v="40"/>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BB882E05-38C4-4081-B0C8-D028A4402B0A}" name="PivotTable9" cacheId="11"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I2:I50" firstHeaderRow="1" firstDataRow="1" firstDataCol="1"/>
  <pivotFields count="3">
    <pivotField showAll="0"/>
    <pivotField axis="axisRow" showAll="0" sortType="ascending">
      <items count="49">
        <item x="29"/>
        <item x="16"/>
        <item x="30"/>
        <item x="2"/>
        <item x="37"/>
        <item x="20"/>
        <item x="21"/>
        <item x="3"/>
        <item x="17"/>
        <item x="22"/>
        <item x="45"/>
        <item x="34"/>
        <item x="9"/>
        <item x="23"/>
        <item x="40"/>
        <item x="10"/>
        <item x="4"/>
        <item x="13"/>
        <item x="24"/>
        <item x="5"/>
        <item x="41"/>
        <item m="1" x="47"/>
        <item x="14"/>
        <item x="32"/>
        <item x="33"/>
        <item x="19"/>
        <item x="38"/>
        <item x="6"/>
        <item x="42"/>
        <item x="0"/>
        <item x="25"/>
        <item x="7"/>
        <item x="43"/>
        <item x="35"/>
        <item x="26"/>
        <item x="46"/>
        <item x="11"/>
        <item x="31"/>
        <item x="27"/>
        <item x="8"/>
        <item x="44"/>
        <item x="18"/>
        <item x="1"/>
        <item x="12"/>
        <item x="15"/>
        <item x="28"/>
        <item x="36"/>
        <item x="39"/>
        <item t="default"/>
      </items>
    </pivotField>
    <pivotField showAll="0"/>
  </pivotFields>
  <rowFields count="1">
    <field x="1"/>
  </rowFields>
  <rowItems count="48">
    <i>
      <x/>
    </i>
    <i>
      <x v="1"/>
    </i>
    <i>
      <x v="2"/>
    </i>
    <i>
      <x v="3"/>
    </i>
    <i>
      <x v="4"/>
    </i>
    <i>
      <x v="5"/>
    </i>
    <i>
      <x v="6"/>
    </i>
    <i>
      <x v="7"/>
    </i>
    <i>
      <x v="8"/>
    </i>
    <i>
      <x v="9"/>
    </i>
    <i>
      <x v="10"/>
    </i>
    <i>
      <x v="11"/>
    </i>
    <i>
      <x v="12"/>
    </i>
    <i>
      <x v="13"/>
    </i>
    <i>
      <x v="14"/>
    </i>
    <i>
      <x v="15"/>
    </i>
    <i>
      <x v="16"/>
    </i>
    <i>
      <x v="17"/>
    </i>
    <i>
      <x v="18"/>
    </i>
    <i>
      <x v="19"/>
    </i>
    <i>
      <x v="20"/>
    </i>
    <i>
      <x v="22"/>
    </i>
    <i>
      <x v="23"/>
    </i>
    <i>
      <x v="24"/>
    </i>
    <i>
      <x v="25"/>
    </i>
    <i>
      <x v="26"/>
    </i>
    <i>
      <x v="27"/>
    </i>
    <i>
      <x v="28"/>
    </i>
    <i>
      <x v="29"/>
    </i>
    <i>
      <x v="30"/>
    </i>
    <i>
      <x v="31"/>
    </i>
    <i>
      <x v="32"/>
    </i>
    <i>
      <x v="33"/>
    </i>
    <i>
      <x v="34"/>
    </i>
    <i>
      <x v="35"/>
    </i>
    <i>
      <x v="36"/>
    </i>
    <i>
      <x v="37"/>
    </i>
    <i>
      <x v="38"/>
    </i>
    <i>
      <x v="39"/>
    </i>
    <i>
      <x v="40"/>
    </i>
    <i>
      <x v="41"/>
    </i>
    <i>
      <x v="42"/>
    </i>
    <i>
      <x v="43"/>
    </i>
    <i>
      <x v="44"/>
    </i>
    <i>
      <x v="45"/>
    </i>
    <i>
      <x v="46"/>
    </i>
    <i>
      <x v="47"/>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D25C2368-A3D2-48A9-B3F1-BDD970868D9E}" name="PivotTable6" cacheId="8" applyNumberFormats="0" applyBorderFormats="0" applyFontFormats="0" applyPatternFormats="0" applyAlignmentFormats="0" applyWidthHeightFormats="1" dataCaption="Values" updatedVersion="7" minRefreshableVersion="3" useAutoFormatting="1" itemPrintTitles="1" createdVersion="6" indent="0" compact="0" compactData="0" multipleFieldFilters="0">
  <location ref="F1:G89" firstHeaderRow="1" firstDataRow="1" firstDataCol="2"/>
  <pivotFields count="3">
    <pivotField axis="axisRow" compact="0" outline="0" showAll="0" sortType="ascending" defaultSubtotal="0">
      <items count="11">
        <item x="8"/>
        <item x="3"/>
        <item x="0"/>
        <item x="4"/>
        <item x="5"/>
        <item x="7"/>
        <item x="2"/>
        <item x="9"/>
        <item x="1"/>
        <item x="6"/>
        <item x="10"/>
      </items>
      <extLst>
        <ext xmlns:x14="http://schemas.microsoft.com/office/spreadsheetml/2009/9/main" uri="{2946ED86-A175-432a-8AC1-64E0C546D7DE}">
          <x14:pivotField fillDownLabels="1"/>
        </ext>
      </extLst>
    </pivotField>
    <pivotField axis="axisRow" compact="0" outline="0" showAll="0" sortType="ascending" defaultSubtotal="0">
      <items count="60">
        <item x="27"/>
        <item x="26"/>
        <item x="38"/>
        <item x="21"/>
        <item m="1" x="59"/>
        <item x="29"/>
        <item x="51"/>
        <item x="11"/>
        <item x="14"/>
        <item x="46"/>
        <item x="28"/>
        <item x="31"/>
        <item x="17"/>
        <item x="44"/>
        <item x="22"/>
        <item x="32"/>
        <item x="34"/>
        <item x="10"/>
        <item x="45"/>
        <item x="43"/>
        <item x="9"/>
        <item x="0"/>
        <item x="24"/>
        <item x="1"/>
        <item x="2"/>
        <item x="47"/>
        <item x="35"/>
        <item x="18"/>
        <item x="12"/>
        <item m="1" x="58"/>
        <item x="3"/>
        <item x="33"/>
        <item x="23"/>
        <item x="40"/>
        <item x="41"/>
        <item x="42"/>
        <item x="15"/>
        <item x="53"/>
        <item x="19"/>
        <item x="25"/>
        <item x="16"/>
        <item x="13"/>
        <item x="36"/>
        <item x="4"/>
        <item x="54"/>
        <item x="5"/>
        <item x="55"/>
        <item x="6"/>
        <item x="52"/>
        <item x="39"/>
        <item x="48"/>
        <item x="20"/>
        <item x="37"/>
        <item x="49"/>
        <item x="7"/>
        <item x="50"/>
        <item x="8"/>
        <item x="30"/>
        <item x="56"/>
        <item x="5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0"/>
    <field x="1"/>
  </rowFields>
  <rowItems count="88">
    <i>
      <x/>
      <x v="1"/>
    </i>
    <i r="1">
      <x v="13"/>
    </i>
    <i>
      <x v="1"/>
      <x v="7"/>
    </i>
    <i r="1">
      <x v="12"/>
    </i>
    <i r="1">
      <x v="24"/>
    </i>
    <i r="1">
      <x v="27"/>
    </i>
    <i r="1">
      <x v="38"/>
    </i>
    <i r="1">
      <x v="41"/>
    </i>
    <i r="1">
      <x v="51"/>
    </i>
    <i>
      <x v="2"/>
      <x v="3"/>
    </i>
    <i r="1">
      <x v="14"/>
    </i>
    <i r="1">
      <x v="21"/>
    </i>
    <i r="1">
      <x v="23"/>
    </i>
    <i r="1">
      <x v="24"/>
    </i>
    <i r="1">
      <x v="30"/>
    </i>
    <i r="1">
      <x v="32"/>
    </i>
    <i r="1">
      <x v="43"/>
    </i>
    <i r="1">
      <x v="45"/>
    </i>
    <i r="1">
      <x v="47"/>
    </i>
    <i r="1">
      <x v="54"/>
    </i>
    <i r="1">
      <x v="56"/>
    </i>
    <i>
      <x v="3"/>
      <x v="8"/>
    </i>
    <i r="1">
      <x v="21"/>
    </i>
    <i r="1">
      <x v="22"/>
    </i>
    <i r="1">
      <x v="39"/>
    </i>
    <i r="1">
      <x v="41"/>
    </i>
    <i>
      <x v="4"/>
      <x v="1"/>
    </i>
    <i r="1">
      <x v="13"/>
    </i>
    <i>
      <x v="5"/>
      <x v="18"/>
    </i>
    <i r="1">
      <x v="24"/>
    </i>
    <i r="1">
      <x v="27"/>
    </i>
    <i r="1">
      <x v="41"/>
    </i>
    <i>
      <x v="6"/>
      <x/>
    </i>
    <i r="1">
      <x v="2"/>
    </i>
    <i r="1">
      <x v="5"/>
    </i>
    <i r="1">
      <x v="8"/>
    </i>
    <i r="1">
      <x v="9"/>
    </i>
    <i r="1">
      <x v="10"/>
    </i>
    <i r="1">
      <x v="11"/>
    </i>
    <i r="1">
      <x v="14"/>
    </i>
    <i r="1">
      <x v="15"/>
    </i>
    <i r="1">
      <x v="16"/>
    </i>
    <i r="1">
      <x v="21"/>
    </i>
    <i r="1">
      <x v="25"/>
    </i>
    <i r="1">
      <x v="26"/>
    </i>
    <i r="1">
      <x v="31"/>
    </i>
    <i r="1">
      <x v="33"/>
    </i>
    <i r="1">
      <x v="34"/>
    </i>
    <i r="1">
      <x v="35"/>
    </i>
    <i r="1">
      <x v="36"/>
    </i>
    <i r="1">
      <x v="38"/>
    </i>
    <i r="1">
      <x v="40"/>
    </i>
    <i r="1">
      <x v="41"/>
    </i>
    <i r="1">
      <x v="42"/>
    </i>
    <i r="1">
      <x v="45"/>
    </i>
    <i r="1">
      <x v="49"/>
    </i>
    <i r="1">
      <x v="50"/>
    </i>
    <i r="1">
      <x v="52"/>
    </i>
    <i r="1">
      <x v="53"/>
    </i>
    <i r="1">
      <x v="54"/>
    </i>
    <i r="1">
      <x v="55"/>
    </i>
    <i r="1">
      <x v="57"/>
    </i>
    <i>
      <x v="7"/>
      <x/>
    </i>
    <i r="1">
      <x v="6"/>
    </i>
    <i r="1">
      <x v="24"/>
    </i>
    <i r="1">
      <x v="41"/>
    </i>
    <i r="1">
      <x v="48"/>
    </i>
    <i>
      <x v="8"/>
      <x v="7"/>
    </i>
    <i r="1">
      <x v="17"/>
    </i>
    <i r="1">
      <x v="20"/>
    </i>
    <i r="1">
      <x v="24"/>
    </i>
    <i r="1">
      <x v="28"/>
    </i>
    <i r="1">
      <x v="30"/>
    </i>
    <i r="1">
      <x v="41"/>
    </i>
    <i>
      <x v="9"/>
      <x v="1"/>
    </i>
    <i r="1">
      <x v="7"/>
    </i>
    <i r="1">
      <x v="8"/>
    </i>
    <i r="1">
      <x v="19"/>
    </i>
    <i r="1">
      <x v="24"/>
    </i>
    <i r="1">
      <x v="36"/>
    </i>
    <i r="1">
      <x v="37"/>
    </i>
    <i r="1">
      <x v="40"/>
    </i>
    <i r="1">
      <x v="44"/>
    </i>
    <i r="1">
      <x v="46"/>
    </i>
    <i r="1">
      <x v="54"/>
    </i>
    <i r="1">
      <x v="58"/>
    </i>
    <i>
      <x v="10"/>
      <x v="59"/>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12" applyNumberFormats="0" applyBorderFormats="0" applyFontFormats="0" applyPatternFormats="0" applyAlignmentFormats="0" applyWidthHeightFormats="1" dataCaption="Values" updatedVersion="7" minRefreshableVersion="3" useAutoFormatting="1" itemPrintTitles="1" createdVersion="5" indent="0" compact="0" compactData="0" multipleFieldFilters="0" chartFormat="5">
  <location ref="A29:F57" firstHeaderRow="0" firstDataRow="1" firstDataCol="2" rowPageCount="1" colPageCount="1"/>
  <pivotFields count="160">
    <pivotField axis="axisPage" compact="0" outline="0" multipleItemSelectionAllowed="1" showAll="0">
      <items count="29">
        <item m="1" x="25"/>
        <item m="1" x="26"/>
        <item m="1" x="12"/>
        <item m="1" x="27"/>
        <item m="1" x="19"/>
        <item m="1" x="7"/>
        <item m="1" x="2"/>
        <item m="1" x="21"/>
        <item m="1" x="23"/>
        <item m="1" x="24"/>
        <item m="1" x="15"/>
        <item m="1" x="17"/>
        <item m="1" x="20"/>
        <item m="1" x="22"/>
        <item m="1" x="10"/>
        <item m="1" x="13"/>
        <item m="1" x="16"/>
        <item m="1" x="18"/>
        <item m="1" x="5"/>
        <item m="1" x="8"/>
        <item m="1" x="11"/>
        <item m="1" x="14"/>
        <item m="1" x="3"/>
        <item m="1" x="4"/>
        <item m="1" x="6"/>
        <item m="1" x="9"/>
        <item x="0"/>
        <item x="1"/>
        <item t="default"/>
      </items>
    </pivotField>
    <pivotField compact="0" outline="0" showAll="0" defaultSubtotal="0">
      <items count="75">
        <item m="1" x="40"/>
        <item x="0"/>
        <item m="1" x="22"/>
        <item m="1" x="61"/>
        <item m="1" x="48"/>
        <item m="1" x="74"/>
        <item m="1" x="41"/>
        <item m="1" x="49"/>
        <item x="1"/>
        <item x="2"/>
        <item m="1" x="46"/>
        <item x="3"/>
        <item x="4"/>
        <item x="5"/>
        <item m="1" x="32"/>
        <item x="6"/>
        <item m="1" x="69"/>
        <item m="1" x="50"/>
        <item x="7"/>
        <item m="1" x="62"/>
        <item x="18"/>
        <item x="8"/>
        <item m="1" x="27"/>
        <item m="1" x="60"/>
        <item m="1" x="38"/>
        <item m="1" x="29"/>
        <item m="1" x="70"/>
        <item x="9"/>
        <item x="10"/>
        <item x="11"/>
        <item m="1" x="54"/>
        <item m="1" x="56"/>
        <item x="12"/>
        <item m="1" x="73"/>
        <item m="1" x="23"/>
        <item m="1" x="47"/>
        <item m="1" x="45"/>
        <item m="1" x="37"/>
        <item m="1" x="28"/>
        <item m="1" x="58"/>
        <item m="1" x="25"/>
        <item m="1" x="24"/>
        <item m="1" x="66"/>
        <item x="13"/>
        <item m="1" x="35"/>
        <item m="1" x="34"/>
        <item m="1" x="31"/>
        <item m="1" x="53"/>
        <item m="1" x="30"/>
        <item m="1" x="63"/>
        <item m="1" x="68"/>
        <item m="1" x="21"/>
        <item m="1" x="26"/>
        <item m="1" x="57"/>
        <item m="1" x="44"/>
        <item m="1" x="72"/>
        <item m="1" x="55"/>
        <item x="19"/>
        <item m="1" x="71"/>
        <item m="1" x="65"/>
        <item x="14"/>
        <item x="15"/>
        <item m="1" x="33"/>
        <item m="1" x="51"/>
        <item m="1" x="64"/>
        <item x="16"/>
        <item m="1" x="39"/>
        <item m="1" x="43"/>
        <item m="1" x="59"/>
        <item m="1" x="42"/>
        <item m="1" x="67"/>
        <item x="17"/>
        <item m="1" x="36"/>
        <item m="1" x="52"/>
        <item m="1" x="20"/>
      </items>
    </pivotField>
    <pivotField compact="0" outline="0" showAll="0" defaultSubtotal="0"/>
    <pivotField compact="0" outline="0" showAll="0"/>
    <pivotField axis="axisRow" compact="0" outline="0" showAll="0">
      <items count="7">
        <item x="1"/>
        <item m="1" x="4"/>
        <item x="0"/>
        <item m="1" x="2"/>
        <item m="1" x="3"/>
        <item m="1" x="5"/>
        <item t="default"/>
      </items>
    </pivotField>
    <pivotField axis="axisRow" compact="0" outline="0" showAll="0">
      <items count="49">
        <item m="1" x="32"/>
        <item x="15"/>
        <item m="1" x="45"/>
        <item x="5"/>
        <item x="6"/>
        <item x="16"/>
        <item x="0"/>
        <item x="17"/>
        <item m="1" x="40"/>
        <item m="1" x="27"/>
        <item x="1"/>
        <item m="1" x="43"/>
        <item x="7"/>
        <item x="19"/>
        <item m="1" x="38"/>
        <item m="1" x="31"/>
        <item x="8"/>
        <item x="9"/>
        <item x="4"/>
        <item m="1" x="44"/>
        <item x="2"/>
        <item m="1" x="35"/>
        <item x="10"/>
        <item x="20"/>
        <item x="21"/>
        <item m="1" x="29"/>
        <item m="1" x="33"/>
        <item m="1" x="39"/>
        <item m="1" x="36"/>
        <item m="1" x="46"/>
        <item m="1" x="42"/>
        <item x="11"/>
        <item m="1" x="41"/>
        <item x="12"/>
        <item x="13"/>
        <item x="14"/>
        <item m="1" x="34"/>
        <item m="1" x="26"/>
        <item m="1" x="28"/>
        <item m="1" x="25"/>
        <item m="1" x="37"/>
        <item x="3"/>
        <item m="1" x="30"/>
        <item x="18"/>
        <item x="22"/>
        <item m="1" x="47"/>
        <item x="23"/>
        <item x="24"/>
        <item t="default"/>
      </items>
    </pivotField>
    <pivotField compact="0" outline="0" showAll="0" defaultSubtotal="0">
      <items count="15">
        <item x="0"/>
        <item m="1" x="12"/>
        <item x="2"/>
        <item x="1"/>
        <item m="1" x="11"/>
        <item m="1" x="9"/>
        <item x="3"/>
        <item m="1" x="4"/>
        <item m="1" x="5"/>
        <item m="1" x="7"/>
        <item m="1" x="6"/>
        <item m="1" x="13"/>
        <item m="1" x="10"/>
        <item m="1" x="14"/>
        <item m="1" x="8"/>
      </items>
    </pivotField>
    <pivotField compact="0" outline="0" showAll="0"/>
    <pivotField compact="0" outline="0" showAll="0"/>
    <pivotField dataField="1" compact="0" numFmtId="1"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numFmtId="1" outline="0" showAll="0"/>
    <pivotField compact="0" numFmtId="1" outline="0" showAll="0"/>
    <pivotField compact="0" outline="0" showAll="0"/>
    <pivotField compact="0" numFmtId="9" outline="0" showAll="0"/>
    <pivotField compact="0" numFmtId="9"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defaultSubtotal="0"/>
    <pivotField compact="0" numFmtId="1" outline="0" showAll="0"/>
    <pivotField compact="0" numFmtId="1" outline="0" showAll="0" defaultSubtotal="0"/>
    <pivotField compact="0" numFmtId="1" outline="0" showAll="0"/>
    <pivotField compact="0" outline="0" showAll="0"/>
    <pivotField compact="0" numFmtId="9" outline="0" showAll="0"/>
    <pivotField compact="0" numFmtId="164" outline="0" showAll="0"/>
    <pivotField compact="0" numFmtId="164" outline="0" showAll="0"/>
    <pivotField compact="0" numFmtId="164" outline="0" showAll="0"/>
    <pivotField compact="0" numFmtId="164" outline="0" showAll="0"/>
    <pivotField compact="0"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5"/>
  </rowFields>
  <rowItems count="28">
    <i>
      <x/>
      <x v="1"/>
    </i>
    <i r="1">
      <x v="3"/>
    </i>
    <i r="1">
      <x v="4"/>
    </i>
    <i r="1">
      <x v="12"/>
    </i>
    <i r="1">
      <x v="16"/>
    </i>
    <i r="1">
      <x v="17"/>
    </i>
    <i r="1">
      <x v="18"/>
    </i>
    <i r="1">
      <x v="22"/>
    </i>
    <i r="1">
      <x v="31"/>
    </i>
    <i r="1">
      <x v="33"/>
    </i>
    <i r="1">
      <x v="34"/>
    </i>
    <i r="1">
      <x v="35"/>
    </i>
    <i r="1">
      <x v="44"/>
    </i>
    <i t="default">
      <x/>
    </i>
    <i>
      <x v="2"/>
      <x v="5"/>
    </i>
    <i r="1">
      <x v="6"/>
    </i>
    <i r="1">
      <x v="7"/>
    </i>
    <i r="1">
      <x v="10"/>
    </i>
    <i r="1">
      <x v="13"/>
    </i>
    <i r="1">
      <x v="20"/>
    </i>
    <i r="1">
      <x v="23"/>
    </i>
    <i r="1">
      <x v="24"/>
    </i>
    <i r="1">
      <x v="41"/>
    </i>
    <i r="1">
      <x v="43"/>
    </i>
    <i r="1">
      <x v="46"/>
    </i>
    <i r="1">
      <x v="47"/>
    </i>
    <i t="default">
      <x v="2"/>
    </i>
    <i t="grand">
      <x/>
    </i>
  </rowItems>
  <colFields count="1">
    <field x="-2"/>
  </colFields>
  <colItems count="4">
    <i>
      <x/>
    </i>
    <i i="1">
      <x v="1"/>
    </i>
    <i i="2">
      <x v="2"/>
    </i>
    <i i="3">
      <x v="3"/>
    </i>
  </colItems>
  <pageFields count="1">
    <pageField fld="0" hier="-1"/>
  </pageFields>
  <dataFields count="4">
    <dataField name="Total Population" fld="9" baseField="0" baseItem="0"/>
    <dataField name="Number of People adopt basic personal and community hygiene practices" fld="120" baseField="0" baseItem="0"/>
    <dataField name="Number of people with equitable and continuous access to safe sanitation facilities" fld="108" baseField="0" baseItem="0"/>
    <dataField name="Number of people with equitable and continuous access to sufficient quantity of domestic water" fld="100" baseField="0" baseItem="0"/>
  </dataFields>
  <formats count="25">
    <format dxfId="55">
      <pivotArea field="4" type="button" dataOnly="0" labelOnly="1" outline="0" axis="axisRow" fieldPosition="0"/>
    </format>
    <format dxfId="54">
      <pivotArea field="5" type="button" dataOnly="0" labelOnly="1" outline="0" axis="axisRow" fieldPosition="1"/>
    </format>
    <format dxfId="53">
      <pivotArea dataOnly="0" labelOnly="1" outline="0" fieldPosition="0">
        <references count="1">
          <reference field="4294967294" count="1">
            <x v="0"/>
          </reference>
        </references>
      </pivotArea>
    </format>
    <format dxfId="52">
      <pivotArea field="4" type="button" dataOnly="0" labelOnly="1" outline="0" axis="axisRow" fieldPosition="0"/>
    </format>
    <format dxfId="51">
      <pivotArea field="5" type="button" dataOnly="0" labelOnly="1" outline="0" axis="axisRow" fieldPosition="1"/>
    </format>
    <format dxfId="50">
      <pivotArea dataOnly="0" labelOnly="1" outline="0" fieldPosition="0">
        <references count="1">
          <reference field="4294967294" count="1">
            <x v="0"/>
          </reference>
        </references>
      </pivotArea>
    </format>
    <format dxfId="49">
      <pivotArea field="4" type="button" dataOnly="0" labelOnly="1" outline="0" axis="axisRow" fieldPosition="0"/>
    </format>
    <format dxfId="48">
      <pivotArea field="5" type="button" dataOnly="0" labelOnly="1" outline="0" axis="axisRow" fieldPosition="1"/>
    </format>
    <format dxfId="47">
      <pivotArea dataOnly="0" labelOnly="1" outline="0" fieldPosition="0">
        <references count="1">
          <reference field="4294967294" count="1">
            <x v="0"/>
          </reference>
        </references>
      </pivotArea>
    </format>
    <format dxfId="46">
      <pivotArea dataOnly="0" labelOnly="1" outline="0" fieldPosition="0">
        <references count="1">
          <reference field="4294967294" count="1">
            <x v="0"/>
          </reference>
        </references>
      </pivotArea>
    </format>
    <format dxfId="45">
      <pivotArea dataOnly="0" labelOnly="1" outline="0" fieldPosition="0">
        <references count="1">
          <reference field="4294967294" count="1">
            <x v="0"/>
          </reference>
        </references>
      </pivotArea>
    </format>
    <format dxfId="44">
      <pivotArea type="all" dataOnly="0" outline="0" fieldPosition="0"/>
    </format>
    <format dxfId="43">
      <pivotArea outline="0" collapsedLevelsAreSubtotals="1" fieldPosition="0"/>
    </format>
    <format dxfId="42">
      <pivotArea field="4" type="button" dataOnly="0" labelOnly="1" outline="0" axis="axisRow" fieldPosition="0"/>
    </format>
    <format dxfId="41">
      <pivotArea field="5" type="button" dataOnly="0" labelOnly="1" outline="0" axis="axisRow" fieldPosition="1"/>
    </format>
    <format dxfId="40">
      <pivotArea dataOnly="0" labelOnly="1" outline="0" fieldPosition="0">
        <references count="1">
          <reference field="4" count="0"/>
        </references>
      </pivotArea>
    </format>
    <format dxfId="39">
      <pivotArea dataOnly="0" labelOnly="1" outline="0" fieldPosition="0">
        <references count="1">
          <reference field="4" count="0" defaultSubtotal="1"/>
        </references>
      </pivotArea>
    </format>
    <format dxfId="38">
      <pivotArea dataOnly="0" labelOnly="1" grandRow="1" outline="0" fieldPosition="0"/>
    </format>
    <format dxfId="37">
      <pivotArea dataOnly="0" labelOnly="1" outline="0" fieldPosition="0">
        <references count="2">
          <reference field="4" count="1" selected="0">
            <x v="0"/>
          </reference>
          <reference field="5" count="13">
            <x v="1"/>
            <x v="3"/>
            <x v="4"/>
            <x v="12"/>
            <x v="16"/>
            <x v="17"/>
            <x v="18"/>
            <x v="22"/>
            <x v="28"/>
            <x v="31"/>
            <x v="33"/>
            <x v="34"/>
            <x v="35"/>
          </reference>
        </references>
      </pivotArea>
    </format>
    <format dxfId="36">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35">
      <pivotArea dataOnly="0" labelOnly="1" outline="0" fieldPosition="0">
        <references count="2">
          <reference field="4" count="1" selected="0">
            <x v="1"/>
          </reference>
          <reference field="5" count="12">
            <x v="0"/>
            <x v="2"/>
            <x v="8"/>
            <x v="9"/>
            <x v="14"/>
            <x v="15"/>
            <x v="19"/>
            <x v="21"/>
            <x v="26"/>
            <x v="27"/>
            <x v="30"/>
            <x v="32"/>
          </reference>
        </references>
      </pivotArea>
    </format>
    <format dxfId="34">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33">
      <pivotArea dataOnly="0" labelOnly="1" outline="0" fieldPosition="0">
        <references count="2">
          <reference field="4" count="1" selected="0">
            <x v="2"/>
          </reference>
          <reference field="5" count="7">
            <x v="5"/>
            <x v="6"/>
            <x v="7"/>
            <x v="13"/>
            <x v="20"/>
            <x v="23"/>
            <x v="24"/>
          </reference>
        </references>
      </pivotArea>
    </format>
    <format dxfId="32">
      <pivotArea dataOnly="0" labelOnly="1" outline="0" fieldPosition="0">
        <references count="2">
          <reference field="4" count="1" selected="0">
            <x v="2"/>
          </reference>
          <reference field="5" count="7" defaultSubtotal="1">
            <x v="5"/>
            <x v="6"/>
            <x v="7"/>
            <x v="13"/>
            <x v="20"/>
            <x v="23"/>
            <x v="24"/>
          </reference>
        </references>
      </pivotArea>
    </format>
    <format dxfId="31">
      <pivotArea dataOnly="0" labelOnly="1" outline="0" fieldPosition="0">
        <references count="1">
          <reference field="4294967294" count="1">
            <x v="0"/>
          </reference>
        </references>
      </pivotArea>
    </format>
  </formats>
  <chartFormats count="4">
    <chartFormat chart="1" format="0"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3"/>
          </reference>
        </references>
      </pivotArea>
    </chartFormat>
    <chartFormat chart="1" format="5" series="1">
      <pivotArea type="data" outline="0" fieldPosition="0">
        <references count="1">
          <reference field="4294967294" count="1" selected="0">
            <x v="2"/>
          </reference>
        </references>
      </pivotArea>
    </chartFormat>
    <chartFormat chart="1"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F7211E2-A817-41D1-B1B2-798236285E84}" name="PivotTable2" cacheId="12" applyNumberFormats="0" applyBorderFormats="0" applyFontFormats="0" applyPatternFormats="0" applyAlignmentFormats="0" applyWidthHeightFormats="1" dataCaption="Values" updatedVersion="7" minRefreshableVersion="3" rowGrandTotals="0" colGrandTotals="0" itemPrintTitles="1" createdVersion="6" indent="0" showHeaders="0" compact="0" compactData="0" multipleFieldFilters="0">
  <location ref="Q5:AE49" firstHeaderRow="0" firstDataRow="1" firstDataCol="1" rowPageCount="3" colPageCount="1"/>
  <pivotFields count="160">
    <pivotField compact="0" outline="0" subtotalTop="0" showAll="0" defaultSubtotal="0"/>
    <pivotField compact="0" outline="0" showAll="0" defaultSubtotal="0"/>
    <pivotField compact="0" outline="0" showAll="0" defaultSubtotal="0"/>
    <pivotField compact="0" outline="0" subtotalTop="0" showAll="0" defaultSubtotal="0"/>
    <pivotField axis="axisPage" compact="0" outline="0" subtotalTop="0" showAll="0" defaultSubtotal="0">
      <items count="6">
        <item x="1"/>
        <item m="1" x="4"/>
        <item x="0"/>
        <item m="1" x="2"/>
        <item m="1" x="3"/>
        <item m="1" x="5"/>
      </items>
    </pivotField>
    <pivotField compact="0" outline="0" subtotalTop="0" showAll="0" defaultSubtotal="0"/>
    <pivotField axis="axisPage" compact="0" outline="0" multipleItemSelectionAllowed="1" showAll="0" defaultSubtotal="0">
      <items count="15">
        <item x="0"/>
        <item x="2"/>
        <item m="1" x="11"/>
        <item h="1" m="1" x="13"/>
        <item h="1" m="1" x="14"/>
        <item h="1" m="1" x="7"/>
        <item h="1" m="1" x="10"/>
        <item h="1" m="1" x="6"/>
        <item m="1" x="8"/>
        <item m="1" x="9"/>
        <item h="1" m="1" x="12"/>
        <item h="1" m="1" x="4"/>
        <item h="1" m="1" x="5"/>
        <item x="3"/>
        <item h="1" x="1"/>
      </items>
    </pivotField>
    <pivotField axis="axisRow" compact="0" outline="0" subtotalTop="0" showAll="0" defaultSubtotal="0">
      <items count="1102">
        <item m="1" x="942"/>
        <item m="1" x="1085"/>
        <item m="1" x="515"/>
        <item m="1" x="762"/>
        <item m="1" x="330"/>
        <item m="1" x="526"/>
        <item m="1" x="644"/>
        <item m="1" x="1049"/>
        <item m="1" x="1058"/>
        <item x="199"/>
        <item x="174"/>
        <item x="175"/>
        <item x="47"/>
        <item m="1" x="499"/>
        <item m="1" x="382"/>
        <item m="1" x="632"/>
        <item m="1" x="294"/>
        <item m="1" x="758"/>
        <item m="1" x="337"/>
        <item m="1" x="606"/>
        <item m="1" x="724"/>
        <item m="1" x="738"/>
        <item m="1" x="931"/>
        <item m="1" x="875"/>
        <item m="1" x="511"/>
        <item m="1" x="797"/>
        <item m="1" x="339"/>
        <item m="1" x="1007"/>
        <item m="1" x="911"/>
        <item m="1" x="351"/>
        <item m="1" x="787"/>
        <item m="1" x="567"/>
        <item m="1" x="949"/>
        <item m="1" x="889"/>
        <item m="1" x="972"/>
        <item m="1" x="919"/>
        <item m="1" x="854"/>
        <item m="1" x="736"/>
        <item m="1" x="449"/>
        <item m="1" x="994"/>
        <item m="1" x="420"/>
        <item m="1" x="866"/>
        <item m="1" x="487"/>
        <item m="1" x="1009"/>
        <item m="1" x="455"/>
        <item m="1" x="472"/>
        <item m="1" x="853"/>
        <item m="1" x="454"/>
        <item m="1" x="835"/>
        <item m="1" x="582"/>
        <item m="1" x="1034"/>
        <item m="1" x="338"/>
        <item m="1" x="761"/>
        <item m="1" x="470"/>
        <item m="1" x="1086"/>
        <item m="1" x="378"/>
        <item m="1" x="910"/>
        <item m="1" x="1084"/>
        <item m="1" x="246"/>
        <item m="1" x="811"/>
        <item m="1" x="630"/>
        <item m="1" x="701"/>
        <item m="1" x="702"/>
        <item m="1" x="696"/>
        <item m="1" x="265"/>
        <item x="70"/>
        <item m="1" x="1045"/>
        <item m="1" x="1087"/>
        <item m="1" x="798"/>
        <item m="1" x="523"/>
        <item m="1" x="1080"/>
        <item m="1" x="713"/>
        <item m="1" x="1095"/>
        <item m="1" x="546"/>
        <item m="1" x="1057"/>
        <item m="1" x="407"/>
        <item m="1" x="268"/>
        <item m="1" x="258"/>
        <item m="1" x="733"/>
        <item m="1" x="1000"/>
        <item m="1" x="440"/>
        <item x="176"/>
        <item m="1" x="362"/>
        <item m="1" x="456"/>
        <item m="1" x="947"/>
        <item m="1" x="900"/>
        <item m="1" x="730"/>
        <item m="1" x="964"/>
        <item m="1" x="283"/>
        <item m="1" x="393"/>
        <item m="1" x="619"/>
        <item m="1" x="244"/>
        <item m="1" x="859"/>
        <item m="1" x="681"/>
        <item m="1" x="1013"/>
        <item m="1" x="860"/>
        <item m="1" x="956"/>
        <item m="1" x="615"/>
        <item m="1" x="661"/>
        <item m="1" x="768"/>
        <item m="1" x="589"/>
        <item m="1" x="571"/>
        <item m="1" x="496"/>
        <item m="1" x="450"/>
        <item x="67"/>
        <item m="1" x="1081"/>
        <item m="1" x="1035"/>
        <item m="1" x="795"/>
        <item m="1" x="538"/>
        <item m="1" x="855"/>
        <item x="209"/>
        <item m="1" x="672"/>
        <item m="1" x="1001"/>
        <item m="1" x="482"/>
        <item m="1" x="390"/>
        <item m="1" x="785"/>
        <item m="1" x="756"/>
        <item m="1" x="817"/>
        <item m="1" x="256"/>
        <item m="1" x="279"/>
        <item x="177"/>
        <item m="1" x="974"/>
        <item m="1" x="492"/>
        <item m="1" x="405"/>
        <item m="1" x="488"/>
        <item x="172"/>
        <item m="1" x="682"/>
        <item m="1" x="658"/>
        <item m="1" x="442"/>
        <item m="1" x="251"/>
        <item m="1" x="807"/>
        <item m="1" x="848"/>
        <item m="1" x="236"/>
        <item m="1" x="791"/>
        <item m="1" x="1038"/>
        <item m="1" x="705"/>
        <item m="1" x="284"/>
        <item m="1" x="925"/>
        <item m="1" x="310"/>
        <item m="1" x="424"/>
        <item m="1" x="278"/>
        <item m="1" x="967"/>
        <item x="178"/>
        <item m="1" x="899"/>
        <item m="1" x="621"/>
        <item m="1" x="512"/>
        <item m="1" x="818"/>
        <item m="1" x="490"/>
        <item m="1" x="957"/>
        <item m="1" x="1005"/>
        <item m="1" x="917"/>
        <item m="1" x="678"/>
        <item m="1" x="439"/>
        <item x="19"/>
        <item m="1" x="868"/>
        <item x="58"/>
        <item m="1" x="684"/>
        <item x="134"/>
        <item x="112"/>
        <item m="1" x="1022"/>
        <item m="1" x="380"/>
        <item x="93"/>
        <item m="1" x="1043"/>
        <item m="1" x="356"/>
        <item m="1" x="753"/>
        <item m="1" x="629"/>
        <item m="1" x="980"/>
        <item m="1" x="659"/>
        <item m="1" x="927"/>
        <item m="1" x="286"/>
        <item m="1" x="821"/>
        <item m="1" x="746"/>
        <item m="1" x="1020"/>
        <item m="1" x="961"/>
        <item m="1" x="862"/>
        <item m="1" x="731"/>
        <item m="1" x="591"/>
        <item m="1" x="812"/>
        <item m="1" x="663"/>
        <item m="1" x="832"/>
        <item m="1" x="921"/>
        <item m="1" x="226"/>
        <item m="1" x="321"/>
        <item m="1" x="697"/>
        <item m="1" x="254"/>
        <item x="141"/>
        <item x="208"/>
        <item x="192"/>
        <item x="42"/>
        <item m="1" x="347"/>
        <item m="1" x="243"/>
        <item m="1" x="654"/>
        <item x="7"/>
        <item m="1" x="248"/>
        <item m="1" x="556"/>
        <item m="1" x="624"/>
        <item m="1" x="838"/>
        <item m="1" x="513"/>
        <item m="1" x="272"/>
        <item m="1" x="782"/>
        <item m="1" x="981"/>
        <item x="3"/>
        <item m="1" x="777"/>
        <item x="179"/>
        <item m="1" x="350"/>
        <item m="1" x="514"/>
        <item m="1" x="783"/>
        <item m="1" x="1016"/>
        <item x="6"/>
        <item m="1" x="267"/>
        <item m="1" x="1003"/>
        <item m="1" x="847"/>
        <item x="79"/>
        <item m="1" x="377"/>
        <item m="1" x="720"/>
        <item m="1" x="693"/>
        <item m="1" x="461"/>
        <item x="80"/>
        <item x="71"/>
        <item x="95"/>
        <item x="86"/>
        <item m="1" x="793"/>
        <item m="1" x="836"/>
        <item m="1" x="481"/>
        <item m="1" x="308"/>
        <item m="1" x="404"/>
        <item m="1" x="802"/>
        <item m="1" x="760"/>
        <item m="1" x="422"/>
        <item x="20"/>
        <item x="59"/>
        <item x="37"/>
        <item x="17"/>
        <item m="1" x="718"/>
        <item x="60"/>
        <item m="1" x="1053"/>
        <item m="1" x="1097"/>
        <item m="1" x="601"/>
        <item m="1" x="962"/>
        <item m="1" x="990"/>
        <item m="1" x="457"/>
        <item m="1" x="577"/>
        <item m="1" x="548"/>
        <item x="48"/>
        <item m="1" x="475"/>
        <item m="1" x="726"/>
        <item m="1" x="687"/>
        <item m="1" x="562"/>
        <item m="1" x="679"/>
        <item m="1" x="902"/>
        <item m="1" x="435"/>
        <item m="1" x="839"/>
        <item m="1" x="383"/>
        <item m="1" x="429"/>
        <item m="1" x="770"/>
        <item m="1" x="431"/>
        <item m="1" x="503"/>
        <item m="1" x="665"/>
        <item m="1" x="826"/>
        <item m="1" x="1012"/>
        <item m="1" x="563"/>
        <item m="1" x="778"/>
        <item m="1" x="303"/>
        <item m="1" x="933"/>
        <item m="1" x="688"/>
        <item m="1" x="965"/>
        <item m="1" x="367"/>
        <item x="52"/>
        <item m="1" x="307"/>
        <item m="1" x="695"/>
        <item m="1" x="471"/>
        <item m="1" x="532"/>
        <item m="1" x="623"/>
        <item m="1" x="1071"/>
        <item m="1" x="299"/>
        <item m="1" x="641"/>
        <item m="1" x="463"/>
        <item m="1" x="594"/>
        <item x="81"/>
        <item m="1" x="537"/>
        <item m="1" x="1089"/>
        <item m="1" x="384"/>
        <item m="1" x="596"/>
        <item m="1" x="781"/>
        <item m="1" x="716"/>
        <item m="1" x="406"/>
        <item m="1" x="498"/>
        <item m="1" x="819"/>
        <item m="1" x="788"/>
        <item m="1" x="541"/>
        <item m="1" x="837"/>
        <item m="1" x="535"/>
        <item m="1" x="323"/>
        <item m="1" x="408"/>
        <item m="1" x="336"/>
        <item m="1" x="794"/>
        <item m="1" x="1040"/>
        <item m="1" x="448"/>
        <item m="1" x="595"/>
        <item m="1" x="774"/>
        <item m="1" x="344"/>
        <item x="96"/>
        <item x="97"/>
        <item m="1" x="1061"/>
        <item m="1" x="636"/>
        <item m="1" x="328"/>
        <item m="1" x="552"/>
        <item m="1" x="1054"/>
        <item m="1" x="399"/>
        <item m="1" x="371"/>
        <item m="1" x="808"/>
        <item m="1" x="877"/>
        <item m="1" x="366"/>
        <item m="1" x="865"/>
        <item m="1" x="287"/>
        <item m="1" x="364"/>
        <item m="1" x="948"/>
        <item m="1" x="414"/>
        <item m="1" x="671"/>
        <item m="1" x="995"/>
        <item m="1" x="1075"/>
        <item m="1" x="1091"/>
        <item m="1" x="346"/>
        <item m="1" x="304"/>
        <item m="1" x="452"/>
        <item m="1" x="958"/>
        <item m="1" x="729"/>
        <item m="1" x="400"/>
        <item m="1" x="822"/>
        <item m="1" x="1033"/>
        <item m="1" x="685"/>
        <item m="1" x="401"/>
        <item m="1" x="434"/>
        <item m="1" x="507"/>
        <item m="1" x="282"/>
        <item m="1" x="895"/>
        <item m="1" x="354"/>
        <item m="1" x="846"/>
        <item m="1" x="301"/>
        <item m="1" x="973"/>
        <item m="1" x="1011"/>
        <item m="1" x="349"/>
        <item m="1" x="622"/>
        <item m="1" x="976"/>
        <item m="1" x="421"/>
        <item m="1" x="1014"/>
        <item m="1" x="292"/>
        <item x="119"/>
        <item m="1" x="581"/>
        <item m="1" x="648"/>
        <item m="1" x="741"/>
        <item m="1" x="239"/>
        <item m="1" x="1073"/>
        <item x="11"/>
        <item m="1" x="960"/>
        <item m="1" x="674"/>
        <item m="1" x="484"/>
        <item m="1" x="1010"/>
        <item m="1" x="427"/>
        <item m="1" x="375"/>
        <item x="18"/>
        <item m="1" x="966"/>
        <item m="1" x="274"/>
        <item m="1" x="508"/>
        <item m="1" x="613"/>
        <item m="1" x="329"/>
        <item x="210"/>
        <item m="1" x="306"/>
        <item m="1" x="721"/>
        <item m="1" x="318"/>
        <item m="1" x="944"/>
        <item m="1" x="298"/>
        <item m="1" x="857"/>
        <item x="180"/>
        <item m="1" x="288"/>
        <item x="21"/>
        <item x="38"/>
        <item m="1" x="398"/>
        <item m="1" x="1099"/>
        <item m="1" x="614"/>
        <item m="1" x="285"/>
        <item m="1" x="227"/>
        <item m="1" x="918"/>
        <item m="1" x="558"/>
        <item m="1" x="280"/>
        <item m="1" x="763"/>
        <item m="1" x="518"/>
        <item m="1" x="342"/>
        <item x="173"/>
        <item m="1" x="714"/>
        <item m="1" x="878"/>
        <item m="1" x="547"/>
        <item m="1" x="660"/>
        <item x="181"/>
        <item x="182"/>
        <item x="125"/>
        <item x="120"/>
        <item x="202"/>
        <item x="82"/>
        <item x="203"/>
        <item x="53"/>
        <item m="1" x="358"/>
        <item m="1" x="296"/>
        <item m="1" x="343"/>
        <item m="1" x="772"/>
        <item m="1" x="1004"/>
        <item m="1" x="884"/>
        <item m="1" x="928"/>
        <item x="12"/>
        <item m="1" x="922"/>
        <item m="1" x="394"/>
        <item m="1" x="569"/>
        <item x="32"/>
        <item x="43"/>
        <item x="98"/>
        <item m="1" x="444"/>
        <item x="193"/>
        <item x="68"/>
        <item x="33"/>
        <item x="34"/>
        <item x="10"/>
        <item x="55"/>
        <item m="1" x="950"/>
        <item x="22"/>
        <item x="83"/>
        <item x="204"/>
        <item x="39"/>
        <item x="0"/>
        <item m="1" x="419"/>
        <item x="99"/>
        <item m="1" x="1059"/>
        <item m="1" x="588"/>
        <item x="73"/>
        <item x="74"/>
        <item x="75"/>
        <item x="76"/>
        <item m="1" x="735"/>
        <item m="1" x="228"/>
        <item m="1" x="386"/>
        <item x="113"/>
        <item x="122"/>
        <item m="1" x="238"/>
        <item m="1" x="334"/>
        <item x="78"/>
        <item m="1" x="646"/>
        <item m="1" x="293"/>
        <item m="1" x="1021"/>
        <item m="1" x="975"/>
        <item m="1" x="432"/>
        <item m="1" x="521"/>
        <item m="1" x="348"/>
        <item x="187"/>
        <item x="188"/>
        <item m="1" x="270"/>
        <item m="1" x="333"/>
        <item m="1" x="946"/>
        <item x="128"/>
        <item m="1" x="447"/>
        <item m="1" x="536"/>
        <item m="1" x="263"/>
        <item m="1" x="486"/>
        <item m="1" x="345"/>
        <item m="1" x="355"/>
        <item m="1" x="505"/>
        <item m="1" x="365"/>
        <item m="1" x="369"/>
        <item m="1" x="542"/>
        <item m="1" x="1063"/>
        <item m="1" x="423"/>
        <item m="1" x="727"/>
        <item m="1" x="988"/>
        <item m="1" x="1046"/>
        <item m="1" x="372"/>
        <item m="1" x="784"/>
        <item x="100"/>
        <item m="1" x="906"/>
        <item m="1" x="289"/>
        <item m="1" x="751"/>
        <item m="1" x="593"/>
        <item x="84"/>
        <item x="5"/>
        <item m="1" x="616"/>
        <item m="1" x="796"/>
        <item m="1" x="744"/>
        <item m="1" x="1008"/>
        <item x="101"/>
        <item m="1" x="833"/>
        <item m="1" x="402"/>
        <item m="1" x="617"/>
        <item m="1" x="692"/>
        <item m="1" x="302"/>
        <item m="1" x="898"/>
        <item m="1" x="578"/>
        <item x="8"/>
        <item m="1" x="767"/>
        <item m="1" x="353"/>
        <item m="1" x="978"/>
        <item m="1" x="504"/>
        <item m="1" x="1090"/>
        <item m="1" x="694"/>
        <item m="1" x="1026"/>
        <item m="1" x="524"/>
        <item m="1" x="983"/>
        <item m="1" x="876"/>
        <item m="1" x="987"/>
        <item m="1" x="416"/>
        <item m="1" x="799"/>
        <item m="1" x="555"/>
        <item m="1" x="530"/>
        <item m="1" x="583"/>
        <item m="1" x="607"/>
        <item x="123"/>
        <item x="116"/>
        <item x="117"/>
        <item x="124"/>
        <item m="1" x="715"/>
        <item x="102"/>
        <item m="1" x="425"/>
        <item x="103"/>
        <item x="183"/>
        <item m="1" x="533"/>
        <item x="90"/>
        <item x="121"/>
        <item m="1" x="1051"/>
        <item x="13"/>
        <item m="1" x="438"/>
        <item x="14"/>
        <item m="1" x="893"/>
        <item x="61"/>
        <item m="1" x="849"/>
        <item m="1" x="1018"/>
        <item x="54"/>
        <item m="1" x="313"/>
        <item m="1" x="566"/>
        <item m="1" x="905"/>
        <item x="15"/>
        <item m="1" x="417"/>
        <item m="1" x="945"/>
        <item m="1" x="982"/>
        <item m="1" x="993"/>
        <item m="1" x="235"/>
        <item m="1" x="324"/>
        <item x="195"/>
        <item x="16"/>
        <item m="1" x="683"/>
        <item m="1" x="230"/>
        <item m="1" x="576"/>
        <item x="29"/>
        <item m="1" x="1093"/>
        <item x="104"/>
        <item m="1" x="483"/>
        <item m="1" x="725"/>
        <item m="1" x="599"/>
        <item m="1" x="820"/>
        <item m="1" x="879"/>
        <item m="1" x="710"/>
        <item m="1" x="628"/>
        <item m="1" x="557"/>
        <item m="1" x="373"/>
        <item m="1" x="586"/>
        <item m="1" x="639"/>
        <item m="1" x="971"/>
        <item m="1" x="403"/>
        <item m="1" x="675"/>
        <item m="1" x="234"/>
        <item m="1" x="527"/>
        <item m="1" x="1024"/>
        <item m="1" x="395"/>
        <item m="1" x="451"/>
        <item m="1" x="904"/>
        <item m="1" x="522"/>
        <item m="1" x="652"/>
        <item m="1" x="381"/>
        <item m="1" x="441"/>
        <item m="1" x="773"/>
        <item m="1" x="998"/>
        <item m="1" x="863"/>
        <item x="211"/>
        <item m="1" x="374"/>
        <item m="1" x="322"/>
        <item x="23"/>
        <item m="1" x="391"/>
        <item m="1" x="627"/>
        <item m="1" x="1055"/>
        <item m="1" x="608"/>
        <item m="1" x="909"/>
        <item x="205"/>
        <item m="1" x="564"/>
        <item m="1" x="309"/>
        <item m="1" x="464"/>
        <item m="1" x="1078"/>
        <item m="1" x="655"/>
        <item m="1" x="540"/>
        <item m="1" x="305"/>
        <item m="1" x="913"/>
        <item m="1" x="565"/>
        <item m="1" x="769"/>
        <item m="1" x="410"/>
        <item m="1" x="493"/>
        <item m="1" x="1019"/>
        <item m="1" x="670"/>
        <item m="1" x="941"/>
        <item m="1" x="1006"/>
        <item m="1" x="409"/>
        <item m="1" x="806"/>
        <item m="1" x="476"/>
        <item m="1" x="1077"/>
        <item x="62"/>
        <item x="63"/>
        <item x="212"/>
        <item m="1" x="851"/>
        <item m="1" x="551"/>
        <item m="1" x="680"/>
        <item x="44"/>
        <item m="1" x="809"/>
        <item m="1" x="418"/>
        <item m="1" x="603"/>
        <item m="1" x="480"/>
        <item x="105"/>
        <item m="1" x="954"/>
        <item m="1" x="247"/>
        <item m="1" x="528"/>
        <item m="1" x="220"/>
        <item x="28"/>
        <item m="1" x="666"/>
        <item m="1" x="1056"/>
        <item m="1" x="844"/>
        <item m="1" x="923"/>
        <item m="1" x="742"/>
        <item m="1" x="525"/>
        <item m="1" x="1079"/>
        <item x="72"/>
        <item m="1" x="553"/>
        <item m="1" x="1025"/>
        <item m="1" x="901"/>
        <item m="1" x="708"/>
        <item m="1" x="611"/>
        <item m="1" x="584"/>
        <item m="1" x="368"/>
        <item m="1" x="426"/>
        <item m="1" x="734"/>
        <item m="1" x="792"/>
        <item m="1" x="465"/>
        <item m="1" x="732"/>
        <item m="1" x="635"/>
        <item m="1" x="704"/>
        <item m="1" x="396"/>
        <item m="1" x="273"/>
        <item m="1" x="502"/>
        <item m="1" x="872"/>
        <item m="1" x="352"/>
        <item m="1" x="829"/>
        <item m="1" x="932"/>
        <item m="1" x="626"/>
        <item m="1" x="1030"/>
        <item m="1" x="631"/>
        <item m="1" x="963"/>
        <item m="1" x="277"/>
        <item m="1" x="520"/>
        <item m="1" x="664"/>
        <item m="1" x="1039"/>
        <item m="1" x="549"/>
        <item m="1" x="871"/>
        <item m="1" x="764"/>
        <item m="1" x="703"/>
        <item m="1" x="249"/>
        <item m="1" x="387"/>
        <item x="196"/>
        <item x="35"/>
        <item m="1" x="698"/>
        <item m="1" x="316"/>
        <item m="1" x="550"/>
        <item m="1" x="572"/>
        <item m="1" x="759"/>
        <item m="1" x="737"/>
        <item m="1" x="1029"/>
        <item m="1" x="376"/>
        <item m="1" x="473"/>
        <item m="1" x="223"/>
        <item m="1" x="361"/>
        <item m="1" x="340"/>
        <item x="184"/>
        <item m="1" x="804"/>
        <item m="1" x="823"/>
        <item x="201"/>
        <item m="1" x="873"/>
        <item m="1" x="559"/>
        <item m="1" x="765"/>
        <item m="1" x="618"/>
        <item m="1" x="991"/>
        <item m="1" x="667"/>
        <item m="1" x="232"/>
        <item m="1" x="385"/>
        <item x="149"/>
        <item m="1" x="612"/>
        <item x="30"/>
        <item m="1" x="651"/>
        <item m="1" x="1031"/>
        <item m="1" x="996"/>
        <item m="1" x="1023"/>
        <item m="1" x="519"/>
        <item m="1" x="497"/>
        <item x="51"/>
        <item m="1" x="1047"/>
        <item m="1" x="495"/>
        <item m="1" x="575"/>
        <item m="1" x="645"/>
        <item m="1" x="824"/>
        <item m="1" x="870"/>
        <item m="1" x="903"/>
        <item m="1" x="706"/>
        <item m="1" x="861"/>
        <item m="1" x="977"/>
        <item m="1" x="896"/>
        <item m="1" x="570"/>
        <item m="1" x="757"/>
        <item m="1" x="926"/>
        <item m="1" x="728"/>
        <item m="1" x="908"/>
        <item m="1" x="841"/>
        <item x="64"/>
        <item m="1" x="1082"/>
        <item m="1" x="912"/>
        <item x="206"/>
        <item m="1" x="224"/>
        <item m="1" x="315"/>
        <item m="1" x="568"/>
        <item m="1" x="831"/>
        <item m="1" x="940"/>
        <item x="45"/>
        <item m="1" x="1094"/>
        <item x="9"/>
        <item m="1" x="707"/>
        <item m="1" x="573"/>
        <item m="1" x="1070"/>
        <item x="40"/>
        <item x="190"/>
        <item m="1" x="320"/>
        <item m="1" x="585"/>
        <item x="36"/>
        <item m="1" x="842"/>
        <item m="1" x="379"/>
        <item m="1" x="1076"/>
        <item x="50"/>
        <item x="85"/>
        <item m="1" x="711"/>
        <item m="1" x="544"/>
        <item m="1" x="843"/>
        <item m="1" x="775"/>
        <item m="1" x="600"/>
        <item m="1" x="253"/>
        <item m="1" x="677"/>
        <item m="1" x="712"/>
        <item m="1" x="327"/>
        <item m="1" x="443"/>
        <item m="1" x="500"/>
        <item m="1" x="610"/>
        <item m="1" x="882"/>
        <item x="41"/>
        <item m="1" x="491"/>
        <item m="1" x="252"/>
        <item m="1" x="907"/>
        <item m="1" x="952"/>
        <item m="1" x="869"/>
        <item m="1" x="1069"/>
        <item m="1" x="992"/>
        <item m="1" x="259"/>
        <item m="1" x="255"/>
        <item m="1" x="686"/>
        <item m="1" x="241"/>
        <item m="1" x="699"/>
        <item m="1" x="959"/>
        <item m="1" x="867"/>
        <item m="1" x="509"/>
        <item m="1" x="474"/>
        <item m="1" x="437"/>
        <item m="1" x="814"/>
        <item m="1" x="590"/>
        <item m="1" x="881"/>
        <item m="1" x="233"/>
        <item m="1" x="885"/>
        <item m="1" x="700"/>
        <item m="1" x="938"/>
        <item x="65"/>
        <item m="1" x="597"/>
        <item m="1" x="883"/>
        <item m="1" x="317"/>
        <item m="1" x="936"/>
        <item m="1" x="850"/>
        <item m="1" x="397"/>
        <item m="1" x="1096"/>
        <item m="1" x="388"/>
        <item m="1" x="297"/>
        <item m="1" x="1017"/>
        <item m="1" x="939"/>
        <item m="1" x="953"/>
        <item m="1" x="803"/>
        <item m="1" x="786"/>
        <item m="1" x="890"/>
        <item x="66"/>
        <item x="31"/>
        <item m="1" x="225"/>
        <item m="1" x="516"/>
        <item m="1" x="1072"/>
        <item m="1" x="955"/>
        <item x="24"/>
        <item x="191"/>
        <item m="1" x="534"/>
        <item x="25"/>
        <item x="26"/>
        <item m="1" x="359"/>
        <item m="1" x="930"/>
        <item m="1" x="776"/>
        <item m="1" x="709"/>
        <item m="1" x="771"/>
        <item m="1" x="789"/>
        <item m="1" x="598"/>
        <item m="1" x="250"/>
        <item m="1" x="638"/>
        <item m="1" x="1068"/>
        <item m="1" x="740"/>
        <item m="1" x="314"/>
        <item m="1" x="827"/>
        <item m="1" x="1074"/>
        <item m="1" x="300"/>
        <item m="1" x="1065"/>
        <item m="1" x="1066"/>
        <item m="1" x="894"/>
        <item m="1" x="1067"/>
        <item m="1" x="412"/>
        <item m="1" x="743"/>
        <item m="1" x="845"/>
        <item m="1" x="970"/>
        <item m="1" x="231"/>
        <item m="1" x="332"/>
        <item m="1" x="501"/>
        <item m="1" x="389"/>
        <item m="1" x="229"/>
        <item m="1" x="748"/>
        <item m="1" x="642"/>
        <item m="1" x="1042"/>
        <item m="1" x="1092"/>
        <item m="1" x="1050"/>
        <item m="1" x="999"/>
        <item m="1" x="319"/>
        <item m="1" x="739"/>
        <item m="1" x="587"/>
        <item m="1" x="506"/>
        <item m="1" x="415"/>
        <item m="1" x="478"/>
        <item m="1" x="264"/>
        <item m="1" x="1028"/>
        <item m="1" x="574"/>
        <item m="1" x="592"/>
        <item m="1" x="561"/>
        <item m="1" x="801"/>
        <item m="1" x="1100"/>
        <item m="1" x="1027"/>
        <item m="1" x="579"/>
        <item m="1" x="462"/>
        <item m="1" x="643"/>
        <item m="1" x="943"/>
        <item m="1" x="295"/>
        <item m="1" x="1032"/>
        <item m="1" x="469"/>
        <item x="197"/>
        <item m="1" x="719"/>
        <item m="1" x="1036"/>
        <item m="1" x="625"/>
        <item m="1" x="479"/>
        <item m="1" x="669"/>
        <item m="1" x="1062"/>
        <item m="1" x="1037"/>
        <item m="1" x="747"/>
        <item m="1" x="676"/>
        <item m="1" x="543"/>
        <item m="1" x="459"/>
        <item m="1" x="460"/>
        <item m="1" x="413"/>
        <item m="1" x="262"/>
        <item m="1" x="411"/>
        <item m="1" x="237"/>
        <item m="1" x="222"/>
        <item m="1" x="880"/>
        <item m="1" x="510"/>
        <item m="1" x="428"/>
        <item m="1" x="647"/>
        <item m="1" x="430"/>
        <item m="1" x="580"/>
        <item m="1" x="276"/>
        <item m="1" x="668"/>
        <item m="1" x="689"/>
        <item m="1" x="723"/>
        <item m="1" x="752"/>
        <item m="1" x="937"/>
        <item m="1" x="370"/>
        <item m="1" x="673"/>
        <item m="1" x="840"/>
        <item m="1" x="805"/>
        <item m="1" x="997"/>
        <item m="1" x="360"/>
        <item m="1" x="529"/>
        <item m="1" x="1088"/>
        <item m="1" x="545"/>
        <item m="1" x="755"/>
        <item m="1" x="800"/>
        <item m="1" x="468"/>
        <item m="1" x="892"/>
        <item m="1" x="816"/>
        <item m="1" x="935"/>
        <item m="1" x="604"/>
        <item m="1" x="433"/>
        <item m="1" x="780"/>
        <item x="27"/>
        <item m="1" x="325"/>
        <item x="91"/>
        <item m="1" x="662"/>
        <item m="1" x="888"/>
        <item m="1" x="326"/>
        <item m="1" x="874"/>
        <item m="1" x="1064"/>
        <item m="1" x="657"/>
        <item m="1" x="656"/>
        <item m="1" x="363"/>
        <item m="1" x="864"/>
        <item m="1" x="392"/>
        <item m="1" x="640"/>
        <item m="1" x="887"/>
        <item m="1" x="341"/>
        <item m="1" x="260"/>
        <item m="1" x="466"/>
        <item m="1" x="485"/>
        <item x="46"/>
        <item x="198"/>
        <item m="1" x="312"/>
        <item m="1" x="834"/>
        <item m="1" x="920"/>
        <item m="1" x="1015"/>
        <item m="1" x="436"/>
        <item x="185"/>
        <item m="1" x="1052"/>
        <item m="1" x="477"/>
        <item m="1" x="1048"/>
        <item m="1" x="986"/>
        <item m="1" x="924"/>
        <item m="1" x="467"/>
        <item m="1" x="858"/>
        <item x="87"/>
        <item x="88"/>
        <item x="89"/>
        <item m="1" x="968"/>
        <item m="1" x="240"/>
        <item m="1" x="810"/>
        <item m="1" x="649"/>
        <item m="1" x="717"/>
        <item m="1" x="517"/>
        <item m="1" x="609"/>
        <item m="1" x="929"/>
        <item m="1" x="602"/>
        <item m="1" x="815"/>
        <item m="1" x="766"/>
        <item m="1" x="985"/>
        <item m="1" x="830"/>
        <item m="1" x="745"/>
        <item m="1" x="1041"/>
        <item m="1" x="605"/>
        <item m="1" x="269"/>
        <item m="1" x="1098"/>
        <item m="1" x="1083"/>
        <item m="1" x="331"/>
        <item m="1" x="1101"/>
        <item x="186"/>
        <item m="1" x="650"/>
        <item m="1" x="266"/>
        <item m="1" x="245"/>
        <item m="1" x="897"/>
        <item m="1" x="915"/>
        <item m="1" x="916"/>
        <item m="1" x="989"/>
        <item m="1" x="951"/>
        <item m="1" x="335"/>
        <item m="1" x="637"/>
        <item m="1" x="445"/>
        <item m="1" x="446"/>
        <item m="1" x="1060"/>
        <item m="1" x="1002"/>
        <item m="1" x="554"/>
        <item m="1" x="281"/>
        <item m="1" x="653"/>
        <item m="1" x="984"/>
        <item m="1" x="257"/>
        <item m="1" x="633"/>
        <item m="1" x="1044"/>
        <item m="1" x="634"/>
        <item m="1" x="979"/>
        <item m="1" x="560"/>
        <item m="1" x="494"/>
        <item m="1" x="852"/>
        <item m="1" x="261"/>
        <item m="1" x="275"/>
        <item m="1" x="790"/>
        <item m="1" x="754"/>
        <item m="1" x="290"/>
        <item m="1" x="934"/>
        <item m="1" x="271"/>
        <item m="1" x="489"/>
        <item m="1" x="690"/>
        <item m="1" x="620"/>
        <item m="1" x="291"/>
        <item m="1" x="969"/>
        <item m="1" x="750"/>
        <item m="1" x="691"/>
        <item m="1" x="722"/>
        <item x="106"/>
        <item m="1" x="453"/>
        <item m="1" x="221"/>
        <item m="1" x="458"/>
        <item m="1" x="749"/>
        <item x="4"/>
        <item x="165"/>
        <item m="1" x="914"/>
        <item m="1" x="242"/>
        <item x="207"/>
        <item x="114"/>
        <item m="1" x="856"/>
        <item x="155"/>
        <item x="200"/>
        <item x="147"/>
        <item x="153"/>
        <item m="1" x="779"/>
        <item m="1" x="813"/>
        <item x="148"/>
        <item m="1" x="311"/>
        <item m="1" x="539"/>
        <item x="142"/>
        <item x="143"/>
        <item m="1" x="886"/>
        <item x="133"/>
        <item x="146"/>
        <item x="163"/>
        <item x="164"/>
        <item x="49"/>
        <item x="56"/>
        <item x="57"/>
        <item x="92"/>
        <item x="94"/>
        <item x="77"/>
        <item x="126"/>
        <item x="127"/>
        <item m="1" x="825"/>
        <item x="130"/>
        <item x="132"/>
        <item x="135"/>
        <item x="136"/>
        <item x="139"/>
        <item x="140"/>
        <item x="189"/>
        <item m="1" x="891"/>
        <item x="69"/>
        <item x="107"/>
        <item x="108"/>
        <item x="109"/>
        <item x="110"/>
        <item x="111"/>
        <item x="115"/>
        <item m="1" x="531"/>
        <item x="118"/>
        <item x="194"/>
        <item x="144"/>
        <item x="145"/>
        <item x="131"/>
        <item x="129"/>
        <item x="138"/>
        <item x="150"/>
        <item x="151"/>
        <item x="152"/>
        <item x="137"/>
        <item x="154"/>
        <item x="167"/>
        <item x="157"/>
        <item x="159"/>
        <item x="161"/>
        <item x="2"/>
        <item x="168"/>
        <item x="162"/>
        <item x="158"/>
        <item x="1"/>
        <item x="169"/>
        <item x="160"/>
        <item x="156"/>
        <item x="166"/>
        <item x="170"/>
        <item x="171"/>
        <item x="213"/>
        <item x="215"/>
        <item x="216"/>
        <item x="219"/>
        <item x="218"/>
        <item x="217"/>
        <item x="214"/>
        <item m="1" x="357"/>
        <item m="1" x="828"/>
      </items>
    </pivotField>
    <pivotField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dataField="1" compact="0" numFmtId="1" outline="0" subtotalTop="0" showAll="0" defaultSubtotal="0"/>
    <pivotField dataField="1" compact="0" numFmtId="1" outline="0" subtotalTop="0" showAll="0" defaultSubtotal="0"/>
    <pivotField compact="0" outline="0" subtotalTop="0" showAll="0" defaultSubtotal="0"/>
    <pivotField compact="0" outline="0" subtotalTop="0" showAll="0" defaultSubtotal="0"/>
    <pivotField compact="0" numFmtId="9"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dataField="1"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numFmtId="1" outline="0" subtotalTop="0" showAll="0" defaultSubtotal="0"/>
    <pivotField compact="0" numFmtId="1" outline="0" showAll="0" defaultSubtotal="0"/>
    <pivotField compact="0" numFmtId="9" outline="0" showAll="0" defaultSubtotal="0"/>
    <pivotField dataField="1" compact="0" numFmtId="1" outline="0" showAll="0" defaultSubtotal="0"/>
    <pivotField compact="0" outline="0" showAll="0" defaultSubtotal="0"/>
    <pivotField dataField="1" compact="0" outline="0" showAll="0" defaultSubtotal="0"/>
    <pivotField dataField="1"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9" outline="0" showAll="0" defaultSubtotal="0"/>
    <pivotField dataField="1" compact="0" numFmtId="1" outline="0" showAll="0" defaultSubtotal="0"/>
    <pivotField compact="0" numFmtId="1" outline="0" showAll="0" defaultSubtotal="0"/>
    <pivotField compact="0" numFmtId="1" outline="0" showAll="0" defaultSubtotal="0"/>
    <pivotField dataField="1" compact="0" numFmtId="1" outline="0" showAll="0" defaultSubtotal="0"/>
    <pivotField dataField="1" compact="0" numFmtId="1"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 outline="0" showAll="0" defaultSubtotal="0"/>
    <pivotField compact="0" numFmtId="1" outline="0" subtotalTop="0" showAll="0" defaultSubtotal="0"/>
    <pivotField compact="0" numFmtId="1" outline="0" showAll="0" defaultSubtotal="0"/>
    <pivotField dataField="1" compact="0" numFmtId="1" outline="0" showAll="0" defaultSubtotal="0"/>
    <pivotField compact="0" outline="0" showAll="0" defaultSubtotal="0"/>
    <pivotField compact="0" numFmtId="9" outline="0" showAll="0" defaultSubtotal="0"/>
    <pivotField compact="0" numFmtId="164" outline="0" subtotalTop="0" showAll="0" defaultSubtotal="0"/>
    <pivotField compact="0" numFmtId="164" outline="0" subtotalTop="0" showAll="0" defaultSubtotal="0"/>
    <pivotField compact="0" numFmtId="164" outline="0" subtotalTop="0" showAll="0" defaultSubtotal="0"/>
    <pivotField dataField="1" compact="0" numFmtId="164" outline="0" showAll="0" defaultSubtotal="0"/>
    <pivotField dataField="1" compact="0" outline="0" showAll="0" defaultSubtotal="0"/>
    <pivotField dataField="1" compact="0" numFmtId="164"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5">
        <item x="0"/>
        <item x="1"/>
        <item m="1" x="2"/>
        <item m="1" x="4"/>
        <item m="1" x="3"/>
      </items>
    </pivotField>
    <pivotField compact="0" outline="0" subtotalTop="0" showAll="0" defaultSubtotal="0"/>
    <pivotField compact="0" outline="0" subtotalTop="0" showAll="0" defaultSubtota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44">
    <i>
      <x v="158"/>
    </i>
    <i>
      <x v="161"/>
    </i>
    <i>
      <x v="201"/>
    </i>
    <i>
      <x v="219"/>
    </i>
    <i>
      <x v="301"/>
    </i>
    <i>
      <x v="302"/>
    </i>
    <i>
      <x v="347"/>
    </i>
    <i>
      <x v="396"/>
    </i>
    <i>
      <x v="414"/>
    </i>
    <i>
      <x v="427"/>
    </i>
    <i>
      <x v="429"/>
    </i>
    <i>
      <x v="439"/>
    </i>
    <i>
      <x v="440"/>
    </i>
    <i>
      <x v="474"/>
    </i>
    <i>
      <x v="485"/>
    </i>
    <i>
      <x v="511"/>
    </i>
    <i>
      <x v="512"/>
    </i>
    <i>
      <x v="513"/>
    </i>
    <i>
      <x v="514"/>
    </i>
    <i>
      <x v="516"/>
    </i>
    <i>
      <x v="518"/>
    </i>
    <i>
      <x v="521"/>
    </i>
    <i>
      <x v="522"/>
    </i>
    <i>
      <x v="549"/>
    </i>
    <i>
      <x v="618"/>
    </i>
    <i>
      <x v="915"/>
    </i>
    <i>
      <x v="1013"/>
    </i>
    <i>
      <x v="1018"/>
    </i>
    <i>
      <x v="1023"/>
    </i>
    <i>
      <x v="1044"/>
    </i>
    <i>
      <x v="1045"/>
    </i>
    <i>
      <x v="1059"/>
    </i>
    <i>
      <x v="1060"/>
    </i>
    <i>
      <x v="1061"/>
    </i>
    <i>
      <x v="1062"/>
    </i>
    <i>
      <x v="1063"/>
    </i>
    <i>
      <x v="1064"/>
    </i>
    <i>
      <x v="1066"/>
    </i>
    <i>
      <x v="1082"/>
    </i>
    <i>
      <x v="1086"/>
    </i>
    <i>
      <x v="1087"/>
    </i>
    <i>
      <x v="1096"/>
    </i>
    <i>
      <x v="1097"/>
    </i>
    <i>
      <x v="1098"/>
    </i>
  </rowItems>
  <colFields count="1">
    <field x="-2"/>
  </colFields>
  <colItems count="14">
    <i>
      <x/>
    </i>
    <i i="1">
      <x v="1"/>
    </i>
    <i i="2">
      <x v="2"/>
    </i>
    <i i="3">
      <x v="3"/>
    </i>
    <i i="4">
      <x v="4"/>
    </i>
    <i i="5">
      <x v="5"/>
    </i>
    <i i="6">
      <x v="6"/>
    </i>
    <i i="7">
      <x v="7"/>
    </i>
    <i i="8">
      <x v="8"/>
    </i>
    <i i="9">
      <x v="9"/>
    </i>
    <i i="10">
      <x v="10"/>
    </i>
    <i i="11">
      <x v="11"/>
    </i>
    <i i="12">
      <x v="12"/>
    </i>
    <i i="13">
      <x v="13"/>
    </i>
  </colItems>
  <pageFields count="3">
    <pageField fld="146" item="0" hier="-1"/>
    <pageField fld="6" hier="-1"/>
    <pageField fld="4" item="2" hier="-1"/>
  </pageFields>
  <dataFields count="14">
    <dataField name="Max of Total PoP " fld="9" subtotal="max" baseField="7" baseItem="7" numFmtId="3"/>
    <dataField name="Max of HRP1" fld="100" subtotal="max" baseField="7" baseItem="7"/>
    <dataField name="Max of HRP2" fld="108" subtotal="max" baseField="7" baseItem="7"/>
    <dataField name="Max of HRP3" fld="120" subtotal="max" baseField="7" baseItem="7"/>
    <dataField name="Max of HRP4" fld="135" subtotal="max" baseField="7" baseItem="7"/>
    <dataField name="Max of HRP5" fld="136" subtotal="max" baseField="7" baseItem="7"/>
    <dataField name="Max of HRP6" fld="137" subtotal="max" baseField="7" baseItem="158"/>
    <dataField name="Max of hygiene items" fld="119" subtotal="max" baseField="7" baseItem="7"/>
    <dataField name="Max of # people reached by regular dedicated hygiene promotion_5" fld="116" subtotal="max" baseField="7" baseItem="7"/>
    <dataField name="Max of # People access to Handwashing Station" fld="129" subtotal="max" baseField="7" baseItem="7"/>
    <dataField name="Max of # People access to water in TLS/CFS_HRP5" fld="90" subtotal="max" baseField="7" baseItem="158"/>
    <dataField name="Max of # People access to water in THF_HRP6" fld="91" subtotal="max" baseField="7" baseItem="158"/>
    <dataField name="Max of # students access to functioning school latrines_HRP5" fld="110" subtotal="max" baseField="7" baseItem="7"/>
    <dataField name="Max of # People access to functioning latrines in THF_HRP6" fld="111" subtotal="max" baseField="7" baseItem="158"/>
  </dataFields>
  <formats count="59">
    <format dxfId="732">
      <pivotArea field="4" type="button" dataOnly="0" labelOnly="1" outline="0" axis="axisPage" fieldPosition="2"/>
    </format>
    <format dxfId="731">
      <pivotArea type="all" dataOnly="0" outline="0" fieldPosition="0"/>
    </format>
    <format dxfId="730">
      <pivotArea field="4" type="button" dataOnly="0" labelOnly="1" outline="0" axis="axisPage" fieldPosition="2"/>
    </format>
    <format dxfId="729">
      <pivotArea outline="0" fieldPosition="0">
        <references count="1">
          <reference field="4294967294" count="1">
            <x v="0"/>
          </reference>
        </references>
      </pivotArea>
    </format>
    <format dxfId="728">
      <pivotArea dataOnly="0" labelOnly="1" outline="0" fieldPosition="0">
        <references count="1">
          <reference field="4294967294" count="1">
            <x v="0"/>
          </reference>
        </references>
      </pivotArea>
    </format>
    <format dxfId="727">
      <pivotArea type="all" dataOnly="0" outline="0" fieldPosition="0"/>
    </format>
    <format dxfId="726">
      <pivotArea outline="0" collapsedLevelsAreSubtotals="1" fieldPosition="0"/>
    </format>
    <format dxfId="725">
      <pivotArea dataOnly="0" labelOnly="1" fieldPosition="0">
        <references count="1">
          <reference field="4" count="0"/>
        </references>
      </pivotArea>
    </format>
    <format dxfId="724">
      <pivotArea dataOnly="0" labelOnly="1" grandRow="1" outline="0" fieldPosition="0"/>
    </format>
    <format dxfId="723">
      <pivotArea dataOnly="0" labelOnly="1" outline="0" fieldPosition="0">
        <references count="1">
          <reference field="4294967294" count="1">
            <x v="0"/>
          </reference>
        </references>
      </pivotArea>
    </format>
    <format dxfId="722">
      <pivotArea type="all" dataOnly="0" outline="0" fieldPosition="0"/>
    </format>
    <format dxfId="721">
      <pivotArea outline="0" collapsedLevelsAreSubtotals="1" fieldPosition="0"/>
    </format>
    <format dxfId="720">
      <pivotArea dataOnly="0" labelOnly="1" fieldPosition="0">
        <references count="1">
          <reference field="4" count="0"/>
        </references>
      </pivotArea>
    </format>
    <format dxfId="719">
      <pivotArea dataOnly="0" labelOnly="1" grandRow="1" outline="0" fieldPosition="0"/>
    </format>
    <format dxfId="718">
      <pivotArea dataOnly="0" labelOnly="1" outline="0" fieldPosition="0">
        <references count="1">
          <reference field="4294967294" count="1">
            <x v="0"/>
          </reference>
        </references>
      </pivotArea>
    </format>
    <format dxfId="717">
      <pivotArea outline="0" collapsedLevelsAreSubtotals="1" fieldPosition="0"/>
    </format>
    <format dxfId="716">
      <pivotArea outline="0" collapsedLevelsAreSubtotals="1" fieldPosition="0">
        <references count="1">
          <reference field="4294967294" count="1" selected="0">
            <x v="1"/>
          </reference>
        </references>
      </pivotArea>
    </format>
    <format dxfId="715">
      <pivotArea dataOnly="0" labelOnly="1" outline="0" fieldPosition="0">
        <references count="1">
          <reference field="4294967294" count="1">
            <x v="1"/>
          </reference>
        </references>
      </pivotArea>
    </format>
    <format dxfId="714">
      <pivotArea outline="0" collapsedLevelsAreSubtotals="1" fieldPosition="0">
        <references count="1">
          <reference field="4294967294" count="1" selected="0">
            <x v="1"/>
          </reference>
        </references>
      </pivotArea>
    </format>
    <format dxfId="713">
      <pivotArea dataOnly="0" labelOnly="1" outline="0" fieldPosition="0">
        <references count="1">
          <reference field="4294967294" count="1">
            <x v="1"/>
          </reference>
        </references>
      </pivotArea>
    </format>
    <format dxfId="712">
      <pivotArea outline="0" collapsedLevelsAreSubtotals="1" fieldPosition="0">
        <references count="1">
          <reference field="4294967294" count="1" selected="0">
            <x v="2"/>
          </reference>
        </references>
      </pivotArea>
    </format>
    <format dxfId="711">
      <pivotArea dataOnly="0" labelOnly="1" outline="0" fieldPosition="0">
        <references count="1">
          <reference field="4294967294" count="1">
            <x v="2"/>
          </reference>
        </references>
      </pivotArea>
    </format>
    <format dxfId="710">
      <pivotArea outline="0" collapsedLevelsAreSubtotals="1" fieldPosition="0">
        <references count="1">
          <reference field="4294967294" count="1" selected="0">
            <x v="2"/>
          </reference>
        </references>
      </pivotArea>
    </format>
    <format dxfId="709">
      <pivotArea dataOnly="0" labelOnly="1" outline="0" fieldPosition="0">
        <references count="1">
          <reference field="4294967294" count="1">
            <x v="2"/>
          </reference>
        </references>
      </pivotArea>
    </format>
    <format dxfId="708">
      <pivotArea outline="0" collapsedLevelsAreSubtotals="1" fieldPosition="0">
        <references count="1">
          <reference field="4294967294" count="1" selected="0">
            <x v="3"/>
          </reference>
        </references>
      </pivotArea>
    </format>
    <format dxfId="707">
      <pivotArea dataOnly="0" labelOnly="1" outline="0" fieldPosition="0">
        <references count="1">
          <reference field="4294967294" count="1">
            <x v="3"/>
          </reference>
        </references>
      </pivotArea>
    </format>
    <format dxfId="706">
      <pivotArea outline="0" collapsedLevelsAreSubtotals="1" fieldPosition="0">
        <references count="1">
          <reference field="4294967294" count="1" selected="0">
            <x v="3"/>
          </reference>
        </references>
      </pivotArea>
    </format>
    <format dxfId="705">
      <pivotArea dataOnly="0" labelOnly="1" outline="0" fieldPosition="0">
        <references count="1">
          <reference field="4294967294" count="1">
            <x v="3"/>
          </reference>
        </references>
      </pivotArea>
    </format>
    <format dxfId="704">
      <pivotArea outline="0" collapsedLevelsAreSubtotals="1" fieldPosition="0">
        <references count="1">
          <reference field="4294967294" count="1" selected="0">
            <x v="0"/>
          </reference>
        </references>
      </pivotArea>
    </format>
    <format dxfId="703">
      <pivotArea dataOnly="0" labelOnly="1" outline="0" fieldPosition="0">
        <references count="1">
          <reference field="4294967294" count="1">
            <x v="0"/>
          </reference>
        </references>
      </pivotArea>
    </format>
    <format dxfId="702">
      <pivotArea outline="0" collapsedLevelsAreSubtotals="1" fieldPosition="0">
        <references count="1">
          <reference field="4294967294" count="1" selected="0">
            <x v="0"/>
          </reference>
        </references>
      </pivotArea>
    </format>
    <format dxfId="701">
      <pivotArea dataOnly="0" labelOnly="1" outline="0" fieldPosition="0">
        <references count="1">
          <reference field="4294967294" count="1">
            <x v="0"/>
          </reference>
        </references>
      </pivotArea>
    </format>
    <format dxfId="700">
      <pivotArea dataOnly="0" labelOnly="1" outline="0" fieldPosition="0">
        <references count="1">
          <reference field="4294967294" count="4">
            <x v="0"/>
            <x v="1"/>
            <x v="2"/>
            <x v="3"/>
          </reference>
        </references>
      </pivotArea>
    </format>
    <format dxfId="699">
      <pivotArea dataOnly="0" labelOnly="1" outline="0" fieldPosition="0">
        <references count="1">
          <reference field="4294967294" count="4">
            <x v="0"/>
            <x v="1"/>
            <x v="2"/>
            <x v="3"/>
          </reference>
        </references>
      </pivotArea>
    </format>
    <format dxfId="698">
      <pivotArea dataOnly="0" labelOnly="1" outline="0" fieldPosition="0">
        <references count="1">
          <reference field="4294967294" count="1">
            <x v="7"/>
          </reference>
        </references>
      </pivotArea>
    </format>
    <format dxfId="697">
      <pivotArea dataOnly="0" labelOnly="1" outline="0" fieldPosition="0">
        <references count="1">
          <reference field="4294967294" count="1">
            <x v="7"/>
          </reference>
        </references>
      </pivotArea>
    </format>
    <format dxfId="696">
      <pivotArea dataOnly="0" labelOnly="1" outline="0" fieldPosition="0">
        <references count="1">
          <reference field="4294967294" count="1">
            <x v="9"/>
          </reference>
        </references>
      </pivotArea>
    </format>
    <format dxfId="695">
      <pivotArea outline="0" collapsedLevelsAreSubtotals="1" fieldPosition="0">
        <references count="1">
          <reference field="4294967294" count="2" selected="0">
            <x v="7"/>
            <x v="9"/>
          </reference>
        </references>
      </pivotArea>
    </format>
    <format dxfId="694">
      <pivotArea dataOnly="0" labelOnly="1" outline="0" fieldPosition="0">
        <references count="1">
          <reference field="4294967294" count="1">
            <x v="8"/>
          </reference>
        </references>
      </pivotArea>
    </format>
    <format dxfId="693">
      <pivotArea collapsedLevelsAreSubtotals="1" fieldPosition="0">
        <references count="2">
          <reference field="4294967294" count="1" selected="0">
            <x v="8"/>
          </reference>
          <reference field="4" count="1">
            <x v="0"/>
          </reference>
        </references>
      </pivotArea>
    </format>
    <format dxfId="692">
      <pivotArea outline="0" collapsedLevelsAreSubtotals="1" fieldPosition="0">
        <references count="1">
          <reference field="4294967294" count="3" selected="0">
            <x v="7"/>
            <x v="8"/>
            <x v="9"/>
          </reference>
        </references>
      </pivotArea>
    </format>
    <format dxfId="691">
      <pivotArea dataOnly="0" labelOnly="1" outline="0" fieldPosition="0">
        <references count="1">
          <reference field="4294967294" count="3">
            <x v="7"/>
            <x v="8"/>
            <x v="9"/>
          </reference>
        </references>
      </pivotArea>
    </format>
    <format dxfId="690">
      <pivotArea outline="0" collapsedLevelsAreSubtotals="1" fieldPosition="0">
        <references count="1">
          <reference field="4294967294" count="3" selected="0">
            <x v="7"/>
            <x v="8"/>
            <x v="9"/>
          </reference>
        </references>
      </pivotArea>
    </format>
    <format dxfId="689">
      <pivotArea dataOnly="0" labelOnly="1" outline="0" fieldPosition="0">
        <references count="1">
          <reference field="4294967294" count="3">
            <x v="7"/>
            <x v="8"/>
            <x v="9"/>
          </reference>
        </references>
      </pivotArea>
    </format>
    <format dxfId="688">
      <pivotArea outline="0" collapsedLevelsAreSubtotals="1" fieldPosition="0">
        <references count="1">
          <reference field="4294967294" count="1" selected="0">
            <x v="4"/>
          </reference>
        </references>
      </pivotArea>
    </format>
    <format dxfId="687">
      <pivotArea dataOnly="0" labelOnly="1" outline="0" fieldPosition="0">
        <references count="1">
          <reference field="4294967294" count="1">
            <x v="4"/>
          </reference>
        </references>
      </pivotArea>
    </format>
    <format dxfId="686">
      <pivotArea outline="0" collapsedLevelsAreSubtotals="1" fieldPosition="0">
        <references count="1">
          <reference field="4294967294" count="1" selected="0">
            <x v="5"/>
          </reference>
        </references>
      </pivotArea>
    </format>
    <format dxfId="685">
      <pivotArea dataOnly="0" labelOnly="1" outline="0" fieldPosition="0">
        <references count="1">
          <reference field="4294967294" count="1">
            <x v="5"/>
          </reference>
        </references>
      </pivotArea>
    </format>
    <format dxfId="684">
      <pivotArea dataOnly="0" outline="0" fieldPosition="0">
        <references count="2">
          <reference field="4" count="0" defaultSubtotal="1"/>
          <reference field="146" count="1" selected="0">
            <x v="0"/>
          </reference>
        </references>
      </pivotArea>
    </format>
    <format dxfId="683">
      <pivotArea dataOnly="0" labelOnly="1" outline="0" fieldPosition="0">
        <references count="1">
          <reference field="4294967294" count="10">
            <x v="0"/>
            <x v="1"/>
            <x v="2"/>
            <x v="3"/>
            <x v="4"/>
            <x v="5"/>
            <x v="7"/>
            <x v="8"/>
            <x v="9"/>
            <x v="12"/>
          </reference>
        </references>
      </pivotArea>
    </format>
    <format dxfId="682">
      <pivotArea dataOnly="0" labelOnly="1" outline="0" fieldPosition="0">
        <references count="1">
          <reference field="4294967294" count="10">
            <x v="0"/>
            <x v="1"/>
            <x v="2"/>
            <x v="3"/>
            <x v="4"/>
            <x v="5"/>
            <x v="7"/>
            <x v="8"/>
            <x v="9"/>
            <x v="12"/>
          </reference>
        </references>
      </pivotArea>
    </format>
    <format dxfId="681">
      <pivotArea dataOnly="0" labelOnly="1" outline="0" fieldPosition="0">
        <references count="1">
          <reference field="4294967294" count="10">
            <x v="0"/>
            <x v="1"/>
            <x v="2"/>
            <x v="3"/>
            <x v="4"/>
            <x v="5"/>
            <x v="7"/>
            <x v="8"/>
            <x v="9"/>
            <x v="12"/>
          </reference>
        </references>
      </pivotArea>
    </format>
    <format dxfId="680">
      <pivotArea outline="0" fieldPosition="0">
        <references count="1">
          <reference field="4294967294" count="3" selected="0">
            <x v="8"/>
            <x v="9"/>
            <x v="12"/>
          </reference>
        </references>
      </pivotArea>
    </format>
    <format dxfId="679">
      <pivotArea dataOnly="0" labelOnly="1" outline="0" fieldPosition="0">
        <references count="1">
          <reference field="4294967294" count="3">
            <x v="8"/>
            <x v="9"/>
            <x v="12"/>
          </reference>
        </references>
      </pivotArea>
    </format>
    <format dxfId="678">
      <pivotArea dataOnly="0" outline="0" fieldPosition="0">
        <references count="3">
          <reference field="4294967294" count="1">
            <x v="6"/>
          </reference>
          <reference field="4" count="1" selected="0">
            <x v="2"/>
          </reference>
          <reference field="146" count="1" selected="0">
            <x v="0"/>
          </reference>
        </references>
      </pivotArea>
    </format>
    <format dxfId="677">
      <pivotArea dataOnly="0" labelOnly="1" outline="0" fieldPosition="0">
        <references count="1">
          <reference field="4294967294" count="1">
            <x v="6"/>
          </reference>
        </references>
      </pivotArea>
    </format>
    <format dxfId="676">
      <pivotArea dataOnly="0" labelOnly="1" outline="0" fieldPosition="0">
        <references count="1">
          <reference field="4294967294" count="1">
            <x v="10"/>
          </reference>
        </references>
      </pivotArea>
    </format>
    <format dxfId="675">
      <pivotArea dataOnly="0" labelOnly="1" outline="0" fieldPosition="0">
        <references count="1">
          <reference field="4294967294" count="1">
            <x v="11"/>
          </reference>
        </references>
      </pivotArea>
    </format>
    <format dxfId="674">
      <pivotArea dataOnly="0" labelOnly="1" outline="0" fieldPosition="0">
        <references count="1">
          <reference field="4294967294" count="1">
            <x v="13"/>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12" applyNumberFormats="0" applyBorderFormats="0" applyFontFormats="0" applyPatternFormats="0" applyAlignmentFormats="0" applyWidthHeightFormats="1" dataCaption="Values" updatedVersion="7" minRefreshableVersion="3" useAutoFormatting="1" itemPrintTitles="1" createdVersion="5" indent="0" compact="0" compactData="0" multipleFieldFilters="0" chartFormat="8">
  <location ref="A38:E227" firstHeaderRow="0" firstDataRow="1" firstDataCol="1" rowPageCount="3" colPageCount="1"/>
  <pivotFields count="160">
    <pivotField axis="axisPage" compact="0" outline="0" showAll="0">
      <items count="29">
        <item m="1" x="25"/>
        <item m="1" x="26"/>
        <item m="1" x="12"/>
        <item m="1" x="27"/>
        <item m="1" x="19"/>
        <item m="1" x="7"/>
        <item m="1" x="2"/>
        <item m="1" x="21"/>
        <item m="1" x="23"/>
        <item m="1" x="24"/>
        <item m="1" x="15"/>
        <item m="1" x="17"/>
        <item m="1" x="20"/>
        <item m="1" x="22"/>
        <item m="1" x="10"/>
        <item m="1" x="13"/>
        <item m="1" x="16"/>
        <item m="1" x="18"/>
        <item m="1" x="5"/>
        <item m="1" x="8"/>
        <item m="1" x="11"/>
        <item m="1" x="14"/>
        <item m="1" x="3"/>
        <item m="1" x="4"/>
        <item m="1" x="6"/>
        <item m="1" x="9"/>
        <item x="0"/>
        <item x="1"/>
        <item t="default"/>
      </items>
    </pivotField>
    <pivotField compact="0" outline="0" showAll="0" defaultSubtotal="0"/>
    <pivotField compact="0" outline="0" showAll="0" defaultSubtotal="0">
      <items count="82">
        <item m="1" x="50"/>
        <item m="1" x="68"/>
        <item m="1" x="70"/>
        <item m="1" x="61"/>
        <item m="1" x="80"/>
        <item m="1" x="31"/>
        <item m="1" x="51"/>
        <item m="1" x="62"/>
        <item x="2"/>
        <item x="3"/>
        <item x="25"/>
        <item x="5"/>
        <item x="24"/>
        <item x="22"/>
        <item m="1" x="56"/>
        <item x="4"/>
        <item m="1" x="52"/>
        <item x="23"/>
        <item m="1" x="63"/>
        <item m="1" x="45"/>
        <item m="1" x="49"/>
        <item x="20"/>
        <item x="26"/>
        <item x="21"/>
        <item x="27"/>
        <item x="6"/>
        <item m="1" x="35"/>
        <item m="1" x="69"/>
        <item m="1" x="47"/>
        <item m="1" x="37"/>
        <item m="1" x="76"/>
        <item x="0"/>
        <item x="1"/>
        <item x="7"/>
        <item x="8"/>
        <item x="9"/>
        <item m="1" x="75"/>
        <item m="1" x="67"/>
        <item x="10"/>
        <item x="18"/>
        <item x="17"/>
        <item m="1" x="79"/>
        <item m="1" x="39"/>
        <item m="1" x="33"/>
        <item m="1" x="53"/>
        <item m="1" x="59"/>
        <item m="1" x="58"/>
        <item m="1" x="44"/>
        <item m="1" x="81"/>
        <item m="1" x="36"/>
        <item m="1" x="60"/>
        <item m="1" x="34"/>
        <item x="11"/>
        <item m="1" x="42"/>
        <item m="1" x="41"/>
        <item m="1" x="38"/>
        <item m="1" x="65"/>
        <item m="1" x="71"/>
        <item m="1" x="32"/>
        <item m="1" x="78"/>
        <item m="1" x="66"/>
        <item x="29"/>
        <item m="1" x="77"/>
        <item m="1" x="73"/>
        <item x="12"/>
        <item m="1" x="46"/>
        <item x="16"/>
        <item x="13"/>
        <item m="1" x="40"/>
        <item x="19"/>
        <item m="1" x="64"/>
        <item m="1" x="72"/>
        <item x="14"/>
        <item m="1" x="48"/>
        <item x="28"/>
        <item m="1" x="55"/>
        <item m="1" x="54"/>
        <item m="1" x="74"/>
        <item m="1" x="57"/>
        <item x="15"/>
        <item m="1" x="43"/>
        <item m="1" x="30"/>
      </items>
    </pivotField>
    <pivotField compact="0" outline="0" showAll="0"/>
    <pivotField axis="axisPage" compact="0" outline="0" showAll="0">
      <items count="7">
        <item x="1"/>
        <item m="1" x="4"/>
        <item x="0"/>
        <item m="1" x="2"/>
        <item m="1" x="3"/>
        <item m="1" x="5"/>
        <item t="default"/>
      </items>
    </pivotField>
    <pivotField axis="axisPage" compact="0" outline="0" showAll="0">
      <items count="49">
        <item m="1" x="32"/>
        <item x="15"/>
        <item m="1" x="45"/>
        <item x="5"/>
        <item x="6"/>
        <item x="16"/>
        <item x="0"/>
        <item x="17"/>
        <item m="1" x="40"/>
        <item m="1" x="27"/>
        <item x="1"/>
        <item m="1" x="43"/>
        <item x="7"/>
        <item x="19"/>
        <item m="1" x="38"/>
        <item m="1" x="31"/>
        <item x="8"/>
        <item x="9"/>
        <item x="4"/>
        <item m="1" x="44"/>
        <item x="2"/>
        <item m="1" x="35"/>
        <item x="10"/>
        <item x="20"/>
        <item x="21"/>
        <item m="1" x="29"/>
        <item m="1" x="33"/>
        <item m="1" x="39"/>
        <item m="1" x="36"/>
        <item m="1" x="46"/>
        <item m="1" x="42"/>
        <item x="11"/>
        <item m="1" x="41"/>
        <item x="12"/>
        <item x="13"/>
        <item x="14"/>
        <item m="1" x="34"/>
        <item m="1" x="26"/>
        <item m="1" x="28"/>
        <item m="1" x="25"/>
        <item m="1" x="37"/>
        <item x="3"/>
        <item m="1" x="30"/>
        <item x="18"/>
        <item x="22"/>
        <item m="1" x="47"/>
        <item x="23"/>
        <item x="24"/>
        <item t="default"/>
      </items>
    </pivotField>
    <pivotField compact="0" outline="0" showAll="0" defaultSubtotal="0">
      <items count="15">
        <item x="0"/>
        <item m="1" x="12"/>
        <item x="2"/>
        <item x="1"/>
        <item m="1" x="11"/>
        <item m="1" x="9"/>
        <item x="3"/>
        <item m="1" x="4"/>
        <item m="1" x="5"/>
        <item m="1" x="7"/>
        <item m="1" x="6"/>
        <item m="1" x="13"/>
        <item m="1" x="10"/>
        <item m="1" x="14"/>
        <item m="1" x="8"/>
      </items>
    </pivotField>
    <pivotField axis="axisRow" compact="0" outline="0" showAll="0">
      <items count="1103">
        <item m="1" x="762"/>
        <item m="1" x="1058"/>
        <item x="199"/>
        <item x="174"/>
        <item x="175"/>
        <item x="47"/>
        <item m="1" x="382"/>
        <item m="1" x="632"/>
        <item m="1" x="294"/>
        <item m="1" x="337"/>
        <item m="1" x="606"/>
        <item m="1" x="724"/>
        <item m="1" x="738"/>
        <item m="1" x="511"/>
        <item m="1" x="339"/>
        <item m="1" x="1007"/>
        <item m="1" x="911"/>
        <item m="1" x="351"/>
        <item m="1" x="787"/>
        <item m="1" x="567"/>
        <item m="1" x="949"/>
        <item m="1" x="889"/>
        <item m="1" x="972"/>
        <item m="1" x="994"/>
        <item m="1" x="420"/>
        <item m="1" x="866"/>
        <item m="1" x="455"/>
        <item m="1" x="472"/>
        <item m="1" x="470"/>
        <item m="1" x="378"/>
        <item x="70"/>
        <item m="1" x="1045"/>
        <item m="1" x="1087"/>
        <item m="1" x="798"/>
        <item m="1" x="523"/>
        <item m="1" x="407"/>
        <item x="176"/>
        <item m="1" x="456"/>
        <item m="1" x="947"/>
        <item m="1" x="900"/>
        <item m="1" x="964"/>
        <item m="1" x="283"/>
        <item m="1" x="393"/>
        <item m="1" x="619"/>
        <item m="1" x="859"/>
        <item m="1" x="860"/>
        <item m="1" x="615"/>
        <item m="1" x="589"/>
        <item m="1" x="450"/>
        <item x="67"/>
        <item m="1" x="1081"/>
        <item m="1" x="1035"/>
        <item m="1" x="795"/>
        <item x="209"/>
        <item m="1" x="1001"/>
        <item m="1" x="785"/>
        <item m="1" x="817"/>
        <item m="1" x="256"/>
        <item m="1" x="279"/>
        <item x="177"/>
        <item m="1" x="974"/>
        <item m="1" x="492"/>
        <item m="1" x="405"/>
        <item m="1" x="488"/>
        <item x="172"/>
        <item m="1" x="682"/>
        <item m="1" x="848"/>
        <item m="1" x="236"/>
        <item m="1" x="791"/>
        <item m="1" x="1038"/>
        <item m="1" x="705"/>
        <item m="1" x="284"/>
        <item m="1" x="424"/>
        <item m="1" x="967"/>
        <item x="178"/>
        <item m="1" x="899"/>
        <item m="1" x="621"/>
        <item m="1" x="512"/>
        <item m="1" x="1005"/>
        <item m="1" x="678"/>
        <item m="1" x="439"/>
        <item x="19"/>
        <item m="1" x="868"/>
        <item x="58"/>
        <item m="1" x="1022"/>
        <item m="1" x="380"/>
        <item m="1" x="1043"/>
        <item m="1" x="753"/>
        <item m="1" x="629"/>
        <item m="1" x="659"/>
        <item m="1" x="927"/>
        <item m="1" x="286"/>
        <item m="1" x="821"/>
        <item m="1" x="746"/>
        <item m="1" x="1020"/>
        <item m="1" x="961"/>
        <item m="1" x="812"/>
        <item m="1" x="663"/>
        <item m="1" x="697"/>
        <item m="1" x="254"/>
        <item x="208"/>
        <item x="192"/>
        <item x="42"/>
        <item m="1" x="347"/>
        <item m="1" x="243"/>
        <item m="1" x="654"/>
        <item x="7"/>
        <item m="1" x="556"/>
        <item m="1" x="624"/>
        <item m="1" x="513"/>
        <item m="1" x="272"/>
        <item x="3"/>
        <item m="1" x="777"/>
        <item x="179"/>
        <item m="1" x="514"/>
        <item m="1" x="783"/>
        <item x="6"/>
        <item m="1" x="267"/>
        <item x="79"/>
        <item x="71"/>
        <item x="86"/>
        <item m="1" x="793"/>
        <item m="1" x="481"/>
        <item m="1" x="308"/>
        <item m="1" x="760"/>
        <item m="1" x="422"/>
        <item x="20"/>
        <item x="59"/>
        <item x="17"/>
        <item m="1" x="718"/>
        <item m="1" x="1053"/>
        <item m="1" x="1097"/>
        <item m="1" x="990"/>
        <item x="48"/>
        <item m="1" x="687"/>
        <item m="1" x="679"/>
        <item m="1" x="902"/>
        <item m="1" x="435"/>
        <item m="1" x="383"/>
        <item m="1" x="429"/>
        <item m="1" x="665"/>
        <item m="1" x="826"/>
        <item m="1" x="1012"/>
        <item m="1" x="778"/>
        <item m="1" x="303"/>
        <item m="1" x="933"/>
        <item m="1" x="532"/>
        <item m="1" x="641"/>
        <item m="1" x="463"/>
        <item m="1" x="594"/>
        <item x="81"/>
        <item m="1" x="537"/>
        <item m="1" x="1089"/>
        <item m="1" x="781"/>
        <item m="1" x="406"/>
        <item m="1" x="498"/>
        <item m="1" x="788"/>
        <item m="1" x="541"/>
        <item m="1" x="323"/>
        <item m="1" x="408"/>
        <item m="1" x="336"/>
        <item m="1" x="794"/>
        <item m="1" x="1040"/>
        <item x="96"/>
        <item x="97"/>
        <item m="1" x="1061"/>
        <item m="1" x="636"/>
        <item m="1" x="328"/>
        <item m="1" x="808"/>
        <item m="1" x="366"/>
        <item m="1" x="865"/>
        <item m="1" x="364"/>
        <item m="1" x="414"/>
        <item m="1" x="671"/>
        <item m="1" x="1075"/>
        <item m="1" x="1091"/>
        <item m="1" x="346"/>
        <item m="1" x="304"/>
        <item m="1" x="400"/>
        <item m="1" x="822"/>
        <item m="1" x="434"/>
        <item m="1" x="507"/>
        <item m="1" x="895"/>
        <item m="1" x="354"/>
        <item m="1" x="973"/>
        <item m="1" x="1011"/>
        <item m="1" x="349"/>
        <item m="1" x="622"/>
        <item m="1" x="976"/>
        <item m="1" x="421"/>
        <item m="1" x="292"/>
        <item x="119"/>
        <item m="1" x="741"/>
        <item m="1" x="239"/>
        <item x="11"/>
        <item m="1" x="960"/>
        <item m="1" x="674"/>
        <item m="1" x="484"/>
        <item m="1" x="427"/>
        <item x="18"/>
        <item m="1" x="966"/>
        <item x="210"/>
        <item m="1" x="306"/>
        <item m="1" x="721"/>
        <item m="1" x="944"/>
        <item m="1" x="857"/>
        <item x="180"/>
        <item x="21"/>
        <item x="38"/>
        <item m="1" x="1099"/>
        <item m="1" x="285"/>
        <item m="1" x="227"/>
        <item m="1" x="918"/>
        <item m="1" x="558"/>
        <item m="1" x="280"/>
        <item m="1" x="763"/>
        <item m="1" x="518"/>
        <item x="173"/>
        <item m="1" x="547"/>
        <item m="1" x="660"/>
        <item x="181"/>
        <item x="182"/>
        <item x="125"/>
        <item x="120"/>
        <item x="202"/>
        <item x="82"/>
        <item x="203"/>
        <item m="1" x="358"/>
        <item m="1" x="296"/>
        <item m="1" x="343"/>
        <item m="1" x="772"/>
        <item m="1" x="884"/>
        <item m="1" x="928"/>
        <item m="1" x="922"/>
        <item x="32"/>
        <item x="43"/>
        <item m="1" x="444"/>
        <item x="193"/>
        <item x="68"/>
        <item x="33"/>
        <item x="34"/>
        <item x="10"/>
        <item x="55"/>
        <item m="1" x="950"/>
        <item x="22"/>
        <item x="83"/>
        <item x="204"/>
        <item x="39"/>
        <item x="0"/>
        <item x="99"/>
        <item m="1" x="588"/>
        <item x="73"/>
        <item x="74"/>
        <item x="75"/>
        <item x="76"/>
        <item m="1" x="735"/>
        <item m="1" x="228"/>
        <item m="1" x="386"/>
        <item x="113"/>
        <item x="122"/>
        <item m="1" x="238"/>
        <item x="78"/>
        <item m="1" x="646"/>
        <item m="1" x="293"/>
        <item m="1" x="975"/>
        <item m="1" x="348"/>
        <item x="187"/>
        <item x="188"/>
        <item m="1" x="270"/>
        <item m="1" x="333"/>
        <item m="1" x="946"/>
        <item x="128"/>
        <item m="1" x="447"/>
        <item m="1" x="536"/>
        <item m="1" x="345"/>
        <item m="1" x="355"/>
        <item m="1" x="505"/>
        <item m="1" x="365"/>
        <item m="1" x="1063"/>
        <item m="1" x="1046"/>
        <item m="1" x="784"/>
        <item m="1" x="289"/>
        <item m="1" x="593"/>
        <item x="84"/>
        <item m="1" x="796"/>
        <item m="1" x="744"/>
        <item x="101"/>
        <item m="1" x="833"/>
        <item m="1" x="402"/>
        <item m="1" x="617"/>
        <item m="1" x="692"/>
        <item m="1" x="302"/>
        <item m="1" x="898"/>
        <item m="1" x="578"/>
        <item x="8"/>
        <item m="1" x="504"/>
        <item m="1" x="694"/>
        <item m="1" x="1026"/>
        <item m="1" x="524"/>
        <item m="1" x="416"/>
        <item m="1" x="530"/>
        <item x="123"/>
        <item x="116"/>
        <item x="117"/>
        <item x="124"/>
        <item m="1" x="715"/>
        <item x="102"/>
        <item m="1" x="425"/>
        <item x="183"/>
        <item x="90"/>
        <item x="121"/>
        <item m="1" x="438"/>
        <item m="1" x="893"/>
        <item x="61"/>
        <item m="1" x="849"/>
        <item m="1" x="1018"/>
        <item x="54"/>
        <item m="1" x="313"/>
        <item m="1" x="566"/>
        <item m="1" x="905"/>
        <item x="15"/>
        <item m="1" x="417"/>
        <item m="1" x="982"/>
        <item m="1" x="324"/>
        <item x="195"/>
        <item x="16"/>
        <item m="1" x="230"/>
        <item x="29"/>
        <item x="104"/>
        <item m="1" x="599"/>
        <item m="1" x="879"/>
        <item m="1" x="710"/>
        <item m="1" x="373"/>
        <item m="1" x="639"/>
        <item m="1" x="971"/>
        <item m="1" x="403"/>
        <item m="1" x="527"/>
        <item m="1" x="395"/>
        <item m="1" x="522"/>
        <item m="1" x="381"/>
        <item m="1" x="441"/>
        <item m="1" x="998"/>
        <item x="211"/>
        <item m="1" x="374"/>
        <item m="1" x="322"/>
        <item x="23"/>
        <item m="1" x="391"/>
        <item m="1" x="627"/>
        <item m="1" x="608"/>
        <item m="1" x="909"/>
        <item x="205"/>
        <item m="1" x="564"/>
        <item m="1" x="309"/>
        <item m="1" x="464"/>
        <item m="1" x="655"/>
        <item m="1" x="540"/>
        <item m="1" x="305"/>
        <item m="1" x="913"/>
        <item m="1" x="565"/>
        <item m="1" x="769"/>
        <item m="1" x="410"/>
        <item m="1" x="493"/>
        <item m="1" x="941"/>
        <item m="1" x="1006"/>
        <item m="1" x="409"/>
        <item x="62"/>
        <item x="212"/>
        <item m="1" x="851"/>
        <item x="44"/>
        <item m="1" x="809"/>
        <item m="1" x="418"/>
        <item m="1" x="603"/>
        <item x="105"/>
        <item m="1" x="247"/>
        <item m="1" x="220"/>
        <item m="1" x="1056"/>
        <item m="1" x="844"/>
        <item m="1" x="923"/>
        <item m="1" x="525"/>
        <item m="1" x="1079"/>
        <item x="72"/>
        <item m="1" x="553"/>
        <item m="1" x="708"/>
        <item m="1" x="611"/>
        <item m="1" x="584"/>
        <item m="1" x="426"/>
        <item m="1" x="465"/>
        <item m="1" x="732"/>
        <item m="1" x="396"/>
        <item m="1" x="273"/>
        <item m="1" x="502"/>
        <item m="1" x="872"/>
        <item m="1" x="626"/>
        <item m="1" x="1030"/>
        <item m="1" x="631"/>
        <item m="1" x="520"/>
        <item m="1" x="664"/>
        <item m="1" x="1039"/>
        <item m="1" x="249"/>
        <item x="196"/>
        <item x="35"/>
        <item m="1" x="698"/>
        <item m="1" x="316"/>
        <item m="1" x="737"/>
        <item m="1" x="1029"/>
        <item m="1" x="376"/>
        <item m="1" x="473"/>
        <item m="1" x="223"/>
        <item m="1" x="361"/>
        <item x="184"/>
        <item m="1" x="823"/>
        <item x="201"/>
        <item m="1" x="559"/>
        <item m="1" x="618"/>
        <item m="1" x="232"/>
        <item m="1" x="612"/>
        <item x="30"/>
        <item m="1" x="651"/>
        <item m="1" x="1031"/>
        <item m="1" x="1023"/>
        <item m="1" x="497"/>
        <item x="51"/>
        <item m="1" x="824"/>
        <item m="1" x="870"/>
        <item m="1" x="706"/>
        <item m="1" x="861"/>
        <item m="1" x="896"/>
        <item m="1" x="570"/>
        <item m="1" x="926"/>
        <item m="1" x="728"/>
        <item m="1" x="908"/>
        <item m="1" x="912"/>
        <item x="206"/>
        <item m="1" x="224"/>
        <item m="1" x="315"/>
        <item m="1" x="568"/>
        <item x="45"/>
        <item m="1" x="1094"/>
        <item x="9"/>
        <item m="1" x="707"/>
        <item m="1" x="573"/>
        <item m="1" x="1070"/>
        <item x="40"/>
        <item x="190"/>
        <item m="1" x="320"/>
        <item x="36"/>
        <item x="50"/>
        <item x="85"/>
        <item m="1" x="711"/>
        <item m="1" x="544"/>
        <item m="1" x="843"/>
        <item m="1" x="677"/>
        <item x="41"/>
        <item m="1" x="252"/>
        <item m="1" x="952"/>
        <item m="1" x="869"/>
        <item m="1" x="259"/>
        <item m="1" x="959"/>
        <item m="1" x="867"/>
        <item m="1" x="509"/>
        <item m="1" x="437"/>
        <item m="1" x="814"/>
        <item m="1" x="590"/>
        <item m="1" x="881"/>
        <item m="1" x="700"/>
        <item m="1" x="597"/>
        <item m="1" x="883"/>
        <item m="1" x="936"/>
        <item m="1" x="850"/>
        <item m="1" x="297"/>
        <item m="1" x="1017"/>
        <item m="1" x="939"/>
        <item m="1" x="803"/>
        <item m="1" x="890"/>
        <item x="66"/>
        <item m="1" x="225"/>
        <item m="1" x="516"/>
        <item x="24"/>
        <item x="191"/>
        <item m="1" x="534"/>
        <item x="25"/>
        <item x="26"/>
        <item m="1" x="359"/>
        <item m="1" x="776"/>
        <item m="1" x="709"/>
        <item m="1" x="771"/>
        <item m="1" x="789"/>
        <item m="1" x="598"/>
        <item m="1" x="250"/>
        <item m="1" x="1068"/>
        <item m="1" x="827"/>
        <item m="1" x="1074"/>
        <item m="1" x="845"/>
        <item m="1" x="970"/>
        <item m="1" x="748"/>
        <item m="1" x="1092"/>
        <item m="1" x="1050"/>
        <item m="1" x="739"/>
        <item m="1" x="506"/>
        <item m="1" x="415"/>
        <item m="1" x="264"/>
        <item m="1" x="1028"/>
        <item m="1" x="574"/>
        <item m="1" x="592"/>
        <item m="1" x="801"/>
        <item m="1" x="1100"/>
        <item m="1" x="643"/>
        <item m="1" x="943"/>
        <item m="1" x="295"/>
        <item x="197"/>
        <item m="1" x="719"/>
        <item m="1" x="1036"/>
        <item m="1" x="1062"/>
        <item m="1" x="1037"/>
        <item m="1" x="543"/>
        <item m="1" x="460"/>
        <item m="1" x="413"/>
        <item m="1" x="262"/>
        <item m="1" x="411"/>
        <item m="1" x="237"/>
        <item m="1" x="222"/>
        <item m="1" x="880"/>
        <item m="1" x="428"/>
        <item m="1" x="370"/>
        <item m="1" x="805"/>
        <item m="1" x="997"/>
        <item m="1" x="360"/>
        <item m="1" x="1088"/>
        <item m="1" x="545"/>
        <item m="1" x="780"/>
        <item x="91"/>
        <item m="1" x="326"/>
        <item m="1" x="874"/>
        <item m="1" x="363"/>
        <item m="1" x="864"/>
        <item m="1" x="640"/>
        <item m="1" x="887"/>
        <item m="1" x="466"/>
        <item x="198"/>
        <item m="1" x="834"/>
        <item x="185"/>
        <item m="1" x="1052"/>
        <item m="1" x="986"/>
        <item m="1" x="924"/>
        <item x="87"/>
        <item x="88"/>
        <item x="89"/>
        <item m="1" x="810"/>
        <item m="1" x="517"/>
        <item m="1" x="609"/>
        <item m="1" x="929"/>
        <item m="1" x="745"/>
        <item m="1" x="605"/>
        <item m="1" x="1098"/>
        <item m="1" x="1083"/>
        <item x="186"/>
        <item m="1" x="650"/>
        <item m="1" x="266"/>
        <item m="1" x="897"/>
        <item m="1" x="915"/>
        <item m="1" x="916"/>
        <item m="1" x="989"/>
        <item m="1" x="335"/>
        <item m="1" x="637"/>
        <item m="1" x="445"/>
        <item m="1" x="446"/>
        <item m="1" x="1060"/>
        <item m="1" x="1002"/>
        <item m="1" x="984"/>
        <item m="1" x="633"/>
        <item m="1" x="1044"/>
        <item m="1" x="560"/>
        <item m="1" x="754"/>
        <item m="1" x="934"/>
        <item m="1" x="271"/>
        <item m="1" x="489"/>
        <item m="1" x="291"/>
        <item m="1" x="750"/>
        <item m="1" x="691"/>
        <item m="1" x="722"/>
        <item x="106"/>
        <item m="1" x="786"/>
        <item m="1" x="987"/>
        <item m="1" x="329"/>
        <item m="1" x="613"/>
        <item x="134"/>
        <item m="1" x="325"/>
        <item m="1" x="1072"/>
        <item m="1" x="683"/>
        <item m="1" x="816"/>
        <item m="1" x="768"/>
        <item x="149"/>
        <item m="1" x="298"/>
        <item x="52"/>
        <item x="60"/>
        <item m="1" x="675"/>
        <item m="1" x="508"/>
        <item m="1" x="274"/>
        <item m="1" x="1077"/>
        <item m="1" x="836"/>
        <item m="1" x="394"/>
        <item m="1" x="734"/>
        <item m="1" x="638"/>
        <item m="1" x="1096"/>
        <item m="1" x="1014"/>
        <item m="1" x="580"/>
        <item m="1" x="467"/>
        <item m="1" x="557"/>
        <item m="1" x="312"/>
        <item m="1" x="968"/>
        <item m="1" x="764"/>
        <item m="1" x="1054"/>
        <item m="1" x="231"/>
        <item m="1" x="815"/>
        <item x="28"/>
        <item x="53"/>
        <item m="1" x="453"/>
        <item m="1" x="288"/>
        <item m="1" x="440"/>
        <item m="1" x="317"/>
        <item m="1" x="442"/>
        <item m="1" x="720"/>
        <item m="1" x="1051"/>
        <item m="1" x="616"/>
        <item m="1" x="761"/>
        <item m="1" x="601"/>
        <item m="1" x="882"/>
        <item m="1" x="852"/>
        <item m="1" x="500"/>
        <item m="1" x="980"/>
        <item m="1" x="610"/>
        <item m="1" x="726"/>
        <item m="1" x="839"/>
        <item m="1" x="443"/>
        <item m="1" x="327"/>
        <item m="1" x="1095"/>
        <item m="1" x="301"/>
        <item m="1" x="846"/>
        <item m="1" x="1086"/>
        <item m="1" x="1016"/>
        <item m="1" x="1084"/>
        <item m="1" x="1048"/>
        <item m="1" x="476"/>
        <item m="1" x="423"/>
        <item m="1" x="644"/>
        <item m="1" x="526"/>
        <item m="1" x="1090"/>
        <item m="1" x="875"/>
        <item m="1" x="1010"/>
        <item m="1" x="278"/>
        <item m="1" x="549"/>
        <item m="1" x="469"/>
        <item m="1" x="287"/>
        <item m="1" x="747"/>
        <item m="1" x="676"/>
        <item m="1" x="962"/>
        <item m="1" x="432"/>
        <item m="1" x="528"/>
        <item m="1" x="712"/>
        <item m="1" x="634"/>
        <item m="1" x="979"/>
        <item m="1" x="662"/>
        <item m="1" x="486"/>
        <item m="1" x="1067"/>
        <item m="1" x="894"/>
        <item m="1" x="1066"/>
        <item m="1" x="1065"/>
        <item m="1" x="344"/>
        <item m="1" x="717"/>
        <item m="1" x="388"/>
        <item m="1" x="906"/>
        <item m="1" x="988"/>
        <item m="1" x="529"/>
        <item m="1" x="318"/>
        <item m="1" x="226"/>
        <item m="1" x="451"/>
        <item m="1" x="1024"/>
        <item m="1" x="430"/>
        <item m="1" x="555"/>
        <item m="1" x="1047"/>
        <item m="1" x="725"/>
        <item m="1" x="820"/>
        <item m="1" x="482"/>
        <item m="1" x="765"/>
        <item m="1" x="307"/>
        <item m="1" x="653"/>
        <item m="1" x="499"/>
        <item m="1" x="807"/>
        <item m="1" x="542"/>
        <item m="1" x="587"/>
        <item m="1" x="468"/>
        <item m="1" x="404"/>
        <item m="1" x="802"/>
        <item m="1" x="948"/>
        <item x="12"/>
        <item x="31"/>
        <item x="103"/>
        <item x="98"/>
        <item x="100"/>
        <item x="14"/>
        <item x="27"/>
        <item x="37"/>
        <item x="46"/>
        <item x="63"/>
        <item m="1" x="688"/>
        <item m="1" x="352"/>
        <item m="1" x="965"/>
        <item m="1" x="904"/>
        <item m="1" x="385"/>
        <item m="1" x="519"/>
        <item m="1" x="276"/>
        <item m="1" x="635"/>
        <item m="1" x="263"/>
        <item x="65"/>
        <item m="1" x="268"/>
        <item m="1" x="1027"/>
        <item m="1" x="471"/>
        <item m="1" x="704"/>
        <item m="1" x="713"/>
        <item m="1" x="277"/>
        <item m="1" x="871"/>
        <item x="93"/>
        <item x="95"/>
        <item m="1" x="647"/>
        <item m="1" x="596"/>
        <item m="1" x="384"/>
        <item m="1" x="368"/>
        <item m="1" x="938"/>
        <item m="1" x="461"/>
        <item m="1" x="449"/>
        <item m="1" x="932"/>
        <item m="1" x="436"/>
        <item m="1" x="940"/>
        <item m="1" x="478"/>
        <item m="1" x="229"/>
        <item m="1" x="1013"/>
        <item m="1" x="681"/>
        <item m="1" x="862"/>
        <item m="1" x="731"/>
        <item m="1" x="625"/>
        <item m="1" x="479"/>
        <item m="1" x="607"/>
        <item m="1" x="685"/>
        <item m="1" x="561"/>
        <item m="1" x="401"/>
        <item m="1" x="1057"/>
        <item m="1" x="379"/>
        <item m="1" x="485"/>
        <item m="1" x="1009"/>
        <item m="1" x="577"/>
        <item m="1" x="548"/>
        <item m="1" x="921"/>
        <item m="1" x="656"/>
        <item m="1" x="392"/>
        <item m="1" x="840"/>
        <item m="1" x="583"/>
        <item m="1" x="602"/>
        <item m="1" x="595"/>
        <item m="1" x="240"/>
        <item m="1" x="648"/>
        <item m="1" x="448"/>
        <item m="1" x="338"/>
        <item m="1" x="1085"/>
        <item m="1" x="642"/>
        <item m="1" x="341"/>
        <item m="1" x="942"/>
        <item m="1" x="600"/>
        <item m="1" x="628"/>
        <item m="1" x="260"/>
        <item m="1" x="367"/>
        <item m="1" x="888"/>
        <item m="1" x="569"/>
        <item m="1" x="684"/>
        <item m="1" x="269"/>
        <item m="1" x="670"/>
        <item m="1" x="800"/>
        <item m="1" x="369"/>
        <item m="1" x="475"/>
        <item m="1" x="387"/>
        <item m="1" x="495"/>
        <item m="1" x="483"/>
        <item m="1" x="319"/>
        <item m="1" x="999"/>
        <item m="1" x="863"/>
        <item m="1" x="652"/>
        <item m="1" x="248"/>
        <item m="1" x="751"/>
        <item m="1" x="963"/>
        <item m="1" x="842"/>
        <item m="1" x="585"/>
        <item m="1" x="620"/>
        <item m="1" x="767"/>
        <item m="1" x="398"/>
        <item m="1" x="901"/>
        <item m="1" x="690"/>
        <item m="1" x="604"/>
        <item m="1" x="841"/>
        <item m="1" x="806"/>
        <item m="1" x="775"/>
        <item m="1" x="742"/>
        <item m="1" x="978"/>
        <item m="1" x="756"/>
        <item m="1" x="255"/>
        <item m="1" x="241"/>
        <item m="1" x="390"/>
        <item m="1" x="770"/>
        <item m="1" x="431"/>
        <item m="1" x="755"/>
        <item m="1" x="958"/>
        <item m="1" x="452"/>
        <item m="1" x="399"/>
        <item m="1" x="757"/>
        <item m="1" x="730"/>
        <item m="1" x="494"/>
        <item m="1" x="490"/>
        <item m="1" x="957"/>
        <item m="1" x="521"/>
        <item m="1" x="829"/>
        <item m="1" x="752"/>
        <item m="1" x="985"/>
        <item m="1" x="1019"/>
        <item m="1" x="299"/>
        <item m="1" x="1071"/>
        <item m="1" x="703"/>
        <item m="1" x="538"/>
        <item m="1" x="925"/>
        <item m="1" x="310"/>
        <item m="1" x="991"/>
        <item m="1" x="837"/>
        <item m="1" x="535"/>
        <item m="1" x="510"/>
        <item m="1" x="491"/>
        <item m="1" x="552"/>
        <item m="1" x="903"/>
        <item m="1" x="487"/>
        <item m="1" x="235"/>
        <item m="1" x="993"/>
        <item m="1" x="919"/>
        <item m="1" x="668"/>
        <item m="1" x="579"/>
        <item m="1" x="953"/>
        <item m="1" x="645"/>
        <item m="1" x="614"/>
        <item m="1" x="321"/>
        <item m="1" x="562"/>
        <item m="1" x="689"/>
        <item m="1" x="661"/>
        <item m="1" x="667"/>
        <item m="1" x="246"/>
        <item m="1" x="332"/>
        <item m="1" x="474"/>
        <item m="1" x="397"/>
        <item m="1" x="917"/>
        <item m="1" x="920"/>
        <item m="1" x="853"/>
        <item m="1" x="876"/>
        <item m="1" x="462"/>
        <item m="1" x="1082"/>
        <item m="1" x="591"/>
        <item m="1" x="300"/>
        <item m="1" x="907"/>
        <item m="1" x="575"/>
        <item m="1" x="496"/>
        <item m="1" x="419"/>
        <item m="1" x="244"/>
        <item m="1" x="221"/>
        <item x="141"/>
        <item m="1" x="459"/>
        <item m="1" x="797"/>
        <item m="1" x="261"/>
        <item m="1" x="847"/>
        <item m="1" x="819"/>
        <item m="1" x="265"/>
        <item m="1" x="649"/>
        <item m="1" x="937"/>
        <item m="1" x="623"/>
        <item m="1" x="1032"/>
        <item m="1" x="877"/>
        <item m="1" x="977"/>
        <item m="1" x="669"/>
        <item m="1" x="275"/>
        <item m="1" x="954"/>
        <item m="1" x="832"/>
        <item m="1" x="858"/>
        <item m="1" x="433"/>
        <item m="1" x="582"/>
        <item m="1" x="892"/>
        <item m="1" x="554"/>
        <item m="1" x="935"/>
        <item m="1" x="377"/>
        <item m="1" x="723"/>
        <item m="1" x="477"/>
        <item m="1" x="314"/>
        <item m="1" x="792"/>
        <item m="1" x="811"/>
        <item m="1" x="630"/>
        <item m="1" x="701"/>
        <item m="1" x="702"/>
        <item m="1" x="696"/>
        <item m="1" x="983"/>
        <item m="1" x="389"/>
        <item m="1" x="995"/>
        <item m="1" x="1055"/>
        <item m="1" x="353"/>
        <item m="1" x="281"/>
        <item m="1" x="350"/>
        <item m="1" x="774"/>
        <item m="1" x="743"/>
        <item m="1" x="412"/>
        <item m="1" x="1000"/>
        <item m="1" x="835"/>
        <item m="1" x="234"/>
        <item m="1" x="342"/>
        <item m="1" x="956"/>
        <item m="1" x="586"/>
        <item m="1" x="838"/>
        <item m="1" x="818"/>
        <item m="1" x="799"/>
        <item m="1" x="680"/>
        <item m="1" x="571"/>
        <item m="1" x="546"/>
        <item m="1" x="258"/>
        <item m="1" x="371"/>
        <item m="1" x="969"/>
        <item m="1" x="1033"/>
        <item m="1" x="727"/>
        <item m="1" x="1078"/>
        <item m="1" x="290"/>
        <item m="1" x="766"/>
        <item m="1" x="830"/>
        <item m="1" x="1025"/>
        <item m="1" x="910"/>
        <item m="1" x="854"/>
        <item m="1" x="1042"/>
        <item m="1" x="804"/>
        <item m="1" x="699"/>
        <item m="1" x="356"/>
        <item m="1" x="733"/>
        <item m="1" x="931"/>
        <item m="1" x="1101"/>
        <item m="1" x="885"/>
        <item m="1" x="503"/>
        <item m="1" x="740"/>
        <item m="1" x="1073"/>
        <item m="1" x="686"/>
        <item m="1" x="551"/>
        <item m="1" x="673"/>
        <item m="1" x="581"/>
        <item m="1" x="1034"/>
        <item m="1" x="693"/>
        <item m="1" x="1008"/>
        <item m="1" x="758"/>
        <item m="1" x="454"/>
        <item m="1" x="331"/>
        <item m="1" x="233"/>
        <item m="1" x="1015"/>
        <item m="1" x="253"/>
        <item m="1" x="672"/>
        <item m="1" x="340"/>
        <item m="1" x="1003"/>
        <item m="1" x="1080"/>
        <item m="1" x="736"/>
        <item m="1" x="992"/>
        <item m="1" x="1069"/>
        <item m="1" x="695"/>
        <item m="1" x="981"/>
        <item m="1" x="362"/>
        <item m="1" x="951"/>
        <item m="1" x="245"/>
        <item m="1" x="790"/>
        <item m="1" x="501"/>
        <item m="1" x="563"/>
        <item m="1" x="1076"/>
        <item m="1" x="930"/>
        <item x="80"/>
        <item x="112"/>
        <item m="1" x="330"/>
        <item m="1" x="714"/>
        <item m="1" x="878"/>
        <item m="1" x="658"/>
        <item m="1" x="1093"/>
        <item m="1" x="782"/>
        <item m="1" x="1004"/>
        <item m="1" x="1049"/>
        <item m="1" x="873"/>
        <item m="1" x="480"/>
        <item m="1" x="1041"/>
        <item m="1" x="334"/>
        <item m="1" x="945"/>
        <item m="1" x="759"/>
        <item m="1" x="372"/>
        <item m="1" x="1021"/>
        <item m="1" x="533"/>
        <item m="1" x="831"/>
        <item m="1" x="257"/>
        <item m="1" x="457"/>
        <item m="1" x="515"/>
        <item m="1" x="716"/>
        <item m="1" x="955"/>
        <item m="1" x="550"/>
        <item m="1" x="572"/>
        <item x="5"/>
        <item x="64"/>
        <item m="1" x="729"/>
        <item m="1" x="666"/>
        <item m="1" x="282"/>
        <item m="1" x="657"/>
        <item m="1" x="375"/>
        <item m="1" x="773"/>
        <item m="1" x="251"/>
        <item m="1" x="1064"/>
        <item m="1" x="855"/>
        <item m="1" x="576"/>
        <item m="1" x="1059"/>
        <item m="1" x="996"/>
        <item x="13"/>
        <item m="1" x="458"/>
        <item m="1" x="749"/>
        <item x="4"/>
        <item x="165"/>
        <item m="1" x="914"/>
        <item m="1" x="242"/>
        <item x="207"/>
        <item x="114"/>
        <item m="1" x="856"/>
        <item x="155"/>
        <item x="200"/>
        <item x="147"/>
        <item x="153"/>
        <item m="1" x="779"/>
        <item m="1" x="813"/>
        <item x="148"/>
        <item m="1" x="311"/>
        <item m="1" x="539"/>
        <item x="142"/>
        <item x="143"/>
        <item m="1" x="886"/>
        <item x="133"/>
        <item x="146"/>
        <item x="163"/>
        <item x="164"/>
        <item x="49"/>
        <item x="56"/>
        <item x="57"/>
        <item x="92"/>
        <item x="94"/>
        <item x="77"/>
        <item x="126"/>
        <item x="127"/>
        <item m="1" x="825"/>
        <item x="130"/>
        <item x="132"/>
        <item x="135"/>
        <item x="136"/>
        <item x="139"/>
        <item x="140"/>
        <item x="189"/>
        <item m="1" x="891"/>
        <item x="69"/>
        <item x="107"/>
        <item x="108"/>
        <item x="109"/>
        <item x="110"/>
        <item x="111"/>
        <item x="115"/>
        <item m="1" x="531"/>
        <item x="118"/>
        <item x="194"/>
        <item x="144"/>
        <item x="145"/>
        <item x="131"/>
        <item x="129"/>
        <item x="138"/>
        <item x="150"/>
        <item x="151"/>
        <item x="152"/>
        <item x="137"/>
        <item x="154"/>
        <item x="167"/>
        <item x="157"/>
        <item x="159"/>
        <item x="161"/>
        <item x="2"/>
        <item x="168"/>
        <item x="162"/>
        <item x="158"/>
        <item x="1"/>
        <item x="169"/>
        <item x="160"/>
        <item x="156"/>
        <item x="166"/>
        <item x="170"/>
        <item x="171"/>
        <item x="213"/>
        <item x="215"/>
        <item x="216"/>
        <item x="219"/>
        <item x="218"/>
        <item x="217"/>
        <item x="214"/>
        <item m="1" x="357"/>
        <item m="1" x="828"/>
        <item t="default"/>
      </items>
    </pivotField>
    <pivotField compact="0" outline="0" showAll="0"/>
    <pivotField dataField="1" compact="0" numFmtId="1"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numFmtId="1" outline="0" showAll="0"/>
    <pivotField compact="0" numFmtId="1" outline="0" showAll="0"/>
    <pivotField compact="0" outline="0" showAll="0"/>
    <pivotField compact="0" numFmtId="9" outline="0" showAll="0"/>
    <pivotField compact="0" numFmtId="9"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defaultSubtotal="0"/>
    <pivotField compact="0" numFmtId="1" outline="0" showAll="0"/>
    <pivotField compact="0" numFmtId="1" outline="0" showAll="0" defaultSubtotal="0"/>
    <pivotField compact="0" numFmtId="1" outline="0" showAll="0"/>
    <pivotField compact="0" outline="0" showAll="0"/>
    <pivotField compact="0" numFmtId="9" outline="0" showAll="0"/>
    <pivotField compact="0" numFmtId="164" outline="0" showAll="0"/>
    <pivotField compact="0" numFmtId="164" outline="0" showAll="0"/>
    <pivotField compact="0" numFmtId="164" outline="0" showAll="0"/>
    <pivotField compact="0" numFmtId="164" outline="0" showAll="0"/>
    <pivotField compact="0"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189">
    <i>
      <x v="2"/>
    </i>
    <i>
      <x v="3"/>
    </i>
    <i>
      <x v="4"/>
    </i>
    <i>
      <x v="5"/>
    </i>
    <i>
      <x v="30"/>
    </i>
    <i>
      <x v="36"/>
    </i>
    <i>
      <x v="49"/>
    </i>
    <i>
      <x v="53"/>
    </i>
    <i>
      <x v="64"/>
    </i>
    <i>
      <x v="74"/>
    </i>
    <i>
      <x v="83"/>
    </i>
    <i>
      <x v="100"/>
    </i>
    <i>
      <x v="101"/>
    </i>
    <i>
      <x v="102"/>
    </i>
    <i>
      <x v="106"/>
    </i>
    <i>
      <x v="111"/>
    </i>
    <i>
      <x v="113"/>
    </i>
    <i>
      <x v="116"/>
    </i>
    <i>
      <x v="118"/>
    </i>
    <i>
      <x v="119"/>
    </i>
    <i>
      <x v="120"/>
    </i>
    <i>
      <x v="126"/>
    </i>
    <i>
      <x v="127"/>
    </i>
    <i>
      <x v="128"/>
    </i>
    <i>
      <x v="133"/>
    </i>
    <i>
      <x v="150"/>
    </i>
    <i>
      <x v="163"/>
    </i>
    <i>
      <x v="164"/>
    </i>
    <i>
      <x v="194"/>
    </i>
    <i>
      <x v="199"/>
    </i>
    <i>
      <x v="201"/>
    </i>
    <i>
      <x v="206"/>
    </i>
    <i>
      <x v="207"/>
    </i>
    <i>
      <x v="208"/>
    </i>
    <i>
      <x v="217"/>
    </i>
    <i>
      <x v="220"/>
    </i>
    <i>
      <x v="221"/>
    </i>
    <i>
      <x v="222"/>
    </i>
    <i>
      <x v="224"/>
    </i>
    <i>
      <x v="225"/>
    </i>
    <i>
      <x v="226"/>
    </i>
    <i>
      <x v="234"/>
    </i>
    <i>
      <x v="235"/>
    </i>
    <i>
      <x v="237"/>
    </i>
    <i>
      <x v="238"/>
    </i>
    <i>
      <x v="239"/>
    </i>
    <i>
      <x v="240"/>
    </i>
    <i>
      <x v="241"/>
    </i>
    <i>
      <x v="242"/>
    </i>
    <i>
      <x v="244"/>
    </i>
    <i>
      <x v="245"/>
    </i>
    <i>
      <x v="246"/>
    </i>
    <i>
      <x v="247"/>
    </i>
    <i>
      <x v="248"/>
    </i>
    <i>
      <x v="251"/>
    </i>
    <i>
      <x v="252"/>
    </i>
    <i>
      <x v="253"/>
    </i>
    <i>
      <x v="254"/>
    </i>
    <i>
      <x v="261"/>
    </i>
    <i>
      <x v="266"/>
    </i>
    <i>
      <x v="267"/>
    </i>
    <i>
      <x v="271"/>
    </i>
    <i>
      <x v="283"/>
    </i>
    <i>
      <x v="286"/>
    </i>
    <i>
      <x v="294"/>
    </i>
    <i>
      <x v="301"/>
    </i>
    <i>
      <x v="302"/>
    </i>
    <i>
      <x v="304"/>
    </i>
    <i>
      <x v="306"/>
    </i>
    <i>
      <x v="308"/>
    </i>
    <i>
      <x v="309"/>
    </i>
    <i>
      <x v="313"/>
    </i>
    <i>
      <x v="316"/>
    </i>
    <i>
      <x v="320"/>
    </i>
    <i>
      <x v="325"/>
    </i>
    <i>
      <x v="327"/>
    </i>
    <i>
      <x v="328"/>
    </i>
    <i>
      <x v="342"/>
    </i>
    <i>
      <x v="345"/>
    </i>
    <i>
      <x v="350"/>
    </i>
    <i>
      <x v="365"/>
    </i>
    <i>
      <x v="366"/>
    </i>
    <i>
      <x v="368"/>
    </i>
    <i>
      <x v="372"/>
    </i>
    <i>
      <x v="380"/>
    </i>
    <i>
      <x v="399"/>
    </i>
    <i>
      <x v="400"/>
    </i>
    <i>
      <x v="409"/>
    </i>
    <i>
      <x v="411"/>
    </i>
    <i>
      <x v="416"/>
    </i>
    <i>
      <x v="421"/>
    </i>
    <i>
      <x v="432"/>
    </i>
    <i>
      <x v="436"/>
    </i>
    <i>
      <x v="442"/>
    </i>
    <i>
      <x v="443"/>
    </i>
    <i>
      <x v="445"/>
    </i>
    <i>
      <x v="446"/>
    </i>
    <i>
      <x v="447"/>
    </i>
    <i>
      <x v="452"/>
    </i>
    <i>
      <x v="474"/>
    </i>
    <i>
      <x v="477"/>
    </i>
    <i>
      <x v="478"/>
    </i>
    <i>
      <x v="480"/>
    </i>
    <i>
      <x v="481"/>
    </i>
    <i>
      <x v="509"/>
    </i>
    <i>
      <x v="530"/>
    </i>
    <i>
      <x v="538"/>
    </i>
    <i>
      <x v="544"/>
    </i>
    <i>
      <x v="545"/>
    </i>
    <i>
      <x v="546"/>
    </i>
    <i>
      <x v="580"/>
    </i>
    <i>
      <x v="591"/>
    </i>
    <i>
      <x v="594"/>
    </i>
    <i>
      <x v="614"/>
    </i>
    <i>
      <x v="694"/>
    </i>
    <i>
      <x v="695"/>
    </i>
    <i>
      <x v="696"/>
    </i>
    <i>
      <x v="697"/>
    </i>
    <i>
      <x v="698"/>
    </i>
    <i>
      <x v="699"/>
    </i>
    <i>
      <x v="700"/>
    </i>
    <i>
      <x v="701"/>
    </i>
    <i>
      <x v="702"/>
    </i>
    <i>
      <x v="703"/>
    </i>
    <i>
      <x v="713"/>
    </i>
    <i>
      <x v="721"/>
    </i>
    <i>
      <x v="722"/>
    </i>
    <i>
      <x v="974"/>
    </i>
    <i>
      <x v="1001"/>
    </i>
    <i>
      <x v="1002"/>
    </i>
    <i>
      <x v="1018"/>
    </i>
    <i>
      <x v="1019"/>
    </i>
    <i>
      <x v="1022"/>
    </i>
    <i>
      <x v="1025"/>
    </i>
    <i>
      <x v="1026"/>
    </i>
    <i>
      <x v="1027"/>
    </i>
    <i>
      <x v="1028"/>
    </i>
    <i>
      <x v="1031"/>
    </i>
    <i>
      <x v="1034"/>
    </i>
    <i>
      <x v="1035"/>
    </i>
    <i>
      <x v="1037"/>
    </i>
    <i>
      <x v="1039"/>
    </i>
    <i>
      <x v="1040"/>
    </i>
    <i>
      <x v="1042"/>
    </i>
    <i>
      <x v="1043"/>
    </i>
    <i>
      <x v="1044"/>
    </i>
    <i>
      <x v="1045"/>
    </i>
    <i>
      <x v="1046"/>
    </i>
    <i>
      <x v="1047"/>
    </i>
    <i>
      <x v="1048"/>
    </i>
    <i>
      <x v="1050"/>
    </i>
    <i>
      <x v="1051"/>
    </i>
    <i>
      <x v="1052"/>
    </i>
    <i>
      <x v="1053"/>
    </i>
    <i>
      <x v="1054"/>
    </i>
    <i>
      <x v="1055"/>
    </i>
    <i>
      <x v="1056"/>
    </i>
    <i>
      <x v="1059"/>
    </i>
    <i>
      <x v="1060"/>
    </i>
    <i>
      <x v="1061"/>
    </i>
    <i>
      <x v="1063"/>
    </i>
    <i>
      <x v="1067"/>
    </i>
    <i>
      <x v="1068"/>
    </i>
    <i>
      <x v="1069"/>
    </i>
    <i>
      <x v="1070"/>
    </i>
    <i>
      <x v="1071"/>
    </i>
    <i>
      <x v="1072"/>
    </i>
    <i>
      <x v="1073"/>
    </i>
    <i>
      <x v="1074"/>
    </i>
    <i>
      <x v="1075"/>
    </i>
    <i>
      <x v="1076"/>
    </i>
    <i>
      <x v="1079"/>
    </i>
    <i>
      <x v="1080"/>
    </i>
    <i>
      <x v="1081"/>
    </i>
    <i>
      <x v="1082"/>
    </i>
    <i>
      <x v="1084"/>
    </i>
    <i>
      <x v="1085"/>
    </i>
    <i>
      <x v="1086"/>
    </i>
    <i>
      <x v="1087"/>
    </i>
    <i>
      <x v="1088"/>
    </i>
    <i>
      <x v="1089"/>
    </i>
    <i>
      <x v="1093"/>
    </i>
    <i>
      <x v="1094"/>
    </i>
    <i>
      <x v="1095"/>
    </i>
    <i>
      <x v="1096"/>
    </i>
    <i>
      <x v="1097"/>
    </i>
    <i>
      <x v="1098"/>
    </i>
    <i>
      <x v="1099"/>
    </i>
    <i t="grand">
      <x/>
    </i>
  </rowItems>
  <colFields count="1">
    <field x="-2"/>
  </colFields>
  <colItems count="4">
    <i>
      <x/>
    </i>
    <i i="1">
      <x v="1"/>
    </i>
    <i i="2">
      <x v="2"/>
    </i>
    <i i="3">
      <x v="3"/>
    </i>
  </colItems>
  <pageFields count="3">
    <pageField fld="0" item="27" hier="-1"/>
    <pageField fld="5" hier="-1"/>
    <pageField fld="4" hier="-1"/>
  </pageFields>
  <dataFields count="4">
    <dataField name="Total Population" fld="9" baseField="0" baseItem="0"/>
    <dataField name="# of People adopt basic personal and community hygiene practices" fld="120" baseField="0" baseItem="0"/>
    <dataField name="# of people access to functioning  sanitation facilities" fld="108" baseField="0" baseItem="0"/>
    <dataField name="# of people Equitable and continuous access to sufficient quantity of domestic water" fld="100" baseField="0" baseItem="0"/>
  </dataFields>
  <formats count="25">
    <format dxfId="30">
      <pivotArea field="4" type="button" dataOnly="0" labelOnly="1" outline="0" axis="axisPage" fieldPosition="2"/>
    </format>
    <format dxfId="29">
      <pivotArea field="5" type="button" dataOnly="0" labelOnly="1" outline="0" axis="axisPage" fieldPosition="1"/>
    </format>
    <format dxfId="28">
      <pivotArea dataOnly="0" labelOnly="1" outline="0" fieldPosition="0">
        <references count="1">
          <reference field="4294967294" count="1">
            <x v="0"/>
          </reference>
        </references>
      </pivotArea>
    </format>
    <format dxfId="27">
      <pivotArea field="4" type="button" dataOnly="0" labelOnly="1" outline="0" axis="axisPage" fieldPosition="2"/>
    </format>
    <format dxfId="26">
      <pivotArea field="5" type="button" dataOnly="0" labelOnly="1" outline="0" axis="axisPage" fieldPosition="1"/>
    </format>
    <format dxfId="25">
      <pivotArea dataOnly="0" labelOnly="1" outline="0" fieldPosition="0">
        <references count="1">
          <reference field="4294967294" count="1">
            <x v="0"/>
          </reference>
        </references>
      </pivotArea>
    </format>
    <format dxfId="24">
      <pivotArea field="4" type="button" dataOnly="0" labelOnly="1" outline="0" axis="axisPage" fieldPosition="2"/>
    </format>
    <format dxfId="23">
      <pivotArea field="5" type="button" dataOnly="0" labelOnly="1" outline="0" axis="axisPage" fieldPosition="1"/>
    </format>
    <format dxfId="22">
      <pivotArea dataOnly="0" labelOnly="1" outline="0" fieldPosition="0">
        <references count="1">
          <reference field="4294967294" count="1">
            <x v="0"/>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0"/>
          </reference>
        </references>
      </pivotArea>
    </format>
    <format dxfId="19">
      <pivotArea type="all" dataOnly="0" outline="0" fieldPosition="0"/>
    </format>
    <format dxfId="18">
      <pivotArea outline="0" collapsedLevelsAreSubtotals="1" fieldPosition="0"/>
    </format>
    <format dxfId="17">
      <pivotArea field="4" type="button" dataOnly="0" labelOnly="1" outline="0" axis="axisPage" fieldPosition="2"/>
    </format>
    <format dxfId="16">
      <pivotArea field="5" type="button" dataOnly="0" labelOnly="1" outline="0" axis="axisPage" fieldPosition="1"/>
    </format>
    <format dxfId="15">
      <pivotArea dataOnly="0" labelOnly="1" outline="0" fieldPosition="0">
        <references count="1">
          <reference field="4" count="0"/>
        </references>
      </pivotArea>
    </format>
    <format dxfId="14">
      <pivotArea dataOnly="0" labelOnly="1" outline="0" fieldPosition="0">
        <references count="1">
          <reference field="4" count="0" defaultSubtotal="1"/>
        </references>
      </pivotArea>
    </format>
    <format dxfId="13">
      <pivotArea dataOnly="0" labelOnly="1" grandRow="1" outline="0" fieldPosition="0"/>
    </format>
    <format dxfId="12">
      <pivotArea dataOnly="0" labelOnly="1" outline="0" fieldPosition="0">
        <references count="2">
          <reference field="4" count="1" selected="0">
            <x v="0"/>
          </reference>
          <reference field="5" count="13">
            <x v="1"/>
            <x v="3"/>
            <x v="4"/>
            <x v="12"/>
            <x v="16"/>
            <x v="17"/>
            <x v="18"/>
            <x v="22"/>
            <x v="28"/>
            <x v="31"/>
            <x v="33"/>
            <x v="34"/>
            <x v="35"/>
          </reference>
        </references>
      </pivotArea>
    </format>
    <format dxfId="11">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10">
      <pivotArea dataOnly="0" labelOnly="1" outline="0" fieldPosition="0">
        <references count="2">
          <reference field="4" count="1" selected="0">
            <x v="1"/>
          </reference>
          <reference field="5" count="12">
            <x v="0"/>
            <x v="2"/>
            <x v="8"/>
            <x v="9"/>
            <x v="14"/>
            <x v="15"/>
            <x v="19"/>
            <x v="21"/>
            <x v="26"/>
            <x v="27"/>
            <x v="30"/>
            <x v="32"/>
          </reference>
        </references>
      </pivotArea>
    </format>
    <format dxfId="9">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8">
      <pivotArea dataOnly="0" labelOnly="1" outline="0" fieldPosition="0">
        <references count="2">
          <reference field="4" count="1" selected="0">
            <x v="2"/>
          </reference>
          <reference field="5" count="7">
            <x v="5"/>
            <x v="6"/>
            <x v="7"/>
            <x v="13"/>
            <x v="20"/>
            <x v="23"/>
            <x v="24"/>
          </reference>
        </references>
      </pivotArea>
    </format>
    <format dxfId="7">
      <pivotArea dataOnly="0" labelOnly="1" outline="0" fieldPosition="0">
        <references count="2">
          <reference field="4" count="1" selected="0">
            <x v="2"/>
          </reference>
          <reference field="5" count="7" defaultSubtotal="1">
            <x v="5"/>
            <x v="6"/>
            <x v="7"/>
            <x v="13"/>
            <x v="20"/>
            <x v="23"/>
            <x v="24"/>
          </reference>
        </references>
      </pivotArea>
    </format>
    <format dxfId="6">
      <pivotArea dataOnly="0" labelOnly="1" outline="0" fieldPosition="0">
        <references count="1">
          <reference field="4294967294" count="1">
            <x v="0"/>
          </reference>
        </references>
      </pivotArea>
    </format>
  </formats>
  <chartFormats count="5">
    <chartFormat chart="1"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4" format="7" series="1">
      <pivotArea type="data" outline="0" fieldPosition="0">
        <references count="1">
          <reference field="4294967294" count="1" selected="0">
            <x v="1"/>
          </reference>
        </references>
      </pivotArea>
    </chartFormat>
    <chartFormat chart="4" format="8" series="1">
      <pivotArea type="data" outline="0" fieldPosition="0">
        <references count="1">
          <reference field="4294967294" count="1" selected="0">
            <x v="2"/>
          </reference>
        </references>
      </pivotArea>
    </chartFormat>
    <chartFormat chart="4" format="9"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1" cacheId="12" applyNumberFormats="0" applyBorderFormats="0" applyFontFormats="0" applyPatternFormats="0" applyAlignmentFormats="0" applyWidthHeightFormats="1" dataCaption="Values" updatedVersion="7" minRefreshableVersion="3" useAutoFormatting="1" itemPrintTitles="1" createdVersion="5" indent="0" compact="0" compactData="0" multipleFieldFilters="0" chartFormat="10">
  <location ref="L4:P626" firstHeaderRow="0" firstDataRow="1" firstDataCol="2" rowPageCount="1" colPageCount="1"/>
  <pivotFields count="160">
    <pivotField axis="axisRow" compact="0" outline="0" showAll="0">
      <items count="29">
        <item m="1" x="25"/>
        <item m="1" x="26"/>
        <item m="1" x="12"/>
        <item m="1" x="27"/>
        <item m="1" x="19"/>
        <item m="1" x="21"/>
        <item m="1" x="23"/>
        <item m="1" x="24"/>
        <item m="1" x="7"/>
        <item m="1" x="2"/>
        <item m="1" x="15"/>
        <item m="1" x="17"/>
        <item m="1" x="20"/>
        <item m="1" x="22"/>
        <item m="1" x="10"/>
        <item m="1" x="13"/>
        <item m="1" x="16"/>
        <item m="1" x="18"/>
        <item m="1" x="5"/>
        <item m="1" x="8"/>
        <item m="1" x="11"/>
        <item m="1" x="14"/>
        <item m="1" x="3"/>
        <item m="1" x="4"/>
        <item m="1" x="6"/>
        <item m="1" x="9"/>
        <item x="0"/>
        <item x="1"/>
        <item t="default"/>
      </items>
    </pivotField>
    <pivotField compact="0" outline="0" showAll="0" defaultSubtotal="0"/>
    <pivotField compact="0" outline="0" showAll="0" defaultSubtotal="0">
      <items count="82">
        <item m="1" x="50"/>
        <item m="1" x="68"/>
        <item m="1" x="70"/>
        <item m="1" x="61"/>
        <item m="1" x="80"/>
        <item m="1" x="31"/>
        <item m="1" x="51"/>
        <item m="1" x="62"/>
        <item x="2"/>
        <item x="3"/>
        <item x="25"/>
        <item x="5"/>
        <item x="24"/>
        <item x="22"/>
        <item m="1" x="56"/>
        <item x="4"/>
        <item m="1" x="52"/>
        <item x="23"/>
        <item m="1" x="63"/>
        <item m="1" x="45"/>
        <item m="1" x="49"/>
        <item x="20"/>
        <item x="26"/>
        <item x="21"/>
        <item x="27"/>
        <item x="6"/>
        <item m="1" x="35"/>
        <item m="1" x="69"/>
        <item m="1" x="47"/>
        <item m="1" x="37"/>
        <item m="1" x="76"/>
        <item x="0"/>
        <item x="1"/>
        <item x="7"/>
        <item x="8"/>
        <item x="9"/>
        <item m="1" x="75"/>
        <item m="1" x="67"/>
        <item x="10"/>
        <item x="18"/>
        <item x="17"/>
        <item m="1" x="79"/>
        <item m="1" x="39"/>
        <item m="1" x="33"/>
        <item m="1" x="53"/>
        <item m="1" x="59"/>
        <item m="1" x="58"/>
        <item m="1" x="44"/>
        <item m="1" x="81"/>
        <item m="1" x="36"/>
        <item m="1" x="60"/>
        <item m="1" x="34"/>
        <item x="11"/>
        <item m="1" x="42"/>
        <item m="1" x="41"/>
        <item m="1" x="38"/>
        <item m="1" x="65"/>
        <item m="1" x="71"/>
        <item m="1" x="32"/>
        <item m="1" x="78"/>
        <item m="1" x="66"/>
        <item x="29"/>
        <item m="1" x="77"/>
        <item m="1" x="73"/>
        <item x="12"/>
        <item m="1" x="46"/>
        <item x="16"/>
        <item x="13"/>
        <item m="1" x="40"/>
        <item x="19"/>
        <item m="1" x="64"/>
        <item m="1" x="72"/>
        <item x="14"/>
        <item m="1" x="48"/>
        <item x="28"/>
        <item m="1" x="55"/>
        <item m="1" x="54"/>
        <item m="1" x="74"/>
        <item m="1" x="57"/>
        <item x="15"/>
        <item m="1" x="43"/>
        <item m="1" x="30"/>
      </items>
    </pivotField>
    <pivotField compact="0" outline="0" showAll="0"/>
    <pivotField compact="0" outline="0" showAll="0">
      <items count="7">
        <item m="1" x="3"/>
        <item x="1"/>
        <item m="1" x="5"/>
        <item m="1" x="4"/>
        <item x="0"/>
        <item m="1" x="2"/>
        <item t="default"/>
      </items>
    </pivotField>
    <pivotField compact="0" outline="0" showAll="0">
      <items count="49">
        <item m="1" x="32"/>
        <item x="15"/>
        <item m="1" x="45"/>
        <item m="1" x="37"/>
        <item x="5"/>
        <item x="6"/>
        <item x="16"/>
        <item x="0"/>
        <item x="22"/>
        <item x="17"/>
        <item x="18"/>
        <item m="1" x="40"/>
        <item m="1" x="27"/>
        <item x="1"/>
        <item m="1" x="47"/>
        <item x="3"/>
        <item m="1" x="43"/>
        <item x="7"/>
        <item x="19"/>
        <item m="1" x="38"/>
        <item m="1" x="31"/>
        <item x="8"/>
        <item x="9"/>
        <item m="1" x="26"/>
        <item x="4"/>
        <item m="1" x="44"/>
        <item x="2"/>
        <item m="1" x="35"/>
        <item x="10"/>
        <item m="1" x="34"/>
        <item x="20"/>
        <item m="1" x="30"/>
        <item x="21"/>
        <item m="1" x="28"/>
        <item m="1" x="29"/>
        <item m="1" x="33"/>
        <item m="1" x="39"/>
        <item m="1" x="36"/>
        <item m="1" x="46"/>
        <item m="1" x="42"/>
        <item x="11"/>
        <item m="1" x="41"/>
        <item x="12"/>
        <item x="13"/>
        <item x="24"/>
        <item x="23"/>
        <item x="14"/>
        <item m="1" x="25"/>
        <item t="default"/>
      </items>
    </pivotField>
    <pivotField compact="0" outline="0" showAll="0" defaultSubtotal="0">
      <items count="15">
        <item x="0"/>
        <item m="1" x="12"/>
        <item x="2"/>
        <item x="1"/>
        <item m="1" x="11"/>
        <item m="1" x="9"/>
        <item x="3"/>
        <item m="1" x="4"/>
        <item m="1" x="5"/>
        <item m="1" x="7"/>
        <item m="1" x="6"/>
        <item m="1" x="13"/>
        <item m="1" x="10"/>
        <item m="1" x="14"/>
        <item m="1" x="8"/>
      </items>
    </pivotField>
    <pivotField axis="axisRow" compact="0" outline="0" showAll="0">
      <items count="1103">
        <item m="1" x="762"/>
        <item m="1" x="526"/>
        <item m="1" x="644"/>
        <item m="1" x="1058"/>
        <item x="199"/>
        <item x="174"/>
        <item x="175"/>
        <item x="47"/>
        <item m="1" x="499"/>
        <item m="1" x="382"/>
        <item m="1" x="632"/>
        <item m="1" x="294"/>
        <item m="1" x="337"/>
        <item m="1" x="606"/>
        <item m="1" x="724"/>
        <item m="1" x="738"/>
        <item m="1" x="875"/>
        <item m="1" x="511"/>
        <item m="1" x="339"/>
        <item m="1" x="1007"/>
        <item m="1" x="911"/>
        <item m="1" x="351"/>
        <item m="1" x="787"/>
        <item m="1" x="567"/>
        <item m="1" x="949"/>
        <item m="1" x="889"/>
        <item m="1" x="972"/>
        <item m="1" x="994"/>
        <item m="1" x="420"/>
        <item m="1" x="866"/>
        <item m="1" x="455"/>
        <item m="1" x="472"/>
        <item m="1" x="761"/>
        <item m="1" x="470"/>
        <item m="1" x="1086"/>
        <item m="1" x="378"/>
        <item m="1" x="1084"/>
        <item x="70"/>
        <item m="1" x="1045"/>
        <item m="1" x="1087"/>
        <item m="1" x="798"/>
        <item m="1" x="523"/>
        <item m="1" x="713"/>
        <item m="1" x="1095"/>
        <item m="1" x="407"/>
        <item m="1" x="268"/>
        <item m="1" x="440"/>
        <item x="176"/>
        <item m="1" x="456"/>
        <item m="1" x="947"/>
        <item m="1" x="900"/>
        <item m="1" x="964"/>
        <item m="1" x="283"/>
        <item m="1" x="393"/>
        <item m="1" x="619"/>
        <item m="1" x="859"/>
        <item m="1" x="860"/>
        <item m="1" x="615"/>
        <item m="1" x="768"/>
        <item m="1" x="589"/>
        <item m="1" x="450"/>
        <item x="67"/>
        <item m="1" x="1081"/>
        <item m="1" x="1035"/>
        <item m="1" x="795"/>
        <item x="209"/>
        <item m="1" x="1001"/>
        <item m="1" x="482"/>
        <item m="1" x="785"/>
        <item m="1" x="817"/>
        <item m="1" x="256"/>
        <item m="1" x="279"/>
        <item x="177"/>
        <item m="1" x="974"/>
        <item m="1" x="492"/>
        <item m="1" x="405"/>
        <item m="1" x="488"/>
        <item x="172"/>
        <item m="1" x="682"/>
        <item m="1" x="442"/>
        <item m="1" x="807"/>
        <item m="1" x="848"/>
        <item m="1" x="236"/>
        <item m="1" x="791"/>
        <item m="1" x="1038"/>
        <item m="1" x="705"/>
        <item m="1" x="284"/>
        <item m="1" x="424"/>
        <item m="1" x="278"/>
        <item m="1" x="967"/>
        <item x="178"/>
        <item m="1" x="899"/>
        <item m="1" x="621"/>
        <item m="1" x="512"/>
        <item m="1" x="1005"/>
        <item m="1" x="678"/>
        <item m="1" x="439"/>
        <item x="19"/>
        <item m="1" x="868"/>
        <item x="58"/>
        <item x="134"/>
        <item m="1" x="1022"/>
        <item m="1" x="380"/>
        <item x="93"/>
        <item m="1" x="1043"/>
        <item m="1" x="753"/>
        <item m="1" x="629"/>
        <item m="1" x="980"/>
        <item m="1" x="659"/>
        <item m="1" x="927"/>
        <item m="1" x="286"/>
        <item m="1" x="821"/>
        <item m="1" x="746"/>
        <item m="1" x="1020"/>
        <item m="1" x="961"/>
        <item m="1" x="812"/>
        <item m="1" x="663"/>
        <item m="1" x="226"/>
        <item m="1" x="697"/>
        <item m="1" x="254"/>
        <item x="208"/>
        <item x="192"/>
        <item x="42"/>
        <item m="1" x="347"/>
        <item m="1" x="243"/>
        <item m="1" x="654"/>
        <item x="7"/>
        <item m="1" x="556"/>
        <item m="1" x="624"/>
        <item m="1" x="513"/>
        <item m="1" x="272"/>
        <item x="3"/>
        <item m="1" x="777"/>
        <item x="179"/>
        <item m="1" x="514"/>
        <item m="1" x="783"/>
        <item m="1" x="1016"/>
        <item x="6"/>
        <item m="1" x="267"/>
        <item x="79"/>
        <item m="1" x="720"/>
        <item x="71"/>
        <item x="95"/>
        <item x="86"/>
        <item m="1" x="793"/>
        <item m="1" x="836"/>
        <item m="1" x="481"/>
        <item m="1" x="308"/>
        <item m="1" x="404"/>
        <item m="1" x="802"/>
        <item m="1" x="760"/>
        <item m="1" x="422"/>
        <item x="20"/>
        <item x="59"/>
        <item x="37"/>
        <item x="17"/>
        <item m="1" x="718"/>
        <item x="60"/>
        <item m="1" x="1053"/>
        <item m="1" x="1097"/>
        <item m="1" x="601"/>
        <item m="1" x="962"/>
        <item m="1" x="990"/>
        <item x="48"/>
        <item m="1" x="726"/>
        <item m="1" x="687"/>
        <item m="1" x="679"/>
        <item m="1" x="902"/>
        <item m="1" x="435"/>
        <item m="1" x="839"/>
        <item m="1" x="383"/>
        <item m="1" x="429"/>
        <item m="1" x="665"/>
        <item m="1" x="826"/>
        <item m="1" x="1012"/>
        <item m="1" x="778"/>
        <item m="1" x="303"/>
        <item m="1" x="933"/>
        <item m="1" x="688"/>
        <item m="1" x="965"/>
        <item x="52"/>
        <item m="1" x="307"/>
        <item m="1" x="471"/>
        <item m="1" x="532"/>
        <item m="1" x="641"/>
        <item m="1" x="463"/>
        <item m="1" x="594"/>
        <item x="81"/>
        <item m="1" x="537"/>
        <item m="1" x="1089"/>
        <item m="1" x="781"/>
        <item m="1" x="406"/>
        <item m="1" x="498"/>
        <item m="1" x="788"/>
        <item m="1" x="541"/>
        <item m="1" x="323"/>
        <item m="1" x="408"/>
        <item m="1" x="336"/>
        <item m="1" x="794"/>
        <item m="1" x="1040"/>
        <item m="1" x="344"/>
        <item x="96"/>
        <item x="97"/>
        <item m="1" x="1061"/>
        <item m="1" x="636"/>
        <item m="1" x="328"/>
        <item m="1" x="1054"/>
        <item m="1" x="808"/>
        <item m="1" x="366"/>
        <item m="1" x="865"/>
        <item m="1" x="287"/>
        <item m="1" x="364"/>
        <item m="1" x="948"/>
        <item m="1" x="414"/>
        <item m="1" x="671"/>
        <item m="1" x="1075"/>
        <item m="1" x="1091"/>
        <item m="1" x="346"/>
        <item m="1" x="304"/>
        <item m="1" x="400"/>
        <item m="1" x="822"/>
        <item m="1" x="434"/>
        <item m="1" x="507"/>
        <item m="1" x="895"/>
        <item m="1" x="354"/>
        <item m="1" x="846"/>
        <item m="1" x="301"/>
        <item m="1" x="973"/>
        <item m="1" x="1011"/>
        <item m="1" x="349"/>
        <item m="1" x="622"/>
        <item m="1" x="976"/>
        <item m="1" x="421"/>
        <item m="1" x="1014"/>
        <item m="1" x="292"/>
        <item x="119"/>
        <item m="1" x="741"/>
        <item m="1" x="239"/>
        <item x="11"/>
        <item m="1" x="960"/>
        <item m="1" x="674"/>
        <item m="1" x="484"/>
        <item m="1" x="1010"/>
        <item m="1" x="427"/>
        <item x="18"/>
        <item m="1" x="966"/>
        <item m="1" x="274"/>
        <item m="1" x="508"/>
        <item m="1" x="613"/>
        <item m="1" x="329"/>
        <item x="210"/>
        <item m="1" x="306"/>
        <item m="1" x="721"/>
        <item m="1" x="318"/>
        <item m="1" x="944"/>
        <item m="1" x="298"/>
        <item m="1" x="857"/>
        <item x="180"/>
        <item m="1" x="288"/>
        <item x="21"/>
        <item x="38"/>
        <item m="1" x="1099"/>
        <item m="1" x="285"/>
        <item m="1" x="227"/>
        <item m="1" x="918"/>
        <item m="1" x="558"/>
        <item m="1" x="280"/>
        <item m="1" x="763"/>
        <item m="1" x="518"/>
        <item x="173"/>
        <item m="1" x="547"/>
        <item m="1" x="660"/>
        <item x="181"/>
        <item x="182"/>
        <item x="125"/>
        <item x="120"/>
        <item x="202"/>
        <item x="82"/>
        <item x="203"/>
        <item x="53"/>
        <item m="1" x="358"/>
        <item m="1" x="296"/>
        <item m="1" x="343"/>
        <item m="1" x="772"/>
        <item m="1" x="884"/>
        <item m="1" x="928"/>
        <item x="12"/>
        <item m="1" x="922"/>
        <item m="1" x="394"/>
        <item x="32"/>
        <item x="43"/>
        <item x="98"/>
        <item m="1" x="444"/>
        <item x="193"/>
        <item x="68"/>
        <item x="33"/>
        <item x="34"/>
        <item x="10"/>
        <item x="55"/>
        <item m="1" x="950"/>
        <item x="22"/>
        <item x="83"/>
        <item x="204"/>
        <item x="39"/>
        <item x="0"/>
        <item x="99"/>
        <item m="1" x="588"/>
        <item x="73"/>
        <item x="74"/>
        <item x="75"/>
        <item x="76"/>
        <item m="1" x="735"/>
        <item m="1" x="228"/>
        <item m="1" x="386"/>
        <item x="113"/>
        <item x="122"/>
        <item m="1" x="238"/>
        <item x="78"/>
        <item m="1" x="646"/>
        <item m="1" x="293"/>
        <item m="1" x="975"/>
        <item m="1" x="432"/>
        <item m="1" x="348"/>
        <item x="187"/>
        <item x="188"/>
        <item m="1" x="270"/>
        <item m="1" x="333"/>
        <item m="1" x="946"/>
        <item x="128"/>
        <item m="1" x="447"/>
        <item m="1" x="536"/>
        <item m="1" x="263"/>
        <item m="1" x="486"/>
        <item m="1" x="345"/>
        <item m="1" x="355"/>
        <item m="1" x="505"/>
        <item m="1" x="365"/>
        <item m="1" x="542"/>
        <item m="1" x="1063"/>
        <item m="1" x="423"/>
        <item m="1" x="988"/>
        <item m="1" x="1046"/>
        <item m="1" x="784"/>
        <item x="100"/>
        <item m="1" x="906"/>
        <item m="1" x="289"/>
        <item m="1" x="593"/>
        <item x="84"/>
        <item m="1" x="616"/>
        <item m="1" x="796"/>
        <item m="1" x="744"/>
        <item x="101"/>
        <item m="1" x="833"/>
        <item m="1" x="402"/>
        <item m="1" x="617"/>
        <item m="1" x="692"/>
        <item m="1" x="302"/>
        <item m="1" x="898"/>
        <item m="1" x="578"/>
        <item x="8"/>
        <item m="1" x="504"/>
        <item m="1" x="1090"/>
        <item m="1" x="694"/>
        <item m="1" x="1026"/>
        <item m="1" x="524"/>
        <item m="1" x="987"/>
        <item m="1" x="416"/>
        <item m="1" x="555"/>
        <item m="1" x="530"/>
        <item x="123"/>
        <item x="116"/>
        <item x="117"/>
        <item x="124"/>
        <item m="1" x="715"/>
        <item x="102"/>
        <item m="1" x="425"/>
        <item x="103"/>
        <item x="183"/>
        <item x="90"/>
        <item x="121"/>
        <item m="1" x="1051"/>
        <item m="1" x="438"/>
        <item x="14"/>
        <item m="1" x="893"/>
        <item x="61"/>
        <item m="1" x="849"/>
        <item m="1" x="1018"/>
        <item x="54"/>
        <item m="1" x="313"/>
        <item m="1" x="566"/>
        <item m="1" x="905"/>
        <item x="15"/>
        <item m="1" x="417"/>
        <item m="1" x="982"/>
        <item m="1" x="324"/>
        <item x="195"/>
        <item x="16"/>
        <item m="1" x="683"/>
        <item m="1" x="230"/>
        <item x="29"/>
        <item x="104"/>
        <item m="1" x="725"/>
        <item m="1" x="599"/>
        <item m="1" x="820"/>
        <item m="1" x="879"/>
        <item m="1" x="710"/>
        <item m="1" x="557"/>
        <item m="1" x="373"/>
        <item m="1" x="639"/>
        <item m="1" x="971"/>
        <item m="1" x="403"/>
        <item m="1" x="675"/>
        <item m="1" x="527"/>
        <item m="1" x="1024"/>
        <item m="1" x="395"/>
        <item m="1" x="451"/>
        <item m="1" x="904"/>
        <item m="1" x="522"/>
        <item m="1" x="381"/>
        <item m="1" x="441"/>
        <item m="1" x="998"/>
        <item x="211"/>
        <item m="1" x="374"/>
        <item m="1" x="322"/>
        <item x="23"/>
        <item m="1" x="391"/>
        <item m="1" x="627"/>
        <item m="1" x="608"/>
        <item m="1" x="909"/>
        <item x="205"/>
        <item m="1" x="564"/>
        <item m="1" x="309"/>
        <item m="1" x="464"/>
        <item m="1" x="655"/>
        <item m="1" x="540"/>
        <item m="1" x="305"/>
        <item m="1" x="913"/>
        <item m="1" x="565"/>
        <item m="1" x="769"/>
        <item m="1" x="410"/>
        <item m="1" x="493"/>
        <item m="1" x="941"/>
        <item m="1" x="1006"/>
        <item m="1" x="409"/>
        <item m="1" x="476"/>
        <item m="1" x="1077"/>
        <item x="62"/>
        <item x="63"/>
        <item x="212"/>
        <item m="1" x="851"/>
        <item x="44"/>
        <item m="1" x="809"/>
        <item m="1" x="418"/>
        <item m="1" x="603"/>
        <item x="105"/>
        <item m="1" x="247"/>
        <item m="1" x="528"/>
        <item m="1" x="220"/>
        <item x="28"/>
        <item m="1" x="1056"/>
        <item m="1" x="844"/>
        <item m="1" x="923"/>
        <item m="1" x="525"/>
        <item m="1" x="1079"/>
        <item x="72"/>
        <item m="1" x="553"/>
        <item m="1" x="708"/>
        <item m="1" x="611"/>
        <item m="1" x="584"/>
        <item m="1" x="426"/>
        <item m="1" x="734"/>
        <item m="1" x="465"/>
        <item m="1" x="732"/>
        <item m="1" x="635"/>
        <item m="1" x="704"/>
        <item m="1" x="396"/>
        <item m="1" x="273"/>
        <item m="1" x="502"/>
        <item m="1" x="872"/>
        <item m="1" x="352"/>
        <item m="1" x="626"/>
        <item m="1" x="1030"/>
        <item m="1" x="631"/>
        <item m="1" x="277"/>
        <item m="1" x="520"/>
        <item m="1" x="664"/>
        <item m="1" x="1039"/>
        <item m="1" x="549"/>
        <item m="1" x="871"/>
        <item m="1" x="764"/>
        <item m="1" x="249"/>
        <item x="196"/>
        <item x="35"/>
        <item m="1" x="698"/>
        <item m="1" x="316"/>
        <item m="1" x="737"/>
        <item m="1" x="1029"/>
        <item m="1" x="376"/>
        <item m="1" x="473"/>
        <item m="1" x="223"/>
        <item m="1" x="361"/>
        <item x="184"/>
        <item m="1" x="823"/>
        <item x="201"/>
        <item m="1" x="559"/>
        <item m="1" x="765"/>
        <item m="1" x="618"/>
        <item m="1" x="232"/>
        <item m="1" x="385"/>
        <item x="149"/>
        <item m="1" x="612"/>
        <item x="30"/>
        <item m="1" x="651"/>
        <item m="1" x="1031"/>
        <item m="1" x="1023"/>
        <item m="1" x="519"/>
        <item m="1" x="497"/>
        <item x="51"/>
        <item m="1" x="1047"/>
        <item m="1" x="824"/>
        <item m="1" x="870"/>
        <item m="1" x="706"/>
        <item m="1" x="861"/>
        <item m="1" x="896"/>
        <item m="1" x="570"/>
        <item m="1" x="926"/>
        <item m="1" x="728"/>
        <item m="1" x="908"/>
        <item m="1" x="912"/>
        <item x="206"/>
        <item m="1" x="224"/>
        <item m="1" x="315"/>
        <item m="1" x="568"/>
        <item x="45"/>
        <item m="1" x="1094"/>
        <item x="9"/>
        <item m="1" x="707"/>
        <item m="1" x="573"/>
        <item m="1" x="1070"/>
        <item x="40"/>
        <item x="190"/>
        <item m="1" x="320"/>
        <item x="36"/>
        <item x="50"/>
        <item x="85"/>
        <item m="1" x="711"/>
        <item m="1" x="544"/>
        <item m="1" x="843"/>
        <item m="1" x="677"/>
        <item m="1" x="712"/>
        <item m="1" x="327"/>
        <item m="1" x="443"/>
        <item m="1" x="500"/>
        <item m="1" x="610"/>
        <item m="1" x="882"/>
        <item x="41"/>
        <item m="1" x="252"/>
        <item m="1" x="952"/>
        <item m="1" x="869"/>
        <item m="1" x="259"/>
        <item m="1" x="959"/>
        <item m="1" x="867"/>
        <item m="1" x="509"/>
        <item m="1" x="437"/>
        <item m="1" x="814"/>
        <item m="1" x="590"/>
        <item m="1" x="881"/>
        <item m="1" x="700"/>
        <item x="65"/>
        <item m="1" x="597"/>
        <item m="1" x="883"/>
        <item m="1" x="317"/>
        <item m="1" x="936"/>
        <item m="1" x="850"/>
        <item m="1" x="1096"/>
        <item m="1" x="388"/>
        <item m="1" x="297"/>
        <item m="1" x="1017"/>
        <item m="1" x="939"/>
        <item m="1" x="803"/>
        <item m="1" x="786"/>
        <item m="1" x="890"/>
        <item x="66"/>
        <item x="31"/>
        <item m="1" x="225"/>
        <item m="1" x="516"/>
        <item m="1" x="1072"/>
        <item x="24"/>
        <item x="191"/>
        <item m="1" x="534"/>
        <item x="25"/>
        <item x="26"/>
        <item m="1" x="359"/>
        <item m="1" x="776"/>
        <item m="1" x="709"/>
        <item m="1" x="771"/>
        <item m="1" x="789"/>
        <item m="1" x="598"/>
        <item m="1" x="250"/>
        <item m="1" x="638"/>
        <item m="1" x="1068"/>
        <item m="1" x="827"/>
        <item m="1" x="1074"/>
        <item m="1" x="1065"/>
        <item m="1" x="1066"/>
        <item m="1" x="894"/>
        <item m="1" x="1067"/>
        <item m="1" x="845"/>
        <item m="1" x="970"/>
        <item m="1" x="231"/>
        <item m="1" x="748"/>
        <item m="1" x="1092"/>
        <item m="1" x="1050"/>
        <item m="1" x="739"/>
        <item m="1" x="587"/>
        <item m="1" x="506"/>
        <item m="1" x="415"/>
        <item m="1" x="264"/>
        <item m="1" x="1028"/>
        <item m="1" x="574"/>
        <item m="1" x="592"/>
        <item m="1" x="801"/>
        <item m="1" x="1100"/>
        <item m="1" x="1027"/>
        <item m="1" x="643"/>
        <item m="1" x="943"/>
        <item m="1" x="295"/>
        <item m="1" x="469"/>
        <item x="197"/>
        <item m="1" x="719"/>
        <item m="1" x="1036"/>
        <item m="1" x="1062"/>
        <item m="1" x="1037"/>
        <item m="1" x="747"/>
        <item m="1" x="676"/>
        <item m="1" x="543"/>
        <item m="1" x="460"/>
        <item m="1" x="413"/>
        <item m="1" x="262"/>
        <item m="1" x="411"/>
        <item m="1" x="237"/>
        <item m="1" x="222"/>
        <item m="1" x="880"/>
        <item m="1" x="428"/>
        <item m="1" x="647"/>
        <item m="1" x="430"/>
        <item m="1" x="580"/>
        <item m="1" x="276"/>
        <item m="1" x="370"/>
        <item m="1" x="805"/>
        <item m="1" x="997"/>
        <item m="1" x="360"/>
        <item m="1" x="529"/>
        <item m="1" x="1088"/>
        <item m="1" x="545"/>
        <item m="1" x="468"/>
        <item m="1" x="816"/>
        <item m="1" x="780"/>
        <item x="27"/>
        <item m="1" x="325"/>
        <item x="91"/>
        <item m="1" x="662"/>
        <item m="1" x="326"/>
        <item m="1" x="874"/>
        <item m="1" x="363"/>
        <item m="1" x="864"/>
        <item m="1" x="640"/>
        <item m="1" x="887"/>
        <item m="1" x="466"/>
        <item x="46"/>
        <item x="198"/>
        <item m="1" x="312"/>
        <item m="1" x="834"/>
        <item x="185"/>
        <item m="1" x="1052"/>
        <item m="1" x="1048"/>
        <item m="1" x="986"/>
        <item m="1" x="924"/>
        <item m="1" x="467"/>
        <item x="87"/>
        <item x="88"/>
        <item x="89"/>
        <item m="1" x="968"/>
        <item m="1" x="810"/>
        <item m="1" x="717"/>
        <item m="1" x="517"/>
        <item m="1" x="609"/>
        <item m="1" x="929"/>
        <item m="1" x="815"/>
        <item m="1" x="745"/>
        <item m="1" x="605"/>
        <item m="1" x="1098"/>
        <item m="1" x="1083"/>
        <item x="186"/>
        <item m="1" x="650"/>
        <item m="1" x="266"/>
        <item m="1" x="897"/>
        <item m="1" x="915"/>
        <item m="1" x="916"/>
        <item m="1" x="989"/>
        <item m="1" x="335"/>
        <item m="1" x="637"/>
        <item m="1" x="445"/>
        <item m="1" x="446"/>
        <item m="1" x="1060"/>
        <item m="1" x="1002"/>
        <item m="1" x="653"/>
        <item m="1" x="984"/>
        <item m="1" x="633"/>
        <item m="1" x="1044"/>
        <item m="1" x="634"/>
        <item m="1" x="979"/>
        <item m="1" x="560"/>
        <item m="1" x="852"/>
        <item m="1" x="754"/>
        <item m="1" x="934"/>
        <item m="1" x="271"/>
        <item m="1" x="489"/>
        <item m="1" x="291"/>
        <item m="1" x="750"/>
        <item m="1" x="691"/>
        <item m="1" x="722"/>
        <item x="106"/>
        <item m="1" x="453"/>
        <item m="1" x="596"/>
        <item m="1" x="384"/>
        <item m="1" x="368"/>
        <item m="1" x="938"/>
        <item m="1" x="461"/>
        <item m="1" x="449"/>
        <item m="1" x="932"/>
        <item m="1" x="436"/>
        <item m="1" x="940"/>
        <item m="1" x="478"/>
        <item m="1" x="229"/>
        <item m="1" x="1013"/>
        <item m="1" x="681"/>
        <item m="1" x="862"/>
        <item m="1" x="731"/>
        <item m="1" x="625"/>
        <item m="1" x="479"/>
        <item m="1" x="607"/>
        <item m="1" x="685"/>
        <item m="1" x="561"/>
        <item m="1" x="401"/>
        <item m="1" x="1057"/>
        <item m="1" x="379"/>
        <item m="1" x="485"/>
        <item m="1" x="1009"/>
        <item m="1" x="577"/>
        <item m="1" x="548"/>
        <item m="1" x="921"/>
        <item m="1" x="656"/>
        <item m="1" x="392"/>
        <item m="1" x="840"/>
        <item m="1" x="583"/>
        <item m="1" x="602"/>
        <item m="1" x="595"/>
        <item m="1" x="240"/>
        <item m="1" x="648"/>
        <item m="1" x="448"/>
        <item m="1" x="338"/>
        <item m="1" x="1085"/>
        <item m="1" x="642"/>
        <item m="1" x="341"/>
        <item m="1" x="942"/>
        <item m="1" x="600"/>
        <item m="1" x="628"/>
        <item m="1" x="260"/>
        <item m="1" x="367"/>
        <item m="1" x="888"/>
        <item m="1" x="569"/>
        <item m="1" x="684"/>
        <item m="1" x="269"/>
        <item m="1" x="670"/>
        <item m="1" x="800"/>
        <item m="1" x="369"/>
        <item m="1" x="475"/>
        <item m="1" x="387"/>
        <item m="1" x="495"/>
        <item m="1" x="483"/>
        <item m="1" x="319"/>
        <item m="1" x="999"/>
        <item m="1" x="863"/>
        <item m="1" x="652"/>
        <item m="1" x="248"/>
        <item m="1" x="751"/>
        <item m="1" x="963"/>
        <item m="1" x="842"/>
        <item m="1" x="585"/>
        <item m="1" x="620"/>
        <item m="1" x="767"/>
        <item m="1" x="398"/>
        <item m="1" x="901"/>
        <item m="1" x="690"/>
        <item m="1" x="604"/>
        <item m="1" x="841"/>
        <item m="1" x="806"/>
        <item m="1" x="775"/>
        <item m="1" x="742"/>
        <item m="1" x="978"/>
        <item m="1" x="756"/>
        <item m="1" x="255"/>
        <item m="1" x="241"/>
        <item m="1" x="390"/>
        <item m="1" x="770"/>
        <item m="1" x="431"/>
        <item m="1" x="755"/>
        <item m="1" x="958"/>
        <item m="1" x="452"/>
        <item m="1" x="399"/>
        <item m="1" x="757"/>
        <item m="1" x="730"/>
        <item m="1" x="494"/>
        <item m="1" x="490"/>
        <item m="1" x="957"/>
        <item m="1" x="521"/>
        <item m="1" x="829"/>
        <item m="1" x="752"/>
        <item m="1" x="985"/>
        <item m="1" x="1019"/>
        <item m="1" x="299"/>
        <item m="1" x="1071"/>
        <item m="1" x="703"/>
        <item m="1" x="538"/>
        <item m="1" x="925"/>
        <item m="1" x="310"/>
        <item m="1" x="991"/>
        <item m="1" x="837"/>
        <item m="1" x="535"/>
        <item m="1" x="510"/>
        <item m="1" x="491"/>
        <item m="1" x="552"/>
        <item m="1" x="903"/>
        <item m="1" x="487"/>
        <item m="1" x="235"/>
        <item m="1" x="993"/>
        <item m="1" x="919"/>
        <item m="1" x="668"/>
        <item m="1" x="579"/>
        <item m="1" x="953"/>
        <item m="1" x="645"/>
        <item m="1" x="614"/>
        <item m="1" x="321"/>
        <item m="1" x="562"/>
        <item m="1" x="689"/>
        <item m="1" x="661"/>
        <item m="1" x="667"/>
        <item m="1" x="246"/>
        <item m="1" x="332"/>
        <item m="1" x="474"/>
        <item m="1" x="397"/>
        <item m="1" x="917"/>
        <item m="1" x="920"/>
        <item m="1" x="853"/>
        <item m="1" x="876"/>
        <item m="1" x="462"/>
        <item m="1" x="1082"/>
        <item m="1" x="591"/>
        <item m="1" x="300"/>
        <item m="1" x="907"/>
        <item m="1" x="575"/>
        <item m="1" x="496"/>
        <item m="1" x="419"/>
        <item m="1" x="244"/>
        <item m="1" x="221"/>
        <item x="141"/>
        <item m="1" x="459"/>
        <item m="1" x="797"/>
        <item m="1" x="261"/>
        <item m="1" x="847"/>
        <item m="1" x="819"/>
        <item m="1" x="265"/>
        <item m="1" x="649"/>
        <item m="1" x="937"/>
        <item m="1" x="623"/>
        <item m="1" x="1032"/>
        <item m="1" x="877"/>
        <item m="1" x="977"/>
        <item m="1" x="669"/>
        <item m="1" x="275"/>
        <item m="1" x="954"/>
        <item m="1" x="832"/>
        <item m="1" x="858"/>
        <item m="1" x="433"/>
        <item m="1" x="582"/>
        <item m="1" x="892"/>
        <item m="1" x="554"/>
        <item m="1" x="935"/>
        <item m="1" x="377"/>
        <item m="1" x="723"/>
        <item m="1" x="477"/>
        <item m="1" x="314"/>
        <item m="1" x="792"/>
        <item m="1" x="811"/>
        <item m="1" x="630"/>
        <item m="1" x="701"/>
        <item m="1" x="702"/>
        <item m="1" x="696"/>
        <item m="1" x="983"/>
        <item m="1" x="389"/>
        <item m="1" x="995"/>
        <item m="1" x="1055"/>
        <item m="1" x="353"/>
        <item m="1" x="281"/>
        <item m="1" x="350"/>
        <item m="1" x="774"/>
        <item m="1" x="743"/>
        <item m="1" x="412"/>
        <item m="1" x="1000"/>
        <item m="1" x="835"/>
        <item m="1" x="234"/>
        <item m="1" x="342"/>
        <item m="1" x="956"/>
        <item m="1" x="586"/>
        <item m="1" x="838"/>
        <item m="1" x="818"/>
        <item m="1" x="799"/>
        <item m="1" x="680"/>
        <item m="1" x="571"/>
        <item m="1" x="546"/>
        <item m="1" x="258"/>
        <item m="1" x="371"/>
        <item m="1" x="969"/>
        <item m="1" x="1033"/>
        <item m="1" x="727"/>
        <item m="1" x="1078"/>
        <item m="1" x="290"/>
        <item m="1" x="766"/>
        <item m="1" x="830"/>
        <item m="1" x="1025"/>
        <item m="1" x="910"/>
        <item m="1" x="854"/>
        <item m="1" x="1042"/>
        <item m="1" x="804"/>
        <item m="1" x="699"/>
        <item m="1" x="356"/>
        <item m="1" x="733"/>
        <item m="1" x="931"/>
        <item m="1" x="1101"/>
        <item m="1" x="885"/>
        <item m="1" x="503"/>
        <item m="1" x="740"/>
        <item m="1" x="1073"/>
        <item m="1" x="686"/>
        <item m="1" x="551"/>
        <item m="1" x="673"/>
        <item m="1" x="581"/>
        <item m="1" x="1034"/>
        <item m="1" x="693"/>
        <item m="1" x="1008"/>
        <item m="1" x="758"/>
        <item m="1" x="454"/>
        <item m="1" x="331"/>
        <item m="1" x="233"/>
        <item m="1" x="1015"/>
        <item m="1" x="253"/>
        <item m="1" x="672"/>
        <item m="1" x="340"/>
        <item m="1" x="1003"/>
        <item m="1" x="1080"/>
        <item m="1" x="736"/>
        <item m="1" x="992"/>
        <item m="1" x="1069"/>
        <item m="1" x="695"/>
        <item m="1" x="981"/>
        <item m="1" x="362"/>
        <item m="1" x="951"/>
        <item m="1" x="245"/>
        <item m="1" x="790"/>
        <item m="1" x="501"/>
        <item m="1" x="563"/>
        <item m="1" x="1076"/>
        <item m="1" x="930"/>
        <item x="80"/>
        <item x="112"/>
        <item m="1" x="330"/>
        <item m="1" x="714"/>
        <item m="1" x="878"/>
        <item m="1" x="658"/>
        <item m="1" x="1093"/>
        <item m="1" x="782"/>
        <item m="1" x="1004"/>
        <item m="1" x="1049"/>
        <item m="1" x="873"/>
        <item m="1" x="480"/>
        <item m="1" x="1041"/>
        <item m="1" x="334"/>
        <item m="1" x="945"/>
        <item m="1" x="759"/>
        <item m="1" x="372"/>
        <item m="1" x="1021"/>
        <item m="1" x="533"/>
        <item m="1" x="831"/>
        <item m="1" x="257"/>
        <item m="1" x="457"/>
        <item m="1" x="515"/>
        <item m="1" x="716"/>
        <item m="1" x="955"/>
        <item m="1" x="550"/>
        <item m="1" x="572"/>
        <item x="5"/>
        <item x="64"/>
        <item m="1" x="729"/>
        <item m="1" x="666"/>
        <item m="1" x="282"/>
        <item m="1" x="657"/>
        <item m="1" x="375"/>
        <item m="1" x="773"/>
        <item m="1" x="251"/>
        <item m="1" x="1064"/>
        <item m="1" x="855"/>
        <item m="1" x="576"/>
        <item m="1" x="1059"/>
        <item m="1" x="996"/>
        <item x="13"/>
        <item m="1" x="458"/>
        <item m="1" x="749"/>
        <item x="4"/>
        <item x="165"/>
        <item m="1" x="914"/>
        <item m="1" x="242"/>
        <item x="207"/>
        <item x="114"/>
        <item m="1" x="856"/>
        <item x="155"/>
        <item x="200"/>
        <item x="147"/>
        <item x="153"/>
        <item m="1" x="779"/>
        <item m="1" x="813"/>
        <item x="148"/>
        <item m="1" x="311"/>
        <item m="1" x="539"/>
        <item x="142"/>
        <item x="143"/>
        <item m="1" x="886"/>
        <item x="133"/>
        <item x="146"/>
        <item x="163"/>
        <item x="164"/>
        <item x="49"/>
        <item x="56"/>
        <item x="57"/>
        <item x="92"/>
        <item x="94"/>
        <item x="77"/>
        <item x="126"/>
        <item x="127"/>
        <item m="1" x="825"/>
        <item x="130"/>
        <item x="132"/>
        <item x="135"/>
        <item x="136"/>
        <item x="139"/>
        <item x="140"/>
        <item x="189"/>
        <item m="1" x="891"/>
        <item x="69"/>
        <item x="107"/>
        <item x="108"/>
        <item x="109"/>
        <item x="110"/>
        <item x="111"/>
        <item x="115"/>
        <item m="1" x="531"/>
        <item x="118"/>
        <item x="194"/>
        <item x="144"/>
        <item x="145"/>
        <item x="131"/>
        <item x="129"/>
        <item x="138"/>
        <item x="150"/>
        <item x="151"/>
        <item x="152"/>
        <item x="137"/>
        <item x="154"/>
        <item x="167"/>
        <item x="157"/>
        <item x="159"/>
        <item x="161"/>
        <item x="2"/>
        <item x="168"/>
        <item x="162"/>
        <item x="158"/>
        <item x="1"/>
        <item x="169"/>
        <item x="160"/>
        <item x="156"/>
        <item x="166"/>
        <item x="170"/>
        <item x="171"/>
        <item x="213"/>
        <item x="215"/>
        <item x="216"/>
        <item x="219"/>
        <item x="218"/>
        <item x="217"/>
        <item x="214"/>
        <item m="1" x="357"/>
        <item m="1" x="828"/>
        <item t="default"/>
      </items>
    </pivotField>
    <pivotField compact="0" outline="0" showAll="0"/>
    <pivotField compact="0" numFmtId="1"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pivotField compact="0" numFmtId="1" outline="0" showAll="0"/>
    <pivotField compact="0" numFmtId="1" outline="0" showAll="0"/>
    <pivotField compact="0" numFmtId="1" outline="0" showAll="0"/>
    <pivotField compact="0" outline="0" showAll="0"/>
    <pivotField compact="0" numFmtId="9" outline="0" showAll="0"/>
    <pivotField compact="0" numFmtId="9"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1" outline="0" showAll="0" defaultSubtotal="0"/>
    <pivotField compact="0" numFmtId="9" outline="0" showAll="0"/>
    <pivotField dataField="1" compact="0" numFmtId="1" outline="0" showAll="0" defaultSubtotal="0"/>
    <pivotField compact="0" outline="0" showAll="0" defaultSubtotal="0"/>
    <pivotField compact="0"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numFmtId="9" outline="0" showAll="0"/>
    <pivotField compact="0" numFmtId="1" outline="0" showAll="0" defaultSubtotal="0"/>
    <pivotField compact="0" numFmtId="1" outline="0" showAll="0"/>
    <pivotField compact="0" numFmtId="1" outline="0" showAll="0" defaultSubtotal="0"/>
    <pivotField compact="0" numFmtId="1" outline="0" showAll="0"/>
    <pivotField compact="0" outline="0" showAll="0"/>
    <pivotField compact="0" numFmtId="9" outline="0" showAll="0"/>
    <pivotField compact="0" numFmtId="164" outline="0" showAll="0"/>
    <pivotField compact="0" numFmtId="164" outline="0" showAll="0"/>
    <pivotField compact="0" numFmtId="164" outline="0" showAll="0"/>
    <pivotField compact="0" numFmtId="164" outline="0" showAll="0"/>
    <pivotField compact="0"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6">
        <item x="0"/>
        <item x="1"/>
        <item m="1" x="4"/>
        <item m="1" x="2"/>
        <item m="1" x="3"/>
        <item t="default"/>
      </items>
    </pivotField>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7"/>
    <field x="0"/>
  </rowFields>
  <rowItems count="622">
    <i>
      <x v="4"/>
      <x v="26"/>
    </i>
    <i r="1">
      <x v="27"/>
    </i>
    <i t="default">
      <x v="4"/>
    </i>
    <i>
      <x v="5"/>
      <x v="26"/>
    </i>
    <i r="1">
      <x v="27"/>
    </i>
    <i t="default">
      <x v="5"/>
    </i>
    <i>
      <x v="6"/>
      <x v="26"/>
    </i>
    <i r="1">
      <x v="27"/>
    </i>
    <i t="default">
      <x v="6"/>
    </i>
    <i>
      <x v="7"/>
      <x v="26"/>
    </i>
    <i r="1">
      <x v="27"/>
    </i>
    <i t="default">
      <x v="7"/>
    </i>
    <i>
      <x v="37"/>
      <x v="26"/>
    </i>
    <i r="1">
      <x v="27"/>
    </i>
    <i t="default">
      <x v="37"/>
    </i>
    <i>
      <x v="47"/>
      <x v="26"/>
    </i>
    <i r="1">
      <x v="27"/>
    </i>
    <i t="default">
      <x v="47"/>
    </i>
    <i>
      <x v="61"/>
      <x v="26"/>
    </i>
    <i r="1">
      <x v="27"/>
    </i>
    <i t="default">
      <x v="61"/>
    </i>
    <i>
      <x v="65"/>
      <x v="26"/>
    </i>
    <i r="1">
      <x v="27"/>
    </i>
    <i t="default">
      <x v="65"/>
    </i>
    <i>
      <x v="72"/>
      <x v="26"/>
    </i>
    <i t="default">
      <x v="72"/>
    </i>
    <i>
      <x v="77"/>
      <x v="26"/>
    </i>
    <i r="1">
      <x v="27"/>
    </i>
    <i t="default">
      <x v="77"/>
    </i>
    <i>
      <x v="90"/>
      <x v="26"/>
    </i>
    <i r="1">
      <x v="27"/>
    </i>
    <i t="default">
      <x v="90"/>
    </i>
    <i>
      <x v="97"/>
      <x v="26"/>
    </i>
    <i t="default">
      <x v="97"/>
    </i>
    <i>
      <x v="99"/>
      <x v="26"/>
    </i>
    <i r="1">
      <x v="27"/>
    </i>
    <i t="default">
      <x v="99"/>
    </i>
    <i>
      <x v="100"/>
      <x v="26"/>
    </i>
    <i t="default">
      <x v="100"/>
    </i>
    <i>
      <x v="103"/>
      <x v="26"/>
    </i>
    <i r="1">
      <x v="27"/>
    </i>
    <i t="default">
      <x v="103"/>
    </i>
    <i>
      <x v="120"/>
      <x v="26"/>
    </i>
    <i r="1">
      <x v="27"/>
    </i>
    <i t="default">
      <x v="120"/>
    </i>
    <i>
      <x v="121"/>
      <x v="26"/>
    </i>
    <i r="1">
      <x v="27"/>
    </i>
    <i t="default">
      <x v="121"/>
    </i>
    <i>
      <x v="122"/>
      <x v="26"/>
    </i>
    <i r="1">
      <x v="27"/>
    </i>
    <i t="default">
      <x v="122"/>
    </i>
    <i>
      <x v="126"/>
      <x v="26"/>
    </i>
    <i r="1">
      <x v="27"/>
    </i>
    <i t="default">
      <x v="126"/>
    </i>
    <i>
      <x v="131"/>
      <x v="26"/>
    </i>
    <i r="1">
      <x v="27"/>
    </i>
    <i t="default">
      <x v="131"/>
    </i>
    <i>
      <x v="133"/>
      <x v="26"/>
    </i>
    <i r="1">
      <x v="27"/>
    </i>
    <i t="default">
      <x v="133"/>
    </i>
    <i>
      <x v="137"/>
      <x v="26"/>
    </i>
    <i r="1">
      <x v="27"/>
    </i>
    <i t="default">
      <x v="137"/>
    </i>
    <i>
      <x v="139"/>
      <x v="26"/>
    </i>
    <i r="1">
      <x v="27"/>
    </i>
    <i t="default">
      <x v="139"/>
    </i>
    <i>
      <x v="141"/>
      <x v="26"/>
    </i>
    <i r="1">
      <x v="27"/>
    </i>
    <i t="default">
      <x v="141"/>
    </i>
    <i>
      <x v="142"/>
      <x v="26"/>
    </i>
    <i r="1">
      <x v="27"/>
    </i>
    <i t="default">
      <x v="142"/>
    </i>
    <i>
      <x v="143"/>
      <x v="26"/>
    </i>
    <i r="1">
      <x v="27"/>
    </i>
    <i t="default">
      <x v="143"/>
    </i>
    <i>
      <x v="152"/>
      <x v="26"/>
    </i>
    <i r="1">
      <x v="27"/>
    </i>
    <i t="default">
      <x v="152"/>
    </i>
    <i>
      <x v="153"/>
      <x v="26"/>
    </i>
    <i r="1">
      <x v="27"/>
    </i>
    <i t="default">
      <x v="153"/>
    </i>
    <i>
      <x v="154"/>
      <x v="26"/>
    </i>
    <i r="1">
      <x v="27"/>
    </i>
    <i t="default">
      <x v="154"/>
    </i>
    <i>
      <x v="155"/>
      <x v="26"/>
    </i>
    <i r="1">
      <x v="27"/>
    </i>
    <i t="default">
      <x v="155"/>
    </i>
    <i>
      <x v="157"/>
      <x v="26"/>
    </i>
    <i r="1">
      <x v="27"/>
    </i>
    <i t="default">
      <x v="157"/>
    </i>
    <i>
      <x v="163"/>
      <x v="26"/>
    </i>
    <i r="1">
      <x v="27"/>
    </i>
    <i t="default">
      <x v="163"/>
    </i>
    <i>
      <x v="180"/>
      <x v="26"/>
    </i>
    <i t="default">
      <x v="180"/>
    </i>
    <i>
      <x v="187"/>
      <x v="26"/>
    </i>
    <i r="1">
      <x v="27"/>
    </i>
    <i t="default">
      <x v="187"/>
    </i>
    <i>
      <x v="201"/>
      <x v="26"/>
    </i>
    <i r="1">
      <x v="27"/>
    </i>
    <i t="default">
      <x v="201"/>
    </i>
    <i>
      <x v="202"/>
      <x v="26"/>
    </i>
    <i r="1">
      <x v="27"/>
    </i>
    <i t="default">
      <x v="202"/>
    </i>
    <i>
      <x v="235"/>
      <x v="26"/>
    </i>
    <i t="default">
      <x v="235"/>
    </i>
    <i>
      <x v="238"/>
      <x v="26"/>
    </i>
    <i r="1">
      <x v="27"/>
    </i>
    <i t="default">
      <x v="238"/>
    </i>
    <i>
      <x v="244"/>
      <x v="26"/>
    </i>
    <i r="1">
      <x v="27"/>
    </i>
    <i t="default">
      <x v="244"/>
    </i>
    <i>
      <x v="250"/>
      <x v="26"/>
    </i>
    <i r="1">
      <x v="27"/>
    </i>
    <i t="default">
      <x v="250"/>
    </i>
    <i>
      <x v="257"/>
      <x v="26"/>
    </i>
    <i r="1">
      <x v="27"/>
    </i>
    <i t="default">
      <x v="257"/>
    </i>
    <i>
      <x v="259"/>
      <x v="26"/>
    </i>
    <i r="1">
      <x v="27"/>
    </i>
    <i t="default">
      <x v="259"/>
    </i>
    <i>
      <x v="260"/>
      <x v="26"/>
    </i>
    <i r="1">
      <x v="27"/>
    </i>
    <i t="default">
      <x v="260"/>
    </i>
    <i>
      <x v="269"/>
      <x v="26"/>
    </i>
    <i r="1">
      <x v="27"/>
    </i>
    <i t="default">
      <x v="269"/>
    </i>
    <i>
      <x v="272"/>
      <x v="26"/>
    </i>
    <i r="1">
      <x v="27"/>
    </i>
    <i t="default">
      <x v="272"/>
    </i>
    <i>
      <x v="273"/>
      <x v="26"/>
    </i>
    <i r="1">
      <x v="27"/>
    </i>
    <i t="default">
      <x v="273"/>
    </i>
    <i>
      <x v="274"/>
      <x v="26"/>
    </i>
    <i r="1">
      <x v="27"/>
    </i>
    <i t="default">
      <x v="274"/>
    </i>
    <i>
      <x v="275"/>
      <x v="26"/>
    </i>
    <i t="default">
      <x v="275"/>
    </i>
    <i>
      <x v="276"/>
      <x v="26"/>
    </i>
    <i r="1">
      <x v="27"/>
    </i>
    <i t="default">
      <x v="276"/>
    </i>
    <i>
      <x v="277"/>
      <x v="26"/>
    </i>
    <i r="1">
      <x v="27"/>
    </i>
    <i t="default">
      <x v="277"/>
    </i>
    <i>
      <x v="278"/>
      <x v="26"/>
    </i>
    <i r="1">
      <x v="27"/>
    </i>
    <i t="default">
      <x v="278"/>
    </i>
    <i>
      <x v="279"/>
      <x v="26"/>
    </i>
    <i t="default">
      <x v="279"/>
    </i>
    <i>
      <x v="286"/>
      <x v="26"/>
    </i>
    <i r="1">
      <x v="27"/>
    </i>
    <i t="default">
      <x v="286"/>
    </i>
    <i>
      <x v="289"/>
      <x v="26"/>
    </i>
    <i r="1">
      <x v="27"/>
    </i>
    <i t="default">
      <x v="289"/>
    </i>
    <i>
      <x v="290"/>
      <x v="26"/>
    </i>
    <i r="1">
      <x v="27"/>
    </i>
    <i t="default">
      <x v="290"/>
    </i>
    <i>
      <x v="291"/>
      <x v="26"/>
    </i>
    <i r="1">
      <x v="27"/>
    </i>
    <i t="default">
      <x v="291"/>
    </i>
    <i>
      <x v="293"/>
      <x v="26"/>
    </i>
    <i r="1">
      <x v="27"/>
    </i>
    <i t="default">
      <x v="293"/>
    </i>
    <i>
      <x v="294"/>
      <x v="26"/>
    </i>
    <i r="1">
      <x v="27"/>
    </i>
    <i t="default">
      <x v="294"/>
    </i>
    <i>
      <x v="295"/>
      <x v="26"/>
    </i>
    <i r="1">
      <x v="27"/>
    </i>
    <i t="default">
      <x v="295"/>
    </i>
    <i>
      <x v="296"/>
      <x v="26"/>
    </i>
    <i r="1">
      <x v="27"/>
    </i>
    <i t="default">
      <x v="296"/>
    </i>
    <i>
      <x v="297"/>
      <x v="26"/>
    </i>
    <i r="1">
      <x v="27"/>
    </i>
    <i t="default">
      <x v="297"/>
    </i>
    <i>
      <x v="298"/>
      <x v="26"/>
    </i>
    <i r="1">
      <x v="27"/>
    </i>
    <i t="default">
      <x v="298"/>
    </i>
    <i>
      <x v="300"/>
      <x v="26"/>
    </i>
    <i r="1">
      <x v="27"/>
    </i>
    <i t="default">
      <x v="300"/>
    </i>
    <i>
      <x v="301"/>
      <x v="26"/>
    </i>
    <i r="1">
      <x v="27"/>
    </i>
    <i t="default">
      <x v="301"/>
    </i>
    <i>
      <x v="302"/>
      <x v="26"/>
    </i>
    <i r="1">
      <x v="27"/>
    </i>
    <i t="default">
      <x v="302"/>
    </i>
    <i>
      <x v="303"/>
      <x v="26"/>
    </i>
    <i r="1">
      <x v="27"/>
    </i>
    <i t="default">
      <x v="303"/>
    </i>
    <i>
      <x v="304"/>
      <x v="26"/>
    </i>
    <i r="1">
      <x v="27"/>
    </i>
    <i t="default">
      <x v="304"/>
    </i>
    <i>
      <x v="305"/>
      <x v="26"/>
    </i>
    <i t="default">
      <x v="305"/>
    </i>
    <i>
      <x v="307"/>
      <x v="26"/>
    </i>
    <i r="1">
      <x v="27"/>
    </i>
    <i t="default">
      <x v="307"/>
    </i>
    <i>
      <x v="308"/>
      <x v="26"/>
    </i>
    <i r="1">
      <x v="27"/>
    </i>
    <i t="default">
      <x v="308"/>
    </i>
    <i>
      <x v="309"/>
      <x v="26"/>
    </i>
    <i r="1">
      <x v="27"/>
    </i>
    <i t="default">
      <x v="309"/>
    </i>
    <i>
      <x v="310"/>
      <x v="26"/>
    </i>
    <i r="1">
      <x v="27"/>
    </i>
    <i t="default">
      <x v="310"/>
    </i>
    <i>
      <x v="314"/>
      <x v="26"/>
    </i>
    <i t="default">
      <x v="314"/>
    </i>
    <i>
      <x v="315"/>
      <x v="26"/>
    </i>
    <i t="default">
      <x v="315"/>
    </i>
    <i>
      <x v="317"/>
      <x v="26"/>
    </i>
    <i r="1">
      <x v="27"/>
    </i>
    <i t="default">
      <x v="317"/>
    </i>
    <i>
      <x v="323"/>
      <x v="26"/>
    </i>
    <i r="1">
      <x v="27"/>
    </i>
    <i t="default">
      <x v="323"/>
    </i>
    <i>
      <x v="324"/>
      <x v="26"/>
    </i>
    <i r="1">
      <x v="27"/>
    </i>
    <i t="default">
      <x v="324"/>
    </i>
    <i>
      <x v="328"/>
      <x v="26"/>
    </i>
    <i r="1">
      <x v="27"/>
    </i>
    <i t="default">
      <x v="328"/>
    </i>
    <i>
      <x v="343"/>
      <x v="26"/>
    </i>
    <i r="1">
      <x v="27"/>
    </i>
    <i t="default">
      <x v="343"/>
    </i>
    <i>
      <x v="347"/>
      <x v="26"/>
    </i>
    <i r="1">
      <x v="27"/>
    </i>
    <i t="default">
      <x v="347"/>
    </i>
    <i>
      <x v="351"/>
      <x v="26"/>
    </i>
    <i r="1">
      <x v="27"/>
    </i>
    <i t="default">
      <x v="351"/>
    </i>
    <i>
      <x v="359"/>
      <x v="26"/>
    </i>
    <i r="1">
      <x v="27"/>
    </i>
    <i t="default">
      <x v="359"/>
    </i>
    <i>
      <x v="369"/>
      <x v="26"/>
    </i>
    <i r="1">
      <x v="27"/>
    </i>
    <i t="default">
      <x v="369"/>
    </i>
    <i>
      <x v="370"/>
      <x v="26"/>
    </i>
    <i r="1">
      <x v="27"/>
    </i>
    <i t="default">
      <x v="370"/>
    </i>
    <i>
      <x v="371"/>
      <x v="26"/>
    </i>
    <i t="default">
      <x v="371"/>
    </i>
    <i>
      <x v="372"/>
      <x v="26"/>
    </i>
    <i r="1">
      <x v="27"/>
    </i>
    <i t="default">
      <x v="372"/>
    </i>
    <i>
      <x v="374"/>
      <x v="26"/>
    </i>
    <i r="1">
      <x v="27"/>
    </i>
    <i t="default">
      <x v="374"/>
    </i>
    <i>
      <x v="376"/>
      <x v="26"/>
    </i>
    <i r="1">
      <x v="27"/>
    </i>
    <i t="default">
      <x v="376"/>
    </i>
    <i>
      <x v="377"/>
      <x v="26"/>
    </i>
    <i r="1">
      <x v="27"/>
    </i>
    <i t="default">
      <x v="377"/>
    </i>
    <i>
      <x v="378"/>
      <x v="26"/>
    </i>
    <i r="1">
      <x v="27"/>
    </i>
    <i t="default">
      <x v="378"/>
    </i>
    <i>
      <x v="379"/>
      <x v="26"/>
    </i>
    <i t="default">
      <x v="379"/>
    </i>
    <i>
      <x v="382"/>
      <x v="26"/>
    </i>
    <i r="1">
      <x v="27"/>
    </i>
    <i t="default">
      <x v="382"/>
    </i>
    <i>
      <x v="384"/>
      <x v="26"/>
    </i>
    <i r="1">
      <x v="27"/>
    </i>
    <i t="default">
      <x v="384"/>
    </i>
    <i>
      <x v="387"/>
      <x v="26"/>
    </i>
    <i r="1">
      <x v="27"/>
    </i>
    <i t="default">
      <x v="387"/>
    </i>
    <i>
      <x v="391"/>
      <x v="26"/>
    </i>
    <i r="1">
      <x v="27"/>
    </i>
    <i t="default">
      <x v="391"/>
    </i>
    <i>
      <x v="395"/>
      <x v="26"/>
    </i>
    <i t="default">
      <x v="395"/>
    </i>
    <i>
      <x v="396"/>
      <x v="26"/>
    </i>
    <i r="1">
      <x v="27"/>
    </i>
    <i t="default">
      <x v="396"/>
    </i>
    <i>
      <x v="399"/>
      <x v="26"/>
    </i>
    <i r="1">
      <x v="27"/>
    </i>
    <i t="default">
      <x v="399"/>
    </i>
    <i>
      <x v="400"/>
      <x v="26"/>
    </i>
    <i r="1">
      <x v="27"/>
    </i>
    <i t="default">
      <x v="400"/>
    </i>
    <i>
      <x v="421"/>
      <x v="26"/>
    </i>
    <i r="1">
      <x v="27"/>
    </i>
    <i t="default">
      <x v="421"/>
    </i>
    <i>
      <x v="424"/>
      <x v="26"/>
    </i>
    <i r="1">
      <x v="27"/>
    </i>
    <i t="default">
      <x v="424"/>
    </i>
    <i>
      <x v="429"/>
      <x v="26"/>
    </i>
    <i r="1">
      <x v="27"/>
    </i>
    <i t="default">
      <x v="429"/>
    </i>
    <i>
      <x v="446"/>
      <x v="26"/>
    </i>
    <i r="1">
      <x v="27"/>
    </i>
    <i t="default">
      <x v="446"/>
    </i>
    <i>
      <x v="447"/>
      <x v="26"/>
    </i>
    <i r="1">
      <x v="27"/>
    </i>
    <i t="default">
      <x v="447"/>
    </i>
    <i>
      <x v="448"/>
      <x v="26"/>
    </i>
    <i r="1">
      <x v="27"/>
    </i>
    <i t="default">
      <x v="448"/>
    </i>
    <i>
      <x v="450"/>
      <x v="26"/>
    </i>
    <i r="1">
      <x v="27"/>
    </i>
    <i t="default">
      <x v="450"/>
    </i>
    <i>
      <x v="454"/>
      <x v="26"/>
    </i>
    <i r="1">
      <x v="27"/>
    </i>
    <i t="default">
      <x v="454"/>
    </i>
    <i>
      <x v="458"/>
      <x v="26"/>
    </i>
    <i r="1">
      <x v="27"/>
    </i>
    <i t="default">
      <x v="458"/>
    </i>
    <i>
      <x v="464"/>
      <x v="26"/>
    </i>
    <i r="1">
      <x v="27"/>
    </i>
    <i t="default">
      <x v="464"/>
    </i>
    <i>
      <x v="491"/>
      <x v="26"/>
    </i>
    <i r="1">
      <x v="27"/>
    </i>
    <i t="default">
      <x v="491"/>
    </i>
    <i>
      <x v="492"/>
      <x v="26"/>
    </i>
    <i r="1">
      <x v="27"/>
    </i>
    <i t="default">
      <x v="492"/>
    </i>
    <i>
      <x v="501"/>
      <x v="26"/>
    </i>
    <i r="1">
      <x v="27"/>
    </i>
    <i t="default">
      <x v="501"/>
    </i>
    <i>
      <x v="503"/>
      <x v="26"/>
    </i>
    <i r="1">
      <x v="27"/>
    </i>
    <i t="default">
      <x v="503"/>
    </i>
    <i>
      <x v="509"/>
      <x v="26"/>
    </i>
    <i r="1">
      <x v="27"/>
    </i>
    <i t="default">
      <x v="509"/>
    </i>
    <i>
      <x v="511"/>
      <x v="26"/>
    </i>
    <i r="1">
      <x v="27"/>
    </i>
    <i t="default">
      <x v="511"/>
    </i>
    <i>
      <x v="517"/>
      <x v="26"/>
    </i>
    <i r="1">
      <x v="27"/>
    </i>
    <i t="default">
      <x v="517"/>
    </i>
    <i>
      <x v="529"/>
      <x v="26"/>
    </i>
    <i r="1">
      <x v="27"/>
    </i>
    <i t="default">
      <x v="529"/>
    </i>
    <i>
      <x v="533"/>
      <x v="26"/>
    </i>
    <i r="1">
      <x v="27"/>
    </i>
    <i t="default">
      <x v="533"/>
    </i>
    <i>
      <x v="535"/>
      <x v="26"/>
    </i>
    <i t="default">
      <x v="535"/>
    </i>
    <i>
      <x v="539"/>
      <x v="26"/>
    </i>
    <i r="1">
      <x v="27"/>
    </i>
    <i t="default">
      <x v="539"/>
    </i>
    <i>
      <x v="540"/>
      <x v="26"/>
    </i>
    <i r="1">
      <x v="27"/>
    </i>
    <i t="default">
      <x v="540"/>
    </i>
    <i>
      <x v="542"/>
      <x v="26"/>
    </i>
    <i r="1">
      <x v="27"/>
    </i>
    <i t="default">
      <x v="542"/>
    </i>
    <i>
      <x v="543"/>
      <x v="26"/>
    </i>
    <i r="1">
      <x v="27"/>
    </i>
    <i t="default">
      <x v="543"/>
    </i>
    <i>
      <x v="544"/>
      <x v="26"/>
    </i>
    <i r="1">
      <x v="27"/>
    </i>
    <i t="default">
      <x v="544"/>
    </i>
    <i>
      <x v="555"/>
      <x v="26"/>
    </i>
    <i r="1">
      <x v="27"/>
    </i>
    <i t="default">
      <x v="555"/>
    </i>
    <i>
      <x v="568"/>
      <x v="26"/>
    </i>
    <i r="1">
      <x v="27"/>
    </i>
    <i t="default">
      <x v="568"/>
    </i>
    <i>
      <x v="582"/>
      <x v="26"/>
    </i>
    <i r="1">
      <x v="27"/>
    </i>
    <i t="default">
      <x v="582"/>
    </i>
    <i>
      <x v="583"/>
      <x v="26"/>
    </i>
    <i r="1">
      <x v="27"/>
    </i>
    <i t="default">
      <x v="583"/>
    </i>
    <i>
      <x v="587"/>
      <x v="26"/>
    </i>
    <i r="1">
      <x v="27"/>
    </i>
    <i t="default">
      <x v="587"/>
    </i>
    <i>
      <x v="588"/>
      <x v="26"/>
    </i>
    <i r="1">
      <x v="27"/>
    </i>
    <i t="default">
      <x v="588"/>
    </i>
    <i>
      <x v="590"/>
      <x v="26"/>
    </i>
    <i r="1">
      <x v="27"/>
    </i>
    <i t="default">
      <x v="590"/>
    </i>
    <i>
      <x v="591"/>
      <x v="26"/>
    </i>
    <i r="1">
      <x v="27"/>
    </i>
    <i t="default">
      <x v="591"/>
    </i>
    <i>
      <x v="628"/>
      <x v="26"/>
    </i>
    <i r="1">
      <x v="27"/>
    </i>
    <i t="default">
      <x v="628"/>
    </i>
    <i>
      <x v="658"/>
      <x v="26"/>
    </i>
    <i r="1">
      <x v="27"/>
    </i>
    <i t="default">
      <x v="658"/>
    </i>
    <i>
      <x v="660"/>
      <x v="26"/>
    </i>
    <i r="1">
      <x v="27"/>
    </i>
    <i t="default">
      <x v="660"/>
    </i>
    <i>
      <x v="669"/>
      <x v="26"/>
    </i>
    <i r="1">
      <x v="27"/>
    </i>
    <i t="default">
      <x v="669"/>
    </i>
    <i>
      <x v="670"/>
      <x v="26"/>
    </i>
    <i r="1">
      <x v="27"/>
    </i>
    <i t="default">
      <x v="670"/>
    </i>
    <i>
      <x v="673"/>
      <x v="26"/>
    </i>
    <i t="default">
      <x v="673"/>
    </i>
    <i>
      <x v="679"/>
      <x v="26"/>
    </i>
    <i r="1">
      <x v="27"/>
    </i>
    <i t="default">
      <x v="679"/>
    </i>
    <i>
      <x v="680"/>
      <x v="26"/>
    </i>
    <i r="1">
      <x v="27"/>
    </i>
    <i t="default">
      <x v="680"/>
    </i>
    <i>
      <x v="681"/>
      <x v="26"/>
    </i>
    <i r="1">
      <x v="27"/>
    </i>
    <i t="default">
      <x v="681"/>
    </i>
    <i>
      <x v="693"/>
      <x v="26"/>
    </i>
    <i t="default">
      <x v="693"/>
    </i>
    <i>
      <x v="722"/>
      <x v="26"/>
    </i>
    <i r="1">
      <x v="27"/>
    </i>
    <i t="default">
      <x v="722"/>
    </i>
    <i>
      <x v="866"/>
      <x v="26"/>
    </i>
    <i t="default">
      <x v="866"/>
    </i>
    <i>
      <x v="974"/>
      <x v="26"/>
    </i>
    <i r="1">
      <x v="27"/>
    </i>
    <i t="default">
      <x v="974"/>
    </i>
    <i>
      <x v="975"/>
      <x v="26"/>
    </i>
    <i t="default">
      <x v="975"/>
    </i>
    <i>
      <x v="1001"/>
      <x v="26"/>
    </i>
    <i r="1">
      <x v="27"/>
    </i>
    <i t="default">
      <x v="1001"/>
    </i>
    <i>
      <x v="1002"/>
      <x v="26"/>
    </i>
    <i r="1">
      <x v="27"/>
    </i>
    <i t="default">
      <x v="1002"/>
    </i>
    <i>
      <x v="1015"/>
      <x v="26"/>
    </i>
    <i t="default">
      <x v="1015"/>
    </i>
    <i>
      <x v="1018"/>
      <x v="26"/>
    </i>
    <i r="1">
      <x v="27"/>
    </i>
    <i t="default">
      <x v="1018"/>
    </i>
    <i>
      <x v="1019"/>
      <x v="26"/>
    </i>
    <i r="1">
      <x v="27"/>
    </i>
    <i t="default">
      <x v="1019"/>
    </i>
    <i>
      <x v="1022"/>
      <x v="26"/>
    </i>
    <i r="1">
      <x v="27"/>
    </i>
    <i t="default">
      <x v="1022"/>
    </i>
    <i>
      <x v="1023"/>
      <x v="26"/>
    </i>
    <i t="default">
      <x v="1023"/>
    </i>
    <i>
      <x v="1025"/>
      <x v="26"/>
    </i>
    <i r="1">
      <x v="27"/>
    </i>
    <i t="default">
      <x v="1025"/>
    </i>
    <i>
      <x v="1026"/>
      <x v="26"/>
    </i>
    <i r="1">
      <x v="27"/>
    </i>
    <i t="default">
      <x v="1026"/>
    </i>
    <i>
      <x v="1027"/>
      <x v="26"/>
    </i>
    <i r="1">
      <x v="27"/>
    </i>
    <i t="default">
      <x v="1027"/>
    </i>
    <i>
      <x v="1028"/>
      <x v="26"/>
    </i>
    <i r="1">
      <x v="27"/>
    </i>
    <i t="default">
      <x v="1028"/>
    </i>
    <i>
      <x v="1031"/>
      <x v="26"/>
    </i>
    <i r="1">
      <x v="27"/>
    </i>
    <i t="default">
      <x v="1031"/>
    </i>
    <i>
      <x v="1034"/>
      <x v="26"/>
    </i>
    <i r="1">
      <x v="27"/>
    </i>
    <i t="default">
      <x v="1034"/>
    </i>
    <i>
      <x v="1035"/>
      <x v="26"/>
    </i>
    <i r="1">
      <x v="27"/>
    </i>
    <i t="default">
      <x v="1035"/>
    </i>
    <i>
      <x v="1037"/>
      <x v="26"/>
    </i>
    <i r="1">
      <x v="27"/>
    </i>
    <i t="default">
      <x v="1037"/>
    </i>
    <i>
      <x v="1038"/>
      <x v="26"/>
    </i>
    <i t="default">
      <x v="1038"/>
    </i>
    <i>
      <x v="1039"/>
      <x v="26"/>
    </i>
    <i r="1">
      <x v="27"/>
    </i>
    <i t="default">
      <x v="1039"/>
    </i>
    <i>
      <x v="1040"/>
      <x v="26"/>
    </i>
    <i r="1">
      <x v="27"/>
    </i>
    <i t="default">
      <x v="1040"/>
    </i>
    <i>
      <x v="1041"/>
      <x v="26"/>
    </i>
    <i t="default">
      <x v="1041"/>
    </i>
    <i>
      <x v="1042"/>
      <x v="26"/>
    </i>
    <i r="1">
      <x v="27"/>
    </i>
    <i t="default">
      <x v="1042"/>
    </i>
    <i>
      <x v="1043"/>
      <x v="26"/>
    </i>
    <i r="1">
      <x v="27"/>
    </i>
    <i t="default">
      <x v="1043"/>
    </i>
    <i>
      <x v="1044"/>
      <x v="26"/>
    </i>
    <i r="1">
      <x v="27"/>
    </i>
    <i t="default">
      <x v="1044"/>
    </i>
    <i>
      <x v="1045"/>
      <x v="26"/>
    </i>
    <i r="1">
      <x v="27"/>
    </i>
    <i t="default">
      <x v="1045"/>
    </i>
    <i>
      <x v="1046"/>
      <x v="26"/>
    </i>
    <i r="1">
      <x v="27"/>
    </i>
    <i t="default">
      <x v="1046"/>
    </i>
    <i>
      <x v="1047"/>
      <x v="26"/>
    </i>
    <i r="1">
      <x v="27"/>
    </i>
    <i t="default">
      <x v="1047"/>
    </i>
    <i>
      <x v="1048"/>
      <x v="26"/>
    </i>
    <i r="1">
      <x v="27"/>
    </i>
    <i t="default">
      <x v="1048"/>
    </i>
    <i>
      <x v="1050"/>
      <x v="26"/>
    </i>
    <i r="1">
      <x v="27"/>
    </i>
    <i t="default">
      <x v="1050"/>
    </i>
    <i>
      <x v="1051"/>
      <x v="26"/>
    </i>
    <i r="1">
      <x v="27"/>
    </i>
    <i t="default">
      <x v="1051"/>
    </i>
    <i>
      <x v="1052"/>
      <x v="26"/>
    </i>
    <i r="1">
      <x v="27"/>
    </i>
    <i t="default">
      <x v="1052"/>
    </i>
    <i>
      <x v="1053"/>
      <x v="26"/>
    </i>
    <i r="1">
      <x v="27"/>
    </i>
    <i t="default">
      <x v="1053"/>
    </i>
    <i>
      <x v="1054"/>
      <x v="26"/>
    </i>
    <i r="1">
      <x v="27"/>
    </i>
    <i t="default">
      <x v="1054"/>
    </i>
    <i>
      <x v="1055"/>
      <x v="26"/>
    </i>
    <i r="1">
      <x v="27"/>
    </i>
    <i t="default">
      <x v="1055"/>
    </i>
    <i>
      <x v="1056"/>
      <x v="26"/>
    </i>
    <i r="1">
      <x v="27"/>
    </i>
    <i t="default">
      <x v="1056"/>
    </i>
    <i>
      <x v="1058"/>
      <x v="26"/>
    </i>
    <i t="default">
      <x v="1058"/>
    </i>
    <i>
      <x v="1059"/>
      <x v="26"/>
    </i>
    <i r="1">
      <x v="27"/>
    </i>
    <i t="default">
      <x v="1059"/>
    </i>
    <i>
      <x v="1060"/>
      <x v="26"/>
    </i>
    <i r="1">
      <x v="27"/>
    </i>
    <i t="default">
      <x v="1060"/>
    </i>
    <i>
      <x v="1061"/>
      <x v="26"/>
    </i>
    <i r="1">
      <x v="27"/>
    </i>
    <i t="default">
      <x v="1061"/>
    </i>
    <i>
      <x v="1062"/>
      <x v="26"/>
    </i>
    <i t="default">
      <x v="1062"/>
    </i>
    <i>
      <x v="1063"/>
      <x v="26"/>
    </i>
    <i r="1">
      <x v="27"/>
    </i>
    <i t="default">
      <x v="1063"/>
    </i>
    <i>
      <x v="1064"/>
      <x v="26"/>
    </i>
    <i t="default">
      <x v="1064"/>
    </i>
    <i>
      <x v="1066"/>
      <x v="26"/>
    </i>
    <i t="default">
      <x v="1066"/>
    </i>
    <i>
      <x v="1067"/>
      <x v="26"/>
    </i>
    <i r="1">
      <x v="27"/>
    </i>
    <i t="default">
      <x v="1067"/>
    </i>
    <i>
      <x v="1068"/>
      <x v="26"/>
    </i>
    <i r="1">
      <x v="27"/>
    </i>
    <i t="default">
      <x v="1068"/>
    </i>
    <i>
      <x v="1069"/>
      <x v="26"/>
    </i>
    <i r="1">
      <x v="27"/>
    </i>
    <i t="default">
      <x v="1069"/>
    </i>
    <i>
      <x v="1070"/>
      <x v="26"/>
    </i>
    <i r="1">
      <x v="27"/>
    </i>
    <i t="default">
      <x v="1070"/>
    </i>
    <i>
      <x v="1071"/>
      <x v="26"/>
    </i>
    <i r="1">
      <x v="27"/>
    </i>
    <i t="default">
      <x v="1071"/>
    </i>
    <i>
      <x v="1072"/>
      <x v="26"/>
    </i>
    <i r="1">
      <x v="27"/>
    </i>
    <i t="default">
      <x v="1072"/>
    </i>
    <i>
      <x v="1073"/>
      <x v="26"/>
    </i>
    <i r="1">
      <x v="27"/>
    </i>
    <i t="default">
      <x v="1073"/>
    </i>
    <i>
      <x v="1074"/>
      <x v="26"/>
    </i>
    <i r="1">
      <x v="27"/>
    </i>
    <i t="default">
      <x v="1074"/>
    </i>
    <i>
      <x v="1075"/>
      <x v="26"/>
    </i>
    <i r="1">
      <x v="27"/>
    </i>
    <i t="default">
      <x v="1075"/>
    </i>
    <i>
      <x v="1076"/>
      <x v="26"/>
    </i>
    <i r="1">
      <x v="27"/>
    </i>
    <i t="default">
      <x v="1076"/>
    </i>
    <i>
      <x v="1077"/>
      <x v="26"/>
    </i>
    <i t="default">
      <x v="1077"/>
    </i>
    <i>
      <x v="1078"/>
      <x v="26"/>
    </i>
    <i t="default">
      <x v="1078"/>
    </i>
    <i>
      <x v="1079"/>
      <x v="26"/>
    </i>
    <i r="1">
      <x v="27"/>
    </i>
    <i t="default">
      <x v="1079"/>
    </i>
    <i>
      <x v="1080"/>
      <x v="26"/>
    </i>
    <i r="1">
      <x v="27"/>
    </i>
    <i t="default">
      <x v="1080"/>
    </i>
    <i>
      <x v="1081"/>
      <x v="26"/>
    </i>
    <i r="1">
      <x v="27"/>
    </i>
    <i t="default">
      <x v="1081"/>
    </i>
    <i>
      <x v="1082"/>
      <x v="26"/>
    </i>
    <i r="1">
      <x v="27"/>
    </i>
    <i t="default">
      <x v="1082"/>
    </i>
    <i>
      <x v="1083"/>
      <x v="26"/>
    </i>
    <i t="default">
      <x v="1083"/>
    </i>
    <i>
      <x v="1084"/>
      <x v="26"/>
    </i>
    <i r="1">
      <x v="27"/>
    </i>
    <i t="default">
      <x v="1084"/>
    </i>
    <i>
      <x v="1085"/>
      <x v="26"/>
    </i>
    <i r="1">
      <x v="27"/>
    </i>
    <i t="default">
      <x v="1085"/>
    </i>
    <i>
      <x v="1086"/>
      <x v="26"/>
    </i>
    <i r="1">
      <x v="27"/>
    </i>
    <i t="default">
      <x v="1086"/>
    </i>
    <i>
      <x v="1087"/>
      <x v="26"/>
    </i>
    <i r="1">
      <x v="27"/>
    </i>
    <i t="default">
      <x v="1087"/>
    </i>
    <i>
      <x v="1088"/>
      <x v="26"/>
    </i>
    <i r="1">
      <x v="27"/>
    </i>
    <i t="default">
      <x v="1088"/>
    </i>
    <i>
      <x v="1089"/>
      <x v="26"/>
    </i>
    <i r="1">
      <x v="27"/>
    </i>
    <i t="default">
      <x v="1089"/>
    </i>
    <i>
      <x v="1090"/>
      <x v="26"/>
    </i>
    <i t="default">
      <x v="1090"/>
    </i>
    <i>
      <x v="1091"/>
      <x v="26"/>
    </i>
    <i t="default">
      <x v="1091"/>
    </i>
    <i>
      <x v="1092"/>
      <x v="26"/>
    </i>
    <i t="default">
      <x v="1092"/>
    </i>
    <i>
      <x v="1093"/>
      <x v="27"/>
    </i>
    <i t="default">
      <x v="1093"/>
    </i>
    <i>
      <x v="1094"/>
      <x v="27"/>
    </i>
    <i t="default">
      <x v="1094"/>
    </i>
    <i>
      <x v="1095"/>
      <x v="27"/>
    </i>
    <i t="default">
      <x v="1095"/>
    </i>
    <i>
      <x v="1096"/>
      <x v="27"/>
    </i>
    <i t="default">
      <x v="1096"/>
    </i>
    <i>
      <x v="1097"/>
      <x v="27"/>
    </i>
    <i t="default">
      <x v="1097"/>
    </i>
    <i>
      <x v="1098"/>
      <x v="27"/>
    </i>
    <i t="default">
      <x v="1098"/>
    </i>
    <i>
      <x v="1099"/>
      <x v="27"/>
    </i>
    <i t="default">
      <x v="1099"/>
    </i>
    <i t="grand">
      <x/>
    </i>
  </rowItems>
  <colFields count="1">
    <field x="-2"/>
  </colFields>
  <colItems count="3">
    <i>
      <x/>
    </i>
    <i i="1">
      <x v="1"/>
    </i>
    <i i="2">
      <x v="2"/>
    </i>
  </colItems>
  <pageFields count="1">
    <pageField fld="146" hier="-1"/>
  </pageFields>
  <dataFields count="3">
    <dataField name="# of People adopt basic personal and community hygiene practices" fld="120" baseField="0" baseItem="0"/>
    <dataField name="# of people access to functioning  sanitation facilities" fld="108" baseField="0" baseItem="0"/>
    <dataField name="# of people Equitable and continuous access to sufficient quantity of domestic water" fld="100" baseField="0" baseItem="0"/>
  </dataFields>
  <chartFormats count="3">
    <chartFormat chart="3"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1"/>
          </reference>
        </references>
      </pivotArea>
    </chartFormat>
    <chartFormat chart="3" format="7"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149D3C6-8789-4AF0-81CB-6DB4215F9A62}" name="PivotTable1" cacheId="12" applyNumberFormats="0" applyBorderFormats="0" applyFontFormats="0" applyPatternFormats="0" applyAlignmentFormats="0" applyWidthHeightFormats="1" dataCaption="Values" updatedVersion="7" minRefreshableVersion="3" rowGrandTotals="0" colGrandTotals="0" itemPrintTitles="1" createdVersion="6" indent="0" showHeaders="0" compact="0" compactData="0" multipleFieldFilters="0">
  <location ref="A6:O125" firstHeaderRow="0" firstDataRow="1" firstDataCol="1" rowPageCount="4" colPageCount="1"/>
  <pivotFields count="160">
    <pivotField axis="axisPage" compact="0" outline="0" subtotalTop="0" showAll="0" defaultSubtotal="0">
      <items count="28">
        <item m="1" x="25"/>
        <item m="1" x="26"/>
        <item m="1" x="12"/>
        <item m="1" x="27"/>
        <item m="1" x="19"/>
        <item m="1" x="21"/>
        <item m="1" x="23"/>
        <item m="1" x="24"/>
        <item m="1" x="7"/>
        <item m="1" x="15"/>
        <item m="1" x="17"/>
        <item m="1" x="20"/>
        <item m="1" x="22"/>
        <item m="1" x="10"/>
        <item m="1" x="13"/>
        <item m="1" x="16"/>
        <item m="1" x="18"/>
        <item m="1" x="5"/>
        <item m="1" x="8"/>
        <item m="1" x="11"/>
        <item m="1" x="14"/>
        <item m="1" x="3"/>
        <item m="1" x="4"/>
        <item m="1" x="6"/>
        <item m="1" x="9"/>
        <item x="0"/>
        <item x="1"/>
        <item m="1" x="2"/>
      </items>
    </pivotField>
    <pivotField compact="0" outline="0" showAll="0" defaultSubtotal="0"/>
    <pivotField compact="0" outline="0" showAll="0" defaultSubtotal="0"/>
    <pivotField compact="0" outline="0" subtotalTop="0" showAll="0" defaultSubtotal="0"/>
    <pivotField axis="axisPage" compact="0" outline="0" subtotalTop="0" showAll="0" defaultSubtotal="0">
      <items count="6">
        <item x="1"/>
        <item m="1" x="4"/>
        <item x="0"/>
        <item m="1" x="2"/>
        <item m="1" x="3"/>
        <item m="1" x="5"/>
      </items>
    </pivotField>
    <pivotField compact="0" outline="0" subtotalTop="0" showAll="0" defaultSubtotal="0"/>
    <pivotField compact="0" outline="0" multipleItemSelectionAllowed="1" showAll="0" defaultSubtotal="0"/>
    <pivotField axis="axisRow" compact="0" outline="0" subtotalTop="0" showAll="0" defaultSubtotal="0">
      <items count="1102">
        <item m="1" x="942"/>
        <item m="1" x="1085"/>
        <item m="1" x="515"/>
        <item m="1" x="762"/>
        <item m="1" x="330"/>
        <item m="1" x="526"/>
        <item m="1" x="644"/>
        <item m="1" x="1049"/>
        <item m="1" x="1058"/>
        <item x="199"/>
        <item x="174"/>
        <item x="175"/>
        <item x="47"/>
        <item m="1" x="499"/>
        <item m="1" x="382"/>
        <item m="1" x="632"/>
        <item m="1" x="294"/>
        <item m="1" x="758"/>
        <item m="1" x="337"/>
        <item m="1" x="606"/>
        <item m="1" x="724"/>
        <item m="1" x="738"/>
        <item m="1" x="931"/>
        <item m="1" x="875"/>
        <item m="1" x="511"/>
        <item m="1" x="797"/>
        <item m="1" x="339"/>
        <item m="1" x="1007"/>
        <item m="1" x="911"/>
        <item m="1" x="351"/>
        <item m="1" x="787"/>
        <item m="1" x="567"/>
        <item m="1" x="949"/>
        <item m="1" x="889"/>
        <item m="1" x="972"/>
        <item m="1" x="919"/>
        <item m="1" x="854"/>
        <item m="1" x="736"/>
        <item m="1" x="449"/>
        <item m="1" x="994"/>
        <item m="1" x="420"/>
        <item m="1" x="866"/>
        <item m="1" x="487"/>
        <item m="1" x="1009"/>
        <item m="1" x="455"/>
        <item m="1" x="472"/>
        <item m="1" x="853"/>
        <item m="1" x="454"/>
        <item m="1" x="835"/>
        <item m="1" x="582"/>
        <item m="1" x="1034"/>
        <item m="1" x="338"/>
        <item m="1" x="761"/>
        <item m="1" x="470"/>
        <item m="1" x="1086"/>
        <item m="1" x="378"/>
        <item m="1" x="910"/>
        <item m="1" x="1084"/>
        <item m="1" x="246"/>
        <item m="1" x="811"/>
        <item m="1" x="630"/>
        <item m="1" x="701"/>
        <item m="1" x="702"/>
        <item m="1" x="696"/>
        <item m="1" x="265"/>
        <item x="70"/>
        <item m="1" x="1045"/>
        <item m="1" x="1087"/>
        <item m="1" x="798"/>
        <item m="1" x="523"/>
        <item m="1" x="1080"/>
        <item m="1" x="713"/>
        <item m="1" x="1095"/>
        <item m="1" x="546"/>
        <item m="1" x="1057"/>
        <item m="1" x="407"/>
        <item m="1" x="268"/>
        <item m="1" x="258"/>
        <item m="1" x="733"/>
        <item m="1" x="1000"/>
        <item m="1" x="440"/>
        <item x="176"/>
        <item m="1" x="362"/>
        <item m="1" x="456"/>
        <item m="1" x="947"/>
        <item m="1" x="900"/>
        <item m="1" x="730"/>
        <item m="1" x="964"/>
        <item m="1" x="283"/>
        <item m="1" x="393"/>
        <item m="1" x="619"/>
        <item m="1" x="244"/>
        <item m="1" x="859"/>
        <item m="1" x="681"/>
        <item m="1" x="1013"/>
        <item m="1" x="860"/>
        <item m="1" x="956"/>
        <item m="1" x="615"/>
        <item m="1" x="661"/>
        <item m="1" x="768"/>
        <item m="1" x="589"/>
        <item m="1" x="571"/>
        <item m="1" x="496"/>
        <item m="1" x="450"/>
        <item x="67"/>
        <item m="1" x="1081"/>
        <item m="1" x="1035"/>
        <item m="1" x="795"/>
        <item m="1" x="538"/>
        <item m="1" x="855"/>
        <item x="209"/>
        <item m="1" x="672"/>
        <item m="1" x="1001"/>
        <item m="1" x="482"/>
        <item m="1" x="390"/>
        <item m="1" x="785"/>
        <item m="1" x="756"/>
        <item m="1" x="817"/>
        <item m="1" x="256"/>
        <item m="1" x="279"/>
        <item x="177"/>
        <item m="1" x="974"/>
        <item m="1" x="492"/>
        <item m="1" x="405"/>
        <item m="1" x="488"/>
        <item x="172"/>
        <item m="1" x="682"/>
        <item m="1" x="658"/>
        <item m="1" x="442"/>
        <item m="1" x="251"/>
        <item m="1" x="807"/>
        <item m="1" x="848"/>
        <item m="1" x="236"/>
        <item m="1" x="791"/>
        <item m="1" x="1038"/>
        <item m="1" x="705"/>
        <item m="1" x="284"/>
        <item m="1" x="925"/>
        <item m="1" x="310"/>
        <item m="1" x="424"/>
        <item m="1" x="278"/>
        <item m="1" x="967"/>
        <item x="178"/>
        <item m="1" x="899"/>
        <item m="1" x="621"/>
        <item m="1" x="512"/>
        <item m="1" x="818"/>
        <item m="1" x="490"/>
        <item m="1" x="957"/>
        <item m="1" x="1005"/>
        <item m="1" x="917"/>
        <item m="1" x="678"/>
        <item m="1" x="439"/>
        <item x="19"/>
        <item m="1" x="868"/>
        <item x="58"/>
        <item m="1" x="684"/>
        <item x="134"/>
        <item x="112"/>
        <item m="1" x="1022"/>
        <item m="1" x="380"/>
        <item x="93"/>
        <item m="1" x="1043"/>
        <item m="1" x="356"/>
        <item m="1" x="753"/>
        <item m="1" x="629"/>
        <item m="1" x="980"/>
        <item m="1" x="659"/>
        <item m="1" x="927"/>
        <item m="1" x="286"/>
        <item m="1" x="821"/>
        <item m="1" x="746"/>
        <item m="1" x="1020"/>
        <item m="1" x="961"/>
        <item m="1" x="862"/>
        <item m="1" x="731"/>
        <item m="1" x="591"/>
        <item m="1" x="812"/>
        <item m="1" x="663"/>
        <item m="1" x="832"/>
        <item m="1" x="921"/>
        <item m="1" x="226"/>
        <item m="1" x="321"/>
        <item m="1" x="697"/>
        <item m="1" x="254"/>
        <item x="141"/>
        <item x="208"/>
        <item x="192"/>
        <item x="42"/>
        <item m="1" x="347"/>
        <item m="1" x="243"/>
        <item m="1" x="654"/>
        <item x="7"/>
        <item m="1" x="248"/>
        <item m="1" x="556"/>
        <item m="1" x="624"/>
        <item m="1" x="838"/>
        <item m="1" x="513"/>
        <item m="1" x="272"/>
        <item m="1" x="782"/>
        <item m="1" x="981"/>
        <item x="3"/>
        <item m="1" x="777"/>
        <item x="179"/>
        <item m="1" x="350"/>
        <item m="1" x="514"/>
        <item m="1" x="783"/>
        <item m="1" x="1016"/>
        <item x="6"/>
        <item m="1" x="267"/>
        <item m="1" x="1003"/>
        <item m="1" x="847"/>
        <item x="79"/>
        <item m="1" x="377"/>
        <item m="1" x="720"/>
        <item m="1" x="693"/>
        <item m="1" x="461"/>
        <item x="80"/>
        <item x="71"/>
        <item x="95"/>
        <item x="86"/>
        <item m="1" x="793"/>
        <item m="1" x="836"/>
        <item m="1" x="481"/>
        <item m="1" x="308"/>
        <item m="1" x="404"/>
        <item m="1" x="802"/>
        <item m="1" x="760"/>
        <item m="1" x="422"/>
        <item x="20"/>
        <item x="59"/>
        <item x="37"/>
        <item x="17"/>
        <item m="1" x="718"/>
        <item x="60"/>
        <item m="1" x="1053"/>
        <item m="1" x="1097"/>
        <item m="1" x="601"/>
        <item m="1" x="962"/>
        <item m="1" x="990"/>
        <item m="1" x="457"/>
        <item m="1" x="577"/>
        <item m="1" x="548"/>
        <item x="48"/>
        <item m="1" x="475"/>
        <item m="1" x="726"/>
        <item m="1" x="687"/>
        <item m="1" x="562"/>
        <item m="1" x="679"/>
        <item m="1" x="902"/>
        <item m="1" x="435"/>
        <item m="1" x="839"/>
        <item m="1" x="383"/>
        <item m="1" x="429"/>
        <item m="1" x="770"/>
        <item m="1" x="431"/>
        <item m="1" x="503"/>
        <item m="1" x="665"/>
        <item m="1" x="826"/>
        <item m="1" x="1012"/>
        <item m="1" x="563"/>
        <item m="1" x="778"/>
        <item m="1" x="303"/>
        <item m="1" x="933"/>
        <item m="1" x="688"/>
        <item m="1" x="965"/>
        <item m="1" x="367"/>
        <item x="52"/>
        <item m="1" x="307"/>
        <item m="1" x="695"/>
        <item m="1" x="471"/>
        <item m="1" x="532"/>
        <item m="1" x="623"/>
        <item m="1" x="1071"/>
        <item m="1" x="299"/>
        <item m="1" x="641"/>
        <item m="1" x="463"/>
        <item m="1" x="594"/>
        <item x="81"/>
        <item m="1" x="537"/>
        <item m="1" x="1089"/>
        <item m="1" x="384"/>
        <item m="1" x="596"/>
        <item m="1" x="781"/>
        <item m="1" x="716"/>
        <item m="1" x="406"/>
        <item m="1" x="498"/>
        <item m="1" x="819"/>
        <item m="1" x="788"/>
        <item m="1" x="541"/>
        <item m="1" x="837"/>
        <item m="1" x="535"/>
        <item m="1" x="323"/>
        <item m="1" x="408"/>
        <item m="1" x="336"/>
        <item m="1" x="794"/>
        <item m="1" x="1040"/>
        <item m="1" x="448"/>
        <item m="1" x="595"/>
        <item m="1" x="774"/>
        <item m="1" x="344"/>
        <item x="96"/>
        <item x="97"/>
        <item m="1" x="1061"/>
        <item m="1" x="636"/>
        <item m="1" x="328"/>
        <item m="1" x="552"/>
        <item m="1" x="1054"/>
        <item m="1" x="399"/>
        <item m="1" x="371"/>
        <item m="1" x="808"/>
        <item m="1" x="877"/>
        <item m="1" x="366"/>
        <item m="1" x="865"/>
        <item m="1" x="287"/>
        <item m="1" x="364"/>
        <item m="1" x="948"/>
        <item m="1" x="414"/>
        <item m="1" x="671"/>
        <item m="1" x="995"/>
        <item m="1" x="1075"/>
        <item m="1" x="1091"/>
        <item m="1" x="346"/>
        <item m="1" x="304"/>
        <item m="1" x="452"/>
        <item m="1" x="958"/>
        <item m="1" x="729"/>
        <item m="1" x="400"/>
        <item m="1" x="822"/>
        <item m="1" x="1033"/>
        <item m="1" x="685"/>
        <item m="1" x="401"/>
        <item m="1" x="434"/>
        <item m="1" x="507"/>
        <item m="1" x="282"/>
        <item m="1" x="895"/>
        <item m="1" x="354"/>
        <item m="1" x="846"/>
        <item m="1" x="301"/>
        <item m="1" x="973"/>
        <item m="1" x="1011"/>
        <item m="1" x="349"/>
        <item m="1" x="622"/>
        <item m="1" x="976"/>
        <item m="1" x="421"/>
        <item m="1" x="1014"/>
        <item m="1" x="292"/>
        <item x="119"/>
        <item m="1" x="581"/>
        <item m="1" x="648"/>
        <item m="1" x="741"/>
        <item m="1" x="239"/>
        <item m="1" x="1073"/>
        <item x="11"/>
        <item m="1" x="960"/>
        <item m="1" x="674"/>
        <item m="1" x="484"/>
        <item m="1" x="1010"/>
        <item m="1" x="427"/>
        <item m="1" x="375"/>
        <item x="18"/>
        <item m="1" x="966"/>
        <item m="1" x="274"/>
        <item m="1" x="508"/>
        <item m="1" x="613"/>
        <item m="1" x="329"/>
        <item x="210"/>
        <item m="1" x="306"/>
        <item m="1" x="721"/>
        <item m="1" x="318"/>
        <item m="1" x="944"/>
        <item m="1" x="298"/>
        <item m="1" x="857"/>
        <item x="180"/>
        <item m="1" x="288"/>
        <item x="21"/>
        <item x="38"/>
        <item m="1" x="398"/>
        <item m="1" x="1099"/>
        <item m="1" x="614"/>
        <item m="1" x="285"/>
        <item m="1" x="227"/>
        <item m="1" x="918"/>
        <item m="1" x="558"/>
        <item m="1" x="280"/>
        <item m="1" x="763"/>
        <item m="1" x="518"/>
        <item m="1" x="342"/>
        <item x="173"/>
        <item m="1" x="714"/>
        <item m="1" x="878"/>
        <item m="1" x="547"/>
        <item m="1" x="660"/>
        <item x="181"/>
        <item x="182"/>
        <item x="125"/>
        <item x="120"/>
        <item x="202"/>
        <item x="82"/>
        <item x="203"/>
        <item x="53"/>
        <item m="1" x="358"/>
        <item m="1" x="296"/>
        <item m="1" x="343"/>
        <item m="1" x="772"/>
        <item m="1" x="1004"/>
        <item m="1" x="884"/>
        <item m="1" x="928"/>
        <item x="12"/>
        <item m="1" x="922"/>
        <item m="1" x="394"/>
        <item m="1" x="569"/>
        <item x="32"/>
        <item x="43"/>
        <item x="98"/>
        <item m="1" x="444"/>
        <item x="193"/>
        <item x="68"/>
        <item x="33"/>
        <item x="34"/>
        <item x="10"/>
        <item x="55"/>
        <item m="1" x="950"/>
        <item x="22"/>
        <item x="83"/>
        <item x="204"/>
        <item x="39"/>
        <item x="0"/>
        <item m="1" x="419"/>
        <item x="99"/>
        <item m="1" x="1059"/>
        <item m="1" x="588"/>
        <item x="73"/>
        <item x="74"/>
        <item x="75"/>
        <item x="76"/>
        <item m="1" x="735"/>
        <item m="1" x="228"/>
        <item m="1" x="386"/>
        <item x="113"/>
        <item x="122"/>
        <item m="1" x="238"/>
        <item m="1" x="334"/>
        <item x="78"/>
        <item m="1" x="646"/>
        <item m="1" x="293"/>
        <item m="1" x="1021"/>
        <item m="1" x="975"/>
        <item m="1" x="432"/>
        <item m="1" x="521"/>
        <item m="1" x="348"/>
        <item x="187"/>
        <item x="188"/>
        <item m="1" x="270"/>
        <item m="1" x="333"/>
        <item m="1" x="946"/>
        <item x="128"/>
        <item m="1" x="447"/>
        <item m="1" x="536"/>
        <item m="1" x="263"/>
        <item m="1" x="486"/>
        <item m="1" x="345"/>
        <item m="1" x="355"/>
        <item m="1" x="505"/>
        <item m="1" x="365"/>
        <item m="1" x="369"/>
        <item m="1" x="542"/>
        <item m="1" x="1063"/>
        <item m="1" x="423"/>
        <item m="1" x="727"/>
        <item m="1" x="988"/>
        <item m="1" x="1046"/>
        <item m="1" x="372"/>
        <item m="1" x="784"/>
        <item x="100"/>
        <item m="1" x="906"/>
        <item m="1" x="289"/>
        <item m="1" x="751"/>
        <item m="1" x="593"/>
        <item x="84"/>
        <item x="5"/>
        <item m="1" x="616"/>
        <item m="1" x="796"/>
        <item m="1" x="744"/>
        <item m="1" x="1008"/>
        <item x="101"/>
        <item m="1" x="833"/>
        <item m="1" x="402"/>
        <item m="1" x="617"/>
        <item m="1" x="692"/>
        <item m="1" x="302"/>
        <item m="1" x="898"/>
        <item m="1" x="578"/>
        <item x="8"/>
        <item m="1" x="767"/>
        <item m="1" x="353"/>
        <item m="1" x="978"/>
        <item m="1" x="504"/>
        <item m="1" x="1090"/>
        <item m="1" x="694"/>
        <item m="1" x="1026"/>
        <item m="1" x="524"/>
        <item m="1" x="983"/>
        <item m="1" x="876"/>
        <item m="1" x="987"/>
        <item m="1" x="416"/>
        <item m="1" x="799"/>
        <item m="1" x="555"/>
        <item m="1" x="530"/>
        <item m="1" x="583"/>
        <item m="1" x="607"/>
        <item x="123"/>
        <item x="116"/>
        <item x="117"/>
        <item x="124"/>
        <item m="1" x="715"/>
        <item x="102"/>
        <item m="1" x="425"/>
        <item x="103"/>
        <item x="183"/>
        <item m="1" x="533"/>
        <item x="90"/>
        <item x="121"/>
        <item m="1" x="1051"/>
        <item x="13"/>
        <item m="1" x="438"/>
        <item x="14"/>
        <item m="1" x="893"/>
        <item x="61"/>
        <item m="1" x="849"/>
        <item m="1" x="1018"/>
        <item x="54"/>
        <item m="1" x="313"/>
        <item m="1" x="566"/>
        <item m="1" x="905"/>
        <item x="15"/>
        <item m="1" x="417"/>
        <item m="1" x="945"/>
        <item m="1" x="982"/>
        <item m="1" x="993"/>
        <item m="1" x="235"/>
        <item m="1" x="324"/>
        <item x="195"/>
        <item x="16"/>
        <item m="1" x="683"/>
        <item m="1" x="230"/>
        <item m="1" x="576"/>
        <item x="29"/>
        <item m="1" x="1093"/>
        <item x="104"/>
        <item m="1" x="483"/>
        <item m="1" x="725"/>
        <item m="1" x="599"/>
        <item m="1" x="820"/>
        <item m="1" x="879"/>
        <item m="1" x="710"/>
        <item m="1" x="628"/>
        <item m="1" x="557"/>
        <item m="1" x="373"/>
        <item m="1" x="586"/>
        <item m="1" x="639"/>
        <item m="1" x="971"/>
        <item m="1" x="403"/>
        <item m="1" x="675"/>
        <item m="1" x="234"/>
        <item m="1" x="527"/>
        <item m="1" x="1024"/>
        <item m="1" x="395"/>
        <item m="1" x="451"/>
        <item m="1" x="904"/>
        <item m="1" x="522"/>
        <item m="1" x="652"/>
        <item m="1" x="381"/>
        <item m="1" x="441"/>
        <item m="1" x="773"/>
        <item m="1" x="998"/>
        <item m="1" x="863"/>
        <item x="211"/>
        <item m="1" x="374"/>
        <item m="1" x="322"/>
        <item x="23"/>
        <item m="1" x="391"/>
        <item m="1" x="627"/>
        <item m="1" x="1055"/>
        <item m="1" x="608"/>
        <item m="1" x="909"/>
        <item x="205"/>
        <item m="1" x="564"/>
        <item m="1" x="309"/>
        <item m="1" x="464"/>
        <item m="1" x="1078"/>
        <item m="1" x="655"/>
        <item m="1" x="540"/>
        <item m="1" x="305"/>
        <item m="1" x="913"/>
        <item m="1" x="565"/>
        <item m="1" x="769"/>
        <item m="1" x="410"/>
        <item m="1" x="493"/>
        <item m="1" x="1019"/>
        <item m="1" x="670"/>
        <item m="1" x="941"/>
        <item m="1" x="1006"/>
        <item m="1" x="409"/>
        <item m="1" x="806"/>
        <item m="1" x="476"/>
        <item m="1" x="1077"/>
        <item x="62"/>
        <item x="63"/>
        <item x="212"/>
        <item m="1" x="851"/>
        <item m="1" x="551"/>
        <item m="1" x="680"/>
        <item x="44"/>
        <item m="1" x="809"/>
        <item m="1" x="418"/>
        <item m="1" x="603"/>
        <item m="1" x="480"/>
        <item x="105"/>
        <item m="1" x="954"/>
        <item m="1" x="247"/>
        <item m="1" x="528"/>
        <item m="1" x="220"/>
        <item x="28"/>
        <item m="1" x="666"/>
        <item m="1" x="1056"/>
        <item m="1" x="844"/>
        <item m="1" x="923"/>
        <item m="1" x="742"/>
        <item m="1" x="525"/>
        <item m="1" x="1079"/>
        <item x="72"/>
        <item m="1" x="553"/>
        <item m="1" x="1025"/>
        <item m="1" x="901"/>
        <item m="1" x="708"/>
        <item m="1" x="611"/>
        <item m="1" x="584"/>
        <item m="1" x="368"/>
        <item m="1" x="426"/>
        <item m="1" x="734"/>
        <item m="1" x="792"/>
        <item m="1" x="465"/>
        <item m="1" x="732"/>
        <item m="1" x="635"/>
        <item m="1" x="704"/>
        <item m="1" x="396"/>
        <item m="1" x="273"/>
        <item m="1" x="502"/>
        <item m="1" x="872"/>
        <item m="1" x="352"/>
        <item m="1" x="829"/>
        <item m="1" x="932"/>
        <item m="1" x="626"/>
        <item m="1" x="1030"/>
        <item m="1" x="631"/>
        <item m="1" x="963"/>
        <item m="1" x="277"/>
        <item m="1" x="520"/>
        <item m="1" x="664"/>
        <item m="1" x="1039"/>
        <item m="1" x="549"/>
        <item m="1" x="871"/>
        <item m="1" x="764"/>
        <item m="1" x="703"/>
        <item m="1" x="249"/>
        <item m="1" x="387"/>
        <item x="196"/>
        <item x="35"/>
        <item m="1" x="698"/>
        <item m="1" x="316"/>
        <item m="1" x="550"/>
        <item m="1" x="572"/>
        <item m="1" x="759"/>
        <item m="1" x="737"/>
        <item m="1" x="1029"/>
        <item m="1" x="376"/>
        <item m="1" x="473"/>
        <item m="1" x="223"/>
        <item m="1" x="361"/>
        <item m="1" x="340"/>
        <item x="184"/>
        <item m="1" x="804"/>
        <item m="1" x="823"/>
        <item x="201"/>
        <item m="1" x="873"/>
        <item m="1" x="559"/>
        <item m="1" x="765"/>
        <item m="1" x="618"/>
        <item m="1" x="991"/>
        <item m="1" x="667"/>
        <item m="1" x="232"/>
        <item m="1" x="385"/>
        <item x="149"/>
        <item m="1" x="612"/>
        <item x="30"/>
        <item m="1" x="651"/>
        <item m="1" x="1031"/>
        <item m="1" x="996"/>
        <item m="1" x="1023"/>
        <item m="1" x="519"/>
        <item m="1" x="497"/>
        <item x="51"/>
        <item m="1" x="1047"/>
        <item m="1" x="495"/>
        <item m="1" x="575"/>
        <item m="1" x="645"/>
        <item m="1" x="824"/>
        <item m="1" x="870"/>
        <item m="1" x="903"/>
        <item m="1" x="706"/>
        <item m="1" x="861"/>
        <item m="1" x="977"/>
        <item m="1" x="896"/>
        <item m="1" x="570"/>
        <item m="1" x="757"/>
        <item m="1" x="926"/>
        <item m="1" x="728"/>
        <item m="1" x="908"/>
        <item m="1" x="841"/>
        <item x="64"/>
        <item m="1" x="1082"/>
        <item m="1" x="912"/>
        <item x="206"/>
        <item m="1" x="224"/>
        <item m="1" x="315"/>
        <item m="1" x="568"/>
        <item m="1" x="831"/>
        <item m="1" x="940"/>
        <item x="45"/>
        <item m="1" x="1094"/>
        <item x="9"/>
        <item m="1" x="707"/>
        <item m="1" x="573"/>
        <item m="1" x="1070"/>
        <item x="40"/>
        <item x="190"/>
        <item m="1" x="320"/>
        <item m="1" x="585"/>
        <item x="36"/>
        <item m="1" x="842"/>
        <item m="1" x="379"/>
        <item m="1" x="1076"/>
        <item x="50"/>
        <item x="85"/>
        <item m="1" x="711"/>
        <item m="1" x="544"/>
        <item m="1" x="843"/>
        <item m="1" x="775"/>
        <item m="1" x="600"/>
        <item m="1" x="253"/>
        <item m="1" x="677"/>
        <item m="1" x="712"/>
        <item m="1" x="327"/>
        <item m="1" x="443"/>
        <item m="1" x="500"/>
        <item m="1" x="610"/>
        <item m="1" x="882"/>
        <item x="41"/>
        <item m="1" x="491"/>
        <item m="1" x="252"/>
        <item m="1" x="907"/>
        <item m="1" x="952"/>
        <item m="1" x="869"/>
        <item m="1" x="1069"/>
        <item m="1" x="992"/>
        <item m="1" x="259"/>
        <item m="1" x="255"/>
        <item m="1" x="686"/>
        <item m="1" x="241"/>
        <item m="1" x="699"/>
        <item m="1" x="959"/>
        <item m="1" x="867"/>
        <item m="1" x="509"/>
        <item m="1" x="474"/>
        <item m="1" x="437"/>
        <item m="1" x="814"/>
        <item m="1" x="590"/>
        <item m="1" x="881"/>
        <item m="1" x="233"/>
        <item m="1" x="885"/>
        <item m="1" x="700"/>
        <item m="1" x="938"/>
        <item x="65"/>
        <item m="1" x="597"/>
        <item m="1" x="883"/>
        <item m="1" x="317"/>
        <item m="1" x="936"/>
        <item m="1" x="850"/>
        <item m="1" x="397"/>
        <item m="1" x="1096"/>
        <item m="1" x="388"/>
        <item m="1" x="297"/>
        <item m="1" x="1017"/>
        <item m="1" x="939"/>
        <item m="1" x="953"/>
        <item m="1" x="803"/>
        <item m="1" x="786"/>
        <item m="1" x="890"/>
        <item x="66"/>
        <item x="31"/>
        <item m="1" x="225"/>
        <item m="1" x="516"/>
        <item m="1" x="1072"/>
        <item m="1" x="955"/>
        <item x="24"/>
        <item x="191"/>
        <item m="1" x="534"/>
        <item x="25"/>
        <item x="26"/>
        <item m="1" x="359"/>
        <item m="1" x="930"/>
        <item m="1" x="776"/>
        <item m="1" x="709"/>
        <item m="1" x="771"/>
        <item m="1" x="789"/>
        <item m="1" x="598"/>
        <item m="1" x="250"/>
        <item m="1" x="638"/>
        <item m="1" x="1068"/>
        <item m="1" x="740"/>
        <item m="1" x="314"/>
        <item m="1" x="827"/>
        <item m="1" x="1074"/>
        <item m="1" x="300"/>
        <item m="1" x="1065"/>
        <item m="1" x="1066"/>
        <item m="1" x="894"/>
        <item m="1" x="1067"/>
        <item m="1" x="412"/>
        <item m="1" x="743"/>
        <item m="1" x="845"/>
        <item m="1" x="970"/>
        <item m="1" x="231"/>
        <item m="1" x="332"/>
        <item m="1" x="501"/>
        <item m="1" x="389"/>
        <item m="1" x="229"/>
        <item m="1" x="748"/>
        <item m="1" x="642"/>
        <item m="1" x="1042"/>
        <item m="1" x="1092"/>
        <item m="1" x="1050"/>
        <item m="1" x="999"/>
        <item m="1" x="319"/>
        <item m="1" x="739"/>
        <item m="1" x="587"/>
        <item m="1" x="506"/>
        <item m="1" x="415"/>
        <item m="1" x="478"/>
        <item m="1" x="264"/>
        <item m="1" x="1028"/>
        <item m="1" x="574"/>
        <item m="1" x="592"/>
        <item m="1" x="561"/>
        <item m="1" x="801"/>
        <item m="1" x="1100"/>
        <item m="1" x="1027"/>
        <item m="1" x="579"/>
        <item m="1" x="462"/>
        <item m="1" x="643"/>
        <item m="1" x="943"/>
        <item m="1" x="295"/>
        <item m="1" x="1032"/>
        <item m="1" x="469"/>
        <item x="197"/>
        <item m="1" x="719"/>
        <item m="1" x="1036"/>
        <item m="1" x="625"/>
        <item m="1" x="479"/>
        <item m="1" x="669"/>
        <item m="1" x="1062"/>
        <item m="1" x="1037"/>
        <item m="1" x="747"/>
        <item m="1" x="676"/>
        <item m="1" x="543"/>
        <item m="1" x="459"/>
        <item m="1" x="460"/>
        <item m="1" x="413"/>
        <item m="1" x="262"/>
        <item m="1" x="411"/>
        <item m="1" x="237"/>
        <item m="1" x="222"/>
        <item m="1" x="880"/>
        <item m="1" x="510"/>
        <item m="1" x="428"/>
        <item m="1" x="647"/>
        <item m="1" x="430"/>
        <item m="1" x="580"/>
        <item m="1" x="276"/>
        <item m="1" x="668"/>
        <item m="1" x="689"/>
        <item m="1" x="723"/>
        <item m="1" x="752"/>
        <item m="1" x="937"/>
        <item m="1" x="370"/>
        <item m="1" x="673"/>
        <item m="1" x="840"/>
        <item m="1" x="805"/>
        <item m="1" x="997"/>
        <item m="1" x="360"/>
        <item m="1" x="529"/>
        <item m="1" x="1088"/>
        <item m="1" x="545"/>
        <item m="1" x="755"/>
        <item m="1" x="800"/>
        <item m="1" x="468"/>
        <item m="1" x="892"/>
        <item m="1" x="816"/>
        <item m="1" x="935"/>
        <item m="1" x="604"/>
        <item m="1" x="433"/>
        <item m="1" x="780"/>
        <item x="27"/>
        <item m="1" x="325"/>
        <item x="91"/>
        <item m="1" x="662"/>
        <item m="1" x="888"/>
        <item m="1" x="326"/>
        <item m="1" x="874"/>
        <item m="1" x="1064"/>
        <item m="1" x="657"/>
        <item m="1" x="656"/>
        <item m="1" x="363"/>
        <item m="1" x="864"/>
        <item m="1" x="392"/>
        <item m="1" x="640"/>
        <item m="1" x="887"/>
        <item m="1" x="341"/>
        <item m="1" x="260"/>
        <item m="1" x="466"/>
        <item m="1" x="485"/>
        <item x="46"/>
        <item x="198"/>
        <item m="1" x="312"/>
        <item m="1" x="834"/>
        <item m="1" x="920"/>
        <item m="1" x="1015"/>
        <item m="1" x="436"/>
        <item x="185"/>
        <item m="1" x="1052"/>
        <item m="1" x="477"/>
        <item m="1" x="1048"/>
        <item m="1" x="986"/>
        <item m="1" x="924"/>
        <item m="1" x="467"/>
        <item m="1" x="858"/>
        <item x="87"/>
        <item x="88"/>
        <item x="89"/>
        <item m="1" x="968"/>
        <item m="1" x="240"/>
        <item m="1" x="810"/>
        <item m="1" x="649"/>
        <item m="1" x="717"/>
        <item m="1" x="517"/>
        <item m="1" x="609"/>
        <item m="1" x="929"/>
        <item m="1" x="602"/>
        <item m="1" x="815"/>
        <item m="1" x="766"/>
        <item m="1" x="985"/>
        <item m="1" x="830"/>
        <item m="1" x="745"/>
        <item m="1" x="1041"/>
        <item m="1" x="605"/>
        <item m="1" x="269"/>
        <item m="1" x="1098"/>
        <item m="1" x="1083"/>
        <item m="1" x="331"/>
        <item m="1" x="1101"/>
        <item x="186"/>
        <item m="1" x="650"/>
        <item m="1" x="266"/>
        <item m="1" x="245"/>
        <item m="1" x="897"/>
        <item m="1" x="915"/>
        <item m="1" x="916"/>
        <item m="1" x="989"/>
        <item m="1" x="951"/>
        <item m="1" x="335"/>
        <item m="1" x="637"/>
        <item m="1" x="445"/>
        <item m="1" x="446"/>
        <item m="1" x="1060"/>
        <item m="1" x="1002"/>
        <item m="1" x="554"/>
        <item m="1" x="281"/>
        <item m="1" x="653"/>
        <item m="1" x="984"/>
        <item m="1" x="257"/>
        <item m="1" x="633"/>
        <item m="1" x="1044"/>
        <item m="1" x="634"/>
        <item m="1" x="979"/>
        <item m="1" x="560"/>
        <item m="1" x="494"/>
        <item m="1" x="852"/>
        <item m="1" x="261"/>
        <item m="1" x="275"/>
        <item m="1" x="790"/>
        <item m="1" x="754"/>
        <item m="1" x="290"/>
        <item m="1" x="934"/>
        <item m="1" x="271"/>
        <item m="1" x="489"/>
        <item m="1" x="690"/>
        <item m="1" x="620"/>
        <item m="1" x="291"/>
        <item m="1" x="969"/>
        <item m="1" x="750"/>
        <item m="1" x="691"/>
        <item m="1" x="722"/>
        <item x="106"/>
        <item m="1" x="453"/>
        <item m="1" x="221"/>
        <item m="1" x="458"/>
        <item m="1" x="749"/>
        <item x="4"/>
        <item x="165"/>
        <item m="1" x="914"/>
        <item m="1" x="242"/>
        <item x="207"/>
        <item x="114"/>
        <item m="1" x="856"/>
        <item x="155"/>
        <item x="200"/>
        <item x="147"/>
        <item x="153"/>
        <item m="1" x="779"/>
        <item m="1" x="813"/>
        <item x="148"/>
        <item m="1" x="311"/>
        <item m="1" x="539"/>
        <item x="142"/>
        <item x="143"/>
        <item m="1" x="886"/>
        <item x="133"/>
        <item x="146"/>
        <item x="163"/>
        <item x="164"/>
        <item x="49"/>
        <item x="56"/>
        <item x="57"/>
        <item x="92"/>
        <item x="94"/>
        <item x="77"/>
        <item x="126"/>
        <item x="127"/>
        <item m="1" x="825"/>
        <item x="130"/>
        <item x="132"/>
        <item x="135"/>
        <item x="136"/>
        <item x="139"/>
        <item x="140"/>
        <item x="189"/>
        <item m="1" x="891"/>
        <item x="69"/>
        <item x="107"/>
        <item x="108"/>
        <item x="109"/>
        <item x="110"/>
        <item x="111"/>
        <item x="115"/>
        <item m="1" x="531"/>
        <item x="118"/>
        <item x="194"/>
        <item x="144"/>
        <item x="145"/>
        <item x="131"/>
        <item x="129"/>
        <item x="138"/>
        <item x="150"/>
        <item x="151"/>
        <item x="152"/>
        <item x="137"/>
        <item x="154"/>
        <item x="167"/>
        <item x="157"/>
        <item x="159"/>
        <item x="161"/>
        <item x="2"/>
        <item x="168"/>
        <item x="162"/>
        <item x="158"/>
        <item x="1"/>
        <item x="169"/>
        <item x="160"/>
        <item x="156"/>
        <item x="166"/>
        <item x="170"/>
        <item x="171"/>
        <item x="213"/>
        <item x="215"/>
        <item x="216"/>
        <item x="219"/>
        <item x="218"/>
        <item x="217"/>
        <item x="214"/>
        <item m="1" x="357"/>
        <item m="1" x="828"/>
      </items>
    </pivotField>
    <pivotField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dataField="1" compact="0" numFmtId="1" outline="0" subtotalTop="0" showAll="0" defaultSubtotal="0"/>
    <pivotField dataField="1" compact="0" numFmtId="1" outline="0" subtotalTop="0" showAll="0" defaultSubtotal="0"/>
    <pivotField compact="0" outline="0" subtotalTop="0" showAll="0" defaultSubtotal="0"/>
    <pivotField compact="0" outline="0" subtotalTop="0" showAll="0" defaultSubtotal="0"/>
    <pivotField compact="0" numFmtId="9"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dataField="1"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numFmtId="1" outline="0" subtotalTop="0" showAll="0" defaultSubtotal="0"/>
    <pivotField compact="0" numFmtId="1" outline="0" showAll="0" defaultSubtotal="0"/>
    <pivotField compact="0" numFmtId="9" outline="0" showAll="0" defaultSubtotal="0"/>
    <pivotField dataField="1" compact="0" numFmtId="1" outline="0" showAll="0" defaultSubtotal="0"/>
    <pivotField compact="0" outline="0" showAll="0" defaultSubtotal="0"/>
    <pivotField dataField="1" compact="0" outline="0" showAll="0" defaultSubtotal="0"/>
    <pivotField dataField="1"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9" outline="0" showAll="0" defaultSubtotal="0"/>
    <pivotField dataField="1" compact="0" numFmtId="1" outline="0" showAll="0" defaultSubtotal="0"/>
    <pivotField compact="0" numFmtId="1" outline="0" showAll="0" defaultSubtotal="0"/>
    <pivotField compact="0" numFmtId="1" outline="0" showAll="0" defaultSubtotal="0"/>
    <pivotField dataField="1" compact="0" numFmtId="1" outline="0" showAll="0" defaultSubtotal="0"/>
    <pivotField dataField="1" compact="0" numFmtId="1"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 outline="0" showAll="0" defaultSubtotal="0"/>
    <pivotField compact="0" numFmtId="1" outline="0" subtotalTop="0" showAll="0" defaultSubtotal="0"/>
    <pivotField compact="0" numFmtId="1" outline="0" showAll="0" defaultSubtotal="0"/>
    <pivotField dataField="1" compact="0" numFmtId="1" outline="0" showAll="0" defaultSubtotal="0"/>
    <pivotField compact="0" outline="0" showAll="0" defaultSubtotal="0"/>
    <pivotField compact="0" numFmtId="9" outline="0" showAll="0" defaultSubtotal="0"/>
    <pivotField compact="0" numFmtId="164" outline="0" subtotalTop="0" showAll="0" defaultSubtotal="0"/>
    <pivotField compact="0" numFmtId="164" outline="0" subtotalTop="0" showAll="0" defaultSubtotal="0"/>
    <pivotField compact="0" numFmtId="164" outline="0" subtotalTop="0" showAll="0" defaultSubtotal="0"/>
    <pivotField dataField="1" compact="0" numFmtId="164" outline="0" showAll="0" defaultSubtotal="0"/>
    <pivotField dataField="1" compact="0" outline="0" showAll="0" defaultSubtotal="0"/>
    <pivotField dataField="1" compact="0" numFmtId="164"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5">
        <item x="0"/>
        <item x="1"/>
        <item m="1" x="2"/>
        <item m="1" x="4"/>
        <item m="1" x="3"/>
      </items>
    </pivotField>
    <pivotField axis="axisPage" compact="0" outline="0" subtotalTop="0" multipleItemSelectionAllowed="1" showAll="0" defaultSubtotal="0">
      <items count="52">
        <item x="1"/>
        <item x="0"/>
        <item x="2"/>
        <item m="1" x="29"/>
        <item m="1" x="9"/>
        <item m="1" x="14"/>
        <item m="1" x="33"/>
        <item m="1" x="27"/>
        <item m="1" x="22"/>
        <item m="1" x="7"/>
        <item m="1" x="4"/>
        <item m="1" x="21"/>
        <item m="1" x="25"/>
        <item m="1" x="5"/>
        <item m="1" x="36"/>
        <item m="1" x="34"/>
        <item m="1" x="15"/>
        <item m="1" x="28"/>
        <item m="1" x="42"/>
        <item m="1" x="48"/>
        <item m="1" x="50"/>
        <item m="1" x="46"/>
        <item m="1" x="23"/>
        <item m="1" x="43"/>
        <item m="1" x="37"/>
        <item m="1" x="18"/>
        <item m="1" x="12"/>
        <item m="1" x="51"/>
        <item m="1" x="44"/>
        <item m="1" x="38"/>
        <item m="1" x="39"/>
        <item m="1" x="3"/>
        <item m="1" x="11"/>
        <item m="1" x="19"/>
        <item m="1" x="6"/>
        <item m="1" x="13"/>
        <item m="1" x="17"/>
        <item m="1" x="10"/>
        <item m="1" x="20"/>
        <item m="1" x="47"/>
        <item m="1" x="26"/>
        <item m="1" x="45"/>
        <item m="1" x="41"/>
        <item m="1" x="32"/>
        <item m="1" x="31"/>
        <item m="1" x="35"/>
        <item m="1" x="16"/>
        <item m="1" x="8"/>
        <item m="1" x="24"/>
        <item m="1" x="49"/>
        <item m="1" x="30"/>
        <item m="1" x="40"/>
      </items>
    </pivotField>
    <pivotField compact="0" outline="0" subtotalTop="0" showAll="0" defaultSubtota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119">
    <i>
      <x v="9"/>
    </i>
    <i>
      <x v="10"/>
    </i>
    <i>
      <x v="11"/>
    </i>
    <i>
      <x v="12"/>
    </i>
    <i>
      <x v="65"/>
    </i>
    <i>
      <x v="81"/>
    </i>
    <i>
      <x v="104"/>
    </i>
    <i>
      <x v="110"/>
    </i>
    <i>
      <x v="125"/>
    </i>
    <i>
      <x v="142"/>
    </i>
    <i>
      <x v="155"/>
    </i>
    <i>
      <x v="186"/>
    </i>
    <i>
      <x v="187"/>
    </i>
    <i>
      <x v="188"/>
    </i>
    <i>
      <x v="192"/>
    </i>
    <i>
      <x v="203"/>
    </i>
    <i>
      <x v="208"/>
    </i>
    <i>
      <x v="212"/>
    </i>
    <i>
      <x v="217"/>
    </i>
    <i>
      <x v="218"/>
    </i>
    <i>
      <x v="220"/>
    </i>
    <i>
      <x v="229"/>
    </i>
    <i>
      <x v="230"/>
    </i>
    <i>
      <x v="231"/>
    </i>
    <i>
      <x v="232"/>
    </i>
    <i>
      <x v="234"/>
    </i>
    <i>
      <x v="243"/>
    </i>
    <i>
      <x v="278"/>
    </i>
    <i>
      <x v="353"/>
    </i>
    <i>
      <x v="360"/>
    </i>
    <i>
      <x v="366"/>
    </i>
    <i>
      <x v="373"/>
    </i>
    <i>
      <x v="375"/>
    </i>
    <i>
      <x v="376"/>
    </i>
    <i>
      <x v="388"/>
    </i>
    <i>
      <x v="393"/>
    </i>
    <i>
      <x v="394"/>
    </i>
    <i>
      <x v="395"/>
    </i>
    <i>
      <x v="397"/>
    </i>
    <i>
      <x v="398"/>
    </i>
    <i>
      <x v="399"/>
    </i>
    <i>
      <x v="408"/>
    </i>
    <i>
      <x v="412"/>
    </i>
    <i>
      <x v="413"/>
    </i>
    <i>
      <x v="416"/>
    </i>
    <i>
      <x v="417"/>
    </i>
    <i>
      <x v="418"/>
    </i>
    <i>
      <x v="419"/>
    </i>
    <i>
      <x v="420"/>
    </i>
    <i>
      <x v="421"/>
    </i>
    <i>
      <x v="423"/>
    </i>
    <i>
      <x v="424"/>
    </i>
    <i>
      <x v="425"/>
    </i>
    <i>
      <x v="426"/>
    </i>
    <i>
      <x v="432"/>
    </i>
    <i>
      <x v="433"/>
    </i>
    <i>
      <x v="434"/>
    </i>
    <i>
      <x v="435"/>
    </i>
    <i>
      <x v="443"/>
    </i>
    <i>
      <x v="451"/>
    </i>
    <i>
      <x v="452"/>
    </i>
    <i>
      <x v="479"/>
    </i>
    <i>
      <x v="480"/>
    </i>
    <i>
      <x v="493"/>
    </i>
    <i>
      <x v="519"/>
    </i>
    <i>
      <x v="526"/>
    </i>
    <i>
      <x v="528"/>
    </i>
    <i>
      <x v="531"/>
    </i>
    <i>
      <x v="535"/>
    </i>
    <i>
      <x v="543"/>
    </i>
    <i>
      <x v="547"/>
    </i>
    <i>
      <x v="577"/>
    </i>
    <i>
      <x v="580"/>
    </i>
    <i>
      <x v="586"/>
    </i>
    <i>
      <x v="607"/>
    </i>
    <i>
      <x v="608"/>
    </i>
    <i>
      <x v="609"/>
    </i>
    <i>
      <x v="613"/>
    </i>
    <i>
      <x v="631"/>
    </i>
    <i>
      <x v="667"/>
    </i>
    <i>
      <x v="668"/>
    </i>
    <i>
      <x v="681"/>
    </i>
    <i>
      <x v="684"/>
    </i>
    <i>
      <x v="695"/>
    </i>
    <i>
      <x v="702"/>
    </i>
    <i>
      <x v="720"/>
    </i>
    <i>
      <x v="723"/>
    </i>
    <i>
      <x v="729"/>
    </i>
    <i>
      <x v="735"/>
    </i>
    <i>
      <x v="736"/>
    </i>
    <i>
      <x v="739"/>
    </i>
    <i>
      <x v="743"/>
    </i>
    <i>
      <x v="744"/>
    </i>
    <i>
      <x v="758"/>
    </i>
    <i>
      <x v="783"/>
    </i>
    <i>
      <x v="799"/>
    </i>
    <i>
      <x v="800"/>
    </i>
    <i>
      <x v="805"/>
    </i>
    <i>
      <x v="806"/>
    </i>
    <i>
      <x v="808"/>
    </i>
    <i>
      <x v="809"/>
    </i>
    <i>
      <x v="865"/>
    </i>
    <i>
      <x v="913"/>
    </i>
    <i>
      <x v="932"/>
    </i>
    <i>
      <x v="933"/>
    </i>
    <i>
      <x v="947"/>
    </i>
    <i>
      <x v="948"/>
    </i>
    <i>
      <x v="949"/>
    </i>
    <i>
      <x v="1022"/>
    </i>
    <i>
      <x v="1026"/>
    </i>
    <i>
      <x v="1042"/>
    </i>
    <i>
      <x v="1043"/>
    </i>
    <i>
      <x v="1046"/>
    </i>
    <i>
      <x v="1047"/>
    </i>
    <i>
      <x v="1050"/>
    </i>
    <i>
      <x v="1056"/>
    </i>
    <i>
      <x v="1067"/>
    </i>
    <i>
      <x v="1093"/>
    </i>
    <i>
      <x v="1099"/>
    </i>
  </rowItems>
  <colFields count="1">
    <field x="-2"/>
  </colFields>
  <colItems count="14">
    <i>
      <x/>
    </i>
    <i i="1">
      <x v="1"/>
    </i>
    <i i="2">
      <x v="2"/>
    </i>
    <i i="3">
      <x v="3"/>
    </i>
    <i i="4">
      <x v="4"/>
    </i>
    <i i="5">
      <x v="5"/>
    </i>
    <i i="6">
      <x v="6"/>
    </i>
    <i i="7">
      <x v="7"/>
    </i>
    <i i="8">
      <x v="8"/>
    </i>
    <i i="9">
      <x v="9"/>
    </i>
    <i i="10">
      <x v="10"/>
    </i>
    <i i="11">
      <x v="11"/>
    </i>
    <i i="12">
      <x v="12"/>
    </i>
    <i i="13">
      <x v="13"/>
    </i>
  </colItems>
  <pageFields count="4">
    <pageField fld="146" item="0" hier="-1"/>
    <pageField fld="0" item="26" hier="-1"/>
    <pageField fld="4" item="0" hier="-1"/>
    <pageField fld="147" hier="-1"/>
  </pageFields>
  <dataFields count="14">
    <dataField name="Max of Total PoP " fld="9" subtotal="max" baseField="7" baseItem="7" numFmtId="3"/>
    <dataField name="Max of HRP1" fld="100" subtotal="max" baseField="7" baseItem="7"/>
    <dataField name="Max of HRP2" fld="108" subtotal="max" baseField="7" baseItem="7"/>
    <dataField name="Max of HRP3" fld="120" subtotal="max" baseField="7" baseItem="7"/>
    <dataField name="Max of HRP4" fld="135" subtotal="max" baseField="7" baseItem="7"/>
    <dataField name="Max of HRP5" fld="136" subtotal="max" baseField="7" baseItem="7"/>
    <dataField name="Max of HRP6" fld="137" subtotal="max" baseField="7" baseItem="9"/>
    <dataField name="Max of hygiene items" fld="119" subtotal="max" baseField="7" baseItem="7"/>
    <dataField name="Max of # people reached by regular dedicated hygiene promotion_5" fld="116" subtotal="max" baseField="7" baseItem="7"/>
    <dataField name="Max of # People access to Handwashing Station" fld="129" subtotal="max" baseField="7" baseItem="7"/>
    <dataField name="Max of # People access to water in TLS/CFS_HRP5" fld="90" subtotal="max" baseField="7" baseItem="7"/>
    <dataField name="Max of # People access to water in THF_HRP6" fld="91" subtotal="max" baseField="7" baseItem="7"/>
    <dataField name="Max of # students access to functioning school latrines_HRP5" fld="110" subtotal="max" baseField="7" baseItem="7"/>
    <dataField name="Max of # People access to functioning latrines in THF_HRP6" fld="111" subtotal="max" baseField="7" baseItem="7"/>
  </dataFields>
  <formats count="58">
    <format dxfId="790">
      <pivotArea field="4" type="button" dataOnly="0" labelOnly="1" outline="0" axis="axisPage" fieldPosition="2"/>
    </format>
    <format dxfId="789">
      <pivotArea type="all" dataOnly="0" outline="0" fieldPosition="0"/>
    </format>
    <format dxfId="788">
      <pivotArea field="4" type="button" dataOnly="0" labelOnly="1" outline="0" axis="axisPage" fieldPosition="2"/>
    </format>
    <format dxfId="787">
      <pivotArea outline="0" fieldPosition="0">
        <references count="1">
          <reference field="4294967294" count="1">
            <x v="0"/>
          </reference>
        </references>
      </pivotArea>
    </format>
    <format dxfId="786">
      <pivotArea dataOnly="0" labelOnly="1" outline="0" fieldPosition="0">
        <references count="1">
          <reference field="4294967294" count="1">
            <x v="0"/>
          </reference>
        </references>
      </pivotArea>
    </format>
    <format dxfId="785">
      <pivotArea type="all" dataOnly="0" outline="0" fieldPosition="0"/>
    </format>
    <format dxfId="784">
      <pivotArea outline="0" collapsedLevelsAreSubtotals="1" fieldPosition="0"/>
    </format>
    <format dxfId="783">
      <pivotArea dataOnly="0" labelOnly="1" fieldPosition="0">
        <references count="1">
          <reference field="4" count="0"/>
        </references>
      </pivotArea>
    </format>
    <format dxfId="782">
      <pivotArea dataOnly="0" labelOnly="1" grandRow="1" outline="0" fieldPosition="0"/>
    </format>
    <format dxfId="781">
      <pivotArea dataOnly="0" labelOnly="1" outline="0" fieldPosition="0">
        <references count="1">
          <reference field="4294967294" count="1">
            <x v="0"/>
          </reference>
        </references>
      </pivotArea>
    </format>
    <format dxfId="780">
      <pivotArea type="all" dataOnly="0" outline="0" fieldPosition="0"/>
    </format>
    <format dxfId="779">
      <pivotArea outline="0" collapsedLevelsAreSubtotals="1" fieldPosition="0"/>
    </format>
    <format dxfId="778">
      <pivotArea dataOnly="0" labelOnly="1" fieldPosition="0">
        <references count="1">
          <reference field="4" count="0"/>
        </references>
      </pivotArea>
    </format>
    <format dxfId="777">
      <pivotArea dataOnly="0" labelOnly="1" grandRow="1" outline="0" fieldPosition="0"/>
    </format>
    <format dxfId="776">
      <pivotArea dataOnly="0" labelOnly="1" outline="0" fieldPosition="0">
        <references count="1">
          <reference field="4294967294" count="1">
            <x v="0"/>
          </reference>
        </references>
      </pivotArea>
    </format>
    <format dxfId="775">
      <pivotArea outline="0" collapsedLevelsAreSubtotals="1" fieldPosition="0"/>
    </format>
    <format dxfId="774">
      <pivotArea outline="0" collapsedLevelsAreSubtotals="1" fieldPosition="0">
        <references count="1">
          <reference field="4294967294" count="1" selected="0">
            <x v="1"/>
          </reference>
        </references>
      </pivotArea>
    </format>
    <format dxfId="773">
      <pivotArea dataOnly="0" labelOnly="1" outline="0" fieldPosition="0">
        <references count="1">
          <reference field="4294967294" count="1">
            <x v="1"/>
          </reference>
        </references>
      </pivotArea>
    </format>
    <format dxfId="772">
      <pivotArea outline="0" collapsedLevelsAreSubtotals="1" fieldPosition="0">
        <references count="1">
          <reference field="4294967294" count="1" selected="0">
            <x v="1"/>
          </reference>
        </references>
      </pivotArea>
    </format>
    <format dxfId="771">
      <pivotArea dataOnly="0" labelOnly="1" outline="0" fieldPosition="0">
        <references count="1">
          <reference field="4294967294" count="1">
            <x v="1"/>
          </reference>
        </references>
      </pivotArea>
    </format>
    <format dxfId="770">
      <pivotArea outline="0" collapsedLevelsAreSubtotals="1" fieldPosition="0">
        <references count="1">
          <reference field="4294967294" count="1" selected="0">
            <x v="2"/>
          </reference>
        </references>
      </pivotArea>
    </format>
    <format dxfId="769">
      <pivotArea dataOnly="0" labelOnly="1" outline="0" fieldPosition="0">
        <references count="1">
          <reference field="4294967294" count="1">
            <x v="2"/>
          </reference>
        </references>
      </pivotArea>
    </format>
    <format dxfId="768">
      <pivotArea outline="0" collapsedLevelsAreSubtotals="1" fieldPosition="0">
        <references count="1">
          <reference field="4294967294" count="1" selected="0">
            <x v="2"/>
          </reference>
        </references>
      </pivotArea>
    </format>
    <format dxfId="767">
      <pivotArea dataOnly="0" labelOnly="1" outline="0" fieldPosition="0">
        <references count="1">
          <reference field="4294967294" count="1">
            <x v="2"/>
          </reference>
        </references>
      </pivotArea>
    </format>
    <format dxfId="766">
      <pivotArea outline="0" collapsedLevelsAreSubtotals="1" fieldPosition="0">
        <references count="1">
          <reference field="4294967294" count="1" selected="0">
            <x v="3"/>
          </reference>
        </references>
      </pivotArea>
    </format>
    <format dxfId="765">
      <pivotArea dataOnly="0" labelOnly="1" outline="0" fieldPosition="0">
        <references count="1">
          <reference field="4294967294" count="1">
            <x v="3"/>
          </reference>
        </references>
      </pivotArea>
    </format>
    <format dxfId="764">
      <pivotArea outline="0" collapsedLevelsAreSubtotals="1" fieldPosition="0">
        <references count="1">
          <reference field="4294967294" count="1" selected="0">
            <x v="3"/>
          </reference>
        </references>
      </pivotArea>
    </format>
    <format dxfId="763">
      <pivotArea dataOnly="0" labelOnly="1" outline="0" fieldPosition="0">
        <references count="1">
          <reference field="4294967294" count="1">
            <x v="3"/>
          </reference>
        </references>
      </pivotArea>
    </format>
    <format dxfId="762">
      <pivotArea outline="0" collapsedLevelsAreSubtotals="1" fieldPosition="0">
        <references count="1">
          <reference field="4294967294" count="1" selected="0">
            <x v="0"/>
          </reference>
        </references>
      </pivotArea>
    </format>
    <format dxfId="761">
      <pivotArea dataOnly="0" labelOnly="1" outline="0" fieldPosition="0">
        <references count="1">
          <reference field="4294967294" count="1">
            <x v="0"/>
          </reference>
        </references>
      </pivotArea>
    </format>
    <format dxfId="760">
      <pivotArea outline="0" collapsedLevelsAreSubtotals="1" fieldPosition="0">
        <references count="1">
          <reference field="4294967294" count="1" selected="0">
            <x v="0"/>
          </reference>
        </references>
      </pivotArea>
    </format>
    <format dxfId="759">
      <pivotArea dataOnly="0" labelOnly="1" outline="0" fieldPosition="0">
        <references count="1">
          <reference field="4294967294" count="1">
            <x v="0"/>
          </reference>
        </references>
      </pivotArea>
    </format>
    <format dxfId="758">
      <pivotArea dataOnly="0" labelOnly="1" outline="0" fieldPosition="0">
        <references count="1">
          <reference field="4294967294" count="4">
            <x v="0"/>
            <x v="1"/>
            <x v="2"/>
            <x v="3"/>
          </reference>
        </references>
      </pivotArea>
    </format>
    <format dxfId="757">
      <pivotArea dataOnly="0" labelOnly="1" outline="0" fieldPosition="0">
        <references count="1">
          <reference field="4294967294" count="4">
            <x v="0"/>
            <x v="1"/>
            <x v="2"/>
            <x v="3"/>
          </reference>
        </references>
      </pivotArea>
    </format>
    <format dxfId="756">
      <pivotArea dataOnly="0" labelOnly="1" outline="0" fieldPosition="0">
        <references count="1">
          <reference field="4294967294" count="1">
            <x v="7"/>
          </reference>
        </references>
      </pivotArea>
    </format>
    <format dxfId="755">
      <pivotArea dataOnly="0" labelOnly="1" outline="0" fieldPosition="0">
        <references count="1">
          <reference field="4294967294" count="1">
            <x v="7"/>
          </reference>
        </references>
      </pivotArea>
    </format>
    <format dxfId="754">
      <pivotArea dataOnly="0" labelOnly="1" outline="0" fieldPosition="0">
        <references count="1">
          <reference field="4294967294" count="1">
            <x v="9"/>
          </reference>
        </references>
      </pivotArea>
    </format>
    <format dxfId="753">
      <pivotArea outline="0" collapsedLevelsAreSubtotals="1" fieldPosition="0">
        <references count="1">
          <reference field="4294967294" count="2" selected="0">
            <x v="7"/>
            <x v="9"/>
          </reference>
        </references>
      </pivotArea>
    </format>
    <format dxfId="752">
      <pivotArea dataOnly="0" labelOnly="1" outline="0" fieldPosition="0">
        <references count="1">
          <reference field="4294967294" count="1">
            <x v="8"/>
          </reference>
        </references>
      </pivotArea>
    </format>
    <format dxfId="751">
      <pivotArea collapsedLevelsAreSubtotals="1" fieldPosition="0">
        <references count="2">
          <reference field="4294967294" count="1" selected="0">
            <x v="8"/>
          </reference>
          <reference field="4" count="1">
            <x v="0"/>
          </reference>
        </references>
      </pivotArea>
    </format>
    <format dxfId="750">
      <pivotArea outline="0" collapsedLevelsAreSubtotals="1" fieldPosition="0">
        <references count="1">
          <reference field="4294967294" count="3" selected="0">
            <x v="7"/>
            <x v="8"/>
            <x v="9"/>
          </reference>
        </references>
      </pivotArea>
    </format>
    <format dxfId="749">
      <pivotArea dataOnly="0" labelOnly="1" outline="0" fieldPosition="0">
        <references count="1">
          <reference field="4294967294" count="3">
            <x v="7"/>
            <x v="8"/>
            <x v="9"/>
          </reference>
        </references>
      </pivotArea>
    </format>
    <format dxfId="748">
      <pivotArea outline="0" collapsedLevelsAreSubtotals="1" fieldPosition="0">
        <references count="1">
          <reference field="4294967294" count="3" selected="0">
            <x v="7"/>
            <x v="8"/>
            <x v="9"/>
          </reference>
        </references>
      </pivotArea>
    </format>
    <format dxfId="747">
      <pivotArea dataOnly="0" labelOnly="1" outline="0" fieldPosition="0">
        <references count="1">
          <reference field="4294967294" count="3">
            <x v="7"/>
            <x v="8"/>
            <x v="9"/>
          </reference>
        </references>
      </pivotArea>
    </format>
    <format dxfId="746">
      <pivotArea outline="0" collapsedLevelsAreSubtotals="1" fieldPosition="0">
        <references count="1">
          <reference field="4294967294" count="1" selected="0">
            <x v="4"/>
          </reference>
        </references>
      </pivotArea>
    </format>
    <format dxfId="745">
      <pivotArea dataOnly="0" labelOnly="1" outline="0" fieldPosition="0">
        <references count="1">
          <reference field="4294967294" count="1">
            <x v="4"/>
          </reference>
        </references>
      </pivotArea>
    </format>
    <format dxfId="744">
      <pivotArea outline="0" collapsedLevelsAreSubtotals="1" fieldPosition="0">
        <references count="1">
          <reference field="4294967294" count="1" selected="0">
            <x v="5"/>
          </reference>
        </references>
      </pivotArea>
    </format>
    <format dxfId="743">
      <pivotArea dataOnly="0" labelOnly="1" outline="0" fieldPosition="0">
        <references count="1">
          <reference field="4294967294" count="1">
            <x v="5"/>
          </reference>
        </references>
      </pivotArea>
    </format>
    <format dxfId="742">
      <pivotArea dataOnly="0" outline="0" fieldPosition="0">
        <references count="2">
          <reference field="4" count="0" defaultSubtotal="1"/>
          <reference field="146" count="1" selected="0">
            <x v="0"/>
          </reference>
        </references>
      </pivotArea>
    </format>
    <format dxfId="741">
      <pivotArea dataOnly="0" labelOnly="1" outline="0" fieldPosition="0">
        <references count="1">
          <reference field="4294967294" count="10">
            <x v="0"/>
            <x v="1"/>
            <x v="2"/>
            <x v="3"/>
            <x v="4"/>
            <x v="5"/>
            <x v="7"/>
            <x v="8"/>
            <x v="9"/>
            <x v="12"/>
          </reference>
        </references>
      </pivotArea>
    </format>
    <format dxfId="740">
      <pivotArea dataOnly="0" labelOnly="1" outline="0" fieldPosition="0">
        <references count="1">
          <reference field="4294967294" count="10">
            <x v="0"/>
            <x v="1"/>
            <x v="2"/>
            <x v="3"/>
            <x v="4"/>
            <x v="5"/>
            <x v="7"/>
            <x v="8"/>
            <x v="9"/>
            <x v="12"/>
          </reference>
        </references>
      </pivotArea>
    </format>
    <format dxfId="739">
      <pivotArea dataOnly="0" labelOnly="1" outline="0" fieldPosition="0">
        <references count="1">
          <reference field="4294967294" count="10">
            <x v="0"/>
            <x v="1"/>
            <x v="2"/>
            <x v="3"/>
            <x v="4"/>
            <x v="5"/>
            <x v="7"/>
            <x v="8"/>
            <x v="9"/>
            <x v="12"/>
          </reference>
        </references>
      </pivotArea>
    </format>
    <format dxfId="738">
      <pivotArea dataOnly="0" outline="0" fieldPosition="0">
        <references count="3">
          <reference field="4294967294" count="1">
            <x v="6"/>
          </reference>
          <reference field="4" count="1" selected="0">
            <x v="0"/>
          </reference>
          <reference field="146" count="1" selected="0">
            <x v="0"/>
          </reference>
        </references>
      </pivotArea>
    </format>
    <format dxfId="737">
      <pivotArea dataOnly="0" labelOnly="1" outline="0" fieldPosition="0">
        <references count="1">
          <reference field="4294967294" count="1">
            <x v="6"/>
          </reference>
        </references>
      </pivotArea>
    </format>
    <format dxfId="736">
      <pivotArea dataOnly="0" labelOnly="1" outline="0" fieldPosition="0">
        <references count="1">
          <reference field="4294967294" count="1">
            <x v="11"/>
          </reference>
        </references>
      </pivotArea>
    </format>
    <format dxfId="735">
      <pivotArea dataOnly="0" labelOnly="1" outline="0" fieldPosition="0">
        <references count="1">
          <reference field="4294967294" count="1">
            <x v="10"/>
          </reference>
        </references>
      </pivotArea>
    </format>
    <format dxfId="734">
      <pivotArea dataOnly="0" labelOnly="1" outline="0" fieldPosition="0">
        <references count="1">
          <reference field="4294967294" count="1">
            <x v="10"/>
          </reference>
        </references>
      </pivotArea>
    </format>
    <format dxfId="733">
      <pivotArea dataOnly="0" labelOnly="1" outline="0" fieldPosition="0">
        <references count="1">
          <reference field="4294967294" count="1">
            <x v="13"/>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C606B31-E9BE-4F27-821A-B119BAAFC38A}" name="PivotTable7" cacheId="12" applyNumberFormats="0" applyBorderFormats="0" applyFontFormats="0" applyPatternFormats="0" applyAlignmentFormats="0" applyWidthHeightFormats="1" dataCaption="Values" updatedVersion="7" minRefreshableVersion="3" itemPrintTitles="1" createdVersion="6" indent="0" outline="1" outlineData="1" multipleFieldFilters="0">
  <location ref="B242:D247" firstHeaderRow="0" firstDataRow="1" firstDataCol="1" rowPageCount="4" colPageCount="1"/>
  <pivotFields count="160">
    <pivotField axis="axisPage" subtotalTop="0" multipleItemSelectionAllowed="1" showAll="0">
      <items count="29">
        <item h="1" m="1" x="26"/>
        <item m="1" x="12"/>
        <item m="1" x="27"/>
        <item h="1" m="1" x="19"/>
        <item m="1" x="7"/>
        <item h="1" m="1" x="2"/>
        <item h="1" m="1" x="25"/>
        <item h="1" m="1" x="21"/>
        <item h="1" m="1" x="23"/>
        <item m="1" x="24"/>
        <item h="1" m="1" x="15"/>
        <item h="1" m="1" x="17"/>
        <item h="1" m="1" x="20"/>
        <item m="1" x="22"/>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Row" subtotalTop="0" showAll="0">
      <items count="7">
        <item x="1"/>
        <item h="1" m="1" x="4"/>
        <item h="1" x="0"/>
        <item h="1" m="1" x="2"/>
        <item h="1" m="1" x="3"/>
        <item h="1" m="1" x="5"/>
        <item t="default"/>
      </items>
    </pivotField>
    <pivotField subtotalTop="0" showAll="0"/>
    <pivotField axis="axisPage" multipleItemSelectionAllowed="1" showAll="0" defaultSubtotal="0">
      <items count="15">
        <item x="0"/>
        <item x="2"/>
        <item m="1" x="11"/>
        <item h="1" m="1" x="9"/>
        <item m="1" x="7"/>
        <item m="1" x="6"/>
        <item h="1" m="1" x="13"/>
        <item m="1" x="10"/>
        <item h="1" m="1" x="14"/>
        <item h="1" m="1" x="8"/>
        <item h="1" m="1" x="12"/>
        <item h="1" m="1" x="4"/>
        <item h="1" m="1" x="5"/>
        <item x="3"/>
        <item x="1"/>
      </items>
    </pivotField>
    <pivotField subtotalTop="0" showAl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m="1" x="2"/>
        <item m="1" x="37"/>
        <item m="1" x="27"/>
        <item m="1" x="261"/>
        <item m="1" x="139"/>
        <item m="1" x="75"/>
        <item m="1" x="206"/>
        <item m="1" x="10"/>
        <item m="1" x="282"/>
        <item m="1" x="325"/>
        <item m="1" x="140"/>
        <item m="1" x="141"/>
        <item m="1" x="166"/>
        <item m="1" x="328"/>
        <item m="1" x="53"/>
        <item m="1" x="81"/>
        <item m="1" x="87"/>
        <item m="1" x="262"/>
        <item m="1" x="292"/>
        <item m="1" x="338"/>
        <item m="1" x="105"/>
        <item m="1" x="283"/>
        <item m="1" x="221"/>
        <item m="1" x="99"/>
        <item m="1" x="233"/>
        <item m="1" x="308"/>
        <item m="1" x="238"/>
        <item m="1" x="197"/>
        <item m="1" x="135"/>
        <item m="1" x="333"/>
        <item m="1" x="147"/>
        <item m="1" x="117"/>
        <item m="1" x="121"/>
        <item m="1" x="63"/>
        <item m="1" x="15"/>
        <item m="1" x="321"/>
        <item m="1" x="334"/>
        <item m="1" x="214"/>
        <item m="1" x="309"/>
        <item m="1" x="247"/>
        <item m="1" x="215"/>
        <item m="1" x="326"/>
        <item m="1" x="312"/>
        <item m="1" x="172"/>
        <item m="1" x="64"/>
        <item m="1" x="268"/>
        <item m="1" x="65"/>
        <item m="1" x="163"/>
        <item m="1" x="167"/>
        <item m="1" x="173"/>
        <item m="1" x="220"/>
        <item m="1" x="31"/>
        <item m="1" x="66"/>
        <item m="1" x="174"/>
        <item m="1" x="54"/>
        <item m="1" x="136"/>
        <item m="1" x="3"/>
        <item m="1" x="198"/>
        <item m="1" x="250"/>
        <item m="1" x="175"/>
        <item m="1" x="21"/>
        <item m="1" x="329"/>
        <item m="1" x="188"/>
        <item m="1" x="88"/>
        <item m="1" x="28"/>
        <item m="1" x="222"/>
        <item m="1" x="67"/>
        <item m="1" x="216"/>
        <item m="1" x="5"/>
        <item m="1" x="313"/>
        <item m="1" x="176"/>
        <item m="1" x="255"/>
        <item m="1" x="228"/>
        <item m="1" x="278"/>
        <item m="1" x="130"/>
        <item m="1" x="189"/>
        <item m="1" x="284"/>
        <item m="1" x="264"/>
        <item m="1" x="297"/>
        <item m="1" x="142"/>
        <item m="1" x="148"/>
        <item m="1" x="89"/>
        <item m="1" x="339"/>
        <item m="1" x="55"/>
        <item m="1" x="239"/>
        <item m="1" x="322"/>
        <item m="1" x="248"/>
        <item m="1" x="32"/>
        <item m="1" x="207"/>
        <item m="1" x="76"/>
        <item m="1" x="33"/>
        <item m="1" x="199"/>
        <item m="1" x="44"/>
        <item m="1" x="310"/>
        <item m="1" x="256"/>
        <item m="1" x="314"/>
        <item m="1" x="190"/>
        <item m="1" x="156"/>
        <item m="1" x="112"/>
        <item m="1" x="335"/>
        <item m="1" x="285"/>
        <item m="1" x="100"/>
        <item m="1" x="158"/>
        <item m="1" x="90"/>
        <item m="1" x="225"/>
        <item m="1" x="11"/>
        <item m="1" x="229"/>
        <item m="1" x="304"/>
        <item m="1" x="40"/>
        <item m="1" x="77"/>
        <item m="1" x="122"/>
        <item m="1" x="257"/>
        <item m="1" x="177"/>
        <item m="1" x="293"/>
        <item m="1" x="22"/>
        <item m="1" x="288"/>
        <item m="1" x="331"/>
        <item m="1" x="94"/>
        <item m="1" x="45"/>
        <item m="1" x="240"/>
        <item m="1" x="269"/>
        <item m="1" x="131"/>
        <item m="1" x="336"/>
        <item m="1" x="234"/>
        <item m="1" x="265"/>
        <item m="1" x="208"/>
        <item m="1" x="164"/>
        <item m="1" x="315"/>
        <item m="1" x="6"/>
        <item m="1" x="232"/>
        <item m="1" x="61"/>
        <item m="1" x="241"/>
        <item m="1" x="298"/>
        <item m="1" x="299"/>
        <item m="1" x="149"/>
        <item m="1" x="242"/>
        <item m="1" x="23"/>
        <item m="1" x="184"/>
        <item m="1" x="41"/>
        <item m="1" x="16"/>
        <item m="1" x="230"/>
        <item m="1" x="300"/>
        <item m="1" x="150"/>
        <item m="1" x="106"/>
        <item m="1" x="51"/>
        <item m="1" x="316"/>
        <item m="1" x="68"/>
        <item m="1" x="226"/>
        <item m="1" x="62"/>
        <item m="1" x="82"/>
        <item m="1" x="143"/>
        <item m="1" x="123"/>
        <item m="1" x="279"/>
        <item m="1" x="301"/>
        <item m="1" x="83"/>
        <item m="1" x="192"/>
        <item m="1" x="270"/>
        <item m="1" x="137"/>
        <item m="1" x="124"/>
        <item m="1" x="159"/>
        <item m="1" x="151"/>
        <item m="1" x="78"/>
        <item m="1" x="4"/>
        <item m="1" x="160"/>
        <item m="1" x="231"/>
        <item m="1" x="152"/>
        <item m="1" x="91"/>
        <item m="1" x="200"/>
        <item m="1" x="144"/>
        <item m="1" x="271"/>
        <item m="1" x="153"/>
        <item m="1" x="280"/>
        <item m="1" x="34"/>
        <item m="1" x="113"/>
        <item m="1" x="193"/>
        <item m="1" x="317"/>
        <item m="1" x="132"/>
        <item m="1" x="223"/>
        <item m="1" x="38"/>
        <item m="1" x="305"/>
        <item m="1" x="281"/>
        <item m="1" x="266"/>
        <item m="1" x="52"/>
        <item m="1" x="330"/>
        <item m="1" x="258"/>
        <item m="1" x="69"/>
        <item m="1" x="191"/>
        <item m="1" x="56"/>
        <item m="1" x="70"/>
        <item m="1" x="235"/>
        <item m="1" x="154"/>
        <item m="1" x="178"/>
        <item m="1" x="17"/>
        <item m="1" x="18"/>
        <item m="1" x="332"/>
        <item m="1" x="92"/>
        <item m="1" x="35"/>
        <item m="1" x="185"/>
        <item m="1" x="182"/>
        <item m="1" x="42"/>
        <item m="1" x="157"/>
        <item m="1" x="7"/>
        <item m="1" x="95"/>
        <item m="1" x="101"/>
        <item m="1" x="289"/>
        <item m="1" x="57"/>
        <item m="1" x="102"/>
        <item m="1" x="46"/>
        <item m="1" x="36"/>
        <item m="1" x="318"/>
        <item m="1" x="251"/>
        <item m="1" x="252"/>
        <item m="1" x="194"/>
        <item m="1" x="259"/>
        <item m="1" x="267"/>
        <item m="1" x="253"/>
        <item m="1" x="186"/>
        <item m="1" x="165"/>
        <item m="1" x="201"/>
        <item m="1" x="302"/>
        <item m="1" x="58"/>
        <item m="1" x="47"/>
        <item m="1" x="274"/>
        <item m="1" x="133"/>
        <item m="1" x="96"/>
        <item m="1" x="12"/>
        <item m="1" x="294"/>
        <item m="1" x="340"/>
        <item m="1" x="290"/>
        <item m="1" x="187"/>
        <item m="1" x="29"/>
        <item m="1" x="84"/>
        <item m="1" x="59"/>
        <item m="1" x="286"/>
        <item m="1" x="227"/>
        <item m="1" x="275"/>
        <item m="1" x="71"/>
        <item m="1" x="155"/>
        <item m="1" x="114"/>
        <item m="1" x="118"/>
        <item m="1" x="48"/>
        <item m="1" x="13"/>
        <item m="1" x="125"/>
        <item m="1" x="254"/>
        <item m="1" x="126"/>
        <item m="1" x="179"/>
        <item m="1" x="303"/>
        <item m="1" x="103"/>
        <item m="1" x="97"/>
        <item m="1" x="107"/>
        <item m="1" x="209"/>
        <item m="1" x="272"/>
        <item m="1" x="168"/>
        <item m="1" x="180"/>
        <item m="1" x="276"/>
        <item m="1" x="119"/>
        <item m="1" x="306"/>
        <item m="1" x="210"/>
        <item m="1" x="24"/>
        <item m="1" x="202"/>
        <item m="1" x="145"/>
        <item m="1" x="25"/>
        <item m="1" x="236"/>
        <item m="1" x="85"/>
        <item m="1" x="323"/>
        <item m="1" x="60"/>
        <item m="1" x="327"/>
        <item m="1" x="127"/>
        <item m="1" x="115"/>
        <item m="1" x="26"/>
        <item m="1" x="169"/>
        <item m="1" x="319"/>
        <item m="1" x="19"/>
        <item m="1" x="170"/>
        <item m="1" x="161"/>
        <item m="1" x="181"/>
        <item m="1" x="246"/>
        <item m="1" x="287"/>
        <item m="1" x="217"/>
        <item m="1" x="116"/>
        <item m="1" x="72"/>
        <item m="1" x="324"/>
        <item m="1" x="8"/>
        <item m="1" x="73"/>
        <item m="1" x="171"/>
        <item m="1" x="128"/>
        <item m="1" x="108"/>
        <item m="1" x="109"/>
        <item m="1" x="14"/>
        <item m="1" x="237"/>
        <item m="1" x="195"/>
        <item m="1" x="129"/>
        <item m="1" x="196"/>
        <item m="1" x="183"/>
        <item m="1" x="86"/>
        <item m="1" x="291"/>
        <item m="1" x="120"/>
        <item m="1" x="277"/>
        <item m="1" x="162"/>
        <item m="1" x="98"/>
        <item m="1" x="49"/>
        <item m="1" x="211"/>
        <item m="1" x="79"/>
        <item m="1" x="39"/>
        <item m="1" x="50"/>
        <item m="1" x="260"/>
        <item m="1" x="337"/>
        <item m="1" x="243"/>
        <item m="1" x="212"/>
        <item m="1" x="203"/>
        <item m="1" x="249"/>
        <item m="1" x="244"/>
        <item m="1" x="110"/>
        <item m="1" x="93"/>
        <item m="1" x="263"/>
        <item m="1" x="204"/>
        <item m="1" x="295"/>
        <item m="1" x="273"/>
        <item m="1" x="20"/>
        <item m="1" x="224"/>
        <item m="1" x="320"/>
        <item m="1" x="138"/>
        <item m="1" x="80"/>
        <item m="1" x="311"/>
        <item m="1" x="213"/>
        <item m="1" x="307"/>
        <item m="1" x="146"/>
        <item m="1" x="111"/>
        <item m="1" x="218"/>
        <item m="1" x="74"/>
        <item m="1" x="9"/>
        <item m="1" x="104"/>
        <item m="1" x="296"/>
        <item m="1" x="43"/>
        <item m="1" x="205"/>
        <item m="1" x="245"/>
        <item m="1" x="219"/>
        <item m="1" x="134"/>
        <item m="1" x="30"/>
        <item x="0"/>
        <item x="1"/>
        <item t="default"/>
      </items>
    </pivotField>
    <pivotField subtotalTop="0" showAll="0"/>
    <pivotField subtotalTop="0" showAll="0"/>
    <pivotField subtotalTop="0" showAll="0"/>
    <pivotField axis="axisPage" subtotalTop="0" showAll="0">
      <items count="6">
        <item x="0"/>
        <item x="1"/>
        <item m="1" x="4"/>
        <item m="1" x="2"/>
        <item m="1" x="3"/>
        <item t="default"/>
      </items>
    </pivotField>
    <pivotField axis="axisPage" subtotalTop="0" multipleItemSelectionAllowed="1" showAll="0">
      <items count="53">
        <item x="0"/>
        <item x="1"/>
        <item x="2"/>
        <item m="1" x="29"/>
        <item m="1" x="9"/>
        <item m="1" x="14"/>
        <item m="1" x="33"/>
        <item m="1" x="27"/>
        <item m="1" x="22"/>
        <item m="1" x="7"/>
        <item m="1" x="4"/>
        <item m="1" x="21"/>
        <item m="1" x="25"/>
        <item m="1" x="5"/>
        <item m="1" x="36"/>
        <item m="1" x="34"/>
        <item m="1" x="15"/>
        <item m="1" x="28"/>
        <item m="1" x="42"/>
        <item m="1" x="48"/>
        <item m="1" x="50"/>
        <item m="1" x="46"/>
        <item m="1" x="23"/>
        <item m="1" x="43"/>
        <item m="1" x="37"/>
        <item m="1" x="18"/>
        <item m="1" x="12"/>
        <item m="1" x="51"/>
        <item m="1" x="44"/>
        <item m="1" x="38"/>
        <item m="1" x="39"/>
        <item m="1" x="3"/>
        <item m="1" x="11"/>
        <item m="1" x="19"/>
        <item m="1" x="6"/>
        <item m="1" x="13"/>
        <item m="1" x="17"/>
        <item m="1" x="10"/>
        <item m="1" x="20"/>
        <item m="1" x="47"/>
        <item m="1" x="26"/>
        <item m="1" x="45"/>
        <item m="1" x="41"/>
        <item m="1" x="32"/>
        <item m="1" x="31"/>
        <item m="1" x="35"/>
        <item m="1" x="16"/>
        <item m="1" x="8"/>
        <item m="1" x="24"/>
        <item m="1" x="49"/>
        <item m="1" x="30"/>
        <item m="1" x="40"/>
        <item t="default"/>
      </items>
    </pivotField>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4"/>
    <field x="142"/>
  </rowFields>
  <rowItems count="5">
    <i>
      <x/>
    </i>
    <i r="1">
      <x v="339"/>
    </i>
    <i r="1">
      <x v="340"/>
    </i>
    <i t="default">
      <x/>
    </i>
    <i t="grand">
      <x/>
    </i>
  </rowItems>
  <colFields count="1">
    <field x="-2"/>
  </colFields>
  <colItems count="2">
    <i>
      <x/>
    </i>
    <i i="1">
      <x v="1"/>
    </i>
  </colItems>
  <pageFields count="4">
    <pageField fld="147" hier="-1"/>
    <pageField fld="0" hier="-1"/>
    <pageField fld="146" item="0" hier="-1"/>
    <pageField fld="6" hier="-1"/>
  </pageFields>
  <dataFields count="2">
    <dataField name="Sum of Total HH" fld="8" baseField="2" baseItem="0" numFmtId="3"/>
    <dataField name="Sum of Total PoP " fld="9" baseField="0" baseItem="0"/>
  </dataFields>
  <formats count="14">
    <format dxfId="147">
      <pivotArea type="all" dataOnly="0" outline="0" fieldPosition="0"/>
    </format>
    <format dxfId="146">
      <pivotArea type="all" dataOnly="0" outline="0" fieldPosition="0"/>
    </format>
    <format dxfId="145">
      <pivotArea outline="0" collapsedLevelsAreSubtotals="1" fieldPosition="0"/>
    </format>
    <format dxfId="144">
      <pivotArea field="4" type="button" dataOnly="0" labelOnly="1" outline="0" axis="axisRow" fieldPosition="0"/>
    </format>
    <format dxfId="143">
      <pivotArea dataOnly="0" labelOnly="1" fieldPosition="0">
        <references count="1">
          <reference field="4" count="0"/>
        </references>
      </pivotArea>
    </format>
    <format dxfId="142">
      <pivotArea dataOnly="0" labelOnly="1" grandRow="1" outline="0" fieldPosition="0"/>
    </format>
    <format dxfId="141">
      <pivotArea dataOnly="0" labelOnly="1" outline="0" fieldPosition="0">
        <references count="1">
          <reference field="4294967294" count="1">
            <x v="0"/>
          </reference>
        </references>
      </pivotArea>
    </format>
    <format dxfId="140">
      <pivotArea outline="0" fieldPosition="0">
        <references count="1">
          <reference field="4294967294" count="1">
            <x v="0"/>
          </reference>
        </references>
      </pivotArea>
    </format>
    <format dxfId="139">
      <pivotArea type="all" dataOnly="0" outline="0" fieldPosition="0"/>
    </format>
    <format dxfId="138">
      <pivotArea outline="0" collapsedLevelsAreSubtotals="1" fieldPosition="0"/>
    </format>
    <format dxfId="137">
      <pivotArea field="4" type="button" dataOnly="0" labelOnly="1" outline="0" axis="axisRow" fieldPosition="0"/>
    </format>
    <format dxfId="136">
      <pivotArea dataOnly="0" labelOnly="1" fieldPosition="0">
        <references count="1">
          <reference field="4" count="0"/>
        </references>
      </pivotArea>
    </format>
    <format dxfId="135">
      <pivotArea dataOnly="0" labelOnly="1" grandRow="1" outline="0" fieldPosition="0"/>
    </format>
    <format dxfId="134">
      <pivotArea dataOnly="0" labelOnly="1" outline="0" fieldPosition="0">
        <references count="1">
          <reference field="4294967294" count="1">
            <x v="0"/>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800-00001A000000}" name="S_Geo" cacheId="12"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36">
  <location ref="H299:J302" firstHeaderRow="1" firstDataRow="2" firstDataCol="1" rowPageCount="2" colPageCount="1"/>
  <pivotFields count="160">
    <pivotField axis="axisPage" subtotalTop="0" multipleItemSelectionAllowed="1" showAll="0">
      <items count="29">
        <item m="1" x="26"/>
        <item m="1" x="12"/>
        <item m="1" x="27"/>
        <item h="1" m="1" x="19"/>
        <item m="1" x="7"/>
        <item m="1" x="2"/>
        <item m="1" x="25"/>
        <item h="1" m="1" x="21"/>
        <item h="1" m="1" x="23"/>
        <item m="1" x="24"/>
        <item h="1" m="1" x="15"/>
        <item h="1" m="1" x="17"/>
        <item h="1" m="1" x="20"/>
        <item m="1" x="22"/>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Page" subtotalTop="0" multipleItemSelectionAllowed="1" showAll="0">
      <items count="7">
        <item h="1" x="1"/>
        <item h="1" m="1" x="4"/>
        <item x="0"/>
        <item m="1" x="2"/>
        <item h="1" m="1" x="3"/>
        <item h="1" m="1" x="5"/>
        <item t="default"/>
      </items>
    </pivotField>
    <pivotField subtotalTop="0" showAll="0"/>
    <pivotField axis="axisRow" showAll="0" defaultSubtotal="0">
      <items count="15">
        <item x="0"/>
        <item x="2"/>
        <item m="1" x="11"/>
        <item m="1" x="9"/>
        <item m="1" x="7"/>
        <item m="1" x="6"/>
        <item m="1" x="13"/>
        <item m="1" x="10"/>
        <item m="1" x="14"/>
        <item m="1" x="8"/>
        <item m="1" x="12"/>
        <item m="1" x="4"/>
        <item m="1" x="5"/>
        <item x="3"/>
        <item x="1"/>
      </items>
    </pivotField>
    <pivotField dataField="1"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numFmtId="9" subtotalTop="0"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1" showAll="0" defaultSubtotal="0"/>
    <pivotField numFmtId="9" showAll="0"/>
    <pivotField numFmtId="1" showAll="0" defaultSubtotal="0"/>
    <pivotField showAll="0" defaultSubtotal="0"/>
    <pivotField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numFmtId="9" subtotalTop="0" showAll="0"/>
    <pivotField numFmtId="1" showAll="0" defaultSubtotal="0"/>
    <pivotField numFmtId="1"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6">
        <item x="0"/>
        <item n="Gap" x="1"/>
        <item h="1" m="1" x="4"/>
        <item m="1" x="2"/>
        <item h="1" m="1" x="3"/>
        <item t="default"/>
      </items>
    </pivotField>
    <pivotField subtotalTop="0"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2">
    <i>
      <x/>
    </i>
    <i>
      <x v="13"/>
    </i>
  </rowItems>
  <colFields count="1">
    <field x="146"/>
  </colFields>
  <colItems count="2">
    <i>
      <x/>
    </i>
    <i>
      <x v="1"/>
    </i>
  </colItems>
  <pageFields count="2">
    <pageField fld="0" hier="-1"/>
    <pageField fld="4" hier="-1"/>
  </pageFields>
  <dataFields count="1">
    <dataField name="Count of Site Name" fld="7" subtotal="count" baseField="0" baseItem="0"/>
  </dataFields>
  <formats count="17">
    <format dxfId="164">
      <pivotArea type="all" dataOnly="0" outline="0" fieldPosition="0"/>
    </format>
    <format dxfId="163">
      <pivotArea outline="0" collapsedLevelsAreSubtotals="1" fieldPosition="0"/>
    </format>
    <format dxfId="162">
      <pivotArea field="4" type="button" dataOnly="0" labelOnly="1" outline="0" axis="axisPage" fieldPosition="1"/>
    </format>
    <format dxfId="161">
      <pivotArea dataOnly="0" labelOnly="1" fieldPosition="0">
        <references count="1">
          <reference field="4" count="0"/>
        </references>
      </pivotArea>
    </format>
    <format dxfId="160">
      <pivotArea dataOnly="0" labelOnly="1" grandRow="1" outline="0" fieldPosition="0"/>
    </format>
    <format dxfId="159">
      <pivotArea dataOnly="0" labelOnly="1" outline="0" fieldPosition="0">
        <references count="1">
          <reference field="4294967294" count="1">
            <x v="0"/>
          </reference>
        </references>
      </pivotArea>
    </format>
    <format dxfId="158">
      <pivotArea type="all" dataOnly="0" outline="0" fieldPosition="0"/>
    </format>
    <format dxfId="157">
      <pivotArea outline="0" collapsedLevelsAreSubtotals="1" fieldPosition="0"/>
    </format>
    <format dxfId="156">
      <pivotArea type="origin" dataOnly="0" labelOnly="1" outline="0" fieldPosition="0"/>
    </format>
    <format dxfId="155">
      <pivotArea field="146" type="button" dataOnly="0" labelOnly="1" outline="0" axis="axisCol" fieldPosition="0"/>
    </format>
    <format dxfId="154">
      <pivotArea type="topRight" dataOnly="0" labelOnly="1" outline="0" fieldPosition="0"/>
    </format>
    <format dxfId="153">
      <pivotArea dataOnly="0" labelOnly="1" fieldPosition="0">
        <references count="1">
          <reference field="146" count="0"/>
        </references>
      </pivotArea>
    </format>
    <format dxfId="152">
      <pivotArea type="all" dataOnly="0" outline="0" fieldPosition="0"/>
    </format>
    <format dxfId="151">
      <pivotArea outline="0" collapsedLevelsAreSubtotals="1" fieldPosition="0"/>
    </format>
    <format dxfId="150">
      <pivotArea dataOnly="0" labelOnly="1" fieldPosition="0">
        <references count="1">
          <reference field="146" count="0"/>
        </references>
      </pivotArea>
    </format>
    <format dxfId="149">
      <pivotArea field="4" type="button" dataOnly="0" labelOnly="1" outline="0" axis="axisPage" fieldPosition="1"/>
    </format>
    <format dxfId="148">
      <pivotArea dataOnly="0" labelOnly="1" outline="0" fieldPosition="0">
        <references count="1">
          <reference field="4" count="0"/>
        </references>
      </pivotArea>
    </format>
  </formats>
  <chartFormats count="12">
    <chartFormat chart="1" format="0" series="1">
      <pivotArea type="data" outline="0" fieldPosition="0">
        <references count="2">
          <reference field="4294967294" count="1" selected="0">
            <x v="0"/>
          </reference>
          <reference field="146" count="1" selected="0">
            <x v="0"/>
          </reference>
        </references>
      </pivotArea>
    </chartFormat>
    <chartFormat chart="1" format="1" series="1">
      <pivotArea type="data" outline="0" fieldPosition="0">
        <references count="2">
          <reference field="4294967294" count="1" selected="0">
            <x v="0"/>
          </reference>
          <reference field="146" count="1" selected="0">
            <x v="1"/>
          </reference>
        </references>
      </pivotArea>
    </chartFormat>
    <chartFormat chart="6" format="4" series="1">
      <pivotArea type="data" outline="0" fieldPosition="0">
        <references count="2">
          <reference field="4294967294" count="1" selected="0">
            <x v="0"/>
          </reference>
          <reference field="146" count="1" selected="0">
            <x v="0"/>
          </reference>
        </references>
      </pivotArea>
    </chartFormat>
    <chartFormat chart="6" format="5" series="1">
      <pivotArea type="data" outline="0" fieldPosition="0">
        <references count="2">
          <reference field="4294967294" count="1" selected="0">
            <x v="0"/>
          </reference>
          <reference field="146" count="1" selected="0">
            <x v="1"/>
          </reference>
        </references>
      </pivotArea>
    </chartFormat>
    <chartFormat chart="16" format="8" series="1">
      <pivotArea type="data" outline="0" fieldPosition="0">
        <references count="2">
          <reference field="4294967294" count="1" selected="0">
            <x v="0"/>
          </reference>
          <reference field="146" count="1" selected="0">
            <x v="0"/>
          </reference>
        </references>
      </pivotArea>
    </chartFormat>
    <chartFormat chart="16" format="9" series="1">
      <pivotArea type="data" outline="0" fieldPosition="0">
        <references count="2">
          <reference field="4294967294" count="1" selected="0">
            <x v="0"/>
          </reference>
          <reference field="146" count="1" selected="0">
            <x v="1"/>
          </reference>
        </references>
      </pivotArea>
    </chartFormat>
    <chartFormat chart="19" format="8" series="1">
      <pivotArea type="data" outline="0" fieldPosition="0">
        <references count="2">
          <reference field="4294967294" count="1" selected="0">
            <x v="0"/>
          </reference>
          <reference field="146" count="1" selected="0">
            <x v="0"/>
          </reference>
        </references>
      </pivotArea>
    </chartFormat>
    <chartFormat chart="19" format="9" series="1">
      <pivotArea type="data" outline="0" fieldPosition="0">
        <references count="2">
          <reference field="4294967294" count="1" selected="0">
            <x v="0"/>
          </reference>
          <reference field="146" count="1" selected="0">
            <x v="1"/>
          </reference>
        </references>
      </pivotArea>
    </chartFormat>
    <chartFormat chart="16" format="10" series="1">
      <pivotArea type="data" outline="0" fieldPosition="0">
        <references count="2">
          <reference field="4294967294" count="1" selected="0">
            <x v="0"/>
          </reference>
          <reference field="146" count="1" selected="0">
            <x v="3"/>
          </reference>
        </references>
      </pivotArea>
    </chartFormat>
    <chartFormat chart="19" format="10" series="1">
      <pivotArea type="data" outline="0" fieldPosition="0">
        <references count="2">
          <reference field="4294967294" count="1" selected="0">
            <x v="0"/>
          </reference>
          <reference field="146" count="1" selected="0">
            <x v="3"/>
          </reference>
        </references>
      </pivotArea>
    </chartFormat>
    <chartFormat chart="16" format="11" series="1">
      <pivotArea type="data" outline="0" fieldPosition="0">
        <references count="1">
          <reference field="4294967294" count="1" selected="0">
            <x v="0"/>
          </reference>
        </references>
      </pivotArea>
    </chartFormat>
    <chartFormat chart="19" format="11" series="1">
      <pivotArea type="data" outline="0" fieldPosition="0">
        <references count="1">
          <reference field="4294967294" count="1" selected="0">
            <x v="0"/>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800-000008000000}" name="K_water1" cacheId="12"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59">
  <location ref="B42:D44" firstHeaderRow="0" firstDataRow="1" firstDataCol="1" rowPageCount="5" colPageCount="1"/>
  <pivotFields count="160">
    <pivotField axis="axisPage" subtotalTop="0" multipleItemSelectionAllowed="1" showAll="0">
      <items count="29">
        <item h="1" m="1" x="26"/>
        <item m="1" x="12"/>
        <item h="1" m="1" x="19"/>
        <item h="1" m="1" x="2"/>
        <item m="1" x="27"/>
        <item m="1" x="7"/>
        <item h="1" m="1" x="25"/>
        <item h="1" m="1" x="21"/>
        <item h="1" m="1" x="23"/>
        <item m="1" x="24"/>
        <item h="1" m="1" x="15"/>
        <item h="1" m="1" x="17"/>
        <item h="1" m="1" x="20"/>
        <item m="1" x="22"/>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Page" subtotalTop="0" multipleItemSelectionAllowed="1" showAll="0">
      <items count="7">
        <item x="1"/>
        <item h="1" m="1" x="4"/>
        <item h="1" x="0"/>
        <item h="1" m="1" x="2"/>
        <item h="1" m="1" x="3"/>
        <item h="1" m="1" x="5"/>
        <item t="default"/>
      </items>
    </pivotField>
    <pivotField subtotalTop="0" showAll="0"/>
    <pivotField axis="axisPage" multipleItemSelectionAllowed="1" showAll="0" defaultSubtotal="0">
      <items count="15">
        <item x="0"/>
        <item x="2"/>
        <item m="1" x="11"/>
        <item m="1" x="7"/>
        <item m="1" x="6"/>
        <item h="1" m="1" x="13"/>
        <item m="1" x="10"/>
        <item h="1" m="1" x="14"/>
        <item h="1" m="1" x="8"/>
        <item h="1" m="1" x="9"/>
        <item h="1" m="1" x="12"/>
        <item h="1" m="1" x="4"/>
        <item h="1" m="1" x="5"/>
        <item x="3"/>
        <item x="1"/>
      </items>
    </pivotField>
    <pivotField subtotalTop="0" showAll="0"/>
    <pivotField subtotalTop="0" showAll="0"/>
    <pivotField subtotalTop="0" showAl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pivotField showAll="0"/>
    <pivotField showAll="0"/>
    <pivotField showAl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1" showAll="0" defaultSubtotal="0"/>
    <pivotField numFmtId="1" showAll="0" defaultSubtotal="0"/>
    <pivotField numFmtId="1" showAll="0" defaultSubtotal="0"/>
    <pivotField numFmtId="1" showAll="0"/>
    <pivotField numFmtId="1" showAll="0"/>
    <pivotField numFmtId="1" showAll="0"/>
    <pivotField numFmtId="1" showAll="0"/>
    <pivotField showAll="0"/>
    <pivotField subtotalTop="0" showAll="0"/>
    <pivotField subtotalTop="0" showAll="0"/>
    <pivotField subtotalTop="0" showAll="0"/>
    <pivotField showAll="0" defaultSubtotal="0"/>
    <pivotField showAll="0"/>
    <pivotField subtotalTop="0" showAll="0"/>
    <pivotField showAll="0" defaultSubtotal="0"/>
    <pivotField dataField="1" showAll="0" defaultSubtotal="0"/>
    <pivotField subtotalTop="0" showAll="0"/>
    <pivotField numFmtId="9" subtotalTop="0" showAll="0"/>
    <pivotField dataField="1" showAll="0" defaultSubtotal="0"/>
    <pivotField subtotalTop="0" showAll="0"/>
    <pivotField subtotalTop="0" showAll="0"/>
    <pivotField numFmtId="1" showAll="0" defaultSubtotal="0"/>
    <pivotField numFmtId="9" showAll="0"/>
    <pivotField numFmtId="1" showAll="0" defaultSubtotal="0"/>
    <pivotField showAll="0" defaultSubtotal="0"/>
    <pivotField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numFmtId="9" subtotalTop="0" showAll="0"/>
    <pivotField numFmtId="1" showAll="0" defaultSubtotal="0"/>
    <pivotField subtotalTop="0" showAll="0"/>
    <pivotField numFmtId="1" showAll="0" defaultSubtotal="0"/>
    <pivotField numFmtId="1" showAll="0"/>
    <pivotField showAll="0"/>
    <pivotField numFmtId="9" showAll="0"/>
    <pivotField numFmtId="164" showAll="0"/>
    <pivotField numFmtId="164" showAll="0"/>
    <pivotField numFmtId="164" showAll="0"/>
    <pivotField numFmtId="164" showAll="0"/>
    <pivotField showAll="0"/>
    <pivotField numFmtId="164" showAll="0"/>
    <pivotField subtotalTop="0" showAll="0"/>
    <pivotField subtotalTop="0" showAll="0"/>
    <pivotField subtotalTop="0" showAll="0"/>
    <pivotField subtotalTop="0" showAll="0"/>
    <pivotField axis="axisRow" subtotalTop="0" showAll="0">
      <items count="342">
        <item m="1" x="2"/>
        <item m="1" x="186"/>
        <item m="1" x="209"/>
        <item m="1" x="340"/>
        <item m="1" x="290"/>
        <item m="1" x="180"/>
        <item m="1" x="168"/>
        <item m="1" x="127"/>
        <item m="1" x="289"/>
        <item m="1" x="126"/>
        <item m="1" x="13"/>
        <item m="1" x="274"/>
        <item m="1" x="24"/>
        <item m="1" x="119"/>
        <item m="1" x="303"/>
        <item m="1" x="97"/>
        <item m="1" x="275"/>
        <item m="1" x="296"/>
        <item m="1" x="104"/>
        <item m="1" x="218"/>
        <item m="1" x="80"/>
        <item m="1" x="118"/>
        <item m="1" x="20"/>
        <item m="1" x="204"/>
        <item m="1" x="114"/>
        <item m="1" x="138"/>
        <item m="1" x="25"/>
        <item m="1" x="165"/>
        <item m="1" x="212"/>
        <item m="1" x="146"/>
        <item m="1" x="224"/>
        <item m="1" x="171"/>
        <item m="1" x="107"/>
        <item m="1" x="26"/>
        <item m="1" x="145"/>
        <item m="1" x="50"/>
        <item m="1" x="263"/>
        <item m="1" x="244"/>
        <item m="1" x="213"/>
        <item m="1" x="59"/>
        <item m="1" x="108"/>
        <item m="1" x="128"/>
        <item m="1" x="272"/>
        <item m="1" x="324"/>
        <item m="1" x="115"/>
        <item m="1" x="58"/>
        <item m="1" x="72"/>
        <item m="1" x="170"/>
        <item m="1" x="307"/>
        <item m="1" x="337"/>
        <item m="1" x="273"/>
        <item m="1" x="48"/>
        <item m="1" x="294"/>
        <item m="1" x="43"/>
        <item m="1" x="60"/>
        <item m="1" x="217"/>
        <item m="1" x="210"/>
        <item m="1" x="49"/>
        <item m="1" x="86"/>
        <item m="1" x="129"/>
        <item m="1" x="237"/>
        <item m="1" x="253"/>
        <item m="1" x="116"/>
        <item m="1" x="84"/>
        <item m="1" x="211"/>
        <item m="1" x="36"/>
        <item m="1" x="46"/>
        <item m="1" x="251"/>
        <item m="1" x="318"/>
        <item m="1" x="71"/>
        <item m="1" x="323"/>
        <item m="1" x="133"/>
        <item m="1" x="73"/>
        <item m="1" x="8"/>
        <item m="1" x="93"/>
        <item m="1" x="227"/>
        <item m="1" x="155"/>
        <item m="1" x="111"/>
        <item m="1" x="295"/>
        <item m="1" x="195"/>
        <item m="1" x="179"/>
        <item m="1" x="110"/>
        <item m="1" x="327"/>
        <item m="1" x="246"/>
        <item m="1" x="202"/>
        <item m="1" x="9"/>
        <item m="1" x="103"/>
        <item m="1" x="277"/>
        <item m="1" x="39"/>
        <item m="1" x="254"/>
        <item m="1" x="306"/>
        <item m="1" x="249"/>
        <item m="1" x="29"/>
        <item m="1" x="85"/>
        <item m="1" x="287"/>
        <item m="1" x="181"/>
        <item m="1" x="319"/>
        <item m="1" x="19"/>
        <item m="1" x="260"/>
        <item m="1" x="125"/>
        <item m="1" x="311"/>
        <item m="1" x="74"/>
        <item m="1" x="236"/>
        <item m="1" x="320"/>
        <item m="1" x="187"/>
        <item m="1" x="196"/>
        <item m="1" x="98"/>
        <item m="1" x="120"/>
        <item m="1" x="96"/>
        <item m="1" x="12"/>
        <item m="1" x="79"/>
        <item m="1" x="276"/>
        <item m="1" x="183"/>
        <item m="1" x="162"/>
        <item m="1" x="291"/>
        <item m="1" x="14"/>
        <item m="1" x="109"/>
        <item m="1" x="169"/>
        <item m="1" x="161"/>
        <item m="1" x="243"/>
        <item m="1" x="286"/>
        <item m="1" x="203"/>
        <item m="1" x="139"/>
        <item m="1" x="75"/>
        <item m="1" x="206"/>
        <item m="1" x="10"/>
        <item m="1" x="282"/>
        <item m="1" x="325"/>
        <item m="1" x="140"/>
        <item m="1" x="141"/>
        <item m="1" x="166"/>
        <item m="1" x="328"/>
        <item m="1" x="53"/>
        <item m="1" x="81"/>
        <item m="1" x="87"/>
        <item m="1" x="262"/>
        <item m="1" x="292"/>
        <item m="1" x="338"/>
        <item m="1" x="105"/>
        <item m="1" x="283"/>
        <item m="1" x="221"/>
        <item m="1" x="99"/>
        <item m="1" x="233"/>
        <item m="1" x="308"/>
        <item m="1" x="238"/>
        <item m="1" x="197"/>
        <item m="1" x="135"/>
        <item m="1" x="333"/>
        <item m="1" x="147"/>
        <item m="1" x="316"/>
        <item m="1" x="279"/>
        <item m="1" x="193"/>
        <item m="1" x="266"/>
        <item m="1" x="137"/>
        <item m="1" x="151"/>
        <item m="1" x="317"/>
        <item m="1" x="27"/>
        <item m="1" x="37"/>
        <item m="1" x="269"/>
        <item m="1" x="241"/>
        <item m="1" x="298"/>
        <item m="1" x="23"/>
        <item m="1" x="41"/>
        <item m="1" x="62"/>
        <item m="1" x="143"/>
        <item m="1" x="192"/>
        <item m="1" x="270"/>
        <item m="1" x="159"/>
        <item m="1" x="78"/>
        <item m="1" x="4"/>
        <item m="1" x="231"/>
        <item m="1" x="271"/>
        <item m="1" x="153"/>
        <item m="1" x="160"/>
        <item m="1" x="82"/>
        <item m="1" x="123"/>
        <item m="1" x="61"/>
        <item m="1" x="152"/>
        <item m="1" x="315"/>
        <item m="1" x="184"/>
        <item m="1" x="16"/>
        <item m="1" x="300"/>
        <item m="1" x="150"/>
        <item m="1" x="106"/>
        <item m="1" x="68"/>
        <item m="1" x="226"/>
        <item m="1" x="301"/>
        <item m="1" x="83"/>
        <item m="1" x="144"/>
        <item m="1" x="34"/>
        <item m="1" x="149"/>
        <item m="1" x="230"/>
        <item m="1" x="265"/>
        <item m="1" x="336"/>
        <item m="1" x="113"/>
        <item m="1" x="223"/>
        <item m="1" x="38"/>
        <item m="1" x="305"/>
        <item m="1" x="281"/>
        <item m="1" x="158"/>
        <item m="1" x="51"/>
        <item m="1" x="91"/>
        <item m="1" x="280"/>
        <item m="1" x="200"/>
        <item m="1" x="132"/>
        <item m="1" x="284"/>
        <item m="1" x="76"/>
        <item m="1" x="33"/>
        <item m="1" x="199"/>
        <item m="1" x="44"/>
        <item m="1" x="310"/>
        <item m="1" x="288"/>
        <item m="1" x="156"/>
        <item m="1" x="335"/>
        <item m="1" x="304"/>
        <item m="1" x="299"/>
        <item m="1" x="242"/>
        <item m="1" x="117"/>
        <item m="1" x="121"/>
        <item m="1" x="334"/>
        <item m="1" x="215"/>
        <item m="1" x="339"/>
        <item m="1" x="322"/>
        <item m="1" x="207"/>
        <item m="1" x="314"/>
        <item m="1" x="11"/>
        <item m="1" x="40"/>
        <item m="1" x="293"/>
        <item m="1" x="22"/>
        <item m="1" x="94"/>
        <item m="1" x="131"/>
        <item m="1" x="234"/>
        <item m="1" x="208"/>
        <item m="1" x="164"/>
        <item m="1" x="6"/>
        <item m="1" x="261"/>
        <item m="1" x="190"/>
        <item m="1" x="112"/>
        <item m="1" x="285"/>
        <item m="1" x="100"/>
        <item m="1" x="90"/>
        <item m="1" x="225"/>
        <item m="1" x="229"/>
        <item m="1" x="257"/>
        <item m="1" x="331"/>
        <item m="1" x="45"/>
        <item m="1" x="240"/>
        <item m="1" x="232"/>
        <item m="1" x="77"/>
        <item m="1" x="177"/>
        <item m="1" x="122"/>
        <item m="1" x="124"/>
        <item m="1" x="248"/>
        <item m="1" x="32"/>
        <item m="1" x="256"/>
        <item m="1" x="250"/>
        <item m="1" x="228"/>
        <item m="1" x="65"/>
        <item m="1" x="278"/>
        <item m="1" x="329"/>
        <item m="1" x="172"/>
        <item m="1" x="21"/>
        <item m="1" x="222"/>
        <item m="1" x="67"/>
        <item m="1" x="255"/>
        <item m="1" x="264"/>
        <item m="1" x="89"/>
        <item m="1" x="55"/>
        <item m="1" x="239"/>
        <item m="1" x="247"/>
        <item m="1" x="142"/>
        <item m="1" x="148"/>
        <item m="1" x="188"/>
        <item m="1" x="216"/>
        <item m="1" x="88"/>
        <item m="1" x="176"/>
        <item m="1" x="5"/>
        <item m="1" x="28"/>
        <item m="1" x="64"/>
        <item m="1" x="163"/>
        <item m="1" x="54"/>
        <item m="1" x="198"/>
        <item m="1" x="326"/>
        <item m="1" x="189"/>
        <item m="1" x="297"/>
        <item m="1" x="130"/>
        <item m="1" x="313"/>
        <item m="1" x="175"/>
        <item m="1" x="309"/>
        <item m="1" x="312"/>
        <item m="1" x="174"/>
        <item m="1" x="3"/>
        <item m="1" x="66"/>
        <item m="1" x="31"/>
        <item m="1" x="136"/>
        <item m="1" x="173"/>
        <item m="1" x="220"/>
        <item m="1" x="268"/>
        <item m="1" x="214"/>
        <item m="1" x="321"/>
        <item m="1" x="15"/>
        <item m="1" x="63"/>
        <item m="1" x="167"/>
        <item m="1" x="267"/>
        <item m="1" x="47"/>
        <item m="1" x="52"/>
        <item m="1" x="154"/>
        <item m="1" x="18"/>
        <item m="1" x="92"/>
        <item m="1" x="35"/>
        <item m="1" x="69"/>
        <item m="1" x="42"/>
        <item m="1" x="56"/>
        <item m="1" x="191"/>
        <item m="1" x="182"/>
        <item m="1" x="157"/>
        <item m="1" x="259"/>
        <item m="1" x="17"/>
        <item m="1" x="185"/>
        <item m="1" x="201"/>
        <item m="1" x="302"/>
        <item m="1" x="101"/>
        <item m="1" x="102"/>
        <item m="1" x="194"/>
        <item m="1" x="57"/>
        <item m="1" x="95"/>
        <item m="1" x="7"/>
        <item m="1" x="235"/>
        <item m="1" x="258"/>
        <item m="1" x="252"/>
        <item m="1" x="332"/>
        <item m="1" x="330"/>
        <item m="1" x="70"/>
        <item m="1" x="178"/>
        <item m="1" x="205"/>
        <item m="1" x="245"/>
        <item m="1" x="219"/>
        <item m="1" x="134"/>
        <item m="1" x="30"/>
        <item x="0"/>
        <item x="1"/>
        <item t="default"/>
      </items>
    </pivotField>
    <pivotField subtotalTop="0" showAll="0"/>
    <pivotField subtotalTop="0" showAll="0"/>
    <pivotField subtotalTop="0" showAll="0"/>
    <pivotField axis="axisPage" subtotalTop="0" showAll="0">
      <items count="6">
        <item x="0"/>
        <item x="1"/>
        <item m="1" x="4"/>
        <item m="1" x="2"/>
        <item m="1" x="3"/>
        <item t="default"/>
      </items>
    </pivotField>
    <pivotField axis="axisPage" subtotalTop="0" multipleItemSelectionAllowed="1" showAll="0">
      <items count="53">
        <item x="0"/>
        <item x="1"/>
        <item x="2"/>
        <item m="1" x="29"/>
        <item m="1" x="9"/>
        <item m="1" x="14"/>
        <item m="1" x="33"/>
        <item m="1" x="27"/>
        <item m="1" x="22"/>
        <item m="1" x="7"/>
        <item m="1" x="4"/>
        <item m="1" x="21"/>
        <item m="1" x="25"/>
        <item m="1" x="5"/>
        <item m="1" x="36"/>
        <item m="1" x="34"/>
        <item m="1" x="15"/>
        <item m="1" x="28"/>
        <item m="1" x="42"/>
        <item m="1" x="48"/>
        <item m="1" x="50"/>
        <item m="1" x="46"/>
        <item m="1" x="23"/>
        <item m="1" x="43"/>
        <item m="1" x="37"/>
        <item m="1" x="18"/>
        <item m="1" x="12"/>
        <item m="1" x="51"/>
        <item m="1" x="44"/>
        <item m="1" x="38"/>
        <item m="1" x="39"/>
        <item m="1" x="3"/>
        <item m="1" x="11"/>
        <item m="1" x="19"/>
        <item m="1" x="6"/>
        <item m="1" x="13"/>
        <item m="1" x="17"/>
        <item m="1" x="10"/>
        <item m="1" x="20"/>
        <item m="1" x="47"/>
        <item m="1" x="26"/>
        <item m="1" x="45"/>
        <item m="1" x="41"/>
        <item m="1" x="32"/>
        <item m="1" x="31"/>
        <item m="1" x="35"/>
        <item m="1" x="16"/>
        <item m="1" x="8"/>
        <item m="1" x="24"/>
        <item m="1" x="49"/>
        <item m="1" x="30"/>
        <item m="1" x="40"/>
        <item t="default"/>
      </items>
    </pivotField>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142"/>
  </rowFields>
  <rowItems count="2">
    <i>
      <x v="339"/>
    </i>
    <i>
      <x v="340"/>
    </i>
  </rowItems>
  <colFields count="1">
    <field x="-2"/>
  </colFields>
  <colItems count="2">
    <i>
      <x/>
    </i>
    <i i="1">
      <x v="1"/>
    </i>
  </colItems>
  <pageFields count="5">
    <pageField fld="0" hier="-1"/>
    <pageField fld="4" hier="-1"/>
    <pageField fld="146" item="0" hier="-1"/>
    <pageField fld="6" hier="-1"/>
    <pageField fld="147" hier="-1"/>
  </pageFields>
  <dataFields count="2">
    <dataField name="Coverage" fld="100" baseField="132" baseItem="340"/>
    <dataField name="Gap" fld="103" baseField="132" baseItem="340"/>
  </dataFields>
  <formats count="14">
    <format dxfId="178">
      <pivotArea type="all" dataOnly="0" outline="0" fieldPosition="0"/>
    </format>
    <format dxfId="177">
      <pivotArea outline="0" collapsedLevelsAreSubtotals="1" fieldPosition="0"/>
    </format>
    <format dxfId="176">
      <pivotArea field="142" type="button" dataOnly="0" labelOnly="1" outline="0" axis="axisRow" fieldPosition="0"/>
    </format>
    <format dxfId="175">
      <pivotArea dataOnly="0" labelOnly="1" fieldPosition="0">
        <references count="1">
          <reference field="142" count="0"/>
        </references>
      </pivotArea>
    </format>
    <format dxfId="174">
      <pivotArea type="all" dataOnly="0" outline="0" fieldPosition="0"/>
    </format>
    <format dxfId="173">
      <pivotArea field="142" type="button" dataOnly="0" labelOnly="1" outline="0" axis="axisRow" fieldPosition="0"/>
    </format>
    <format dxfId="172">
      <pivotArea dataOnly="0" labelOnly="1" fieldPosition="0">
        <references count="1">
          <reference field="142" count="0"/>
        </references>
      </pivotArea>
    </format>
    <format dxfId="171">
      <pivotArea field="142" type="button" dataOnly="0" labelOnly="1" outline="0" axis="axisRow" fieldPosition="0"/>
    </format>
    <format dxfId="170">
      <pivotArea type="all" dataOnly="0" outline="0" fieldPosition="0"/>
    </format>
    <format dxfId="169">
      <pivotArea outline="0" collapsedLevelsAreSubtotals="1" fieldPosition="0"/>
    </format>
    <format dxfId="168">
      <pivotArea field="142" type="button" dataOnly="0" labelOnly="1" outline="0" axis="axisRow" fieldPosition="0"/>
    </format>
    <format dxfId="167">
      <pivotArea field="4" type="button" dataOnly="0" labelOnly="1" outline="0" axis="axisPage" fieldPosition="1"/>
    </format>
    <format dxfId="166">
      <pivotArea dataOnly="0" labelOnly="1" outline="0" fieldPosition="0">
        <references count="2">
          <reference field="4" count="0"/>
          <reference field="146" count="1" selected="0">
            <x v="0"/>
          </reference>
        </references>
      </pivotArea>
    </format>
    <format dxfId="165">
      <pivotArea outline="0" collapsedLevelsAreSubtotals="1" fieldPosition="0"/>
    </format>
  </formats>
  <chartFormats count="4">
    <chartFormat chart="18" format="11" series="1">
      <pivotArea type="data" outline="0" fieldPosition="0">
        <references count="1">
          <reference field="4294967294" count="1" selected="0">
            <x v="0"/>
          </reference>
        </references>
      </pivotArea>
    </chartFormat>
    <chartFormat chart="5" format="3" series="1">
      <pivotArea type="data" outline="0" fieldPosition="0">
        <references count="1">
          <reference field="4294967294" count="1" selected="0">
            <x v="0"/>
          </reference>
        </references>
      </pivotArea>
    </chartFormat>
    <chartFormat chart="18" format="12" series="1">
      <pivotArea type="data" outline="0" fieldPosition="0">
        <references count="1">
          <reference field="4294967294" count="1" selected="0">
            <x v="1"/>
          </reference>
        </references>
      </pivotArea>
    </chartFormat>
    <chartFormat chart="5" format="4"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 xr10:uid="{00000000-0013-0000-FFFF-FFFF01000000}" sourceName="State">
  <pivotTables>
    <pivotTable tabId="92" name="Geo_Gap"/>
  </pivotTables>
  <data>
    <tabular pivotCacheId="1">
      <items count="6">
        <i x="1" s="1"/>
        <i x="0" s="1"/>
        <i x="3" s="1" nd="1"/>
        <i x="5" s="1" nd="1"/>
        <i x="4" s="1" nd="1"/>
        <i x="2"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2" xr10:uid="{00000000-0013-0000-FFFF-FFFF0A000000}" sourceName="Township">
  <pivotTables>
    <pivotTable tabId="114" name="PivotTable1"/>
  </pivotTables>
  <data>
    <tabular pivotCacheId="1">
      <items count="48">
        <i x="15" s="1"/>
        <i x="5" s="1"/>
        <i x="6" s="1"/>
        <i x="16" s="1"/>
        <i x="0" s="1"/>
        <i x="22" s="1"/>
        <i x="17" s="1"/>
        <i x="18" s="1"/>
        <i x="1" s="1"/>
        <i x="3" s="1"/>
        <i x="7" s="1"/>
        <i x="19" s="1"/>
        <i x="8" s="1"/>
        <i x="9" s="1"/>
        <i x="4" s="1"/>
        <i x="2" s="1"/>
        <i x="10" s="1"/>
        <i x="20" s="1"/>
        <i x="21" s="1"/>
        <i x="11" s="1"/>
        <i x="12" s="1"/>
        <i x="13" s="1"/>
        <i x="24" s="1"/>
        <i x="23" s="1"/>
        <i x="14" s="1"/>
        <i x="32" s="1" nd="1"/>
        <i x="45" s="1" nd="1"/>
        <i x="37" s="1" nd="1"/>
        <i x="40" s="1" nd="1"/>
        <i x="27" s="1" nd="1"/>
        <i x="47" s="1" nd="1"/>
        <i x="43" s="1" nd="1"/>
        <i x="38" s="1" nd="1"/>
        <i x="31" s="1" nd="1"/>
        <i x="26" s="1" nd="1"/>
        <i x="44" s="1" nd="1"/>
        <i x="35" s="1" nd="1"/>
        <i x="34" s="1" nd="1"/>
        <i x="30" s="1" nd="1"/>
        <i x="28" s="1" nd="1"/>
        <i x="29" s="1" nd="1"/>
        <i x="33" s="1" nd="1"/>
        <i x="39" s="1" nd="1"/>
        <i x="36" s="1" nd="1"/>
        <i x="46" s="1" nd="1"/>
        <i x="42" s="1" nd="1"/>
        <i x="41" s="1" nd="1"/>
        <i x="25" s="1"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project_agency" xr10:uid="{D49301D1-2E02-4C46-92E2-64A97E772DB6}" sourceName="WASH project agency">
  <pivotTables>
    <pivotTable tabId="100" name="PivotTable1"/>
  </pivotTables>
  <data>
    <tabular pivotCacheId="1">
      <items count="75">
        <i x="0" s="1"/>
        <i x="1" s="1"/>
        <i x="2" s="1"/>
        <i x="3" s="1"/>
        <i x="4" s="1"/>
        <i x="5" s="1"/>
        <i x="6" s="1"/>
        <i x="7" s="1"/>
        <i x="18" s="1"/>
        <i x="8" s="1"/>
        <i x="9" s="1"/>
        <i x="10" s="1"/>
        <i x="11" s="1"/>
        <i x="12" s="1"/>
        <i x="13" s="1"/>
        <i x="19" s="1"/>
        <i x="14" s="1"/>
        <i x="15" s="1"/>
        <i x="16" s="1"/>
        <i x="17" s="1"/>
        <i x="40" s="1" nd="1"/>
        <i x="22" s="1" nd="1"/>
        <i x="61" s="1" nd="1"/>
        <i x="48" s="1" nd="1"/>
        <i x="74" s="1" nd="1"/>
        <i x="41" s="1" nd="1"/>
        <i x="49" s="1" nd="1"/>
        <i x="46" s="1" nd="1"/>
        <i x="32" s="1" nd="1"/>
        <i x="69" s="1" nd="1"/>
        <i x="50" s="1" nd="1"/>
        <i x="62" s="1" nd="1"/>
        <i x="27" s="1" nd="1"/>
        <i x="60" s="1" nd="1"/>
        <i x="38" s="1" nd="1"/>
        <i x="29" s="1" nd="1"/>
        <i x="70" s="1" nd="1"/>
        <i x="54" s="1" nd="1"/>
        <i x="56" s="1" nd="1"/>
        <i x="73" s="1" nd="1"/>
        <i x="23" s="1" nd="1"/>
        <i x="47" s="1" nd="1"/>
        <i x="45" s="1" nd="1"/>
        <i x="37" s="1" nd="1"/>
        <i x="28" s="1" nd="1"/>
        <i x="58" s="1" nd="1"/>
        <i x="25" s="1" nd="1"/>
        <i x="24" s="1" nd="1"/>
        <i x="66" s="1" nd="1"/>
        <i x="35" s="1" nd="1"/>
        <i x="34" s="1" nd="1"/>
        <i x="31" s="1" nd="1"/>
        <i x="53" s="1" nd="1"/>
        <i x="30" s="1" nd="1"/>
        <i x="63" s="1" nd="1"/>
        <i x="68" s="1" nd="1"/>
        <i x="21" s="1" nd="1"/>
        <i x="26" s="1" nd="1"/>
        <i x="57" s="1" nd="1"/>
        <i x="44" s="1" nd="1"/>
        <i x="72" s="1" nd="1"/>
        <i x="55" s="1" nd="1"/>
        <i x="71" s="1" nd="1"/>
        <i x="65" s="1" nd="1"/>
        <i x="33" s="1" nd="1"/>
        <i x="51" s="1" nd="1"/>
        <i x="64" s="1" nd="1"/>
        <i x="39" s="1" nd="1"/>
        <i x="43" s="1" nd="1"/>
        <i x="59" s="1" nd="1"/>
        <i x="42" s="1" nd="1"/>
        <i x="67" s="1" nd="1"/>
        <i x="36" s="1" nd="1"/>
        <i x="52" s="1" nd="1"/>
        <i x="20" s="1"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 xr10:uid="{0C98124C-1C7A-4967-9FBA-37DD61BB8213}" sourceName="Location Type">
  <pivotTables>
    <pivotTable tabId="100" name="PivotTable1"/>
  </pivotTables>
  <data>
    <tabular pivotCacheId="1">
      <items count="15">
        <i x="0" s="1"/>
        <i x="2" s="1"/>
        <i x="1" s="1"/>
        <i x="3" s="1"/>
        <i x="12" s="1" nd="1"/>
        <i x="11" s="1" nd="1"/>
        <i x="9" s="1" nd="1"/>
        <i x="4" s="1" nd="1"/>
        <i x="5" s="1" nd="1"/>
        <i x="7" s="1" nd="1"/>
        <i x="6" s="1" nd="1"/>
        <i x="13" s="1" nd="1"/>
        <i x="10" s="1" nd="1"/>
        <i x="14" s="1" nd="1"/>
        <i x="8" s="1" nd="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1" xr10:uid="{06398EC7-043F-4027-B69B-A5BFE1D822A0}" sourceName="Location Type">
  <pivotTables>
    <pivotTable tabId="114" name="PivotTable1"/>
  </pivotTables>
  <data>
    <tabular pivotCacheId="1">
      <items count="15">
        <i x="0" s="1"/>
        <i x="2" s="1"/>
        <i x="1" s="1"/>
        <i x="3" s="1"/>
        <i x="12" s="1" nd="1"/>
        <i x="11" s="1" nd="1"/>
        <i x="9" s="1" nd="1"/>
        <i x="4" s="1" nd="1"/>
        <i x="5" s="1" nd="1"/>
        <i x="7" s="1" nd="1"/>
        <i x="6" s="1" nd="1"/>
        <i x="13" s="1" nd="1"/>
        <i x="10" s="1" nd="1"/>
        <i x="14" s="1" nd="1"/>
        <i x="8" s="1" nd="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 xr10:uid="{FE716E7A-CB0E-42A9-A1D0-0CCA6A9E4FF0}" sourceName="WASH implementing agency">
  <pivotTables>
    <pivotTable tabId="114" name="PivotTable1"/>
  </pivotTables>
  <data>
    <tabular pivotCacheId="1">
      <items count="82">
        <i x="2" s="1"/>
        <i x="3" s="1"/>
        <i x="25" s="1"/>
        <i x="5" s="1"/>
        <i x="24" s="1"/>
        <i x="22" s="1"/>
        <i x="4" s="1"/>
        <i x="23" s="1"/>
        <i x="20" s="1"/>
        <i x="26" s="1"/>
        <i x="21" s="1"/>
        <i x="27" s="1"/>
        <i x="6" s="1"/>
        <i x="0" s="1"/>
        <i x="1" s="1"/>
        <i x="7" s="1"/>
        <i x="8" s="1"/>
        <i x="9" s="1"/>
        <i x="10" s="1"/>
        <i x="18" s="1"/>
        <i x="17" s="1"/>
        <i x="11" s="1"/>
        <i x="29" s="1"/>
        <i x="12" s="1"/>
        <i x="16" s="1"/>
        <i x="13" s="1"/>
        <i x="19" s="1"/>
        <i x="14" s="1"/>
        <i x="28" s="1"/>
        <i x="15" s="1"/>
        <i x="50" s="1" nd="1"/>
        <i x="68" s="1" nd="1"/>
        <i x="70" s="1" nd="1"/>
        <i x="61" s="1" nd="1"/>
        <i x="80" s="1" nd="1"/>
        <i x="31" s="1" nd="1"/>
        <i x="51" s="1" nd="1"/>
        <i x="62" s="1" nd="1"/>
        <i x="56" s="1" nd="1"/>
        <i x="52" s="1" nd="1"/>
        <i x="63" s="1" nd="1"/>
        <i x="45" s="1" nd="1"/>
        <i x="49" s="1" nd="1"/>
        <i x="35" s="1" nd="1"/>
        <i x="69" s="1" nd="1"/>
        <i x="47" s="1" nd="1"/>
        <i x="37" s="1" nd="1"/>
        <i x="76" s="1" nd="1"/>
        <i x="75" s="1" nd="1"/>
        <i x="67" s="1" nd="1"/>
        <i x="79" s="1" nd="1"/>
        <i x="39" s="1" nd="1"/>
        <i x="33" s="1" nd="1"/>
        <i x="53" s="1" nd="1"/>
        <i x="59" s="1" nd="1"/>
        <i x="58" s="1" nd="1"/>
        <i x="44" s="1" nd="1"/>
        <i x="81" s="1" nd="1"/>
        <i x="36" s="1" nd="1"/>
        <i x="60" s="1" nd="1"/>
        <i x="34" s="1" nd="1"/>
        <i x="42" s="1" nd="1"/>
        <i x="41" s="1" nd="1"/>
        <i x="38" s="1" nd="1"/>
        <i x="65" s="1" nd="1"/>
        <i x="71" s="1" nd="1"/>
        <i x="32" s="1" nd="1"/>
        <i x="78" s="1" nd="1"/>
        <i x="66" s="1" nd="1"/>
        <i x="77" s="1" nd="1"/>
        <i x="73" s="1" nd="1"/>
        <i x="46" s="1" nd="1"/>
        <i x="40" s="1" nd="1"/>
        <i x="64" s="1" nd="1"/>
        <i x="72" s="1" nd="1"/>
        <i x="48" s="1" nd="1"/>
        <i x="55" s="1" nd="1"/>
        <i x="54" s="1" nd="1"/>
        <i x="74" s="1" nd="1"/>
        <i x="57" s="1" nd="1"/>
        <i x="43" s="1" nd="1"/>
        <i x="30" s="1" nd="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1" xr10:uid="{913F7CE1-D178-4DE2-BD10-90BBF877CEC1}" sourceName="WASH implementing agency">
  <pivotTables>
    <pivotTable tabId="102" name="PivotTable1"/>
  </pivotTables>
  <data>
    <tabular pivotCacheId="1">
      <items count="82">
        <i x="2" s="1"/>
        <i x="3" s="1"/>
        <i x="25" s="1"/>
        <i x="24" s="1"/>
        <i x="22" s="1"/>
        <i x="23" s="1"/>
        <i x="20" s="1"/>
        <i x="26" s="1"/>
        <i x="21" s="1"/>
        <i x="27" s="1"/>
        <i x="6" s="1"/>
        <i x="0" s="1"/>
        <i x="1" s="1"/>
        <i x="7" s="1"/>
        <i x="9" s="1"/>
        <i x="18" s="1"/>
        <i x="17" s="1"/>
        <i x="11" s="1"/>
        <i x="29" s="1"/>
        <i x="12" s="1"/>
        <i x="16" s="1"/>
        <i x="13" s="1"/>
        <i x="19" s="1"/>
        <i x="14" s="1"/>
        <i x="28" s="1"/>
        <i x="15" s="1"/>
        <i x="50" s="1" nd="1"/>
        <i x="68" s="1" nd="1"/>
        <i x="70" s="1" nd="1"/>
        <i x="61" s="1" nd="1"/>
        <i x="80" s="1" nd="1"/>
        <i x="31" s="1" nd="1"/>
        <i x="51" s="1" nd="1"/>
        <i x="62" s="1" nd="1"/>
        <i x="5" s="1" nd="1"/>
        <i x="56" s="1" nd="1"/>
        <i x="4" s="1" nd="1"/>
        <i x="52" s="1" nd="1"/>
        <i x="63" s="1" nd="1"/>
        <i x="45" s="1" nd="1"/>
        <i x="49" s="1" nd="1"/>
        <i x="35" s="1" nd="1"/>
        <i x="69" s="1" nd="1"/>
        <i x="47" s="1" nd="1"/>
        <i x="37" s="1" nd="1"/>
        <i x="76" s="1" nd="1"/>
        <i x="8" s="1" nd="1"/>
        <i x="75" s="1" nd="1"/>
        <i x="67" s="1" nd="1"/>
        <i x="10" s="1" nd="1"/>
        <i x="79" s="1" nd="1"/>
        <i x="39" s="1" nd="1"/>
        <i x="33" s="1" nd="1"/>
        <i x="53" s="1" nd="1"/>
        <i x="59" s="1" nd="1"/>
        <i x="58" s="1" nd="1"/>
        <i x="44" s="1" nd="1"/>
        <i x="81" s="1" nd="1"/>
        <i x="36" s="1" nd="1"/>
        <i x="60" s="1" nd="1"/>
        <i x="34" s="1" nd="1"/>
        <i x="42" s="1" nd="1"/>
        <i x="41" s="1" nd="1"/>
        <i x="38" s="1" nd="1"/>
        <i x="65" s="1" nd="1"/>
        <i x="71" s="1" nd="1"/>
        <i x="32" s="1" nd="1"/>
        <i x="78" s="1" nd="1"/>
        <i x="66" s="1" nd="1"/>
        <i x="77" s="1" nd="1"/>
        <i x="73" s="1" nd="1"/>
        <i x="46" s="1" nd="1"/>
        <i x="40" s="1" nd="1"/>
        <i x="64" s="1" nd="1"/>
        <i x="72" s="1" nd="1"/>
        <i x="48" s="1" nd="1"/>
        <i x="55" s="1" nd="1"/>
        <i x="54" s="1" nd="1"/>
        <i x="74" s="1" nd="1"/>
        <i x="57" s="1" nd="1"/>
        <i x="43" s="1" nd="1"/>
        <i x="30" s="1" nd="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2" xr10:uid="{4B0FE9C1-C71A-444B-8D26-2FE648F247F7}" sourceName="Location Type">
  <pivotTables>
    <pivotTable tabId="102" name="PivotTable1"/>
  </pivotTables>
  <data>
    <tabular pivotCacheId="1">
      <items count="15">
        <i x="0" s="1"/>
        <i x="2" s="1"/>
        <i x="1" s="1"/>
        <i x="3" s="1"/>
        <i x="12" s="1" nd="1"/>
        <i x="11" s="1" nd="1"/>
        <i x="9" s="1" nd="1"/>
        <i x="4" s="1" nd="1"/>
        <i x="5" s="1" nd="1"/>
        <i x="7" s="1" nd="1"/>
        <i x="6" s="1" nd="1"/>
        <i x="13" s="1" nd="1"/>
        <i x="10" s="1" nd="1"/>
        <i x="14" s="1" nd="1"/>
        <i x="8" s="1" nd="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3" xr10:uid="{5093C6AA-D38F-4B30-BD0A-DFC0251F6E6C}" sourceName="Township">
  <pivotTables>
    <pivotTable tabId="92" name="PivotTable16"/>
  </pivotTables>
  <data>
    <tabular pivotCacheId="1">
      <items count="48">
        <i x="15" s="1"/>
        <i x="5" s="1"/>
        <i x="6" s="1"/>
        <i x="22" s="1"/>
        <i x="7" s="1"/>
        <i x="8" s="1"/>
        <i x="9" s="1"/>
        <i x="4" s="1"/>
        <i x="10" s="1"/>
        <i x="11" s="1"/>
        <i x="12" s="1"/>
        <i x="13" s="1"/>
        <i x="14" s="1"/>
        <i x="32" s="1" nd="1"/>
        <i x="45" s="1" nd="1"/>
        <i x="37" s="1" nd="1"/>
        <i x="16" s="1" nd="1"/>
        <i x="0" s="1" nd="1"/>
        <i x="17" s="1" nd="1"/>
        <i x="18" s="1" nd="1"/>
        <i x="40" s="1" nd="1"/>
        <i x="27" s="1" nd="1"/>
        <i x="1" s="1" nd="1"/>
        <i x="47" s="1" nd="1"/>
        <i x="3" s="1" nd="1"/>
        <i x="43" s="1" nd="1"/>
        <i x="19" s="1" nd="1"/>
        <i x="38" s="1" nd="1"/>
        <i x="31" s="1" nd="1"/>
        <i x="26" s="1" nd="1"/>
        <i x="44" s="1" nd="1"/>
        <i x="2" s="1" nd="1"/>
        <i x="35" s="1" nd="1"/>
        <i x="34" s="1" nd="1"/>
        <i x="20" s="1" nd="1"/>
        <i x="30" s="1" nd="1"/>
        <i x="21" s="1" nd="1"/>
        <i x="28" s="1" nd="1"/>
        <i x="29" s="1" nd="1"/>
        <i x="33" s="1" nd="1"/>
        <i x="39" s="1" nd="1"/>
        <i x="36" s="1" nd="1"/>
        <i x="46" s="1" nd="1"/>
        <i x="42" s="1" nd="1"/>
        <i x="41" s="1" nd="1"/>
        <i x="24" s="1" nd="1"/>
        <i x="23" s="1" nd="1"/>
        <i x="25" s="1" nd="1"/>
      </items>
    </tabular>
  </data>
  <extLst>
    <x:ext xmlns:x15="http://schemas.microsoft.com/office/spreadsheetml/2010/11/main" uri="{470722E0-AACD-4C17-9CDC-17EF765DBC7E}">
      <x15:slicerCacheHideItemsWithNoData/>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3" xr10:uid="{94B07E3E-C975-4AF8-9E88-F6D948F37CC0}" sourceName="State">
  <pivotTables>
    <pivotTable tabId="92" name="PivotTable16"/>
  </pivotTables>
  <data>
    <tabular pivotCacheId="1">
      <items count="6">
        <i x="1" s="1"/>
        <i x="0"/>
        <i x="3" nd="1"/>
        <i x="5" nd="1"/>
        <i x="4" nd="1"/>
        <i x="2" nd="1"/>
      </items>
    </tabular>
  </data>
  <extLst>
    <x:ext xmlns:x15="http://schemas.microsoft.com/office/spreadsheetml/2010/11/main" uri="{470722E0-AACD-4C17-9CDC-17EF765DBC7E}">
      <x15:slicerCacheHideItemsWithNoData/>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project_agency1" xr10:uid="{09D36CC4-C8DE-4B23-B57E-1373AE239918}" sourceName="WASH project agency">
  <pivotTables>
    <pivotTable tabId="92" name="PivotTable16"/>
  </pivotTables>
  <data>
    <tabular pivotCacheId="1">
      <items count="75">
        <i x="2" s="1"/>
        <i x="3" s="1"/>
        <i x="4" s="1"/>
        <i x="5" s="1"/>
        <i x="6" s="1"/>
        <i x="7" s="1"/>
        <i x="18" s="1"/>
        <i x="8" s="1"/>
        <i x="9" s="1"/>
        <i x="12" s="1"/>
        <i x="14" s="1"/>
        <i x="15" s="1"/>
        <i x="16" s="1"/>
        <i x="17" s="1"/>
        <i x="40" s="1" nd="1"/>
        <i x="0" s="1" nd="1"/>
        <i x="22" s="1" nd="1"/>
        <i x="61" s="1" nd="1"/>
        <i x="48" s="1" nd="1"/>
        <i x="74" s="1" nd="1"/>
        <i x="41" s="1" nd="1"/>
        <i x="49" s="1" nd="1"/>
        <i x="1" s="1" nd="1"/>
        <i x="46" s="1" nd="1"/>
        <i x="32" s="1" nd="1"/>
        <i x="69" s="1" nd="1"/>
        <i x="50" s="1" nd="1"/>
        <i x="62" s="1" nd="1"/>
        <i x="27" s="1" nd="1"/>
        <i x="60" s="1" nd="1"/>
        <i x="38" s="1" nd="1"/>
        <i x="29" s="1" nd="1"/>
        <i x="70" s="1" nd="1"/>
        <i x="10" s="1" nd="1"/>
        <i x="11" s="1" nd="1"/>
        <i x="54" s="1" nd="1"/>
        <i x="56" s="1" nd="1"/>
        <i x="73" s="1" nd="1"/>
        <i x="23" s="1" nd="1"/>
        <i x="47" s="1" nd="1"/>
        <i x="45" s="1" nd="1"/>
        <i x="37" s="1" nd="1"/>
        <i x="28" s="1" nd="1"/>
        <i x="58" s="1" nd="1"/>
        <i x="25" s="1" nd="1"/>
        <i x="24" s="1" nd="1"/>
        <i x="66" s="1" nd="1"/>
        <i x="13" s="1" nd="1"/>
        <i x="35" s="1" nd="1"/>
        <i x="34" s="1" nd="1"/>
        <i x="31" s="1" nd="1"/>
        <i x="53" s="1" nd="1"/>
        <i x="30" s="1" nd="1"/>
        <i x="63" s="1" nd="1"/>
        <i x="68" s="1" nd="1"/>
        <i x="21" s="1" nd="1"/>
        <i x="26" s="1" nd="1"/>
        <i x="57" s="1" nd="1"/>
        <i x="44" s="1" nd="1"/>
        <i x="72" s="1" nd="1"/>
        <i x="55" s="1" nd="1"/>
        <i x="19" s="1" nd="1"/>
        <i x="71" s="1" nd="1"/>
        <i x="65" s="1" nd="1"/>
        <i x="33" s="1" nd="1"/>
        <i x="51" s="1" nd="1"/>
        <i x="64" s="1" nd="1"/>
        <i x="39" s="1" nd="1"/>
        <i x="43" s="1" nd="1"/>
        <i x="59" s="1" nd="1"/>
        <i x="42" s="1" nd="1"/>
        <i x="67" s="1" nd="1"/>
        <i x="36" s="1" nd="1"/>
        <i x="52" s="1" nd="1"/>
        <i x="20"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1" xr10:uid="{00000000-0013-0000-FFFF-FFFF02000000}" sourceName="State">
  <pivotTables>
    <pivotTable tabId="100" name="PivotTable1"/>
  </pivotTables>
  <data>
    <tabular pivotCacheId="1">
      <items count="6">
        <i x="1" s="1"/>
        <i x="0" s="1"/>
        <i x="3" s="1" nd="1"/>
        <i x="5" s="1" nd="1"/>
        <i x="4" s="1" nd="1"/>
        <i x="2" s="1" nd="1"/>
      </items>
    </tabular>
  </data>
  <extLst>
    <x:ext xmlns:x15="http://schemas.microsoft.com/office/spreadsheetml/2010/11/main" uri="{470722E0-AACD-4C17-9CDC-17EF765DBC7E}">
      <x15:slicerCacheHideItemsWithNoData/>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4" xr10:uid="{CF46FD41-B938-451C-9458-D95E4EB1F786}" sourceName="Township">
  <pivotTables>
    <pivotTable tabId="122" name="PivotTable1"/>
  </pivotTables>
  <data>
    <tabular pivotCacheId="1">
      <items count="48">
        <i x="15" s="1"/>
        <i x="5" s="1"/>
        <i x="6" s="1"/>
        <i x="16" s="1"/>
        <i x="0" s="1"/>
        <i x="22" s="1"/>
        <i x="17" s="1"/>
        <i x="18" s="1"/>
        <i x="1" s="1"/>
        <i x="3" s="1"/>
        <i x="7" s="1"/>
        <i x="19" s="1"/>
        <i x="8" s="1"/>
        <i x="9" s="1"/>
        <i x="4" s="1"/>
        <i x="2" s="1"/>
        <i x="10" s="1"/>
        <i x="20" s="1"/>
        <i x="21" s="1"/>
        <i x="11" s="1"/>
        <i x="12" s="1"/>
        <i x="13" s="1"/>
        <i x="24" s="1"/>
        <i x="14" s="1"/>
        <i x="32" s="1" nd="1"/>
        <i x="45" s="1" nd="1"/>
        <i x="37" s="1" nd="1"/>
        <i x="40" s="1" nd="1"/>
        <i x="27" s="1" nd="1"/>
        <i x="47" s="1" nd="1"/>
        <i x="43" s="1" nd="1"/>
        <i x="38" s="1" nd="1"/>
        <i x="31" s="1" nd="1"/>
        <i x="26" s="1" nd="1"/>
        <i x="44" s="1" nd="1"/>
        <i x="35" s="1" nd="1"/>
        <i x="34" s="1" nd="1"/>
        <i x="30" s="1" nd="1"/>
        <i x="28" s="1" nd="1"/>
        <i x="29" s="1" nd="1"/>
        <i x="33" s="1" nd="1"/>
        <i x="39" s="1" nd="1"/>
        <i x="36" s="1" nd="1"/>
        <i x="46" s="1" nd="1"/>
        <i x="42" s="1" nd="1"/>
        <i x="41" s="1" nd="1"/>
        <i x="23" s="1" nd="1"/>
        <i x="25"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 xr10:uid="{00000000-0013-0000-FFFF-FFFF03000000}" sourceName="Township">
  <pivotTables>
    <pivotTable tabId="100" name="PivotTable1"/>
  </pivotTables>
  <data>
    <tabular pivotCacheId="1">
      <items count="48">
        <i x="15" s="1"/>
        <i x="5" s="1"/>
        <i x="6" s="1"/>
        <i x="16" s="1"/>
        <i x="0" s="1"/>
        <i x="22" s="1"/>
        <i x="17" s="1"/>
        <i x="18" s="1"/>
        <i x="1" s="1"/>
        <i x="3" s="1"/>
        <i x="7" s="1"/>
        <i x="19" s="1"/>
        <i x="8" s="1"/>
        <i x="9" s="1"/>
        <i x="4" s="1"/>
        <i x="2" s="1"/>
        <i x="10" s="1"/>
        <i x="20" s="1"/>
        <i x="21" s="1"/>
        <i x="11" s="1"/>
        <i x="12" s="1"/>
        <i x="13" s="1"/>
        <i x="24" s="1"/>
        <i x="23" s="1"/>
        <i x="14" s="1"/>
        <i x="32" s="1" nd="1"/>
        <i x="45" s="1" nd="1"/>
        <i x="37" s="1" nd="1"/>
        <i x="40" s="1" nd="1"/>
        <i x="27" s="1" nd="1"/>
        <i x="47" s="1" nd="1"/>
        <i x="43" s="1" nd="1"/>
        <i x="38" s="1" nd="1"/>
        <i x="31" s="1" nd="1"/>
        <i x="26" s="1" nd="1"/>
        <i x="44" s="1" nd="1"/>
        <i x="35" s="1" nd="1"/>
        <i x="34" s="1" nd="1"/>
        <i x="30" s="1" nd="1"/>
        <i x="28" s="1" nd="1"/>
        <i x="29" s="1" nd="1"/>
        <i x="33" s="1" nd="1"/>
        <i x="39" s="1" nd="1"/>
        <i x="36" s="1" nd="1"/>
        <i x="46" s="1" nd="1"/>
        <i x="42" s="1" nd="1"/>
        <i x="41" s="1" nd="1"/>
        <i x="25"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11" xr10:uid="{00000000-0013-0000-FFFF-FFFF04000000}" sourceName="State">
  <pivotTables>
    <pivotTable tabId="102" name="PivotTable1"/>
  </pivotTables>
  <data>
    <tabular pivotCacheId="1">
      <items count="6">
        <i x="1" s="1"/>
        <i x="0" s="1"/>
        <i x="3" s="1" nd="1"/>
        <i x="5" s="1" nd="1"/>
        <i x="4" s="1" nd="1"/>
        <i x="2"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1" xr10:uid="{00000000-0013-0000-FFFF-FFFF05000000}" sourceName="Township">
  <pivotTables>
    <pivotTable tabId="102" name="PivotTable1"/>
  </pivotTables>
  <data>
    <tabular pivotCacheId="1">
      <items count="48">
        <i x="15" s="1"/>
        <i x="5" s="1"/>
        <i x="6" s="1"/>
        <i x="16" s="1"/>
        <i x="0" s="1"/>
        <i x="22" s="1"/>
        <i x="17" s="1"/>
        <i x="18" s="1"/>
        <i x="1" s="1"/>
        <i x="3" s="1"/>
        <i x="7" s="1"/>
        <i x="8" s="1"/>
        <i x="9" s="1"/>
        <i x="4" s="1"/>
        <i x="2" s="1"/>
        <i x="10" s="1"/>
        <i x="20" s="1"/>
        <i x="11" s="1"/>
        <i x="12" s="1"/>
        <i x="13" s="1"/>
        <i x="24" s="1"/>
        <i x="14" s="1"/>
        <i x="32" s="1" nd="1"/>
        <i x="45" s="1" nd="1"/>
        <i x="37" s="1" nd="1"/>
        <i x="40" s="1" nd="1"/>
        <i x="27" s="1" nd="1"/>
        <i x="47" s="1" nd="1"/>
        <i x="43" s="1" nd="1"/>
        <i x="19" s="1" nd="1"/>
        <i x="38" s="1" nd="1"/>
        <i x="31" s="1" nd="1"/>
        <i x="26" s="1" nd="1"/>
        <i x="44" s="1" nd="1"/>
        <i x="35" s="1" nd="1"/>
        <i x="34" s="1" nd="1"/>
        <i x="30" s="1" nd="1"/>
        <i x="21" s="1" nd="1"/>
        <i x="28" s="1" nd="1"/>
        <i x="29" s="1" nd="1"/>
        <i x="33" s="1" nd="1"/>
        <i x="39" s="1" nd="1"/>
        <i x="36" s="1" nd="1"/>
        <i x="46" s="1" nd="1"/>
        <i x="42" s="1" nd="1"/>
        <i x="41" s="1" nd="1"/>
        <i x="23" s="1" nd="1"/>
        <i x="25"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of_accommodation" xr10:uid="{00000000-0013-0000-FFFF-FFFF06000000}" sourceName="Type of accommodation">
  <pivotTables>
    <pivotTable tabId="92" name="Geo_Gap"/>
  </pivotTables>
  <data>
    <tabular pivotCacheId="1">
      <items count="9">
        <i x="0" s="1"/>
        <i x="4" s="1"/>
        <i x="6" s="1"/>
        <i x="8" s="1" nd="1"/>
        <i x="5" s="1" nd="1"/>
        <i x="2" s="1" nd="1"/>
        <i x="1" s="1" nd="1"/>
        <i x="3" s="1" nd="1"/>
        <i x="7"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7000000}" sourceName="Reporting Period">
  <pivotTables>
    <pivotTable tabId="100" name="PivotTable1"/>
  </pivotTables>
  <data>
    <tabular pivotCacheId="1">
      <items count="28">
        <i x="0" s="1"/>
        <i x="1" s="1"/>
        <i x="25" s="1" nd="1"/>
        <i x="26" s="1" nd="1"/>
        <i x="12" s="1" nd="1"/>
        <i x="27" s="1" nd="1"/>
        <i x="19" s="1" nd="1"/>
        <i x="21" s="1" nd="1"/>
        <i x="23" s="1" nd="1"/>
        <i x="24" s="1" nd="1"/>
        <i x="7" s="1" nd="1"/>
        <i x="15" s="1" nd="1"/>
        <i x="17" s="1" nd="1"/>
        <i x="20" s="1" nd="1"/>
        <i x="22" s="1" nd="1"/>
        <i x="10" s="1" nd="1"/>
        <i x="13" s="1" nd="1"/>
        <i x="16" s="1" nd="1"/>
        <i x="18" s="1" nd="1"/>
        <i x="5" s="1" nd="1"/>
        <i x="8" s="1" nd="1"/>
        <i x="11" s="1" nd="1"/>
        <i x="14" s="1" nd="1"/>
        <i x="3" s="1" nd="1"/>
        <i x="4" s="1" nd="1"/>
        <i x="6" s="1" nd="1"/>
        <i x="9" s="1" nd="1"/>
        <i x="2"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_1" xr10:uid="{00000000-0013-0000-FFFF-FFFF08000000}" sourceName="Location Type 1">
  <pivotTables>
    <pivotTable tabId="92" name="Geo_Gap"/>
  </pivotTables>
  <data>
    <tabular pivotCacheId="1">
      <items count="9">
        <i x="0" s="1"/>
        <i x="2" s="1"/>
        <i x="5" s="1" nd="1"/>
        <i x="4" s="1" nd="1"/>
        <i x="6" s="1" nd="1"/>
        <i x="8" s="1" nd="1"/>
        <i x="1" s="1" nd="1"/>
        <i x="7" s="1" nd="1"/>
        <i x="3"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2" xr10:uid="{00000000-0013-0000-FFFF-FFFF09000000}" sourceName="State">
  <pivotTables>
    <pivotTable tabId="114" name="PivotTable1"/>
  </pivotTables>
  <data>
    <tabular pivotCacheId="1">
      <items count="6">
        <i x="1" s="1"/>
        <i x="0" s="1"/>
        <i x="3" s="1" nd="1"/>
        <i x="5" s="1" nd="1"/>
        <i x="4" s="1" nd="1"/>
        <i x="2"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xr10:uid="{00000000-0014-0000-FFFF-FFFF01000000}" cache="Slicer_State" caption="State" style="SlicerStyleLight1" rowHeight="304800"/>
  <slicer name="Type of accommodation" xr10:uid="{00000000-0014-0000-FFFF-FFFF02000000}" cache="Slicer_Type_of_accommodation" caption="Type of accommodation" style="SlicerStyleLight5" rowHeight="304800"/>
  <slicer name="Location Type 1 1" xr10:uid="{00000000-0014-0000-FFFF-FFFF03000000}" cache="Slicer_Location_Type_1" caption="Location Type 1" style="SlicerStyleLight5" rowHeight="304800"/>
  <slicer name="Township 3" xr10:uid="{490AF9B5-FE00-42EB-8466-91825A55359D}" cache="Slicer_Township3" caption="Township" rowHeight="294216"/>
  <slicer name="State 4" xr10:uid="{CC1A346C-F1AF-4834-93FF-C53013EC1150}" cache="Slicer_State3" caption="State" rowHeight="294216"/>
  <slicer name="WASH project agency 1" xr10:uid="{9F3A236F-3544-41BA-B710-D38460B73CE6}" cache="Slicer_WASH_project_agency1" caption="WASH project agency" rowHeight="294216"/>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ownship 4" xr10:uid="{491FF94A-A3BC-4C77-984B-96DAFD579EA0}" cache="Slicer_Township4" caption="Township" rowHeight="2984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1" xr10:uid="{00000000-0014-0000-FFFF-FFFF04000000}" cache="Slicer_State1" caption="State" style="SlicerStyleLight6" rowHeight="304800"/>
  <slicer name="Township" xr10:uid="{00000000-0014-0000-FFFF-FFFF05000000}" cache="Slicer_Township" caption="Township" style="SlicerStyleOther2" rowHeight="304800"/>
  <slicer name="Reporting Period" xr10:uid="{00000000-0014-0000-FFFF-FFFF06000000}" cache="Slicer_Reporting_Period" caption="Reporting Period" style="SlicerStyleDark2" rowHeight="304800"/>
  <slicer name="WASH project agency" xr10:uid="{07409688-7D11-430B-A4EA-2F3DE5ACC717}" cache="Slicer_WASH_project_agency" caption="WASH project agency" columnCount="3" style="SlicerStyleDark5" rowHeight="304800"/>
  <slicer name="Location Type" xr10:uid="{E0468B28-9B10-4E5D-88B3-D149B9B55D65}" cache="Slicer_Location_Type" caption="Location Type" style="SlicerStyleLight6" rowHeight="3048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2" xr10:uid="{00000000-0014-0000-FFFF-FFFF07000000}" cache="Slicer_State11" caption="State" style="SlicerStyleDark6" rowHeight="304800"/>
  <slicer name="Township 1" xr10:uid="{00000000-0014-0000-FFFF-FFFF08000000}" cache="Slicer_Township1" caption="Township" style="SlicerStyleLight1" rowHeight="304800"/>
  <slicer name="WASH implementing agency 1" xr10:uid="{BE80B595-4F20-4633-B542-1634A445F9E4}" cache="Slicer_WASH_implementing_agency1" caption="WASH implementing agency" columnCount="3" style="SlicerStyleLight5" rowHeight="304800"/>
  <slicer name="Location Type 2" xr10:uid="{163D9285-1B80-4AE3-AA4B-FDE82BFC96C7}" cache="Slicer_Location_Type2" caption="Location Type" style="SlicerStyleDark6" rowHeight="3048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3" xr10:uid="{00000000-0014-0000-FFFF-FFFF09000000}" cache="Slicer_State2" caption="State" style="SlicerStyleLight6" rowHeight="304800"/>
  <slicer name="Township 2" xr10:uid="{00000000-0014-0000-FFFF-FFFF0A000000}" cache="Slicer_Township2" caption="Township" style="SlicerStyleOther2" rowHeight="304800"/>
  <slicer name="Location Type 1" xr10:uid="{1DA31F83-374D-494A-9C5A-7AC17DD1D0BE}" cache="Slicer_Location_Type1" caption="Location Type" style="SlicerStyleLight6" rowHeight="304800"/>
  <slicer name="WASH implementing agency" xr10:uid="{FD50785F-CE6E-47F7-A3FB-27BFBB24945A}" cache="Slicer_WASH_implementing_agency" caption="WASH implementing agency" columnCount="3" style="SlicerStyleLight5" rowHeight="3048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WWWW" displayName="WWWW" ref="A6:EU407" totalsRowShown="0" headerRowDxfId="1222" dataDxfId="1220" headerRowBorderDxfId="1221" tableBorderDxfId="1219">
  <autoFilter ref="A6:EU407" xr:uid="{00000000-000C-0000-FFFF-FFFF00000000}">
    <filterColumn colId="0">
      <filters>
        <filter val="2023_Q2"/>
      </filters>
    </filterColumn>
  </autoFilter>
  <sortState xmlns:xlrd2="http://schemas.microsoft.com/office/spreadsheetml/2017/richdata2" ref="A220:EU407">
    <sortCondition ref="A7:A407"/>
    <sortCondition ref="E7:E407"/>
    <sortCondition ref="F7:F407"/>
    <sortCondition ref="H7:H407"/>
  </sortState>
  <tableColumns count="151">
    <tableColumn id="1" xr3:uid="{00000000-0010-0000-0000-000001000000}" name="Reporting Period" dataDxfId="1218" totalsRowDxfId="1217"/>
    <tableColumn id="75" xr3:uid="{00000000-0010-0000-0000-00004B000000}" name="WASH project agency" dataDxfId="1216" totalsRowDxfId="1215"/>
    <tableColumn id="2" xr3:uid="{00000000-0010-0000-0000-000002000000}" name="WASH implementing agency" dataDxfId="1214" totalsRowDxfId="1213"/>
    <tableColumn id="8" xr3:uid="{00000000-0010-0000-0000-000008000000}" name="Primary Donor covering WASH activities at site " dataDxfId="1212" totalsRowDxfId="1211"/>
    <tableColumn id="3" xr3:uid="{00000000-0010-0000-0000-000003000000}" name="State" dataDxfId="1210" totalsRowDxfId="1209"/>
    <tableColumn id="4" xr3:uid="{00000000-0010-0000-0000-000004000000}" name="Township" dataDxfId="1208" totalsRowDxfId="1207"/>
    <tableColumn id="82" xr3:uid="{00000000-0010-0000-0000-000052000000}" name="Location Type" dataDxfId="1206" totalsRowDxfId="1205" dataCellStyle="Percent">
      <calculatedColumnFormula>VLOOKUP(WWWW[[#This Row],[Site Name]],SiteDB6[[Site Name]:[Location Type]],8,FALSE)</calculatedColumnFormula>
    </tableColumn>
    <tableColumn id="5" xr3:uid="{00000000-0010-0000-0000-000005000000}" name="Site Name" dataDxfId="1204" totalsRowDxfId="1203"/>
    <tableColumn id="6" xr3:uid="{00000000-0010-0000-0000-000006000000}" name="Total HH" dataDxfId="1202" totalsRowDxfId="1201" dataCellStyle="Comma"/>
    <tableColumn id="7" xr3:uid="{00000000-0010-0000-0000-000007000000}" name="Total PoP " dataDxfId="1200" totalsRowDxfId="1199" dataCellStyle="Comma"/>
    <tableColumn id="77" xr3:uid="{00000000-0010-0000-0000-00004D000000}" name="Project start date" dataDxfId="1198" totalsRowDxfId="1197"/>
    <tableColumn id="9" xr3:uid="{00000000-0010-0000-0000-000009000000}" name="Project end date" dataDxfId="1196" totalsRowDxfId="1195"/>
    <tableColumn id="104" xr3:uid="{00000000-0010-0000-0000-000068000000}" name="#_students at TLS_CFS" dataDxfId="1194" totalsRowDxfId="1193" dataCellStyle="Comma"/>
    <tableColumn id="50" xr3:uid="{00000000-0010-0000-0000-000032000000}" name="#_ paid camp based WASH skilled labor" dataDxfId="1192" totalsRowDxfId="1191" dataCellStyle="Comma"/>
    <tableColumn id="51" xr3:uid="{00000000-0010-0000-0000-000033000000}" name="#_paid camp based unskilled WASH unskilled labor" dataDxfId="1190" totalsRowDxfId="1189" dataCellStyle="Comma"/>
    <tableColumn id="10" xr3:uid="{00000000-0010-0000-0000-00000A000000}" name="# Work days (approx) lost in this site due to access restrictions" dataDxfId="1188" totalsRowDxfId="1187" dataCellStyle="Comma"/>
    <tableColumn id="74" xr3:uid="{00000000-0010-0000-0000-00004A000000}" name="WASH Focal in camp management structure?" dataDxfId="1186" totalsRowDxfId="1185"/>
    <tableColumn id="83" xr3:uid="{00000000-0010-0000-0000-000053000000}" name="#_men on camp WASH team" dataDxfId="1184" totalsRowDxfId="1183" dataCellStyle="Comma"/>
    <tableColumn id="101" xr3:uid="{00000000-0010-0000-0000-000065000000}" name="#_women on camp WASH team" dataDxfId="1182" totalsRowDxfId="1181" dataCellStyle="Comma"/>
    <tableColumn id="14" xr3:uid="{00000000-0010-0000-0000-00000E000000}" name="#_Constructed/existing protected hand dug well" dataDxfId="1180" totalsRowDxfId="1179" dataCellStyle="Comma"/>
    <tableColumn id="102" xr3:uid="{00000000-0010-0000-0000-000066000000}" name="#_Non-functional protected hand dug well" dataDxfId="1178" totalsRowDxfId="1177" dataCellStyle="Comma"/>
    <tableColumn id="103" xr3:uid="{00000000-0010-0000-0000-000067000000}" name="#_Operation &amp; Maintenance of hand dug well" dataDxfId="1176" totalsRowDxfId="1175" dataCellStyle="Comma"/>
    <tableColumn id="15" xr3:uid="{00000000-0010-0000-0000-00000F000000}" name="#_Constructed/Existing tube wells/boreholes/handpumps_WASH_agency" dataDxfId="1174" totalsRowDxfId="1173" dataCellStyle="Comma"/>
    <tableColumn id="106" xr3:uid="{00000000-0010-0000-0000-00006A000000}" name="#_Non-Cluster partner water tube-wells/boreholes/handpumps" dataDxfId="1172" totalsRowDxfId="1171" dataCellStyle="Comma"/>
    <tableColumn id="107" xr3:uid="{00000000-0010-0000-0000-00006B000000}" name="#_Non-functional tube wells/boreholes/handpumps" dataDxfId="1170" totalsRowDxfId="1169" dataCellStyle="Comma"/>
    <tableColumn id="108" xr3:uid="{00000000-0010-0000-0000-00006C000000}" name="#_Operation &amp; Maintenance of tube wells/boreholes/handpumps" dataDxfId="1168" totalsRowDxfId="1167" dataCellStyle="Comma"/>
    <tableColumn id="109" xr3:uid="{00000000-0010-0000-0000-00006D000000}" name="#_Constructed/Existingwater storage tank with gravity fed reticulation system" dataDxfId="1166" totalsRowDxfId="1165" dataCellStyle="Comma"/>
    <tableColumn id="110" xr3:uid="{00000000-0010-0000-0000-00006E000000}" name="#_Non-functional storage tank gravity fed reticulation system" dataDxfId="1164" totalsRowDxfId="1163" dataCellStyle="Comma"/>
    <tableColumn id="111" xr3:uid="{00000000-0010-0000-0000-00006F000000}" name="#_Operation &amp; maintenance of storage tank and reticulation system" dataDxfId="1162" totalsRowDxfId="1161" dataCellStyle="Comma"/>
    <tableColumn id="112" xr3:uid="{00000000-0010-0000-0000-000070000000}" name="#_Water_Liters_supplied_by_Water boating or water trucking" dataDxfId="1160" totalsRowDxfId="1159" dataCellStyle="Comma"/>
    <tableColumn id="113" xr3:uid="{00000000-0010-0000-0000-000071000000}" name="#_Constructed/Existing protected/fenced ponds" dataDxfId="1158" totalsRowDxfId="1157" dataCellStyle="Comma"/>
    <tableColumn id="114" xr3:uid="{00000000-0010-0000-0000-000072000000}" name="#_Water_Liters_from_Constructed/Existing water distribution system from river or natural spring" dataDxfId="1156" totalsRowDxfId="1155" dataCellStyle="Comma"/>
    <tableColumn id="115" xr3:uid="{00000000-0010-0000-0000-000073000000}" name="#_committes/technicians trained and maintaining the water points" dataDxfId="1154" totalsRowDxfId="1153" dataCellStyle="Comma"/>
    <tableColumn id="116" xr3:uid="{00000000-0010-0000-0000-000074000000}" name="#_Water points fully handed over" dataDxfId="1152" totalsRowDxfId="1151" dataCellStyle="Comma"/>
    <tableColumn id="117" xr3:uid="{00000000-0010-0000-0000-000075000000}" name="#_Water sources tested for fecal coliform " dataDxfId="1150" totalsRowDxfId="1149" dataCellStyle="Comma"/>
    <tableColumn id="118" xr3:uid="{00000000-0010-0000-0000-000076000000}" name="#_Water sources passed" dataDxfId="1148" totalsRowDxfId="1147" dataCellStyle="Comma"/>
    <tableColumn id="119" xr3:uid="{00000000-0010-0000-0000-000077000000}" name="#_Household water samples tested for fecal coliform" dataDxfId="1146" totalsRowDxfId="1145" dataCellStyle="Comma"/>
    <tableColumn id="120" xr3:uid="{00000000-0010-0000-0000-000078000000}" name="#_Household passed" dataDxfId="1144" totalsRowDxfId="1143" dataCellStyle="Comma"/>
    <tableColumn id="121" xr3:uid="{00000000-0010-0000-0000-000079000000}" name="#_Constructed/Existing hand washing stations at TLS/CFS/THF" dataDxfId="1142" totalsRowDxfId="1141" dataCellStyle="Comma"/>
    <tableColumn id="17" xr3:uid="{00000000-0010-0000-0000-000011000000}" name="#_of water points in TLS/CFS" dataDxfId="1140" totalsRowDxfId="1139" dataCellStyle="Comma"/>
    <tableColumn id="143" xr3:uid="{244E3FFB-BD94-4A0C-BCF6-CC2FDD778512}" name="#_of water points in THF" dataDxfId="1138" totalsRowDxfId="1137" dataCellStyle="Comma"/>
    <tableColumn id="59" xr3:uid="{00000000-0010-0000-0000-00003B000000}" name="WATER Comments" dataDxfId="1136" totalsRowDxfId="1135"/>
    <tableColumn id="87" xr3:uid="{00000000-0010-0000-0000-000057000000}" name="#_Constructed latrines_by_WASHAgencies" dataDxfId="1134" totalsRowDxfId="1133" dataCellStyle="Comma"/>
    <tableColumn id="65" xr3:uid="{00000000-0010-0000-0000-000041000000}" name="#_Non Cluster partner latrines" dataDxfId="1132" totalsRowDxfId="1131" dataCellStyle="Comma"/>
    <tableColumn id="39" xr3:uid="{00000000-0010-0000-0000-000027000000}" name="Name of Non-Cluster partner who constructed latrines" dataDxfId="1130" totalsRowDxfId="1129"/>
    <tableColumn id="23" xr3:uid="{00000000-0010-0000-0000-000017000000}" name="#_Non-functional latrines" dataDxfId="1128" totalsRowDxfId="1127" dataCellStyle="Comma"/>
    <tableColumn id="24" xr3:uid="{00000000-0010-0000-0000-000018000000}" name="#_Operation &amp; maintenance of latrines" dataDxfId="1126" totalsRowDxfId="1125" dataCellStyle="Comma"/>
    <tableColumn id="25" xr3:uid="{00000000-0010-0000-0000-000019000000}" name="#_Latrines desludged during the past quarter" dataDxfId="1124" totalsRowDxfId="1123" dataCellStyle="Comma"/>
    <tableColumn id="122" xr3:uid="{00000000-0010-0000-0000-00007A000000}" name="#_Cubic meters of desludging in past quarter" dataDxfId="1122" totalsRowDxfId="1121" dataCellStyle="Comma"/>
    <tableColumn id="123" xr3:uid="{00000000-0010-0000-0000-00007B000000}" name="#_Latrines fully handed over" dataDxfId="1120" totalsRowDxfId="1119" dataCellStyle="Comma"/>
    <tableColumn id="124" xr3:uid="{00000000-0010-0000-0000-00007C000000}" name="Is there provision of solid waste management equipment?" dataDxfId="1118" totalsRowDxfId="1117" dataCellStyle="Percent"/>
    <tableColumn id="105" xr3:uid="{00000000-0010-0000-0000-000069000000}" name="Is there constructed surface water drainage system?_x000a_" dataDxfId="1116" totalsRowDxfId="1115"/>
    <tableColumn id="100" xr3:uid="{00000000-0010-0000-0000-000064000000}" name="#_Constructed/Existing child friendly latrines" dataDxfId="1114" totalsRowDxfId="1113" dataCellStyle="Comma"/>
    <tableColumn id="26" xr3:uid="{00000000-0010-0000-0000-00001A000000}" name="#_Constructed/Existing disabled &amp; elderly friendly latrines " dataDxfId="1112" totalsRowDxfId="1111" dataCellStyle="Comma"/>
    <tableColumn id="125" xr3:uid="{00000000-0010-0000-0000-00007D000000}" name="# of functional latrines in TLS/CFS supported by WASH partners during the reporting period" dataDxfId="1110" totalsRowDxfId="1109" dataCellStyle="Comma"/>
    <tableColumn id="94" xr3:uid="{7F7C0F7D-C4C1-4C47-A69B-747B7539E4BF}" name="# of functional latrines in THF supported by WASH partners during the reporting period2" dataDxfId="1108" totalsRowDxfId="1107" dataCellStyle="Comma"/>
    <tableColumn id="32" xr3:uid="{103DD5A6-1CAA-4F9C-AD18-280981AF11D7}" name="#_of_persons_with_disabilities_with_adapted_sanitation_option" dataDxfId="1106" totalsRowDxfId="1105" dataCellStyle="Comma"/>
    <tableColumn id="11" xr3:uid="{00000000-0010-0000-0000-00000B000000}" name="Sanitation Comments" dataDxfId="1104" totalsRowDxfId="1103"/>
    <tableColumn id="126" xr3:uid="{00000000-0010-0000-0000-00007E000000}" name="#_Constructed/Existing hand washing stations" dataDxfId="1102" totalsRowDxfId="1101" dataCellStyle="Comma"/>
    <tableColumn id="127" xr3:uid="{00000000-0010-0000-0000-00007F000000}" name="#_Non-Functional_hand_washing_stations" dataDxfId="1100" totalsRowDxfId="1099" dataCellStyle="Comma"/>
    <tableColumn id="13" xr3:uid="{00000000-0010-0000-0000-00000D000000}" name="#_Constructed/Existing_individual_bathing_spaces " dataDxfId="1098" totalsRowDxfId="1097" dataCellStyle="Comma"/>
    <tableColumn id="128" xr3:uid="{00000000-0010-0000-0000-000080000000}" name="#_Constructed/Existing communal bathing spaces " dataDxfId="1096" totalsRowDxfId="1095" dataCellStyle="Comma"/>
    <tableColumn id="129" xr3:uid="{00000000-0010-0000-0000-000081000000}" name="#_Non-Functional communal_bathing spaces " dataDxfId="1094" totalsRowDxfId="1093" dataCellStyle="Comma"/>
    <tableColumn id="130" xr3:uid="{00000000-0010-0000-0000-000082000000}" name="#_male hygiene promoters" dataDxfId="1092" totalsRowDxfId="1091" dataCellStyle="Comma"/>
    <tableColumn id="131" xr3:uid="{00000000-0010-0000-0000-000083000000}" name="#_female hygiene promoters" dataDxfId="1090" totalsRowDxfId="1089" dataCellStyle="Comma"/>
    <tableColumn id="132" xr3:uid="{00000000-0010-0000-0000-000084000000}" name="#_households that received standard amount of soap for this quarter" dataDxfId="1088" totalsRowDxfId="1087" dataCellStyle="Comma"/>
    <tableColumn id="133" xr3:uid="{00000000-0010-0000-0000-000085000000}" name="# of affected women and girls receiving a sufficient quantity of sanitary pads from direct distribution or from MHM room facilities" dataDxfId="1086" totalsRowDxfId="1085" dataCellStyle="Comma"/>
    <tableColumn id="134" xr3:uid="{00000000-0010-0000-0000-000086000000}" name="Is sufficient soap available for TLS? (Yes/No)" dataDxfId="1084" totalsRowDxfId="1083"/>
    <tableColumn id="20" xr3:uid="{00000000-0010-0000-0000-000014000000}" name="#_Hygiene Promotion activities (sessions) in TLS?" dataDxfId="1082" totalsRowDxfId="1081"/>
    <tableColumn id="27" xr3:uid="{00000000-0010-0000-0000-00001B000000}" name="% of students reached by HP activities" dataDxfId="1080" totalsRowDxfId="1079" dataCellStyle="Percent"/>
    <tableColumn id="28" xr3:uid="{00000000-0010-0000-0000-00001C000000}" name="Hygiene_x000a_Comments " dataDxfId="1078" totalsRowDxfId="1077"/>
    <tableColumn id="88" xr3:uid="{9392C146-40EC-4C6C-845E-899B52090CD0}" name="%_of_affected_people_surveyed_who_report_feeling_satistfied_with_the_latrine_design_and_sanitation_service" dataDxfId="1076" totalsRowDxfId="1075" dataCellStyle="Percent"/>
    <tableColumn id="84" xr3:uid="{D02E63BE-A09A-459E-A028-D523541E7FF1}" name="%_of_affected_people_surveyed_who_report_feeling_satistfied_with_the_water_point_design_and_water_service" dataDxfId="1074" totalsRowDxfId="1073" dataCellStyle="Percent"/>
    <tableColumn id="79" xr3:uid="{45D940FA-098B-422B-8457-B5D7E56B8A76}" name="#_of_affected_people_surveyed_who_report_feeling_informed_about_the_different_WASH_services_available_to_them" dataDxfId="1072" totalsRowDxfId="1071" dataCellStyle="Percent"/>
    <tableColumn id="69" xr3:uid="{48B022E4-7FE2-4B75-A989-82EB1EB664CB}" name="%_of_complaints_received_that_result_in_timely_corrective_action_and_feedback_to_the_community" dataDxfId="1070" totalsRowDxfId="1069" dataCellStyle="Percent"/>
    <tableColumn id="91" xr3:uid="{A6DE4835-FE6C-403F-8C4E-CB713ADA4F9D}" name="# of sanitation facilities (latrines) built/repaired/rehabilitated following risk-sensitive programming and consultation with communities and/or GBV risk-sensitive programming" dataDxfId="1068" totalsRowDxfId="1067" dataCellStyle="Comma"/>
    <tableColumn id="92" xr3:uid="{01D53E97-A04B-40D2-88CE-B51CAB6274C9}" name="# of sanitation facilities (HH sanitation devices) distributed following risk-sensitive programming and consultation with communities and/or GBV risk-sensitive programming" dataDxfId="1066" totalsRowDxfId="1065" dataCellStyle="Comma"/>
    <tableColumn id="93" xr3:uid="{6F0F9250-E439-4B01-A614-A46D59F326F9}" name="# of sanitation facilities (bathing spaces) built following risk-sensitive programming and consultation with communities" dataDxfId="1064" totalsRowDxfId="1063" dataCellStyle="Comma"/>
    <tableColumn id="145" xr3:uid="{30298DF9-32FA-4E53-94C8-0EF62540805E}" name="amount_of_MMK/Voucher_or_Token_distributed_per_HH/Family" dataDxfId="1062" totalsRowDxfId="1061" dataCellStyle="Comma"/>
    <tableColumn id="146" xr3:uid="{4E9D37B8-A6B6-46A3-8825-A3C815ACD4DF}" name="#_of_Family/HH_Reached" dataDxfId="1060" totalsRowDxfId="1059" dataCellStyle="Comma"/>
    <tableColumn id="147" xr3:uid="{DFAD0E27-7B9F-4712-A1C0-70A69EB291D4}" name="Date_of_Cash_distribution" dataDxfId="1058" totalsRowDxfId="1057" dataCellStyle="Comma"/>
    <tableColumn id="148" xr3:uid="{9DC61FBD-A6C6-4612-B41F-2504DEFCE9E4}" name="Cash_distributed_for_which_items" dataDxfId="1056" totalsRowDxfId="1055" dataCellStyle="Comma"/>
    <tableColumn id="97" xr3:uid="{00000000-0010-0000-0000-000061000000}" name="% of water sources passed" dataDxfId="1054" totalsRowDxfId="1053">
      <calculatedColumnFormula>IFERROR(WWWW[[#This Row],['#_Water sources passed]]/WWWW[[#This Row],['#_Water sources tested for fecal coliform ]],"no test")</calculatedColumnFormula>
    </tableColumn>
    <tableColumn id="98" xr3:uid="{00000000-0010-0000-0000-000062000000}" name="% Household passed" dataDxfId="1052" totalsRowDxfId="1051" dataCellStyle="Percent">
      <calculatedColumnFormula>IFERROR(WWWW[[#This Row],['#_Household passed]]/WWWW[[#This Row],['#_Household water samples tested for fecal coliform]],"no test")</calculatedColumnFormula>
    </tableColumn>
    <tableColumn id="19" xr3:uid="{00000000-0010-0000-0000-000013000000}" name="Warter quality test done" dataDxfId="1050" totalsRowDxfId="1049" dataCellStyle="Percent">
      <calculatedColumnFormula>IF(AND(WWWW[[#This Row],[% of water sources passed]]="no test",WWWW[[#This Row],[% Household passed]]="no test"),"No Test","Tested")</calculatedColumnFormula>
    </tableColumn>
    <tableColumn id="29" xr3:uid="{00000000-0010-0000-0000-00001D000000}" name="Functional protected hand dug well" dataDxfId="1048" totalsRowDxfId="1047" dataCellStyle="Percent">
      <calculatedColumnFormula>WWWW[[#This Row],['#_Constructed/existing protected hand dug well]]-WWWW[[#This Row],['#_Non-functional protected hand dug well]]</calculatedColumnFormula>
    </tableColumn>
    <tableColumn id="30" xr3:uid="{00000000-0010-0000-0000-00001E000000}" name="Functional tube wells/boreholes/handpumps (including non-cluster partners)" dataDxfId="1046" totalsRowDxfId="1045" dataCellStyle="Percent">
      <calculatedColumnFormula>(WWWW[[#This Row],['#_Constructed/Existing tube wells/boreholes/handpumps_WASH_agency]]+WWWW[[#This Row],['#_Non-Cluster partner water tube-wells/boreholes/handpumps]])-WWWW[[#This Row],['#_Non-functional tube wells/boreholes/handpumps]]</calculatedColumnFormula>
    </tableColumn>
    <tableColumn id="33" xr3:uid="{00000000-0010-0000-0000-000021000000}" name="Functional storage tank with gravity fed reticulation system" dataDxfId="1044" totalsRowDxfId="1043" dataCellStyle="Percent">
      <calculatedColumnFormula>WWWW[[#This Row],['#_Constructed/Existingwater storage tank with gravity fed reticulation system]]-WWWW[[#This Row],['#_Non-functional storage tank gravity fed reticulation system]]</calculatedColumnFormula>
    </tableColumn>
    <tableColumn id="38" xr3:uid="{00000000-0010-0000-0000-000026000000}" name="Liters_Water boating or water trucking" dataDxfId="1042" totalsRowDxfId="1041" dataCellStyle="Percent">
      <calculatedColumnFormula>(WWWW[[#This Row],['#_Water_Liters_supplied_by_Water boating or water trucking]]/90)/15</calculatedColumnFormula>
    </tableColumn>
    <tableColumn id="52" xr3:uid="{00000000-0010-0000-0000-000034000000}" name="Liters_Constructed water distribution system from river" dataDxfId="1040" totalsRowDxfId="1039" dataCellStyle="Percent">
      <calculatedColumnFormula>WWWW[[#This Row],['#_Water_Liters_from_Constructed/Existing water distribution system from river or natural spring]]/90/15</calculatedColumnFormula>
    </tableColumn>
    <tableColumn id="135" xr3:uid="{53A54C77-5AA1-4800-AEE0-CC19BE365CD9}" name="# People access to functional water points or water provision supported by WASH partners in TLS/CFS_HRP5" dataDxfId="1038" totalsRowDxfId="1037" dataCellStyle="Percent">
      <calculatedColumnFormula>IF(WWWW[[#This Row],['#_of water points in TLS/CFS]]*500&gt;WWWW[[#This Row],[Total PoP ]],WWWW[[#This Row],[Total PoP ]],WWWW[[#This Row],['#_of water points in TLS/CFS]]*500)</calculatedColumnFormula>
    </tableColumn>
    <tableColumn id="142" xr3:uid="{8F58250D-2990-476B-86BF-B519893DA5FE}" name="# People access to functional water points or water provision supported by WASH partners in THF_HRP6" dataDxfId="1036" totalsRowDxfId="1035" dataCellStyle="Percent">
      <calculatedColumnFormula>IF(WWWW[[#This Row],['#_of water points in THF]]*500&gt;WWWW[[#This Row],[Total PoP ]],WWWW[[#This Row],[Total PoP ]],WWWW[[#This Row],['#_of water points in THF]]*500)</calculatedColumnFormula>
    </tableColumn>
    <tableColumn id="150" xr3:uid="{697EB2E1-17B9-453B-A91B-0E2E70810771}" name="# People access to functional water points or water provision supported by WASH partners in TLS/CFS/THF_HRP5" dataDxfId="1034" totalsRowDxfId="1033" dataCellStyle="Percent"/>
    <tableColumn id="34" xr3:uid="{00000000-0010-0000-0000-000022000000}" name="Access to safe drinking water for Camp" dataDxfId="1032" totalsRowDxfId="1031" dataCellStyle="Percent">
      <calculatedColumnFormula>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calculatedColumnFormula>
    </tableColumn>
    <tableColumn id="35" xr3:uid="{00000000-0010-0000-0000-000023000000}" name="Access to safe drinking water for Village" dataDxfId="1030" totalsRowDxfId="1029" dataCellStyle="Percent">
      <calculatedColumnFormula>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calculatedColumnFormula>
    </tableColumn>
    <tableColumn id="36" xr3:uid="{00000000-0010-0000-0000-000024000000}" name="%Equitable and continuous access to sufficient quantity of safe drinking water" dataDxfId="1028" totalsRowDxfId="1027" dataCellStyle="Percent">
      <calculatedColumnFormula>IF(WWWW[[#This Row],[Location Type 1]]="Village",WWWW[[#This Row],[Access to safe drinking water for Village]],WWWW[[#This Row],[Access to safe drinking water for Camp]])</calculatedColumnFormula>
    </tableColumn>
    <tableColumn id="89" xr3:uid="{00000000-0010-0000-0000-000059000000}" name="# people with equitable and continuous access to sufficient quantity of safe drinking water" dataDxfId="1026" totalsRowDxfId="1025">
      <calculatedColumnFormula>WWWW[[#This Row],[%Equitable and continuous access to sufficient quantity of safe drinking water]]*WWWW[[#This Row],[Total PoP ]]</calculatedColumnFormula>
    </tableColumn>
    <tableColumn id="37" xr3:uid="{00000000-0010-0000-0000-000025000000}" name="% Access to unimproved water points" dataDxfId="1024" totalsRowDxfId="1023" dataCellStyle="Percent">
      <calculatedColumnFormula>IF((WWWW[[#This Row],['#_Constructed/Existing protected/fenced ponds]]*250)/WWWW[[#This Row],[Total PoP ]]&gt;1,1,(WWWW[[#This Row],['#_Constructed/Existing protected/fenced ponds]]*250)/WWWW[[#This Row],[Total PoP ]])</calculatedColumnFormula>
    </tableColumn>
    <tableColumn id="16" xr3:uid="{00000000-0010-0000-0000-000010000000}" name="#People access to unimproved water sources" dataDxfId="1022" totalsRowDxfId="1021">
      <calculatedColumnFormula>WWWW[[#This Row],[% Access to unimproved water points]]*WWWW[[#This Row],[Total PoP ]]</calculatedColumnFormula>
    </tableColumn>
    <tableColumn id="41" xr3:uid="{00000000-0010-0000-0000-000029000000}" name="% Equitable and continuous access to sufficient quantity of domestic water" dataDxfId="1020" totalsRowDxfId="1019" dataCellStyle="Percent">
      <calculatedColumnFormula>IF(WWWW[[#This Row],[% Access to unimproved water points]]+WWWW[[#This Row],[%Equitable and continuous access to sufficient quantity of safe drinking water]]&gt;1,1,WWWW[[#This Row],[% Access to unimproved water points]]+WWWW[[#This Row],[%Equitable and continuous access to sufficient quantity of safe drinking water]])</calculatedColumnFormula>
    </tableColumn>
    <tableColumn id="42" xr3:uid="{00000000-0010-0000-0000-00002A000000}" name="HRP1" dataDxfId="1018" totalsRowDxfId="1017">
      <calculatedColumnFormula>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calculatedColumnFormula>
    </tableColumn>
    <tableColumn id="86" xr3:uid="{00000000-0010-0000-0000-000056000000}" name="#Water points coverage" dataDxfId="1016" totalsRowDxfId="1015">
      <calculatedColumnFormula>WWWW[[#This Row],[HRP1]]/500</calculatedColumnFormula>
    </tableColumn>
    <tableColumn id="85" xr3:uid="{00000000-0010-0000-0000-000055000000}" name="%equitable and continuous access to sufficient quantity of safe drinking and domestic water's GAP" dataDxfId="1014" totalsRowDxfId="1013">
      <calculatedColumnFormula>1-WWWW[[#This Row],[% Equitable and continuous access to sufficient quantity of domestic water]]</calculatedColumnFormula>
    </tableColumn>
    <tableColumn id="43" xr3:uid="{00000000-0010-0000-0000-00002B000000}" name="# people needs equitable and continuous access to sufficient quantity of safe drinking and domestic water GAP" dataDxfId="1012" totalsRowDxfId="1011">
      <calculatedColumnFormula>WWWW[[#This Row],[%equitable and continuous access to sufficient quantity of safe drinking and domestic water''s GAP]]*WWWW[[#This Row],[Total PoP ]]</calculatedColumnFormula>
    </tableColumn>
    <tableColumn id="44" xr3:uid="{00000000-0010-0000-0000-00002C000000}" name="#Potential required new water points" dataDxfId="1010" totalsRowDxfId="1009" dataCellStyle="Percent">
      <calculatedColumnFormula>IF(WWWW[[#This Row],[Total required water points]]-WWWW[[#This Row],['#Water points coverage]]&lt;0,0,WWWW[[#This Row],[Total required water points]]-WWWW[[#This Row],['#Water points coverage]])</calculatedColumnFormula>
    </tableColumn>
    <tableColumn id="78" xr3:uid="{00000000-0010-0000-0000-00004E000000}" name="Total required water points" dataDxfId="1008" totalsRowDxfId="1007" dataCellStyle="Percent">
      <calculatedColumnFormula>ROUND(IF(WWWW[[#This Row],[Total PoP ]]&lt;500,1,WWWW[[#This Row],[Total PoP ]]/500),0)</calculatedColumnFormula>
    </tableColumn>
    <tableColumn id="66" xr3:uid="{00000000-0010-0000-0000-000042000000}" name="# of Functioning latrine" dataDxfId="1006" totalsRowDxfId="1005" dataCellStyle="Percent">
      <calculatedColumnFormula>(WWWW[[#This Row],['#_Constructed latrines_by_WASHAgencies]]+WWWW[[#This Row],['#_Non Cluster partner latrines]])-WWWW[[#This Row],['#_Non-functional latrines]]</calculatedColumnFormula>
    </tableColumn>
    <tableColumn id="21" xr3:uid="{F4052D35-6786-4305-B493-888B73799200}" name="% people access to functioning Latrine" dataDxfId="1004" totalsRowDxfId="1003" dataCellStyle="Percent">
      <calculatedColumnFormula>WWWW[[#This Row],[HRP2]]/WWWW[[#This Row],[Total PoP ]]</calculatedColumnFormula>
    </tableColumn>
    <tableColumn id="18" xr3:uid="{00000000-0010-0000-0000-000012000000}" name="HRP2" dataDxfId="1002" totalsRowDxfId="1001">
      <calculatedColumnFormula>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calculatedColumnFormula>
    </tableColumn>
    <tableColumn id="70" xr3:uid="{00000000-0010-0000-0000-000046000000}" name="# people access to continuous sanitation services desluding" dataDxfId="1000" totalsRowDxfId="999" dataCellStyle="Comma">
      <calculatedColumnFormula>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calculatedColumnFormula>
    </tableColumn>
    <tableColumn id="12" xr3:uid="{00000000-0010-0000-0000-00000C000000}" name="# students access to functioning school latrines_HRP5" dataDxfId="998" totalsRowDxfId="997" dataCellStyle="Percent">
      <calculatedColumnFormula>IF(WWWW[[#This Row],['# of functional latrines in TLS/CFS supported by WASH partners during the reporting period]]*50&gt;WWWW[[#This Row],['#_students at TLS_CFS]],WWWW[[#This Row],['#_students at TLS_CFS]],(WWWW[[#This Row],['# of functional latrines in TLS/CFS supported by WASH partners during the reporting period]]*50))</calculatedColumnFormula>
    </tableColumn>
    <tableColumn id="99" xr3:uid="{1FEA533B-AECC-4BF9-AE0A-4BBB1A46CEAF}" name="# People access to functioning latrines in THF_HRP6" dataDxfId="996" totalsRowDxfId="995" dataCellStyle="Percent">
      <calculatedColumnFormula>IF(WWWW[[#This Row],['# of functional latrines in THF supported by WASH partners during the reporting period2]]="",0,WWWW[[#This Row],['# of functional latrines in THF supported by WASH partners during the reporting period2]]*50)</calculatedColumnFormula>
    </tableColumn>
    <tableColumn id="73" xr3:uid="{00000000-0010-0000-0000-000049000000}" name="Total required Latrines" dataDxfId="994" totalsRowDxfId="993" dataCellStyle="Percent">
      <calculatedColumnFormula>ROUND(IF(WWWW[[#This Row],[Location Type 1]]="camp",WWWW[[#This Row],[Total PoP ]]/20,IF(WWWW[[#This Row],[Location Type 1]]="Temporary Location",WWWW[[#This Row],[Total PoP ]]/50,(WWWW[[#This Row],[Total PoP ]]/6))),0)</calculatedColumnFormula>
    </tableColumn>
    <tableColumn id="49" xr3:uid="{00000000-0010-0000-0000-000031000000}" name="# potential required new latrines" dataDxfId="992" totalsRowDxfId="991" dataCellStyle="Percent">
      <calculatedColumnFormula>IF(WWWW[[#This Row],[Total required Latrines]]-(WWWW[[#This Row],['#_Constructed latrines_by_WASHAgencies]]+WWWW[[#This Row],['#_Non Cluster partner latrines]])&lt;0,0,WWWW[[#This Row],[Total required Latrines]]-(WWWW[[#This Row],['#_Constructed latrines_by_WASHAgencies]]+WWWW[[#This Row],['#_Non Cluster partner latrines]]))</calculatedColumnFormula>
    </tableColumn>
    <tableColumn id="48" xr3:uid="{00000000-0010-0000-0000-000030000000}" name="% of Latrine Gap" dataDxfId="990" totalsRowDxfId="989">
      <calculatedColumnFormula>1-WWWW[[#This Row],[% people access to functioning Latrine]]</calculatedColumnFormula>
    </tableColumn>
    <tableColumn id="76" xr3:uid="{00000000-0010-0000-0000-00004C000000}" name="% Latrines requiring  repairs" dataDxfId="988" totalsRowDxfId="987" dataCellStyle="Percent">
      <calculatedColumnFormula>IF(OR(WWWW[[#This Row],['#_Non-functional latrines]]="",WWWW[[#This Row],['#_Non-functional latrines]]=0),0,WWWW[[#This Row],['#_Non-functional latrines]]/(WWWW[[#This Row],['#_Constructed latrines_by_WASHAgencies]]+WWWW[[#This Row],['#_Non Cluster partner latrines]]))</calculatedColumnFormula>
    </tableColumn>
    <tableColumn id="54" xr3:uid="{00000000-0010-0000-0000-000036000000}" name="# people reached by regular dedicated hygiene promotion_5" dataDxfId="986" totalsRowDxfId="985">
      <calculatedColumnFormula>IF(500*(WWWW[[#This Row],['#_male hygiene promoters]]+WWWW[[#This Row],['#_female hygiene promoters]])&gt;WWWW[[#This Row],[Total PoP ]],WWWW[[#This Row],[Total PoP ]],500*(WWWW[[#This Row],['#_male hygiene promoters]]+WWWW[[#This Row],['#_female hygiene promoters]]))</calculatedColumnFormula>
    </tableColumn>
    <tableColumn id="40" xr3:uid="{00000000-0010-0000-0000-000028000000}" name="# People with access to soap" dataDxfId="984" totalsRowDxfId="983" dataCellStyle="Percent">
      <calculatedColumnFormula>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calculatedColumnFormula>
    </tableColumn>
    <tableColumn id="47" xr3:uid="{00000000-0010-0000-0000-00002F000000}" name="# People with access to Sanity Pads" dataDxfId="982" totalsRowDxfId="981" dataCellStyle="Percent">
      <calculatedColumnFormula>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calculatedColumnFormula>
    </tableColumn>
    <tableColumn id="95" xr3:uid="{00000000-0010-0000-0000-00005F000000}" name="# People received regular supply of hygiene items_6" dataDxfId="980" totalsRowDxfId="979" dataCellStyle="Percent">
      <calculatedColumnFormula>IF(WWWW[[#This Row],['# People with access to soap]]&gt;WWWW[[#This Row],['# People with access to Sanity Pads]],WWWW[[#This Row],['# People with access to soap]],WWWW[[#This Row],['# People with access to Sanity Pads]])</calculatedColumnFormula>
    </tableColumn>
    <tableColumn id="68" xr3:uid="{00000000-0010-0000-0000-000044000000}" name="HRP3" dataDxfId="978" totalsRowDxfId="977" dataCellStyle="Percent">
      <calculatedColumnFormula>IF(WWWW[[#This Row],['# people reached by regular dedicated hygiene promotion_5]]&gt;WWWW[[#This Row],['# People received regular supply of hygiene items_6]],WWWW[[#This Row],['# people reached by regular dedicated hygiene promotion_5]],WWWW[[#This Row],['# People received regular supply of hygiene items_6]])</calculatedColumnFormula>
    </tableColumn>
    <tableColumn id="53" xr3:uid="{00000000-0010-0000-0000-000035000000}" name="Hygiene Coverage%" dataDxfId="976" totalsRowDxfId="975">
      <calculatedColumnFormula>IF(WWWW[[#This Row],[HRP3]]/WWWW[[#This Row],[Total PoP ]]&gt;1,1,WWWW[[#This Row],[HRP3]]/WWWW[[#This Row],[Total PoP ]])</calculatedColumnFormula>
    </tableColumn>
    <tableColumn id="72" xr3:uid="{00000000-0010-0000-0000-000048000000}" name="Hygiene Gap%" dataDxfId="974" totalsRowDxfId="973" dataCellStyle="Percent">
      <calculatedColumnFormula>1-WWWW[[#This Row],[Hygiene Coverage%]]</calculatedColumnFormula>
    </tableColumn>
    <tableColumn id="96" xr3:uid="{00000000-0010-0000-0000-000060000000}" name="%people reached by regular dedicated hygiene promotion" dataDxfId="972" totalsRowDxfId="971" dataCellStyle="Percent">
      <calculatedColumnFormula>WWWW[[#This Row],['# people reached by regular dedicated hygiene promotion_5]]/WWWW[[#This Row],[Total PoP ]]</calculatedColumnFormula>
    </tableColumn>
    <tableColumn id="55" xr3:uid="{00000000-0010-0000-0000-000037000000}" name="%HH with access to soap" dataDxfId="970" totalsRowDxfId="969" dataCellStyle="Percent">
      <calculatedColumnFormula>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calculatedColumnFormula>
    </tableColumn>
    <tableColumn id="56" xr3:uid="{00000000-0010-0000-0000-000038000000}" name="% of HH with access to Sanitary Pad" dataDxfId="968" totalsRowDxfId="967" dataCellStyle="Percent">
      <calculatedColumnFormula>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calculatedColumnFormula>
    </tableColumn>
    <tableColumn id="67" xr3:uid="{00000000-0010-0000-0000-000043000000}" name="# Functional hand washing stations during reporting period" dataDxfId="966" totalsRowDxfId="965" dataCellStyle="Percent">
      <calculatedColumnFormula>WWWW[[#This Row],['#_Constructed/Existing hand washing stations]]-WWWW[[#This Row],['#_Non-Functional_hand_washing_stations]]</calculatedColumnFormula>
    </tableColumn>
    <tableColumn id="57" xr3:uid="{00000000-0010-0000-0000-000039000000}" name="#HH with access to Hand Washing Station" dataDxfId="964" totalsRowDxfId="963">
      <calculatedColumnFormula>IF(WWWW[[#This Row],['# Functional hand washing stations during reporting period]]*20&gt;WWWW[[#This Row],[Total HH]],WWWW[[#This Row],[Total HH]],WWWW[[#This Row],['# Functional hand washing stations during reporting period]]*20)</calculatedColumnFormula>
    </tableColumn>
    <tableColumn id="71" xr3:uid="{00000000-0010-0000-0000-000047000000}" name="# of hand washing stations with soap in TLS" dataDxfId="962" totalsRowDxfId="961">
      <calculatedColumnFormula>IF(WWWW[[#This Row],[Is sufficient soap available for TLS? (Yes/No)]]="yes",WWWW[[#This Row],['#_Constructed/Existing hand washing stations at TLS/CFS/THF]],0)</calculatedColumnFormula>
    </tableColumn>
    <tableColumn id="22" xr3:uid="{1493D209-8D39-48AA-8346-47078D7BAB87}" name="# People access to Handwashing Station" dataDxfId="960" totalsRowDxfId="959">
      <calculatedColumnFormula>IF(WWWW[[#This Row],['# Functional hand washing stations during reporting period]]*100&gt;WWWW[[#This Row],[Total PoP ]],WWWW[[#This Row],[Total PoP ]],WWWW[[#This Row],['# Functional hand washing stations during reporting period]]*100)</calculatedColumnFormula>
    </tableColumn>
    <tableColumn id="31" xr3:uid="{FD8C69C6-3D27-4A27-BCF4-02830740C127}" name="Sites with TLS" dataDxfId="958" totalsRowDxfId="957">
      <calculatedColumnFormula>IF(OR(WWWW[[#This Row],['#_students at TLS_CFS]]="",WWWW[[#This Row],['#_students at TLS_CFS]]=0),"No","Yes")</calculatedColumnFormula>
    </tableColumn>
    <tableColumn id="90" xr3:uid="{84404C5D-D04E-44F3-A1BB-13066D574A08}" name="%_of_affected_people_surveyed_who_report_feeling_informed_about_the_different_WASH_services_available_to_them2" dataDxfId="956" totalsRowDxfId="955" dataCellStyle="Percent">
      <calculatedColumnFormula>IF(WWWW[[#This Row],['#_of_affected_people_surveyed_who_report_feeling_informed_about_the_different_WASH_services_available_to_them]]="","",WWWW[[#This Row],['#_of_affected_people_surveyed_who_report_feeling_informed_about_the_different_WASH_services_available_to_them]]/WWWW[[#This Row],[Total PoP ]])</calculatedColumnFormula>
    </tableColumn>
    <tableColumn id="141" xr3:uid="{A796CC9A-DB86-49F6-AD19-DBE629BFF4BD}" name="# of affected people surveyed who report feeling satistfied with the latrine design and sanitation service " dataDxfId="954" totalsRowDxfId="953" dataCellStyle="Percent">
      <calculatedColumnFormula>WWWW[[#This Row],[%_of_affected_people_surveyed_who_report_feeling_satistfied_with_the_latrine_design_and_sanitation_service]]*WWWW[[#This Row],[Total PoP ]]</calculatedColumnFormula>
    </tableColumn>
    <tableColumn id="149" xr3:uid="{83A84FC4-76B3-40BA-8EBF-571DC7E63645}" name="# of affected people surveyed who report feeling satistfied with the water point design and water service" dataDxfId="952" totalsRowDxfId="951" dataCellStyle="Percent">
      <calculatedColumnFormula>WWWW[[#This Row],[%_of_affected_people_surveyed_who_report_feeling_satistfied_with_the_water_point_design_and_water_service]]*WWWW[[#This Row],[Total PoP ]]</calculatedColumnFormula>
    </tableColumn>
    <tableColumn id="136" xr3:uid="{CCE8281C-4A16-4AA3-BFA2-66D0C449737B}" name="# complaints received that result in timely, corrective action and feedback to the community" dataDxfId="950" totalsRowDxfId="949" dataCellStyle="Percent">
      <calculatedColumnFormula>WWWW[[#This Row],[%_of_complaints_received_that_result_in_timely_corrective_action_and_feedback_to_the_community]]*WWWW[[#This Row],[Total PoP ]]</calculatedColumnFormula>
    </tableColumn>
    <tableColumn id="138" xr3:uid="{D2E8727C-D400-42EC-927D-BF8DF766C3B5}" name="HRP4" dataDxfId="948" dataCellStyle="Percent">
      <calculatedColumnFormula>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calculatedColumnFormula>
    </tableColumn>
    <tableColumn id="139" xr3:uid="{D29A4F7B-10CF-4208-8675-3A9C881225BC}" name="HRP5" dataDxfId="947" dataCellStyle="Comma">
      <calculatedColumnFormula>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calculatedColumnFormula>
    </tableColumn>
    <tableColumn id="144" xr3:uid="{833A5B75-4755-41B5-A6AF-5D65116817B8}" name="HRP6" dataDxfId="946" totalsRowDxfId="945" dataCellStyle="Comma">
      <calculatedColumnFormula>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calculatedColumnFormula>
    </tableColumn>
    <tableColumn id="58" xr3:uid="{00000000-0010-0000-0000-00003A000000}" name="CCCM Management" dataDxfId="944" totalsRowDxfId="943" dataCellStyle="Percent">
      <calculatedColumnFormula>VLOOKUP(WWWW[[#This Row],[Site Name]],SiteDB6[[Site Name]:[CCCM Management]],6,FALSE)</calculatedColumnFormula>
    </tableColumn>
    <tableColumn id="81" xr3:uid="{00000000-0010-0000-0000-000051000000}" name="CCCM Focal Agency" dataDxfId="942" totalsRowDxfId="941" dataCellStyle="Percent">
      <calculatedColumnFormula>VLOOKUP(WWWW[[#This Row],[Site Name]],SiteDB6[[Site Name]:[CCCM Focal Agency]],7,FALSE)</calculatedColumnFormula>
    </tableColumn>
    <tableColumn id="80" xr3:uid="{00000000-0010-0000-0000-000050000000}" name="Location Type 1" dataDxfId="940" totalsRowDxfId="939" dataCellStyle="Percent">
      <calculatedColumnFormula>VLOOKUP(WWWW[[#This Row],[Site Name]],SiteDB6[[Site Name]:[Location Type 1]],9,FALSE)</calculatedColumnFormula>
    </tableColumn>
    <tableColumn id="45" xr3:uid="{00000000-0010-0000-0000-00002D000000}" name="Type of accommodation" dataDxfId="938" totalsRowDxfId="937" dataCellStyle="Percent">
      <calculatedColumnFormula>VLOOKUP(WWWW[[#This Row],[Site Name]],SiteDB6[[Site Name]:[Type of Accommodation]],10,FALSE)</calculatedColumnFormula>
    </tableColumn>
    <tableColumn id="46" xr3:uid="{00000000-0010-0000-0000-00002E000000}" name="Ethnic or GCA/NGCA" dataDxfId="936" totalsRowDxfId="935" dataCellStyle="Percent">
      <calculatedColumnFormula>VLOOKUP(WWWW[[#This Row],[Site Name]],SiteDB6[[Site Name]:[Ethnic or GCA/NGCA]],11,FALSE)</calculatedColumnFormula>
    </tableColumn>
    <tableColumn id="60" xr3:uid="{00000000-0010-0000-0000-00003C000000}" name="Lat" dataDxfId="934" totalsRowDxfId="933" dataCellStyle="Percent">
      <calculatedColumnFormula>VLOOKUP(WWWW[[#This Row],[Site Name]],SiteDB6[[Site Name]:[Lat]],12,FALSE)</calculatedColumnFormula>
    </tableColumn>
    <tableColumn id="61" xr3:uid="{00000000-0010-0000-0000-00003D000000}" name="Long" dataDxfId="932" totalsRowDxfId="931" dataCellStyle="Percent">
      <calculatedColumnFormula>VLOOKUP(WWWW[[#This Row],[Site Name]],SiteDB6[[Site Name]:[Long]],13,FALSE)</calculatedColumnFormula>
    </tableColumn>
    <tableColumn id="62" xr3:uid="{00000000-0010-0000-0000-00003E000000}" name="Pcode" dataDxfId="930" totalsRowDxfId="929" dataCellStyle="Percent">
      <calculatedColumnFormula>VLOOKUP(WWWW[[#This Row],[Site Name]],SiteDB6[[Site Name]:[Pcode]],3,FALSE)</calculatedColumnFormula>
    </tableColumn>
    <tableColumn id="63" xr3:uid="{00000000-0010-0000-0000-00003F000000}" name="Covered" dataDxfId="928" totalsRowDxfId="927">
      <calculatedColumnFormula>IF(C7="none","Notcovered","Covered")</calculatedColumnFormula>
    </tableColumn>
    <tableColumn id="64" xr3:uid="{00000000-0010-0000-0000-000040000000}" name="Remark" dataDxfId="926" totalsRowDxfId="925"/>
    <tableColumn id="151" xr3:uid="{FDA4C869-85F1-4499-B6C5-7A5D0439185C}" name="checking" dataDxfId="924" totalsRowDxfId="923"/>
    <tableColumn id="137" xr3:uid="{4AE3EAE7-838D-448F-9EBF-A5D3F9444C5E}" name="HH" dataDxfId="922" totalsRowDxfId="921" dataCellStyle="Percent">
      <calculatedColumnFormula>VLOOKUP(WWWW[[#This Row],[Site Name]],SiteDB6[[Site Name]:[Pop
(Kachin/Shan-CCCM as of May 2023)]],16,FALSE)</calculatedColumnFormula>
    </tableColumn>
    <tableColumn id="140" xr3:uid="{FCC69DBE-FEAC-4669-A23E-99ECA329EC5D}" name="Population" dataDxfId="920" dataCellStyle="Percent">
      <calculatedColumnFormula>VLOOKUP(WWWW[[#This Row],[Site Name]],SiteDB6[[Site Name]:[Pop
(Kachin/Shan-CCCM as of May 2023)]],17,FALSE)</calculatedColumnFormula>
    </tableColumn>
  </tableColumns>
  <tableStyleInfo name="TableStyleMedium27" showFirstColumn="1"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BC47FD1-860E-4518-B3E3-8393080D164C}" name="Table413" displayName="Table413" ref="I1:P105" totalsRowShown="0">
  <autoFilter ref="I1:P105" xr:uid="{2E951DCA-731C-4237-90A3-4F471EE94395}"/>
  <sortState xmlns:xlrd2="http://schemas.microsoft.com/office/spreadsheetml/2017/richdata2" ref="I2:P105">
    <sortCondition ref="I2:I105"/>
    <sortCondition ref="J2:J105"/>
  </sortState>
  <tableColumns count="8">
    <tableColumn id="1" xr3:uid="{CE7B8306-EBDB-4FC0-ACB0-5FA9020E5F50}" name="State" dataDxfId="105"/>
    <tableColumn id="2" xr3:uid="{BAB66575-8E7B-430B-82F6-5B840D961F66}" name="Acronym" dataDxfId="104"/>
    <tableColumn id="3" xr3:uid="{85598D86-6D41-44C9-9DF8-B218B9CC0B09}" name="Long name" dataDxfId="103"/>
    <tableColumn id="4" xr3:uid="{7A51F4B6-5C10-49AA-AE44-FCA1C23E3DFD}" name="Type" dataDxfId="102"/>
    <tableColumn id="5" xr3:uid="{E1162BC5-DE78-4094-8083-11C7244E7086}" name="Column1"/>
    <tableColumn id="6" xr3:uid="{B476E884-7037-46EB-9438-2EF7AB32F7DF}" name="Column2" dataDxfId="101">
      <calculatedColumnFormula>Table413[[#This Row],[State]]&amp;Table413[[#This Row],[Acronym]]</calculatedColumnFormula>
    </tableColumn>
    <tableColumn id="8" xr3:uid="{8470F86B-AF7C-4922-B6EE-C4902EF30061}" name="reported in Q2" dataDxfId="100"/>
    <tableColumn id="9" xr3:uid="{B73E528D-0817-4D43-9E5F-BBBB914A0D7B}" name="Column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Table711" displayName="Table711" ref="B34:H48" totalsRowShown="0" headerRowDxfId="99" dataDxfId="97" totalsRowDxfId="96" headerRowBorderDxfId="98">
  <autoFilter ref="B34:H48" xr:uid="{00000000-0009-0000-0100-00000A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200-000001000000}" name="Gap in WASH covered camps / township" dataDxfId="95" totalsRowDxfId="94"/>
    <tableColumn id="2" xr3:uid="{00000000-0010-0000-0200-000002000000}" name="Partners " dataDxfId="93"/>
    <tableColumn id="3" xr3:uid="{00000000-0010-0000-0200-000003000000}" name="# of sites" dataDxfId="92" dataCellStyle="Comma"/>
    <tableColumn id="4" xr3:uid="{00000000-0010-0000-0200-000004000000}" name="Total population" dataDxfId="91" dataCellStyle="Comma"/>
    <tableColumn id="5" xr3:uid="{00000000-0010-0000-0200-000005000000}" name=" % _x000a_Water Gap" dataDxfId="90"/>
    <tableColumn id="6" xr3:uid="{00000000-0010-0000-0200-000006000000}" name=" %_x000a_ Sanitation Gap" dataDxfId="89"/>
    <tableColumn id="7" xr3:uid="{43887CA2-2ABC-4266-ACE9-C2109EC04876}" name="%  _x000a_Hygiene Gap" dataDxfId="88" totalsRowDxfId="87"/>
  </tableColumns>
  <tableStyleInfo name="TableStyleLight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712109" displayName="Table712109" ref="B29:H38" totalsRowShown="0" headerRowDxfId="86" dataDxfId="84" headerRowBorderDxfId="85" tableBorderDxfId="83" totalsRowBorderDxfId="82">
  <tableColumns count="7">
    <tableColumn id="1" xr3:uid="{00000000-0010-0000-0500-000001000000}" name="Gap in WASH covered camps / township" dataDxfId="81" totalsRowDxfId="80"/>
    <tableColumn id="2" xr3:uid="{00000000-0010-0000-0500-000002000000}" name="Partners " dataDxfId="79" totalsRowDxfId="78"/>
    <tableColumn id="3" xr3:uid="{00000000-0010-0000-0500-000003000000}" name="# of sites" dataDxfId="77" totalsRowDxfId="76" dataCellStyle="Comma"/>
    <tableColumn id="4" xr3:uid="{00000000-0010-0000-0500-000004000000}" name="Total population" dataDxfId="75" totalsRowDxfId="74" dataCellStyle="Comma"/>
    <tableColumn id="5" xr3:uid="{00000000-0010-0000-0500-000005000000}" name=" % _x000a_Water Gap" dataDxfId="73" totalsRowDxfId="72"/>
    <tableColumn id="6" xr3:uid="{00000000-0010-0000-0500-000006000000}" name=" %_x000a_ Sanitation Gap" dataDxfId="71" totalsRowDxfId="70"/>
    <tableColumn id="7" xr3:uid="{AB1608BD-CBFF-4849-B68E-CA61CA18B396}" name="%  _x000a_Hygiene Gap" dataDxfId="69" totalsRowDxfId="68"/>
  </tableColumns>
  <tableStyleInfo name="TableStyleLight20"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C552E7B-8ED8-4811-A2CA-52AAD8173847}" name="Table6" displayName="Table6" ref="B40:H51" totalsRowShown="0" headerRowDxfId="67" dataDxfId="65" headerRowBorderDxfId="66" tableBorderDxfId="64" totalsRowBorderDxfId="63">
  <tableColumns count="7">
    <tableColumn id="1" xr3:uid="{698DE567-F73E-4889-A830-67FFCE1B6803}" name="Gap in WASH covered villages / township" dataDxfId="62"/>
    <tableColumn id="2" xr3:uid="{9545AE45-0B30-40F1-9017-7E27D70768AE}" name="Partners " dataDxfId="61"/>
    <tableColumn id="3" xr3:uid="{A628D95F-ABF8-4B91-AC92-76A5D9D7533E}" name="# of villages" dataDxfId="60"/>
    <tableColumn id="4" xr3:uid="{C6D6A6A5-922D-43FD-8D84-E0EB3210DAAA}" name="Total population" dataDxfId="59"/>
    <tableColumn id="5" xr3:uid="{498662AD-6EB1-4CC0-8C46-2F84560E0FFD}" name=" % _x000a_Water GAP" dataDxfId="58"/>
    <tableColumn id="6" xr3:uid="{ABECD877-BBD9-4F1A-A1BA-C2D733E18258}" name=" %_x000a_Sanitation GAP" dataDxfId="57"/>
    <tableColumn id="7" xr3:uid="{31B1CF1B-5248-4EC8-9F42-13E2AD36658C}" name=" %_x000a_Hygiene Gap" dataDxfId="56"/>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Table1" displayName="Table1" ref="AB3:AC83" totalsRowShown="0" headerRowDxfId="5" dataDxfId="3" headerRowBorderDxfId="4" tableBorderDxfId="2" dataCellStyle="Normal_Township">
  <autoFilter ref="AB3:AC83" xr:uid="{00000000-0009-0000-0100-000001000000}"/>
  <sortState xmlns:xlrd2="http://schemas.microsoft.com/office/spreadsheetml/2017/richdata2" ref="AB4:AC83">
    <sortCondition ref="AB4:AB83"/>
    <sortCondition ref="AC4:AC83"/>
  </sortState>
  <tableColumns count="2">
    <tableColumn id="1" xr3:uid="{00000000-0010-0000-0600-000001000000}" name="State_list" dataDxfId="1" dataCellStyle="Normal_Township"/>
    <tableColumn id="2" xr3:uid="{00000000-0010-0000-0600-000002000000}" name="TSps" dataDxfId="0" dataCellStyle="Normal_Township"/>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SiteDB6" displayName="SiteDB6" ref="A2:X423" totalsRowShown="0" headerRowDxfId="888">
  <autoFilter ref="A2:X423" xr:uid="{00000000-000C-0000-FFFF-FFFF01000000}"/>
  <sortState xmlns:xlrd2="http://schemas.microsoft.com/office/spreadsheetml/2017/richdata2" ref="A3:X423">
    <sortCondition ref="A3:A423"/>
    <sortCondition ref="B3:B423"/>
    <sortCondition ref="C3:C423"/>
  </sortState>
  <tableColumns count="24">
    <tableColumn id="13" xr3:uid="{00000000-0010-0000-0100-00000D000000}" name="State" dataDxfId="887"/>
    <tableColumn id="12" xr3:uid="{00000000-0010-0000-0100-00000C000000}" name="Township" dataDxfId="886"/>
    <tableColumn id="1" xr3:uid="{00000000-0010-0000-0100-000001000000}" name="Site Name" dataDxfId="885"/>
    <tableColumn id="26" xr3:uid="{00000000-0010-0000-0100-00001A000000}" name="open in cccm?" dataDxfId="884"/>
    <tableColumn id="2" xr3:uid="{00000000-0010-0000-0100-000002000000}" name="Pcode" dataDxfId="883"/>
    <tableColumn id="20" xr3:uid="{00000000-0010-0000-0100-000014000000}" name="Vtract" dataDxfId="882"/>
    <tableColumn id="21" xr3:uid="{00000000-0010-0000-0100-000015000000}" name="VillageWard" dataDxfId="881"/>
    <tableColumn id="3" xr3:uid="{00000000-0010-0000-0100-000003000000}" name="CCCM Management" dataDxfId="880"/>
    <tableColumn id="4" xr3:uid="{00000000-0010-0000-0100-000004000000}" name="CCCM Focal Agency" dataDxfId="879"/>
    <tableColumn id="5" xr3:uid="{00000000-0010-0000-0100-000005000000}" name="Location Type" dataDxfId="878"/>
    <tableColumn id="6" xr3:uid="{00000000-0010-0000-0100-000006000000}" name="Location Type 1" dataDxfId="877"/>
    <tableColumn id="7" xr3:uid="{00000000-0010-0000-0100-000007000000}" name="Type of Accommodation" dataDxfId="876"/>
    <tableColumn id="8" xr3:uid="{00000000-0010-0000-0100-000008000000}" name="Ethnic or GCA/NGCA" dataDxfId="875"/>
    <tableColumn id="10" xr3:uid="{00000000-0010-0000-0100-00000A000000}" name="Lat" dataDxfId="874"/>
    <tableColumn id="9" xr3:uid="{00000000-0010-0000-0100-000009000000}" name="Long" dataDxfId="873"/>
    <tableColumn id="11" xr3:uid="{00000000-0010-0000-0100-00000B000000}" name="HRP categories" dataDxfId="872"/>
    <tableColumn id="14" xr3:uid="{00000000-0010-0000-0100-00000E000000}" name="Current 4 W reported list" dataDxfId="871"/>
    <tableColumn id="15" xr3:uid="{00000000-0010-0000-0100-00000F000000}" name="HH_x000a_(Kachin/Shan-CCCM as of May 2023)" dataDxfId="870"/>
    <tableColumn id="16" xr3:uid="{00000000-0010-0000-0100-000010000000}" name="Pop_x000a_(Kachin/Shan-CCCM as of May 2023)" dataDxfId="869"/>
    <tableColumn id="17" xr3:uid="{00000000-0010-0000-0100-000011000000}" name="Updated Date" dataDxfId="868"/>
    <tableColumn id="18" xr3:uid="{00000000-0010-0000-0100-000012000000}" name="Remark" dataDxfId="867"/>
    <tableColumn id="19" xr3:uid="{00000000-0010-0000-0100-000013000000}" name="Site Name_(Old)" dataDxfId="866"/>
    <tableColumn id="24" xr3:uid="{00000000-0010-0000-0100-000018000000}" name="Comments form CCCM" dataDxfId="865"/>
    <tableColumn id="22" xr3:uid="{7F177281-BFF7-4C20-A257-E2A6FD571981}" name="old-Pcode" dataDxfId="86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65F6C50-1B3B-43F8-9EB7-07255A8DFD71}" name="Table7" displayName="Table7" ref="AA24:AI43" totalsRowCount="1" headerRowDxfId="810" dataDxfId="809" headerRowCellStyle="Percent" dataCellStyle="Percent">
  <autoFilter ref="AA24:AI42" xr:uid="{2ED43D13-34A9-43A8-8619-43B0B3B6FE5F}"/>
  <tableColumns count="9">
    <tableColumn id="1" xr3:uid="{1DF98B73-0100-42FA-A4EA-48D006F18ADC}" name="Row Labels" dataDxfId="808" totalsRowDxfId="807" dataCellStyle="Percent" totalsRowCellStyle="Percent"/>
    <tableColumn id="9" xr3:uid="{7D4C4BAD-3118-45B7-9C6A-291564A4DF2C}" name="% Male" totalsRowFunction="average" dataDxfId="806" totalsRowDxfId="805" dataCellStyle="Percent" totalsRowCellStyle="Percent">
      <calculatedColumnFormula>1-Table7[[#This Row],[% Female]]</calculatedColumnFormula>
    </tableColumn>
    <tableColumn id="2" xr3:uid="{4A59A6D6-3700-4F61-8976-542E92D88FC8}" name="% Female" totalsRowFunction="average" dataDxfId="804" totalsRowDxfId="803" dataCellStyle="Percent"/>
    <tableColumn id="3" xr3:uid="{7C03B214-F47E-4240-BC01-2C8206074FBE}" name="% CHILDREN  (Age 18&lt;)" totalsRowFunction="average" dataDxfId="802" totalsRowDxfId="801" dataCellStyle="Percent"/>
    <tableColumn id="4" xr3:uid="{6F2CD890-4F97-4E40-8906-C537A9CC5AA1}" name=" % ADULTS ( Age 18-60)" totalsRowFunction="average" dataDxfId="800" totalsRowDxfId="799" dataCellStyle="Percent"/>
    <tableColumn id="5" xr3:uid="{ABA85F2F-3F02-4212-A5B3-0040660BA75C}" name="% ELDERS  (Age 60+)" totalsRowFunction="average" dataDxfId="798" totalsRowDxfId="797" dataCellStyle="Percent"/>
    <tableColumn id="6" xr3:uid="{A3EDBD5C-63BC-41D2-BBC4-1611E28D3582}" name="% of people with disabilities (Age 5 yrs+)" totalsRowFunction="average" dataDxfId="796" totalsRowDxfId="795" dataCellStyle="Percent"/>
    <tableColumn id="7" xr3:uid="{03BDE777-865E-4371-8C3E-26E780CFAFB5}" name="Column1" dataDxfId="794" totalsRowDxfId="793" dataCellStyle="Percent" totalsRowCellStyle="Percent">
      <calculatedColumnFormula>Table7[[#This Row],[% Female]]*P25</calculatedColumnFormula>
    </tableColumn>
    <tableColumn id="8" xr3:uid="{1B86C093-8C0E-403E-80C6-248E9131E0F9}" name="Column2" dataDxfId="792" totalsRowDxfId="791" dataCellStyle="Percent" totalsRowCellStyle="Percent">
      <calculatedColumnFormula>P25*Table7[[#This Row],[% of people with disabilities (Age 5 yrs+)]]</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8326A12-5E19-48AD-B2FF-E3394162F79E}" name="Table3" displayName="Table3" ref="F6:G22" totalsRowShown="0" headerRowDxfId="133" dataDxfId="131" headerRowBorderDxfId="132">
  <autoFilter ref="F6:G22" xr:uid="{98326A12-5E19-48AD-B2FF-E3394162F79E}"/>
  <sortState xmlns:xlrd2="http://schemas.microsoft.com/office/spreadsheetml/2017/richdata2" ref="F7:G22">
    <sortCondition ref="F7:F22"/>
    <sortCondition ref="G7:G22"/>
  </sortState>
  <tableColumns count="2">
    <tableColumn id="1" xr3:uid="{24645FEC-AE0F-4162-9B05-986DB3A83DE6}" name="State" dataDxfId="130"/>
    <tableColumn id="2" xr3:uid="{EDB2B651-DD52-4587-9190-618CCF37A831}" name="WASH project agency" dataDxfId="12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636EA56-16F0-4227-8177-7198138D28B0}" name="Table9" displayName="Table9" ref="B1:D75" totalsRowShown="0">
  <autoFilter ref="B1:D75" xr:uid="{C7160497-FB2A-46BE-B598-99BC73E687A1}"/>
  <sortState xmlns:xlrd2="http://schemas.microsoft.com/office/spreadsheetml/2017/richdata2" ref="B58:D63">
    <sortCondition ref="C60:C75"/>
  </sortState>
  <tableColumns count="3">
    <tableColumn id="1" xr3:uid="{943F8942-DCB1-4E92-90EF-25CEB170E0E5}" name="State" dataDxfId="128"/>
    <tableColumn id="2" xr3:uid="{4855DDFF-B12E-434F-91CE-5F24B4B1325E}" name="Acronym" dataDxfId="127"/>
    <tableColumn id="3" xr3:uid="{4A00DAB0-F230-4449-BF42-BCCE59B8C1A0}" name="reporting"/>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E951DCA-731C-4237-90A3-4F471EE94395}" name="Table4" displayName="Table4" ref="I1:M78" totalsRowShown="0">
  <autoFilter ref="I1:M78" xr:uid="{2E951DCA-731C-4237-90A3-4F471EE94395}"/>
  <sortState xmlns:xlrd2="http://schemas.microsoft.com/office/spreadsheetml/2017/richdata2" ref="I2:M78">
    <sortCondition ref="I2:I78"/>
    <sortCondition ref="J2:J78"/>
  </sortState>
  <tableColumns count="5">
    <tableColumn id="1" xr3:uid="{6303321D-2A6B-4F0C-92E8-E7526E96C5A2}" name="State" dataDxfId="126"/>
    <tableColumn id="2" xr3:uid="{7B80C937-F5C7-411D-BE48-93ACF435DD85}" name="Acronym" dataDxfId="125"/>
    <tableColumn id="3" xr3:uid="{C2CB8D7D-A843-49AF-B204-075AF74FAA10}" name="Long name" dataDxfId="124"/>
    <tableColumn id="4" xr3:uid="{4FF1C7CF-ABF6-466B-9081-0C063C6200FA}" name="Type" dataDxfId="123"/>
    <tableColumn id="5" xr3:uid="{B1DD9F44-2206-4C67-9BE5-893CD72F46BF}" name="Column1"/>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E1E8532-1551-46D8-9DA4-D2CE1AF4DFC7}" name="Table1215" displayName="Table1215" ref="K2:L49" totalsRowShown="0" headerRowDxfId="122" dataDxfId="120" headerRowBorderDxfId="121">
  <autoFilter ref="K2:L49" xr:uid="{43508913-B5F6-4D3D-8F91-6EE2B881A4D1}"/>
  <sortState xmlns:xlrd2="http://schemas.microsoft.com/office/spreadsheetml/2017/richdata2" ref="K3:L49">
    <sortCondition ref="K2:K49"/>
  </sortState>
  <tableColumns count="2">
    <tableColumn id="1" xr3:uid="{E856FD35-B31A-4502-80EC-63DA5E9EDBA5}" name="Acronym" dataDxfId="119"/>
    <tableColumn id="2" xr3:uid="{BFD3FB80-39ED-468F-B28B-079838663686}" name="Type" dataDxfId="118"/>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2AB8351-06FD-4E83-B378-84B8BCBED386}" name="Table1114" displayName="Table1114" ref="B1:D108" totalsRowShown="0" headerRowDxfId="117" headerRowBorderDxfId="116" tableBorderDxfId="115">
  <autoFilter ref="B1:D108" xr:uid="{79D853A1-C55E-4B1A-9554-D1849183AF86}"/>
  <sortState xmlns:xlrd2="http://schemas.microsoft.com/office/spreadsheetml/2017/richdata2" ref="B2:D100">
    <sortCondition ref="D2:D100"/>
    <sortCondition ref="B2:B100"/>
    <sortCondition ref="C2:C100"/>
  </sortState>
  <tableColumns count="3">
    <tableColumn id="1" xr3:uid="{FDE3A589-E34F-4EE7-ABFE-810F9230210F}" name="State" dataDxfId="114"/>
    <tableColumn id="2" xr3:uid="{6ADF7C4E-FEC8-46DE-B2DA-52987FAED55C}" name="Acronym" dataDxfId="113"/>
    <tableColumn id="3" xr3:uid="{6BB2C37B-F2DC-40DC-87B6-2D02A0F9B1BB}" name="reporting" dataDxfId="11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0020878-1021-480F-996A-22F3BA534333}" name="Table912" displayName="Table912" ref="B1:D106" totalsRowShown="0">
  <autoFilter ref="B1:D106" xr:uid="{C7160497-FB2A-46BE-B598-99BC73E687A1}"/>
  <sortState xmlns:xlrd2="http://schemas.microsoft.com/office/spreadsheetml/2017/richdata2" ref="B23:D105">
    <sortCondition ref="B2:B105"/>
    <sortCondition ref="C2:C105"/>
  </sortState>
  <tableColumns count="3">
    <tableColumn id="1" xr3:uid="{5B3667C3-E700-4E85-BA48-DBD5624C9DB2}" name="State" dataDxfId="107"/>
    <tableColumn id="2" xr3:uid="{52130BD2-D121-4C8A-8C57-A6EAAD685B77}" name="Acronym" dataDxfId="106"/>
    <tableColumn id="3" xr3:uid="{D9D7E86B-571C-49A9-B5A0-6DCA48B2FEEB}" name="reportin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11.xml.rels><?xml version="1.0" encoding="UTF-8" standalone="yes"?>
<Relationships xmlns="http://schemas.openxmlformats.org/package/2006/relationships"><Relationship Id="rId13" Type="http://schemas.openxmlformats.org/officeDocument/2006/relationships/pivotTable" Target="../pivotTables/pivotTable19.xml"/><Relationship Id="rId18" Type="http://schemas.openxmlformats.org/officeDocument/2006/relationships/pivotTable" Target="../pivotTables/pivotTable24.xml"/><Relationship Id="rId26" Type="http://schemas.openxmlformats.org/officeDocument/2006/relationships/pivotTable" Target="../pivotTables/pivotTable32.xml"/><Relationship Id="rId39" Type="http://schemas.microsoft.com/office/2007/relationships/slicer" Target="../slicers/slicer1.xml"/><Relationship Id="rId21" Type="http://schemas.openxmlformats.org/officeDocument/2006/relationships/pivotTable" Target="../pivotTables/pivotTable27.xml"/><Relationship Id="rId34" Type="http://schemas.openxmlformats.org/officeDocument/2006/relationships/pivotTable" Target="../pivotTables/pivotTable40.xml"/><Relationship Id="rId7" Type="http://schemas.openxmlformats.org/officeDocument/2006/relationships/pivotTable" Target="../pivotTables/pivotTable13.xml"/><Relationship Id="rId12" Type="http://schemas.openxmlformats.org/officeDocument/2006/relationships/pivotTable" Target="../pivotTables/pivotTable18.xml"/><Relationship Id="rId17" Type="http://schemas.openxmlformats.org/officeDocument/2006/relationships/pivotTable" Target="../pivotTables/pivotTable23.xml"/><Relationship Id="rId25" Type="http://schemas.openxmlformats.org/officeDocument/2006/relationships/pivotTable" Target="../pivotTables/pivotTable31.xml"/><Relationship Id="rId33" Type="http://schemas.openxmlformats.org/officeDocument/2006/relationships/pivotTable" Target="../pivotTables/pivotTable39.xml"/><Relationship Id="rId38" Type="http://schemas.openxmlformats.org/officeDocument/2006/relationships/drawing" Target="../drawings/drawing7.xml"/><Relationship Id="rId2" Type="http://schemas.openxmlformats.org/officeDocument/2006/relationships/pivotTable" Target="../pivotTables/pivotTable8.xml"/><Relationship Id="rId16" Type="http://schemas.openxmlformats.org/officeDocument/2006/relationships/pivotTable" Target="../pivotTables/pivotTable22.xml"/><Relationship Id="rId20" Type="http://schemas.openxmlformats.org/officeDocument/2006/relationships/pivotTable" Target="../pivotTables/pivotTable26.xml"/><Relationship Id="rId29" Type="http://schemas.openxmlformats.org/officeDocument/2006/relationships/pivotTable" Target="../pivotTables/pivotTable35.xml"/><Relationship Id="rId1" Type="http://schemas.openxmlformats.org/officeDocument/2006/relationships/pivotTable" Target="../pivotTables/pivotTable7.xml"/><Relationship Id="rId6" Type="http://schemas.openxmlformats.org/officeDocument/2006/relationships/pivotTable" Target="../pivotTables/pivotTable12.xml"/><Relationship Id="rId11" Type="http://schemas.openxmlformats.org/officeDocument/2006/relationships/pivotTable" Target="../pivotTables/pivotTable17.xml"/><Relationship Id="rId24" Type="http://schemas.openxmlformats.org/officeDocument/2006/relationships/pivotTable" Target="../pivotTables/pivotTable30.xml"/><Relationship Id="rId32" Type="http://schemas.openxmlformats.org/officeDocument/2006/relationships/pivotTable" Target="../pivotTables/pivotTable38.xml"/><Relationship Id="rId37" Type="http://schemas.openxmlformats.org/officeDocument/2006/relationships/printerSettings" Target="../printerSettings/printerSettings9.bin"/><Relationship Id="rId5" Type="http://schemas.openxmlformats.org/officeDocument/2006/relationships/pivotTable" Target="../pivotTables/pivotTable11.xml"/><Relationship Id="rId15" Type="http://schemas.openxmlformats.org/officeDocument/2006/relationships/pivotTable" Target="../pivotTables/pivotTable21.xml"/><Relationship Id="rId23" Type="http://schemas.openxmlformats.org/officeDocument/2006/relationships/pivotTable" Target="../pivotTables/pivotTable29.xml"/><Relationship Id="rId28" Type="http://schemas.openxmlformats.org/officeDocument/2006/relationships/pivotTable" Target="../pivotTables/pivotTable34.xml"/><Relationship Id="rId36" Type="http://schemas.openxmlformats.org/officeDocument/2006/relationships/pivotTable" Target="../pivotTables/pivotTable42.xml"/><Relationship Id="rId10" Type="http://schemas.openxmlformats.org/officeDocument/2006/relationships/pivotTable" Target="../pivotTables/pivotTable16.xml"/><Relationship Id="rId19" Type="http://schemas.openxmlformats.org/officeDocument/2006/relationships/pivotTable" Target="../pivotTables/pivotTable25.xml"/><Relationship Id="rId31" Type="http://schemas.openxmlformats.org/officeDocument/2006/relationships/pivotTable" Target="../pivotTables/pivotTable37.xml"/><Relationship Id="rId4" Type="http://schemas.openxmlformats.org/officeDocument/2006/relationships/pivotTable" Target="../pivotTables/pivotTable10.xml"/><Relationship Id="rId9" Type="http://schemas.openxmlformats.org/officeDocument/2006/relationships/pivotTable" Target="../pivotTables/pivotTable15.xml"/><Relationship Id="rId14" Type="http://schemas.openxmlformats.org/officeDocument/2006/relationships/pivotTable" Target="../pivotTables/pivotTable20.xml"/><Relationship Id="rId22" Type="http://schemas.openxmlformats.org/officeDocument/2006/relationships/pivotTable" Target="../pivotTables/pivotTable28.xml"/><Relationship Id="rId27" Type="http://schemas.openxmlformats.org/officeDocument/2006/relationships/pivotTable" Target="../pivotTables/pivotTable33.xml"/><Relationship Id="rId30" Type="http://schemas.openxmlformats.org/officeDocument/2006/relationships/pivotTable" Target="../pivotTables/pivotTable36.xml"/><Relationship Id="rId35" Type="http://schemas.openxmlformats.org/officeDocument/2006/relationships/pivotTable" Target="../pivotTables/pivotTable41.xml"/><Relationship Id="rId8" Type="http://schemas.openxmlformats.org/officeDocument/2006/relationships/pivotTable" Target="../pivotTables/pivotTable14.xml"/><Relationship Id="rId3"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pivotTable" Target="../pivotTables/pivotTable43.xml"/><Relationship Id="rId5" Type="http://schemas.microsoft.com/office/2007/relationships/slicer" Target="../slicers/slicer2.xml"/><Relationship Id="rId4" Type="http://schemas.openxmlformats.org/officeDocument/2006/relationships/table" Target="../tables/table4.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ivotTable" Target="../pivotTables/pivotTable44.xml"/></Relationships>
</file>

<file path=xl/worksheets/_rels/sheet14.xml.rels><?xml version="1.0" encoding="UTF-8" standalone="yes"?>
<Relationships xmlns="http://schemas.openxmlformats.org/package/2006/relationships"><Relationship Id="rId3" Type="http://schemas.openxmlformats.org/officeDocument/2006/relationships/pivotTable" Target="../pivotTables/pivotTable47.xml"/><Relationship Id="rId2" Type="http://schemas.openxmlformats.org/officeDocument/2006/relationships/pivotTable" Target="../pivotTables/pivotTable46.xml"/><Relationship Id="rId1" Type="http://schemas.openxmlformats.org/officeDocument/2006/relationships/pivotTable" Target="../pivotTables/pivotTable45.xml"/><Relationship Id="rId5" Type="http://schemas.openxmlformats.org/officeDocument/2006/relationships/table" Target="../tables/table8.xml"/><Relationship Id="rId4" Type="http://schemas.openxmlformats.org/officeDocument/2006/relationships/table" Target="../tables/table7.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printerSettings" Target="../printerSettings/printerSettings11.bin"/><Relationship Id="rId1" Type="http://schemas.openxmlformats.org/officeDocument/2006/relationships/pivotTable" Target="../pivotTables/pivotTable48.xml"/><Relationship Id="rId4" Type="http://schemas.openxmlformats.org/officeDocument/2006/relationships/table" Target="../tables/table10.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table" Target="../tables/table13.xml"/></Relationships>
</file>

<file path=xl/worksheets/_rels/sheet19.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13.xml"/><Relationship Id="rId1" Type="http://schemas.openxmlformats.org/officeDocument/2006/relationships/pivotTable" Target="../pivotTables/pivotTable49.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5.xml"/><Relationship Id="rId1" Type="http://schemas.openxmlformats.org/officeDocument/2006/relationships/pivotTable" Target="../pivotTables/pivotTable50.xml"/></Relationships>
</file>

<file path=xl/worksheets/_rels/sheet21.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6.xml"/><Relationship Id="rId1" Type="http://schemas.openxmlformats.org/officeDocument/2006/relationships/pivotTable" Target="../pivotTables/pivotTable5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7.xml"/><Relationship Id="rId1" Type="http://schemas.openxmlformats.org/officeDocument/2006/relationships/printerSettings" Target="../printerSettings/printerSettings14.bin"/><Relationship Id="rId5" Type="http://schemas.openxmlformats.org/officeDocument/2006/relationships/comments" Target="../comments3.xml"/><Relationship Id="rId4" Type="http://schemas.openxmlformats.org/officeDocument/2006/relationships/table" Target="../tables/table14.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ivotTable" Target="../pivotTables/pivotTable4.xml"/><Relationship Id="rId6" Type="http://schemas.openxmlformats.org/officeDocument/2006/relationships/comments" Target="../comments2.xml"/><Relationship Id="rId5" Type="http://schemas.openxmlformats.org/officeDocument/2006/relationships/table" Target="../tables/table3.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T48"/>
  <sheetViews>
    <sheetView topLeftCell="A22" zoomScale="96" zoomScaleNormal="96" workbookViewId="0">
      <selection activeCell="Y15" sqref="Y15"/>
    </sheetView>
  </sheetViews>
  <sheetFormatPr defaultColWidth="7.6640625" defaultRowHeight="14.5"/>
  <cols>
    <col min="1" max="1" width="7.08203125" style="21" customWidth="1"/>
    <col min="2" max="2" width="2.1640625" style="21" customWidth="1"/>
    <col min="3" max="19" width="7.6640625" style="21"/>
    <col min="20" max="20" width="25.08203125" style="21" customWidth="1"/>
    <col min="21" max="16384" width="7.6640625" style="21"/>
  </cols>
  <sheetData>
    <row r="1" spans="2:20" ht="28.25" customHeight="1" thickBot="1"/>
    <row r="2" spans="2:20" s="22" customFormat="1" ht="35.75" customHeight="1" thickTop="1" thickBot="1">
      <c r="B2" s="1109" t="s">
        <v>79</v>
      </c>
      <c r="C2" s="1110"/>
      <c r="D2" s="1110"/>
      <c r="E2" s="1110"/>
      <c r="F2" s="1110"/>
      <c r="G2" s="1110"/>
      <c r="H2" s="1110"/>
      <c r="I2" s="1110"/>
      <c r="J2" s="1110"/>
      <c r="K2" s="1110"/>
      <c r="L2" s="1110"/>
      <c r="M2" s="1110"/>
      <c r="N2" s="1110"/>
      <c r="O2" s="1110"/>
      <c r="P2" s="1110"/>
      <c r="Q2" s="1110"/>
      <c r="R2" s="1110"/>
      <c r="S2" s="1110"/>
      <c r="T2" s="1111"/>
    </row>
    <row r="3" spans="2:20" ht="15" thickTop="1">
      <c r="B3" s="23"/>
      <c r="C3" s="24"/>
      <c r="D3" s="24"/>
      <c r="E3" s="24"/>
      <c r="F3" s="24"/>
      <c r="G3" s="24"/>
      <c r="H3" s="24"/>
      <c r="I3" s="24"/>
      <c r="J3" s="24"/>
      <c r="K3" s="24"/>
      <c r="L3" s="24"/>
      <c r="M3" s="24"/>
      <c r="N3" s="24"/>
      <c r="O3" s="24"/>
      <c r="P3" s="24"/>
      <c r="Q3" s="24"/>
      <c r="R3" s="24"/>
      <c r="S3" s="24"/>
      <c r="T3" s="25"/>
    </row>
    <row r="4" spans="2:20">
      <c r="B4" s="23"/>
      <c r="C4" s="26" t="s">
        <v>80</v>
      </c>
      <c r="D4" s="24"/>
      <c r="E4" s="24"/>
      <c r="F4" s="24"/>
      <c r="G4" s="24"/>
      <c r="H4" s="24"/>
      <c r="I4" s="24"/>
      <c r="J4" s="24"/>
      <c r="K4" s="24"/>
      <c r="L4" s="24"/>
      <c r="M4" s="24"/>
      <c r="N4" s="24"/>
      <c r="O4" s="24"/>
      <c r="P4" s="24"/>
      <c r="Q4" s="24"/>
      <c r="R4" s="24"/>
      <c r="S4" s="24"/>
      <c r="T4" s="25"/>
    </row>
    <row r="5" spans="2:20">
      <c r="B5" s="23"/>
      <c r="C5" s="24"/>
      <c r="D5" s="24" t="s">
        <v>81</v>
      </c>
      <c r="E5" s="24"/>
      <c r="F5" s="24"/>
      <c r="G5" s="24"/>
      <c r="H5" s="24"/>
      <c r="I5" s="24"/>
      <c r="J5" s="24"/>
      <c r="K5" s="24"/>
      <c r="L5" s="24"/>
      <c r="M5" s="24"/>
      <c r="N5" s="24"/>
      <c r="O5" s="24"/>
      <c r="P5" s="24"/>
      <c r="Q5" s="24"/>
      <c r="R5" s="24"/>
      <c r="S5" s="24"/>
      <c r="T5" s="25"/>
    </row>
    <row r="6" spans="2:20">
      <c r="B6" s="23"/>
      <c r="C6" s="24"/>
      <c r="D6" s="24" t="s">
        <v>82</v>
      </c>
      <c r="E6" s="24"/>
      <c r="F6" s="24"/>
      <c r="G6" s="24"/>
      <c r="H6" s="24"/>
      <c r="I6" s="24"/>
      <c r="J6" s="24"/>
      <c r="K6" s="24"/>
      <c r="L6" s="24"/>
      <c r="M6" s="24"/>
      <c r="N6" s="24"/>
      <c r="O6" s="24"/>
      <c r="P6" s="24"/>
      <c r="Q6" s="24"/>
      <c r="R6" s="24"/>
      <c r="S6" s="24"/>
      <c r="T6" s="25"/>
    </row>
    <row r="7" spans="2:20">
      <c r="B7" s="23"/>
      <c r="C7" s="24"/>
      <c r="D7" s="24" t="s">
        <v>83</v>
      </c>
      <c r="E7" s="24"/>
      <c r="F7" s="24"/>
      <c r="G7" s="24"/>
      <c r="H7" s="24"/>
      <c r="I7" s="24"/>
      <c r="J7" s="24"/>
      <c r="K7" s="24"/>
      <c r="L7" s="24"/>
      <c r="M7" s="24"/>
      <c r="N7" s="24"/>
      <c r="O7" s="24"/>
      <c r="P7" s="24"/>
      <c r="Q7" s="24"/>
      <c r="R7" s="24"/>
      <c r="S7" s="24"/>
      <c r="T7" s="25"/>
    </row>
    <row r="8" spans="2:20">
      <c r="B8" s="23"/>
      <c r="C8" s="24"/>
      <c r="D8" s="24" t="s">
        <v>84</v>
      </c>
      <c r="E8" s="24"/>
      <c r="F8" s="24"/>
      <c r="G8" s="24"/>
      <c r="H8" s="24"/>
      <c r="I8" s="24"/>
      <c r="J8" s="24"/>
      <c r="K8" s="24"/>
      <c r="L8" s="24"/>
      <c r="M8" s="24"/>
      <c r="N8" s="24"/>
      <c r="O8" s="24"/>
      <c r="P8" s="24"/>
      <c r="Q8" s="24"/>
      <c r="R8" s="24"/>
      <c r="S8" s="24"/>
      <c r="T8" s="25"/>
    </row>
    <row r="9" spans="2:20">
      <c r="B9" s="23"/>
      <c r="C9" s="24"/>
      <c r="D9" s="24" t="s">
        <v>85</v>
      </c>
      <c r="E9" s="24"/>
      <c r="F9" s="24"/>
      <c r="G9" s="24"/>
      <c r="H9" s="24"/>
      <c r="I9" s="24"/>
      <c r="J9" s="24"/>
      <c r="K9" s="24"/>
      <c r="L9" s="24"/>
      <c r="M9" s="24"/>
      <c r="N9" s="24"/>
      <c r="O9" s="24"/>
      <c r="P9" s="24"/>
      <c r="Q9" s="24"/>
      <c r="R9" s="24"/>
      <c r="S9" s="24"/>
      <c r="T9" s="25"/>
    </row>
    <row r="10" spans="2:20">
      <c r="B10" s="23"/>
      <c r="C10" s="24"/>
      <c r="D10" s="24" t="s">
        <v>86</v>
      </c>
      <c r="E10" s="24"/>
      <c r="F10" s="24"/>
      <c r="G10" s="24"/>
      <c r="H10" s="24"/>
      <c r="I10" s="24"/>
      <c r="J10" s="24"/>
      <c r="K10" s="24"/>
      <c r="L10" s="24"/>
      <c r="M10" s="24"/>
      <c r="N10" s="24"/>
      <c r="O10" s="24"/>
      <c r="P10" s="24"/>
      <c r="Q10" s="24"/>
      <c r="R10" s="24"/>
      <c r="S10" s="24"/>
      <c r="T10" s="25"/>
    </row>
    <row r="11" spans="2:20">
      <c r="B11" s="23"/>
      <c r="C11" s="24"/>
      <c r="D11" s="24" t="s">
        <v>87</v>
      </c>
      <c r="E11" s="24"/>
      <c r="F11" s="24"/>
      <c r="G11" s="24"/>
      <c r="H11" s="24"/>
      <c r="I11" s="24"/>
      <c r="J11" s="24"/>
      <c r="K11" s="24"/>
      <c r="L11" s="24"/>
      <c r="M11" s="24"/>
      <c r="N11" s="24"/>
      <c r="O11" s="24"/>
      <c r="P11" s="24"/>
      <c r="Q11" s="24"/>
      <c r="R11" s="24"/>
      <c r="S11" s="24"/>
      <c r="T11" s="25"/>
    </row>
    <row r="12" spans="2:20">
      <c r="B12" s="23"/>
      <c r="C12" s="24"/>
      <c r="D12" s="24" t="s">
        <v>88</v>
      </c>
      <c r="E12" s="24"/>
      <c r="F12" s="24"/>
      <c r="G12" s="24"/>
      <c r="H12" s="24"/>
      <c r="I12" s="24"/>
      <c r="J12" s="24"/>
      <c r="K12" s="24"/>
      <c r="L12" s="24"/>
      <c r="M12" s="24"/>
      <c r="N12" s="24"/>
      <c r="O12" s="24"/>
      <c r="P12" s="24"/>
      <c r="Q12" s="24"/>
      <c r="R12" s="24"/>
      <c r="S12" s="24"/>
      <c r="T12" s="25"/>
    </row>
    <row r="13" spans="2:20">
      <c r="B13" s="23"/>
      <c r="C13" s="24"/>
      <c r="D13" s="24" t="s">
        <v>89</v>
      </c>
      <c r="E13" s="24"/>
      <c r="F13" s="24"/>
      <c r="G13" s="24"/>
      <c r="H13" s="24"/>
      <c r="I13" s="24"/>
      <c r="J13" s="24"/>
      <c r="K13" s="24"/>
      <c r="L13" s="24"/>
      <c r="M13" s="24"/>
      <c r="N13" s="24"/>
      <c r="O13" s="24"/>
      <c r="P13" s="24"/>
      <c r="Q13" s="24"/>
      <c r="R13" s="24"/>
      <c r="S13" s="24"/>
      <c r="T13" s="25"/>
    </row>
    <row r="14" spans="2:20">
      <c r="B14" s="23"/>
      <c r="C14" s="24"/>
      <c r="D14" s="24"/>
      <c r="E14" s="24"/>
      <c r="F14" s="24"/>
      <c r="G14" s="24"/>
      <c r="H14" s="24"/>
      <c r="I14" s="24"/>
      <c r="J14" s="24"/>
      <c r="K14" s="24"/>
      <c r="L14" s="24"/>
      <c r="M14" s="24"/>
      <c r="N14" s="24"/>
      <c r="O14" s="24"/>
      <c r="P14" s="24"/>
      <c r="Q14" s="24"/>
      <c r="R14" s="24"/>
      <c r="S14" s="24"/>
      <c r="T14" s="25"/>
    </row>
    <row r="15" spans="2:20">
      <c r="B15" s="23"/>
      <c r="C15" s="26" t="s">
        <v>90</v>
      </c>
      <c r="D15" s="24"/>
      <c r="E15" s="24"/>
      <c r="F15" s="24"/>
      <c r="G15" s="24"/>
      <c r="H15" s="24"/>
      <c r="I15" s="24"/>
      <c r="J15" s="24"/>
      <c r="K15" s="24"/>
      <c r="L15" s="24"/>
      <c r="M15" s="24"/>
      <c r="N15" s="24"/>
      <c r="O15" s="24"/>
      <c r="P15" s="24"/>
      <c r="Q15" s="24"/>
      <c r="R15" s="24"/>
      <c r="S15" s="24"/>
      <c r="T15" s="25"/>
    </row>
    <row r="16" spans="2:20">
      <c r="B16" s="23"/>
      <c r="C16" s="24"/>
      <c r="D16" s="24" t="s">
        <v>91</v>
      </c>
      <c r="E16" s="24"/>
      <c r="F16" s="24"/>
      <c r="G16" s="24"/>
      <c r="H16" s="24"/>
      <c r="I16" s="24"/>
      <c r="J16" s="24"/>
      <c r="K16" s="24"/>
      <c r="L16" s="24"/>
      <c r="M16" s="24"/>
      <c r="N16" s="24"/>
      <c r="O16" s="24"/>
      <c r="P16" s="24"/>
      <c r="Q16" s="24"/>
      <c r="R16" s="24"/>
      <c r="S16" s="24"/>
      <c r="T16" s="25"/>
    </row>
    <row r="17" spans="2:20">
      <c r="B17" s="23"/>
      <c r="C17" s="24"/>
      <c r="D17" s="24" t="s">
        <v>92</v>
      </c>
      <c r="E17" s="24"/>
      <c r="F17" s="24"/>
      <c r="G17" s="24"/>
      <c r="H17" s="24"/>
      <c r="I17" s="24"/>
      <c r="J17" s="24"/>
      <c r="K17" s="24"/>
      <c r="L17" s="24"/>
      <c r="M17" s="24"/>
      <c r="N17" s="24"/>
      <c r="O17" s="24"/>
      <c r="P17" s="24"/>
      <c r="Q17" s="24"/>
      <c r="R17" s="24"/>
      <c r="S17" s="24"/>
      <c r="T17" s="25"/>
    </row>
    <row r="18" spans="2:20">
      <c r="B18" s="23"/>
      <c r="C18" s="24"/>
      <c r="D18" s="24" t="s">
        <v>93</v>
      </c>
      <c r="E18" s="24"/>
      <c r="F18" s="24"/>
      <c r="G18" s="24"/>
      <c r="H18" s="24"/>
      <c r="I18" s="24"/>
      <c r="J18" s="24"/>
      <c r="K18" s="24"/>
      <c r="L18" s="24"/>
      <c r="M18" s="24"/>
      <c r="N18" s="24"/>
      <c r="O18" s="24"/>
      <c r="P18" s="24"/>
      <c r="Q18" s="24"/>
      <c r="R18" s="24"/>
      <c r="S18" s="24"/>
      <c r="T18" s="25"/>
    </row>
    <row r="19" spans="2:20">
      <c r="B19" s="23"/>
      <c r="C19" s="24"/>
      <c r="D19" s="24" t="s">
        <v>94</v>
      </c>
      <c r="E19" s="24"/>
      <c r="F19" s="24"/>
      <c r="G19" s="24"/>
      <c r="H19" s="24"/>
      <c r="I19" s="24"/>
      <c r="J19" s="24"/>
      <c r="K19" s="24"/>
      <c r="L19" s="24"/>
      <c r="M19" s="24"/>
      <c r="N19" s="24"/>
      <c r="O19" s="24"/>
      <c r="P19" s="24"/>
      <c r="Q19" s="24"/>
      <c r="R19" s="24"/>
      <c r="S19" s="24"/>
      <c r="T19" s="25"/>
    </row>
    <row r="20" spans="2:20">
      <c r="B20" s="23"/>
      <c r="C20" s="24"/>
      <c r="D20" s="24" t="s">
        <v>95</v>
      </c>
      <c r="E20" s="24"/>
      <c r="F20" s="24"/>
      <c r="G20" s="24"/>
      <c r="H20" s="24"/>
      <c r="I20" s="24"/>
      <c r="J20" s="24"/>
      <c r="K20" s="24"/>
      <c r="L20" s="24"/>
      <c r="M20" s="24"/>
      <c r="N20" s="24"/>
      <c r="O20" s="24"/>
      <c r="P20" s="24"/>
      <c r="Q20" s="24"/>
      <c r="R20" s="24"/>
      <c r="S20" s="24"/>
      <c r="T20" s="25"/>
    </row>
    <row r="21" spans="2:20">
      <c r="B21" s="23"/>
      <c r="C21" s="24"/>
      <c r="D21" s="24" t="s">
        <v>96</v>
      </c>
      <c r="E21" s="24"/>
      <c r="F21" s="24"/>
      <c r="G21" s="24"/>
      <c r="H21" s="24"/>
      <c r="I21" s="24"/>
      <c r="J21" s="24"/>
      <c r="K21" s="24"/>
      <c r="L21" s="24"/>
      <c r="M21" s="24"/>
      <c r="N21" s="24"/>
      <c r="O21" s="24"/>
      <c r="P21" s="24"/>
      <c r="Q21" s="24"/>
      <c r="R21" s="24"/>
      <c r="S21" s="24"/>
      <c r="T21" s="25"/>
    </row>
    <row r="22" spans="2:20">
      <c r="B22" s="23"/>
      <c r="C22" s="24"/>
      <c r="D22" s="24" t="s">
        <v>97</v>
      </c>
      <c r="E22" s="24"/>
      <c r="F22" s="24"/>
      <c r="G22" s="24"/>
      <c r="H22" s="24"/>
      <c r="I22" s="24"/>
      <c r="J22" s="24"/>
      <c r="K22" s="24"/>
      <c r="L22" s="24"/>
      <c r="M22" s="24"/>
      <c r="N22" s="24"/>
      <c r="O22" s="24"/>
      <c r="P22" s="24"/>
      <c r="Q22" s="24"/>
      <c r="R22" s="24"/>
      <c r="S22" s="24"/>
      <c r="T22" s="25"/>
    </row>
    <row r="23" spans="2:20">
      <c r="B23" s="23"/>
      <c r="C23" s="24"/>
      <c r="D23" s="24"/>
      <c r="E23" s="24"/>
      <c r="F23" s="24"/>
      <c r="G23" s="24"/>
      <c r="H23" s="24"/>
      <c r="I23" s="24"/>
      <c r="J23" s="24"/>
      <c r="K23" s="24"/>
      <c r="L23" s="24"/>
      <c r="M23" s="24"/>
      <c r="N23" s="24"/>
      <c r="O23" s="24"/>
      <c r="P23" s="24"/>
      <c r="Q23" s="24"/>
      <c r="R23" s="24"/>
      <c r="S23" s="24"/>
      <c r="T23" s="25"/>
    </row>
    <row r="24" spans="2:20">
      <c r="B24" s="23"/>
      <c r="C24" s="26" t="s">
        <v>98</v>
      </c>
      <c r="D24" s="24"/>
      <c r="E24" s="24"/>
      <c r="F24" s="24"/>
      <c r="G24" s="24"/>
      <c r="H24" s="24"/>
      <c r="I24" s="24"/>
      <c r="J24" s="24"/>
      <c r="K24" s="24"/>
      <c r="L24" s="24"/>
      <c r="M24" s="24"/>
      <c r="N24" s="24"/>
      <c r="O24" s="24"/>
      <c r="P24" s="24"/>
      <c r="Q24" s="24"/>
      <c r="R24" s="24"/>
      <c r="S24" s="24"/>
      <c r="T24" s="25"/>
    </row>
    <row r="25" spans="2:20">
      <c r="B25" s="23"/>
      <c r="C25" s="24"/>
      <c r="D25" s="24" t="s">
        <v>99</v>
      </c>
      <c r="E25" s="24"/>
      <c r="F25" s="24"/>
      <c r="G25" s="24"/>
      <c r="H25" s="24"/>
      <c r="I25" s="24"/>
      <c r="J25" s="24"/>
      <c r="K25" s="24"/>
      <c r="L25" s="24"/>
      <c r="M25" s="24"/>
      <c r="N25" s="24"/>
      <c r="O25" s="24"/>
      <c r="P25" s="24"/>
      <c r="Q25" s="24"/>
      <c r="R25" s="24"/>
      <c r="S25" s="24"/>
      <c r="T25" s="25"/>
    </row>
    <row r="26" spans="2:20" ht="27" customHeight="1">
      <c r="B26" s="23"/>
      <c r="C26" s="24"/>
      <c r="D26" s="1112" t="s">
        <v>2131</v>
      </c>
      <c r="E26" s="1113"/>
      <c r="F26" s="1113"/>
      <c r="G26" s="1113"/>
      <c r="H26" s="1113"/>
      <c r="I26" s="1113"/>
      <c r="J26" s="1113"/>
      <c r="K26" s="1113"/>
      <c r="L26" s="1113"/>
      <c r="M26" s="1113"/>
      <c r="N26" s="1113"/>
      <c r="O26" s="1113"/>
      <c r="P26" s="1113"/>
      <c r="Q26" s="1113"/>
      <c r="R26" s="1113"/>
      <c r="S26" s="1113"/>
      <c r="T26" s="1114"/>
    </row>
    <row r="27" spans="2:20">
      <c r="B27" s="23"/>
      <c r="C27" s="24"/>
      <c r="D27" s="86" t="s">
        <v>1521</v>
      </c>
      <c r="E27" s="24"/>
      <c r="F27" s="24"/>
      <c r="G27" s="24"/>
      <c r="H27" s="24"/>
      <c r="I27" s="24"/>
      <c r="J27" s="24"/>
      <c r="K27" s="24"/>
      <c r="L27" s="24"/>
      <c r="M27" s="24"/>
      <c r="N27" s="24"/>
      <c r="O27" s="24"/>
      <c r="P27" s="24"/>
      <c r="Q27" s="24"/>
      <c r="R27" s="24"/>
      <c r="S27" s="24"/>
      <c r="T27" s="25"/>
    </row>
    <row r="28" spans="2:20">
      <c r="B28" s="23"/>
      <c r="C28" s="24"/>
      <c r="D28" s="24" t="s">
        <v>100</v>
      </c>
      <c r="E28" s="24"/>
      <c r="F28" s="24"/>
      <c r="G28" s="24"/>
      <c r="H28" s="24"/>
      <c r="I28" s="24"/>
      <c r="J28" s="24"/>
      <c r="K28" s="24"/>
      <c r="L28" s="24"/>
      <c r="M28" s="24"/>
      <c r="N28" s="24"/>
      <c r="O28" s="24"/>
      <c r="P28" s="24"/>
      <c r="Q28" s="24"/>
      <c r="R28" s="24"/>
      <c r="S28" s="24"/>
      <c r="T28" s="25"/>
    </row>
    <row r="29" spans="2:20">
      <c r="B29" s="23"/>
      <c r="C29" s="24"/>
      <c r="D29" s="395" t="s">
        <v>2132</v>
      </c>
      <c r="E29" s="24"/>
      <c r="F29" s="24"/>
      <c r="G29" s="24"/>
      <c r="H29" s="24"/>
      <c r="I29" s="24"/>
      <c r="J29" s="24"/>
      <c r="K29" s="24"/>
      <c r="L29" s="24"/>
      <c r="M29" s="24"/>
      <c r="N29" s="24"/>
      <c r="O29" s="24"/>
      <c r="P29" s="24"/>
      <c r="Q29" s="24"/>
      <c r="R29" s="24"/>
      <c r="S29" s="24"/>
      <c r="T29" s="25"/>
    </row>
    <row r="30" spans="2:20">
      <c r="B30" s="23"/>
      <c r="C30" s="24"/>
      <c r="D30" s="24" t="s">
        <v>101</v>
      </c>
      <c r="E30" s="24"/>
      <c r="F30" s="24"/>
      <c r="G30" s="24"/>
      <c r="H30" s="24"/>
      <c r="I30" s="24"/>
      <c r="J30" s="24"/>
      <c r="K30" s="24"/>
      <c r="L30" s="24"/>
      <c r="M30" s="24"/>
      <c r="N30" s="24"/>
      <c r="O30" s="24"/>
      <c r="P30" s="24"/>
      <c r="Q30" s="24"/>
      <c r="R30" s="24"/>
      <c r="S30" s="24"/>
      <c r="T30" s="25"/>
    </row>
    <row r="31" spans="2:20">
      <c r="B31" s="23"/>
      <c r="C31" s="24"/>
      <c r="D31" s="86" t="s">
        <v>1523</v>
      </c>
      <c r="E31" s="24"/>
      <c r="F31" s="24"/>
      <c r="G31" s="24"/>
      <c r="H31" s="24"/>
      <c r="I31" s="24"/>
      <c r="J31" s="24"/>
      <c r="K31" s="24"/>
      <c r="L31" s="24"/>
      <c r="M31" s="24"/>
      <c r="N31" s="24"/>
      <c r="O31" s="24"/>
      <c r="P31" s="24"/>
      <c r="Q31" s="24"/>
      <c r="R31" s="24"/>
      <c r="S31" s="24"/>
      <c r="T31" s="25"/>
    </row>
    <row r="32" spans="2:20">
      <c r="B32" s="23"/>
      <c r="C32" s="24"/>
      <c r="D32" s="24" t="s">
        <v>102</v>
      </c>
      <c r="E32" s="24"/>
      <c r="F32" s="24"/>
      <c r="G32" s="24"/>
      <c r="H32" s="24"/>
      <c r="I32" s="24"/>
      <c r="J32" s="24"/>
      <c r="K32" s="24"/>
      <c r="L32" s="24"/>
      <c r="M32" s="24"/>
      <c r="N32" s="24"/>
      <c r="O32" s="24"/>
      <c r="P32" s="24"/>
      <c r="Q32" s="24"/>
      <c r="R32" s="24"/>
      <c r="S32" s="24"/>
      <c r="T32" s="25"/>
    </row>
    <row r="33" spans="2:20">
      <c r="B33" s="23"/>
      <c r="C33" s="24"/>
      <c r="D33" s="24" t="s">
        <v>103</v>
      </c>
      <c r="E33" s="24"/>
      <c r="F33" s="24"/>
      <c r="G33" s="24"/>
      <c r="H33" s="24"/>
      <c r="I33" s="24"/>
      <c r="J33" s="24"/>
      <c r="K33" s="24"/>
      <c r="L33" s="24"/>
      <c r="M33" s="24"/>
      <c r="N33" s="24"/>
      <c r="O33" s="24"/>
      <c r="P33" s="24"/>
      <c r="Q33" s="24"/>
      <c r="R33" s="24"/>
      <c r="S33" s="24"/>
      <c r="T33" s="25"/>
    </row>
    <row r="34" spans="2:20">
      <c r="B34" s="23"/>
      <c r="C34" s="24"/>
      <c r="D34" s="24"/>
      <c r="E34" s="24"/>
      <c r="F34" s="24"/>
      <c r="G34" s="24"/>
      <c r="H34" s="24"/>
      <c r="I34" s="24"/>
      <c r="J34" s="24"/>
      <c r="K34" s="24"/>
      <c r="L34" s="24"/>
      <c r="M34" s="24"/>
      <c r="N34" s="24"/>
      <c r="O34" s="24"/>
      <c r="P34" s="24"/>
      <c r="Q34" s="24"/>
      <c r="R34" s="24"/>
      <c r="S34" s="24"/>
      <c r="T34" s="25"/>
    </row>
    <row r="35" spans="2:20">
      <c r="B35" s="23"/>
      <c r="C35" s="26" t="s">
        <v>104</v>
      </c>
      <c r="D35" s="24"/>
      <c r="E35" s="24"/>
      <c r="F35" s="24"/>
      <c r="G35" s="24"/>
      <c r="H35" s="24"/>
      <c r="I35" s="24"/>
      <c r="J35" s="24"/>
      <c r="K35" s="24"/>
      <c r="L35" s="24"/>
      <c r="M35" s="24"/>
      <c r="N35" s="24"/>
      <c r="O35" s="24"/>
      <c r="P35" s="24"/>
      <c r="Q35" s="24"/>
      <c r="R35" s="24"/>
      <c r="S35" s="24"/>
      <c r="T35" s="25"/>
    </row>
    <row r="36" spans="2:20">
      <c r="B36" s="23"/>
      <c r="C36" s="24"/>
      <c r="D36" s="24" t="s">
        <v>105</v>
      </c>
      <c r="E36" s="24"/>
      <c r="F36" s="24"/>
      <c r="G36" s="24"/>
      <c r="H36" s="24"/>
      <c r="I36" s="24"/>
      <c r="J36" s="24"/>
      <c r="K36" s="24"/>
      <c r="L36" s="24"/>
      <c r="M36" s="24"/>
      <c r="N36" s="24"/>
      <c r="O36" s="24"/>
      <c r="P36" s="24"/>
      <c r="Q36" s="24"/>
      <c r="R36" s="24"/>
      <c r="S36" s="24"/>
      <c r="T36" s="25"/>
    </row>
    <row r="37" spans="2:20">
      <c r="B37" s="23"/>
      <c r="C37" s="24"/>
      <c r="D37" s="24" t="s">
        <v>106</v>
      </c>
      <c r="E37" s="24"/>
      <c r="F37" s="24"/>
      <c r="G37" s="24"/>
      <c r="H37" s="24"/>
      <c r="I37" s="24"/>
      <c r="J37" s="24"/>
      <c r="K37" s="24"/>
      <c r="L37" s="24"/>
      <c r="M37" s="24"/>
      <c r="N37" s="24"/>
      <c r="O37" s="24"/>
      <c r="P37" s="24"/>
      <c r="Q37" s="24"/>
      <c r="R37" s="24"/>
      <c r="S37" s="24"/>
      <c r="T37" s="25"/>
    </row>
    <row r="38" spans="2:20">
      <c r="B38" s="23"/>
      <c r="C38" s="24"/>
      <c r="D38" s="24" t="s">
        <v>107</v>
      </c>
      <c r="E38" s="24"/>
      <c r="F38" s="24"/>
      <c r="G38" s="24"/>
      <c r="H38" s="24"/>
      <c r="I38" s="24"/>
      <c r="J38" s="24"/>
      <c r="K38" s="24"/>
      <c r="L38" s="24"/>
      <c r="M38" s="24"/>
      <c r="N38" s="24"/>
      <c r="O38" s="24"/>
      <c r="P38" s="24"/>
      <c r="Q38" s="24"/>
      <c r="R38" s="24"/>
      <c r="S38" s="24"/>
      <c r="T38" s="25"/>
    </row>
    <row r="39" spans="2:20">
      <c r="B39" s="23"/>
      <c r="C39" s="24"/>
      <c r="D39" s="24" t="s">
        <v>108</v>
      </c>
      <c r="E39" s="24"/>
      <c r="F39" s="24"/>
      <c r="G39" s="24"/>
      <c r="H39" s="24"/>
      <c r="I39" s="24"/>
      <c r="J39" s="24"/>
      <c r="K39" s="24"/>
      <c r="L39" s="24"/>
      <c r="M39" s="24"/>
      <c r="N39" s="24"/>
      <c r="O39" s="24"/>
      <c r="P39" s="24"/>
      <c r="Q39" s="24"/>
      <c r="R39" s="24"/>
      <c r="S39" s="24"/>
      <c r="T39" s="25"/>
    </row>
    <row r="40" spans="2:20">
      <c r="B40" s="23"/>
      <c r="C40" s="24"/>
      <c r="D40" s="24"/>
      <c r="E40" s="24"/>
      <c r="F40" s="24"/>
      <c r="G40" s="24"/>
      <c r="H40" s="24"/>
      <c r="I40" s="24"/>
      <c r="J40" s="24"/>
      <c r="K40" s="24"/>
      <c r="L40" s="24"/>
      <c r="M40" s="24"/>
      <c r="N40" s="24"/>
      <c r="O40" s="24"/>
      <c r="P40" s="24"/>
      <c r="Q40" s="24"/>
      <c r="R40" s="24"/>
      <c r="S40" s="24"/>
      <c r="T40" s="25"/>
    </row>
    <row r="41" spans="2:20">
      <c r="B41" s="23"/>
      <c r="C41" s="26" t="s">
        <v>109</v>
      </c>
      <c r="D41" s="24"/>
      <c r="E41" s="24"/>
      <c r="F41" s="24"/>
      <c r="G41" s="24"/>
      <c r="H41" s="24"/>
      <c r="I41" s="24"/>
      <c r="J41" s="24"/>
      <c r="K41" s="24"/>
      <c r="L41" s="24"/>
      <c r="M41" s="24"/>
      <c r="N41" s="24"/>
      <c r="O41" s="24"/>
      <c r="P41" s="24"/>
      <c r="Q41" s="24"/>
      <c r="R41" s="24"/>
      <c r="S41" s="24"/>
      <c r="T41" s="25"/>
    </row>
    <row r="42" spans="2:20">
      <c r="B42" s="23"/>
      <c r="C42" s="24"/>
      <c r="D42" s="24" t="s">
        <v>110</v>
      </c>
      <c r="E42" s="24"/>
      <c r="F42" s="24"/>
      <c r="G42" s="24"/>
      <c r="H42" s="24"/>
      <c r="I42" s="24"/>
      <c r="J42" s="24"/>
      <c r="K42" s="24"/>
      <c r="L42" s="24"/>
      <c r="M42" s="24"/>
      <c r="N42" s="24"/>
      <c r="O42" s="24"/>
      <c r="P42" s="24"/>
      <c r="Q42" s="24"/>
      <c r="R42" s="24"/>
      <c r="S42" s="24"/>
      <c r="T42" s="25"/>
    </row>
    <row r="43" spans="2:20">
      <c r="B43" s="23"/>
      <c r="C43" s="24"/>
      <c r="D43" s="24" t="s">
        <v>111</v>
      </c>
      <c r="E43" s="24"/>
      <c r="F43" s="24"/>
      <c r="G43" s="24"/>
      <c r="H43" s="24"/>
      <c r="I43" s="24"/>
      <c r="J43" s="24"/>
      <c r="K43" s="24"/>
      <c r="L43" s="24"/>
      <c r="M43" s="24"/>
      <c r="N43" s="24"/>
      <c r="O43" s="24"/>
      <c r="P43" s="24"/>
      <c r="Q43" s="24"/>
      <c r="R43" s="24"/>
      <c r="S43" s="24"/>
      <c r="T43" s="25"/>
    </row>
    <row r="44" spans="2:20">
      <c r="B44" s="23"/>
      <c r="C44" s="24"/>
      <c r="D44" s="24" t="s">
        <v>112</v>
      </c>
      <c r="E44" s="24"/>
      <c r="F44" s="24"/>
      <c r="G44" s="24"/>
      <c r="H44" s="24"/>
      <c r="I44" s="24"/>
      <c r="J44" s="24"/>
      <c r="K44" s="24"/>
      <c r="L44" s="24"/>
      <c r="M44" s="24"/>
      <c r="N44" s="24"/>
      <c r="O44" s="24"/>
      <c r="P44" s="24"/>
      <c r="Q44" s="24"/>
      <c r="R44" s="24"/>
      <c r="S44" s="24"/>
      <c r="T44" s="25"/>
    </row>
    <row r="45" spans="2:20">
      <c r="B45" s="23"/>
      <c r="C45" s="24"/>
      <c r="D45" s="24" t="s">
        <v>113</v>
      </c>
      <c r="E45" s="24"/>
      <c r="F45" s="24"/>
      <c r="G45" s="24"/>
      <c r="H45" s="24"/>
      <c r="I45" s="24"/>
      <c r="J45" s="24"/>
      <c r="K45" s="24"/>
      <c r="L45" s="24"/>
      <c r="M45" s="24"/>
      <c r="N45" s="24"/>
      <c r="O45" s="24"/>
      <c r="P45" s="24"/>
      <c r="Q45" s="24"/>
      <c r="R45" s="24"/>
      <c r="S45" s="24"/>
      <c r="T45" s="25"/>
    </row>
    <row r="46" spans="2:20">
      <c r="B46" s="23"/>
      <c r="C46" s="24"/>
      <c r="D46" s="24"/>
      <c r="E46" s="24"/>
      <c r="F46" s="24"/>
      <c r="G46" s="24"/>
      <c r="H46" s="24"/>
      <c r="I46" s="24"/>
      <c r="J46" s="24"/>
      <c r="K46" s="24"/>
      <c r="L46" s="24"/>
      <c r="M46" s="24"/>
      <c r="N46" s="24"/>
      <c r="O46" s="24"/>
      <c r="P46" s="24"/>
      <c r="Q46" s="24"/>
      <c r="R46" s="24"/>
      <c r="S46" s="24"/>
      <c r="T46" s="25"/>
    </row>
    <row r="47" spans="2:20" ht="15" thickBot="1">
      <c r="B47" s="27"/>
      <c r="C47" s="28"/>
      <c r="D47" s="28"/>
      <c r="E47" s="28"/>
      <c r="F47" s="28"/>
      <c r="G47" s="28"/>
      <c r="H47" s="28"/>
      <c r="I47" s="28"/>
      <c r="J47" s="28"/>
      <c r="K47" s="28"/>
      <c r="L47" s="28"/>
      <c r="M47" s="28"/>
      <c r="N47" s="28"/>
      <c r="O47" s="28"/>
      <c r="P47" s="28"/>
      <c r="Q47" s="28"/>
      <c r="R47" s="28"/>
      <c r="S47" s="28"/>
      <c r="T47" s="29"/>
    </row>
    <row r="48" spans="2:20" ht="15" thickTop="1"/>
  </sheetData>
  <mergeCells count="2">
    <mergeCell ref="B2:T2"/>
    <mergeCell ref="D26:T2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FEA3B-609A-44A9-A7E8-9BB9530243F6}">
  <dimension ref="A1:AE140"/>
  <sheetViews>
    <sheetView showGridLines="0" workbookViewId="0">
      <selection activeCell="C4" sqref="C4:J4"/>
    </sheetView>
  </sheetViews>
  <sheetFormatPr defaultRowHeight="15.5"/>
  <cols>
    <col min="1" max="1" width="18.1640625" customWidth="1"/>
    <col min="2" max="2" width="25.5" customWidth="1"/>
    <col min="3" max="4" width="10.6640625" customWidth="1"/>
    <col min="5" max="5" width="11.1640625" customWidth="1"/>
    <col min="6" max="6" width="9.9140625" bestFit="1" customWidth="1"/>
    <col min="7" max="7" width="10.9140625" customWidth="1"/>
    <col min="8" max="8" width="8.9140625" bestFit="1" customWidth="1"/>
    <col min="9" max="10" width="13.58203125" customWidth="1"/>
    <col min="11" max="11" width="20.1640625" customWidth="1"/>
    <col min="12" max="13" width="15" customWidth="1"/>
    <col min="14" max="15" width="15" style="413" customWidth="1"/>
    <col min="16" max="16" width="15" customWidth="1"/>
    <col min="17" max="17" width="14.6640625" customWidth="1"/>
    <col min="18" max="18" width="17" customWidth="1"/>
    <col min="19" max="19" width="8.5" bestFit="1" customWidth="1"/>
    <col min="20" max="20" width="11.83203125" customWidth="1"/>
    <col min="21" max="23" width="6.83203125" bestFit="1" customWidth="1"/>
    <col min="24" max="24" width="9.4140625" customWidth="1"/>
    <col min="25" max="25" width="7.6640625" bestFit="1" customWidth="1"/>
    <col min="26" max="26" width="15.08203125" style="459" customWidth="1"/>
    <col min="27" max="27" width="14.1640625" style="459" customWidth="1"/>
    <col min="28" max="30" width="13" style="459" customWidth="1"/>
    <col min="31" max="31" width="10.5" customWidth="1"/>
  </cols>
  <sheetData>
    <row r="1" spans="1:31">
      <c r="A1" s="366" t="s">
        <v>34</v>
      </c>
      <c r="B1" s="58" t="s">
        <v>34</v>
      </c>
      <c r="C1" s="58"/>
      <c r="D1" s="58"/>
      <c r="E1" s="58"/>
      <c r="F1" s="58"/>
      <c r="G1" s="58"/>
      <c r="H1" s="59"/>
      <c r="I1" s="59"/>
      <c r="J1" s="59"/>
      <c r="K1" s="59"/>
      <c r="L1" s="59"/>
      <c r="M1" s="59"/>
      <c r="N1" s="59"/>
      <c r="O1" s="59"/>
      <c r="P1" s="59"/>
      <c r="Q1" s="366" t="s">
        <v>34</v>
      </c>
      <c r="R1" s="58" t="s">
        <v>34</v>
      </c>
      <c r="S1" s="58"/>
      <c r="T1" s="58"/>
      <c r="U1" s="58"/>
      <c r="V1" s="58"/>
      <c r="W1" s="58"/>
      <c r="X1" s="59"/>
      <c r="Y1" s="59"/>
      <c r="Z1" s="59"/>
      <c r="AA1" s="59"/>
      <c r="AB1" s="59"/>
      <c r="AC1" s="59"/>
      <c r="AD1" s="59"/>
    </row>
    <row r="2" spans="1:31">
      <c r="A2" s="366" t="s">
        <v>20</v>
      </c>
      <c r="B2" s="58" t="s">
        <v>2962</v>
      </c>
      <c r="C2" s="156">
        <v>58462.337037037032</v>
      </c>
      <c r="D2" s="156">
        <v>72013</v>
      </c>
      <c r="E2" s="156">
        <v>64453</v>
      </c>
      <c r="F2" s="156">
        <v>23656.75</v>
      </c>
      <c r="G2" s="156"/>
      <c r="H2" s="156">
        <v>1993</v>
      </c>
      <c r="I2" s="156">
        <v>20707</v>
      </c>
      <c r="J2" s="156">
        <v>54245</v>
      </c>
      <c r="K2" s="156">
        <v>49315</v>
      </c>
      <c r="L2" s="156">
        <v>13523</v>
      </c>
      <c r="M2" s="156">
        <v>295</v>
      </c>
      <c r="N2" s="156">
        <v>349</v>
      </c>
      <c r="O2" s="156">
        <v>1650</v>
      </c>
      <c r="P2" s="58"/>
      <c r="Q2" s="366" t="s">
        <v>134</v>
      </c>
      <c r="R2" s="58" t="s">
        <v>1279</v>
      </c>
      <c r="S2" s="58"/>
      <c r="T2" s="58"/>
      <c r="U2" s="58"/>
      <c r="V2" s="58"/>
      <c r="W2" s="58"/>
      <c r="X2" s="58"/>
      <c r="Y2" s="58"/>
      <c r="Z2" s="59"/>
      <c r="AA2" s="59"/>
      <c r="AB2" s="59"/>
      <c r="AC2" s="59"/>
      <c r="AD2" s="59"/>
    </row>
    <row r="3" spans="1:31">
      <c r="A3" s="366" t="s">
        <v>21</v>
      </c>
      <c r="B3" s="58" t="s">
        <v>37</v>
      </c>
      <c r="C3" s="369" t="s">
        <v>2086</v>
      </c>
      <c r="D3" s="413"/>
      <c r="E3" s="413"/>
      <c r="F3" s="413"/>
      <c r="G3" s="413"/>
      <c r="H3" s="413"/>
      <c r="I3" s="413"/>
      <c r="J3" s="413"/>
      <c r="K3" s="58"/>
      <c r="L3" s="58"/>
      <c r="M3" s="58"/>
      <c r="N3" s="58"/>
      <c r="O3" s="58"/>
      <c r="P3" s="58"/>
      <c r="Q3" s="366" t="s">
        <v>21</v>
      </c>
      <c r="R3" s="58" t="s">
        <v>515</v>
      </c>
      <c r="S3" s="369" t="s">
        <v>2086</v>
      </c>
      <c r="T3" s="413"/>
      <c r="U3" s="413"/>
      <c r="V3" s="413"/>
      <c r="W3" s="413"/>
      <c r="X3" s="413"/>
      <c r="Y3" s="413"/>
      <c r="AA3" s="59"/>
      <c r="AB3" s="59"/>
      <c r="AC3" s="59"/>
      <c r="AD3" s="59"/>
    </row>
    <row r="4" spans="1:31" s="639" customFormat="1">
      <c r="A4" s="366" t="s">
        <v>35</v>
      </c>
      <c r="B4" s="58" t="s">
        <v>1471</v>
      </c>
      <c r="C4" s="640">
        <f>SUM(C6:C153)</f>
        <v>58885.337037037032</v>
      </c>
      <c r="D4" s="640">
        <f t="shared" ref="D4:O4" si="0">SUM(D6:D153)</f>
        <v>71565</v>
      </c>
      <c r="E4" s="640">
        <f t="shared" si="0"/>
        <v>64452</v>
      </c>
      <c r="F4" s="640">
        <f t="shared" si="0"/>
        <v>23656.75</v>
      </c>
      <c r="G4" s="640">
        <f t="shared" si="0"/>
        <v>18463</v>
      </c>
      <c r="H4" s="640">
        <f t="shared" si="0"/>
        <v>1993</v>
      </c>
      <c r="I4" s="640">
        <f t="shared" si="0"/>
        <v>20707</v>
      </c>
      <c r="J4" s="640">
        <f t="shared" si="0"/>
        <v>54244</v>
      </c>
      <c r="K4" s="640">
        <f t="shared" si="0"/>
        <v>49314</v>
      </c>
      <c r="L4" s="640">
        <f t="shared" si="0"/>
        <v>18463</v>
      </c>
      <c r="M4" s="640">
        <f t="shared" si="0"/>
        <v>1118</v>
      </c>
      <c r="N4" s="640">
        <f t="shared" si="0"/>
        <v>0</v>
      </c>
      <c r="O4" s="640">
        <f t="shared" si="0"/>
        <v>875</v>
      </c>
      <c r="P4" s="640"/>
      <c r="R4" s="640"/>
      <c r="S4" s="640">
        <f t="shared" ref="S4:AE4" si="1">SUM(S6:S48)</f>
        <v>9893.9999999999982</v>
      </c>
      <c r="T4" s="640">
        <f t="shared" si="1"/>
        <v>7692</v>
      </c>
      <c r="U4" s="640">
        <f t="shared" si="1"/>
        <v>5587</v>
      </c>
      <c r="V4" s="640">
        <f t="shared" si="1"/>
        <v>0</v>
      </c>
      <c r="W4" s="640">
        <f t="shared" si="1"/>
        <v>2223</v>
      </c>
      <c r="X4" s="640">
        <f t="shared" si="1"/>
        <v>0</v>
      </c>
      <c r="Y4" s="640">
        <f t="shared" si="1"/>
        <v>45</v>
      </c>
      <c r="Z4" s="643">
        <f t="shared" si="1"/>
        <v>5542</v>
      </c>
      <c r="AA4" s="643">
        <f t="shared" si="1"/>
        <v>5900</v>
      </c>
      <c r="AB4" s="643">
        <f t="shared" si="1"/>
        <v>2223</v>
      </c>
      <c r="AC4" s="643">
        <f t="shared" si="1"/>
        <v>0</v>
      </c>
      <c r="AD4" s="643">
        <f t="shared" si="1"/>
        <v>0</v>
      </c>
      <c r="AE4" s="643">
        <f t="shared" si="1"/>
        <v>0</v>
      </c>
    </row>
    <row r="5" spans="1:31" s="638" customFormat="1" ht="16.5" customHeight="1">
      <c r="A5"/>
      <c r="B5"/>
      <c r="C5"/>
      <c r="D5"/>
      <c r="E5"/>
      <c r="F5"/>
      <c r="G5"/>
      <c r="H5"/>
      <c r="I5"/>
      <c r="J5"/>
      <c r="K5"/>
      <c r="L5"/>
      <c r="M5"/>
      <c r="N5"/>
      <c r="O5"/>
      <c r="P5"/>
      <c r="Q5" s="58"/>
      <c r="R5" s="1073" t="s">
        <v>2596</v>
      </c>
      <c r="S5" s="1084" t="s">
        <v>2597</v>
      </c>
      <c r="T5" s="1085" t="s">
        <v>2598</v>
      </c>
      <c r="U5" s="1077" t="s">
        <v>2599</v>
      </c>
      <c r="V5" s="1086" t="s">
        <v>2600</v>
      </c>
      <c r="W5" s="1087" t="s">
        <v>2601</v>
      </c>
      <c r="X5" s="1087" t="s">
        <v>2759</v>
      </c>
      <c r="Y5" s="1079" t="s">
        <v>2602</v>
      </c>
      <c r="Z5" s="1079" t="s">
        <v>2603</v>
      </c>
      <c r="AA5" s="1079" t="s">
        <v>2604</v>
      </c>
      <c r="AB5" s="87" t="s">
        <v>2761</v>
      </c>
      <c r="AC5" s="87" t="s">
        <v>2762</v>
      </c>
      <c r="AD5" s="87" t="s">
        <v>2605</v>
      </c>
      <c r="AE5" s="87" t="s">
        <v>2763</v>
      </c>
    </row>
    <row r="6" spans="1:31" ht="108.5">
      <c r="A6" s="58"/>
      <c r="B6" s="1073" t="s">
        <v>2596</v>
      </c>
      <c r="C6" s="1084" t="s">
        <v>2597</v>
      </c>
      <c r="D6" s="1085" t="s">
        <v>2598</v>
      </c>
      <c r="E6" s="1077" t="s">
        <v>2599</v>
      </c>
      <c r="F6" s="1086" t="s">
        <v>2600</v>
      </c>
      <c r="G6" s="1087" t="s">
        <v>2601</v>
      </c>
      <c r="H6" s="1087" t="s">
        <v>2759</v>
      </c>
      <c r="I6" s="1079" t="s">
        <v>2602</v>
      </c>
      <c r="J6" s="1079" t="s">
        <v>2603</v>
      </c>
      <c r="K6" s="1079" t="s">
        <v>2604</v>
      </c>
      <c r="L6" s="1090" t="s">
        <v>2761</v>
      </c>
      <c r="M6" s="87" t="s">
        <v>2762</v>
      </c>
      <c r="N6" s="87" t="s">
        <v>2605</v>
      </c>
      <c r="O6" s="87" t="s">
        <v>2763</v>
      </c>
      <c r="Q6" s="58" t="s">
        <v>2152</v>
      </c>
      <c r="R6" s="1072">
        <v>103</v>
      </c>
      <c r="S6" s="1069">
        <v>103</v>
      </c>
      <c r="T6" s="1070">
        <v>103</v>
      </c>
      <c r="U6" s="1071">
        <v>0</v>
      </c>
      <c r="V6" s="1080">
        <v>0</v>
      </c>
      <c r="W6" s="1081">
        <v>0</v>
      </c>
      <c r="X6" s="1081">
        <v>0</v>
      </c>
      <c r="Y6" s="1078">
        <v>0</v>
      </c>
      <c r="Z6" s="1088">
        <v>0</v>
      </c>
      <c r="AA6" s="1088">
        <v>103</v>
      </c>
      <c r="AB6" s="60">
        <v>0</v>
      </c>
      <c r="AC6" s="60">
        <v>0</v>
      </c>
      <c r="AD6" s="1089">
        <v>0</v>
      </c>
      <c r="AE6" s="60">
        <v>0</v>
      </c>
    </row>
    <row r="7" spans="1:31">
      <c r="A7" s="58" t="s">
        <v>277</v>
      </c>
      <c r="B7" s="1072">
        <v>715</v>
      </c>
      <c r="C7" s="1069">
        <v>715</v>
      </c>
      <c r="D7" s="1070">
        <v>715</v>
      </c>
      <c r="E7" s="1071">
        <v>715</v>
      </c>
      <c r="F7" s="1080">
        <v>715</v>
      </c>
      <c r="G7" s="1081">
        <v>0</v>
      </c>
      <c r="H7" s="1081">
        <v>0</v>
      </c>
      <c r="I7" s="1078">
        <v>715</v>
      </c>
      <c r="J7" s="1078">
        <v>715</v>
      </c>
      <c r="K7" s="1078">
        <v>715</v>
      </c>
      <c r="L7" s="60">
        <v>0</v>
      </c>
      <c r="M7" s="60">
        <v>0</v>
      </c>
      <c r="N7" s="60">
        <v>0</v>
      </c>
      <c r="O7" s="60">
        <v>0</v>
      </c>
      <c r="Q7" s="58" t="s">
        <v>1715</v>
      </c>
      <c r="R7" s="1072">
        <v>439</v>
      </c>
      <c r="S7" s="1069">
        <v>439</v>
      </c>
      <c r="T7" s="1070">
        <v>439</v>
      </c>
      <c r="U7" s="1071">
        <v>439</v>
      </c>
      <c r="V7" s="1080">
        <v>0</v>
      </c>
      <c r="W7" s="1081">
        <v>0</v>
      </c>
      <c r="X7" s="1081">
        <v>0</v>
      </c>
      <c r="Y7" s="1078">
        <v>0</v>
      </c>
      <c r="Z7" s="1088">
        <v>439</v>
      </c>
      <c r="AA7" s="1088">
        <v>300</v>
      </c>
      <c r="AB7" s="60">
        <v>0</v>
      </c>
      <c r="AC7" s="60">
        <v>0</v>
      </c>
      <c r="AD7" s="1089">
        <v>0</v>
      </c>
      <c r="AE7" s="60">
        <v>0</v>
      </c>
    </row>
    <row r="8" spans="1:31">
      <c r="A8" s="58" t="s">
        <v>248</v>
      </c>
      <c r="B8" s="1072">
        <v>446</v>
      </c>
      <c r="C8" s="1069">
        <v>446</v>
      </c>
      <c r="D8" s="1070">
        <v>368</v>
      </c>
      <c r="E8" s="1071">
        <v>446</v>
      </c>
      <c r="F8" s="1080">
        <v>446</v>
      </c>
      <c r="G8" s="1081">
        <v>0</v>
      </c>
      <c r="H8" s="1081">
        <v>0</v>
      </c>
      <c r="I8" s="1078">
        <v>446</v>
      </c>
      <c r="J8" s="1078">
        <v>446</v>
      </c>
      <c r="K8" s="1078">
        <v>100</v>
      </c>
      <c r="L8" s="60">
        <v>0</v>
      </c>
      <c r="M8" s="60">
        <v>0</v>
      </c>
      <c r="N8" s="60">
        <v>0</v>
      </c>
      <c r="O8" s="60">
        <v>0</v>
      </c>
      <c r="Q8" s="58" t="s">
        <v>555</v>
      </c>
      <c r="R8" s="1072">
        <v>1414</v>
      </c>
      <c r="S8" s="1069">
        <v>1200</v>
      </c>
      <c r="T8" s="1070">
        <v>0</v>
      </c>
      <c r="U8" s="1071">
        <v>0</v>
      </c>
      <c r="V8" s="1080">
        <v>0</v>
      </c>
      <c r="W8" s="1081">
        <v>0</v>
      </c>
      <c r="X8" s="1081">
        <v>0</v>
      </c>
      <c r="Y8" s="1078">
        <v>0</v>
      </c>
      <c r="Z8" s="1088">
        <v>0</v>
      </c>
      <c r="AA8" s="1088">
        <v>0</v>
      </c>
      <c r="AB8" s="60">
        <v>0</v>
      </c>
      <c r="AC8" s="60">
        <v>0</v>
      </c>
      <c r="AD8" s="1089">
        <v>0</v>
      </c>
      <c r="AE8" s="60">
        <v>0</v>
      </c>
    </row>
    <row r="9" spans="1:31">
      <c r="A9" s="58" t="s">
        <v>249</v>
      </c>
      <c r="B9" s="1072">
        <v>70</v>
      </c>
      <c r="C9" s="1069">
        <v>70</v>
      </c>
      <c r="D9" s="1070">
        <v>60</v>
      </c>
      <c r="E9" s="1071">
        <v>70</v>
      </c>
      <c r="F9" s="1080">
        <v>35</v>
      </c>
      <c r="G9" s="1081">
        <v>0</v>
      </c>
      <c r="H9" s="1081">
        <v>0</v>
      </c>
      <c r="I9" s="1078">
        <v>70</v>
      </c>
      <c r="J9" s="1078">
        <v>70</v>
      </c>
      <c r="K9" s="1078">
        <v>70</v>
      </c>
      <c r="L9" s="60">
        <v>0</v>
      </c>
      <c r="M9" s="60">
        <v>0</v>
      </c>
      <c r="N9" s="60">
        <v>0</v>
      </c>
      <c r="O9" s="60">
        <v>0</v>
      </c>
      <c r="Q9" s="58" t="s">
        <v>1721</v>
      </c>
      <c r="R9" s="1072">
        <v>130</v>
      </c>
      <c r="S9" s="1069">
        <v>130</v>
      </c>
      <c r="T9" s="1070">
        <v>130</v>
      </c>
      <c r="U9" s="1071">
        <v>130</v>
      </c>
      <c r="V9" s="1080">
        <v>0</v>
      </c>
      <c r="W9" s="1081">
        <v>0</v>
      </c>
      <c r="X9" s="1081">
        <v>0</v>
      </c>
      <c r="Y9" s="1078">
        <v>0</v>
      </c>
      <c r="Z9" s="1088">
        <v>130</v>
      </c>
      <c r="AA9" s="1088">
        <v>130</v>
      </c>
      <c r="AB9" s="60">
        <v>0</v>
      </c>
      <c r="AC9" s="60">
        <v>0</v>
      </c>
      <c r="AD9" s="1089">
        <v>0</v>
      </c>
      <c r="AE9" s="60">
        <v>0</v>
      </c>
    </row>
    <row r="10" spans="1:31">
      <c r="A10" s="58" t="s">
        <v>206</v>
      </c>
      <c r="B10" s="1072">
        <v>502</v>
      </c>
      <c r="C10" s="1069">
        <v>502</v>
      </c>
      <c r="D10" s="1070">
        <v>502</v>
      </c>
      <c r="E10" s="1071">
        <v>0</v>
      </c>
      <c r="F10" s="1080">
        <v>0</v>
      </c>
      <c r="G10" s="1081">
        <v>0</v>
      </c>
      <c r="H10" s="1081">
        <v>0</v>
      </c>
      <c r="I10" s="1078">
        <v>0</v>
      </c>
      <c r="J10" s="1078">
        <v>0</v>
      </c>
      <c r="K10" s="1078">
        <v>502</v>
      </c>
      <c r="L10" s="60">
        <v>0</v>
      </c>
      <c r="M10" s="60">
        <v>0</v>
      </c>
      <c r="N10" s="60">
        <v>0</v>
      </c>
      <c r="O10" s="60">
        <v>0</v>
      </c>
      <c r="Q10" s="58" t="s">
        <v>541</v>
      </c>
      <c r="R10" s="1072">
        <v>244</v>
      </c>
      <c r="S10" s="1069">
        <v>244</v>
      </c>
      <c r="T10" s="1070">
        <v>240</v>
      </c>
      <c r="U10" s="1071">
        <v>244</v>
      </c>
      <c r="V10" s="1080">
        <v>0</v>
      </c>
      <c r="W10" s="1081">
        <v>0</v>
      </c>
      <c r="X10" s="1081">
        <v>0</v>
      </c>
      <c r="Y10" s="1078">
        <v>0</v>
      </c>
      <c r="Z10" s="1088">
        <v>244</v>
      </c>
      <c r="AA10" s="1088">
        <v>244</v>
      </c>
      <c r="AB10" s="60">
        <v>0</v>
      </c>
      <c r="AC10" s="60">
        <v>0</v>
      </c>
      <c r="AD10" s="1089">
        <v>0</v>
      </c>
      <c r="AE10" s="60">
        <v>0</v>
      </c>
    </row>
    <row r="11" spans="1:31">
      <c r="A11" s="58" t="s">
        <v>196</v>
      </c>
      <c r="B11" s="1072">
        <v>222</v>
      </c>
      <c r="C11" s="1069">
        <v>222</v>
      </c>
      <c r="D11" s="1070">
        <v>40</v>
      </c>
      <c r="E11" s="1071">
        <v>0</v>
      </c>
      <c r="F11" s="1080">
        <v>0</v>
      </c>
      <c r="G11" s="1081">
        <v>0</v>
      </c>
      <c r="H11" s="1081">
        <v>0</v>
      </c>
      <c r="I11" s="1078">
        <v>0</v>
      </c>
      <c r="J11" s="1078">
        <v>0</v>
      </c>
      <c r="K11" s="1078">
        <v>0</v>
      </c>
      <c r="L11" s="60">
        <v>0</v>
      </c>
      <c r="M11" s="60">
        <v>0</v>
      </c>
      <c r="N11" s="60">
        <v>0</v>
      </c>
      <c r="O11" s="60">
        <v>0</v>
      </c>
      <c r="Q11" s="58" t="s">
        <v>546</v>
      </c>
      <c r="R11" s="1072">
        <v>180</v>
      </c>
      <c r="S11" s="1069">
        <v>180</v>
      </c>
      <c r="T11" s="1070">
        <v>180</v>
      </c>
      <c r="U11" s="1071">
        <v>180</v>
      </c>
      <c r="V11" s="1080">
        <v>0</v>
      </c>
      <c r="W11" s="1081">
        <v>0</v>
      </c>
      <c r="X11" s="1081">
        <v>0</v>
      </c>
      <c r="Y11" s="1078">
        <v>0</v>
      </c>
      <c r="Z11" s="1088">
        <v>180</v>
      </c>
      <c r="AA11" s="1088">
        <v>180</v>
      </c>
      <c r="AB11" s="60">
        <v>0</v>
      </c>
      <c r="AC11" s="60">
        <v>0</v>
      </c>
      <c r="AD11" s="1089">
        <v>0</v>
      </c>
      <c r="AE11" s="60">
        <v>0</v>
      </c>
    </row>
    <row r="12" spans="1:31">
      <c r="A12" s="58" t="s">
        <v>250</v>
      </c>
      <c r="B12" s="1072">
        <v>249</v>
      </c>
      <c r="C12" s="1069">
        <v>249</v>
      </c>
      <c r="D12" s="1070">
        <v>200</v>
      </c>
      <c r="E12" s="1071">
        <v>249</v>
      </c>
      <c r="F12" s="1080">
        <v>199.20000000000002</v>
      </c>
      <c r="G12" s="1081">
        <v>0</v>
      </c>
      <c r="H12" s="1081">
        <v>0</v>
      </c>
      <c r="I12" s="1078">
        <v>249</v>
      </c>
      <c r="J12" s="1078">
        <v>249</v>
      </c>
      <c r="K12" s="1078">
        <v>200</v>
      </c>
      <c r="L12" s="60">
        <v>0</v>
      </c>
      <c r="M12" s="60">
        <v>0</v>
      </c>
      <c r="N12" s="60">
        <v>0</v>
      </c>
      <c r="O12" s="60">
        <v>0</v>
      </c>
      <c r="Q12" s="58" t="s">
        <v>543</v>
      </c>
      <c r="R12" s="1072">
        <v>270</v>
      </c>
      <c r="S12" s="1069">
        <v>270</v>
      </c>
      <c r="T12" s="1070">
        <v>270</v>
      </c>
      <c r="U12" s="1071">
        <v>270</v>
      </c>
      <c r="V12" s="1080">
        <v>0</v>
      </c>
      <c r="W12" s="1081">
        <v>0</v>
      </c>
      <c r="X12" s="1081">
        <v>0</v>
      </c>
      <c r="Y12" s="1078">
        <v>0</v>
      </c>
      <c r="Z12" s="1088">
        <v>270</v>
      </c>
      <c r="AA12" s="1088">
        <v>270</v>
      </c>
      <c r="AB12" s="60">
        <v>0</v>
      </c>
      <c r="AC12" s="60">
        <v>0</v>
      </c>
      <c r="AD12" s="1089">
        <v>0</v>
      </c>
      <c r="AE12" s="60">
        <v>0</v>
      </c>
    </row>
    <row r="13" spans="1:31">
      <c r="A13" s="58" t="s">
        <v>236</v>
      </c>
      <c r="B13" s="1072">
        <v>258</v>
      </c>
      <c r="C13" s="1069">
        <v>258</v>
      </c>
      <c r="D13" s="1070">
        <v>258</v>
      </c>
      <c r="E13" s="1071">
        <v>258</v>
      </c>
      <c r="F13" s="1080">
        <v>0</v>
      </c>
      <c r="G13" s="1081">
        <v>0</v>
      </c>
      <c r="H13" s="1081">
        <v>0</v>
      </c>
      <c r="I13" s="1078">
        <v>0</v>
      </c>
      <c r="J13" s="1078">
        <v>258</v>
      </c>
      <c r="K13" s="1078">
        <v>200</v>
      </c>
      <c r="L13" s="60">
        <v>0</v>
      </c>
      <c r="M13" s="60">
        <v>0</v>
      </c>
      <c r="N13" s="60">
        <v>0</v>
      </c>
      <c r="O13" s="60">
        <v>0</v>
      </c>
      <c r="Q13" s="58" t="s">
        <v>544</v>
      </c>
      <c r="R13" s="1072">
        <v>127</v>
      </c>
      <c r="S13" s="1069">
        <v>127</v>
      </c>
      <c r="T13" s="1070">
        <v>127</v>
      </c>
      <c r="U13" s="1071">
        <v>127</v>
      </c>
      <c r="V13" s="1080">
        <v>0</v>
      </c>
      <c r="W13" s="1081">
        <v>0</v>
      </c>
      <c r="X13" s="1081">
        <v>0</v>
      </c>
      <c r="Y13" s="1078">
        <v>0</v>
      </c>
      <c r="Z13" s="1088">
        <v>127</v>
      </c>
      <c r="AA13" s="1088">
        <v>127</v>
      </c>
      <c r="AB13" s="60">
        <v>0</v>
      </c>
      <c r="AC13" s="60">
        <v>0</v>
      </c>
      <c r="AD13" s="1089">
        <v>0</v>
      </c>
      <c r="AE13" s="60">
        <v>0</v>
      </c>
    </row>
    <row r="14" spans="1:31">
      <c r="A14" s="58" t="s">
        <v>1485</v>
      </c>
      <c r="B14" s="1072">
        <v>1900</v>
      </c>
      <c r="C14" s="1069">
        <v>1900</v>
      </c>
      <c r="D14" s="1070">
        <v>1900</v>
      </c>
      <c r="E14" s="1071">
        <v>1900</v>
      </c>
      <c r="F14" s="1080">
        <v>0</v>
      </c>
      <c r="G14" s="1081">
        <v>1900</v>
      </c>
      <c r="H14" s="1081">
        <v>100</v>
      </c>
      <c r="I14" s="1078">
        <v>0</v>
      </c>
      <c r="J14" s="1078">
        <v>1900</v>
      </c>
      <c r="K14" s="1078">
        <v>300</v>
      </c>
      <c r="L14" s="60">
        <v>1900</v>
      </c>
      <c r="M14" s="60">
        <v>0</v>
      </c>
      <c r="N14" s="60">
        <v>0</v>
      </c>
      <c r="O14" s="60">
        <v>100</v>
      </c>
      <c r="Q14" s="58" t="s">
        <v>1611</v>
      </c>
      <c r="R14" s="1072">
        <v>502</v>
      </c>
      <c r="S14" s="1069">
        <v>502</v>
      </c>
      <c r="T14" s="1070">
        <v>502</v>
      </c>
      <c r="U14" s="1071">
        <v>500</v>
      </c>
      <c r="V14" s="1080">
        <v>0</v>
      </c>
      <c r="W14" s="1081">
        <v>502</v>
      </c>
      <c r="X14" s="1081">
        <v>0</v>
      </c>
      <c r="Y14" s="1078">
        <v>0</v>
      </c>
      <c r="Z14" s="1088">
        <v>500</v>
      </c>
      <c r="AA14" s="1088">
        <v>200</v>
      </c>
      <c r="AB14" s="60">
        <v>502</v>
      </c>
      <c r="AC14" s="60">
        <v>0</v>
      </c>
      <c r="AD14" s="1089">
        <v>0</v>
      </c>
      <c r="AE14" s="60">
        <v>0</v>
      </c>
    </row>
    <row r="15" spans="1:31">
      <c r="A15" s="58" t="s">
        <v>245</v>
      </c>
      <c r="B15" s="1072">
        <v>704</v>
      </c>
      <c r="C15" s="1069">
        <v>704</v>
      </c>
      <c r="D15" s="1070">
        <v>280</v>
      </c>
      <c r="E15" s="1071">
        <v>500</v>
      </c>
      <c r="F15" s="1080">
        <v>633.6</v>
      </c>
      <c r="G15" s="1081">
        <v>0</v>
      </c>
      <c r="H15" s="1081">
        <v>25</v>
      </c>
      <c r="I15" s="1078">
        <v>20</v>
      </c>
      <c r="J15" s="1078">
        <v>500</v>
      </c>
      <c r="K15" s="1078">
        <v>200</v>
      </c>
      <c r="L15" s="60">
        <v>0</v>
      </c>
      <c r="M15" s="60">
        <v>0</v>
      </c>
      <c r="N15" s="60">
        <v>0</v>
      </c>
      <c r="O15" s="60">
        <v>25</v>
      </c>
      <c r="Q15" s="58" t="s">
        <v>557</v>
      </c>
      <c r="R15" s="1072">
        <v>120</v>
      </c>
      <c r="S15" s="1069">
        <v>0</v>
      </c>
      <c r="T15" s="1070">
        <v>0</v>
      </c>
      <c r="U15" s="1071">
        <v>45</v>
      </c>
      <c r="V15" s="1080">
        <v>0</v>
      </c>
      <c r="W15" s="1081">
        <v>0</v>
      </c>
      <c r="X15" s="1081">
        <v>0</v>
      </c>
      <c r="Y15" s="1078">
        <v>45</v>
      </c>
      <c r="Z15" s="1088">
        <v>0</v>
      </c>
      <c r="AA15" s="1088">
        <v>0</v>
      </c>
      <c r="AB15" s="60">
        <v>0</v>
      </c>
      <c r="AC15" s="60">
        <v>0</v>
      </c>
      <c r="AD15" s="1089">
        <v>0</v>
      </c>
      <c r="AE15" s="60">
        <v>0</v>
      </c>
    </row>
    <row r="16" spans="1:31">
      <c r="A16" s="58" t="s">
        <v>252</v>
      </c>
      <c r="B16" s="1072">
        <v>451</v>
      </c>
      <c r="C16" s="1069">
        <v>451</v>
      </c>
      <c r="D16" s="1070">
        <v>443</v>
      </c>
      <c r="E16" s="1071">
        <v>451</v>
      </c>
      <c r="F16" s="1080">
        <v>225.5</v>
      </c>
      <c r="G16" s="1081">
        <v>451</v>
      </c>
      <c r="H16" s="1081">
        <v>451</v>
      </c>
      <c r="I16" s="1078">
        <v>451</v>
      </c>
      <c r="J16" s="1078">
        <v>451</v>
      </c>
      <c r="K16" s="1078">
        <v>400</v>
      </c>
      <c r="L16" s="60">
        <v>451</v>
      </c>
      <c r="M16" s="60">
        <v>451</v>
      </c>
      <c r="N16" s="60">
        <v>0</v>
      </c>
      <c r="O16" s="60">
        <v>0</v>
      </c>
      <c r="Q16" s="58" t="s">
        <v>554</v>
      </c>
      <c r="R16" s="1072">
        <v>104</v>
      </c>
      <c r="S16" s="1069">
        <v>104</v>
      </c>
      <c r="T16" s="1070">
        <v>80</v>
      </c>
      <c r="U16" s="1071">
        <v>0</v>
      </c>
      <c r="V16" s="1080">
        <v>0</v>
      </c>
      <c r="W16" s="1081">
        <v>0</v>
      </c>
      <c r="X16" s="1081">
        <v>0</v>
      </c>
      <c r="Y16" s="1078">
        <v>0</v>
      </c>
      <c r="Z16" s="1088">
        <v>0</v>
      </c>
      <c r="AA16" s="1088">
        <v>104</v>
      </c>
      <c r="AB16" s="60">
        <v>0</v>
      </c>
      <c r="AC16" s="60">
        <v>0</v>
      </c>
      <c r="AD16" s="1089">
        <v>0</v>
      </c>
      <c r="AE16" s="60">
        <v>0</v>
      </c>
    </row>
    <row r="17" spans="1:31">
      <c r="A17" s="58" t="s">
        <v>232</v>
      </c>
      <c r="B17" s="1072">
        <v>404</v>
      </c>
      <c r="C17" s="1069">
        <v>404</v>
      </c>
      <c r="D17" s="1070">
        <v>400</v>
      </c>
      <c r="E17" s="1071">
        <v>404</v>
      </c>
      <c r="F17" s="1080">
        <v>0</v>
      </c>
      <c r="G17" s="1081">
        <v>0</v>
      </c>
      <c r="H17" s="1081">
        <v>0</v>
      </c>
      <c r="I17" s="1078">
        <v>0</v>
      </c>
      <c r="J17" s="1078">
        <v>404</v>
      </c>
      <c r="K17" s="1078">
        <v>0</v>
      </c>
      <c r="L17" s="60">
        <v>0</v>
      </c>
      <c r="M17" s="60">
        <v>0</v>
      </c>
      <c r="N17" s="60">
        <v>0</v>
      </c>
      <c r="O17" s="60">
        <v>0</v>
      </c>
      <c r="Q17" s="58" t="s">
        <v>548</v>
      </c>
      <c r="R17" s="1072">
        <v>125</v>
      </c>
      <c r="S17" s="1069">
        <v>125</v>
      </c>
      <c r="T17" s="1070">
        <v>125</v>
      </c>
      <c r="U17" s="1071">
        <v>125</v>
      </c>
      <c r="V17" s="1080">
        <v>0</v>
      </c>
      <c r="W17" s="1081">
        <v>0</v>
      </c>
      <c r="X17" s="1081">
        <v>0</v>
      </c>
      <c r="Y17" s="1078">
        <v>0</v>
      </c>
      <c r="Z17" s="1088">
        <v>125</v>
      </c>
      <c r="AA17" s="1088">
        <v>125</v>
      </c>
      <c r="AB17" s="60">
        <v>0</v>
      </c>
      <c r="AC17" s="60">
        <v>0</v>
      </c>
      <c r="AD17" s="1089">
        <v>0</v>
      </c>
      <c r="AE17" s="60">
        <v>0</v>
      </c>
    </row>
    <row r="18" spans="1:31">
      <c r="A18" s="58" t="s">
        <v>768</v>
      </c>
      <c r="B18" s="1072">
        <v>381</v>
      </c>
      <c r="C18" s="1069">
        <v>381</v>
      </c>
      <c r="D18" s="1070">
        <v>164</v>
      </c>
      <c r="E18" s="1071">
        <v>381</v>
      </c>
      <c r="F18" s="1080">
        <v>0</v>
      </c>
      <c r="G18" s="1081">
        <v>0</v>
      </c>
      <c r="H18" s="1081">
        <v>0</v>
      </c>
      <c r="I18" s="1078">
        <v>0</v>
      </c>
      <c r="J18" s="1078">
        <v>381</v>
      </c>
      <c r="K18" s="1078">
        <v>300</v>
      </c>
      <c r="L18" s="60">
        <v>0</v>
      </c>
      <c r="M18" s="60">
        <v>0</v>
      </c>
      <c r="N18" s="60">
        <v>0</v>
      </c>
      <c r="O18" s="60">
        <v>0</v>
      </c>
      <c r="Q18" s="58" t="s">
        <v>523</v>
      </c>
      <c r="R18" s="1072">
        <v>157</v>
      </c>
      <c r="S18" s="1069">
        <v>157</v>
      </c>
      <c r="T18" s="1070">
        <v>157</v>
      </c>
      <c r="U18" s="1071">
        <v>157</v>
      </c>
      <c r="V18" s="1080">
        <v>0</v>
      </c>
      <c r="W18" s="1081">
        <v>0</v>
      </c>
      <c r="X18" s="1081">
        <v>0</v>
      </c>
      <c r="Y18" s="1078">
        <v>0</v>
      </c>
      <c r="Z18" s="1088">
        <v>157</v>
      </c>
      <c r="AA18" s="1088">
        <v>157</v>
      </c>
      <c r="AB18" s="60">
        <v>0</v>
      </c>
      <c r="AC18" s="60">
        <v>0</v>
      </c>
      <c r="AD18" s="1089">
        <v>0</v>
      </c>
      <c r="AE18" s="60">
        <v>0</v>
      </c>
    </row>
    <row r="19" spans="1:31">
      <c r="A19" s="58" t="s">
        <v>268</v>
      </c>
      <c r="B19" s="1072">
        <v>298</v>
      </c>
      <c r="C19" s="1069">
        <v>0</v>
      </c>
      <c r="D19" s="1070">
        <v>40</v>
      </c>
      <c r="E19" s="1071">
        <v>298</v>
      </c>
      <c r="F19" s="1080">
        <v>298</v>
      </c>
      <c r="G19" s="1081">
        <v>0</v>
      </c>
      <c r="H19" s="1081">
        <v>0</v>
      </c>
      <c r="I19" s="1078">
        <v>0</v>
      </c>
      <c r="J19" s="1078">
        <v>298</v>
      </c>
      <c r="K19" s="1078">
        <v>200</v>
      </c>
      <c r="L19" s="60">
        <v>0</v>
      </c>
      <c r="M19" s="60">
        <v>0</v>
      </c>
      <c r="N19" s="60">
        <v>0</v>
      </c>
      <c r="O19" s="60">
        <v>0</v>
      </c>
      <c r="Q19" s="58" t="s">
        <v>1612</v>
      </c>
      <c r="R19" s="1072">
        <v>251</v>
      </c>
      <c r="S19" s="1069">
        <v>251</v>
      </c>
      <c r="T19" s="1070">
        <v>251</v>
      </c>
      <c r="U19" s="1071">
        <v>251</v>
      </c>
      <c r="V19" s="1080">
        <v>0</v>
      </c>
      <c r="W19" s="1081">
        <v>0</v>
      </c>
      <c r="X19" s="1081">
        <v>0</v>
      </c>
      <c r="Y19" s="1078">
        <v>0</v>
      </c>
      <c r="Z19" s="1088">
        <v>251</v>
      </c>
      <c r="AA19" s="1088">
        <v>251</v>
      </c>
      <c r="AB19" s="60">
        <v>0</v>
      </c>
      <c r="AC19" s="60">
        <v>0</v>
      </c>
      <c r="AD19" s="1089">
        <v>0</v>
      </c>
      <c r="AE19" s="60">
        <v>0</v>
      </c>
    </row>
    <row r="20" spans="1:31">
      <c r="A20" s="58" t="s">
        <v>175</v>
      </c>
      <c r="B20" s="1072">
        <v>896</v>
      </c>
      <c r="C20" s="1069">
        <v>66.666666666666671</v>
      </c>
      <c r="D20" s="1070">
        <v>896</v>
      </c>
      <c r="E20" s="1071">
        <v>896</v>
      </c>
      <c r="F20" s="1080">
        <v>0</v>
      </c>
      <c r="G20" s="1081">
        <v>0</v>
      </c>
      <c r="H20" s="1081">
        <v>0</v>
      </c>
      <c r="I20" s="1078">
        <v>0</v>
      </c>
      <c r="J20" s="1078">
        <v>896</v>
      </c>
      <c r="K20" s="1078">
        <v>800</v>
      </c>
      <c r="L20" s="60">
        <v>0</v>
      </c>
      <c r="M20" s="60">
        <v>0</v>
      </c>
      <c r="N20" s="60">
        <v>0</v>
      </c>
      <c r="O20" s="60">
        <v>0</v>
      </c>
      <c r="Q20" s="58" t="s">
        <v>545</v>
      </c>
      <c r="R20" s="1072">
        <v>176</v>
      </c>
      <c r="S20" s="1069">
        <v>176</v>
      </c>
      <c r="T20" s="1070">
        <v>176</v>
      </c>
      <c r="U20" s="1071">
        <v>176</v>
      </c>
      <c r="V20" s="1080">
        <v>0</v>
      </c>
      <c r="W20" s="1081">
        <v>0</v>
      </c>
      <c r="X20" s="1081">
        <v>0</v>
      </c>
      <c r="Y20" s="1078">
        <v>0</v>
      </c>
      <c r="Z20" s="1088">
        <v>176</v>
      </c>
      <c r="AA20" s="1088">
        <v>176</v>
      </c>
      <c r="AB20" s="60">
        <v>0</v>
      </c>
      <c r="AC20" s="60">
        <v>0</v>
      </c>
      <c r="AD20" s="1089">
        <v>0</v>
      </c>
      <c r="AE20" s="60">
        <v>0</v>
      </c>
    </row>
    <row r="21" spans="1:31">
      <c r="A21" s="58" t="s">
        <v>149</v>
      </c>
      <c r="B21" s="1072">
        <v>126</v>
      </c>
      <c r="C21" s="1069">
        <v>126</v>
      </c>
      <c r="D21" s="1070">
        <v>80</v>
      </c>
      <c r="E21" s="1071">
        <v>126</v>
      </c>
      <c r="F21" s="1080">
        <v>0</v>
      </c>
      <c r="G21" s="1081">
        <v>0</v>
      </c>
      <c r="H21" s="1081">
        <v>0</v>
      </c>
      <c r="I21" s="1078">
        <v>0</v>
      </c>
      <c r="J21" s="1078">
        <v>126</v>
      </c>
      <c r="K21" s="1078">
        <v>100</v>
      </c>
      <c r="L21" s="60">
        <v>0</v>
      </c>
      <c r="M21" s="60">
        <v>0</v>
      </c>
      <c r="N21" s="60">
        <v>0</v>
      </c>
      <c r="O21" s="60">
        <v>0</v>
      </c>
      <c r="Q21" s="58" t="s">
        <v>527</v>
      </c>
      <c r="R21" s="1072">
        <v>396</v>
      </c>
      <c r="S21" s="1069">
        <v>396</v>
      </c>
      <c r="T21" s="1070">
        <v>396</v>
      </c>
      <c r="U21" s="1071">
        <v>396</v>
      </c>
      <c r="V21" s="1080">
        <v>0</v>
      </c>
      <c r="W21" s="1081">
        <v>0</v>
      </c>
      <c r="X21" s="1081">
        <v>0</v>
      </c>
      <c r="Y21" s="1078">
        <v>0</v>
      </c>
      <c r="Z21" s="1088">
        <v>396</v>
      </c>
      <c r="AA21" s="1088">
        <v>396</v>
      </c>
      <c r="AB21" s="60">
        <v>0</v>
      </c>
      <c r="AC21" s="60">
        <v>0</v>
      </c>
      <c r="AD21" s="1089">
        <v>0</v>
      </c>
      <c r="AE21" s="60">
        <v>0</v>
      </c>
    </row>
    <row r="22" spans="1:31">
      <c r="A22" s="58" t="s">
        <v>254</v>
      </c>
      <c r="B22" s="1072">
        <v>471</v>
      </c>
      <c r="C22" s="1069">
        <v>471</v>
      </c>
      <c r="D22" s="1070">
        <v>280</v>
      </c>
      <c r="E22" s="1071">
        <v>471</v>
      </c>
      <c r="F22" s="1080">
        <v>471</v>
      </c>
      <c r="G22" s="1081">
        <v>0</v>
      </c>
      <c r="H22" s="1081">
        <v>0</v>
      </c>
      <c r="I22" s="1078">
        <v>471</v>
      </c>
      <c r="J22" s="1078">
        <v>471</v>
      </c>
      <c r="K22" s="1078">
        <v>300</v>
      </c>
      <c r="L22" s="60">
        <v>0</v>
      </c>
      <c r="M22" s="60">
        <v>0</v>
      </c>
      <c r="N22" s="60">
        <v>0</v>
      </c>
      <c r="O22" s="60">
        <v>0</v>
      </c>
      <c r="Q22" s="58" t="s">
        <v>562</v>
      </c>
      <c r="R22" s="1072">
        <v>323</v>
      </c>
      <c r="S22" s="1069">
        <v>323</v>
      </c>
      <c r="T22" s="1070">
        <v>200</v>
      </c>
      <c r="U22" s="1071">
        <v>0</v>
      </c>
      <c r="V22" s="1080">
        <v>0</v>
      </c>
      <c r="W22" s="1081">
        <v>0</v>
      </c>
      <c r="X22" s="1081">
        <v>0</v>
      </c>
      <c r="Y22" s="1078">
        <v>0</v>
      </c>
      <c r="Z22" s="1088">
        <v>0</v>
      </c>
      <c r="AA22" s="1088">
        <v>323</v>
      </c>
      <c r="AB22" s="60">
        <v>0</v>
      </c>
      <c r="AC22" s="60">
        <v>0</v>
      </c>
      <c r="AD22" s="1089">
        <v>0</v>
      </c>
      <c r="AE22" s="60">
        <v>0</v>
      </c>
    </row>
    <row r="23" spans="1:31">
      <c r="A23" s="58" t="s">
        <v>147</v>
      </c>
      <c r="B23" s="1072">
        <v>1089</v>
      </c>
      <c r="C23" s="1069">
        <v>133.33333333333334</v>
      </c>
      <c r="D23" s="1070">
        <v>1089</v>
      </c>
      <c r="E23" s="1071">
        <v>500</v>
      </c>
      <c r="F23" s="1080">
        <v>0</v>
      </c>
      <c r="G23" s="1081">
        <v>0</v>
      </c>
      <c r="H23" s="1081">
        <v>0</v>
      </c>
      <c r="I23" s="1078">
        <v>0</v>
      </c>
      <c r="J23" s="1078">
        <v>500</v>
      </c>
      <c r="K23" s="1078">
        <v>800</v>
      </c>
      <c r="L23" s="60">
        <v>0</v>
      </c>
      <c r="M23" s="60">
        <v>0</v>
      </c>
      <c r="N23" s="60">
        <v>0</v>
      </c>
      <c r="O23" s="60">
        <v>0</v>
      </c>
      <c r="Q23" s="58" t="s">
        <v>551</v>
      </c>
      <c r="R23" s="1072">
        <v>31</v>
      </c>
      <c r="S23" s="1069">
        <v>31</v>
      </c>
      <c r="T23" s="1070">
        <v>31</v>
      </c>
      <c r="U23" s="1071">
        <v>31</v>
      </c>
      <c r="V23" s="1080">
        <v>0</v>
      </c>
      <c r="W23" s="1081">
        <v>0</v>
      </c>
      <c r="X23" s="1081">
        <v>0</v>
      </c>
      <c r="Y23" s="1078">
        <v>0</v>
      </c>
      <c r="Z23" s="1088">
        <v>31</v>
      </c>
      <c r="AA23" s="1088">
        <v>31</v>
      </c>
      <c r="AB23" s="60">
        <v>0</v>
      </c>
      <c r="AC23" s="60">
        <v>0</v>
      </c>
      <c r="AD23" s="1089">
        <v>0</v>
      </c>
      <c r="AE23" s="60">
        <v>0</v>
      </c>
    </row>
    <row r="24" spans="1:31">
      <c r="A24" s="58" t="s">
        <v>217</v>
      </c>
      <c r="B24" s="1072">
        <v>3545</v>
      </c>
      <c r="C24" s="1069">
        <v>1933.3333333333335</v>
      </c>
      <c r="D24" s="1070">
        <v>3545</v>
      </c>
      <c r="E24" s="1071">
        <v>0</v>
      </c>
      <c r="F24" s="1080">
        <v>0</v>
      </c>
      <c r="G24" s="1081">
        <v>1500</v>
      </c>
      <c r="H24" s="1081">
        <v>200</v>
      </c>
      <c r="I24" s="1078">
        <v>0</v>
      </c>
      <c r="J24" s="1078">
        <v>0</v>
      </c>
      <c r="K24" s="1078">
        <v>100</v>
      </c>
      <c r="L24" s="60">
        <v>1500</v>
      </c>
      <c r="M24" s="60">
        <v>0</v>
      </c>
      <c r="N24" s="60">
        <v>0</v>
      </c>
      <c r="O24" s="60">
        <v>200</v>
      </c>
      <c r="Q24" s="58" t="s">
        <v>517</v>
      </c>
      <c r="R24" s="1072">
        <v>213</v>
      </c>
      <c r="S24" s="1069">
        <v>213</v>
      </c>
      <c r="T24" s="1070">
        <v>213</v>
      </c>
      <c r="U24" s="1071">
        <v>213</v>
      </c>
      <c r="V24" s="1080">
        <v>0</v>
      </c>
      <c r="W24" s="1081">
        <v>0</v>
      </c>
      <c r="X24" s="1081">
        <v>0</v>
      </c>
      <c r="Y24" s="1078">
        <v>0</v>
      </c>
      <c r="Z24" s="1088">
        <v>213</v>
      </c>
      <c r="AA24" s="1088">
        <v>213</v>
      </c>
      <c r="AB24" s="60">
        <v>0</v>
      </c>
      <c r="AC24" s="60">
        <v>0</v>
      </c>
      <c r="AD24" s="1089">
        <v>0</v>
      </c>
      <c r="AE24" s="60">
        <v>0</v>
      </c>
    </row>
    <row r="25" spans="1:31">
      <c r="A25" s="58" t="s">
        <v>2153</v>
      </c>
      <c r="B25" s="1072">
        <v>32</v>
      </c>
      <c r="C25" s="1069">
        <v>32</v>
      </c>
      <c r="D25" s="1070">
        <v>32</v>
      </c>
      <c r="E25" s="1071">
        <v>32</v>
      </c>
      <c r="F25" s="1080">
        <v>0</v>
      </c>
      <c r="G25" s="1081">
        <v>0</v>
      </c>
      <c r="H25" s="1081">
        <v>0</v>
      </c>
      <c r="I25" s="1078">
        <v>0</v>
      </c>
      <c r="J25" s="1078">
        <v>32</v>
      </c>
      <c r="K25" s="1078">
        <v>32</v>
      </c>
      <c r="L25" s="60">
        <v>0</v>
      </c>
      <c r="M25" s="60">
        <v>0</v>
      </c>
      <c r="N25" s="60">
        <v>0</v>
      </c>
      <c r="O25" s="60">
        <v>0</v>
      </c>
      <c r="Q25" s="58" t="s">
        <v>531</v>
      </c>
      <c r="R25" s="1072">
        <v>250</v>
      </c>
      <c r="S25" s="1069">
        <v>250</v>
      </c>
      <c r="T25" s="1070">
        <v>250</v>
      </c>
      <c r="U25" s="1071">
        <v>250</v>
      </c>
      <c r="V25" s="1080">
        <v>0</v>
      </c>
      <c r="W25" s="1081">
        <v>0</v>
      </c>
      <c r="X25" s="1081">
        <v>0</v>
      </c>
      <c r="Y25" s="1078">
        <v>0</v>
      </c>
      <c r="Z25" s="1088">
        <v>250</v>
      </c>
      <c r="AA25" s="1088">
        <v>250</v>
      </c>
      <c r="AB25" s="60">
        <v>0</v>
      </c>
      <c r="AC25" s="60">
        <v>0</v>
      </c>
      <c r="AD25" s="1089">
        <v>0</v>
      </c>
      <c r="AE25" s="60">
        <v>0</v>
      </c>
    </row>
    <row r="26" spans="1:31">
      <c r="A26" s="58" t="s">
        <v>198</v>
      </c>
      <c r="B26" s="1072">
        <v>226</v>
      </c>
      <c r="C26" s="1069">
        <v>226</v>
      </c>
      <c r="D26" s="1070">
        <v>220</v>
      </c>
      <c r="E26" s="1071">
        <v>200</v>
      </c>
      <c r="F26" s="1080">
        <v>0</v>
      </c>
      <c r="G26" s="1081">
        <v>0</v>
      </c>
      <c r="H26" s="1081">
        <v>0</v>
      </c>
      <c r="I26" s="1078">
        <v>200</v>
      </c>
      <c r="J26" s="1078">
        <v>0</v>
      </c>
      <c r="K26" s="1078">
        <v>0</v>
      </c>
      <c r="L26" s="60">
        <v>0</v>
      </c>
      <c r="M26" s="60">
        <v>0</v>
      </c>
      <c r="N26" s="60">
        <v>0</v>
      </c>
      <c r="O26" s="60">
        <v>0</v>
      </c>
      <c r="Q26" s="58" t="s">
        <v>1613</v>
      </c>
      <c r="R26" s="1072">
        <v>158</v>
      </c>
      <c r="S26" s="1069">
        <v>158</v>
      </c>
      <c r="T26" s="1070">
        <v>158</v>
      </c>
      <c r="U26" s="1071">
        <v>158</v>
      </c>
      <c r="V26" s="1080">
        <v>0</v>
      </c>
      <c r="W26" s="1081">
        <v>0</v>
      </c>
      <c r="X26" s="1081">
        <v>0</v>
      </c>
      <c r="Y26" s="1078">
        <v>0</v>
      </c>
      <c r="Z26" s="1088">
        <v>158</v>
      </c>
      <c r="AA26" s="1088">
        <v>158</v>
      </c>
      <c r="AB26" s="60">
        <v>0</v>
      </c>
      <c r="AC26" s="60">
        <v>0</v>
      </c>
      <c r="AD26" s="1089">
        <v>0</v>
      </c>
      <c r="AE26" s="60">
        <v>0</v>
      </c>
    </row>
    <row r="27" spans="1:31">
      <c r="A27" s="58" t="s">
        <v>224</v>
      </c>
      <c r="B27" s="1072">
        <v>2322</v>
      </c>
      <c r="C27" s="1069">
        <v>533.33333333333337</v>
      </c>
      <c r="D27" s="1070">
        <v>2200</v>
      </c>
      <c r="E27" s="1071">
        <v>0</v>
      </c>
      <c r="F27" s="1080">
        <v>0</v>
      </c>
      <c r="G27" s="1081">
        <v>2322</v>
      </c>
      <c r="H27" s="1081">
        <v>0</v>
      </c>
      <c r="I27" s="1078">
        <v>0</v>
      </c>
      <c r="J27" s="1078">
        <v>0</v>
      </c>
      <c r="K27" s="1078">
        <v>1000</v>
      </c>
      <c r="L27" s="60">
        <v>2322</v>
      </c>
      <c r="M27" s="60">
        <v>0</v>
      </c>
      <c r="N27" s="60">
        <v>0</v>
      </c>
      <c r="O27" s="60">
        <v>0</v>
      </c>
      <c r="Q27" s="58" t="s">
        <v>535</v>
      </c>
      <c r="R27" s="1072">
        <v>206</v>
      </c>
      <c r="S27" s="1069">
        <v>206</v>
      </c>
      <c r="T27" s="1070">
        <v>206</v>
      </c>
      <c r="U27" s="1071">
        <v>206</v>
      </c>
      <c r="V27" s="1080">
        <v>0</v>
      </c>
      <c r="W27" s="1081">
        <v>0</v>
      </c>
      <c r="X27" s="1081">
        <v>0</v>
      </c>
      <c r="Y27" s="1078">
        <v>0</v>
      </c>
      <c r="Z27" s="1088">
        <v>206</v>
      </c>
      <c r="AA27" s="1088">
        <v>0</v>
      </c>
      <c r="AB27" s="60">
        <v>0</v>
      </c>
      <c r="AC27" s="60">
        <v>0</v>
      </c>
      <c r="AD27" s="1089">
        <v>0</v>
      </c>
      <c r="AE27" s="60">
        <v>0</v>
      </c>
    </row>
    <row r="28" spans="1:31">
      <c r="A28" s="58" t="s">
        <v>161</v>
      </c>
      <c r="B28" s="1072">
        <v>742</v>
      </c>
      <c r="C28" s="1069">
        <v>742</v>
      </c>
      <c r="D28" s="1070">
        <v>742</v>
      </c>
      <c r="E28" s="1071">
        <v>742</v>
      </c>
      <c r="F28" s="1080">
        <v>0</v>
      </c>
      <c r="G28" s="1081">
        <v>0</v>
      </c>
      <c r="H28" s="1081">
        <v>0</v>
      </c>
      <c r="I28" s="1078">
        <v>0</v>
      </c>
      <c r="J28" s="1078">
        <v>742</v>
      </c>
      <c r="K28" s="1078">
        <v>700</v>
      </c>
      <c r="L28" s="60">
        <v>0</v>
      </c>
      <c r="M28" s="60">
        <v>0</v>
      </c>
      <c r="N28" s="60">
        <v>0</v>
      </c>
      <c r="O28" s="60">
        <v>0</v>
      </c>
      <c r="Q28" s="58" t="s">
        <v>547</v>
      </c>
      <c r="R28" s="1072">
        <v>141</v>
      </c>
      <c r="S28" s="1069">
        <v>141</v>
      </c>
      <c r="T28" s="1070">
        <v>141</v>
      </c>
      <c r="U28" s="1071">
        <v>141</v>
      </c>
      <c r="V28" s="1080">
        <v>0</v>
      </c>
      <c r="W28" s="1081">
        <v>0</v>
      </c>
      <c r="X28" s="1081">
        <v>0</v>
      </c>
      <c r="Y28" s="1078">
        <v>0</v>
      </c>
      <c r="Z28" s="1088">
        <v>141</v>
      </c>
      <c r="AA28" s="1088">
        <v>141</v>
      </c>
      <c r="AB28" s="60">
        <v>0</v>
      </c>
      <c r="AC28" s="60">
        <v>0</v>
      </c>
      <c r="AD28" s="1089">
        <v>0</v>
      </c>
      <c r="AE28" s="60">
        <v>0</v>
      </c>
    </row>
    <row r="29" spans="1:31">
      <c r="A29" s="58" t="s">
        <v>233</v>
      </c>
      <c r="B29" s="1072">
        <v>278</v>
      </c>
      <c r="C29" s="1069">
        <v>278</v>
      </c>
      <c r="D29" s="1070">
        <v>278</v>
      </c>
      <c r="E29" s="1071">
        <v>278</v>
      </c>
      <c r="F29" s="1080">
        <v>0</v>
      </c>
      <c r="G29" s="1081">
        <v>0</v>
      </c>
      <c r="H29" s="1081">
        <v>0</v>
      </c>
      <c r="I29" s="1078">
        <v>0</v>
      </c>
      <c r="J29" s="1078">
        <v>278</v>
      </c>
      <c r="K29" s="1078">
        <v>278</v>
      </c>
      <c r="L29" s="60">
        <v>0</v>
      </c>
      <c r="M29" s="60">
        <v>0</v>
      </c>
      <c r="N29" s="60">
        <v>0</v>
      </c>
      <c r="O29" s="60">
        <v>0</v>
      </c>
      <c r="Q29" s="58" t="s">
        <v>542</v>
      </c>
      <c r="R29" s="1072">
        <v>664</v>
      </c>
      <c r="S29" s="1069">
        <v>533.33333333333337</v>
      </c>
      <c r="T29" s="1070">
        <v>525</v>
      </c>
      <c r="U29" s="1071">
        <v>500</v>
      </c>
      <c r="V29" s="1080">
        <v>0</v>
      </c>
      <c r="W29" s="1081">
        <v>0</v>
      </c>
      <c r="X29" s="1081">
        <v>0</v>
      </c>
      <c r="Y29" s="1078">
        <v>0</v>
      </c>
      <c r="Z29" s="1088">
        <v>500</v>
      </c>
      <c r="AA29" s="1088">
        <v>664</v>
      </c>
      <c r="AB29" s="60">
        <v>0</v>
      </c>
      <c r="AC29" s="60">
        <v>0</v>
      </c>
      <c r="AD29" s="1089">
        <v>0</v>
      </c>
      <c r="AE29" s="60">
        <v>0</v>
      </c>
    </row>
    <row r="30" spans="1:31">
      <c r="A30" s="58" t="s">
        <v>1599</v>
      </c>
      <c r="B30" s="1072">
        <v>686</v>
      </c>
      <c r="C30" s="1069">
        <v>686</v>
      </c>
      <c r="D30" s="1070">
        <v>560</v>
      </c>
      <c r="E30" s="1071">
        <v>686</v>
      </c>
      <c r="F30" s="1080">
        <v>0</v>
      </c>
      <c r="G30" s="1081">
        <v>0</v>
      </c>
      <c r="H30" s="1081">
        <v>0</v>
      </c>
      <c r="I30" s="1078">
        <v>0</v>
      </c>
      <c r="J30" s="1078">
        <v>686</v>
      </c>
      <c r="K30" s="1078">
        <v>500</v>
      </c>
      <c r="L30" s="60">
        <v>0</v>
      </c>
      <c r="M30" s="60">
        <v>0</v>
      </c>
      <c r="N30" s="60">
        <v>0</v>
      </c>
      <c r="O30" s="60">
        <v>0</v>
      </c>
      <c r="Q30" s="58" t="s">
        <v>561</v>
      </c>
      <c r="R30" s="1072">
        <v>221</v>
      </c>
      <c r="S30" s="1069">
        <v>221</v>
      </c>
      <c r="T30" s="1070">
        <v>221</v>
      </c>
      <c r="U30" s="1071">
        <v>221</v>
      </c>
      <c r="V30" s="1080">
        <v>0</v>
      </c>
      <c r="W30" s="1081">
        <v>221</v>
      </c>
      <c r="X30" s="1081">
        <v>0</v>
      </c>
      <c r="Y30" s="1078">
        <v>0</v>
      </c>
      <c r="Z30" s="1088">
        <v>221</v>
      </c>
      <c r="AA30" s="1088">
        <v>221</v>
      </c>
      <c r="AB30" s="60">
        <v>221</v>
      </c>
      <c r="AC30" s="60">
        <v>0</v>
      </c>
      <c r="AD30" s="1089">
        <v>0</v>
      </c>
      <c r="AE30" s="60">
        <v>0</v>
      </c>
    </row>
    <row r="31" spans="1:31">
      <c r="A31" s="58" t="s">
        <v>290</v>
      </c>
      <c r="B31" s="1072">
        <v>8225</v>
      </c>
      <c r="C31" s="1069">
        <v>2883.3333333333335</v>
      </c>
      <c r="D31" s="1070">
        <v>8225</v>
      </c>
      <c r="E31" s="1071">
        <v>7000</v>
      </c>
      <c r="F31" s="1080">
        <v>6580</v>
      </c>
      <c r="G31" s="1081">
        <v>0</v>
      </c>
      <c r="H31" s="1081">
        <v>0</v>
      </c>
      <c r="I31" s="1078">
        <v>0</v>
      </c>
      <c r="J31" s="1078">
        <v>7000</v>
      </c>
      <c r="K31" s="1078">
        <v>8225</v>
      </c>
      <c r="L31" s="60">
        <v>0</v>
      </c>
      <c r="M31" s="60">
        <v>0</v>
      </c>
      <c r="N31" s="60">
        <v>0</v>
      </c>
      <c r="O31" s="60">
        <v>0</v>
      </c>
      <c r="Q31" s="58" t="s">
        <v>563</v>
      </c>
      <c r="R31" s="1072">
        <v>195</v>
      </c>
      <c r="S31" s="1069">
        <v>195</v>
      </c>
      <c r="T31" s="1070">
        <v>195</v>
      </c>
      <c r="U31" s="1071">
        <v>195</v>
      </c>
      <c r="V31" s="1080">
        <v>0</v>
      </c>
      <c r="W31" s="1081">
        <v>0</v>
      </c>
      <c r="X31" s="1081">
        <v>0</v>
      </c>
      <c r="Y31" s="1078">
        <v>0</v>
      </c>
      <c r="Z31" s="1088">
        <v>195</v>
      </c>
      <c r="AA31" s="1088">
        <v>0</v>
      </c>
      <c r="AB31" s="60">
        <v>0</v>
      </c>
      <c r="AC31" s="60">
        <v>0</v>
      </c>
      <c r="AD31" s="1089">
        <v>0</v>
      </c>
      <c r="AE31" s="60">
        <v>0</v>
      </c>
    </row>
    <row r="32" spans="1:31">
      <c r="A32" s="58" t="s">
        <v>823</v>
      </c>
      <c r="B32" s="1072">
        <v>64</v>
      </c>
      <c r="C32" s="1069">
        <v>64</v>
      </c>
      <c r="D32" s="1070">
        <v>64</v>
      </c>
      <c r="E32" s="1071">
        <v>64</v>
      </c>
      <c r="F32" s="1080">
        <v>0</v>
      </c>
      <c r="G32" s="1081">
        <v>0</v>
      </c>
      <c r="H32" s="1081">
        <v>0</v>
      </c>
      <c r="I32" s="1078">
        <v>0</v>
      </c>
      <c r="J32" s="1078">
        <v>64</v>
      </c>
      <c r="K32" s="1078">
        <v>64</v>
      </c>
      <c r="L32" s="60">
        <v>0</v>
      </c>
      <c r="M32" s="60">
        <v>0</v>
      </c>
      <c r="N32" s="60">
        <v>0</v>
      </c>
      <c r="O32" s="60">
        <v>0</v>
      </c>
      <c r="Q32" s="58" t="s">
        <v>538</v>
      </c>
      <c r="R32" s="1072">
        <v>1101</v>
      </c>
      <c r="S32" s="1069">
        <v>1101</v>
      </c>
      <c r="T32" s="1070">
        <v>1101</v>
      </c>
      <c r="U32" s="1071">
        <v>500</v>
      </c>
      <c r="V32" s="1080">
        <v>0</v>
      </c>
      <c r="W32" s="1081">
        <v>1000</v>
      </c>
      <c r="X32" s="1081">
        <v>0</v>
      </c>
      <c r="Y32" s="1078">
        <v>0</v>
      </c>
      <c r="Z32" s="1088">
        <v>500</v>
      </c>
      <c r="AA32" s="1088">
        <v>200</v>
      </c>
      <c r="AB32" s="60">
        <v>1000</v>
      </c>
      <c r="AC32" s="60">
        <v>0</v>
      </c>
      <c r="AD32" s="1089">
        <v>0</v>
      </c>
      <c r="AE32" s="60">
        <v>0</v>
      </c>
    </row>
    <row r="33" spans="1:31">
      <c r="A33" s="58" t="s">
        <v>207</v>
      </c>
      <c r="B33" s="1072">
        <v>57</v>
      </c>
      <c r="C33" s="1069">
        <v>57</v>
      </c>
      <c r="D33" s="1070">
        <v>57</v>
      </c>
      <c r="E33" s="1071">
        <v>0</v>
      </c>
      <c r="F33" s="1080">
        <v>0</v>
      </c>
      <c r="G33" s="1081">
        <v>0</v>
      </c>
      <c r="H33" s="1081">
        <v>0</v>
      </c>
      <c r="I33" s="1078">
        <v>0</v>
      </c>
      <c r="J33" s="1078">
        <v>0</v>
      </c>
      <c r="K33" s="1078">
        <v>0</v>
      </c>
      <c r="L33" s="60">
        <v>0</v>
      </c>
      <c r="M33" s="60">
        <v>0</v>
      </c>
      <c r="N33" s="60">
        <v>0</v>
      </c>
      <c r="O33" s="60">
        <v>0</v>
      </c>
      <c r="Q33" s="58" t="s">
        <v>2570</v>
      </c>
      <c r="R33" s="1072">
        <v>1674</v>
      </c>
      <c r="S33" s="1069">
        <v>1600</v>
      </c>
      <c r="T33" s="1070">
        <v>600</v>
      </c>
      <c r="U33" s="1071">
        <v>0</v>
      </c>
      <c r="V33" s="1080">
        <v>0</v>
      </c>
      <c r="W33" s="1081">
        <v>500</v>
      </c>
      <c r="X33" s="1081">
        <v>0</v>
      </c>
      <c r="Y33" s="1078">
        <v>0</v>
      </c>
      <c r="Z33" s="1088">
        <v>0</v>
      </c>
      <c r="AA33" s="1088">
        <v>300</v>
      </c>
      <c r="AB33" s="60">
        <v>500</v>
      </c>
      <c r="AC33" s="60">
        <v>0</v>
      </c>
      <c r="AD33" s="1089">
        <v>0</v>
      </c>
      <c r="AE33" s="60">
        <v>0</v>
      </c>
    </row>
    <row r="34" spans="1:31">
      <c r="A34" s="58" t="s">
        <v>209</v>
      </c>
      <c r="B34" s="1072">
        <v>263</v>
      </c>
      <c r="C34" s="1069">
        <v>263</v>
      </c>
      <c r="D34" s="1070">
        <v>100</v>
      </c>
      <c r="E34" s="1071">
        <v>0</v>
      </c>
      <c r="F34" s="1080">
        <v>0</v>
      </c>
      <c r="G34" s="1081">
        <v>0</v>
      </c>
      <c r="H34" s="1081">
        <v>0</v>
      </c>
      <c r="I34" s="1078">
        <v>0</v>
      </c>
      <c r="J34" s="1078">
        <v>0</v>
      </c>
      <c r="K34" s="1078">
        <v>200</v>
      </c>
      <c r="L34" s="60">
        <v>0</v>
      </c>
      <c r="M34" s="60">
        <v>0</v>
      </c>
      <c r="N34" s="60">
        <v>0</v>
      </c>
      <c r="O34" s="60">
        <v>0</v>
      </c>
      <c r="Q34" s="58" t="s">
        <v>2644</v>
      </c>
      <c r="R34" s="1072">
        <v>60</v>
      </c>
      <c r="S34" s="1069">
        <v>0</v>
      </c>
      <c r="T34" s="1070">
        <v>0</v>
      </c>
      <c r="U34" s="1071">
        <v>0</v>
      </c>
      <c r="V34" s="1080">
        <v>0</v>
      </c>
      <c r="W34" s="1081">
        <v>0</v>
      </c>
      <c r="X34" s="1081">
        <v>0</v>
      </c>
      <c r="Y34" s="1078">
        <v>0</v>
      </c>
      <c r="Z34" s="1088">
        <v>0</v>
      </c>
      <c r="AA34" s="1088">
        <v>60</v>
      </c>
      <c r="AB34" s="60">
        <v>0</v>
      </c>
      <c r="AC34" s="60">
        <v>0</v>
      </c>
      <c r="AD34" s="1089">
        <v>0</v>
      </c>
      <c r="AE34" s="60">
        <v>0</v>
      </c>
    </row>
    <row r="35" spans="1:31">
      <c r="A35" s="58" t="s">
        <v>153</v>
      </c>
      <c r="B35" s="1072">
        <v>77</v>
      </c>
      <c r="C35" s="1069">
        <v>77</v>
      </c>
      <c r="D35" s="1070">
        <v>77</v>
      </c>
      <c r="E35" s="1071">
        <v>77</v>
      </c>
      <c r="F35" s="1080">
        <v>0</v>
      </c>
      <c r="G35" s="1081">
        <v>0</v>
      </c>
      <c r="H35" s="1081">
        <v>0</v>
      </c>
      <c r="I35" s="1078">
        <v>0</v>
      </c>
      <c r="J35" s="1078">
        <v>77</v>
      </c>
      <c r="K35" s="1078">
        <v>77</v>
      </c>
      <c r="L35" s="60">
        <v>0</v>
      </c>
      <c r="M35" s="60">
        <v>0</v>
      </c>
      <c r="N35" s="60">
        <v>0</v>
      </c>
      <c r="O35" s="60">
        <v>0</v>
      </c>
      <c r="Q35" s="58" t="s">
        <v>2881</v>
      </c>
      <c r="R35" s="1072">
        <v>162</v>
      </c>
      <c r="S35" s="1069">
        <v>0</v>
      </c>
      <c r="T35" s="1070">
        <v>162</v>
      </c>
      <c r="U35" s="1071">
        <v>0</v>
      </c>
      <c r="V35" s="1080">
        <v>0</v>
      </c>
      <c r="W35" s="1081">
        <v>0</v>
      </c>
      <c r="X35" s="1081">
        <v>0</v>
      </c>
      <c r="Y35" s="1078">
        <v>0</v>
      </c>
      <c r="Z35" s="1088">
        <v>0</v>
      </c>
      <c r="AA35" s="1088">
        <v>162</v>
      </c>
      <c r="AB35" s="60">
        <v>0</v>
      </c>
      <c r="AC35" s="60">
        <v>0</v>
      </c>
      <c r="AD35" s="1089">
        <v>0</v>
      </c>
      <c r="AE35" s="60">
        <v>0</v>
      </c>
    </row>
    <row r="36" spans="1:31">
      <c r="A36" s="58" t="s">
        <v>289</v>
      </c>
      <c r="B36" s="1072">
        <v>2199</v>
      </c>
      <c r="C36" s="1069">
        <v>500</v>
      </c>
      <c r="D36" s="1070">
        <v>0</v>
      </c>
      <c r="E36" s="1071">
        <v>0</v>
      </c>
      <c r="F36" s="1080">
        <v>0</v>
      </c>
      <c r="G36" s="1081">
        <v>0</v>
      </c>
      <c r="H36" s="1081">
        <v>0</v>
      </c>
      <c r="I36" s="1078">
        <v>0</v>
      </c>
      <c r="J36" s="1078">
        <v>0</v>
      </c>
      <c r="K36" s="1078">
        <v>300</v>
      </c>
      <c r="L36" s="60">
        <v>0</v>
      </c>
      <c r="M36" s="60">
        <v>0</v>
      </c>
      <c r="N36" s="60">
        <v>0</v>
      </c>
      <c r="O36" s="60">
        <v>0</v>
      </c>
      <c r="Q36" s="58" t="s">
        <v>2882</v>
      </c>
      <c r="R36" s="1072">
        <v>132</v>
      </c>
      <c r="S36" s="1069">
        <v>132</v>
      </c>
      <c r="T36" s="1070">
        <v>132</v>
      </c>
      <c r="U36" s="1071">
        <v>132</v>
      </c>
      <c r="V36" s="1080">
        <v>0</v>
      </c>
      <c r="W36" s="1081">
        <v>0</v>
      </c>
      <c r="X36" s="1081">
        <v>0</v>
      </c>
      <c r="Y36" s="1078">
        <v>0</v>
      </c>
      <c r="Z36" s="1088">
        <v>132</v>
      </c>
      <c r="AA36" s="1088">
        <v>132</v>
      </c>
      <c r="AB36" s="60">
        <v>0</v>
      </c>
      <c r="AC36" s="60">
        <v>0</v>
      </c>
      <c r="AD36" s="1089">
        <v>0</v>
      </c>
      <c r="AE36" s="60">
        <v>0</v>
      </c>
    </row>
    <row r="37" spans="1:31">
      <c r="A37" s="58" t="s">
        <v>294</v>
      </c>
      <c r="B37" s="1072">
        <v>2503</v>
      </c>
      <c r="C37" s="1069">
        <v>1850</v>
      </c>
      <c r="D37" s="1070">
        <v>2503</v>
      </c>
      <c r="E37" s="1071">
        <v>2503</v>
      </c>
      <c r="F37" s="1080">
        <v>0</v>
      </c>
      <c r="G37" s="1081">
        <v>1000</v>
      </c>
      <c r="H37" s="1081">
        <v>100</v>
      </c>
      <c r="I37" s="1078">
        <v>0</v>
      </c>
      <c r="J37" s="1078">
        <v>2503</v>
      </c>
      <c r="K37" s="1078">
        <v>700</v>
      </c>
      <c r="L37" s="60">
        <v>1000</v>
      </c>
      <c r="M37" s="60">
        <v>0</v>
      </c>
      <c r="N37" s="60">
        <v>0</v>
      </c>
      <c r="O37" s="60">
        <v>100</v>
      </c>
      <c r="Q37" s="58" t="s">
        <v>2842</v>
      </c>
      <c r="R37" s="1072">
        <v>40</v>
      </c>
      <c r="S37" s="1069">
        <v>0</v>
      </c>
      <c r="T37" s="1070">
        <v>40</v>
      </c>
      <c r="U37" s="1071">
        <v>0</v>
      </c>
      <c r="V37" s="1080">
        <v>0</v>
      </c>
      <c r="W37" s="1081">
        <v>0</v>
      </c>
      <c r="X37" s="1081">
        <v>0</v>
      </c>
      <c r="Y37" s="1078">
        <v>0</v>
      </c>
      <c r="Z37" s="1088">
        <v>0</v>
      </c>
      <c r="AA37" s="1088">
        <v>0</v>
      </c>
      <c r="AB37" s="60">
        <v>0</v>
      </c>
      <c r="AC37" s="60">
        <v>0</v>
      </c>
      <c r="AD37" s="1089">
        <v>0</v>
      </c>
      <c r="AE37" s="60">
        <v>0</v>
      </c>
    </row>
    <row r="38" spans="1:31">
      <c r="A38" s="58" t="s">
        <v>243</v>
      </c>
      <c r="B38" s="1072">
        <v>634</v>
      </c>
      <c r="C38" s="1069">
        <v>634</v>
      </c>
      <c r="D38" s="1070">
        <v>586</v>
      </c>
      <c r="E38" s="1071">
        <v>634</v>
      </c>
      <c r="F38" s="1080">
        <v>634</v>
      </c>
      <c r="G38" s="1081">
        <v>0</v>
      </c>
      <c r="H38" s="1081">
        <v>0</v>
      </c>
      <c r="I38" s="1078">
        <v>634</v>
      </c>
      <c r="J38" s="1078">
        <v>500</v>
      </c>
      <c r="K38" s="1078">
        <v>300</v>
      </c>
      <c r="L38" s="60">
        <v>0</v>
      </c>
      <c r="M38" s="60">
        <v>0</v>
      </c>
      <c r="N38" s="60">
        <v>0</v>
      </c>
      <c r="O38" s="60">
        <v>0</v>
      </c>
      <c r="Q38" s="58" t="s">
        <v>2843</v>
      </c>
      <c r="R38" s="1072">
        <v>28</v>
      </c>
      <c r="S38" s="1069">
        <v>0</v>
      </c>
      <c r="T38" s="1070">
        <v>28</v>
      </c>
      <c r="U38" s="1071">
        <v>0</v>
      </c>
      <c r="V38" s="1080">
        <v>0</v>
      </c>
      <c r="W38" s="1081">
        <v>0</v>
      </c>
      <c r="X38" s="1081">
        <v>0</v>
      </c>
      <c r="Y38" s="1078">
        <v>0</v>
      </c>
      <c r="Z38" s="1088">
        <v>0</v>
      </c>
      <c r="AA38" s="1088">
        <v>0</v>
      </c>
      <c r="AB38" s="60">
        <v>0</v>
      </c>
      <c r="AC38" s="60">
        <v>0</v>
      </c>
      <c r="AD38" s="1089">
        <v>0</v>
      </c>
      <c r="AE38" s="60">
        <v>0</v>
      </c>
    </row>
    <row r="39" spans="1:31">
      <c r="A39" s="58" t="s">
        <v>163</v>
      </c>
      <c r="B39" s="1072">
        <v>564</v>
      </c>
      <c r="C39" s="1069">
        <v>564</v>
      </c>
      <c r="D39" s="1070">
        <v>280</v>
      </c>
      <c r="E39" s="1071">
        <v>564</v>
      </c>
      <c r="F39" s="1080">
        <v>0</v>
      </c>
      <c r="G39" s="1081">
        <v>0</v>
      </c>
      <c r="H39" s="1081">
        <v>0</v>
      </c>
      <c r="I39" s="1078">
        <v>0</v>
      </c>
      <c r="J39" s="1078">
        <v>564</v>
      </c>
      <c r="K39" s="1078">
        <v>300</v>
      </c>
      <c r="L39" s="60">
        <v>0</v>
      </c>
      <c r="M39" s="60">
        <v>0</v>
      </c>
      <c r="N39" s="60">
        <v>0</v>
      </c>
      <c r="O39" s="60">
        <v>0</v>
      </c>
      <c r="Q39" s="58" t="s">
        <v>2844</v>
      </c>
      <c r="R39" s="1072">
        <v>31</v>
      </c>
      <c r="S39" s="1069">
        <v>0</v>
      </c>
      <c r="T39" s="1070">
        <v>31</v>
      </c>
      <c r="U39" s="1071">
        <v>0</v>
      </c>
      <c r="V39" s="1080">
        <v>0</v>
      </c>
      <c r="W39" s="1081">
        <v>0</v>
      </c>
      <c r="X39" s="1081">
        <v>0</v>
      </c>
      <c r="Y39" s="1078">
        <v>0</v>
      </c>
      <c r="Z39" s="1088">
        <v>0</v>
      </c>
      <c r="AA39" s="1088">
        <v>0</v>
      </c>
      <c r="AB39" s="60">
        <v>0</v>
      </c>
      <c r="AC39" s="60">
        <v>0</v>
      </c>
      <c r="AD39" s="1089">
        <v>0</v>
      </c>
      <c r="AE39" s="60">
        <v>0</v>
      </c>
    </row>
    <row r="40" spans="1:31">
      <c r="A40" s="58" t="s">
        <v>164</v>
      </c>
      <c r="B40" s="1072">
        <v>572</v>
      </c>
      <c r="C40" s="1069">
        <v>572</v>
      </c>
      <c r="D40" s="1070">
        <v>560</v>
      </c>
      <c r="E40" s="1071">
        <v>572</v>
      </c>
      <c r="F40" s="1080">
        <v>0</v>
      </c>
      <c r="G40" s="1081">
        <v>0</v>
      </c>
      <c r="H40" s="1081">
        <v>0</v>
      </c>
      <c r="I40" s="1078">
        <v>0</v>
      </c>
      <c r="J40" s="1078">
        <v>572</v>
      </c>
      <c r="K40" s="1078">
        <v>300</v>
      </c>
      <c r="L40" s="60">
        <v>0</v>
      </c>
      <c r="M40" s="60">
        <v>0</v>
      </c>
      <c r="N40" s="60">
        <v>0</v>
      </c>
      <c r="O40" s="60">
        <v>0</v>
      </c>
      <c r="Q40" s="58" t="s">
        <v>2845</v>
      </c>
      <c r="R40" s="1072">
        <v>179</v>
      </c>
      <c r="S40" s="1069">
        <v>179</v>
      </c>
      <c r="T40" s="1070">
        <v>179</v>
      </c>
      <c r="U40" s="1071">
        <v>0</v>
      </c>
      <c r="V40" s="1080">
        <v>0</v>
      </c>
      <c r="W40" s="1081">
        <v>0</v>
      </c>
      <c r="X40" s="1081">
        <v>0</v>
      </c>
      <c r="Y40" s="1078">
        <v>0</v>
      </c>
      <c r="Z40" s="1088">
        <v>0</v>
      </c>
      <c r="AA40" s="1088">
        <v>179</v>
      </c>
      <c r="AB40" s="60">
        <v>0</v>
      </c>
      <c r="AC40" s="60">
        <v>0</v>
      </c>
      <c r="AD40" s="1089">
        <v>0</v>
      </c>
      <c r="AE40" s="60">
        <v>0</v>
      </c>
    </row>
    <row r="41" spans="1:31">
      <c r="A41" s="58" t="s">
        <v>247</v>
      </c>
      <c r="B41" s="1072">
        <v>885</v>
      </c>
      <c r="C41" s="1069">
        <v>885</v>
      </c>
      <c r="D41" s="1070">
        <v>600</v>
      </c>
      <c r="E41" s="1071">
        <v>885</v>
      </c>
      <c r="F41" s="1080">
        <v>885</v>
      </c>
      <c r="G41" s="1081">
        <v>885</v>
      </c>
      <c r="H41" s="1081">
        <v>0</v>
      </c>
      <c r="I41" s="1078">
        <v>295</v>
      </c>
      <c r="J41" s="1078">
        <v>885</v>
      </c>
      <c r="K41" s="1078">
        <v>100</v>
      </c>
      <c r="L41" s="60">
        <v>885</v>
      </c>
      <c r="M41" s="60">
        <v>0</v>
      </c>
      <c r="N41" s="60">
        <v>0</v>
      </c>
      <c r="O41" s="60">
        <v>0</v>
      </c>
      <c r="Q41" s="58" t="s">
        <v>2846</v>
      </c>
      <c r="R41" s="1072">
        <v>26</v>
      </c>
      <c r="S41" s="1069">
        <v>26</v>
      </c>
      <c r="T41" s="1070">
        <v>26</v>
      </c>
      <c r="U41" s="1071">
        <v>0</v>
      </c>
      <c r="V41" s="1080">
        <v>0</v>
      </c>
      <c r="W41" s="1081">
        <v>0</v>
      </c>
      <c r="X41" s="1081">
        <v>0</v>
      </c>
      <c r="Y41" s="1078">
        <v>0</v>
      </c>
      <c r="Z41" s="1088">
        <v>0</v>
      </c>
      <c r="AA41" s="1088">
        <v>26</v>
      </c>
      <c r="AB41" s="60">
        <v>0</v>
      </c>
      <c r="AC41" s="60">
        <v>0</v>
      </c>
      <c r="AD41" s="1089">
        <v>0</v>
      </c>
      <c r="AE41" s="60">
        <v>0</v>
      </c>
    </row>
    <row r="42" spans="1:31">
      <c r="A42" s="58" t="s">
        <v>255</v>
      </c>
      <c r="B42" s="1072">
        <v>107</v>
      </c>
      <c r="C42" s="1069">
        <v>107</v>
      </c>
      <c r="D42" s="1070">
        <v>107</v>
      </c>
      <c r="E42" s="1071">
        <v>107</v>
      </c>
      <c r="F42" s="1080">
        <v>107</v>
      </c>
      <c r="G42" s="1081">
        <v>0</v>
      </c>
      <c r="H42" s="1081">
        <v>0</v>
      </c>
      <c r="I42" s="1078">
        <v>107</v>
      </c>
      <c r="J42" s="1078">
        <v>107</v>
      </c>
      <c r="K42" s="1078">
        <v>0</v>
      </c>
      <c r="L42" s="60">
        <v>0</v>
      </c>
      <c r="M42" s="60">
        <v>0</v>
      </c>
      <c r="N42" s="60">
        <v>0</v>
      </c>
      <c r="O42" s="60">
        <v>0</v>
      </c>
      <c r="Q42" s="58" t="s">
        <v>2847</v>
      </c>
      <c r="R42" s="1072">
        <v>155</v>
      </c>
      <c r="S42" s="1069">
        <v>0</v>
      </c>
      <c r="T42" s="1070">
        <v>0</v>
      </c>
      <c r="U42" s="1071">
        <v>0</v>
      </c>
      <c r="V42" s="1080">
        <v>0</v>
      </c>
      <c r="W42" s="1081">
        <v>0</v>
      </c>
      <c r="X42" s="1081">
        <v>0</v>
      </c>
      <c r="Y42" s="1078">
        <v>0</v>
      </c>
      <c r="Z42" s="1088">
        <v>0</v>
      </c>
      <c r="AA42" s="1088">
        <v>0</v>
      </c>
      <c r="AB42" s="60">
        <v>0</v>
      </c>
      <c r="AC42" s="60">
        <v>0</v>
      </c>
      <c r="AD42" s="1089">
        <v>0</v>
      </c>
      <c r="AE42" s="60">
        <v>0</v>
      </c>
    </row>
    <row r="43" spans="1:31">
      <c r="A43" s="58" t="s">
        <v>256</v>
      </c>
      <c r="B43" s="1072">
        <v>56</v>
      </c>
      <c r="C43" s="1069">
        <v>56</v>
      </c>
      <c r="D43" s="1070">
        <v>40</v>
      </c>
      <c r="E43" s="1071">
        <v>56</v>
      </c>
      <c r="F43" s="1080">
        <v>49.84</v>
      </c>
      <c r="G43" s="1081">
        <v>0</v>
      </c>
      <c r="H43" s="1081">
        <v>0</v>
      </c>
      <c r="I43" s="1078">
        <v>56</v>
      </c>
      <c r="J43" s="1078">
        <v>56</v>
      </c>
      <c r="K43" s="1078">
        <v>56</v>
      </c>
      <c r="L43" s="60">
        <v>0</v>
      </c>
      <c r="M43" s="60">
        <v>0</v>
      </c>
      <c r="N43" s="60">
        <v>0</v>
      </c>
      <c r="O43" s="60">
        <v>0</v>
      </c>
      <c r="Q43" s="58" t="s">
        <v>2814</v>
      </c>
      <c r="R43" s="1072">
        <v>77</v>
      </c>
      <c r="S43" s="1069">
        <v>77</v>
      </c>
      <c r="T43" s="1070">
        <v>77</v>
      </c>
      <c r="U43" s="1071">
        <v>0</v>
      </c>
      <c r="V43" s="1080">
        <v>0</v>
      </c>
      <c r="W43" s="1081">
        <v>0</v>
      </c>
      <c r="X43" s="1081">
        <v>0</v>
      </c>
      <c r="Y43" s="1078">
        <v>0</v>
      </c>
      <c r="Z43" s="1088">
        <v>0</v>
      </c>
      <c r="AA43" s="1088">
        <v>77</v>
      </c>
      <c r="AB43" s="60">
        <v>0</v>
      </c>
      <c r="AC43" s="60">
        <v>0</v>
      </c>
      <c r="AD43" s="1089">
        <v>0</v>
      </c>
      <c r="AE43" s="60">
        <v>0</v>
      </c>
    </row>
    <row r="44" spans="1:31">
      <c r="A44" s="58" t="s">
        <v>200</v>
      </c>
      <c r="B44" s="1072">
        <v>774</v>
      </c>
      <c r="C44" s="1069">
        <v>774</v>
      </c>
      <c r="D44" s="1070">
        <v>460</v>
      </c>
      <c r="E44" s="1071">
        <v>774</v>
      </c>
      <c r="F44" s="1080">
        <v>0</v>
      </c>
      <c r="G44" s="1081">
        <v>500</v>
      </c>
      <c r="H44" s="1081">
        <v>0</v>
      </c>
      <c r="I44" s="1078">
        <v>774</v>
      </c>
      <c r="J44" s="1078">
        <v>0</v>
      </c>
      <c r="K44" s="1078">
        <v>600</v>
      </c>
      <c r="L44" s="60">
        <v>500</v>
      </c>
      <c r="M44" s="60">
        <v>0</v>
      </c>
      <c r="N44" s="60">
        <v>0</v>
      </c>
      <c r="O44" s="60">
        <v>0</v>
      </c>
      <c r="Q44" s="58" t="s">
        <v>2976</v>
      </c>
      <c r="R44" s="1072">
        <v>37</v>
      </c>
      <c r="S44" s="1069">
        <v>37</v>
      </c>
      <c r="T44" s="1070">
        <v>0</v>
      </c>
      <c r="U44" s="1071">
        <v>0</v>
      </c>
      <c r="V44" s="1080">
        <v>0</v>
      </c>
      <c r="W44" s="1081">
        <v>0</v>
      </c>
      <c r="X44" s="1081">
        <v>0</v>
      </c>
      <c r="Y44" s="1078">
        <v>0</v>
      </c>
      <c r="Z44" s="1088">
        <v>0</v>
      </c>
      <c r="AA44" s="1088">
        <v>0</v>
      </c>
      <c r="AB44" s="60">
        <v>0</v>
      </c>
      <c r="AC44" s="60">
        <v>0</v>
      </c>
      <c r="AD44" s="1089">
        <v>0</v>
      </c>
      <c r="AE44" s="60">
        <v>0</v>
      </c>
    </row>
    <row r="45" spans="1:31">
      <c r="A45" s="58" t="s">
        <v>281</v>
      </c>
      <c r="B45" s="1072">
        <v>255</v>
      </c>
      <c r="C45" s="1069">
        <v>255</v>
      </c>
      <c r="D45" s="1070">
        <v>182</v>
      </c>
      <c r="E45" s="1071">
        <v>255</v>
      </c>
      <c r="F45" s="1080">
        <v>255</v>
      </c>
      <c r="G45" s="1081">
        <v>0</v>
      </c>
      <c r="H45" s="1081">
        <v>0</v>
      </c>
      <c r="I45" s="1078">
        <v>255</v>
      </c>
      <c r="J45" s="1078">
        <v>255</v>
      </c>
      <c r="K45" s="1078">
        <v>255</v>
      </c>
      <c r="L45" s="60">
        <v>0</v>
      </c>
      <c r="M45" s="60">
        <v>0</v>
      </c>
      <c r="N45" s="60">
        <v>0</v>
      </c>
      <c r="O45" s="60">
        <v>0</v>
      </c>
      <c r="Q45" s="58" t="s">
        <v>2982</v>
      </c>
      <c r="R45" s="1072">
        <v>469</v>
      </c>
      <c r="S45" s="1069">
        <v>66.666666666666671</v>
      </c>
      <c r="T45" s="1070">
        <v>0</v>
      </c>
      <c r="U45" s="1071">
        <v>0</v>
      </c>
      <c r="V45" s="1080">
        <v>0</v>
      </c>
      <c r="W45" s="1081">
        <v>0</v>
      </c>
      <c r="X45" s="1081">
        <v>0</v>
      </c>
      <c r="Y45" s="1078">
        <v>0</v>
      </c>
      <c r="Z45" s="1088">
        <v>0</v>
      </c>
      <c r="AA45" s="1088">
        <v>0</v>
      </c>
      <c r="AB45" s="60">
        <v>0</v>
      </c>
      <c r="AC45" s="60">
        <v>0</v>
      </c>
      <c r="AD45" s="1089">
        <v>0</v>
      </c>
      <c r="AE45" s="60">
        <v>0</v>
      </c>
    </row>
    <row r="46" spans="1:31">
      <c r="A46" s="58" t="s">
        <v>282</v>
      </c>
      <c r="B46" s="1072">
        <v>426</v>
      </c>
      <c r="C46" s="1069">
        <v>426</v>
      </c>
      <c r="D46" s="1070">
        <v>126</v>
      </c>
      <c r="E46" s="1071">
        <v>426</v>
      </c>
      <c r="F46" s="1080">
        <v>391.92</v>
      </c>
      <c r="G46" s="1081">
        <v>0</v>
      </c>
      <c r="H46" s="1081">
        <v>0</v>
      </c>
      <c r="I46" s="1078">
        <v>0</v>
      </c>
      <c r="J46" s="1078">
        <v>426</v>
      </c>
      <c r="K46" s="1078">
        <v>300</v>
      </c>
      <c r="L46" s="60">
        <v>0</v>
      </c>
      <c r="M46" s="60">
        <v>0</v>
      </c>
      <c r="N46" s="60">
        <v>0</v>
      </c>
      <c r="O46" s="60">
        <v>0</v>
      </c>
      <c r="Q46" s="58" t="s">
        <v>2983</v>
      </c>
      <c r="R46" s="1072">
        <v>157</v>
      </c>
      <c r="S46" s="1069">
        <v>0</v>
      </c>
      <c r="T46" s="1070">
        <v>0</v>
      </c>
      <c r="U46" s="1071">
        <v>0</v>
      </c>
      <c r="V46" s="1080">
        <v>0</v>
      </c>
      <c r="W46" s="1081">
        <v>0</v>
      </c>
      <c r="X46" s="1081">
        <v>0</v>
      </c>
      <c r="Y46" s="1078">
        <v>0</v>
      </c>
      <c r="Z46" s="1088">
        <v>0</v>
      </c>
      <c r="AA46" s="1088">
        <v>0</v>
      </c>
      <c r="AB46" s="60">
        <v>0</v>
      </c>
      <c r="AC46" s="60">
        <v>0</v>
      </c>
      <c r="AD46" s="1089">
        <v>0</v>
      </c>
      <c r="AE46" s="60">
        <v>0</v>
      </c>
    </row>
    <row r="47" spans="1:31">
      <c r="A47" s="58" t="s">
        <v>283</v>
      </c>
      <c r="B47" s="1072">
        <v>1422</v>
      </c>
      <c r="C47" s="1069">
        <v>1422</v>
      </c>
      <c r="D47" s="1070">
        <v>803</v>
      </c>
      <c r="E47" s="1071">
        <v>1422</v>
      </c>
      <c r="F47" s="1080">
        <v>1422</v>
      </c>
      <c r="G47" s="1081">
        <v>0</v>
      </c>
      <c r="H47" s="1081">
        <v>0</v>
      </c>
      <c r="I47" s="1078">
        <v>1422</v>
      </c>
      <c r="J47" s="1078">
        <v>1422</v>
      </c>
      <c r="K47" s="1078">
        <v>300</v>
      </c>
      <c r="L47" s="60">
        <v>0</v>
      </c>
      <c r="M47" s="60">
        <v>0</v>
      </c>
      <c r="N47" s="60">
        <v>0</v>
      </c>
      <c r="O47" s="60">
        <v>0</v>
      </c>
      <c r="Q47" s="58" t="s">
        <v>3238</v>
      </c>
      <c r="R47" s="1072">
        <v>127</v>
      </c>
      <c r="S47" s="1069">
        <v>0</v>
      </c>
      <c r="T47" s="1070">
        <v>0</v>
      </c>
      <c r="U47" s="1071">
        <v>0</v>
      </c>
      <c r="V47" s="1080">
        <v>0</v>
      </c>
      <c r="W47" s="1081">
        <v>0</v>
      </c>
      <c r="X47" s="1081">
        <v>0</v>
      </c>
      <c r="Y47" s="1078">
        <v>0</v>
      </c>
      <c r="Z47" s="1088">
        <v>0</v>
      </c>
      <c r="AA47" s="1088">
        <v>0</v>
      </c>
      <c r="AB47" s="60">
        <v>0</v>
      </c>
      <c r="AC47" s="60">
        <v>0</v>
      </c>
      <c r="AD47" s="1089">
        <v>0</v>
      </c>
      <c r="AE47" s="60">
        <v>0</v>
      </c>
    </row>
    <row r="48" spans="1:31">
      <c r="A48" s="58" t="s">
        <v>1608</v>
      </c>
      <c r="B48" s="1072">
        <v>74</v>
      </c>
      <c r="C48" s="1069">
        <v>74</v>
      </c>
      <c r="D48" s="1070">
        <v>60</v>
      </c>
      <c r="E48" s="1071">
        <v>74</v>
      </c>
      <c r="F48" s="1080">
        <v>0</v>
      </c>
      <c r="G48" s="1081">
        <v>0</v>
      </c>
      <c r="H48" s="1081">
        <v>0</v>
      </c>
      <c r="I48" s="1078">
        <v>0</v>
      </c>
      <c r="J48" s="1078">
        <v>74</v>
      </c>
      <c r="K48" s="1078">
        <v>74</v>
      </c>
      <c r="L48" s="60">
        <v>0</v>
      </c>
      <c r="M48" s="60">
        <v>0</v>
      </c>
      <c r="N48" s="60">
        <v>0</v>
      </c>
      <c r="O48" s="60">
        <v>0</v>
      </c>
      <c r="Q48" s="58" t="s">
        <v>3239</v>
      </c>
      <c r="R48" s="1072">
        <v>136</v>
      </c>
      <c r="S48" s="1069">
        <v>0</v>
      </c>
      <c r="T48" s="1070">
        <v>0</v>
      </c>
      <c r="U48" s="1071">
        <v>0</v>
      </c>
      <c r="V48" s="1080">
        <v>0</v>
      </c>
      <c r="W48" s="1081">
        <v>0</v>
      </c>
      <c r="X48" s="1081">
        <v>0</v>
      </c>
      <c r="Y48" s="1078">
        <v>0</v>
      </c>
      <c r="Z48" s="1088">
        <v>0</v>
      </c>
      <c r="AA48" s="1088">
        <v>0</v>
      </c>
      <c r="AB48" s="60">
        <v>0</v>
      </c>
      <c r="AC48" s="60">
        <v>0</v>
      </c>
      <c r="AD48" s="1089">
        <v>0</v>
      </c>
      <c r="AE48" s="60">
        <v>0</v>
      </c>
    </row>
    <row r="49" spans="1:31">
      <c r="A49" s="58" t="s">
        <v>176</v>
      </c>
      <c r="B49" s="1072">
        <v>114</v>
      </c>
      <c r="C49" s="1069">
        <v>114</v>
      </c>
      <c r="D49" s="1070">
        <v>60</v>
      </c>
      <c r="E49" s="1071">
        <v>114</v>
      </c>
      <c r="F49" s="1080">
        <v>0</v>
      </c>
      <c r="G49" s="1081">
        <v>0</v>
      </c>
      <c r="H49" s="1081">
        <v>0</v>
      </c>
      <c r="I49" s="1078">
        <v>0</v>
      </c>
      <c r="J49" s="1078">
        <v>114</v>
      </c>
      <c r="K49" s="1078">
        <v>114</v>
      </c>
      <c r="L49" s="60">
        <v>0</v>
      </c>
      <c r="M49" s="60">
        <v>0</v>
      </c>
      <c r="N49" s="60">
        <v>0</v>
      </c>
      <c r="O49" s="60">
        <v>0</v>
      </c>
      <c r="Q49" s="58" t="s">
        <v>3240</v>
      </c>
      <c r="R49" s="1072">
        <v>362</v>
      </c>
      <c r="S49" s="1069">
        <v>0</v>
      </c>
      <c r="T49" s="1070">
        <v>0</v>
      </c>
      <c r="U49" s="1071">
        <v>0</v>
      </c>
      <c r="V49" s="1080">
        <v>0</v>
      </c>
      <c r="W49" s="1081">
        <v>0</v>
      </c>
      <c r="X49" s="1081">
        <v>0</v>
      </c>
      <c r="Y49" s="1078">
        <v>0</v>
      </c>
      <c r="Z49" s="1088">
        <v>0</v>
      </c>
      <c r="AA49" s="1088">
        <v>0</v>
      </c>
      <c r="AB49" s="60">
        <v>0</v>
      </c>
      <c r="AC49" s="60">
        <v>0</v>
      </c>
      <c r="AD49" s="1089">
        <v>0</v>
      </c>
      <c r="AE49" s="60">
        <v>0</v>
      </c>
    </row>
    <row r="50" spans="1:31">
      <c r="A50" s="58" t="s">
        <v>177</v>
      </c>
      <c r="B50" s="1072">
        <v>1442</v>
      </c>
      <c r="C50" s="1069">
        <v>533.33333333333337</v>
      </c>
      <c r="D50" s="1070">
        <v>1442</v>
      </c>
      <c r="E50" s="1071">
        <v>1442</v>
      </c>
      <c r="F50" s="1080">
        <v>0</v>
      </c>
      <c r="G50" s="1081">
        <v>0</v>
      </c>
      <c r="H50" s="1081">
        <v>0</v>
      </c>
      <c r="I50" s="1078">
        <v>0</v>
      </c>
      <c r="J50" s="1078">
        <v>1442</v>
      </c>
      <c r="K50" s="1078">
        <v>1442</v>
      </c>
      <c r="L50" s="60">
        <v>0</v>
      </c>
      <c r="M50" s="60">
        <v>0</v>
      </c>
      <c r="N50" s="60">
        <v>0</v>
      </c>
      <c r="O50" s="60">
        <v>0</v>
      </c>
    </row>
    <row r="51" spans="1:31">
      <c r="A51" s="58" t="s">
        <v>269</v>
      </c>
      <c r="B51" s="1072">
        <v>2139</v>
      </c>
      <c r="C51" s="1069">
        <v>1900</v>
      </c>
      <c r="D51" s="1070">
        <v>560</v>
      </c>
      <c r="E51" s="1071">
        <v>500</v>
      </c>
      <c r="F51" s="1080">
        <v>2139</v>
      </c>
      <c r="G51" s="1081">
        <v>2139</v>
      </c>
      <c r="H51" s="1081">
        <v>0</v>
      </c>
      <c r="I51" s="1078">
        <v>0</v>
      </c>
      <c r="J51" s="1078">
        <v>500</v>
      </c>
      <c r="K51" s="1078">
        <v>1000</v>
      </c>
      <c r="L51" s="60">
        <v>2139</v>
      </c>
      <c r="M51" s="60">
        <v>0</v>
      </c>
      <c r="N51" s="60">
        <v>0</v>
      </c>
      <c r="O51" s="60">
        <v>0</v>
      </c>
    </row>
    <row r="52" spans="1:31">
      <c r="A52" s="58" t="s">
        <v>237</v>
      </c>
      <c r="B52" s="1072">
        <v>1235</v>
      </c>
      <c r="C52" s="1069">
        <v>1235</v>
      </c>
      <c r="D52" s="1070">
        <v>1235</v>
      </c>
      <c r="E52" s="1071">
        <v>1000</v>
      </c>
      <c r="F52" s="1080">
        <v>0</v>
      </c>
      <c r="G52" s="1081">
        <v>0</v>
      </c>
      <c r="H52" s="1081">
        <v>0</v>
      </c>
      <c r="I52" s="1078">
        <v>0</v>
      </c>
      <c r="J52" s="1078">
        <v>1000</v>
      </c>
      <c r="K52" s="1078">
        <v>100</v>
      </c>
      <c r="L52" s="60">
        <v>0</v>
      </c>
      <c r="M52" s="60">
        <v>0</v>
      </c>
      <c r="N52" s="60">
        <v>0</v>
      </c>
      <c r="O52" s="60">
        <v>0</v>
      </c>
    </row>
    <row r="53" spans="1:31">
      <c r="A53" s="58" t="s">
        <v>178</v>
      </c>
      <c r="B53" s="1072">
        <v>1702</v>
      </c>
      <c r="C53" s="1069">
        <v>1702</v>
      </c>
      <c r="D53" s="1070">
        <v>1702</v>
      </c>
      <c r="E53" s="1071">
        <v>1702</v>
      </c>
      <c r="F53" s="1080">
        <v>0</v>
      </c>
      <c r="G53" s="1081">
        <v>0</v>
      </c>
      <c r="H53" s="1081">
        <v>0</v>
      </c>
      <c r="I53" s="1078">
        <v>0</v>
      </c>
      <c r="J53" s="1078">
        <v>1702</v>
      </c>
      <c r="K53" s="1078">
        <v>700</v>
      </c>
      <c r="L53" s="60">
        <v>0</v>
      </c>
      <c r="M53" s="60">
        <v>0</v>
      </c>
      <c r="N53" s="60">
        <v>0</v>
      </c>
      <c r="O53" s="60">
        <v>0</v>
      </c>
    </row>
    <row r="54" spans="1:31">
      <c r="A54" s="58" t="s">
        <v>179</v>
      </c>
      <c r="B54" s="1072">
        <v>215</v>
      </c>
      <c r="C54" s="1069">
        <v>215</v>
      </c>
      <c r="D54" s="1070">
        <v>100</v>
      </c>
      <c r="E54" s="1071">
        <v>215</v>
      </c>
      <c r="F54" s="1080">
        <v>0</v>
      </c>
      <c r="G54" s="1081">
        <v>0</v>
      </c>
      <c r="H54" s="1081">
        <v>0</v>
      </c>
      <c r="I54" s="1078">
        <v>0</v>
      </c>
      <c r="J54" s="1078">
        <v>215</v>
      </c>
      <c r="K54" s="1078">
        <v>215</v>
      </c>
      <c r="L54" s="60">
        <v>0</v>
      </c>
      <c r="M54" s="60">
        <v>0</v>
      </c>
      <c r="N54" s="60">
        <v>0</v>
      </c>
      <c r="O54" s="60">
        <v>0</v>
      </c>
    </row>
    <row r="55" spans="1:31">
      <c r="A55" s="58" t="s">
        <v>183</v>
      </c>
      <c r="B55" s="1072">
        <v>1517</v>
      </c>
      <c r="C55" s="1069">
        <v>899.99999999999989</v>
      </c>
      <c r="D55" s="1070">
        <v>1517</v>
      </c>
      <c r="E55" s="1071">
        <v>1517</v>
      </c>
      <c r="F55" s="1080">
        <v>1213.6000000000001</v>
      </c>
      <c r="G55" s="1081">
        <v>0</v>
      </c>
      <c r="H55" s="1081">
        <v>0</v>
      </c>
      <c r="I55" s="1078">
        <v>0</v>
      </c>
      <c r="J55" s="1078">
        <v>1517</v>
      </c>
      <c r="K55" s="1078">
        <v>1500</v>
      </c>
      <c r="L55" s="60">
        <v>0</v>
      </c>
      <c r="M55" s="60">
        <v>0</v>
      </c>
      <c r="N55" s="60">
        <v>0</v>
      </c>
      <c r="O55" s="60">
        <v>0</v>
      </c>
    </row>
    <row r="56" spans="1:31">
      <c r="A56" s="58" t="s">
        <v>39</v>
      </c>
      <c r="B56" s="1072">
        <v>791</v>
      </c>
      <c r="C56" s="1069">
        <v>791</v>
      </c>
      <c r="D56" s="1070">
        <v>791</v>
      </c>
      <c r="E56" s="1071">
        <v>0</v>
      </c>
      <c r="F56" s="1080">
        <v>0</v>
      </c>
      <c r="G56" s="1081">
        <v>0</v>
      </c>
      <c r="H56" s="1081">
        <v>0</v>
      </c>
      <c r="I56" s="1078">
        <v>0</v>
      </c>
      <c r="J56" s="1078">
        <v>0</v>
      </c>
      <c r="K56" s="1078">
        <v>200</v>
      </c>
      <c r="L56" s="60">
        <v>0</v>
      </c>
      <c r="M56" s="60">
        <v>0</v>
      </c>
      <c r="N56" s="60">
        <v>0</v>
      </c>
      <c r="O56" s="60">
        <v>0</v>
      </c>
    </row>
    <row r="57" spans="1:31">
      <c r="A57" s="58" t="s">
        <v>165</v>
      </c>
      <c r="B57" s="1072">
        <v>166</v>
      </c>
      <c r="C57" s="1069">
        <v>166</v>
      </c>
      <c r="D57" s="1070">
        <v>80</v>
      </c>
      <c r="E57" s="1071">
        <v>166</v>
      </c>
      <c r="F57" s="1080">
        <v>0</v>
      </c>
      <c r="G57" s="1081">
        <v>0</v>
      </c>
      <c r="H57" s="1081">
        <v>0</v>
      </c>
      <c r="I57" s="1078">
        <v>0</v>
      </c>
      <c r="J57" s="1078">
        <v>166</v>
      </c>
      <c r="K57" s="1078">
        <v>166</v>
      </c>
      <c r="L57" s="60">
        <v>0</v>
      </c>
      <c r="M57" s="60">
        <v>0</v>
      </c>
      <c r="N57" s="60">
        <v>0</v>
      </c>
      <c r="O57" s="60">
        <v>0</v>
      </c>
    </row>
    <row r="58" spans="1:31">
      <c r="A58" s="58" t="s">
        <v>210</v>
      </c>
      <c r="B58" s="1072">
        <v>741</v>
      </c>
      <c r="C58" s="1069">
        <v>741</v>
      </c>
      <c r="D58" s="1070">
        <v>741</v>
      </c>
      <c r="E58" s="1071">
        <v>0</v>
      </c>
      <c r="F58" s="1080">
        <v>0</v>
      </c>
      <c r="G58" s="1081">
        <v>0</v>
      </c>
      <c r="H58" s="1081">
        <v>0</v>
      </c>
      <c r="I58" s="1078">
        <v>0</v>
      </c>
      <c r="J58" s="1078">
        <v>0</v>
      </c>
      <c r="K58" s="1078">
        <v>741</v>
      </c>
      <c r="L58" s="60">
        <v>0</v>
      </c>
      <c r="M58" s="60">
        <v>0</v>
      </c>
      <c r="N58" s="60">
        <v>0</v>
      </c>
      <c r="O58" s="60">
        <v>0</v>
      </c>
    </row>
    <row r="59" spans="1:31">
      <c r="A59" s="58" t="s">
        <v>287</v>
      </c>
      <c r="B59" s="1072">
        <v>512</v>
      </c>
      <c r="C59" s="1069">
        <v>512</v>
      </c>
      <c r="D59" s="1070">
        <v>512</v>
      </c>
      <c r="E59" s="1071">
        <v>512</v>
      </c>
      <c r="F59" s="1080">
        <v>512</v>
      </c>
      <c r="G59" s="1081">
        <v>0</v>
      </c>
      <c r="H59" s="1081">
        <v>0</v>
      </c>
      <c r="I59" s="1078">
        <v>512</v>
      </c>
      <c r="J59" s="1078">
        <v>512</v>
      </c>
      <c r="K59" s="1078">
        <v>512</v>
      </c>
      <c r="L59" s="60">
        <v>0</v>
      </c>
      <c r="M59" s="60">
        <v>0</v>
      </c>
      <c r="N59" s="60">
        <v>0</v>
      </c>
      <c r="O59" s="60">
        <v>0</v>
      </c>
    </row>
    <row r="60" spans="1:31">
      <c r="A60" s="58" t="s">
        <v>166</v>
      </c>
      <c r="B60" s="1072">
        <v>328</v>
      </c>
      <c r="C60" s="1069">
        <v>328</v>
      </c>
      <c r="D60" s="1070">
        <v>328</v>
      </c>
      <c r="E60" s="1071">
        <v>328</v>
      </c>
      <c r="F60" s="1080">
        <v>0</v>
      </c>
      <c r="G60" s="1081">
        <v>0</v>
      </c>
      <c r="H60" s="1081">
        <v>0</v>
      </c>
      <c r="I60" s="1078">
        <v>0</v>
      </c>
      <c r="J60" s="1078">
        <v>328</v>
      </c>
      <c r="K60" s="1078">
        <v>328</v>
      </c>
      <c r="L60" s="60">
        <v>0</v>
      </c>
      <c r="M60" s="60">
        <v>0</v>
      </c>
      <c r="N60" s="60">
        <v>0</v>
      </c>
      <c r="O60" s="60">
        <v>0</v>
      </c>
    </row>
    <row r="61" spans="1:31">
      <c r="A61" s="58" t="s">
        <v>298</v>
      </c>
      <c r="B61" s="1072">
        <v>708</v>
      </c>
      <c r="C61" s="1069">
        <v>500.00000000000006</v>
      </c>
      <c r="D61" s="1070">
        <v>366</v>
      </c>
      <c r="E61" s="1071">
        <v>0</v>
      </c>
      <c r="F61" s="1080">
        <v>0</v>
      </c>
      <c r="G61" s="1081">
        <v>0</v>
      </c>
      <c r="H61" s="1081">
        <v>0</v>
      </c>
      <c r="I61" s="1078">
        <v>0</v>
      </c>
      <c r="J61" s="1078">
        <v>0</v>
      </c>
      <c r="K61" s="1078">
        <v>200</v>
      </c>
      <c r="L61" s="60">
        <v>0</v>
      </c>
      <c r="M61" s="60">
        <v>0</v>
      </c>
      <c r="N61" s="60">
        <v>0</v>
      </c>
      <c r="O61" s="60">
        <v>0</v>
      </c>
    </row>
    <row r="62" spans="1:31">
      <c r="A62" s="58" t="s">
        <v>300</v>
      </c>
      <c r="B62" s="1072">
        <v>618</v>
      </c>
      <c r="C62" s="1069">
        <v>618</v>
      </c>
      <c r="D62" s="1070">
        <v>586</v>
      </c>
      <c r="E62" s="1071">
        <v>0</v>
      </c>
      <c r="F62" s="1080">
        <v>18.54</v>
      </c>
      <c r="G62" s="1081">
        <v>500</v>
      </c>
      <c r="H62" s="1081">
        <v>0</v>
      </c>
      <c r="I62" s="1078">
        <v>0</v>
      </c>
      <c r="J62" s="1078">
        <v>0</v>
      </c>
      <c r="K62" s="1078">
        <v>300</v>
      </c>
      <c r="L62" s="60">
        <v>500</v>
      </c>
      <c r="M62" s="60">
        <v>0</v>
      </c>
      <c r="N62" s="60">
        <v>0</v>
      </c>
      <c r="O62" s="60">
        <v>0</v>
      </c>
    </row>
    <row r="63" spans="1:31">
      <c r="A63" s="58" t="s">
        <v>301</v>
      </c>
      <c r="B63" s="1072">
        <v>2725</v>
      </c>
      <c r="C63" s="1069">
        <v>2725</v>
      </c>
      <c r="D63" s="1070">
        <v>2725</v>
      </c>
      <c r="E63" s="1071">
        <v>0</v>
      </c>
      <c r="F63" s="1080">
        <v>0.09</v>
      </c>
      <c r="G63" s="1081">
        <v>500</v>
      </c>
      <c r="H63" s="1081">
        <v>0</v>
      </c>
      <c r="I63" s="1078">
        <v>0</v>
      </c>
      <c r="J63" s="1078">
        <v>0</v>
      </c>
      <c r="K63" s="1078">
        <v>200</v>
      </c>
      <c r="L63" s="60">
        <v>500</v>
      </c>
      <c r="M63" s="60">
        <v>0</v>
      </c>
      <c r="N63" s="60">
        <v>0</v>
      </c>
      <c r="O63" s="60">
        <v>0</v>
      </c>
    </row>
    <row r="64" spans="1:31">
      <c r="A64" s="58" t="s">
        <v>302</v>
      </c>
      <c r="B64" s="1072">
        <v>857</v>
      </c>
      <c r="C64" s="1069">
        <v>857</v>
      </c>
      <c r="D64" s="1070">
        <v>857</v>
      </c>
      <c r="E64" s="1071">
        <v>0</v>
      </c>
      <c r="F64" s="1080">
        <v>0</v>
      </c>
      <c r="G64" s="1081">
        <v>500</v>
      </c>
      <c r="H64" s="1081">
        <v>0</v>
      </c>
      <c r="I64" s="1078">
        <v>0</v>
      </c>
      <c r="J64" s="1078">
        <v>0</v>
      </c>
      <c r="K64" s="1078">
        <v>400</v>
      </c>
      <c r="L64" s="60">
        <v>500</v>
      </c>
      <c r="M64" s="60">
        <v>0</v>
      </c>
      <c r="N64" s="60">
        <v>0</v>
      </c>
      <c r="O64" s="60">
        <v>0</v>
      </c>
    </row>
    <row r="65" spans="1:15">
      <c r="A65" s="58" t="s">
        <v>193</v>
      </c>
      <c r="B65" s="1072">
        <v>789</v>
      </c>
      <c r="C65" s="1069">
        <v>789</v>
      </c>
      <c r="D65" s="1070">
        <v>789</v>
      </c>
      <c r="E65" s="1071">
        <v>570</v>
      </c>
      <c r="F65" s="1080">
        <v>0</v>
      </c>
      <c r="G65" s="1081">
        <v>0</v>
      </c>
      <c r="H65" s="1081">
        <v>0</v>
      </c>
      <c r="I65" s="1078">
        <v>570</v>
      </c>
      <c r="J65" s="1078">
        <v>0</v>
      </c>
      <c r="K65" s="1078">
        <v>400</v>
      </c>
      <c r="L65" s="60">
        <v>0</v>
      </c>
      <c r="M65" s="60">
        <v>0</v>
      </c>
      <c r="N65" s="60">
        <v>0</v>
      </c>
      <c r="O65" s="60">
        <v>0</v>
      </c>
    </row>
    <row r="66" spans="1:15">
      <c r="A66" s="58" t="s">
        <v>263</v>
      </c>
      <c r="B66" s="1072">
        <v>82</v>
      </c>
      <c r="C66" s="1069">
        <v>82</v>
      </c>
      <c r="D66" s="1070">
        <v>82</v>
      </c>
      <c r="E66" s="1071">
        <v>82</v>
      </c>
      <c r="F66" s="1080">
        <v>61.5</v>
      </c>
      <c r="G66" s="1081">
        <v>0</v>
      </c>
      <c r="H66" s="1081">
        <v>0</v>
      </c>
      <c r="I66" s="1078">
        <v>0</v>
      </c>
      <c r="J66" s="1078">
        <v>82</v>
      </c>
      <c r="K66" s="1078">
        <v>82</v>
      </c>
      <c r="L66" s="60">
        <v>0</v>
      </c>
      <c r="M66" s="60">
        <v>0</v>
      </c>
      <c r="N66" s="60">
        <v>0</v>
      </c>
      <c r="O66" s="60">
        <v>0</v>
      </c>
    </row>
    <row r="67" spans="1:15">
      <c r="A67" s="58" t="s">
        <v>264</v>
      </c>
      <c r="B67" s="1072">
        <v>78</v>
      </c>
      <c r="C67" s="1069">
        <v>78</v>
      </c>
      <c r="D67" s="1070">
        <v>78</v>
      </c>
      <c r="E67" s="1071">
        <v>78</v>
      </c>
      <c r="F67" s="1080">
        <v>62.400000000000006</v>
      </c>
      <c r="G67" s="1081">
        <v>78</v>
      </c>
      <c r="H67" s="1081">
        <v>0</v>
      </c>
      <c r="I67" s="1078">
        <v>78</v>
      </c>
      <c r="J67" s="1078">
        <v>78</v>
      </c>
      <c r="K67" s="1078">
        <v>78</v>
      </c>
      <c r="L67" s="60">
        <v>78</v>
      </c>
      <c r="M67" s="60">
        <v>0</v>
      </c>
      <c r="N67" s="60">
        <v>0</v>
      </c>
      <c r="O67" s="60">
        <v>0</v>
      </c>
    </row>
    <row r="68" spans="1:15">
      <c r="A68" s="58" t="s">
        <v>213</v>
      </c>
      <c r="B68" s="1072">
        <v>424</v>
      </c>
      <c r="C68" s="1069">
        <v>424</v>
      </c>
      <c r="D68" s="1070">
        <v>80</v>
      </c>
      <c r="E68" s="1071">
        <v>424</v>
      </c>
      <c r="F68" s="1080">
        <v>339.20000000000005</v>
      </c>
      <c r="G68" s="1081">
        <v>0</v>
      </c>
      <c r="H68" s="1081">
        <v>0</v>
      </c>
      <c r="I68" s="1078">
        <v>0</v>
      </c>
      <c r="J68" s="1078">
        <v>424</v>
      </c>
      <c r="K68" s="1078">
        <v>424</v>
      </c>
      <c r="L68" s="60">
        <v>0</v>
      </c>
      <c r="M68" s="60">
        <v>0</v>
      </c>
      <c r="N68" s="60">
        <v>0</v>
      </c>
      <c r="O68" s="60">
        <v>0</v>
      </c>
    </row>
    <row r="69" spans="1:15">
      <c r="A69" s="58" t="s">
        <v>2222</v>
      </c>
      <c r="B69" s="1072">
        <v>203</v>
      </c>
      <c r="C69" s="1069">
        <v>203</v>
      </c>
      <c r="D69" s="1070">
        <v>144</v>
      </c>
      <c r="E69" s="1071">
        <v>203</v>
      </c>
      <c r="F69" s="1080">
        <v>0</v>
      </c>
      <c r="G69" s="1081">
        <v>0</v>
      </c>
      <c r="H69" s="1081">
        <v>0</v>
      </c>
      <c r="I69" s="1078">
        <v>0</v>
      </c>
      <c r="J69" s="1078">
        <v>203</v>
      </c>
      <c r="K69" s="1078">
        <v>200</v>
      </c>
      <c r="L69" s="60">
        <v>0</v>
      </c>
      <c r="M69" s="60">
        <v>0</v>
      </c>
      <c r="N69" s="60">
        <v>0</v>
      </c>
      <c r="O69" s="60">
        <v>0</v>
      </c>
    </row>
    <row r="70" spans="1:15">
      <c r="A70" s="58" t="s">
        <v>190</v>
      </c>
      <c r="B70" s="1072">
        <v>105</v>
      </c>
      <c r="C70" s="1069">
        <v>105</v>
      </c>
      <c r="D70" s="1070">
        <v>0</v>
      </c>
      <c r="E70" s="1071">
        <v>0</v>
      </c>
      <c r="F70" s="1080">
        <v>0</v>
      </c>
      <c r="G70" s="1081">
        <v>0</v>
      </c>
      <c r="H70" s="1081">
        <v>0</v>
      </c>
      <c r="I70" s="1078">
        <v>0</v>
      </c>
      <c r="J70" s="1078">
        <v>0</v>
      </c>
      <c r="K70" s="1078">
        <v>105</v>
      </c>
      <c r="L70" s="60">
        <v>0</v>
      </c>
      <c r="M70" s="60">
        <v>0</v>
      </c>
      <c r="N70" s="60">
        <v>0</v>
      </c>
      <c r="O70" s="60">
        <v>0</v>
      </c>
    </row>
    <row r="71" spans="1:15">
      <c r="A71" s="58" t="s">
        <v>258</v>
      </c>
      <c r="B71" s="1072">
        <v>24</v>
      </c>
      <c r="C71" s="1069">
        <v>24</v>
      </c>
      <c r="D71" s="1070">
        <v>24</v>
      </c>
      <c r="E71" s="1071">
        <v>24</v>
      </c>
      <c r="F71" s="1080">
        <v>21.6</v>
      </c>
      <c r="G71" s="1081">
        <v>0</v>
      </c>
      <c r="H71" s="1081">
        <v>0</v>
      </c>
      <c r="I71" s="1078">
        <v>24</v>
      </c>
      <c r="J71" s="1078">
        <v>24</v>
      </c>
      <c r="K71" s="1078">
        <v>0</v>
      </c>
      <c r="L71" s="60">
        <v>0</v>
      </c>
      <c r="M71" s="60">
        <v>0</v>
      </c>
      <c r="N71" s="60">
        <v>0</v>
      </c>
      <c r="O71" s="60">
        <v>0</v>
      </c>
    </row>
    <row r="72" spans="1:15">
      <c r="A72" s="58" t="s">
        <v>1607</v>
      </c>
      <c r="B72" s="1072">
        <v>325</v>
      </c>
      <c r="C72" s="1069">
        <v>325</v>
      </c>
      <c r="D72" s="1070">
        <v>325</v>
      </c>
      <c r="E72" s="1071">
        <v>325</v>
      </c>
      <c r="F72" s="1080">
        <v>0</v>
      </c>
      <c r="G72" s="1081">
        <v>0</v>
      </c>
      <c r="H72" s="1081">
        <v>0</v>
      </c>
      <c r="I72" s="1078">
        <v>0</v>
      </c>
      <c r="J72" s="1078">
        <v>325</v>
      </c>
      <c r="K72" s="1078">
        <v>325</v>
      </c>
      <c r="L72" s="60">
        <v>0</v>
      </c>
      <c r="M72" s="60">
        <v>0</v>
      </c>
      <c r="N72" s="60">
        <v>0</v>
      </c>
      <c r="O72" s="60">
        <v>0</v>
      </c>
    </row>
    <row r="73" spans="1:15">
      <c r="A73" s="58" t="s">
        <v>234</v>
      </c>
      <c r="B73" s="1072">
        <v>274</v>
      </c>
      <c r="C73" s="1069">
        <v>274</v>
      </c>
      <c r="D73" s="1070">
        <v>274</v>
      </c>
      <c r="E73" s="1071">
        <v>274</v>
      </c>
      <c r="F73" s="1080">
        <v>0</v>
      </c>
      <c r="G73" s="1081">
        <v>0</v>
      </c>
      <c r="H73" s="1081">
        <v>0</v>
      </c>
      <c r="I73" s="1078">
        <v>0</v>
      </c>
      <c r="J73" s="1078">
        <v>274</v>
      </c>
      <c r="K73" s="1078">
        <v>274</v>
      </c>
      <c r="L73" s="60">
        <v>0</v>
      </c>
      <c r="M73" s="60">
        <v>0</v>
      </c>
      <c r="N73" s="60">
        <v>0</v>
      </c>
      <c r="O73" s="60">
        <v>0</v>
      </c>
    </row>
    <row r="74" spans="1:15">
      <c r="A74" s="58" t="s">
        <v>231</v>
      </c>
      <c r="B74" s="1072">
        <v>227</v>
      </c>
      <c r="C74" s="1069">
        <v>227</v>
      </c>
      <c r="D74" s="1070">
        <v>227</v>
      </c>
      <c r="E74" s="1071">
        <v>227</v>
      </c>
      <c r="F74" s="1080">
        <v>0</v>
      </c>
      <c r="G74" s="1081">
        <v>0</v>
      </c>
      <c r="H74" s="1081">
        <v>0</v>
      </c>
      <c r="I74" s="1078">
        <v>0</v>
      </c>
      <c r="J74" s="1078">
        <v>227</v>
      </c>
      <c r="K74" s="1078">
        <v>227</v>
      </c>
      <c r="L74" s="60">
        <v>0</v>
      </c>
      <c r="M74" s="60">
        <v>0</v>
      </c>
      <c r="N74" s="60">
        <v>0</v>
      </c>
      <c r="O74" s="60">
        <v>0</v>
      </c>
    </row>
    <row r="75" spans="1:15">
      <c r="A75" s="58" t="s">
        <v>155</v>
      </c>
      <c r="B75" s="1072">
        <v>49</v>
      </c>
      <c r="C75" s="1069">
        <v>49</v>
      </c>
      <c r="D75" s="1070">
        <v>40</v>
      </c>
      <c r="E75" s="1071">
        <v>49</v>
      </c>
      <c r="F75" s="1080">
        <v>0</v>
      </c>
      <c r="G75" s="1081">
        <v>0</v>
      </c>
      <c r="H75" s="1081">
        <v>0</v>
      </c>
      <c r="I75" s="1078">
        <v>0</v>
      </c>
      <c r="J75" s="1078">
        <v>49</v>
      </c>
      <c r="K75" s="1078">
        <v>49</v>
      </c>
      <c r="L75" s="60">
        <v>0</v>
      </c>
      <c r="M75" s="60">
        <v>0</v>
      </c>
      <c r="N75" s="60">
        <v>0</v>
      </c>
      <c r="O75" s="60">
        <v>0</v>
      </c>
    </row>
    <row r="76" spans="1:15">
      <c r="A76" s="58" t="s">
        <v>158</v>
      </c>
      <c r="B76" s="1072">
        <v>58</v>
      </c>
      <c r="C76" s="1069">
        <v>58</v>
      </c>
      <c r="D76" s="1070">
        <v>58</v>
      </c>
      <c r="E76" s="1071">
        <v>58</v>
      </c>
      <c r="F76" s="1080">
        <v>0</v>
      </c>
      <c r="G76" s="1081">
        <v>0</v>
      </c>
      <c r="H76" s="1081">
        <v>0</v>
      </c>
      <c r="I76" s="1078">
        <v>0</v>
      </c>
      <c r="J76" s="1078">
        <v>58</v>
      </c>
      <c r="K76" s="1078">
        <v>58</v>
      </c>
      <c r="L76" s="60">
        <v>0</v>
      </c>
      <c r="M76" s="60">
        <v>0</v>
      </c>
      <c r="N76" s="60">
        <v>0</v>
      </c>
      <c r="O76" s="60">
        <v>0</v>
      </c>
    </row>
    <row r="77" spans="1:15">
      <c r="A77" s="58" t="s">
        <v>185</v>
      </c>
      <c r="B77" s="1072">
        <v>584</v>
      </c>
      <c r="C77" s="1069">
        <v>584</v>
      </c>
      <c r="D77" s="1070">
        <v>584</v>
      </c>
      <c r="E77" s="1071">
        <v>584</v>
      </c>
      <c r="F77" s="1080">
        <v>0</v>
      </c>
      <c r="G77" s="1081">
        <v>0</v>
      </c>
      <c r="H77" s="1081">
        <v>0</v>
      </c>
      <c r="I77" s="1078">
        <v>0</v>
      </c>
      <c r="J77" s="1078">
        <v>584</v>
      </c>
      <c r="K77" s="1078">
        <v>300</v>
      </c>
      <c r="L77" s="60">
        <v>0</v>
      </c>
      <c r="M77" s="60">
        <v>0</v>
      </c>
      <c r="N77" s="60">
        <v>0</v>
      </c>
      <c r="O77" s="60">
        <v>0</v>
      </c>
    </row>
    <row r="78" spans="1:15">
      <c r="A78" s="58" t="s">
        <v>295</v>
      </c>
      <c r="B78" s="1072">
        <v>1570</v>
      </c>
      <c r="C78" s="1069">
        <v>1500</v>
      </c>
      <c r="D78" s="1070">
        <v>1570</v>
      </c>
      <c r="E78" s="1071">
        <v>1570</v>
      </c>
      <c r="F78" s="1080">
        <v>0</v>
      </c>
      <c r="G78" s="1081">
        <v>1000</v>
      </c>
      <c r="H78" s="1081">
        <v>100</v>
      </c>
      <c r="I78" s="1078">
        <v>0</v>
      </c>
      <c r="J78" s="1078">
        <v>1570</v>
      </c>
      <c r="K78" s="1078">
        <v>800</v>
      </c>
      <c r="L78" s="60">
        <v>1000</v>
      </c>
      <c r="M78" s="60">
        <v>0</v>
      </c>
      <c r="N78" s="60">
        <v>0</v>
      </c>
      <c r="O78" s="60">
        <v>100</v>
      </c>
    </row>
    <row r="79" spans="1:15">
      <c r="A79" s="58" t="s">
        <v>167</v>
      </c>
      <c r="B79" s="1072">
        <v>320</v>
      </c>
      <c r="C79" s="1069">
        <v>320</v>
      </c>
      <c r="D79" s="1070">
        <v>300</v>
      </c>
      <c r="E79" s="1071">
        <v>320</v>
      </c>
      <c r="F79" s="1080">
        <v>0</v>
      </c>
      <c r="G79" s="1081">
        <v>0</v>
      </c>
      <c r="H79" s="1081">
        <v>0</v>
      </c>
      <c r="I79" s="1078">
        <v>0</v>
      </c>
      <c r="J79" s="1078">
        <v>320</v>
      </c>
      <c r="K79" s="1078">
        <v>100</v>
      </c>
      <c r="L79" s="60">
        <v>0</v>
      </c>
      <c r="M79" s="60">
        <v>0</v>
      </c>
      <c r="N79" s="60">
        <v>0</v>
      </c>
      <c r="O79" s="60">
        <v>0</v>
      </c>
    </row>
    <row r="80" spans="1:15">
      <c r="A80" s="58" t="s">
        <v>284</v>
      </c>
      <c r="B80" s="1072">
        <v>297</v>
      </c>
      <c r="C80" s="1069">
        <v>297</v>
      </c>
      <c r="D80" s="1070">
        <v>263</v>
      </c>
      <c r="E80" s="1071">
        <v>297</v>
      </c>
      <c r="F80" s="1080">
        <v>297</v>
      </c>
      <c r="G80" s="1081">
        <v>0</v>
      </c>
      <c r="H80" s="1081">
        <v>0</v>
      </c>
      <c r="I80" s="1078">
        <v>297</v>
      </c>
      <c r="J80" s="1078">
        <v>297</v>
      </c>
      <c r="K80" s="1078">
        <v>297</v>
      </c>
      <c r="L80" s="60">
        <v>0</v>
      </c>
      <c r="M80" s="60">
        <v>0</v>
      </c>
      <c r="N80" s="60">
        <v>0</v>
      </c>
      <c r="O80" s="60">
        <v>0</v>
      </c>
    </row>
    <row r="81" spans="1:15">
      <c r="A81" s="58" t="s">
        <v>235</v>
      </c>
      <c r="B81" s="1072">
        <v>959</v>
      </c>
      <c r="C81" s="1069">
        <v>959</v>
      </c>
      <c r="D81" s="1070">
        <v>660</v>
      </c>
      <c r="E81" s="1071">
        <v>959</v>
      </c>
      <c r="F81" s="1080">
        <v>0</v>
      </c>
      <c r="G81" s="1081">
        <v>0</v>
      </c>
      <c r="H81" s="1081">
        <v>0</v>
      </c>
      <c r="I81" s="1078">
        <v>0</v>
      </c>
      <c r="J81" s="1078">
        <v>959</v>
      </c>
      <c r="K81" s="1078">
        <v>800</v>
      </c>
      <c r="L81" s="60">
        <v>0</v>
      </c>
      <c r="M81" s="60">
        <v>0</v>
      </c>
      <c r="N81" s="60">
        <v>0</v>
      </c>
      <c r="O81" s="60">
        <v>0</v>
      </c>
    </row>
    <row r="82" spans="1:15">
      <c r="A82" s="58" t="s">
        <v>1600</v>
      </c>
      <c r="B82" s="1072">
        <v>1215</v>
      </c>
      <c r="C82" s="1069">
        <v>1215</v>
      </c>
      <c r="D82" s="1070">
        <v>1215</v>
      </c>
      <c r="E82" s="1071">
        <v>500</v>
      </c>
      <c r="F82" s="1080">
        <v>0</v>
      </c>
      <c r="G82" s="1081">
        <v>0</v>
      </c>
      <c r="H82" s="1081">
        <v>0</v>
      </c>
      <c r="I82" s="1078">
        <v>0</v>
      </c>
      <c r="J82" s="1078">
        <v>500</v>
      </c>
      <c r="K82" s="1078">
        <v>400</v>
      </c>
      <c r="L82" s="60">
        <v>0</v>
      </c>
      <c r="M82" s="60">
        <v>0</v>
      </c>
      <c r="N82" s="60">
        <v>0</v>
      </c>
      <c r="O82" s="60">
        <v>0</v>
      </c>
    </row>
    <row r="83" spans="1:15">
      <c r="A83" s="58" t="s">
        <v>296</v>
      </c>
      <c r="B83" s="1072">
        <v>3682</v>
      </c>
      <c r="C83" s="1069">
        <v>250</v>
      </c>
      <c r="D83" s="1070">
        <v>3040</v>
      </c>
      <c r="E83" s="1071">
        <v>3000</v>
      </c>
      <c r="F83" s="1080">
        <v>0</v>
      </c>
      <c r="G83" s="1081">
        <v>3000</v>
      </c>
      <c r="H83" s="1081">
        <v>100</v>
      </c>
      <c r="I83" s="1078">
        <v>0</v>
      </c>
      <c r="J83" s="1078">
        <v>3000</v>
      </c>
      <c r="K83" s="1078">
        <v>700</v>
      </c>
      <c r="L83" s="60">
        <v>3000</v>
      </c>
      <c r="M83" s="60">
        <v>0</v>
      </c>
      <c r="N83" s="60">
        <v>0</v>
      </c>
      <c r="O83" s="60">
        <v>100</v>
      </c>
    </row>
    <row r="84" spans="1:15">
      <c r="A84" s="58" t="s">
        <v>180</v>
      </c>
      <c r="B84" s="1072">
        <v>973</v>
      </c>
      <c r="C84" s="1069">
        <v>133.33333333333334</v>
      </c>
      <c r="D84" s="1070">
        <v>750</v>
      </c>
      <c r="E84" s="1071">
        <v>973</v>
      </c>
      <c r="F84" s="1080">
        <v>0</v>
      </c>
      <c r="G84" s="1081">
        <v>0</v>
      </c>
      <c r="H84" s="1081">
        <v>0</v>
      </c>
      <c r="I84" s="1078">
        <v>0</v>
      </c>
      <c r="J84" s="1078">
        <v>973</v>
      </c>
      <c r="K84" s="1078">
        <v>973</v>
      </c>
      <c r="L84" s="60">
        <v>0</v>
      </c>
      <c r="M84" s="60">
        <v>0</v>
      </c>
      <c r="N84" s="60">
        <v>0</v>
      </c>
      <c r="O84" s="60">
        <v>0</v>
      </c>
    </row>
    <row r="85" spans="1:15">
      <c r="A85" s="58" t="s">
        <v>279</v>
      </c>
      <c r="B85" s="1072">
        <v>334</v>
      </c>
      <c r="C85" s="1069">
        <v>334</v>
      </c>
      <c r="D85" s="1070">
        <v>334</v>
      </c>
      <c r="E85" s="1071">
        <v>290</v>
      </c>
      <c r="F85" s="1080">
        <v>0</v>
      </c>
      <c r="G85" s="1081">
        <v>0</v>
      </c>
      <c r="H85" s="1081">
        <v>0</v>
      </c>
      <c r="I85" s="1078">
        <v>290</v>
      </c>
      <c r="J85" s="1078">
        <v>0</v>
      </c>
      <c r="K85" s="1078">
        <v>334</v>
      </c>
      <c r="L85" s="60">
        <v>0</v>
      </c>
      <c r="M85" s="60">
        <v>0</v>
      </c>
      <c r="N85" s="60">
        <v>0</v>
      </c>
      <c r="O85" s="60">
        <v>0</v>
      </c>
    </row>
    <row r="86" spans="1:15">
      <c r="A86" s="58" t="s">
        <v>271</v>
      </c>
      <c r="B86" s="1072">
        <v>298</v>
      </c>
      <c r="C86" s="1069">
        <v>298</v>
      </c>
      <c r="D86" s="1070">
        <v>298</v>
      </c>
      <c r="E86" s="1071">
        <v>298</v>
      </c>
      <c r="F86" s="1080">
        <v>295.02</v>
      </c>
      <c r="G86" s="1081">
        <v>0</v>
      </c>
      <c r="H86" s="1081">
        <v>298</v>
      </c>
      <c r="I86" s="1078">
        <v>298</v>
      </c>
      <c r="J86" s="1078">
        <v>298</v>
      </c>
      <c r="K86" s="1078">
        <v>298</v>
      </c>
      <c r="L86" s="60">
        <v>0</v>
      </c>
      <c r="M86" s="60">
        <v>298</v>
      </c>
      <c r="N86" s="60">
        <v>0</v>
      </c>
      <c r="O86" s="60">
        <v>0</v>
      </c>
    </row>
    <row r="87" spans="1:15">
      <c r="A87" s="58" t="s">
        <v>181</v>
      </c>
      <c r="B87" s="1072">
        <v>279</v>
      </c>
      <c r="C87" s="1069">
        <v>279</v>
      </c>
      <c r="D87" s="1070">
        <v>279</v>
      </c>
      <c r="E87" s="1071">
        <v>279</v>
      </c>
      <c r="F87" s="1080">
        <v>0</v>
      </c>
      <c r="G87" s="1081">
        <v>0</v>
      </c>
      <c r="H87" s="1081">
        <v>0</v>
      </c>
      <c r="I87" s="1078">
        <v>0</v>
      </c>
      <c r="J87" s="1078">
        <v>279</v>
      </c>
      <c r="K87" s="1078">
        <v>279</v>
      </c>
      <c r="L87" s="60">
        <v>0</v>
      </c>
      <c r="M87" s="60">
        <v>0</v>
      </c>
      <c r="N87" s="60">
        <v>0</v>
      </c>
      <c r="O87" s="60">
        <v>0</v>
      </c>
    </row>
    <row r="88" spans="1:15">
      <c r="A88" s="58" t="s">
        <v>259</v>
      </c>
      <c r="B88" s="1072">
        <v>72</v>
      </c>
      <c r="C88" s="1069">
        <v>72</v>
      </c>
      <c r="D88" s="1070">
        <v>40</v>
      </c>
      <c r="E88" s="1071">
        <v>72</v>
      </c>
      <c r="F88" s="1080">
        <v>72</v>
      </c>
      <c r="G88" s="1081">
        <v>0</v>
      </c>
      <c r="H88" s="1081">
        <v>0</v>
      </c>
      <c r="I88" s="1078">
        <v>72</v>
      </c>
      <c r="J88" s="1078">
        <v>72</v>
      </c>
      <c r="K88" s="1078">
        <v>72</v>
      </c>
      <c r="L88" s="60">
        <v>0</v>
      </c>
      <c r="M88" s="60">
        <v>0</v>
      </c>
      <c r="N88" s="60">
        <v>0</v>
      </c>
      <c r="O88" s="60">
        <v>0</v>
      </c>
    </row>
    <row r="89" spans="1:15">
      <c r="A89" s="58" t="s">
        <v>280</v>
      </c>
      <c r="B89" s="1072">
        <v>3451</v>
      </c>
      <c r="C89" s="1069">
        <v>3451</v>
      </c>
      <c r="D89" s="1070">
        <v>2983</v>
      </c>
      <c r="E89" s="1071">
        <v>3451</v>
      </c>
      <c r="F89" s="1080">
        <v>3451</v>
      </c>
      <c r="G89" s="1081">
        <v>0</v>
      </c>
      <c r="H89" s="1081">
        <v>0</v>
      </c>
      <c r="I89" s="1078">
        <v>3451</v>
      </c>
      <c r="J89" s="1078">
        <v>3000</v>
      </c>
      <c r="K89" s="1078">
        <v>3200</v>
      </c>
      <c r="L89" s="60">
        <v>0</v>
      </c>
      <c r="M89" s="60">
        <v>0</v>
      </c>
      <c r="N89" s="60">
        <v>0</v>
      </c>
      <c r="O89" s="60">
        <v>0</v>
      </c>
    </row>
    <row r="90" spans="1:15">
      <c r="A90" s="58" t="s">
        <v>187</v>
      </c>
      <c r="B90" s="1072">
        <v>342</v>
      </c>
      <c r="C90" s="1069">
        <v>342</v>
      </c>
      <c r="D90" s="1070">
        <v>342</v>
      </c>
      <c r="E90" s="1071">
        <v>342</v>
      </c>
      <c r="F90" s="1080">
        <v>0</v>
      </c>
      <c r="G90" s="1081">
        <v>0</v>
      </c>
      <c r="H90" s="1081">
        <v>250</v>
      </c>
      <c r="I90" s="1078">
        <v>0</v>
      </c>
      <c r="J90" s="1078">
        <v>342</v>
      </c>
      <c r="K90" s="1078">
        <v>100</v>
      </c>
      <c r="L90" s="60">
        <v>0</v>
      </c>
      <c r="M90" s="60">
        <v>0</v>
      </c>
      <c r="N90" s="60">
        <v>0</v>
      </c>
      <c r="O90" s="60">
        <v>250</v>
      </c>
    </row>
    <row r="91" spans="1:15">
      <c r="A91" s="58" t="s">
        <v>156</v>
      </c>
      <c r="B91" s="1072">
        <v>141</v>
      </c>
      <c r="C91" s="1069">
        <v>141</v>
      </c>
      <c r="D91" s="1070">
        <v>141</v>
      </c>
      <c r="E91" s="1071">
        <v>141</v>
      </c>
      <c r="F91" s="1080">
        <v>0</v>
      </c>
      <c r="G91" s="1081">
        <v>0</v>
      </c>
      <c r="H91" s="1081">
        <v>0</v>
      </c>
      <c r="I91" s="1078">
        <v>0</v>
      </c>
      <c r="J91" s="1078">
        <v>141</v>
      </c>
      <c r="K91" s="1078">
        <v>141</v>
      </c>
      <c r="L91" s="60">
        <v>0</v>
      </c>
      <c r="M91" s="60">
        <v>0</v>
      </c>
      <c r="N91" s="60">
        <v>0</v>
      </c>
      <c r="O91" s="60">
        <v>0</v>
      </c>
    </row>
    <row r="92" spans="1:15">
      <c r="A92" s="58" t="s">
        <v>2224</v>
      </c>
      <c r="B92" s="1072">
        <v>127</v>
      </c>
      <c r="C92" s="1069">
        <v>127</v>
      </c>
      <c r="D92" s="1070">
        <v>120</v>
      </c>
      <c r="E92" s="1071">
        <v>127</v>
      </c>
      <c r="F92" s="1080">
        <v>0</v>
      </c>
      <c r="G92" s="1081">
        <v>0</v>
      </c>
      <c r="H92" s="1081">
        <v>0</v>
      </c>
      <c r="I92" s="1078">
        <v>0</v>
      </c>
      <c r="J92" s="1078">
        <v>127</v>
      </c>
      <c r="K92" s="1078">
        <v>127</v>
      </c>
      <c r="L92" s="60">
        <v>0</v>
      </c>
      <c r="M92" s="60">
        <v>0</v>
      </c>
      <c r="N92" s="60">
        <v>0</v>
      </c>
      <c r="O92" s="60">
        <v>0</v>
      </c>
    </row>
    <row r="93" spans="1:15">
      <c r="A93" s="58" t="s">
        <v>286</v>
      </c>
      <c r="B93" s="1072">
        <v>266</v>
      </c>
      <c r="C93" s="1069">
        <v>266</v>
      </c>
      <c r="D93" s="1070">
        <v>266</v>
      </c>
      <c r="E93" s="1071">
        <v>266</v>
      </c>
      <c r="F93" s="1080">
        <v>266</v>
      </c>
      <c r="G93" s="1081">
        <v>0</v>
      </c>
      <c r="H93" s="1081">
        <v>0</v>
      </c>
      <c r="I93" s="1078">
        <v>266</v>
      </c>
      <c r="J93" s="1078">
        <v>266</v>
      </c>
      <c r="K93" s="1078">
        <v>266</v>
      </c>
      <c r="L93" s="60">
        <v>0</v>
      </c>
      <c r="M93" s="60">
        <v>0</v>
      </c>
      <c r="N93" s="60">
        <v>0</v>
      </c>
      <c r="O93" s="60">
        <v>0</v>
      </c>
    </row>
    <row r="94" spans="1:15">
      <c r="A94" s="58" t="s">
        <v>143</v>
      </c>
      <c r="B94" s="1072">
        <v>1463</v>
      </c>
      <c r="C94" s="1069">
        <v>266.67037037037039</v>
      </c>
      <c r="D94" s="1070">
        <v>1463</v>
      </c>
      <c r="E94" s="1071">
        <v>1463</v>
      </c>
      <c r="F94" s="1080">
        <v>0</v>
      </c>
      <c r="G94" s="1081">
        <v>0</v>
      </c>
      <c r="H94" s="1081">
        <v>0</v>
      </c>
      <c r="I94" s="1078">
        <v>0</v>
      </c>
      <c r="J94" s="1078">
        <v>1463</v>
      </c>
      <c r="K94" s="1078">
        <v>1463</v>
      </c>
      <c r="L94" s="60">
        <v>0</v>
      </c>
      <c r="M94" s="60">
        <v>0</v>
      </c>
      <c r="N94" s="60">
        <v>0</v>
      </c>
      <c r="O94" s="60">
        <v>0</v>
      </c>
    </row>
    <row r="95" spans="1:15">
      <c r="A95" s="58" t="s">
        <v>168</v>
      </c>
      <c r="B95" s="1072">
        <v>120</v>
      </c>
      <c r="C95" s="1069">
        <v>120</v>
      </c>
      <c r="D95" s="1070">
        <v>120</v>
      </c>
      <c r="E95" s="1071">
        <v>120</v>
      </c>
      <c r="F95" s="1080">
        <v>0</v>
      </c>
      <c r="G95" s="1081">
        <v>0</v>
      </c>
      <c r="H95" s="1081">
        <v>0</v>
      </c>
      <c r="I95" s="1078">
        <v>0</v>
      </c>
      <c r="J95" s="1078">
        <v>120</v>
      </c>
      <c r="K95" s="1078">
        <v>100</v>
      </c>
      <c r="L95" s="60">
        <v>0</v>
      </c>
      <c r="M95" s="60">
        <v>0</v>
      </c>
      <c r="N95" s="60">
        <v>0</v>
      </c>
      <c r="O95" s="60">
        <v>0</v>
      </c>
    </row>
    <row r="96" spans="1:15">
      <c r="A96" s="58" t="s">
        <v>265</v>
      </c>
      <c r="B96" s="1072">
        <v>101</v>
      </c>
      <c r="C96" s="1069">
        <v>101</v>
      </c>
      <c r="D96" s="1070">
        <v>100</v>
      </c>
      <c r="E96" s="1071">
        <v>101</v>
      </c>
      <c r="F96" s="1080">
        <v>101</v>
      </c>
      <c r="G96" s="1081">
        <v>101</v>
      </c>
      <c r="H96" s="1081">
        <v>101</v>
      </c>
      <c r="I96" s="1078">
        <v>101</v>
      </c>
      <c r="J96" s="1078">
        <v>101</v>
      </c>
      <c r="K96" s="1078">
        <v>101</v>
      </c>
      <c r="L96" s="60">
        <v>101</v>
      </c>
      <c r="M96" s="60">
        <v>101</v>
      </c>
      <c r="N96" s="60">
        <v>0</v>
      </c>
      <c r="O96" s="60">
        <v>0</v>
      </c>
    </row>
    <row r="97" spans="1:15">
      <c r="A97" s="58" t="s">
        <v>182</v>
      </c>
      <c r="B97" s="1072">
        <v>984</v>
      </c>
      <c r="C97" s="1069">
        <v>200</v>
      </c>
      <c r="D97" s="1070">
        <v>984</v>
      </c>
      <c r="E97" s="1071">
        <v>984</v>
      </c>
      <c r="F97" s="1080">
        <v>0</v>
      </c>
      <c r="G97" s="1081">
        <v>0</v>
      </c>
      <c r="H97" s="1081">
        <v>0</v>
      </c>
      <c r="I97" s="1078">
        <v>0</v>
      </c>
      <c r="J97" s="1078">
        <v>984</v>
      </c>
      <c r="K97" s="1078">
        <v>700</v>
      </c>
      <c r="L97" s="60">
        <v>0</v>
      </c>
      <c r="M97" s="60">
        <v>0</v>
      </c>
      <c r="N97" s="60">
        <v>0</v>
      </c>
      <c r="O97" s="60">
        <v>0</v>
      </c>
    </row>
    <row r="98" spans="1:15">
      <c r="A98" s="58" t="s">
        <v>215</v>
      </c>
      <c r="B98" s="1072">
        <v>300</v>
      </c>
      <c r="C98" s="1069">
        <v>300</v>
      </c>
      <c r="D98" s="1070">
        <v>264</v>
      </c>
      <c r="E98" s="1071">
        <v>230</v>
      </c>
      <c r="F98" s="1080">
        <v>0</v>
      </c>
      <c r="G98" s="1081">
        <v>0</v>
      </c>
      <c r="H98" s="1081">
        <v>0</v>
      </c>
      <c r="I98" s="1078">
        <v>230</v>
      </c>
      <c r="J98" s="1078">
        <v>0</v>
      </c>
      <c r="K98" s="1078">
        <v>300</v>
      </c>
      <c r="L98" s="60">
        <v>0</v>
      </c>
      <c r="M98" s="60">
        <v>0</v>
      </c>
      <c r="N98" s="60">
        <v>0</v>
      </c>
      <c r="O98" s="60">
        <v>0</v>
      </c>
    </row>
    <row r="99" spans="1:15">
      <c r="A99" s="58" t="s">
        <v>216</v>
      </c>
      <c r="B99" s="1072">
        <v>182</v>
      </c>
      <c r="C99" s="1069">
        <v>182</v>
      </c>
      <c r="D99" s="1070">
        <v>182</v>
      </c>
      <c r="E99" s="1071">
        <v>165</v>
      </c>
      <c r="F99" s="1080">
        <v>0</v>
      </c>
      <c r="G99" s="1081">
        <v>0</v>
      </c>
      <c r="H99" s="1081">
        <v>0</v>
      </c>
      <c r="I99" s="1078">
        <v>165</v>
      </c>
      <c r="J99" s="1078">
        <v>0</v>
      </c>
      <c r="K99" s="1078">
        <v>182</v>
      </c>
      <c r="L99" s="60">
        <v>0</v>
      </c>
      <c r="M99" s="60">
        <v>0</v>
      </c>
      <c r="N99" s="60">
        <v>0</v>
      </c>
      <c r="O99" s="60">
        <v>0</v>
      </c>
    </row>
    <row r="100" spans="1:15">
      <c r="A100" s="58" t="s">
        <v>169</v>
      </c>
      <c r="B100" s="1072">
        <v>432</v>
      </c>
      <c r="C100" s="1069">
        <v>432</v>
      </c>
      <c r="D100" s="1070">
        <v>200</v>
      </c>
      <c r="E100" s="1071">
        <v>432</v>
      </c>
      <c r="F100" s="1080">
        <v>0</v>
      </c>
      <c r="G100" s="1081">
        <v>0</v>
      </c>
      <c r="H100" s="1081">
        <v>0</v>
      </c>
      <c r="I100" s="1078">
        <v>0</v>
      </c>
      <c r="J100" s="1078">
        <v>432</v>
      </c>
      <c r="K100" s="1078">
        <v>300</v>
      </c>
      <c r="L100" s="60">
        <v>0</v>
      </c>
      <c r="M100" s="60">
        <v>0</v>
      </c>
      <c r="N100" s="60">
        <v>0</v>
      </c>
      <c r="O100" s="60">
        <v>0</v>
      </c>
    </row>
    <row r="101" spans="1:15">
      <c r="A101" s="58" t="s">
        <v>1712</v>
      </c>
      <c r="B101" s="1072">
        <v>628</v>
      </c>
      <c r="C101" s="1069">
        <v>628</v>
      </c>
      <c r="D101" s="1070">
        <v>20</v>
      </c>
      <c r="E101" s="1071">
        <v>500</v>
      </c>
      <c r="F101" s="1080">
        <v>0</v>
      </c>
      <c r="G101" s="1081">
        <v>0</v>
      </c>
      <c r="H101" s="1081">
        <v>0</v>
      </c>
      <c r="I101" s="1078">
        <v>0</v>
      </c>
      <c r="J101" s="1078">
        <v>500</v>
      </c>
      <c r="K101" s="1078">
        <v>500</v>
      </c>
      <c r="L101" s="60">
        <v>0</v>
      </c>
      <c r="M101" s="60">
        <v>0</v>
      </c>
      <c r="N101" s="60">
        <v>0</v>
      </c>
      <c r="O101" s="60">
        <v>0</v>
      </c>
    </row>
    <row r="102" spans="1:15">
      <c r="A102" s="58" t="s">
        <v>860</v>
      </c>
      <c r="B102" s="1072">
        <v>174</v>
      </c>
      <c r="C102" s="1069">
        <v>174</v>
      </c>
      <c r="D102" s="1070">
        <v>40</v>
      </c>
      <c r="E102" s="1071">
        <v>174</v>
      </c>
      <c r="F102" s="1080">
        <v>0</v>
      </c>
      <c r="G102" s="1081">
        <v>0</v>
      </c>
      <c r="H102" s="1081">
        <v>0</v>
      </c>
      <c r="I102" s="1078">
        <v>0</v>
      </c>
      <c r="J102" s="1078">
        <v>174</v>
      </c>
      <c r="K102" s="1078">
        <v>174</v>
      </c>
      <c r="L102" s="60">
        <v>0</v>
      </c>
      <c r="M102" s="60">
        <v>0</v>
      </c>
      <c r="N102" s="60">
        <v>0</v>
      </c>
      <c r="O102" s="60">
        <v>0</v>
      </c>
    </row>
    <row r="103" spans="1:15">
      <c r="A103" s="58" t="s">
        <v>1610</v>
      </c>
      <c r="B103" s="1072">
        <v>275</v>
      </c>
      <c r="C103" s="1069">
        <v>275</v>
      </c>
      <c r="D103" s="1070">
        <v>220</v>
      </c>
      <c r="E103" s="1071">
        <v>275</v>
      </c>
      <c r="F103" s="1080">
        <v>0</v>
      </c>
      <c r="G103" s="1081">
        <v>0</v>
      </c>
      <c r="H103" s="1081">
        <v>0</v>
      </c>
      <c r="I103" s="1078">
        <v>0</v>
      </c>
      <c r="J103" s="1078">
        <v>275</v>
      </c>
      <c r="K103" s="1078">
        <v>275</v>
      </c>
      <c r="L103" s="60">
        <v>0</v>
      </c>
      <c r="M103" s="60">
        <v>0</v>
      </c>
      <c r="N103" s="60">
        <v>0</v>
      </c>
      <c r="O103" s="60">
        <v>0</v>
      </c>
    </row>
    <row r="104" spans="1:15">
      <c r="A104" s="58" t="s">
        <v>170</v>
      </c>
      <c r="B104" s="1072">
        <v>207</v>
      </c>
      <c r="C104" s="1069">
        <v>207</v>
      </c>
      <c r="D104" s="1070">
        <v>207</v>
      </c>
      <c r="E104" s="1071">
        <v>207</v>
      </c>
      <c r="F104" s="1080">
        <v>0</v>
      </c>
      <c r="G104" s="1081">
        <v>0</v>
      </c>
      <c r="H104" s="1081">
        <v>0</v>
      </c>
      <c r="I104" s="1078">
        <v>0</v>
      </c>
      <c r="J104" s="1078">
        <v>207</v>
      </c>
      <c r="K104" s="1078">
        <v>207</v>
      </c>
      <c r="L104" s="60">
        <v>0</v>
      </c>
      <c r="M104" s="60">
        <v>0</v>
      </c>
      <c r="N104" s="60">
        <v>0</v>
      </c>
      <c r="O104" s="60">
        <v>0</v>
      </c>
    </row>
    <row r="105" spans="1:15">
      <c r="A105" s="58" t="s">
        <v>266</v>
      </c>
      <c r="B105" s="1072">
        <v>268</v>
      </c>
      <c r="C105" s="1069">
        <v>268</v>
      </c>
      <c r="D105" s="1070">
        <v>268</v>
      </c>
      <c r="E105" s="1071">
        <v>268</v>
      </c>
      <c r="F105" s="1080">
        <v>187.6</v>
      </c>
      <c r="G105" s="1081">
        <v>268</v>
      </c>
      <c r="H105" s="1081">
        <v>268</v>
      </c>
      <c r="I105" s="1078">
        <v>0</v>
      </c>
      <c r="J105" s="1078">
        <v>268</v>
      </c>
      <c r="K105" s="1078">
        <v>268</v>
      </c>
      <c r="L105" s="60">
        <v>268</v>
      </c>
      <c r="M105" s="60">
        <v>268</v>
      </c>
      <c r="N105" s="60">
        <v>0</v>
      </c>
      <c r="O105" s="60">
        <v>0</v>
      </c>
    </row>
    <row r="106" spans="1:15">
      <c r="A106" s="58" t="s">
        <v>171</v>
      </c>
      <c r="B106" s="1072">
        <v>121</v>
      </c>
      <c r="C106" s="1069">
        <v>121</v>
      </c>
      <c r="D106" s="1070">
        <v>100</v>
      </c>
      <c r="E106" s="1071">
        <v>0</v>
      </c>
      <c r="F106" s="1080">
        <v>0</v>
      </c>
      <c r="G106" s="1081">
        <v>0</v>
      </c>
      <c r="H106" s="1081">
        <v>0</v>
      </c>
      <c r="I106" s="1078">
        <v>0</v>
      </c>
      <c r="J106" s="1078">
        <v>0</v>
      </c>
      <c r="K106" s="1078">
        <v>100</v>
      </c>
      <c r="L106" s="60">
        <v>0</v>
      </c>
      <c r="M106" s="60">
        <v>0</v>
      </c>
      <c r="N106" s="60">
        <v>0</v>
      </c>
      <c r="O106" s="60">
        <v>0</v>
      </c>
    </row>
    <row r="107" spans="1:15">
      <c r="A107" s="58" t="s">
        <v>172</v>
      </c>
      <c r="B107" s="1072">
        <v>62</v>
      </c>
      <c r="C107" s="1069">
        <v>62</v>
      </c>
      <c r="D107" s="1070">
        <v>62</v>
      </c>
      <c r="E107" s="1071">
        <v>0</v>
      </c>
      <c r="F107" s="1080">
        <v>0</v>
      </c>
      <c r="G107" s="1081">
        <v>0</v>
      </c>
      <c r="H107" s="1081">
        <v>0</v>
      </c>
      <c r="I107" s="1078">
        <v>0</v>
      </c>
      <c r="J107" s="1078">
        <v>0</v>
      </c>
      <c r="K107" s="1078">
        <v>62</v>
      </c>
      <c r="L107" s="60">
        <v>0</v>
      </c>
      <c r="M107" s="60">
        <v>0</v>
      </c>
      <c r="N107" s="60">
        <v>0</v>
      </c>
      <c r="O107" s="60">
        <v>0</v>
      </c>
    </row>
    <row r="108" spans="1:15">
      <c r="A108" s="58" t="s">
        <v>274</v>
      </c>
      <c r="B108" s="1072">
        <v>186</v>
      </c>
      <c r="C108" s="1069">
        <v>186</v>
      </c>
      <c r="D108" s="1070">
        <v>120</v>
      </c>
      <c r="E108" s="1071">
        <v>186</v>
      </c>
      <c r="F108" s="1080">
        <v>184.14</v>
      </c>
      <c r="G108" s="1081">
        <v>0</v>
      </c>
      <c r="H108" s="1081">
        <v>0</v>
      </c>
      <c r="I108" s="1078">
        <v>0</v>
      </c>
      <c r="J108" s="1078">
        <v>186</v>
      </c>
      <c r="K108" s="1078">
        <v>186</v>
      </c>
      <c r="L108" s="60">
        <v>0</v>
      </c>
      <c r="M108" s="60">
        <v>0</v>
      </c>
      <c r="N108" s="60">
        <v>0</v>
      </c>
      <c r="O108" s="60">
        <v>0</v>
      </c>
    </row>
    <row r="109" spans="1:15">
      <c r="A109" s="58" t="s">
        <v>1609</v>
      </c>
      <c r="B109" s="1072">
        <v>1148</v>
      </c>
      <c r="C109" s="1069">
        <v>1148</v>
      </c>
      <c r="D109" s="1070">
        <v>560</v>
      </c>
      <c r="E109" s="1071">
        <v>500</v>
      </c>
      <c r="F109" s="1080">
        <v>0</v>
      </c>
      <c r="G109" s="1081">
        <v>0</v>
      </c>
      <c r="H109" s="1081">
        <v>0</v>
      </c>
      <c r="I109" s="1078">
        <v>0</v>
      </c>
      <c r="J109" s="1078">
        <v>500</v>
      </c>
      <c r="K109" s="1078">
        <v>300</v>
      </c>
      <c r="L109" s="60">
        <v>0</v>
      </c>
      <c r="M109" s="60">
        <v>0</v>
      </c>
      <c r="N109" s="60">
        <v>0</v>
      </c>
      <c r="O109" s="60">
        <v>0</v>
      </c>
    </row>
    <row r="110" spans="1:15">
      <c r="A110" s="58" t="s">
        <v>1606</v>
      </c>
      <c r="B110" s="1072">
        <v>267</v>
      </c>
      <c r="C110" s="1069">
        <v>267</v>
      </c>
      <c r="D110" s="1070">
        <v>160</v>
      </c>
      <c r="E110" s="1071">
        <v>267</v>
      </c>
      <c r="F110" s="1080">
        <v>0</v>
      </c>
      <c r="G110" s="1081">
        <v>0</v>
      </c>
      <c r="H110" s="1081">
        <v>0</v>
      </c>
      <c r="I110" s="1078">
        <v>0</v>
      </c>
      <c r="J110" s="1078">
        <v>267</v>
      </c>
      <c r="K110" s="1078">
        <v>267</v>
      </c>
      <c r="L110" s="60">
        <v>0</v>
      </c>
      <c r="M110" s="60">
        <v>0</v>
      </c>
      <c r="N110" s="60">
        <v>0</v>
      </c>
      <c r="O110" s="60">
        <v>0</v>
      </c>
    </row>
    <row r="111" spans="1:15">
      <c r="A111" s="58" t="s">
        <v>275</v>
      </c>
      <c r="B111" s="1072">
        <v>319</v>
      </c>
      <c r="C111" s="1069">
        <v>319</v>
      </c>
      <c r="D111" s="1070">
        <v>180</v>
      </c>
      <c r="E111" s="1071">
        <v>319</v>
      </c>
      <c r="F111" s="1080">
        <v>315.81</v>
      </c>
      <c r="G111" s="1081">
        <v>319</v>
      </c>
      <c r="H111" s="1081">
        <v>0</v>
      </c>
      <c r="I111" s="1078">
        <v>319</v>
      </c>
      <c r="J111" s="1078">
        <v>319</v>
      </c>
      <c r="K111" s="1078">
        <v>319</v>
      </c>
      <c r="L111" s="60">
        <v>319</v>
      </c>
      <c r="M111" s="60">
        <v>0</v>
      </c>
      <c r="N111" s="60">
        <v>0</v>
      </c>
      <c r="O111" s="60">
        <v>0</v>
      </c>
    </row>
    <row r="112" spans="1:15">
      <c r="A112" s="58" t="s">
        <v>221</v>
      </c>
      <c r="B112" s="1072">
        <v>7394</v>
      </c>
      <c r="C112" s="1069">
        <v>733.33333333333337</v>
      </c>
      <c r="D112" s="1070">
        <v>5340</v>
      </c>
      <c r="E112" s="1071">
        <v>7394</v>
      </c>
      <c r="F112" s="1080">
        <v>0</v>
      </c>
      <c r="G112" s="1081">
        <v>1500</v>
      </c>
      <c r="H112" s="1081">
        <v>0</v>
      </c>
      <c r="I112" s="1078">
        <v>7394</v>
      </c>
      <c r="J112" s="1078">
        <v>0</v>
      </c>
      <c r="K112" s="1078">
        <v>100</v>
      </c>
      <c r="L112" s="60">
        <v>1500</v>
      </c>
      <c r="M112" s="60">
        <v>0</v>
      </c>
      <c r="N112" s="60">
        <v>0</v>
      </c>
      <c r="O112" s="60">
        <v>0</v>
      </c>
    </row>
    <row r="113" spans="1:15">
      <c r="A113" s="58" t="s">
        <v>223</v>
      </c>
      <c r="B113" s="1072">
        <v>709</v>
      </c>
      <c r="C113" s="1069">
        <v>66.666666666666671</v>
      </c>
      <c r="D113" s="1070">
        <v>0</v>
      </c>
      <c r="E113" s="1071">
        <v>0</v>
      </c>
      <c r="F113" s="1080">
        <v>0</v>
      </c>
      <c r="G113" s="1081">
        <v>0</v>
      </c>
      <c r="H113" s="1081">
        <v>0</v>
      </c>
      <c r="I113" s="1078">
        <v>0</v>
      </c>
      <c r="J113" s="1078">
        <v>0</v>
      </c>
      <c r="K113" s="1078">
        <v>709</v>
      </c>
      <c r="L113" s="60">
        <v>0</v>
      </c>
      <c r="M113" s="60">
        <v>0</v>
      </c>
      <c r="N113" s="60">
        <v>0</v>
      </c>
      <c r="O113" s="60">
        <v>0</v>
      </c>
    </row>
    <row r="114" spans="1:15">
      <c r="A114" s="58" t="s">
        <v>222</v>
      </c>
      <c r="B114" s="1072">
        <v>2550</v>
      </c>
      <c r="C114" s="1069">
        <v>0</v>
      </c>
      <c r="D114" s="1070">
        <v>0</v>
      </c>
      <c r="E114" s="1071">
        <v>0</v>
      </c>
      <c r="F114" s="1080">
        <v>0</v>
      </c>
      <c r="G114" s="1081">
        <v>0</v>
      </c>
      <c r="H114" s="1081">
        <v>0</v>
      </c>
      <c r="I114" s="1078">
        <v>0</v>
      </c>
      <c r="J114" s="1078">
        <v>0</v>
      </c>
      <c r="K114" s="1078">
        <v>700</v>
      </c>
      <c r="L114" s="60">
        <v>0</v>
      </c>
      <c r="M114" s="60">
        <v>0</v>
      </c>
      <c r="N114" s="60">
        <v>0</v>
      </c>
      <c r="O114" s="60">
        <v>0</v>
      </c>
    </row>
    <row r="115" spans="1:15">
      <c r="A115" s="58" t="s">
        <v>2643</v>
      </c>
      <c r="B115" s="1072">
        <v>591</v>
      </c>
      <c r="C115" s="1069">
        <v>591</v>
      </c>
      <c r="D115" s="1070">
        <v>591</v>
      </c>
      <c r="E115" s="1071">
        <v>591</v>
      </c>
      <c r="F115" s="1080">
        <v>0</v>
      </c>
      <c r="G115" s="1081">
        <v>0</v>
      </c>
      <c r="H115" s="1081">
        <v>0</v>
      </c>
      <c r="I115" s="1078">
        <v>0</v>
      </c>
      <c r="J115" s="1078">
        <v>591</v>
      </c>
      <c r="K115" s="1078">
        <v>591</v>
      </c>
      <c r="L115" s="60">
        <v>0</v>
      </c>
      <c r="M115" s="60">
        <v>0</v>
      </c>
      <c r="N115" s="60">
        <v>0</v>
      </c>
      <c r="O115" s="60">
        <v>0</v>
      </c>
    </row>
    <row r="116" spans="1:15">
      <c r="A116" s="58" t="s">
        <v>2703</v>
      </c>
      <c r="B116" s="1072">
        <v>160</v>
      </c>
      <c r="C116" s="1069">
        <v>160</v>
      </c>
      <c r="D116" s="1070">
        <v>160</v>
      </c>
      <c r="E116" s="1071">
        <v>160</v>
      </c>
      <c r="F116" s="1080">
        <v>160</v>
      </c>
      <c r="G116" s="1081">
        <v>0</v>
      </c>
      <c r="H116" s="1081">
        <v>0</v>
      </c>
      <c r="I116" s="1078">
        <v>160</v>
      </c>
      <c r="J116" s="1078">
        <v>160</v>
      </c>
      <c r="K116" s="1078">
        <v>160</v>
      </c>
      <c r="L116" s="60">
        <v>0</v>
      </c>
      <c r="M116" s="60">
        <v>0</v>
      </c>
      <c r="N116" s="60">
        <v>0</v>
      </c>
      <c r="O116" s="60">
        <v>0</v>
      </c>
    </row>
    <row r="117" spans="1:15">
      <c r="A117" s="58" t="s">
        <v>2878</v>
      </c>
      <c r="B117" s="1072">
        <v>276</v>
      </c>
      <c r="C117" s="1069">
        <v>276</v>
      </c>
      <c r="D117" s="1070">
        <v>276</v>
      </c>
      <c r="E117" s="1071">
        <v>276</v>
      </c>
      <c r="F117" s="1080">
        <v>0</v>
      </c>
      <c r="G117" s="1081">
        <v>0</v>
      </c>
      <c r="H117" s="1081">
        <v>0</v>
      </c>
      <c r="I117" s="1078">
        <v>0</v>
      </c>
      <c r="J117" s="1078">
        <v>276</v>
      </c>
      <c r="K117" s="1078">
        <v>276</v>
      </c>
      <c r="L117" s="60">
        <v>0</v>
      </c>
      <c r="M117" s="60">
        <v>0</v>
      </c>
      <c r="N117" s="60">
        <v>0</v>
      </c>
      <c r="O117" s="60">
        <v>0</v>
      </c>
    </row>
    <row r="118" spans="1:15">
      <c r="A118" s="58" t="s">
        <v>2879</v>
      </c>
      <c r="B118" s="1072">
        <v>440</v>
      </c>
      <c r="C118" s="1069">
        <v>440</v>
      </c>
      <c r="D118" s="1070">
        <v>280</v>
      </c>
      <c r="E118" s="1071">
        <v>440</v>
      </c>
      <c r="F118" s="1080">
        <v>0</v>
      </c>
      <c r="G118" s="1081">
        <v>0</v>
      </c>
      <c r="H118" s="1081">
        <v>0</v>
      </c>
      <c r="I118" s="1078">
        <v>0</v>
      </c>
      <c r="J118" s="1078">
        <v>440</v>
      </c>
      <c r="K118" s="1078">
        <v>440</v>
      </c>
      <c r="L118" s="60">
        <v>0</v>
      </c>
      <c r="M118" s="60">
        <v>0</v>
      </c>
      <c r="N118" s="60">
        <v>0</v>
      </c>
      <c r="O118" s="60">
        <v>0</v>
      </c>
    </row>
    <row r="119" spans="1:15">
      <c r="A119" s="58" t="s">
        <v>2874</v>
      </c>
      <c r="B119" s="1072">
        <v>544</v>
      </c>
      <c r="C119" s="1069">
        <v>544</v>
      </c>
      <c r="D119" s="1070">
        <v>0</v>
      </c>
      <c r="E119" s="1071">
        <v>0</v>
      </c>
      <c r="F119" s="1080">
        <v>0</v>
      </c>
      <c r="G119" s="1081">
        <v>0</v>
      </c>
      <c r="H119" s="1081">
        <v>0</v>
      </c>
      <c r="I119" s="1078">
        <v>0</v>
      </c>
      <c r="J119" s="1078">
        <v>0</v>
      </c>
      <c r="K119" s="1078">
        <v>544</v>
      </c>
      <c r="L119" s="60">
        <v>0</v>
      </c>
      <c r="M119" s="60">
        <v>0</v>
      </c>
      <c r="N119" s="60">
        <v>0</v>
      </c>
      <c r="O119" s="60">
        <v>0</v>
      </c>
    </row>
    <row r="120" spans="1:15">
      <c r="A120" s="58" t="s">
        <v>2880</v>
      </c>
      <c r="B120" s="1072">
        <v>324</v>
      </c>
      <c r="C120" s="1069">
        <v>0</v>
      </c>
      <c r="D120" s="1070">
        <v>144</v>
      </c>
      <c r="E120" s="1071">
        <v>324</v>
      </c>
      <c r="F120" s="1080">
        <v>307.8</v>
      </c>
      <c r="G120" s="1081">
        <v>0</v>
      </c>
      <c r="H120" s="1081">
        <v>0</v>
      </c>
      <c r="I120" s="1078">
        <v>0</v>
      </c>
      <c r="J120" s="1078">
        <v>324</v>
      </c>
      <c r="K120" s="1078">
        <v>100</v>
      </c>
      <c r="L120" s="60">
        <v>0</v>
      </c>
      <c r="M120" s="60">
        <v>0</v>
      </c>
      <c r="N120" s="60">
        <v>0</v>
      </c>
      <c r="O120" s="60">
        <v>0</v>
      </c>
    </row>
    <row r="121" spans="1:15">
      <c r="A121" s="58" t="s">
        <v>2871</v>
      </c>
      <c r="B121" s="1072">
        <v>466</v>
      </c>
      <c r="C121" s="1069">
        <v>466</v>
      </c>
      <c r="D121" s="1070">
        <v>240</v>
      </c>
      <c r="E121" s="1071">
        <v>466</v>
      </c>
      <c r="F121" s="1080">
        <v>0</v>
      </c>
      <c r="G121" s="1081">
        <v>0</v>
      </c>
      <c r="H121" s="1081">
        <v>0</v>
      </c>
      <c r="I121" s="1078">
        <v>0</v>
      </c>
      <c r="J121" s="1078">
        <v>466</v>
      </c>
      <c r="K121" s="1078">
        <v>100</v>
      </c>
      <c r="L121" s="60">
        <v>0</v>
      </c>
      <c r="M121" s="60">
        <v>0</v>
      </c>
      <c r="N121" s="60">
        <v>0</v>
      </c>
      <c r="O121" s="60">
        <v>0</v>
      </c>
    </row>
    <row r="122" spans="1:15">
      <c r="A122" s="58" t="s">
        <v>2868</v>
      </c>
      <c r="B122" s="1072">
        <v>94</v>
      </c>
      <c r="C122" s="1069">
        <v>94</v>
      </c>
      <c r="D122" s="1070">
        <v>94</v>
      </c>
      <c r="E122" s="1071">
        <v>94</v>
      </c>
      <c r="F122" s="1080">
        <v>84.600000000000009</v>
      </c>
      <c r="G122" s="1081">
        <v>0</v>
      </c>
      <c r="H122" s="1081">
        <v>0</v>
      </c>
      <c r="I122" s="1078">
        <v>94</v>
      </c>
      <c r="J122" s="1078">
        <v>94</v>
      </c>
      <c r="K122" s="1078">
        <v>94</v>
      </c>
      <c r="L122" s="60">
        <v>0</v>
      </c>
      <c r="M122" s="60">
        <v>0</v>
      </c>
      <c r="N122" s="60">
        <v>0</v>
      </c>
      <c r="O122" s="60">
        <v>0</v>
      </c>
    </row>
    <row r="123" spans="1:15">
      <c r="A123" s="58" t="s">
        <v>2861</v>
      </c>
      <c r="B123" s="1072">
        <v>221</v>
      </c>
      <c r="C123" s="1069">
        <v>221</v>
      </c>
      <c r="D123" s="1070">
        <v>160</v>
      </c>
      <c r="E123" s="1071">
        <v>221</v>
      </c>
      <c r="F123" s="1080">
        <v>218.79</v>
      </c>
      <c r="G123" s="1081">
        <v>0</v>
      </c>
      <c r="H123" s="1081">
        <v>0</v>
      </c>
      <c r="I123" s="1078">
        <v>221</v>
      </c>
      <c r="J123" s="1078">
        <v>221</v>
      </c>
      <c r="K123" s="1078">
        <v>221</v>
      </c>
      <c r="L123" s="60">
        <v>0</v>
      </c>
      <c r="M123" s="60">
        <v>0</v>
      </c>
      <c r="N123" s="60">
        <v>0</v>
      </c>
      <c r="O123" s="60">
        <v>0</v>
      </c>
    </row>
    <row r="124" spans="1:15">
      <c r="A124" s="58" t="s">
        <v>3258</v>
      </c>
      <c r="B124" s="1072"/>
      <c r="C124" s="1069">
        <v>0</v>
      </c>
      <c r="D124" s="1070">
        <v>0</v>
      </c>
      <c r="E124" s="1071">
        <v>0</v>
      </c>
      <c r="F124" s="1080">
        <v>0</v>
      </c>
      <c r="G124" s="1081">
        <v>0</v>
      </c>
      <c r="H124" s="1081">
        <v>0</v>
      </c>
      <c r="I124" s="1078">
        <v>0</v>
      </c>
      <c r="J124" s="1078">
        <v>0</v>
      </c>
      <c r="K124" s="1078">
        <v>0</v>
      </c>
      <c r="L124" s="60">
        <v>0</v>
      </c>
      <c r="M124" s="60">
        <v>0</v>
      </c>
      <c r="N124" s="60">
        <v>0</v>
      </c>
      <c r="O124" s="60">
        <v>0</v>
      </c>
    </row>
    <row r="125" spans="1:15">
      <c r="A125" s="58" t="s">
        <v>3259</v>
      </c>
      <c r="B125" s="1072"/>
      <c r="C125" s="1069">
        <v>0</v>
      </c>
      <c r="D125" s="1070">
        <v>0</v>
      </c>
      <c r="E125" s="1071">
        <v>0</v>
      </c>
      <c r="F125" s="1080">
        <v>0</v>
      </c>
      <c r="G125" s="1081">
        <v>0</v>
      </c>
      <c r="H125" s="1081">
        <v>0</v>
      </c>
      <c r="I125" s="1078">
        <v>0</v>
      </c>
      <c r="J125" s="1078">
        <v>0</v>
      </c>
      <c r="K125" s="1078">
        <v>0</v>
      </c>
      <c r="L125" s="60">
        <v>0</v>
      </c>
      <c r="M125" s="60">
        <v>0</v>
      </c>
      <c r="N125" s="60">
        <v>0</v>
      </c>
      <c r="O125" s="60">
        <v>0</v>
      </c>
    </row>
    <row r="126" spans="1:15">
      <c r="N126"/>
      <c r="O126"/>
    </row>
    <row r="127" spans="1:15">
      <c r="N127"/>
      <c r="O127"/>
    </row>
    <row r="128" spans="1:15">
      <c r="N128"/>
      <c r="O128"/>
    </row>
    <row r="129" spans="14:15">
      <c r="N129"/>
      <c r="O129"/>
    </row>
    <row r="130" spans="14:15">
      <c r="N130"/>
      <c r="O130"/>
    </row>
    <row r="131" spans="14:15">
      <c r="N131"/>
      <c r="O131"/>
    </row>
    <row r="132" spans="14:15">
      <c r="N132"/>
      <c r="O132"/>
    </row>
    <row r="133" spans="14:15">
      <c r="N133"/>
      <c r="O133"/>
    </row>
    <row r="134" spans="14:15">
      <c r="N134"/>
      <c r="O134"/>
    </row>
    <row r="135" spans="14:15">
      <c r="N135"/>
      <c r="O135"/>
    </row>
    <row r="136" spans="14:15">
      <c r="N136"/>
      <c r="O136"/>
    </row>
    <row r="137" spans="14:15">
      <c r="N137"/>
      <c r="O137"/>
    </row>
    <row r="138" spans="14:15">
      <c r="N138"/>
      <c r="O138"/>
    </row>
    <row r="139" spans="14:15">
      <c r="N139"/>
      <c r="O139"/>
    </row>
    <row r="140" spans="14:15">
      <c r="N140"/>
      <c r="O140"/>
    </row>
  </sheetData>
  <pageMargins left="0.7" right="0.7" top="0.75" bottom="0.75" header="0.3" footer="0.3"/>
  <pageSetup orientation="portrait" horizontalDpi="1200" verticalDpi="1200"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AP2590"/>
  <sheetViews>
    <sheetView showGridLines="0" topLeftCell="Q1" zoomScale="70" zoomScaleNormal="70" workbookViewId="0">
      <selection activeCell="X29" sqref="X29"/>
    </sheetView>
  </sheetViews>
  <sheetFormatPr defaultColWidth="10.4140625" defaultRowHeight="14.5"/>
  <cols>
    <col min="1" max="1" width="10.4140625" style="93"/>
    <col min="2" max="2" width="15.33203125" style="93" customWidth="1"/>
    <col min="3" max="3" width="19.1640625" style="93" customWidth="1"/>
    <col min="4" max="4" width="15.1640625" style="93" customWidth="1"/>
    <col min="5" max="7" width="10.4140625" style="93"/>
    <col min="8" max="8" width="36.25" style="93" bestFit="1" customWidth="1"/>
    <col min="9" max="9" width="25.9140625" style="93" bestFit="1" customWidth="1"/>
    <col min="10" max="10" width="18.33203125" style="93" customWidth="1"/>
    <col min="11" max="12" width="10.4140625" style="93"/>
    <col min="13" max="13" width="17.33203125" style="93" customWidth="1"/>
    <col min="14" max="17" width="10.4140625" style="93"/>
    <col min="18" max="18" width="18.6640625" style="93" customWidth="1"/>
    <col min="19" max="21" width="10.4140625" style="93"/>
    <col min="22" max="22" width="45.4140625" style="93" bestFit="1" customWidth="1"/>
    <col min="23" max="23" width="25.9140625" style="93" bestFit="1" customWidth="1"/>
    <col min="24" max="16384" width="10.4140625" style="93"/>
  </cols>
  <sheetData>
    <row r="2" spans="1:42" s="120" customFormat="1" ht="18.5">
      <c r="A2" s="92" t="s">
        <v>1569</v>
      </c>
      <c r="B2" s="92"/>
      <c r="C2" s="92"/>
      <c r="D2" s="92"/>
      <c r="E2" s="92"/>
      <c r="F2" s="92"/>
      <c r="G2" s="92"/>
      <c r="H2" s="92"/>
      <c r="I2" s="92"/>
      <c r="J2" s="92"/>
      <c r="K2" s="92"/>
      <c r="L2" s="92"/>
      <c r="M2" s="92"/>
      <c r="N2" s="92"/>
      <c r="O2" s="92"/>
      <c r="P2" s="92"/>
      <c r="Q2" s="92"/>
      <c r="R2" s="92"/>
      <c r="S2" s="92"/>
      <c r="T2" s="92"/>
      <c r="U2" s="92"/>
      <c r="V2" s="92"/>
      <c r="W2" s="92"/>
      <c r="X2" s="92"/>
      <c r="Y2" s="92"/>
      <c r="Z2" s="92"/>
    </row>
    <row r="3" spans="1:42">
      <c r="C3" s="94"/>
      <c r="K3" s="94"/>
      <c r="R3" s="94"/>
    </row>
    <row r="4" spans="1:42">
      <c r="B4" s="1091" t="s">
        <v>20</v>
      </c>
      <c r="C4" s="1092" t="s">
        <v>2962</v>
      </c>
      <c r="D4" s="96"/>
      <c r="E4" s="96"/>
      <c r="F4" s="96"/>
      <c r="G4" s="97"/>
      <c r="I4" s="1091" t="s">
        <v>20</v>
      </c>
      <c r="J4" s="1092" t="s">
        <v>2962</v>
      </c>
    </row>
    <row r="5" spans="1:42" ht="15.5">
      <c r="B5" s="1091" t="s">
        <v>34</v>
      </c>
      <c r="C5" s="1092" t="s">
        <v>34</v>
      </c>
      <c r="I5" s="1091" t="s">
        <v>34</v>
      </c>
      <c r="J5" s="1092" t="s">
        <v>34</v>
      </c>
      <c r="O5" s="484"/>
      <c r="R5"/>
      <c r="S5"/>
      <c r="T5" s="413"/>
      <c r="AL5"/>
      <c r="AM5"/>
    </row>
    <row r="6" spans="1:42" ht="15.5">
      <c r="B6" s="1100" t="s">
        <v>21</v>
      </c>
      <c r="C6" s="1092" t="s">
        <v>37</v>
      </c>
      <c r="I6" s="1100" t="s">
        <v>21</v>
      </c>
      <c r="J6" s="1092" t="s">
        <v>515</v>
      </c>
      <c r="O6" s="484"/>
      <c r="R6"/>
      <c r="S6"/>
      <c r="AL6" s="360"/>
      <c r="AM6" s="360"/>
      <c r="AN6" s="360"/>
    </row>
    <row r="7" spans="1:42" ht="15.5">
      <c r="B7" s="1091" t="s">
        <v>134</v>
      </c>
      <c r="C7" s="1092" t="s">
        <v>1471</v>
      </c>
      <c r="I7" s="1091" t="s">
        <v>134</v>
      </c>
      <c r="J7" s="1092" t="s">
        <v>1471</v>
      </c>
      <c r="O7" s="484"/>
      <c r="R7" s="1091" t="s">
        <v>20</v>
      </c>
      <c r="S7" s="1092" t="s">
        <v>2962</v>
      </c>
      <c r="AL7" s="360"/>
      <c r="AM7" s="360"/>
      <c r="AN7" s="360"/>
    </row>
    <row r="8" spans="1:42" ht="15.5">
      <c r="B8" s="1091" t="s">
        <v>35</v>
      </c>
      <c r="C8" s="1092" t="s">
        <v>1471</v>
      </c>
      <c r="I8" s="1091" t="s">
        <v>35</v>
      </c>
      <c r="J8" s="1092" t="s">
        <v>1471</v>
      </c>
      <c r="O8" s="484"/>
      <c r="R8" s="1091" t="s">
        <v>134</v>
      </c>
      <c r="S8" s="1092" t="s">
        <v>1471</v>
      </c>
      <c r="AE8" s="150"/>
      <c r="AL8" s="360"/>
      <c r="AM8" s="360"/>
      <c r="AN8" s="360"/>
    </row>
    <row r="9" spans="1:42" s="98" customFormat="1" ht="15.5">
      <c r="B9" s="100"/>
      <c r="C9" s="93"/>
      <c r="D9" s="150" t="s">
        <v>43</v>
      </c>
      <c r="E9" s="93"/>
      <c r="F9" s="93"/>
      <c r="I9" s="360"/>
      <c r="J9" s="93"/>
      <c r="K9" s="150" t="s">
        <v>43</v>
      </c>
      <c r="L9" s="93"/>
      <c r="M9" s="93"/>
      <c r="O9" s="93"/>
      <c r="P9" s="150"/>
      <c r="Q9" s="93"/>
      <c r="R9" s="1100" t="s">
        <v>21</v>
      </c>
      <c r="S9" s="1092" t="s">
        <v>37</v>
      </c>
      <c r="T9" s="93"/>
      <c r="AE9"/>
      <c r="AF9"/>
      <c r="AG9"/>
      <c r="AH9" s="393"/>
      <c r="AI9" s="372"/>
      <c r="AJ9" s="372"/>
      <c r="AK9" s="373"/>
      <c r="AL9" s="362"/>
      <c r="AM9" s="362"/>
      <c r="AN9" s="362"/>
      <c r="AO9" s="372"/>
      <c r="AP9" s="372"/>
    </row>
    <row r="10" spans="1:42" s="98" customFormat="1" ht="15.5">
      <c r="B10" s="1095" t="s">
        <v>22</v>
      </c>
      <c r="C10" s="1092" t="s">
        <v>2556</v>
      </c>
      <c r="D10" s="1103" t="s">
        <v>1480</v>
      </c>
      <c r="E10" s="1092" t="s">
        <v>2134</v>
      </c>
      <c r="F10" s="1092" t="s">
        <v>2135</v>
      </c>
      <c r="G10" s="1092" t="s">
        <v>2136</v>
      </c>
      <c r="I10" s="1095" t="s">
        <v>1278</v>
      </c>
      <c r="J10" s="1092" t="s">
        <v>2556</v>
      </c>
      <c r="K10" s="1103" t="s">
        <v>1480</v>
      </c>
      <c r="L10" s="1092" t="s">
        <v>2134</v>
      </c>
      <c r="M10" s="1092" t="s">
        <v>2135</v>
      </c>
      <c r="N10" s="1092" t="s">
        <v>2137</v>
      </c>
      <c r="O10"/>
      <c r="P10"/>
      <c r="Q10"/>
      <c r="R10" s="93"/>
      <c r="S10" s="93"/>
      <c r="T10" s="93"/>
      <c r="U10" s="373"/>
      <c r="V10" s="373"/>
      <c r="W10" s="373"/>
      <c r="X10" s="373"/>
      <c r="Y10" s="373"/>
      <c r="Z10" s="373"/>
      <c r="AA10" s="373"/>
      <c r="AB10" s="373"/>
      <c r="AC10" s="373"/>
      <c r="AD10" s="373"/>
      <c r="AE10" s="419"/>
      <c r="AF10" s="419"/>
      <c r="AG10" s="419"/>
      <c r="AH10" s="419"/>
      <c r="AI10" s="419"/>
      <c r="AJ10" s="419"/>
      <c r="AK10" s="373"/>
      <c r="AL10" s="419"/>
      <c r="AM10" s="419"/>
      <c r="AN10" s="419"/>
      <c r="AO10" s="419"/>
      <c r="AP10" s="419"/>
    </row>
    <row r="11" spans="1:42" ht="15.5">
      <c r="B11" s="1093" t="s">
        <v>195</v>
      </c>
      <c r="C11" s="1099">
        <v>8</v>
      </c>
      <c r="D11" s="1101">
        <v>6206</v>
      </c>
      <c r="E11" s="1094">
        <v>5.2207541089268394E-2</v>
      </c>
      <c r="F11" s="1094">
        <v>0.18530454398968743</v>
      </c>
      <c r="G11" s="1094">
        <v>4.7051240734772848E-2</v>
      </c>
      <c r="I11" s="1093" t="s">
        <v>534</v>
      </c>
      <c r="J11" s="1099">
        <v>2</v>
      </c>
      <c r="K11" s="1101">
        <v>401</v>
      </c>
      <c r="L11" s="1094">
        <v>0</v>
      </c>
      <c r="M11" s="1094">
        <v>0</v>
      </c>
      <c r="N11" s="1094">
        <v>0</v>
      </c>
      <c r="O11"/>
      <c r="P11"/>
      <c r="Q11"/>
      <c r="R11" s="1091" t="s">
        <v>1278</v>
      </c>
      <c r="S11" s="1092" t="s">
        <v>1475</v>
      </c>
      <c r="T11"/>
      <c r="U11"/>
      <c r="V11"/>
      <c r="W11"/>
      <c r="AE11"/>
      <c r="AF11"/>
      <c r="AG11"/>
      <c r="AH11"/>
      <c r="AI11"/>
      <c r="AJ11"/>
      <c r="AL11" s="360"/>
      <c r="AM11" s="360"/>
      <c r="AN11" s="360"/>
      <c r="AO11"/>
      <c r="AP11"/>
    </row>
    <row r="12" spans="1:42" ht="15.5">
      <c r="B12" s="1093" t="s">
        <v>146</v>
      </c>
      <c r="C12" s="1099">
        <v>3</v>
      </c>
      <c r="D12" s="1101">
        <v>2678</v>
      </c>
      <c r="E12" s="1094">
        <v>0.35685835200398297</v>
      </c>
      <c r="F12" s="1094">
        <v>0.26474981329350267</v>
      </c>
      <c r="G12" s="1094">
        <v>0.29611650485436891</v>
      </c>
      <c r="I12" s="1093" t="s">
        <v>556</v>
      </c>
      <c r="J12" s="1099">
        <v>1</v>
      </c>
      <c r="K12" s="1101">
        <v>120</v>
      </c>
      <c r="L12" s="1094">
        <v>1</v>
      </c>
      <c r="M12" s="1094">
        <v>1</v>
      </c>
      <c r="N12" s="1094">
        <v>0.625</v>
      </c>
      <c r="O12"/>
      <c r="P12"/>
      <c r="Q12"/>
      <c r="R12" s="1093" t="s">
        <v>3407</v>
      </c>
      <c r="S12" s="1101"/>
      <c r="T12"/>
      <c r="U12"/>
      <c r="V12"/>
      <c r="W12"/>
      <c r="AE12"/>
      <c r="AF12"/>
      <c r="AG12"/>
      <c r="AH12"/>
      <c r="AI12"/>
      <c r="AJ12"/>
      <c r="AL12" s="360"/>
      <c r="AM12" s="360"/>
      <c r="AN12" s="360"/>
      <c r="AO12"/>
      <c r="AP12"/>
    </row>
    <row r="13" spans="1:42" ht="15.5">
      <c r="B13" s="1093" t="s">
        <v>148</v>
      </c>
      <c r="C13" s="1099">
        <v>14</v>
      </c>
      <c r="D13" s="1101">
        <v>3504</v>
      </c>
      <c r="E13" s="1094">
        <v>0</v>
      </c>
      <c r="F13" s="1094">
        <v>0.23087899543378998</v>
      </c>
      <c r="G13" s="1094">
        <v>2.9965753424657571E-2</v>
      </c>
      <c r="I13" s="1093" t="s">
        <v>519</v>
      </c>
      <c r="J13" s="1099">
        <v>14</v>
      </c>
      <c r="K13" s="1101">
        <v>4610</v>
      </c>
      <c r="L13" s="1094">
        <v>6.3485177151120675E-2</v>
      </c>
      <c r="M13" s="1094">
        <v>3.1019522776572717E-2</v>
      </c>
      <c r="N13" s="1094">
        <v>0.20151843817787418</v>
      </c>
      <c r="O13"/>
      <c r="P13"/>
      <c r="Q13"/>
      <c r="R13" s="1104" t="s">
        <v>136</v>
      </c>
      <c r="S13" s="1101">
        <v>32</v>
      </c>
      <c r="T13"/>
      <c r="U13"/>
      <c r="V13"/>
      <c r="W13"/>
      <c r="AB13"/>
      <c r="AE13"/>
      <c r="AF13"/>
      <c r="AG13"/>
      <c r="AH13"/>
      <c r="AI13"/>
      <c r="AJ13"/>
      <c r="AL13" s="360"/>
      <c r="AM13" s="360"/>
      <c r="AN13" s="360"/>
      <c r="AO13"/>
      <c r="AP13"/>
    </row>
    <row r="14" spans="1:42" ht="15.5">
      <c r="B14" s="1093" t="s">
        <v>586</v>
      </c>
      <c r="C14" s="1099">
        <v>1</v>
      </c>
      <c r="D14" s="1101">
        <v>591</v>
      </c>
      <c r="E14" s="1094">
        <v>0</v>
      </c>
      <c r="F14" s="1094">
        <v>0</v>
      </c>
      <c r="G14" s="1094">
        <v>0</v>
      </c>
      <c r="I14" s="1093" t="s">
        <v>956</v>
      </c>
      <c r="J14" s="1099">
        <v>1</v>
      </c>
      <c r="K14" s="1101">
        <v>469</v>
      </c>
      <c r="L14" s="1094">
        <v>0.85785358919687282</v>
      </c>
      <c r="M14" s="1094">
        <v>1</v>
      </c>
      <c r="N14" s="1094">
        <v>1</v>
      </c>
      <c r="O14"/>
      <c r="P14"/>
      <c r="Q14"/>
      <c r="R14" s="1104" t="s">
        <v>3129</v>
      </c>
      <c r="S14" s="1101">
        <v>87</v>
      </c>
      <c r="T14"/>
      <c r="U14"/>
      <c r="V14"/>
      <c r="W14"/>
      <c r="AB14"/>
      <c r="AE14"/>
      <c r="AF14"/>
      <c r="AG14"/>
      <c r="AH14"/>
      <c r="AI14"/>
      <c r="AJ14"/>
      <c r="AL14" s="360"/>
      <c r="AM14" s="360"/>
      <c r="AN14" s="360"/>
      <c r="AO14"/>
      <c r="AP14"/>
    </row>
    <row r="15" spans="1:42" ht="15.5">
      <c r="B15" s="1093" t="s">
        <v>38</v>
      </c>
      <c r="C15" s="1099">
        <v>10</v>
      </c>
      <c r="D15" s="1101">
        <v>12952</v>
      </c>
      <c r="E15" s="1094">
        <v>0.11411365040148236</v>
      </c>
      <c r="F15" s="1094">
        <v>7.0877084620135866E-2</v>
      </c>
      <c r="G15" s="1094">
        <v>0.49891908585546629</v>
      </c>
      <c r="I15" s="1093" t="s">
        <v>958</v>
      </c>
      <c r="J15" s="1099">
        <v>1</v>
      </c>
      <c r="K15" s="1101">
        <v>1674</v>
      </c>
      <c r="L15" s="1094">
        <v>4.4205495818399054E-2</v>
      </c>
      <c r="M15" s="1094">
        <v>0.64157706093189959</v>
      </c>
      <c r="N15" s="1094">
        <v>1</v>
      </c>
      <c r="O15"/>
      <c r="P15"/>
      <c r="Q15"/>
      <c r="R15" s="1093" t="s">
        <v>3128</v>
      </c>
      <c r="S15" s="1101"/>
      <c r="T15"/>
      <c r="U15"/>
      <c r="V15"/>
      <c r="AA15"/>
      <c r="AB15"/>
      <c r="AE15"/>
      <c r="AF15"/>
      <c r="AG15"/>
      <c r="AH15"/>
      <c r="AI15"/>
      <c r="AJ15"/>
      <c r="AL15" s="360"/>
      <c r="AM15" s="360"/>
      <c r="AN15" s="360"/>
      <c r="AO15"/>
      <c r="AP15"/>
    </row>
    <row r="16" spans="1:42" ht="15.5">
      <c r="B16" s="1093" t="s">
        <v>152</v>
      </c>
      <c r="C16" s="1099">
        <v>7</v>
      </c>
      <c r="D16" s="1101">
        <v>1382</v>
      </c>
      <c r="E16" s="1094">
        <v>0</v>
      </c>
      <c r="F16" s="1094">
        <v>0.13241678726483352</v>
      </c>
      <c r="G16" s="1094">
        <v>0</v>
      </c>
      <c r="I16" s="1093" t="s">
        <v>525</v>
      </c>
      <c r="J16" s="1099">
        <v>5</v>
      </c>
      <c r="K16" s="1101">
        <v>2076</v>
      </c>
      <c r="L16" s="1094">
        <v>0.40414258188824659</v>
      </c>
      <c r="M16" s="1094">
        <v>1</v>
      </c>
      <c r="N16" s="1094">
        <v>1</v>
      </c>
      <c r="O16"/>
      <c r="P16"/>
      <c r="Q16"/>
      <c r="R16" s="1104" t="s">
        <v>3399</v>
      </c>
      <c r="S16" s="1101">
        <v>24</v>
      </c>
      <c r="T16"/>
      <c r="U16" s="360"/>
      <c r="AA16"/>
      <c r="AB16"/>
      <c r="AE16"/>
      <c r="AF16"/>
      <c r="AG16"/>
      <c r="AH16"/>
      <c r="AI16"/>
      <c r="AJ16"/>
      <c r="AL16" s="360"/>
      <c r="AM16" s="360"/>
      <c r="AN16" s="360"/>
      <c r="AO16"/>
      <c r="AP16"/>
    </row>
    <row r="17" spans="1:42" ht="15.5">
      <c r="B17" s="1093" t="s">
        <v>157</v>
      </c>
      <c r="C17" s="1099">
        <v>1</v>
      </c>
      <c r="D17" s="1101">
        <v>58</v>
      </c>
      <c r="E17" s="1094">
        <v>0</v>
      </c>
      <c r="F17" s="1094">
        <v>0</v>
      </c>
      <c r="G17" s="1094">
        <v>0</v>
      </c>
      <c r="I17" s="1093" t="s">
        <v>516</v>
      </c>
      <c r="J17" s="1099">
        <v>3</v>
      </c>
      <c r="K17" s="1101">
        <v>932</v>
      </c>
      <c r="L17" s="1094">
        <v>0</v>
      </c>
      <c r="M17" s="1094">
        <v>0.13197424892703857</v>
      </c>
      <c r="N17" s="1094">
        <v>0.34656652360515017</v>
      </c>
      <c r="O17"/>
      <c r="P17"/>
      <c r="Q17"/>
      <c r="R17"/>
      <c r="S17"/>
      <c r="AA17"/>
      <c r="AB17"/>
      <c r="AE17"/>
      <c r="AF17"/>
      <c r="AG17"/>
      <c r="AH17"/>
      <c r="AI17"/>
      <c r="AJ17"/>
      <c r="AL17" s="360"/>
      <c r="AM17" s="360"/>
      <c r="AN17" s="360"/>
      <c r="AO17"/>
      <c r="AP17"/>
    </row>
    <row r="18" spans="1:42" ht="15.5">
      <c r="B18" s="1093" t="s">
        <v>205</v>
      </c>
      <c r="C18" s="1099">
        <v>21</v>
      </c>
      <c r="D18" s="1101">
        <v>25025</v>
      </c>
      <c r="E18" s="1094">
        <v>0.48568764568764566</v>
      </c>
      <c r="F18" s="1094">
        <v>0.17730269730269732</v>
      </c>
      <c r="G18" s="1094">
        <v>0.36819180819180819</v>
      </c>
      <c r="I18" s="1093" t="s">
        <v>979</v>
      </c>
      <c r="J18" s="1099">
        <v>1</v>
      </c>
      <c r="K18" s="1101">
        <v>157</v>
      </c>
      <c r="L18" s="1094">
        <v>1</v>
      </c>
      <c r="M18" s="1094">
        <v>1</v>
      </c>
      <c r="N18" s="1094">
        <v>1</v>
      </c>
      <c r="O18"/>
      <c r="P18"/>
      <c r="Q18"/>
      <c r="R18"/>
      <c r="S18"/>
      <c r="AA18"/>
      <c r="AB18"/>
      <c r="AE18"/>
      <c r="AF18"/>
      <c r="AG18"/>
      <c r="AL18" s="360"/>
      <c r="AM18" s="360"/>
      <c r="AN18" s="360"/>
      <c r="AO18"/>
      <c r="AP18"/>
    </row>
    <row r="19" spans="1:42" ht="15.5">
      <c r="B19" s="1093" t="s">
        <v>159</v>
      </c>
      <c r="C19" s="1099">
        <v>24</v>
      </c>
      <c r="D19" s="1101">
        <v>9008</v>
      </c>
      <c r="E19" s="1094">
        <v>0</v>
      </c>
      <c r="F19" s="1094">
        <v>0.18605683836589693</v>
      </c>
      <c r="G19" s="1094">
        <v>0.17162522202486674</v>
      </c>
      <c r="I19" s="1093" t="s">
        <v>1280</v>
      </c>
      <c r="J19" s="1099">
        <v>28</v>
      </c>
      <c r="K19" s="1101">
        <v>10439</v>
      </c>
      <c r="L19" s="1094">
        <v>0.18057285180572846</v>
      </c>
      <c r="M19" s="1094">
        <v>0.39869719321774111</v>
      </c>
      <c r="N19" s="1094">
        <v>0.54631669700162844</v>
      </c>
      <c r="O19"/>
      <c r="P19"/>
      <c r="Q19"/>
      <c r="R19"/>
      <c r="S19"/>
      <c r="AA19"/>
      <c r="AB19"/>
      <c r="AE19"/>
      <c r="AF19"/>
      <c r="AG19"/>
      <c r="AL19"/>
      <c r="AM19"/>
    </row>
    <row r="20" spans="1:42" ht="15.5">
      <c r="B20" s="1093" t="s">
        <v>214</v>
      </c>
      <c r="C20" s="1099">
        <v>2</v>
      </c>
      <c r="D20" s="1101">
        <v>482</v>
      </c>
      <c r="E20" s="1094">
        <v>0</v>
      </c>
      <c r="F20" s="1094">
        <v>7.4688796680497882E-2</v>
      </c>
      <c r="G20" s="1094">
        <v>0.18049792531120334</v>
      </c>
      <c r="I20"/>
      <c r="J20"/>
      <c r="K20"/>
      <c r="L20"/>
      <c r="M20"/>
      <c r="N20"/>
      <c r="P20" s="413"/>
      <c r="Q20" s="413"/>
      <c r="R20"/>
      <c r="S20"/>
      <c r="T20"/>
      <c r="AA20"/>
      <c r="AB20"/>
      <c r="AE20"/>
      <c r="AF20"/>
      <c r="AG20"/>
      <c r="AL20"/>
      <c r="AM20"/>
    </row>
    <row r="21" spans="1:42" ht="15.5">
      <c r="B21" s="1093" t="s">
        <v>184</v>
      </c>
      <c r="C21" s="1099">
        <v>2</v>
      </c>
      <c r="D21" s="1101">
        <v>926</v>
      </c>
      <c r="E21" s="1094">
        <v>0</v>
      </c>
      <c r="F21" s="1094">
        <v>0</v>
      </c>
      <c r="G21" s="1094">
        <v>0</v>
      </c>
      <c r="I21"/>
      <c r="J21"/>
      <c r="K21"/>
      <c r="L21"/>
      <c r="M21"/>
      <c r="N21"/>
      <c r="P21" s="413"/>
      <c r="Q21" s="413"/>
      <c r="R21"/>
      <c r="S21"/>
      <c r="T21"/>
      <c r="U21"/>
      <c r="AA21"/>
      <c r="AB21"/>
      <c r="AE21"/>
      <c r="AF21"/>
      <c r="AG21"/>
      <c r="AL21"/>
      <c r="AM21"/>
    </row>
    <row r="22" spans="1:42" ht="15.5">
      <c r="B22" s="1093" t="s">
        <v>858</v>
      </c>
      <c r="C22" s="1099">
        <v>3</v>
      </c>
      <c r="D22" s="1101">
        <v>1077</v>
      </c>
      <c r="E22" s="1094">
        <v>0</v>
      </c>
      <c r="F22" s="1094">
        <v>0.74001857010213556</v>
      </c>
      <c r="G22" s="1094">
        <v>0.11884865366759512</v>
      </c>
      <c r="P22" s="413"/>
      <c r="Q22" s="413"/>
      <c r="R22" s="360"/>
      <c r="AA22"/>
      <c r="AB22"/>
      <c r="AE22"/>
      <c r="AF22"/>
      <c r="AG22"/>
      <c r="AL22"/>
      <c r="AM22"/>
    </row>
    <row r="23" spans="1:42" ht="15.5">
      <c r="B23" s="1093" t="s">
        <v>142</v>
      </c>
      <c r="C23" s="1099">
        <v>23</v>
      </c>
      <c r="D23" s="1101">
        <v>26645</v>
      </c>
      <c r="E23" s="1094">
        <v>0.62813522097815588</v>
      </c>
      <c r="F23" s="1094">
        <v>0.30977669356352033</v>
      </c>
      <c r="G23" s="1094">
        <v>0.27978982923625451</v>
      </c>
      <c r="I23" s="410"/>
      <c r="J23" s="410"/>
      <c r="K23" s="410"/>
      <c r="L23" s="410"/>
      <c r="M23" s="410"/>
      <c r="N23" s="410"/>
      <c r="O23" s="410"/>
      <c r="P23" s="410"/>
      <c r="Q23" s="413"/>
      <c r="R23" s="360"/>
      <c r="AA23"/>
      <c r="AB23"/>
      <c r="AF23"/>
      <c r="AG23"/>
      <c r="AL23"/>
      <c r="AM23"/>
    </row>
    <row r="24" spans="1:42" ht="15.5">
      <c r="B24" s="1093" t="s">
        <v>1280</v>
      </c>
      <c r="C24" s="1099">
        <v>119</v>
      </c>
      <c r="D24" s="1101">
        <v>90534</v>
      </c>
      <c r="E24" s="1094">
        <v>0.34957764997639518</v>
      </c>
      <c r="F24" s="1094">
        <v>0.2095234939359798</v>
      </c>
      <c r="G24" s="1094">
        <v>0.28809066207170786</v>
      </c>
      <c r="I24" s="410"/>
      <c r="J24" s="410"/>
      <c r="K24" s="410"/>
      <c r="L24" s="410"/>
      <c r="M24" s="410"/>
      <c r="N24" s="410"/>
      <c r="O24" s="410"/>
      <c r="P24" s="410"/>
      <c r="Q24" s="413"/>
      <c r="R24" s="360"/>
      <c r="AF24"/>
      <c r="AG24"/>
      <c r="AL24"/>
      <c r="AM24"/>
    </row>
    <row r="25" spans="1:42" ht="15.5">
      <c r="A25" s="413"/>
      <c r="B25"/>
      <c r="C25"/>
      <c r="D25"/>
      <c r="E25"/>
      <c r="F25"/>
      <c r="G25"/>
      <c r="H25" s="413"/>
      <c r="I25" s="410"/>
      <c r="J25" s="410"/>
      <c r="K25" s="410"/>
      <c r="L25" s="410"/>
      <c r="M25" s="410"/>
      <c r="N25" s="410"/>
      <c r="O25" s="410"/>
      <c r="P25" s="410"/>
      <c r="Q25" s="413"/>
      <c r="R25" s="360"/>
      <c r="S25" s="150"/>
      <c r="AA25" s="372"/>
      <c r="AB25" s="372"/>
      <c r="AE25" s="372"/>
      <c r="AF25" s="362"/>
      <c r="AG25" s="362"/>
      <c r="AH25" s="372"/>
      <c r="AI25" s="372"/>
      <c r="AJ25" s="372"/>
      <c r="AK25" s="372"/>
      <c r="AL25" s="362"/>
      <c r="AM25" s="362"/>
      <c r="AN25" s="372"/>
      <c r="AO25" s="372"/>
      <c r="AP25" s="372"/>
    </row>
    <row r="26" spans="1:42" ht="15.5">
      <c r="A26" s="413"/>
      <c r="B26" s="413"/>
      <c r="C26" s="413"/>
      <c r="D26" s="413"/>
      <c r="E26" s="413"/>
      <c r="F26" s="413"/>
      <c r="G26" s="413"/>
      <c r="H26" s="413"/>
      <c r="I26" s="410"/>
      <c r="J26" s="410"/>
      <c r="K26" s="410"/>
      <c r="L26" s="410"/>
      <c r="M26" s="410"/>
      <c r="N26" s="410"/>
      <c r="O26" s="410"/>
      <c r="P26" s="410"/>
      <c r="Q26" s="413"/>
      <c r="R26" s="413"/>
      <c r="S26" s="150"/>
      <c r="AA26" s="372"/>
      <c r="AB26" s="372"/>
      <c r="AE26" s="372"/>
      <c r="AF26" s="419"/>
      <c r="AG26" s="419"/>
      <c r="AH26" s="372"/>
      <c r="AI26" s="372"/>
      <c r="AJ26" s="372"/>
      <c r="AK26" s="372"/>
      <c r="AL26" s="419"/>
      <c r="AM26" s="419"/>
      <c r="AN26" s="372"/>
      <c r="AO26" s="372"/>
      <c r="AP26" s="372"/>
    </row>
    <row r="27" spans="1:42" ht="15.5">
      <c r="A27" s="413"/>
      <c r="B27" s="413"/>
      <c r="C27" s="413"/>
      <c r="D27" s="413"/>
      <c r="E27" s="413"/>
      <c r="F27" s="413"/>
      <c r="G27" s="413"/>
      <c r="H27" s="413"/>
      <c r="I27" s="410"/>
      <c r="J27" s="410"/>
      <c r="K27" s="410"/>
      <c r="L27" s="410"/>
      <c r="M27" s="410"/>
      <c r="N27" s="410"/>
      <c r="O27" s="410"/>
      <c r="P27" s="410"/>
      <c r="Q27" s="413"/>
      <c r="R27" s="413"/>
      <c r="S27" s="150"/>
      <c r="AA27" s="372"/>
      <c r="AB27" s="372"/>
      <c r="AE27" s="372"/>
      <c r="AF27" s="419"/>
      <c r="AG27" s="419"/>
      <c r="AH27" s="372"/>
      <c r="AI27" s="372"/>
      <c r="AJ27" s="372"/>
      <c r="AK27" s="372"/>
      <c r="AL27" s="419"/>
      <c r="AM27" s="419"/>
      <c r="AN27" s="372"/>
      <c r="AO27" s="372"/>
      <c r="AP27" s="372"/>
    </row>
    <row r="28" spans="1:42" ht="15.5">
      <c r="A28" s="413"/>
      <c r="B28" s="413"/>
      <c r="C28" s="413"/>
      <c r="D28" s="413"/>
      <c r="E28" s="413"/>
      <c r="F28" s="413"/>
      <c r="G28" s="413"/>
      <c r="H28" s="413"/>
      <c r="I28" s="410"/>
      <c r="J28" s="410"/>
      <c r="K28" s="410"/>
      <c r="L28" s="410"/>
      <c r="M28" s="410"/>
      <c r="N28" s="410"/>
      <c r="O28" s="410"/>
      <c r="P28" s="410"/>
      <c r="Q28" s="413"/>
      <c r="R28" s="413"/>
      <c r="S28" s="150"/>
      <c r="AA28" s="372"/>
      <c r="AB28" s="372"/>
      <c r="AE28" s="372"/>
      <c r="AF28" s="419"/>
      <c r="AG28" s="419"/>
      <c r="AH28" s="372"/>
      <c r="AI28" s="372"/>
      <c r="AJ28" s="372"/>
      <c r="AK28" s="372"/>
      <c r="AL28" s="419"/>
      <c r="AM28" s="419"/>
      <c r="AN28" s="372"/>
      <c r="AO28" s="372"/>
      <c r="AP28" s="372"/>
    </row>
    <row r="29" spans="1:42" ht="15.5">
      <c r="A29" s="413"/>
      <c r="B29" s="413"/>
      <c r="C29" s="413"/>
      <c r="D29" s="413"/>
      <c r="E29" s="413"/>
      <c r="F29" s="413"/>
      <c r="G29" s="413"/>
      <c r="H29" s="413"/>
      <c r="I29" s="410"/>
      <c r="J29" s="410"/>
      <c r="K29" s="410"/>
      <c r="L29" s="410"/>
      <c r="M29" s="410"/>
      <c r="N29" s="410"/>
      <c r="O29" s="410"/>
      <c r="P29" s="410"/>
      <c r="Q29" s="413"/>
      <c r="R29" s="413"/>
      <c r="S29" s="150"/>
      <c r="AA29" s="372"/>
      <c r="AB29" s="372"/>
      <c r="AE29" s="372"/>
      <c r="AF29" s="419"/>
      <c r="AG29" s="419"/>
      <c r="AH29" s="372"/>
      <c r="AI29" s="372"/>
      <c r="AJ29" s="372"/>
      <c r="AK29" s="372"/>
      <c r="AL29" s="419"/>
      <c r="AM29" s="419"/>
      <c r="AN29" s="372"/>
      <c r="AO29" s="372"/>
      <c r="AP29" s="372"/>
    </row>
    <row r="30" spans="1:42" ht="15.5">
      <c r="A30" s="413"/>
      <c r="B30" s="413"/>
      <c r="C30" s="413"/>
      <c r="D30" s="413"/>
      <c r="E30" s="413"/>
      <c r="F30" s="413"/>
      <c r="G30" s="413"/>
      <c r="H30" s="413"/>
      <c r="I30" s="410"/>
      <c r="J30" s="410"/>
      <c r="K30" s="410"/>
      <c r="L30" s="410"/>
      <c r="M30" s="410"/>
      <c r="N30" s="410"/>
      <c r="O30" s="410"/>
      <c r="P30" s="410"/>
      <c r="Q30" s="413"/>
      <c r="R30" s="362"/>
      <c r="S30" s="362"/>
      <c r="T30" s="362"/>
      <c r="U30" s="362"/>
      <c r="AA30" s="372"/>
      <c r="AB30" s="372"/>
      <c r="AC30" s="362"/>
      <c r="AD30" s="362"/>
      <c r="AE30" s="372"/>
      <c r="AF30" s="362"/>
      <c r="AG30" s="362"/>
      <c r="AH30" s="372"/>
      <c r="AI30" s="372"/>
      <c r="AJ30" s="372"/>
      <c r="AK30" s="372"/>
      <c r="AL30" s="362"/>
      <c r="AM30" s="362"/>
      <c r="AN30" s="372"/>
      <c r="AO30" s="372"/>
      <c r="AP30" s="372"/>
    </row>
    <row r="31" spans="1:42" s="103" customFormat="1" ht="18.5">
      <c r="A31" s="409"/>
      <c r="B31" s="499"/>
      <c r="C31" s="499"/>
      <c r="D31" s="500"/>
      <c r="E31" s="501"/>
      <c r="F31" s="501"/>
      <c r="G31" s="501"/>
      <c r="H31" s="411"/>
      <c r="I31" s="410"/>
      <c r="J31" s="410"/>
      <c r="K31" s="410"/>
      <c r="L31" s="410"/>
      <c r="M31" s="410"/>
      <c r="N31" s="410"/>
      <c r="O31" s="410"/>
      <c r="P31" s="410"/>
      <c r="Q31" s="410"/>
      <c r="R31" s="410"/>
      <c r="S31" s="410"/>
      <c r="T31" s="410"/>
      <c r="U31" s="410"/>
      <c r="V31" s="410"/>
      <c r="W31" s="410"/>
      <c r="X31" s="410"/>
      <c r="Y31" s="410"/>
      <c r="Z31" s="410"/>
      <c r="AC31" s="431"/>
      <c r="AF31" s="431"/>
      <c r="AL31" s="431"/>
      <c r="AM31" s="431"/>
    </row>
    <row r="32" spans="1:42" s="103" customFormat="1" ht="18.5">
      <c r="A32" s="409"/>
      <c r="B32" s="499"/>
      <c r="C32" s="499"/>
      <c r="D32" s="500"/>
      <c r="E32" s="501"/>
      <c r="F32" s="501"/>
      <c r="G32" s="501"/>
      <c r="H32" s="411"/>
      <c r="O32" s="410"/>
      <c r="P32" s="410"/>
      <c r="Q32" s="410"/>
      <c r="R32" s="410"/>
      <c r="S32" s="410"/>
      <c r="T32" s="410"/>
      <c r="U32" s="410"/>
      <c r="V32" s="410"/>
      <c r="W32" s="410"/>
      <c r="X32" s="410"/>
      <c r="Y32" s="410"/>
      <c r="Z32" s="410"/>
      <c r="AC32" s="431"/>
      <c r="AF32" s="431"/>
      <c r="AL32" s="431"/>
      <c r="AM32" s="431"/>
    </row>
    <row r="33" spans="1:39" ht="18.5">
      <c r="A33" s="145" t="s">
        <v>1577</v>
      </c>
      <c r="B33" s="406"/>
      <c r="C33" s="406"/>
      <c r="D33" s="406"/>
      <c r="E33" s="406"/>
      <c r="F33" s="406"/>
      <c r="G33" s="406"/>
      <c r="H33" s="406"/>
      <c r="I33" s="407"/>
      <c r="J33" s="408"/>
      <c r="K33" s="408"/>
      <c r="L33" s="408"/>
      <c r="M33" s="101"/>
      <c r="N33" s="101"/>
      <c r="O33" s="101"/>
      <c r="P33" s="101"/>
      <c r="Q33" s="101"/>
      <c r="R33" s="101"/>
      <c r="S33" s="101"/>
      <c r="T33" s="101"/>
      <c r="U33" s="101"/>
      <c r="V33" s="101"/>
      <c r="W33" s="101"/>
      <c r="X33" s="101"/>
      <c r="Y33" s="101"/>
      <c r="Z33" s="101"/>
      <c r="AC33" s="360"/>
      <c r="AF33" s="360"/>
      <c r="AL33" s="360"/>
      <c r="AM33" s="360"/>
    </row>
    <row r="34" spans="1:39" ht="15.5">
      <c r="B34"/>
      <c r="C34"/>
      <c r="D34"/>
      <c r="E34"/>
      <c r="F34"/>
      <c r="G34"/>
      <c r="AC34"/>
      <c r="AF34"/>
      <c r="AL34"/>
      <c r="AM34"/>
    </row>
    <row r="35" spans="1:39" ht="15.5">
      <c r="B35"/>
      <c r="C35"/>
      <c r="D35"/>
      <c r="E35"/>
      <c r="F35"/>
      <c r="R35" s="670"/>
      <c r="S35" s="670"/>
      <c r="AC35"/>
      <c r="AL35"/>
      <c r="AM35"/>
    </row>
    <row r="36" spans="1:39" ht="15.5">
      <c r="B36" s="1091" t="s">
        <v>20</v>
      </c>
      <c r="C36" s="1092" t="s">
        <v>2962</v>
      </c>
      <c r="D36"/>
      <c r="E36"/>
      <c r="F36"/>
      <c r="R36" s="413"/>
      <c r="S36" s="413"/>
      <c r="AC36"/>
      <c r="AL36"/>
    </row>
    <row r="37" spans="1:39" ht="15.5">
      <c r="B37" s="1100" t="s">
        <v>21</v>
      </c>
      <c r="C37" s="1100" t="s">
        <v>37</v>
      </c>
      <c r="I37" s="1091" t="s">
        <v>20</v>
      </c>
      <c r="J37" s="1092" t="s">
        <v>2962</v>
      </c>
      <c r="R37" s="670"/>
      <c r="S37" s="670"/>
      <c r="AC37"/>
      <c r="AL37"/>
    </row>
    <row r="38" spans="1:39" ht="15.5">
      <c r="B38" s="1091" t="s">
        <v>34</v>
      </c>
      <c r="C38" s="1092" t="s">
        <v>34</v>
      </c>
      <c r="I38" s="1100" t="s">
        <v>21</v>
      </c>
      <c r="J38" s="1092" t="s">
        <v>515</v>
      </c>
      <c r="R38" s="670"/>
      <c r="S38" s="670"/>
      <c r="AC38"/>
      <c r="AL38"/>
    </row>
    <row r="39" spans="1:39" ht="15.5">
      <c r="B39" s="1091" t="s">
        <v>134</v>
      </c>
      <c r="C39" s="1092" t="s">
        <v>1471</v>
      </c>
      <c r="I39" s="1091" t="s">
        <v>34</v>
      </c>
      <c r="J39" s="1092" t="s">
        <v>34</v>
      </c>
      <c r="AC39"/>
      <c r="AL39"/>
    </row>
    <row r="40" spans="1:39" ht="15.5">
      <c r="B40" s="1091" t="s">
        <v>35</v>
      </c>
      <c r="C40" s="1092" t="s">
        <v>1471</v>
      </c>
      <c r="I40" s="1091" t="s">
        <v>134</v>
      </c>
      <c r="J40" s="1092" t="s">
        <v>1471</v>
      </c>
      <c r="R40"/>
      <c r="S40"/>
      <c r="T40"/>
      <c r="U40"/>
      <c r="V40" s="372"/>
      <c r="W40" s="372"/>
      <c r="X40" s="372"/>
      <c r="Y40" s="372"/>
      <c r="Z40" s="372"/>
      <c r="AA40" s="372"/>
      <c r="AB40" s="372"/>
      <c r="AC40" s="372"/>
      <c r="AD40" s="372"/>
      <c r="AE40" s="372"/>
      <c r="AF40" s="372"/>
      <c r="AG40" s="372"/>
      <c r="AH40" s="372"/>
      <c r="AI40" s="372"/>
      <c r="AJ40" s="372"/>
      <c r="AK40" s="372"/>
      <c r="AL40" s="419"/>
    </row>
    <row r="41" spans="1:39" ht="15.5">
      <c r="R41"/>
      <c r="S41"/>
      <c r="T41"/>
      <c r="U41"/>
      <c r="AL41"/>
    </row>
    <row r="42" spans="1:39" ht="15.5">
      <c r="B42" s="1095" t="s">
        <v>1278</v>
      </c>
      <c r="C42" s="1092" t="s">
        <v>1285</v>
      </c>
      <c r="D42" s="1092" t="s">
        <v>1286</v>
      </c>
      <c r="E42"/>
      <c r="I42" s="1095" t="s">
        <v>1278</v>
      </c>
      <c r="J42" s="1092" t="s">
        <v>1285</v>
      </c>
      <c r="K42" s="1092" t="s">
        <v>1286</v>
      </c>
      <c r="L42"/>
      <c r="R42"/>
      <c r="S42"/>
      <c r="T42"/>
      <c r="U42"/>
      <c r="AL42"/>
    </row>
    <row r="43" spans="1:39" ht="15.5">
      <c r="B43" s="1093" t="s">
        <v>44</v>
      </c>
      <c r="C43" s="1101">
        <v>43423</v>
      </c>
      <c r="D43" s="1101">
        <v>2894</v>
      </c>
      <c r="E43"/>
      <c r="I43" s="1093" t="s">
        <v>44</v>
      </c>
      <c r="J43" s="1101">
        <v>8554</v>
      </c>
      <c r="K43" s="1101">
        <v>1885</v>
      </c>
      <c r="L43"/>
    </row>
    <row r="44" spans="1:39" ht="15.5">
      <c r="B44" s="1093" t="s">
        <v>589</v>
      </c>
      <c r="C44" s="1101">
        <v>15462.337037037039</v>
      </c>
      <c r="D44" s="1101">
        <v>29178.662962962961</v>
      </c>
      <c r="E44"/>
      <c r="I44"/>
      <c r="J44"/>
      <c r="K44"/>
      <c r="P44"/>
      <c r="Q44"/>
      <c r="R44"/>
    </row>
    <row r="45" spans="1:39" ht="15.5">
      <c r="B45"/>
      <c r="C45"/>
      <c r="D45"/>
      <c r="E45" s="100"/>
      <c r="F45" s="100"/>
      <c r="G45" s="100"/>
      <c r="H45" s="100"/>
      <c r="I45"/>
      <c r="J45"/>
      <c r="K45"/>
    </row>
    <row r="46" spans="1:39" ht="15.5">
      <c r="F46" s="100"/>
      <c r="G46" s="100"/>
      <c r="H46" s="100"/>
      <c r="I46"/>
      <c r="J46"/>
      <c r="K46"/>
    </row>
    <row r="50" spans="1:39">
      <c r="B50" s="100"/>
      <c r="C50" s="100"/>
      <c r="D50" s="100"/>
      <c r="F50" s="464"/>
      <c r="G50" s="100"/>
      <c r="H50" s="100"/>
      <c r="J50" s="100"/>
      <c r="K50" s="100"/>
      <c r="L50" s="100"/>
    </row>
    <row r="51" spans="1:39">
      <c r="B51" s="100"/>
      <c r="C51" s="100"/>
      <c r="D51" s="100"/>
      <c r="F51" s="100"/>
      <c r="G51" s="100"/>
      <c r="H51" s="100"/>
      <c r="J51" s="100"/>
      <c r="K51" s="100"/>
      <c r="L51" s="100"/>
    </row>
    <row r="52" spans="1:39">
      <c r="B52" s="1091" t="s">
        <v>34</v>
      </c>
      <c r="C52" s="1092" t="s">
        <v>34</v>
      </c>
      <c r="D52" s="100"/>
      <c r="E52" s="159" t="s">
        <v>1709</v>
      </c>
      <c r="F52" s="100"/>
      <c r="G52" s="100"/>
      <c r="P52" s="1091" t="s">
        <v>34</v>
      </c>
      <c r="Q52" s="1092" t="s">
        <v>34</v>
      </c>
      <c r="R52" s="100"/>
      <c r="S52" s="159" t="s">
        <v>1709</v>
      </c>
      <c r="T52" s="100"/>
    </row>
    <row r="53" spans="1:39">
      <c r="B53" s="1091" t="s">
        <v>134</v>
      </c>
      <c r="C53" s="1092" t="s">
        <v>1471</v>
      </c>
      <c r="D53" s="100"/>
      <c r="F53" s="100"/>
      <c r="G53" s="100"/>
      <c r="P53" s="1091" t="s">
        <v>134</v>
      </c>
      <c r="Q53" s="1092" t="s">
        <v>1471</v>
      </c>
      <c r="R53" s="100"/>
      <c r="T53" s="100"/>
    </row>
    <row r="54" spans="1:39">
      <c r="B54" s="1091" t="s">
        <v>35</v>
      </c>
      <c r="C54" s="1092" t="s">
        <v>1471</v>
      </c>
      <c r="D54" s="100"/>
      <c r="F54" s="100"/>
      <c r="G54" s="100"/>
      <c r="P54" s="1091" t="s">
        <v>35</v>
      </c>
      <c r="Q54" s="1092" t="s">
        <v>1471</v>
      </c>
      <c r="R54" s="100"/>
      <c r="T54" s="100"/>
    </row>
    <row r="55" spans="1:39" ht="15" thickBot="1">
      <c r="B55" s="100"/>
      <c r="C55" s="100"/>
      <c r="D55" s="100"/>
      <c r="F55" s="100"/>
      <c r="G55" s="100"/>
      <c r="P55" s="100"/>
      <c r="Q55" s="100"/>
      <c r="R55" s="100"/>
      <c r="S55" s="1196" t="s">
        <v>138</v>
      </c>
      <c r="T55" s="1197"/>
      <c r="W55" s="1198" t="s">
        <v>2156</v>
      </c>
      <c r="X55" s="1199"/>
    </row>
    <row r="56" spans="1:39" ht="16" thickBot="1">
      <c r="B56" s="1095" t="s">
        <v>21</v>
      </c>
      <c r="C56" s="1092" t="s">
        <v>2333</v>
      </c>
      <c r="D56" s="1092" t="s">
        <v>2334</v>
      </c>
      <c r="E56"/>
      <c r="F56"/>
      <c r="G56" s="100"/>
      <c r="H56" s="444" t="s">
        <v>21</v>
      </c>
      <c r="I56" s="401" t="s">
        <v>1475</v>
      </c>
      <c r="J56" s="402" t="s">
        <v>1507</v>
      </c>
      <c r="K56" s="402" t="s">
        <v>1506</v>
      </c>
      <c r="P56" s="1095" t="s">
        <v>21</v>
      </c>
      <c r="Q56" s="1092" t="s">
        <v>2343</v>
      </c>
      <c r="R56" s="1092" t="s">
        <v>2336</v>
      </c>
      <c r="S56"/>
      <c r="T56"/>
      <c r="U56" s="372"/>
      <c r="V56" s="444" t="s">
        <v>21</v>
      </c>
      <c r="W56" s="401" t="s">
        <v>1475</v>
      </c>
      <c r="X56" s="402" t="s">
        <v>1507</v>
      </c>
      <c r="Y56" s="402" t="s">
        <v>2145</v>
      </c>
      <c r="AB56" s="372"/>
      <c r="AC56" s="372"/>
      <c r="AD56" s="372"/>
      <c r="AE56" s="372"/>
      <c r="AF56" s="372"/>
      <c r="AG56" s="372"/>
      <c r="AH56" s="372"/>
      <c r="AI56" s="372"/>
      <c r="AJ56" s="372"/>
      <c r="AK56" s="372"/>
      <c r="AL56" s="372"/>
      <c r="AM56" s="372"/>
    </row>
    <row r="57" spans="1:39" ht="15.5">
      <c r="B57" s="1093" t="s">
        <v>37</v>
      </c>
      <c r="C57" s="1099"/>
      <c r="D57" s="1099"/>
      <c r="E57"/>
      <c r="F57"/>
      <c r="G57" s="100"/>
      <c r="H57" s="114" t="s">
        <v>37</v>
      </c>
      <c r="I57" s="404">
        <f>GETPIVOTDATA("# of sites",$B$10)</f>
        <v>119</v>
      </c>
      <c r="J57" s="404">
        <f>GETPIVOTDATA("[Measures].[Distinct Count of Site Name]",$H$67,"[WWWW].[State]","[WWWW].[State].&amp;[Kachin]")</f>
        <v>19</v>
      </c>
      <c r="K57" s="404">
        <f>I57-J57</f>
        <v>100</v>
      </c>
      <c r="P57" s="1093" t="s">
        <v>37</v>
      </c>
      <c r="Q57" s="1099"/>
      <c r="R57" s="1099"/>
      <c r="S57"/>
      <c r="T57"/>
      <c r="V57" s="114" t="s">
        <v>37</v>
      </c>
      <c r="W57" s="404">
        <f>I57</f>
        <v>119</v>
      </c>
      <c r="X57" s="404">
        <f>GETPIVOTDATA("[Measures].[Distinct Count of Site Name]",$V$65,"[WWWW].[State]","[WWWW].[State].&amp;[Kachin]")</f>
        <v>18</v>
      </c>
      <c r="Y57" s="404">
        <f>W57-X57</f>
        <v>101</v>
      </c>
    </row>
    <row r="58" spans="1:39" ht="15.5">
      <c r="B58" s="1104" t="s">
        <v>2961</v>
      </c>
      <c r="C58" s="1099">
        <v>36</v>
      </c>
      <c r="D58" s="1099">
        <v>37</v>
      </c>
      <c r="E58"/>
      <c r="F58"/>
      <c r="G58" s="100"/>
      <c r="H58" s="115" t="s">
        <v>515</v>
      </c>
      <c r="I58" s="405">
        <f>GETPIVOTDATA("# of sites",$I$10)</f>
        <v>28</v>
      </c>
      <c r="J58" s="405">
        <v>0</v>
      </c>
      <c r="K58" s="405">
        <f>I58-J58</f>
        <v>28</v>
      </c>
      <c r="P58" s="1104" t="s">
        <v>2961</v>
      </c>
      <c r="Q58" s="1099">
        <v>132</v>
      </c>
      <c r="R58" s="1099">
        <v>128</v>
      </c>
      <c r="S58"/>
      <c r="T58"/>
      <c r="V58" s="115" t="s">
        <v>515</v>
      </c>
      <c r="W58" s="405">
        <v>34</v>
      </c>
      <c r="X58" s="405">
        <v>0</v>
      </c>
      <c r="Y58" s="404">
        <f>W58-X58</f>
        <v>34</v>
      </c>
    </row>
    <row r="59" spans="1:39" ht="16" thickBot="1">
      <c r="B59" s="1104" t="s">
        <v>2962</v>
      </c>
      <c r="C59" s="1099">
        <v>121</v>
      </c>
      <c r="D59" s="1099">
        <v>108</v>
      </c>
      <c r="E59"/>
      <c r="F59"/>
      <c r="G59" s="100"/>
      <c r="H59" s="114"/>
      <c r="I59" s="404"/>
      <c r="J59" s="404"/>
      <c r="K59" s="404"/>
      <c r="P59" s="1104" t="s">
        <v>2962</v>
      </c>
      <c r="Q59" s="1099">
        <v>153</v>
      </c>
      <c r="R59" s="1099">
        <v>137</v>
      </c>
      <c r="S59"/>
      <c r="T59"/>
      <c r="V59" s="114"/>
      <c r="W59" s="404"/>
      <c r="X59" s="404"/>
      <c r="Y59" s="404"/>
    </row>
    <row r="60" spans="1:39" ht="16" thickBot="1">
      <c r="B60" s="1093" t="s">
        <v>1484</v>
      </c>
      <c r="C60" s="1099">
        <v>157</v>
      </c>
      <c r="D60" s="1099">
        <v>145</v>
      </c>
      <c r="E60"/>
      <c r="F60"/>
      <c r="H60" s="400" t="s">
        <v>1280</v>
      </c>
      <c r="I60" s="443">
        <f>SUM(I57:I59)</f>
        <v>147</v>
      </c>
      <c r="J60" s="443">
        <f>SUM(J57:J59)</f>
        <v>19</v>
      </c>
      <c r="K60" s="443">
        <f>I60-J60</f>
        <v>128</v>
      </c>
      <c r="P60" s="1093" t="s">
        <v>1484</v>
      </c>
      <c r="Q60" s="1099">
        <v>285</v>
      </c>
      <c r="R60" s="1099">
        <v>265</v>
      </c>
      <c r="S60"/>
      <c r="T60"/>
    </row>
    <row r="61" spans="1:39" ht="16" thickBot="1">
      <c r="A61" s="100"/>
      <c r="B61" s="1093" t="s">
        <v>515</v>
      </c>
      <c r="C61" s="1099"/>
      <c r="D61" s="1099"/>
      <c r="P61" s="1093" t="s">
        <v>515</v>
      </c>
      <c r="Q61" s="1099"/>
      <c r="R61" s="1099"/>
      <c r="V61" s="419" t="s">
        <v>34</v>
      </c>
      <c r="W61" s="413" t="s" vm="1">
        <v>34</v>
      </c>
    </row>
    <row r="62" spans="1:39" ht="16" thickBot="1">
      <c r="A62" s="100"/>
      <c r="B62" s="1104" t="s">
        <v>2961</v>
      </c>
      <c r="C62" s="1099"/>
      <c r="D62" s="1099"/>
      <c r="P62" s="1104" t="s">
        <v>2961</v>
      </c>
      <c r="Q62" s="1099"/>
      <c r="R62" s="1099"/>
      <c r="V62" s="419" t="s">
        <v>2264</v>
      </c>
      <c r="W62" s="413" t="s" vm="4">
        <v>1279</v>
      </c>
      <c r="Y62" s="781" t="s">
        <v>37</v>
      </c>
      <c r="Z62" s="402" t="s">
        <v>2146</v>
      </c>
      <c r="AA62" s="403" t="s">
        <v>2147</v>
      </c>
    </row>
    <row r="63" spans="1:39" ht="16" thickBot="1">
      <c r="A63" s="100"/>
      <c r="B63" s="1104" t="s">
        <v>2962</v>
      </c>
      <c r="C63" s="1099"/>
      <c r="D63" s="1099"/>
      <c r="H63"/>
      <c r="I63"/>
      <c r="P63" s="1104" t="s">
        <v>2962</v>
      </c>
      <c r="Q63" s="1099"/>
      <c r="R63" s="1099"/>
      <c r="V63" s="419" t="s">
        <v>35</v>
      </c>
      <c r="W63" s="413" t="s" vm="2">
        <v>3126</v>
      </c>
      <c r="Y63" s="926" t="s">
        <v>2961</v>
      </c>
      <c r="Z63" s="404">
        <f>GETPIVOTDATA("Sum of #_Household water samples tested for fecal coliform",$P$56,"Reporting Period","2023_Q1","State","Kachin")</f>
        <v>132</v>
      </c>
      <c r="AA63" s="404">
        <f>GETPIVOTDATA("Sum of #_Household passed",$P$56,"Reporting Period","2023_Q1","State","Kachin")</f>
        <v>128</v>
      </c>
    </row>
    <row r="64" spans="1:39" ht="16" thickBot="1">
      <c r="A64" s="100"/>
      <c r="B64" s="1093" t="s">
        <v>2081</v>
      </c>
      <c r="C64" s="1099"/>
      <c r="D64" s="1099"/>
      <c r="H64" s="419" t="s">
        <v>34</v>
      </c>
      <c r="I64" s="413" t="s" vm="1">
        <v>34</v>
      </c>
      <c r="K64" s="402" t="s">
        <v>37</v>
      </c>
      <c r="L64" s="402" t="s">
        <v>2144</v>
      </c>
      <c r="M64" s="403" t="s">
        <v>2335</v>
      </c>
      <c r="P64" s="1093" t="s">
        <v>2081</v>
      </c>
      <c r="Q64" s="1099"/>
      <c r="R64" s="1099"/>
      <c r="Y64" s="926" t="s">
        <v>2962</v>
      </c>
      <c r="Z64" s="405">
        <f>GETPIVOTDATA("Sum of #_Household water samples tested for fecal coliform",$P$56,"Reporting Period","2023_Q2","State","Kachin")</f>
        <v>153</v>
      </c>
      <c r="AA64" s="442">
        <f>GETPIVOTDATA("Sum of #_Household passed",$P$56,"Reporting Period","2023_Q2","State","Kachin")</f>
        <v>137</v>
      </c>
    </row>
    <row r="65" spans="1:27" ht="15.5">
      <c r="A65" s="100"/>
      <c r="B65" s="1093" t="s">
        <v>1280</v>
      </c>
      <c r="C65" s="1099">
        <v>157</v>
      </c>
      <c r="D65" s="1099">
        <v>145</v>
      </c>
      <c r="H65" s="419" t="s">
        <v>2405</v>
      </c>
      <c r="I65" s="413" t="s" vm="3">
        <v>1279</v>
      </c>
      <c r="K65" s="926" t="s">
        <v>2961</v>
      </c>
      <c r="L65" s="404">
        <f>GETPIVOTDATA("Sum of #_Water sources tested for fecal coliform ",$B$56,"Reporting Period","2023_Q1","State","Kachin")</f>
        <v>36</v>
      </c>
      <c r="M65" s="404">
        <f>GETPIVOTDATA("Sum of #_Water sources passed",$B$56,"Reporting Period","2023_Q1","State","Kachin")</f>
        <v>37</v>
      </c>
      <c r="P65" s="1093" t="s">
        <v>1280</v>
      </c>
      <c r="Q65" s="1099">
        <v>285</v>
      </c>
      <c r="R65" s="1099">
        <v>265</v>
      </c>
      <c r="V65" s="419" t="s">
        <v>1278</v>
      </c>
      <c r="W65" t="s">
        <v>2406</v>
      </c>
      <c r="Y65" s="926" t="s">
        <v>2963</v>
      </c>
      <c r="Z65" s="405"/>
      <c r="AA65" s="442"/>
    </row>
    <row r="66" spans="1:27" ht="15.5">
      <c r="A66" s="100"/>
      <c r="B66"/>
      <c r="C66"/>
      <c r="D66"/>
      <c r="K66" s="926" t="s">
        <v>2962</v>
      </c>
      <c r="L66" s="405">
        <f>GETPIVOTDATA("Sum of #_Water sources tested for fecal coliform ",$B$56,"Reporting Period","2023_Q2","State","Kachin")</f>
        <v>121</v>
      </c>
      <c r="M66" s="442">
        <f>GETPIVOTDATA("Sum of #_Water sources passed",$B$56,"Reporting Period","2023_Q2","State","Kachin")</f>
        <v>108</v>
      </c>
      <c r="P66"/>
      <c r="Q66"/>
      <c r="R66"/>
      <c r="V66" s="483" t="s">
        <v>37</v>
      </c>
      <c r="W66" s="412">
        <v>18</v>
      </c>
      <c r="Y66" s="926" t="s">
        <v>2964</v>
      </c>
      <c r="Z66" s="405"/>
      <c r="AA66" s="442"/>
    </row>
    <row r="67" spans="1:27" ht="15.5">
      <c r="A67" s="100"/>
      <c r="B67"/>
      <c r="C67"/>
      <c r="D67"/>
      <c r="H67" s="419" t="s">
        <v>1278</v>
      </c>
      <c r="I67" t="s">
        <v>2406</v>
      </c>
      <c r="J67"/>
      <c r="K67" s="926" t="s">
        <v>2963</v>
      </c>
      <c r="L67" s="93" t="e">
        <f>GETPIVOTDATA("Sum of #_Water sources tested for fecal coliform ",$B$56,"Reporting Period","2023_Q3","State","Kachin")</f>
        <v>#REF!</v>
      </c>
      <c r="M67" s="93" t="e">
        <f>GETPIVOTDATA("Sum of #_Water sources passed",$B$56,"Reporting Period","2023_Q3","State","Kachin")</f>
        <v>#REF!</v>
      </c>
      <c r="P67"/>
      <c r="Q67"/>
      <c r="R67"/>
      <c r="V67" s="483" t="s">
        <v>1280</v>
      </c>
      <c r="W67" s="412">
        <v>18</v>
      </c>
    </row>
    <row r="68" spans="1:27" ht="16" thickBot="1">
      <c r="A68" s="100"/>
      <c r="B68"/>
      <c r="C68"/>
      <c r="D68"/>
      <c r="H68" s="483" t="s">
        <v>37</v>
      </c>
      <c r="I68" s="412">
        <v>19</v>
      </c>
      <c r="J68"/>
      <c r="K68" s="926" t="s">
        <v>2964</v>
      </c>
      <c r="L68" s="93" t="e">
        <f>GETPIVOTDATA("Sum of #_Water sources tested for fecal coliform ",$B$56,"Reporting Period","2023_Q4","State","Kachin")</f>
        <v>#REF!</v>
      </c>
      <c r="M68" s="93" t="e">
        <f>GETPIVOTDATA("Sum of #_Water sources passed",$B$56,"Reporting Period","2023_Q4","State","Kachin")</f>
        <v>#REF!</v>
      </c>
      <c r="P68"/>
      <c r="Q68"/>
      <c r="R68"/>
      <c r="V68"/>
      <c r="W68"/>
    </row>
    <row r="69" spans="1:27" ht="16" thickBot="1">
      <c r="A69" s="100"/>
      <c r="B69"/>
      <c r="C69"/>
      <c r="D69"/>
      <c r="H69" s="483" t="s">
        <v>1280</v>
      </c>
      <c r="I69" s="412">
        <v>19</v>
      </c>
      <c r="J69"/>
      <c r="K69" s="443"/>
      <c r="L69" s="443" t="e">
        <f>SUM(L65:L68)</f>
        <v>#REF!</v>
      </c>
      <c r="M69" s="443" t="e">
        <f>SUM(M65:M68)</f>
        <v>#REF!</v>
      </c>
      <c r="P69"/>
      <c r="Q69"/>
      <c r="R69"/>
      <c r="Y69" s="781" t="s">
        <v>515</v>
      </c>
      <c r="Z69" s="402" t="s">
        <v>2146</v>
      </c>
      <c r="AA69" s="403" t="s">
        <v>2147</v>
      </c>
    </row>
    <row r="70" spans="1:27" ht="15.5">
      <c r="A70" s="100"/>
      <c r="B70" s="100"/>
      <c r="C70" s="100"/>
      <c r="D70" s="100"/>
      <c r="H70"/>
      <c r="I70"/>
      <c r="J70"/>
      <c r="P70"/>
      <c r="Q70"/>
      <c r="R70"/>
      <c r="Y70" s="926" t="s">
        <v>2961</v>
      </c>
      <c r="Z70" s="782">
        <f>GETPIVOTDATA("Sum of #_Household water samples tested for fecal coliform",$P$56,"Reporting Period","2023_Q1","State","Shan (North)")</f>
        <v>0</v>
      </c>
      <c r="AA70" s="783">
        <f>GETPIVOTDATA("Sum of #_Household passed",$P$56,"Reporting Period","2023_Q1","State","Shan (North)")</f>
        <v>0</v>
      </c>
    </row>
    <row r="71" spans="1:27">
      <c r="A71" s="100"/>
      <c r="B71" s="100"/>
      <c r="C71" s="100"/>
      <c r="D71" s="100"/>
      <c r="H71" s="657"/>
      <c r="I71" s="657"/>
      <c r="J71" s="100"/>
      <c r="Y71" s="926" t="s">
        <v>2962</v>
      </c>
      <c r="Z71" s="784"/>
      <c r="AA71" s="784"/>
    </row>
    <row r="72" spans="1:27" ht="15" thickBot="1">
      <c r="A72" s="100"/>
      <c r="B72" s="100"/>
      <c r="C72" s="100"/>
      <c r="D72" s="100"/>
      <c r="E72" s="100"/>
      <c r="F72" s="100"/>
      <c r="G72" s="100"/>
      <c r="H72" s="657"/>
      <c r="I72" s="657"/>
      <c r="J72" s="100"/>
      <c r="Y72" s="926" t="s">
        <v>2963</v>
      </c>
    </row>
    <row r="73" spans="1:27" ht="15" thickBot="1">
      <c r="A73" s="100"/>
      <c r="B73" s="100"/>
      <c r="C73" s="100"/>
      <c r="D73" s="100"/>
      <c r="E73" s="100"/>
      <c r="F73" s="100"/>
      <c r="G73" s="100"/>
      <c r="H73" s="657"/>
      <c r="I73" s="657"/>
      <c r="J73" s="100"/>
      <c r="K73" s="115" t="s">
        <v>515</v>
      </c>
      <c r="L73" s="402" t="s">
        <v>2144</v>
      </c>
      <c r="M73" s="403" t="s">
        <v>2335</v>
      </c>
      <c r="Y73" s="926" t="s">
        <v>2964</v>
      </c>
    </row>
    <row r="74" spans="1:27">
      <c r="A74" s="100"/>
      <c r="B74" s="100"/>
      <c r="C74" s="100"/>
      <c r="D74" s="100"/>
      <c r="E74" s="100"/>
      <c r="F74" s="100"/>
      <c r="G74" s="100"/>
      <c r="H74" s="100"/>
      <c r="I74" s="100"/>
      <c r="J74" s="100"/>
      <c r="K74" s="926" t="s">
        <v>2961</v>
      </c>
      <c r="L74" s="404">
        <f>GETPIVOTDATA("Sum of #_Water sources tested for fecal coliform ",$B$56,"Reporting Period","2023_Q1","State","Shan (North)")</f>
        <v>0</v>
      </c>
      <c r="M74" s="404">
        <f>GETPIVOTDATA("Sum of #_Water sources passed",$B$56,"Reporting Period","2023_Q1","State","Shan (North)")</f>
        <v>0</v>
      </c>
    </row>
    <row r="75" spans="1:27" ht="15.5">
      <c r="A75" s="100"/>
      <c r="B75" s="100"/>
      <c r="C75" s="100"/>
      <c r="D75" s="100"/>
      <c r="E75" s="96"/>
      <c r="F75" s="96"/>
      <c r="G75" s="97"/>
      <c r="H75"/>
      <c r="I75"/>
      <c r="J75"/>
      <c r="K75" s="926" t="s">
        <v>2962</v>
      </c>
      <c r="L75" s="405" t="e">
        <f>GETPIVOTDATA("Sum of #_Water sources tested for fecal coliform ",$B$56,"Reporting Period","2022_Q2","State","Shan (North)")</f>
        <v>#REF!</v>
      </c>
      <c r="M75" s="442" t="e">
        <f>GETPIVOTDATA("Sum of #_Water sources passed",$B$56,"Reporting Period","2022_Q2","State","Shan (North)")</f>
        <v>#REF!</v>
      </c>
      <c r="N75" s="372"/>
      <c r="O75" s="372"/>
    </row>
    <row r="76" spans="1:27" s="103" customFormat="1" ht="15.5">
      <c r="B76" s="104"/>
      <c r="C76" s="105"/>
      <c r="D76" s="105"/>
      <c r="E76" s="106"/>
      <c r="F76" s="106"/>
      <c r="G76" s="107"/>
      <c r="H76"/>
      <c r="I76"/>
      <c r="J76"/>
      <c r="K76" s="926" t="s">
        <v>2963</v>
      </c>
      <c r="L76" s="93" t="e">
        <f>GETPIVOTDATA("Sum of #_Water sources tested for fecal coliform ",$B$56,"Reporting Period","2022_Q3","State","Shan (North)")</f>
        <v>#REF!</v>
      </c>
      <c r="M76" s="93" t="e">
        <f>GETPIVOTDATA("Sum of #_Water sources passed",$B$56,"Reporting Period","2022_Q3","State","Shan (North)")</f>
        <v>#REF!</v>
      </c>
    </row>
    <row r="77" spans="1:27" s="103" customFormat="1" ht="16" thickBot="1">
      <c r="B77" s="104"/>
      <c r="C77" s="105"/>
      <c r="D77" s="105"/>
      <c r="E77" s="106"/>
      <c r="F77" s="106"/>
      <c r="G77" s="107"/>
      <c r="H77"/>
      <c r="I77"/>
      <c r="J77"/>
      <c r="K77" s="926" t="s">
        <v>2964</v>
      </c>
      <c r="L77" s="93"/>
      <c r="M77" s="93"/>
    </row>
    <row r="78" spans="1:27" s="103" customFormat="1" ht="16" thickBot="1">
      <c r="B78" s="1091" t="s">
        <v>20</v>
      </c>
      <c r="C78" s="1092" t="s">
        <v>2962</v>
      </c>
      <c r="D78" s="105"/>
      <c r="E78" s="106"/>
      <c r="F78" s="106"/>
      <c r="G78" s="107"/>
      <c r="H78"/>
      <c r="I78"/>
      <c r="J78"/>
      <c r="K78" s="443"/>
      <c r="L78" s="443" t="e">
        <f>SUM(L74:L77)</f>
        <v>#REF!</v>
      </c>
      <c r="M78" s="443" t="e">
        <f>SUM(M74:M77)</f>
        <v>#REF!</v>
      </c>
    </row>
    <row r="79" spans="1:27" s="103" customFormat="1" ht="15.5">
      <c r="B79" s="1091" t="s">
        <v>34</v>
      </c>
      <c r="C79" s="1092" t="s">
        <v>34</v>
      </c>
      <c r="D79" s="105"/>
      <c r="E79" s="106"/>
      <c r="F79" s="106"/>
      <c r="G79" s="107"/>
      <c r="H79"/>
      <c r="I79"/>
      <c r="J79"/>
      <c r="M79" s="377"/>
      <c r="N79" s="377"/>
      <c r="O79" s="105"/>
    </row>
    <row r="80" spans="1:27" s="103" customFormat="1" ht="15.5">
      <c r="B80" s="1095" t="s">
        <v>21</v>
      </c>
      <c r="C80" s="1092" t="s">
        <v>37</v>
      </c>
      <c r="D80" s="100"/>
      <c r="E80" s="106"/>
      <c r="F80" s="106"/>
      <c r="G80" s="107"/>
      <c r="H80"/>
      <c r="I80"/>
      <c r="J80"/>
      <c r="M80" s="377"/>
      <c r="N80" s="377"/>
      <c r="O80" s="378"/>
    </row>
    <row r="81" spans="2:15" s="103" customFormat="1" ht="15.5">
      <c r="B81" s="1091" t="s">
        <v>134</v>
      </c>
      <c r="C81" s="1092" t="s">
        <v>1471</v>
      </c>
      <c r="D81" s="100"/>
      <c r="E81" s="106"/>
      <c r="F81" s="106"/>
      <c r="G81" s="107"/>
      <c r="H81"/>
      <c r="I81"/>
      <c r="J81"/>
      <c r="M81" s="379"/>
      <c r="N81" s="377"/>
      <c r="O81" s="378"/>
    </row>
    <row r="82" spans="2:15" s="103" customFormat="1" ht="15.5">
      <c r="B82" s="1091" t="s">
        <v>35</v>
      </c>
      <c r="C82" s="1092" t="s">
        <v>1471</v>
      </c>
      <c r="D82" s="100"/>
      <c r="E82" s="106"/>
      <c r="F82" s="106"/>
      <c r="G82" s="107"/>
      <c r="H82"/>
      <c r="I82"/>
      <c r="J82"/>
      <c r="M82" s="377"/>
      <c r="N82" s="377"/>
      <c r="O82" s="378"/>
    </row>
    <row r="83" spans="2:15" s="103" customFormat="1" ht="15.5">
      <c r="B83" s="374"/>
      <c r="C83" s="100"/>
      <c r="D83" s="100"/>
      <c r="E83" s="106"/>
      <c r="F83" s="106"/>
      <c r="G83" s="107"/>
      <c r="H83"/>
      <c r="I83"/>
      <c r="J83"/>
      <c r="M83" s="380"/>
      <c r="N83" s="378"/>
      <c r="O83" s="378"/>
    </row>
    <row r="84" spans="2:15" s="103" customFormat="1" ht="15.5">
      <c r="B84" s="1096" t="s">
        <v>21</v>
      </c>
      <c r="C84" s="1092" t="s">
        <v>2138</v>
      </c>
      <c r="D84" s="1092" t="s">
        <v>2134</v>
      </c>
      <c r="E84"/>
      <c r="F84" s="106"/>
      <c r="G84" s="107"/>
      <c r="H84"/>
      <c r="I84"/>
      <c r="J84"/>
      <c r="M84" s="364"/>
      <c r="N84" s="364"/>
      <c r="O84" s="364"/>
    </row>
    <row r="85" spans="2:15" s="103" customFormat="1" ht="15.5">
      <c r="B85" s="1093" t="s">
        <v>195</v>
      </c>
      <c r="C85" s="1094">
        <v>0.94779245891073161</v>
      </c>
      <c r="D85" s="1094">
        <v>5.2207541089268394E-2</v>
      </c>
      <c r="E85" s="106"/>
      <c r="F85" s="106"/>
      <c r="G85" s="107"/>
      <c r="M85" s="364"/>
      <c r="N85" s="364"/>
      <c r="O85" s="364"/>
    </row>
    <row r="86" spans="2:15" s="103" customFormat="1" ht="15.5">
      <c r="B86" s="1093" t="s">
        <v>146</v>
      </c>
      <c r="C86" s="1094">
        <v>0.64314164799601703</v>
      </c>
      <c r="D86" s="1094">
        <v>0.35685835200398297</v>
      </c>
      <c r="E86" s="106"/>
      <c r="F86" s="106"/>
      <c r="G86" s="107"/>
      <c r="M86" s="364"/>
      <c r="N86" s="364"/>
      <c r="O86" s="364"/>
    </row>
    <row r="87" spans="2:15" s="103" customFormat="1" ht="15.5">
      <c r="B87" s="1093" t="s">
        <v>148</v>
      </c>
      <c r="C87" s="1094">
        <v>1</v>
      </c>
      <c r="D87" s="1094">
        <v>0</v>
      </c>
      <c r="E87" s="106"/>
      <c r="F87" s="106"/>
      <c r="G87" s="107"/>
      <c r="M87" s="364"/>
      <c r="N87" s="364"/>
      <c r="O87" s="364"/>
    </row>
    <row r="88" spans="2:15" s="103" customFormat="1" ht="15.5">
      <c r="B88" s="1093" t="s">
        <v>586</v>
      </c>
      <c r="C88" s="1094">
        <v>1</v>
      </c>
      <c r="D88" s="1094">
        <v>0</v>
      </c>
      <c r="E88" s="106"/>
      <c r="F88" s="106"/>
      <c r="G88" s="107"/>
      <c r="M88"/>
      <c r="N88"/>
      <c r="O88"/>
    </row>
    <row r="89" spans="2:15" s="103" customFormat="1" ht="15.5">
      <c r="B89" s="1093" t="s">
        <v>38</v>
      </c>
      <c r="C89" s="1094">
        <v>0.88588634959851764</v>
      </c>
      <c r="D89" s="1094">
        <v>0.11411365040148236</v>
      </c>
      <c r="E89" s="106"/>
      <c r="F89" s="106"/>
      <c r="G89" s="107"/>
      <c r="M89"/>
      <c r="N89"/>
      <c r="O89"/>
    </row>
    <row r="90" spans="2:15" s="103" customFormat="1" ht="15.5">
      <c r="B90" s="1093" t="s">
        <v>152</v>
      </c>
      <c r="C90" s="1094">
        <v>1</v>
      </c>
      <c r="D90" s="1094">
        <v>0</v>
      </c>
      <c r="E90" s="106"/>
      <c r="F90" s="106"/>
      <c r="G90" s="107"/>
      <c r="M90"/>
      <c r="N90"/>
      <c r="O90"/>
    </row>
    <row r="91" spans="2:15" s="103" customFormat="1" ht="15.5">
      <c r="B91" s="1093" t="s">
        <v>157</v>
      </c>
      <c r="C91" s="1094">
        <v>1</v>
      </c>
      <c r="D91" s="1094">
        <v>0</v>
      </c>
      <c r="E91" s="106"/>
      <c r="F91" s="106"/>
      <c r="G91" s="107"/>
      <c r="M91"/>
      <c r="N91"/>
      <c r="O91"/>
    </row>
    <row r="92" spans="2:15" s="103" customFormat="1" ht="15.5">
      <c r="B92" s="1093" t="s">
        <v>205</v>
      </c>
      <c r="C92" s="1094">
        <v>0.51431235431235434</v>
      </c>
      <c r="D92" s="1094">
        <v>0.48568764568764566</v>
      </c>
      <c r="E92" s="106"/>
      <c r="F92" s="106"/>
      <c r="G92" s="107"/>
      <c r="M92"/>
      <c r="N92"/>
      <c r="O92"/>
    </row>
    <row r="93" spans="2:15" s="103" customFormat="1" ht="15.5">
      <c r="B93" s="1093" t="s">
        <v>159</v>
      </c>
      <c r="C93" s="1094">
        <v>1</v>
      </c>
      <c r="D93" s="1094">
        <v>0</v>
      </c>
      <c r="E93" s="106"/>
      <c r="F93" s="106"/>
      <c r="G93" s="107"/>
      <c r="M93"/>
      <c r="N93"/>
      <c r="O93"/>
    </row>
    <row r="94" spans="2:15" s="103" customFormat="1">
      <c r="B94" s="1093" t="s">
        <v>214</v>
      </c>
      <c r="C94" s="1094">
        <v>1</v>
      </c>
      <c r="D94" s="1094">
        <v>0</v>
      </c>
      <c r="E94" s="106"/>
      <c r="F94" s="106"/>
      <c r="G94" s="107"/>
    </row>
    <row r="95" spans="2:15" s="103" customFormat="1" ht="15.5">
      <c r="B95" s="1093" t="s">
        <v>184</v>
      </c>
      <c r="C95" s="1094">
        <v>1</v>
      </c>
      <c r="D95" s="1094">
        <v>0</v>
      </c>
      <c r="E95" s="106"/>
      <c r="F95" s="106"/>
      <c r="G95" s="107"/>
      <c r="M95"/>
      <c r="N95"/>
      <c r="O95"/>
    </row>
    <row r="96" spans="2:15" s="103" customFormat="1" ht="15.5">
      <c r="B96" s="1093" t="s">
        <v>858</v>
      </c>
      <c r="C96" s="1094">
        <v>1</v>
      </c>
      <c r="D96" s="1094">
        <v>0</v>
      </c>
      <c r="E96" s="106"/>
      <c r="F96" s="106"/>
      <c r="G96" s="107"/>
      <c r="M96"/>
      <c r="N96"/>
      <c r="O96"/>
    </row>
    <row r="97" spans="2:25" s="103" customFormat="1" ht="15.5">
      <c r="B97" s="1093" t="s">
        <v>142</v>
      </c>
      <c r="C97" s="1094">
        <v>0.37186477902184417</v>
      </c>
      <c r="D97" s="1094">
        <v>0.62813522097815588</v>
      </c>
      <c r="E97" s="106"/>
      <c r="F97" s="106"/>
      <c r="G97" s="107"/>
      <c r="M97"/>
      <c r="N97"/>
      <c r="O97"/>
    </row>
    <row r="98" spans="2:25" s="103" customFormat="1" ht="15.5">
      <c r="B98"/>
      <c r="C98"/>
      <c r="D98"/>
      <c r="E98" s="106"/>
      <c r="F98" s="106"/>
      <c r="G98" s="107"/>
    </row>
    <row r="99" spans="2:25" s="103" customFormat="1" ht="15.5">
      <c r="B99" s="1091" t="s">
        <v>20</v>
      </c>
      <c r="C99" s="1092" t="s">
        <v>2962</v>
      </c>
      <c r="D99"/>
      <c r="E99" s="106"/>
      <c r="F99" s="106"/>
      <c r="G99" s="107"/>
      <c r="K99" s="445"/>
      <c r="L99" s="445"/>
      <c r="M99" s="105"/>
    </row>
    <row r="100" spans="2:25" s="103" customFormat="1" ht="15.5">
      <c r="B100" s="1091" t="s">
        <v>34</v>
      </c>
      <c r="C100" s="1092" t="s">
        <v>34</v>
      </c>
      <c r="D100" s="105"/>
      <c r="E100" s="106"/>
      <c r="F100" s="106"/>
      <c r="G100" s="107"/>
      <c r="I100" s="413"/>
      <c r="J100" s="413"/>
      <c r="K100" s="413"/>
      <c r="L100" s="413"/>
      <c r="M100" s="413"/>
      <c r="N100" s="413"/>
      <c r="O100" s="413"/>
      <c r="P100" s="413"/>
    </row>
    <row r="101" spans="2:25" s="103" customFormat="1" ht="15.5">
      <c r="B101" s="1106" t="s">
        <v>21</v>
      </c>
      <c r="C101" s="1106" t="s">
        <v>515</v>
      </c>
      <c r="D101" s="100"/>
      <c r="E101" s="106"/>
      <c r="F101" s="106"/>
      <c r="G101" s="107"/>
      <c r="I101" s="413"/>
      <c r="J101" s="413"/>
      <c r="K101" s="413"/>
      <c r="L101" s="413"/>
      <c r="M101" s="413"/>
      <c r="N101" s="413"/>
      <c r="O101" s="413"/>
      <c r="P101" s="413"/>
    </row>
    <row r="102" spans="2:25" s="103" customFormat="1" ht="15.5">
      <c r="B102" s="1091" t="s">
        <v>134</v>
      </c>
      <c r="C102" s="1092" t="s">
        <v>1471</v>
      </c>
      <c r="D102" s="100"/>
      <c r="E102" s="106"/>
      <c r="F102" s="106"/>
      <c r="G102" s="107"/>
      <c r="I102" s="413"/>
      <c r="J102" s="413"/>
      <c r="K102" s="413"/>
      <c r="L102" s="413"/>
      <c r="M102" s="413"/>
      <c r="N102" s="413"/>
      <c r="O102" s="413"/>
      <c r="P102" s="413"/>
    </row>
    <row r="103" spans="2:25" s="103" customFormat="1" ht="15.5">
      <c r="B103" s="1091" t="s">
        <v>35</v>
      </c>
      <c r="C103" s="1092" t="s">
        <v>1471</v>
      </c>
      <c r="D103" s="100"/>
      <c r="E103" s="106"/>
      <c r="F103" s="106"/>
      <c r="G103" s="107"/>
      <c r="I103" s="413"/>
      <c r="J103" s="413"/>
      <c r="K103" s="413"/>
      <c r="L103" s="413"/>
      <c r="M103" s="413"/>
      <c r="N103" s="413"/>
      <c r="O103" s="413"/>
      <c r="P103" s="413"/>
    </row>
    <row r="104" spans="2:25" s="103" customFormat="1" ht="15.5">
      <c r="B104" s="375"/>
      <c r="C104" s="100"/>
      <c r="D104" s="100"/>
      <c r="E104" s="106"/>
      <c r="F104" s="106"/>
      <c r="G104" s="107"/>
      <c r="I104" s="413"/>
      <c r="J104" s="413"/>
      <c r="K104" s="413"/>
      <c r="L104" s="413"/>
      <c r="M104" s="413"/>
      <c r="N104" s="413"/>
      <c r="O104" s="413"/>
      <c r="P104" s="413"/>
    </row>
    <row r="105" spans="2:25" s="103" customFormat="1" ht="15.5">
      <c r="B105" s="1096" t="s">
        <v>21</v>
      </c>
      <c r="C105" s="1092" t="s">
        <v>2138</v>
      </c>
      <c r="D105" s="1092" t="s">
        <v>2134</v>
      </c>
      <c r="E105" s="106"/>
      <c r="F105" s="106"/>
      <c r="G105" s="107"/>
      <c r="I105" s="413"/>
      <c r="J105" s="413"/>
      <c r="K105" s="413"/>
      <c r="L105" s="413"/>
      <c r="M105" s="413"/>
      <c r="N105" s="413"/>
      <c r="O105" s="413"/>
      <c r="P105" s="413"/>
    </row>
    <row r="106" spans="2:25" s="103" customFormat="1" ht="15.5">
      <c r="B106" s="1093" t="s">
        <v>534</v>
      </c>
      <c r="C106" s="1094">
        <v>1</v>
      </c>
      <c r="D106" s="1094">
        <v>0</v>
      </c>
      <c r="E106" s="106"/>
      <c r="F106" s="106"/>
      <c r="G106" s="107"/>
      <c r="I106" s="413"/>
      <c r="J106" s="413"/>
      <c r="K106" s="413"/>
      <c r="L106" s="413"/>
      <c r="M106" s="413"/>
      <c r="N106" s="413"/>
      <c r="O106" s="413"/>
      <c r="P106" s="413"/>
    </row>
    <row r="107" spans="2:25" s="103" customFormat="1" ht="15.5">
      <c r="B107" s="1093" t="s">
        <v>556</v>
      </c>
      <c r="C107" s="1094">
        <v>0</v>
      </c>
      <c r="D107" s="1094">
        <v>1</v>
      </c>
      <c r="E107" s="106"/>
      <c r="F107" s="106"/>
      <c r="G107" s="107"/>
      <c r="J107"/>
      <c r="K107"/>
      <c r="L107"/>
      <c r="M107"/>
      <c r="N107"/>
      <c r="O107"/>
      <c r="P107"/>
    </row>
    <row r="108" spans="2:25" s="103" customFormat="1" ht="15.5">
      <c r="B108" s="1093" t="s">
        <v>519</v>
      </c>
      <c r="C108" s="1094">
        <v>0.93651482284887932</v>
      </c>
      <c r="D108" s="1094">
        <v>6.3485177151120675E-2</v>
      </c>
      <c r="E108" s="106"/>
      <c r="F108" s="106"/>
      <c r="G108" s="107"/>
      <c r="J108"/>
      <c r="K108"/>
      <c r="L108"/>
      <c r="M108"/>
      <c r="N108"/>
      <c r="O108"/>
      <c r="P108"/>
    </row>
    <row r="109" spans="2:25" s="103" customFormat="1" ht="15.5">
      <c r="B109" s="1093" t="s">
        <v>956</v>
      </c>
      <c r="C109" s="1094">
        <v>0.14214641080312723</v>
      </c>
      <c r="D109" s="1094">
        <v>0.85785358919687282</v>
      </c>
      <c r="E109" s="106"/>
      <c r="F109" s="106"/>
      <c r="G109" s="107"/>
      <c r="J109"/>
      <c r="K109"/>
      <c r="L109"/>
      <c r="M109"/>
      <c r="N109"/>
      <c r="O109"/>
      <c r="P109"/>
    </row>
    <row r="110" spans="2:25" s="103" customFormat="1" ht="15.5">
      <c r="B110" s="1093" t="s">
        <v>958</v>
      </c>
      <c r="C110" s="1094">
        <v>0.95579450418160095</v>
      </c>
      <c r="D110" s="1094">
        <v>4.4205495818399054E-2</v>
      </c>
      <c r="E110" s="106"/>
      <c r="F110" s="106"/>
      <c r="G110" s="107"/>
      <c r="J110"/>
      <c r="K110"/>
      <c r="L110"/>
      <c r="M110"/>
      <c r="N110"/>
      <c r="O110"/>
      <c r="P110"/>
    </row>
    <row r="111" spans="2:25" s="103" customFormat="1" ht="15.5">
      <c r="B111" s="1093" t="s">
        <v>525</v>
      </c>
      <c r="C111" s="1094">
        <v>0.59585741811175341</v>
      </c>
      <c r="D111" s="1094">
        <v>0.40414258188824659</v>
      </c>
      <c r="E111" s="106"/>
      <c r="F111" s="106"/>
      <c r="G111" s="107"/>
      <c r="J111"/>
      <c r="K111"/>
      <c r="L111"/>
      <c r="M111"/>
      <c r="T111"/>
      <c r="U111"/>
      <c r="V111"/>
      <c r="W111"/>
      <c r="X111"/>
      <c r="Y111"/>
    </row>
    <row r="112" spans="2:25" s="103" customFormat="1" ht="15.5">
      <c r="B112" s="1093" t="s">
        <v>516</v>
      </c>
      <c r="C112" s="1094">
        <v>1</v>
      </c>
      <c r="D112" s="1094">
        <v>0</v>
      </c>
      <c r="E112" s="106"/>
      <c r="F112" s="106"/>
      <c r="G112" s="107"/>
      <c r="J112"/>
      <c r="K112"/>
      <c r="L112"/>
      <c r="M112"/>
      <c r="T112"/>
      <c r="U112"/>
      <c r="V112"/>
    </row>
    <row r="113" spans="1:37" s="103" customFormat="1" ht="15.5">
      <c r="B113" s="1093" t="s">
        <v>979</v>
      </c>
      <c r="C113" s="1094">
        <v>0</v>
      </c>
      <c r="D113" s="1094">
        <v>1</v>
      </c>
      <c r="E113" s="106"/>
      <c r="F113" s="106"/>
      <c r="G113" s="107"/>
      <c r="J113"/>
      <c r="K113"/>
      <c r="L113"/>
      <c r="M113"/>
      <c r="T113"/>
      <c r="U113"/>
      <c r="V113"/>
    </row>
    <row r="114" spans="1:37" s="103" customFormat="1" ht="15.5">
      <c r="B114"/>
      <c r="C114"/>
      <c r="D114"/>
      <c r="E114" s="106"/>
      <c r="F114" s="106"/>
      <c r="G114" s="107"/>
      <c r="K114"/>
      <c r="L114"/>
      <c r="M114"/>
      <c r="T114"/>
      <c r="U114"/>
      <c r="V114"/>
    </row>
    <row r="115" spans="1:37" s="103" customFormat="1" ht="15.5">
      <c r="B115"/>
      <c r="C115"/>
      <c r="D115"/>
      <c r="E115" s="106"/>
      <c r="F115" s="106"/>
      <c r="G115" s="107"/>
      <c r="K115"/>
      <c r="L115"/>
      <c r="M115"/>
      <c r="T115"/>
      <c r="U115"/>
    </row>
    <row r="116" spans="1:37" s="103" customFormat="1" ht="15.5">
      <c r="B116" s="104"/>
      <c r="C116" s="105"/>
      <c r="D116" s="105"/>
      <c r="E116" s="106"/>
      <c r="F116" s="106"/>
      <c r="G116" s="107"/>
      <c r="T116"/>
      <c r="U116"/>
    </row>
    <row r="117" spans="1:37" s="119" customFormat="1" ht="18.5">
      <c r="A117" s="91" t="s">
        <v>1578</v>
      </c>
      <c r="B117" s="91"/>
      <c r="C117" s="116"/>
      <c r="D117" s="117"/>
      <c r="E117" s="117"/>
      <c r="F117" s="117"/>
      <c r="G117" s="118"/>
      <c r="H117" s="91"/>
      <c r="I117" s="91"/>
      <c r="J117" s="91"/>
      <c r="K117" s="91"/>
      <c r="L117" s="91"/>
      <c r="M117" s="91"/>
      <c r="N117" s="91"/>
      <c r="O117" s="91"/>
      <c r="P117" s="91"/>
      <c r="Q117" s="91"/>
      <c r="R117" s="91"/>
      <c r="S117" s="91"/>
      <c r="T117" s="91"/>
      <c r="U117" s="91"/>
      <c r="V117" s="91"/>
      <c r="W117" s="91"/>
      <c r="X117" s="91"/>
      <c r="Y117" s="91"/>
      <c r="Z117" s="91"/>
    </row>
    <row r="118" spans="1:37">
      <c r="C118" s="1091" t="s">
        <v>35</v>
      </c>
      <c r="D118" s="1092" t="s">
        <v>1471</v>
      </c>
      <c r="E118" s="96"/>
      <c r="F118" s="96"/>
      <c r="G118" s="97"/>
    </row>
    <row r="119" spans="1:37" ht="15.5">
      <c r="C119" s="1091" t="s">
        <v>20</v>
      </c>
      <c r="D119" s="1092" t="s">
        <v>2962</v>
      </c>
      <c r="F119" s="96"/>
      <c r="G119" s="97"/>
      <c r="J119" s="1091" t="s">
        <v>20</v>
      </c>
      <c r="K119" s="1092" t="s">
        <v>2962</v>
      </c>
      <c r="L119"/>
      <c r="O119" s="1091" t="s">
        <v>20</v>
      </c>
      <c r="P119" s="1092" t="s">
        <v>2962</v>
      </c>
      <c r="X119" s="1091" t="s">
        <v>20</v>
      </c>
      <c r="Y119" s="1092" t="s">
        <v>2962</v>
      </c>
      <c r="AI119" s="1091" t="s">
        <v>20</v>
      </c>
      <c r="AJ119" s="1092" t="s">
        <v>2961</v>
      </c>
    </row>
    <row r="120" spans="1:37" ht="29">
      <c r="C120" s="1095" t="s">
        <v>21</v>
      </c>
      <c r="D120" s="1092" t="s">
        <v>37</v>
      </c>
      <c r="E120" s="96"/>
      <c r="J120" s="1105" t="s">
        <v>21</v>
      </c>
      <c r="K120" s="1105" t="s">
        <v>515</v>
      </c>
      <c r="L120" s="450"/>
      <c r="O120" s="1095" t="s">
        <v>21</v>
      </c>
      <c r="P120" s="1092" t="s">
        <v>37</v>
      </c>
      <c r="Q120" s="96"/>
      <c r="X120" s="1095" t="s">
        <v>21</v>
      </c>
      <c r="Y120" s="1092" t="s">
        <v>515</v>
      </c>
      <c r="Z120" s="96"/>
      <c r="AI120" s="1095" t="s">
        <v>21</v>
      </c>
      <c r="AJ120" s="1092" t="s">
        <v>37</v>
      </c>
      <c r="AK120" s="96"/>
    </row>
    <row r="121" spans="1:37" ht="15.5">
      <c r="C121" s="1091" t="s">
        <v>34</v>
      </c>
      <c r="D121" s="1092" t="s">
        <v>34</v>
      </c>
      <c r="H121" s="93">
        <v>97507</v>
      </c>
      <c r="J121" s="1091" t="s">
        <v>34</v>
      </c>
      <c r="K121" s="1092" t="s">
        <v>34</v>
      </c>
      <c r="L121" s="413"/>
      <c r="O121" s="1091" t="s">
        <v>34</v>
      </c>
      <c r="P121" s="1092" t="s">
        <v>34</v>
      </c>
      <c r="X121" s="1091" t="s">
        <v>34</v>
      </c>
      <c r="Y121" s="1092" t="s">
        <v>34</v>
      </c>
      <c r="AI121" s="1091" t="s">
        <v>34</v>
      </c>
      <c r="AJ121" s="1092" t="s">
        <v>34</v>
      </c>
    </row>
    <row r="122" spans="1:37" ht="15.5">
      <c r="C122" s="1091" t="s">
        <v>134</v>
      </c>
      <c r="D122" s="1092" t="s">
        <v>1471</v>
      </c>
      <c r="H122" s="93">
        <f>H121/20</f>
        <v>4875.3500000000004</v>
      </c>
      <c r="J122" s="1091" t="s">
        <v>134</v>
      </c>
      <c r="K122" s="1092" t="s">
        <v>1471</v>
      </c>
      <c r="L122" s="413"/>
      <c r="O122" s="1091" t="s">
        <v>134</v>
      </c>
      <c r="P122" s="1092" t="s">
        <v>1471</v>
      </c>
      <c r="X122" s="1091" t="s">
        <v>134</v>
      </c>
      <c r="Y122" s="1092" t="s">
        <v>1471</v>
      </c>
      <c r="AI122" s="1091" t="s">
        <v>134</v>
      </c>
      <c r="AJ122" s="1092" t="s">
        <v>1471</v>
      </c>
    </row>
    <row r="123" spans="1:37" s="98" customFormat="1">
      <c r="C123" s="93"/>
      <c r="D123" s="93"/>
      <c r="E123" s="93"/>
      <c r="F123" s="100"/>
      <c r="G123" s="100"/>
      <c r="H123" s="93"/>
      <c r="I123" s="93"/>
      <c r="J123" s="93"/>
      <c r="K123" s="93"/>
      <c r="L123" s="93"/>
      <c r="M123" s="93"/>
      <c r="O123" s="93"/>
      <c r="P123" s="93"/>
      <c r="Q123" s="93"/>
      <c r="R123" s="93"/>
      <c r="S123" s="93"/>
      <c r="U123" s="93"/>
      <c r="V123" s="93"/>
      <c r="W123" s="93"/>
      <c r="X123" s="93"/>
      <c r="Y123" s="93"/>
      <c r="Z123" s="93"/>
      <c r="AC123" s="93"/>
      <c r="AD123" s="93"/>
      <c r="AI123" s="93"/>
      <c r="AJ123" s="93"/>
      <c r="AK123" s="93"/>
    </row>
    <row r="124" spans="1:37" ht="15.5">
      <c r="C124" s="1092"/>
      <c r="D124" s="1091" t="s">
        <v>1472</v>
      </c>
      <c r="E124" s="1092"/>
      <c r="F124"/>
      <c r="G124"/>
      <c r="J124" s="1092"/>
      <c r="K124" s="1091" t="s">
        <v>1472</v>
      </c>
      <c r="L124"/>
      <c r="M124"/>
      <c r="O124" s="1091" t="s">
        <v>1278</v>
      </c>
      <c r="P124" s="1092" t="s">
        <v>2345</v>
      </c>
      <c r="Q124" s="1092" t="s">
        <v>2346</v>
      </c>
      <c r="U124"/>
      <c r="X124" s="1091" t="s">
        <v>1278</v>
      </c>
      <c r="Y124" s="1092" t="s">
        <v>2345</v>
      </c>
      <c r="Z124" s="1092" t="s">
        <v>2346</v>
      </c>
      <c r="AA124" s="372"/>
      <c r="AB124" s="372"/>
      <c r="AC124" s="372"/>
      <c r="AD124" s="372"/>
      <c r="AI124" s="1091" t="s">
        <v>1278</v>
      </c>
      <c r="AJ124" s="1092" t="s">
        <v>2631</v>
      </c>
      <c r="AK124" s="1092" t="s">
        <v>2630</v>
      </c>
    </row>
    <row r="125" spans="1:37" ht="15.5">
      <c r="C125" s="1091" t="s">
        <v>1473</v>
      </c>
      <c r="D125" s="1092" t="s">
        <v>44</v>
      </c>
      <c r="E125" s="1092" t="s">
        <v>589</v>
      </c>
      <c r="F125"/>
      <c r="G125"/>
      <c r="J125" s="1091" t="s">
        <v>1473</v>
      </c>
      <c r="K125" s="1092" t="s">
        <v>1503</v>
      </c>
      <c r="L125"/>
      <c r="M125"/>
      <c r="O125" s="1093" t="s">
        <v>44</v>
      </c>
      <c r="P125" s="1101">
        <v>35427</v>
      </c>
      <c r="Q125" s="1101">
        <v>10466</v>
      </c>
      <c r="R125" s="372"/>
      <c r="S125" s="372"/>
      <c r="T125" s="372"/>
      <c r="U125" s="419"/>
      <c r="V125" s="372"/>
      <c r="W125" s="372"/>
      <c r="X125" s="1093" t="s">
        <v>44</v>
      </c>
      <c r="Y125" s="1101">
        <v>6277</v>
      </c>
      <c r="Z125" s="1101">
        <v>4162</v>
      </c>
      <c r="AA125" s="372"/>
      <c r="AB125" s="372"/>
      <c r="AC125" s="372"/>
      <c r="AD125" s="372"/>
      <c r="AI125" s="1093" t="s">
        <v>195</v>
      </c>
      <c r="AJ125" s="1099">
        <v>311</v>
      </c>
      <c r="AK125" s="1099">
        <v>322</v>
      </c>
    </row>
    <row r="126" spans="1:37" ht="15.5">
      <c r="B126" s="486" t="s">
        <v>128</v>
      </c>
      <c r="C126" s="1093" t="s">
        <v>1501</v>
      </c>
      <c r="D126" s="1099">
        <v>2293</v>
      </c>
      <c r="E126" s="1099">
        <v>2513</v>
      </c>
      <c r="F126"/>
      <c r="G126"/>
      <c r="J126" s="1093" t="s">
        <v>1501</v>
      </c>
      <c r="K126" s="1099">
        <v>631</v>
      </c>
      <c r="L126"/>
      <c r="M126"/>
      <c r="O126" s="1093" t="s">
        <v>589</v>
      </c>
      <c r="P126" s="1101">
        <v>36138</v>
      </c>
      <c r="Q126" s="1101">
        <v>8503</v>
      </c>
      <c r="U126"/>
      <c r="X126"/>
      <c r="Y126"/>
      <c r="Z126"/>
      <c r="AI126" s="1093" t="s">
        <v>146</v>
      </c>
      <c r="AJ126" s="1099">
        <v>76</v>
      </c>
      <c r="AK126" s="1099">
        <v>133</v>
      </c>
    </row>
    <row r="127" spans="1:37" ht="15.5">
      <c r="C127" s="1093" t="s">
        <v>2095</v>
      </c>
      <c r="D127" s="1099">
        <v>155</v>
      </c>
      <c r="E127" s="1099">
        <v>118</v>
      </c>
      <c r="F127"/>
      <c r="G127"/>
      <c r="J127" s="1093" t="s">
        <v>2095</v>
      </c>
      <c r="K127" s="1099"/>
      <c r="L127"/>
      <c r="M127"/>
      <c r="O127"/>
      <c r="P127"/>
      <c r="Q127"/>
      <c r="U127"/>
      <c r="AI127" s="1093" t="s">
        <v>148</v>
      </c>
      <c r="AJ127" s="1099">
        <v>171</v>
      </c>
      <c r="AK127" s="1099">
        <v>195</v>
      </c>
    </row>
    <row r="128" spans="1:37" ht="15.5">
      <c r="C128" s="1093" t="s">
        <v>2096</v>
      </c>
      <c r="D128" s="1099">
        <v>477</v>
      </c>
      <c r="E128" s="1099">
        <v>150</v>
      </c>
      <c r="F128"/>
      <c r="G128"/>
      <c r="J128" s="1093" t="s">
        <v>2096</v>
      </c>
      <c r="K128" s="1099"/>
      <c r="L128"/>
      <c r="M128"/>
      <c r="O128"/>
      <c r="P128"/>
      <c r="Q128"/>
      <c r="U128"/>
      <c r="AI128" s="1093" t="s">
        <v>586</v>
      </c>
      <c r="AJ128" s="1099">
        <v>60</v>
      </c>
      <c r="AK128" s="1099">
        <v>30</v>
      </c>
    </row>
    <row r="129" spans="1:37" ht="15.5">
      <c r="C129" s="1093" t="s">
        <v>2097</v>
      </c>
      <c r="D129" s="1099">
        <v>604</v>
      </c>
      <c r="E129" s="1099">
        <v>1334</v>
      </c>
      <c r="F129"/>
      <c r="G129"/>
      <c r="J129" s="1093" t="s">
        <v>2097</v>
      </c>
      <c r="K129" s="1099">
        <v>56</v>
      </c>
      <c r="L129"/>
      <c r="M129"/>
      <c r="O129"/>
      <c r="P129"/>
      <c r="Q129"/>
      <c r="U129"/>
      <c r="AI129" s="1093" t="s">
        <v>38</v>
      </c>
      <c r="AJ129" s="1099">
        <v>1059</v>
      </c>
      <c r="AK129" s="1099">
        <v>612</v>
      </c>
    </row>
    <row r="130" spans="1:37" ht="15.5">
      <c r="B130" s="100" t="s">
        <v>1848</v>
      </c>
      <c r="C130" s="1093" t="s">
        <v>2098</v>
      </c>
      <c r="D130" s="1099">
        <v>2139</v>
      </c>
      <c r="E130" s="1099">
        <v>3439</v>
      </c>
      <c r="F130"/>
      <c r="G130"/>
      <c r="J130" s="1093" t="s">
        <v>2098</v>
      </c>
      <c r="K130" s="1099">
        <v>835</v>
      </c>
      <c r="L130"/>
      <c r="M130"/>
      <c r="O130"/>
      <c r="P130" s="630"/>
      <c r="Q130"/>
      <c r="U130"/>
      <c r="AI130" s="1093" t="s">
        <v>152</v>
      </c>
      <c r="AJ130" s="1099">
        <v>79</v>
      </c>
      <c r="AK130" s="1099">
        <v>86</v>
      </c>
    </row>
    <row r="131" spans="1:37" ht="15.5">
      <c r="B131" s="100"/>
      <c r="C131" s="1093" t="s">
        <v>2099</v>
      </c>
      <c r="D131" s="1099">
        <v>2225</v>
      </c>
      <c r="E131" s="1099">
        <v>3719</v>
      </c>
      <c r="F131"/>
      <c r="G131"/>
      <c r="J131" s="1093" t="s">
        <v>2099</v>
      </c>
      <c r="K131" s="1099">
        <v>835</v>
      </c>
      <c r="L131" s="413"/>
      <c r="M131" s="413"/>
      <c r="N131" s="413"/>
      <c r="O131"/>
      <c r="P131"/>
      <c r="Q131"/>
      <c r="R131"/>
      <c r="U131"/>
      <c r="AI131" s="1093" t="s">
        <v>157</v>
      </c>
      <c r="AJ131" s="1099">
        <v>5</v>
      </c>
      <c r="AK131" s="1099">
        <v>6</v>
      </c>
    </row>
    <row r="132" spans="1:37" ht="15.5">
      <c r="B132" s="100"/>
      <c r="C132" s="1093" t="s">
        <v>2212</v>
      </c>
      <c r="D132" s="1099">
        <v>86</v>
      </c>
      <c r="E132" s="1099">
        <v>280</v>
      </c>
      <c r="F132"/>
      <c r="G132"/>
      <c r="J132" s="1093" t="s">
        <v>2212</v>
      </c>
      <c r="K132" s="1099"/>
      <c r="L132" s="413"/>
      <c r="M132" s="413"/>
      <c r="N132" s="413"/>
      <c r="O132"/>
      <c r="P132"/>
      <c r="Q132"/>
      <c r="R132"/>
      <c r="S132"/>
      <c r="T132"/>
      <c r="U132"/>
      <c r="AI132" s="1093" t="s">
        <v>205</v>
      </c>
      <c r="AJ132" s="1099">
        <v>1578</v>
      </c>
      <c r="AK132" s="1099">
        <v>1348</v>
      </c>
    </row>
    <row r="133" spans="1:37" ht="16" thickBot="1">
      <c r="B133" s="100"/>
      <c r="C133" s="95"/>
      <c r="D133" s="97"/>
      <c r="E133" s="97"/>
      <c r="F133" s="100"/>
      <c r="G133" s="100"/>
      <c r="M133" s="413"/>
      <c r="N133" s="100" t="s">
        <v>1519</v>
      </c>
      <c r="O133" s="99">
        <f>K135</f>
        <v>835</v>
      </c>
      <c r="AI133" s="1093" t="s">
        <v>159</v>
      </c>
      <c r="AJ133" s="1099">
        <v>442</v>
      </c>
      <c r="AK133" s="1099">
        <v>550</v>
      </c>
    </row>
    <row r="134" spans="1:37" ht="15.5">
      <c r="B134" s="121" t="s">
        <v>37</v>
      </c>
      <c r="C134" s="122" t="s">
        <v>1503</v>
      </c>
      <c r="D134" s="123" t="s">
        <v>1504</v>
      </c>
      <c r="F134" s="100" t="s">
        <v>1519</v>
      </c>
      <c r="G134" s="109">
        <f>GETPIVOTDATA("Sum of # Existing functional latrines",$C$124,"Ethnic or GCA/NGCA","GCA")+GETPIVOTDATA("Sum of # Existing functional latrines",$C$124,"Ethnic or GCA/NGCA","NGCA")</f>
        <v>5578</v>
      </c>
      <c r="J134" s="130" t="s">
        <v>515</v>
      </c>
      <c r="K134" s="122" t="s">
        <v>1503</v>
      </c>
      <c r="L134" s="413"/>
      <c r="M134" s="413"/>
      <c r="N134" s="100" t="s">
        <v>2214</v>
      </c>
      <c r="O134" s="99">
        <f>GETPIVOTDATA("  Total # of latrine",$J$124,"Ethnic or GCA/NGCA","# in GCA (20:1)")-O133</f>
        <v>0</v>
      </c>
      <c r="AI134" s="1093" t="s">
        <v>214</v>
      </c>
      <c r="AJ134" s="1099">
        <v>27</v>
      </c>
      <c r="AK134" s="1099">
        <v>94</v>
      </c>
    </row>
    <row r="135" spans="1:37" ht="15.5">
      <c r="A135" s="485" t="s">
        <v>2102</v>
      </c>
      <c r="B135" s="124" t="s">
        <v>1285</v>
      </c>
      <c r="C135" s="125">
        <f>GETPIVOTDATA("Sum of # Existing functional latrines",$C$124,"Ethnic or GCA/NGCA","GCA")</f>
        <v>2139</v>
      </c>
      <c r="D135" s="126">
        <f>GETPIVOTDATA("Sum of # Existing functional latrines",$C$124,"Ethnic or GCA/NGCA","NGCA")</f>
        <v>3439</v>
      </c>
      <c r="F135" s="100" t="s">
        <v>2213</v>
      </c>
      <c r="G135" s="109">
        <f>GETPIVOTDATA("Sum of #_Non-functional latrines",$C$124,"Ethnic or GCA/NGCA","GCA")+GETPIVOTDATA("Sum of #_Non-functional latrines",$C$124,"Ethnic or GCA/NGCA","NGCA")</f>
        <v>366</v>
      </c>
      <c r="J135" s="124" t="s">
        <v>1285</v>
      </c>
      <c r="K135" s="125">
        <f>GETPIVOTDATA("Sum of # Existing functional latrines",$J$124,"Ethnic or GCA/NGCA","# in GCA (20:1)")</f>
        <v>835</v>
      </c>
      <c r="L135" s="413"/>
      <c r="M135" s="413"/>
      <c r="N135" s="100"/>
      <c r="O135" s="99"/>
      <c r="AI135" s="1093" t="s">
        <v>184</v>
      </c>
      <c r="AJ135" s="1099">
        <v>176</v>
      </c>
      <c r="AK135" s="1099">
        <v>52</v>
      </c>
    </row>
    <row r="136" spans="1:37" ht="15.5">
      <c r="A136" s="485" t="s">
        <v>2101</v>
      </c>
      <c r="B136" s="124" t="s">
        <v>1514</v>
      </c>
      <c r="C136" s="125">
        <f>GETPIVOTDATA("# latrines (target)",$C$124,"Ethnic or GCA/NGCA","GCA")-GETPIVOTDATA("Sum of # Existing functional latrines",$C$124,"Ethnic or GCA/NGCA","GCA")</f>
        <v>154</v>
      </c>
      <c r="D136" s="126">
        <f>IF(GETPIVOTDATA("# latrines (target)",$C$124,"Ethnic or GCA/NGCA","NGCA")-GETPIVOTDATA("Sum of # Existing functional latrines",$C$124,"Ethnic or GCA/NGCA","NGCA")&lt;0,0,GETPIVOTDATA("# latrines (target)",$C$124,"Ethnic or GCA/NGCA","NGCA")-GETPIVOTDATA("Sum of # Existing functional latrines",$C$124,"Ethnic or GCA/NGCA","NGCA"))</f>
        <v>0</v>
      </c>
      <c r="F136" s="100" t="s">
        <v>2100</v>
      </c>
      <c r="G136" s="109">
        <f>SUM(C139:D139)</f>
        <v>273</v>
      </c>
      <c r="J136" s="124" t="s">
        <v>1514</v>
      </c>
      <c r="K136" s="125">
        <f>GETPIVOTDATA("  Total # of latrine",$J$124,"Ethnic or GCA/NGCA","# in GCA (20:1)")-GETPIVOTDATA("Sum of # Existing functional latrines",$J$124,"Ethnic or GCA/NGCA","# in GCA (20:1)")</f>
        <v>0</v>
      </c>
      <c r="L136" s="413"/>
      <c r="M136" s="413"/>
      <c r="N136" s="413"/>
      <c r="O136" s="413"/>
      <c r="AI136" s="1093" t="s">
        <v>858</v>
      </c>
      <c r="AJ136" s="1099">
        <v>63</v>
      </c>
      <c r="AK136" s="1099">
        <v>61</v>
      </c>
    </row>
    <row r="137" spans="1:37" ht="29">
      <c r="B137" s="124" t="s">
        <v>1515</v>
      </c>
      <c r="C137" s="125">
        <f>GETPIVOTDATA("# handed over",$C$124,"Ethnic or GCA/NGCA","GCA")</f>
        <v>604</v>
      </c>
      <c r="D137" s="126">
        <f>GETPIVOTDATA("# handed over",$C$124,"Ethnic or GCA/NGCA","NGCA")</f>
        <v>1334</v>
      </c>
      <c r="F137" s="100" t="s">
        <v>1520</v>
      </c>
      <c r="G137" s="100">
        <f>SUM(C140:D140)</f>
        <v>627</v>
      </c>
      <c r="J137" s="124" t="s">
        <v>1515</v>
      </c>
      <c r="K137" s="125">
        <f>GETPIVOTDATA("# handed over",$J$124,"Ethnic or GCA/NGCA","# in GCA (20:1)")</f>
        <v>56</v>
      </c>
      <c r="L137" s="413"/>
      <c r="M137" s="413"/>
      <c r="N137" s="413"/>
      <c r="O137" s="413"/>
      <c r="AI137" s="1093" t="s">
        <v>142</v>
      </c>
      <c r="AJ137" s="1099">
        <v>2141</v>
      </c>
      <c r="AK137" s="1099">
        <v>1699</v>
      </c>
    </row>
    <row r="138" spans="1:37" ht="29">
      <c r="B138" s="124" t="s">
        <v>1516</v>
      </c>
      <c r="C138" s="125">
        <f>GETPIVOTDATA("# latrines (target)",$C$124,"Ethnic or GCA/NGCA","GCA")-GETPIVOTDATA("# handed over",$C$124,"Ethnic or GCA/NGCA","GCA")</f>
        <v>1689</v>
      </c>
      <c r="D138" s="126">
        <f>GETPIVOTDATA("# handed over",$C$124,"Ethnic or GCA/NGCA","NGCA")</f>
        <v>1334</v>
      </c>
      <c r="E138" s="927"/>
      <c r="G138" s="100"/>
      <c r="H138" s="100"/>
      <c r="J138" s="124" t="s">
        <v>1516</v>
      </c>
      <c r="K138" s="125">
        <f>GETPIVOTDATA("  Total # of latrine",$J$124,"Ethnic or GCA/NGCA","# in GCA (20:1)")-GETPIVOTDATA("# handed over",$J$124,"Ethnic or GCA/NGCA","# in GCA (20:1)")</f>
        <v>779</v>
      </c>
      <c r="L138" s="413"/>
      <c r="M138" s="413"/>
      <c r="N138" s="413"/>
      <c r="O138" s="413"/>
      <c r="AI138"/>
      <c r="AJ138"/>
      <c r="AK138"/>
    </row>
    <row r="139" spans="1:37" ht="43.5">
      <c r="B139" s="124" t="s">
        <v>2095</v>
      </c>
      <c r="C139" s="125">
        <f>GETPIVOTDATA("# Operation &amp; maintenance of latrines",$C$124,"Ethnic or GCA/NGCA","GCA")</f>
        <v>155</v>
      </c>
      <c r="D139" s="126">
        <f>GETPIVOTDATA("# Operation &amp; maintenance of latrines",$C$124,"Ethnic or GCA/NGCA","NGCA")</f>
        <v>118</v>
      </c>
      <c r="G139" s="100"/>
      <c r="J139" s="124" t="s">
        <v>2103</v>
      </c>
      <c r="K139" s="125">
        <f>GETPIVOTDATA("# Operation &amp; maintenance of latrines",$J$124,"Ethnic or GCA/NGCA","# in GCA (20:1)")</f>
        <v>0</v>
      </c>
      <c r="L139" s="413"/>
      <c r="M139" s="413"/>
      <c r="N139" s="413"/>
      <c r="O139" s="413"/>
      <c r="AI139" s="1091" t="s">
        <v>20</v>
      </c>
      <c r="AJ139" s="1092" t="s">
        <v>2961</v>
      </c>
    </row>
    <row r="140" spans="1:37" ht="29">
      <c r="B140" s="124" t="s">
        <v>1502</v>
      </c>
      <c r="C140" s="125">
        <f>GETPIVOTDATA("# latrines desludged",$C$124,"Ethnic or GCA/NGCA","GCA")</f>
        <v>477</v>
      </c>
      <c r="D140" s="126">
        <f>GETPIVOTDATA("# latrines desludged",$C$124,"Ethnic or GCA/NGCA","NGCA")</f>
        <v>150</v>
      </c>
      <c r="G140" s="100"/>
      <c r="J140" s="124" t="s">
        <v>1502</v>
      </c>
      <c r="K140" s="125">
        <f>GETPIVOTDATA("# Latrines desludged",$J$124,"Ethnic or GCA/NGCA","# in GCA (20:1)")</f>
        <v>0</v>
      </c>
      <c r="L140" s="413"/>
      <c r="M140" s="413"/>
      <c r="N140" s="413"/>
      <c r="O140" s="413"/>
      <c r="AI140" s="1095" t="s">
        <v>21</v>
      </c>
      <c r="AJ140" s="1092" t="s">
        <v>515</v>
      </c>
      <c r="AK140" s="96"/>
    </row>
    <row r="141" spans="1:37" ht="16" thickBot="1">
      <c r="B141" s="127" t="s">
        <v>1501</v>
      </c>
      <c r="C141" s="128">
        <f>GETPIVOTDATA("# latrines (target)",$C$124,"Ethnic or GCA/NGCA","GCA")</f>
        <v>2293</v>
      </c>
      <c r="D141" s="129">
        <f>GETPIVOTDATA("# latrines (target)",$C$124,"Ethnic or GCA/NGCA","NGCA")</f>
        <v>2513</v>
      </c>
      <c r="G141" s="100"/>
      <c r="J141" s="127" t="s">
        <v>1501</v>
      </c>
      <c r="K141" s="128">
        <f>GETPIVOTDATA("# latrines (target)",$J$124,"Ethnic or GCA/NGCA","# in GCA (20:1)")</f>
        <v>631</v>
      </c>
      <c r="L141" s="413"/>
      <c r="M141" s="413"/>
      <c r="N141" s="413"/>
      <c r="O141" s="413"/>
      <c r="AI141" s="1091" t="s">
        <v>34</v>
      </c>
      <c r="AJ141" s="1092" t="s">
        <v>34</v>
      </c>
    </row>
    <row r="142" spans="1:37" ht="15.5">
      <c r="B142" s="100"/>
      <c r="C142" s="131"/>
      <c r="D142" s="132"/>
      <c r="E142" s="132"/>
      <c r="G142" s="100"/>
      <c r="K142" s="413"/>
      <c r="L142" s="413"/>
      <c r="M142" s="413"/>
      <c r="N142" s="413"/>
      <c r="O142" s="413"/>
      <c r="Q142" s="100"/>
      <c r="R142" s="100"/>
      <c r="S142" s="131"/>
      <c r="T142" s="132"/>
      <c r="U142" s="132"/>
      <c r="AI142" s="1091" t="s">
        <v>134</v>
      </c>
      <c r="AJ142" s="1092" t="s">
        <v>1471</v>
      </c>
    </row>
    <row r="143" spans="1:37" ht="15.5">
      <c r="B143" s="100"/>
      <c r="C143" s="131"/>
      <c r="D143" s="132"/>
      <c r="E143" s="132"/>
      <c r="G143" s="100"/>
      <c r="K143" s="413"/>
      <c r="L143" s="413"/>
      <c r="M143" s="413"/>
      <c r="N143" s="413"/>
      <c r="O143" s="413"/>
      <c r="Q143" s="100"/>
      <c r="R143" s="100"/>
      <c r="S143" s="131"/>
      <c r="T143" s="132"/>
      <c r="U143" s="132"/>
    </row>
    <row r="144" spans="1:37" ht="15.5">
      <c r="B144" s="100"/>
      <c r="C144" s="131"/>
      <c r="D144" s="132"/>
      <c r="E144" s="132"/>
      <c r="G144" s="100"/>
      <c r="K144" s="413"/>
      <c r="L144" s="413"/>
      <c r="M144" s="413"/>
      <c r="N144" s="413"/>
      <c r="O144" s="413"/>
      <c r="Q144" s="100"/>
      <c r="R144" s="100"/>
      <c r="S144" s="131"/>
      <c r="T144" s="132"/>
      <c r="U144" s="132"/>
      <c r="AI144" s="1091" t="s">
        <v>1278</v>
      </c>
      <c r="AJ144" s="1092" t="s">
        <v>2631</v>
      </c>
      <c r="AK144" s="1092" t="s">
        <v>2630</v>
      </c>
    </row>
    <row r="145" spans="2:37">
      <c r="B145" s="100"/>
      <c r="C145" s="95"/>
      <c r="D145" s="97"/>
      <c r="E145" s="97"/>
      <c r="F145" s="100"/>
      <c r="G145" s="100"/>
      <c r="J145" s="100"/>
      <c r="K145" s="100"/>
      <c r="L145" s="100"/>
      <c r="Q145" s="100"/>
      <c r="R145" s="100"/>
      <c r="S145" s="100"/>
      <c r="AI145" s="1093" t="s">
        <v>534</v>
      </c>
      <c r="AJ145" s="1099">
        <v>54</v>
      </c>
      <c r="AK145" s="1099">
        <v>20</v>
      </c>
    </row>
    <row r="146" spans="2:37">
      <c r="B146" s="100"/>
      <c r="C146" s="95"/>
      <c r="D146" s="97"/>
      <c r="E146" s="97"/>
      <c r="F146" s="100"/>
      <c r="G146" s="100"/>
      <c r="J146" s="100"/>
      <c r="K146" s="100"/>
      <c r="L146" s="100"/>
      <c r="Q146" s="100"/>
      <c r="R146" s="100"/>
      <c r="S146" s="100"/>
      <c r="AI146" s="1093" t="s">
        <v>556</v>
      </c>
      <c r="AJ146" s="1099">
        <v>0</v>
      </c>
      <c r="AK146" s="1099">
        <v>6</v>
      </c>
    </row>
    <row r="147" spans="2:37">
      <c r="B147" s="100"/>
      <c r="C147" s="95"/>
      <c r="D147" s="97"/>
      <c r="E147" s="97"/>
      <c r="F147" s="100"/>
      <c r="G147" s="100"/>
      <c r="J147" s="100"/>
      <c r="K147" s="100"/>
      <c r="L147" s="100"/>
      <c r="Q147" s="100"/>
      <c r="R147" s="100"/>
      <c r="S147" s="100"/>
      <c r="AI147" s="1093" t="s">
        <v>519</v>
      </c>
      <c r="AJ147" s="1099">
        <v>711</v>
      </c>
      <c r="AK147" s="1099">
        <v>344</v>
      </c>
    </row>
    <row r="148" spans="2:37">
      <c r="B148" s="100"/>
      <c r="C148" s="95"/>
      <c r="D148" s="97"/>
      <c r="E148" s="97"/>
      <c r="F148" s="100"/>
      <c r="G148" s="100"/>
      <c r="J148" s="100"/>
      <c r="K148" s="100"/>
      <c r="L148" s="100"/>
      <c r="Q148" s="100"/>
      <c r="R148" s="100"/>
      <c r="S148" s="100"/>
      <c r="AI148" s="1093" t="s">
        <v>955</v>
      </c>
      <c r="AJ148" s="1099">
        <v>45</v>
      </c>
      <c r="AK148" s="1099">
        <v>15</v>
      </c>
    </row>
    <row r="149" spans="2:37">
      <c r="B149" s="100"/>
      <c r="C149" s="95"/>
      <c r="D149" s="97"/>
      <c r="E149" s="97"/>
      <c r="F149" s="100"/>
      <c r="G149" s="100"/>
      <c r="J149" s="100"/>
      <c r="K149" s="100"/>
      <c r="L149" s="100"/>
      <c r="Q149" s="100"/>
      <c r="R149" s="100"/>
      <c r="S149" s="100"/>
      <c r="AI149" s="1093" t="s">
        <v>956</v>
      </c>
      <c r="AJ149" s="1099">
        <v>23</v>
      </c>
      <c r="AK149" s="1099">
        <v>28</v>
      </c>
    </row>
    <row r="150" spans="2:37">
      <c r="B150" s="100"/>
      <c r="C150" s="95"/>
      <c r="D150" s="97"/>
      <c r="E150" s="97"/>
      <c r="F150" s="100"/>
      <c r="G150" s="100"/>
      <c r="J150" s="100"/>
      <c r="K150" s="100"/>
      <c r="L150" s="100"/>
      <c r="Q150" s="100"/>
      <c r="R150" s="100"/>
      <c r="S150" s="100"/>
      <c r="AI150" s="1093" t="s">
        <v>957</v>
      </c>
      <c r="AJ150" s="1099">
        <v>30</v>
      </c>
      <c r="AK150" s="1099">
        <v>84</v>
      </c>
    </row>
    <row r="151" spans="2:37">
      <c r="B151" s="100"/>
      <c r="C151" s="95"/>
      <c r="D151" s="97"/>
      <c r="E151" s="97"/>
      <c r="F151" s="100"/>
      <c r="G151" s="100"/>
      <c r="J151" s="100"/>
      <c r="K151" s="100"/>
      <c r="L151" s="100"/>
      <c r="Q151" s="100"/>
      <c r="R151" s="100"/>
      <c r="S151" s="100"/>
      <c r="AI151" s="1093" t="s">
        <v>522</v>
      </c>
      <c r="AJ151" s="1099">
        <v>56</v>
      </c>
      <c r="AK151" s="1099">
        <v>14</v>
      </c>
    </row>
    <row r="152" spans="2:37">
      <c r="B152" s="1091" t="s">
        <v>20</v>
      </c>
      <c r="C152" s="1092" t="s">
        <v>2962</v>
      </c>
      <c r="D152" s="97"/>
      <c r="E152" s="97"/>
      <c r="F152" s="100"/>
      <c r="G152" s="100"/>
      <c r="J152" s="100"/>
      <c r="K152" s="100"/>
      <c r="L152" s="100"/>
      <c r="Q152" s="100"/>
      <c r="R152" s="100"/>
      <c r="S152" s="100"/>
      <c r="AI152" s="1093" t="s">
        <v>525</v>
      </c>
      <c r="AJ152" s="1099">
        <v>0</v>
      </c>
      <c r="AK152" s="1099">
        <v>84</v>
      </c>
    </row>
    <row r="153" spans="2:37">
      <c r="B153" s="1091" t="s">
        <v>34</v>
      </c>
      <c r="C153" s="1092" t="s">
        <v>34</v>
      </c>
      <c r="D153" s="97"/>
      <c r="E153" s="97"/>
      <c r="F153" s="100"/>
      <c r="G153" s="100"/>
      <c r="J153" s="100"/>
      <c r="K153" s="100"/>
      <c r="L153" s="100"/>
      <c r="Q153" s="100"/>
      <c r="R153" s="100"/>
      <c r="S153" s="100"/>
      <c r="AI153" s="1093" t="s">
        <v>516</v>
      </c>
      <c r="AJ153" s="1099">
        <v>54</v>
      </c>
      <c r="AK153" s="1099">
        <v>49</v>
      </c>
    </row>
    <row r="154" spans="2:37">
      <c r="B154" s="1091" t="s">
        <v>134</v>
      </c>
      <c r="C154" s="1092" t="s">
        <v>1471</v>
      </c>
      <c r="D154" s="97"/>
      <c r="E154" s="97"/>
      <c r="F154" s="100"/>
      <c r="G154" s="100"/>
      <c r="J154" s="100"/>
      <c r="K154" s="100"/>
      <c r="L154" s="100"/>
      <c r="Q154" s="100"/>
      <c r="R154" s="100"/>
      <c r="S154" s="100"/>
      <c r="AI154" s="1093" t="s">
        <v>536</v>
      </c>
      <c r="AJ154" s="1099">
        <v>40</v>
      </c>
      <c r="AK154" s="1099">
        <v>31</v>
      </c>
    </row>
    <row r="155" spans="2:37" ht="15.5">
      <c r="B155" s="1091" t="s">
        <v>35</v>
      </c>
      <c r="C155" s="1092" t="s">
        <v>1471</v>
      </c>
      <c r="AI155"/>
      <c r="AJ155"/>
      <c r="AK155"/>
    </row>
    <row r="156" spans="2:37" ht="15.5">
      <c r="AI156"/>
      <c r="AJ156"/>
      <c r="AK156"/>
    </row>
    <row r="157" spans="2:37" ht="15.5">
      <c r="B157" s="1091" t="s">
        <v>2104</v>
      </c>
      <c r="C157" s="1091" t="s">
        <v>1472</v>
      </c>
      <c r="D157" s="1092"/>
      <c r="E157" s="1092"/>
      <c r="F157" s="1092"/>
      <c r="G157" s="1092"/>
      <c r="AI157"/>
      <c r="AJ157"/>
      <c r="AK157"/>
    </row>
    <row r="158" spans="2:37" ht="15.5">
      <c r="B158" s="1091" t="s">
        <v>21</v>
      </c>
      <c r="C158" s="1092" t="s">
        <v>137</v>
      </c>
      <c r="D158" s="1092" t="s">
        <v>140</v>
      </c>
      <c r="E158" s="1092" t="s">
        <v>136</v>
      </c>
      <c r="F158" s="1092" t="s">
        <v>899</v>
      </c>
      <c r="G158" s="1092" t="s">
        <v>3105</v>
      </c>
      <c r="AI158"/>
      <c r="AJ158"/>
    </row>
    <row r="159" spans="2:37" ht="15.5">
      <c r="B159" s="1093" t="s">
        <v>37</v>
      </c>
      <c r="C159" s="1099">
        <v>95</v>
      </c>
      <c r="D159" s="1099">
        <v>8</v>
      </c>
      <c r="E159" s="1099">
        <v>9</v>
      </c>
      <c r="F159" s="1099">
        <v>5</v>
      </c>
      <c r="G159" s="1099"/>
      <c r="AI159"/>
      <c r="AJ159"/>
    </row>
    <row r="160" spans="2:37" ht="15.5">
      <c r="B160" s="1093" t="s">
        <v>515</v>
      </c>
      <c r="C160" s="1099">
        <v>8</v>
      </c>
      <c r="D160" s="1099">
        <v>3</v>
      </c>
      <c r="E160" s="1099">
        <v>10</v>
      </c>
      <c r="F160" s="1099">
        <v>3</v>
      </c>
      <c r="G160" s="1099"/>
      <c r="AI160"/>
      <c r="AJ160"/>
    </row>
    <row r="161" spans="2:36" ht="15.5">
      <c r="B161"/>
      <c r="C161"/>
      <c r="D161"/>
      <c r="E161"/>
      <c r="F161"/>
      <c r="G161"/>
      <c r="AI161"/>
      <c r="AJ161"/>
    </row>
    <row r="162" spans="2:36" ht="15.5">
      <c r="B162" s="100"/>
      <c r="C162" s="100"/>
      <c r="D162" s="100"/>
      <c r="E162" s="100"/>
      <c r="F162" s="100"/>
      <c r="G162" s="100"/>
      <c r="Q162" s="100"/>
      <c r="R162" s="100"/>
      <c r="S162" s="100"/>
      <c r="AI162"/>
      <c r="AJ162"/>
    </row>
    <row r="163" spans="2:36" ht="15.5">
      <c r="B163" s="133"/>
      <c r="C163" s="133" t="s">
        <v>137</v>
      </c>
      <c r="D163" s="133" t="s">
        <v>140</v>
      </c>
      <c r="E163" s="133" t="s">
        <v>899</v>
      </c>
      <c r="F163" s="133" t="s">
        <v>186</v>
      </c>
      <c r="AI163"/>
      <c r="AJ163"/>
    </row>
    <row r="164" spans="2:36">
      <c r="B164" s="134" t="s">
        <v>37</v>
      </c>
      <c r="C164" s="135">
        <f>GETPIVOTDATA("Is there constructed surface water drainage system?
",$B$157,"State","Kachin","Is there constructed surface water drainage system?
","Functional")</f>
        <v>95</v>
      </c>
      <c r="D164" s="135">
        <f>GETPIVOTDATA("Is there constructed surface water drainage system?
",$B$157,"State","Kachin","Is there constructed surface water drainage system?
","NA")</f>
        <v>8</v>
      </c>
      <c r="E164" s="135">
        <f>GETPIVOTDATA("Is there constructed surface water drainage system?
",$B$157,"State","Kachin","Is there constructed surface water drainage system?
","Not_Functional")</f>
        <v>5</v>
      </c>
      <c r="F164" s="135">
        <f>GETPIVOTDATA("Is there constructed surface water drainage system?
",$B$157,"State","Kachin","Is there constructed surface water drainage system?
","No")</f>
        <v>9</v>
      </c>
    </row>
    <row r="165" spans="2:36">
      <c r="B165" s="134"/>
      <c r="C165" s="135"/>
      <c r="D165" s="135"/>
      <c r="E165" s="135"/>
      <c r="F165" s="135"/>
    </row>
    <row r="166" spans="2:36">
      <c r="B166" s="134" t="s">
        <v>515</v>
      </c>
      <c r="C166" s="135">
        <f>GETPIVOTDATA("Is there constructed surface water drainage system?
",$B$157,"State","Shan (North)","Is there constructed surface water drainage system?
","Functional")</f>
        <v>8</v>
      </c>
      <c r="D166" s="135">
        <f>GETPIVOTDATA("Is there constructed surface water drainage system?
",$B$157,"State","Shan (North)","Is there constructed surface water drainage system?
","NA")</f>
        <v>3</v>
      </c>
      <c r="E166" s="135">
        <f>GETPIVOTDATA("Is there constructed surface water drainage system?
",$B$157,"State","Shan (North)","Is there constructed surface water drainage system?
","Not_Functional")</f>
        <v>3</v>
      </c>
      <c r="F166" s="135">
        <f>GETPIVOTDATA("Is there constructed surface water drainage system?
",$B$157,"State","Shan (North)","Is there constructed surface water drainage system?
","No")</f>
        <v>10</v>
      </c>
    </row>
    <row r="167" spans="2:36">
      <c r="B167" s="131"/>
      <c r="C167" s="132"/>
      <c r="D167" s="132"/>
      <c r="E167" s="132"/>
      <c r="F167" s="132"/>
    </row>
    <row r="168" spans="2:36">
      <c r="B168" s="1091" t="s">
        <v>20</v>
      </c>
      <c r="C168" s="1092" t="s">
        <v>2962</v>
      </c>
      <c r="D168" s="132"/>
      <c r="E168" s="132"/>
      <c r="F168" s="132"/>
    </row>
    <row r="169" spans="2:36">
      <c r="B169" s="1091" t="s">
        <v>34</v>
      </c>
      <c r="C169" s="1092" t="s">
        <v>34</v>
      </c>
    </row>
    <row r="170" spans="2:36">
      <c r="B170" s="1091" t="s">
        <v>134</v>
      </c>
      <c r="C170" s="1092" t="s">
        <v>1471</v>
      </c>
    </row>
    <row r="171" spans="2:36">
      <c r="B171" s="1091" t="s">
        <v>35</v>
      </c>
      <c r="C171" s="1092" t="s">
        <v>1471</v>
      </c>
    </row>
    <row r="173" spans="2:36" ht="15.5">
      <c r="B173" s="1091" t="s">
        <v>2105</v>
      </c>
      <c r="C173" s="1091" t="s">
        <v>1472</v>
      </c>
      <c r="D173" s="1092"/>
      <c r="E173" s="1092"/>
      <c r="F173"/>
      <c r="G173"/>
      <c r="H173" s="100"/>
      <c r="I173" s="100"/>
      <c r="J173" s="100"/>
      <c r="K173" s="100"/>
    </row>
    <row r="174" spans="2:36" ht="15.5">
      <c r="B174" s="1091" t="s">
        <v>21</v>
      </c>
      <c r="C174" s="1092" t="s">
        <v>140</v>
      </c>
      <c r="D174" s="1092" t="s">
        <v>136</v>
      </c>
      <c r="E174" s="1092" t="s">
        <v>41</v>
      </c>
      <c r="F174"/>
      <c r="G174"/>
      <c r="H174" s="100"/>
      <c r="I174" s="100"/>
      <c r="J174" s="100"/>
      <c r="K174" s="100"/>
    </row>
    <row r="175" spans="2:36" ht="15.5">
      <c r="B175" s="1093" t="s">
        <v>37</v>
      </c>
      <c r="C175" s="1099">
        <v>10</v>
      </c>
      <c r="D175" s="1099">
        <v>5</v>
      </c>
      <c r="E175" s="1099">
        <v>104</v>
      </c>
      <c r="F175"/>
      <c r="G175"/>
      <c r="H175" s="100"/>
      <c r="I175" s="100"/>
      <c r="J175" s="100"/>
      <c r="K175" s="100"/>
    </row>
    <row r="176" spans="2:36" ht="15.5">
      <c r="B176" s="1093" t="s">
        <v>515</v>
      </c>
      <c r="C176" s="1099">
        <v>7</v>
      </c>
      <c r="D176" s="1099">
        <v>9</v>
      </c>
      <c r="E176" s="1099">
        <v>12</v>
      </c>
      <c r="F176"/>
      <c r="G176"/>
      <c r="H176" s="100"/>
      <c r="I176" s="100"/>
      <c r="J176" s="100"/>
      <c r="K176" s="100"/>
    </row>
    <row r="177" spans="2:35" ht="15.5">
      <c r="B177"/>
      <c r="C177"/>
      <c r="D177"/>
      <c r="E177"/>
      <c r="F177"/>
      <c r="G177"/>
      <c r="H177" s="100"/>
      <c r="I177" s="100"/>
      <c r="J177" s="100"/>
      <c r="K177" s="100"/>
    </row>
    <row r="178" spans="2:35">
      <c r="B178" s="100"/>
      <c r="C178" s="100"/>
      <c r="D178" s="100"/>
      <c r="E178" s="100"/>
      <c r="F178" s="100"/>
      <c r="G178" s="100"/>
      <c r="H178" s="100"/>
      <c r="I178" s="100"/>
    </row>
    <row r="179" spans="2:35">
      <c r="B179" s="142" t="s">
        <v>1278</v>
      </c>
      <c r="C179" s="382" t="s">
        <v>140</v>
      </c>
      <c r="D179" s="382" t="s">
        <v>136</v>
      </c>
      <c r="E179" s="382" t="s">
        <v>41</v>
      </c>
    </row>
    <row r="180" spans="2:35">
      <c r="B180" s="138" t="s">
        <v>37</v>
      </c>
      <c r="C180" s="140">
        <f>GETPIVOTDATA("Is there provision of solid waste management equipment?",$B$173,"State","Kachin","Is there provision of solid waste management equipment?","NA")</f>
        <v>10</v>
      </c>
      <c r="D180" s="139">
        <f>GETPIVOTDATA("Is there provision of solid waste management equipment?",$B$173,"State","Kachin","Is there provision of solid waste management equipment?","No")</f>
        <v>5</v>
      </c>
      <c r="E180" s="140">
        <f>GETPIVOTDATA("Is there provision of solid waste management equipment?",$B$173,"State","Kachin","Is there provision of solid waste management equipment?","Yes")</f>
        <v>104</v>
      </c>
    </row>
    <row r="181" spans="2:35">
      <c r="B181" s="136"/>
      <c r="C181" s="141"/>
      <c r="D181" s="137"/>
      <c r="E181" s="141"/>
    </row>
    <row r="182" spans="2:35">
      <c r="B182" s="138" t="s">
        <v>515</v>
      </c>
      <c r="C182" s="140">
        <f>GETPIVOTDATA("Is there provision of solid waste management equipment?",$B$173,"State","Shan (North)","Is there provision of solid waste management equipment?","NA")</f>
        <v>7</v>
      </c>
      <c r="D182" s="139">
        <f>GETPIVOTDATA("Is there provision of solid waste management equipment?",$B$173,"State","Shan (North)","Is there provision of solid waste management equipment?","No")</f>
        <v>9</v>
      </c>
      <c r="E182" s="140">
        <f>GETPIVOTDATA("Is there provision of solid waste management equipment?",$B$173,"State","Shan (North)","Is there provision of solid waste management equipment?","Yes")</f>
        <v>12</v>
      </c>
    </row>
    <row r="185" spans="2:35">
      <c r="B185" s="1091" t="s">
        <v>35</v>
      </c>
      <c r="C185" s="1092" t="s">
        <v>1471</v>
      </c>
    </row>
    <row r="186" spans="2:35" ht="15.5">
      <c r="B186" s="1091" t="s">
        <v>20</v>
      </c>
      <c r="C186" s="1092" t="s">
        <v>2962</v>
      </c>
      <c r="D186" s="105"/>
      <c r="V186" s="413"/>
      <c r="W186" s="413"/>
      <c r="X186" s="413"/>
      <c r="Y186" s="413"/>
      <c r="Z186" s="413"/>
      <c r="AA186" s="413"/>
      <c r="AB186" s="413"/>
      <c r="AC186" s="413"/>
      <c r="AD186" s="413"/>
      <c r="AE186" s="413"/>
      <c r="AF186" s="413"/>
      <c r="AG186" s="413"/>
      <c r="AH186" s="413"/>
    </row>
    <row r="187" spans="2:35" ht="15.5">
      <c r="B187" s="1091" t="s">
        <v>34</v>
      </c>
      <c r="C187" s="1092" t="s">
        <v>34</v>
      </c>
      <c r="D187" s="100"/>
      <c r="J187" s="1091" t="s">
        <v>20</v>
      </c>
      <c r="K187" s="1092" t="s">
        <v>2962</v>
      </c>
      <c r="L187" s="105"/>
      <c r="V187" s="413"/>
      <c r="W187" s="413"/>
      <c r="X187" s="413"/>
      <c r="Y187" s="413"/>
      <c r="Z187" s="413"/>
      <c r="AA187" s="413"/>
      <c r="AB187" s="413"/>
      <c r="AC187" s="413"/>
      <c r="AD187" s="413"/>
      <c r="AE187" s="413"/>
      <c r="AF187" s="413"/>
      <c r="AG187" s="413"/>
      <c r="AH187" s="413"/>
      <c r="AI187" s="105"/>
    </row>
    <row r="188" spans="2:35" ht="15.5">
      <c r="B188" s="1097" t="s">
        <v>21</v>
      </c>
      <c r="C188" s="1098" t="s">
        <v>37</v>
      </c>
      <c r="D188" s="100"/>
      <c r="J188" s="1091" t="s">
        <v>34</v>
      </c>
      <c r="K188" s="1092" t="s">
        <v>34</v>
      </c>
      <c r="L188" s="100"/>
      <c r="V188" s="413"/>
      <c r="W188" s="413"/>
      <c r="X188" s="413"/>
      <c r="Y188" s="413"/>
      <c r="Z188" s="413"/>
      <c r="AA188" s="413"/>
      <c r="AB188" s="413"/>
      <c r="AC188" s="413"/>
      <c r="AD188" s="413"/>
      <c r="AE188" s="413"/>
      <c r="AF188" s="413"/>
      <c r="AG188" s="413"/>
      <c r="AH188" s="413"/>
      <c r="AI188" s="100"/>
    </row>
    <row r="189" spans="2:35" ht="15.5">
      <c r="B189" s="1091" t="s">
        <v>134</v>
      </c>
      <c r="C189" s="1092" t="s">
        <v>1471</v>
      </c>
      <c r="D189" s="100"/>
      <c r="J189" s="1097" t="s">
        <v>21</v>
      </c>
      <c r="K189" s="1098" t="s">
        <v>515</v>
      </c>
      <c r="L189" s="100"/>
      <c r="V189" s="413"/>
      <c r="W189" s="413"/>
      <c r="X189" s="413"/>
      <c r="Y189" s="413"/>
      <c r="Z189" s="413"/>
      <c r="AA189" s="413"/>
      <c r="AB189" s="413"/>
      <c r="AC189" s="413"/>
      <c r="AD189" s="413"/>
      <c r="AE189" s="413"/>
      <c r="AF189" s="413"/>
      <c r="AG189" s="413"/>
      <c r="AH189" s="413"/>
      <c r="AI189" s="100"/>
    </row>
    <row r="190" spans="2:35" ht="15.5">
      <c r="B190" s="376"/>
      <c r="C190" s="100"/>
      <c r="D190" s="100"/>
      <c r="J190" s="1091" t="s">
        <v>134</v>
      </c>
      <c r="K190" s="1092" t="s">
        <v>1471</v>
      </c>
      <c r="L190" s="100"/>
      <c r="V190" s="413"/>
      <c r="W190" s="413"/>
      <c r="X190" s="413"/>
      <c r="Y190" s="413"/>
      <c r="Z190" s="413"/>
      <c r="AA190" s="413"/>
      <c r="AB190" s="413"/>
      <c r="AC190" s="413"/>
      <c r="AD190" s="413"/>
      <c r="AE190" s="413"/>
      <c r="AF190" s="413"/>
      <c r="AG190" s="413"/>
      <c r="AH190" s="413"/>
      <c r="AI190" s="100"/>
    </row>
    <row r="191" spans="2:35" ht="15.5">
      <c r="B191" s="1096" t="s">
        <v>21</v>
      </c>
      <c r="C191" s="1092" t="s">
        <v>2141</v>
      </c>
      <c r="D191" s="1092" t="s">
        <v>2140</v>
      </c>
      <c r="J191" s="376"/>
      <c r="K191" s="100"/>
      <c r="L191" s="100"/>
      <c r="V191" s="413"/>
      <c r="W191" s="413"/>
      <c r="X191" s="413"/>
      <c r="Y191" s="413"/>
      <c r="Z191" s="413"/>
      <c r="AA191" s="413"/>
      <c r="AB191" s="413"/>
      <c r="AC191" s="413"/>
      <c r="AD191" s="413"/>
      <c r="AE191" s="413"/>
      <c r="AF191" s="413"/>
      <c r="AG191" s="413"/>
      <c r="AH191" s="413"/>
      <c r="AI191" s="100"/>
    </row>
    <row r="192" spans="2:35" ht="15.5">
      <c r="B192" s="1093" t="s">
        <v>195</v>
      </c>
      <c r="C192" s="1094">
        <v>0.81469545601031257</v>
      </c>
      <c r="D192" s="1094">
        <v>0.18530454398968743</v>
      </c>
      <c r="J192" s="1096" t="s">
        <v>21</v>
      </c>
      <c r="K192" s="1092" t="s">
        <v>2139</v>
      </c>
      <c r="L192" s="1092" t="s">
        <v>2140</v>
      </c>
      <c r="V192" s="413"/>
      <c r="W192" s="413"/>
      <c r="X192" s="413"/>
      <c r="Y192" s="413"/>
      <c r="Z192" s="413"/>
      <c r="AA192" s="413"/>
      <c r="AB192" s="413"/>
      <c r="AC192" s="413"/>
      <c r="AD192" s="413"/>
      <c r="AE192" s="413"/>
      <c r="AF192" s="413"/>
      <c r="AG192" s="413"/>
      <c r="AH192" s="413"/>
      <c r="AI192"/>
    </row>
    <row r="193" spans="2:35" ht="15.5">
      <c r="B193" s="1093" t="s">
        <v>146</v>
      </c>
      <c r="C193" s="1094">
        <v>0.73525018670649733</v>
      </c>
      <c r="D193" s="1094">
        <v>0.26474981329350267</v>
      </c>
      <c r="J193" s="1093" t="s">
        <v>534</v>
      </c>
      <c r="K193" s="1094">
        <v>1</v>
      </c>
      <c r="L193" s="1094">
        <v>0</v>
      </c>
      <c r="V193" s="413"/>
      <c r="W193" s="413"/>
      <c r="X193" s="413"/>
      <c r="Y193" s="413"/>
      <c r="Z193" s="413"/>
      <c r="AA193" s="413"/>
      <c r="AB193" s="413"/>
      <c r="AC193" s="413"/>
      <c r="AD193" s="413"/>
      <c r="AE193" s="413"/>
      <c r="AF193" s="413"/>
      <c r="AG193" s="413"/>
      <c r="AH193" s="413"/>
      <c r="AI193"/>
    </row>
    <row r="194" spans="2:35" ht="15.5">
      <c r="B194" s="1093" t="s">
        <v>148</v>
      </c>
      <c r="C194" s="1094">
        <v>0.76912100456621002</v>
      </c>
      <c r="D194" s="1094">
        <v>0.23087899543378998</v>
      </c>
      <c r="J194" s="1093" t="s">
        <v>556</v>
      </c>
      <c r="K194" s="1094">
        <v>0</v>
      </c>
      <c r="L194" s="1094">
        <v>1</v>
      </c>
      <c r="V194" s="413"/>
      <c r="W194" s="413"/>
      <c r="X194" s="413"/>
      <c r="Y194" s="413"/>
      <c r="Z194" s="413"/>
      <c r="AA194" s="413"/>
      <c r="AB194" s="413"/>
      <c r="AC194" s="413"/>
      <c r="AD194" s="413"/>
      <c r="AE194" s="413"/>
      <c r="AF194" s="413"/>
      <c r="AG194" s="413"/>
      <c r="AH194" s="413"/>
      <c r="AI194"/>
    </row>
    <row r="195" spans="2:35" ht="15.5">
      <c r="B195" s="1093" t="s">
        <v>586</v>
      </c>
      <c r="C195" s="1094">
        <v>1</v>
      </c>
      <c r="D195" s="1094">
        <v>0</v>
      </c>
      <c r="J195" s="1093" t="s">
        <v>519</v>
      </c>
      <c r="K195" s="1094">
        <v>0.96898047722342728</v>
      </c>
      <c r="L195" s="1094">
        <v>3.1019522776572717E-2</v>
      </c>
      <c r="V195" s="413"/>
      <c r="W195" s="413"/>
      <c r="X195" s="413"/>
      <c r="Y195" s="413"/>
      <c r="Z195" s="413"/>
      <c r="AA195" s="413"/>
      <c r="AB195" s="413"/>
      <c r="AC195" s="413"/>
      <c r="AD195" s="413"/>
      <c r="AE195" s="413"/>
      <c r="AF195" s="413"/>
      <c r="AG195" s="413"/>
      <c r="AH195" s="413"/>
      <c r="AI195"/>
    </row>
    <row r="196" spans="2:35" ht="15.5">
      <c r="B196" s="1093" t="s">
        <v>38</v>
      </c>
      <c r="C196" s="1094">
        <v>0.92912291537986413</v>
      </c>
      <c r="D196" s="1094">
        <v>7.0877084620135866E-2</v>
      </c>
      <c r="J196" s="1093" t="s">
        <v>956</v>
      </c>
      <c r="K196" s="1094">
        <v>0</v>
      </c>
      <c r="L196" s="1094">
        <v>1</v>
      </c>
      <c r="V196" s="413"/>
      <c r="W196" s="413"/>
      <c r="X196"/>
      <c r="Y196" s="413"/>
      <c r="Z196" s="413"/>
      <c r="AA196" s="413"/>
      <c r="AB196" s="413"/>
      <c r="AC196" s="413"/>
      <c r="AD196" s="413"/>
      <c r="AE196" s="413"/>
      <c r="AF196" s="413"/>
      <c r="AG196" s="413"/>
      <c r="AH196" s="413"/>
      <c r="AI196"/>
    </row>
    <row r="197" spans="2:35" ht="15.5">
      <c r="B197" s="1093" t="s">
        <v>152</v>
      </c>
      <c r="C197" s="1094">
        <v>0.86758321273516648</v>
      </c>
      <c r="D197" s="1094">
        <v>0.13241678726483352</v>
      </c>
      <c r="J197" s="1093" t="s">
        <v>525</v>
      </c>
      <c r="K197" s="1094">
        <v>0</v>
      </c>
      <c r="L197" s="1094">
        <v>1</v>
      </c>
      <c r="V197" s="413"/>
      <c r="W197" s="413"/>
      <c r="X197" s="413"/>
      <c r="Y197" s="413"/>
      <c r="Z197" s="413"/>
      <c r="AA197" s="413"/>
      <c r="AB197" s="413"/>
      <c r="AC197" s="413"/>
      <c r="AD197" s="413"/>
      <c r="AE197" s="413"/>
      <c r="AF197" s="413"/>
      <c r="AG197" s="413"/>
      <c r="AH197" s="413"/>
      <c r="AI197"/>
    </row>
    <row r="198" spans="2:35" ht="15.5">
      <c r="B198" s="1093" t="s">
        <v>157</v>
      </c>
      <c r="C198" s="1094">
        <v>1</v>
      </c>
      <c r="D198" s="1094">
        <v>0</v>
      </c>
      <c r="J198" s="1093" t="s">
        <v>516</v>
      </c>
      <c r="K198" s="1094">
        <v>0.86802575107296143</v>
      </c>
      <c r="L198" s="1094">
        <v>0.13197424892703857</v>
      </c>
      <c r="V198"/>
      <c r="W198"/>
      <c r="X198"/>
    </row>
    <row r="199" spans="2:35">
      <c r="B199" s="1093" t="s">
        <v>205</v>
      </c>
      <c r="C199" s="1094">
        <v>0.82269730269730268</v>
      </c>
      <c r="D199" s="1094">
        <v>0.17730269730269732</v>
      </c>
      <c r="J199" s="1093" t="s">
        <v>958</v>
      </c>
      <c r="K199" s="1094">
        <v>0.35842293906810035</v>
      </c>
      <c r="L199" s="1094">
        <v>0.64157706093189959</v>
      </c>
    </row>
    <row r="200" spans="2:35">
      <c r="B200" s="1093" t="s">
        <v>159</v>
      </c>
      <c r="C200" s="1094">
        <v>0.81394316163410307</v>
      </c>
      <c r="D200" s="1094">
        <v>0.18605683836589693</v>
      </c>
      <c r="J200" s="1093" t="s">
        <v>979</v>
      </c>
      <c r="K200" s="1094">
        <v>0</v>
      </c>
      <c r="L200" s="1094">
        <v>1</v>
      </c>
    </row>
    <row r="201" spans="2:35" ht="15.5">
      <c r="B201" s="1093" t="s">
        <v>214</v>
      </c>
      <c r="C201" s="1094">
        <v>0.92531120331950212</v>
      </c>
      <c r="D201" s="1094">
        <v>7.4688796680497882E-2</v>
      </c>
      <c r="J201"/>
      <c r="K201"/>
      <c r="L201"/>
      <c r="M201"/>
      <c r="N201"/>
    </row>
    <row r="202" spans="2:35" ht="15.5">
      <c r="B202" s="1093" t="s">
        <v>184</v>
      </c>
      <c r="C202" s="1094">
        <v>1</v>
      </c>
      <c r="D202" s="1094">
        <v>0</v>
      </c>
      <c r="J202"/>
      <c r="K202"/>
      <c r="L202"/>
      <c r="M202"/>
      <c r="N202"/>
    </row>
    <row r="203" spans="2:35" ht="15.5">
      <c r="B203" s="1093" t="s">
        <v>858</v>
      </c>
      <c r="C203" s="1094">
        <v>0.25998142989786444</v>
      </c>
      <c r="D203" s="1094">
        <v>0.74001857010213556</v>
      </c>
      <c r="L203"/>
      <c r="M203"/>
      <c r="N203"/>
    </row>
    <row r="204" spans="2:35" ht="15.5">
      <c r="B204" s="1093" t="s">
        <v>142</v>
      </c>
      <c r="C204" s="1094">
        <v>0.69022330643647967</v>
      </c>
      <c r="D204" s="1094">
        <v>0.30977669356352033</v>
      </c>
      <c r="L204"/>
      <c r="M204"/>
      <c r="N204"/>
    </row>
    <row r="205" spans="2:35" ht="15.5">
      <c r="B205"/>
      <c r="C205"/>
      <c r="D205"/>
      <c r="L205"/>
      <c r="M205"/>
      <c r="N205"/>
    </row>
    <row r="206" spans="2:35" ht="15.5">
      <c r="B206" s="95"/>
      <c r="C206" s="96"/>
      <c r="D206" s="96"/>
      <c r="L206"/>
      <c r="M206"/>
      <c r="N206"/>
    </row>
    <row r="207" spans="2:35" ht="15.5">
      <c r="L207"/>
      <c r="M207"/>
      <c r="N207"/>
    </row>
    <row r="208" spans="2:35" ht="15.5">
      <c r="B208" s="100"/>
      <c r="C208" s="100"/>
      <c r="D208" s="100"/>
      <c r="S208"/>
      <c r="T208"/>
    </row>
    <row r="209" spans="1:26" ht="18.5">
      <c r="A209" s="146" t="s">
        <v>1579</v>
      </c>
      <c r="B209" s="143"/>
      <c r="C209" s="143"/>
      <c r="D209" s="143"/>
      <c r="E209" s="143"/>
      <c r="F209" s="143"/>
      <c r="G209" s="143"/>
      <c r="H209" s="143"/>
      <c r="I209" s="143"/>
      <c r="J209" s="143"/>
      <c r="K209" s="143"/>
      <c r="L209" s="143"/>
      <c r="M209" s="143"/>
      <c r="N209" s="143"/>
      <c r="O209" s="143"/>
      <c r="P209" s="143"/>
      <c r="Q209" s="143"/>
      <c r="R209" s="143"/>
      <c r="S209" s="143"/>
      <c r="T209" s="143"/>
      <c r="U209" s="143"/>
      <c r="V209" s="143"/>
      <c r="W209" s="143"/>
      <c r="X209" s="143"/>
      <c r="Y209" s="143"/>
      <c r="Z209" s="143"/>
    </row>
    <row r="210" spans="1:26" ht="15.5">
      <c r="S210"/>
      <c r="T210"/>
    </row>
    <row r="211" spans="1:26">
      <c r="B211" s="1091" t="s">
        <v>35</v>
      </c>
      <c r="C211" s="1092" t="s">
        <v>1471</v>
      </c>
      <c r="G211" s="1091" t="s">
        <v>35</v>
      </c>
      <c r="H211" s="1092" t="s">
        <v>1471</v>
      </c>
    </row>
    <row r="212" spans="1:26">
      <c r="B212" s="1091" t="s">
        <v>20</v>
      </c>
      <c r="C212" s="1092" t="s">
        <v>2962</v>
      </c>
      <c r="D212" s="100"/>
      <c r="G212" s="1091" t="s">
        <v>20</v>
      </c>
      <c r="H212" s="1092" t="s">
        <v>1471</v>
      </c>
      <c r="I212" s="100"/>
    </row>
    <row r="213" spans="1:26">
      <c r="B213" s="1091" t="s">
        <v>34</v>
      </c>
      <c r="C213" s="1092" t="s">
        <v>34</v>
      </c>
      <c r="G213" s="1091" t="s">
        <v>34</v>
      </c>
      <c r="H213" s="1092" t="s">
        <v>34</v>
      </c>
      <c r="M213" s="97"/>
    </row>
    <row r="214" spans="1:26" ht="15.5">
      <c r="B214" s="1091" t="s">
        <v>134</v>
      </c>
      <c r="C214" s="1092" t="s">
        <v>1471</v>
      </c>
      <c r="D214" s="100"/>
      <c r="G214" s="1091" t="s">
        <v>134</v>
      </c>
      <c r="H214" s="1092" t="s">
        <v>1471</v>
      </c>
      <c r="I214" s="100"/>
      <c r="L214" s="413"/>
    </row>
    <row r="215" spans="1:26" ht="15.5">
      <c r="L215" s="413"/>
    </row>
    <row r="216" spans="1:26">
      <c r="B216" s="1091" t="s">
        <v>1278</v>
      </c>
      <c r="C216" s="1092" t="s">
        <v>1477</v>
      </c>
      <c r="D216" s="1092" t="s">
        <v>1496</v>
      </c>
      <c r="E216" s="1092" t="s">
        <v>1478</v>
      </c>
      <c r="G216" s="1091" t="s">
        <v>1278</v>
      </c>
      <c r="H216" s="1092" t="s">
        <v>2349</v>
      </c>
      <c r="I216" s="1092" t="s">
        <v>1477</v>
      </c>
      <c r="J216" s="1092" t="s">
        <v>1496</v>
      </c>
      <c r="K216" s="1092" t="s">
        <v>1478</v>
      </c>
      <c r="L216" s="1092" t="s">
        <v>2114</v>
      </c>
      <c r="M216" s="1092" t="s">
        <v>2337</v>
      </c>
    </row>
    <row r="217" spans="1:26">
      <c r="B217" s="1093" t="s">
        <v>37</v>
      </c>
      <c r="C217" s="1102">
        <v>17355.2</v>
      </c>
      <c r="D217" s="1099">
        <v>54244</v>
      </c>
      <c r="E217" s="1102">
        <v>9724</v>
      </c>
      <c r="G217" s="1093" t="s">
        <v>515</v>
      </c>
      <c r="H217" s="1099">
        <v>21750</v>
      </c>
      <c r="I217" s="1102">
        <v>4389</v>
      </c>
      <c r="J217" s="1099">
        <v>10233</v>
      </c>
      <c r="K217" s="1102">
        <v>2145</v>
      </c>
      <c r="L217" s="1099">
        <v>18</v>
      </c>
      <c r="M217" s="1099">
        <v>28</v>
      </c>
    </row>
    <row r="218" spans="1:26">
      <c r="B218" s="1093" t="s">
        <v>1280</v>
      </c>
      <c r="C218" s="1102">
        <v>17355.2</v>
      </c>
      <c r="D218" s="1099">
        <v>54244</v>
      </c>
      <c r="E218" s="1102">
        <v>9724</v>
      </c>
      <c r="G218" s="1093" t="s">
        <v>1280</v>
      </c>
      <c r="H218" s="1099">
        <v>21750</v>
      </c>
      <c r="I218" s="1102">
        <v>4389</v>
      </c>
      <c r="J218" s="1099">
        <v>10233</v>
      </c>
      <c r="K218" s="1102">
        <v>2145</v>
      </c>
      <c r="L218" s="1099">
        <v>18</v>
      </c>
      <c r="M218" s="1099">
        <v>28</v>
      </c>
    </row>
    <row r="219" spans="1:26" ht="15.5">
      <c r="B219"/>
      <c r="C219"/>
      <c r="D219"/>
      <c r="E219"/>
    </row>
    <row r="220" spans="1:26" ht="15.5">
      <c r="B220"/>
      <c r="C220"/>
      <c r="D220"/>
      <c r="E220"/>
      <c r="F220"/>
      <c r="G220"/>
      <c r="J220" s="111"/>
      <c r="K220" s="111"/>
    </row>
    <row r="221" spans="1:26" ht="15.5">
      <c r="C221" s="110" t="s">
        <v>37</v>
      </c>
      <c r="D221" s="96"/>
      <c r="E221"/>
      <c r="F221"/>
      <c r="H221" s="110" t="s">
        <v>1474</v>
      </c>
      <c r="K221" s="504" t="s">
        <v>2239</v>
      </c>
      <c r="L221" s="658" t="s">
        <v>2611</v>
      </c>
      <c r="Q221" s="102"/>
      <c r="R221" s="102"/>
    </row>
    <row r="222" spans="1:26">
      <c r="B222" s="108" t="s">
        <v>24</v>
      </c>
      <c r="C222" s="93">
        <f>GETPIVOTDATA("Sum of Total HH",$B$216,"State","Kachin")</f>
        <v>17355.2</v>
      </c>
      <c r="G222" s="108" t="s">
        <v>24</v>
      </c>
      <c r="H222" s="93">
        <f>GETPIVOTDATA("Sum of Total HH",$G$216,"State","Shan (North)")</f>
        <v>4389</v>
      </c>
      <c r="K222" s="610" t="s">
        <v>2351</v>
      </c>
      <c r="L222" s="102">
        <f>GETPIVOTDATA("Sum of Total PoP ",$G$216,"State","Shan (North)")*29%</f>
        <v>6307.5</v>
      </c>
    </row>
    <row r="224" spans="1:26">
      <c r="C224" s="110" t="s">
        <v>34</v>
      </c>
      <c r="D224" s="110" t="s">
        <v>1286</v>
      </c>
      <c r="H224" s="110" t="s">
        <v>34</v>
      </c>
      <c r="I224" s="110" t="s">
        <v>1286</v>
      </c>
      <c r="L224" s="110" t="s">
        <v>34</v>
      </c>
      <c r="M224" s="110" t="s">
        <v>1286</v>
      </c>
    </row>
    <row r="225" spans="2:42" s="750" customFormat="1" ht="53.5" customHeight="1">
      <c r="B225" s="748" t="s">
        <v>1479</v>
      </c>
      <c r="C225" s="749">
        <f>GETPIVOTDATA("Sum of # people reached by regular dedicated hygiene promotion_5",$B$216,"State","Kachin")/5</f>
        <v>10848.8</v>
      </c>
      <c r="D225" s="749">
        <f>$C$222-C225</f>
        <v>6506.4000000000015</v>
      </c>
      <c r="G225" s="748" t="s">
        <v>1479</v>
      </c>
      <c r="H225" s="751">
        <f>GETPIVOTDATA("Sum of # people reached by regular dedicated hygiene promotion_5",$G$216,"State","Shan (North)")/5</f>
        <v>2046.6</v>
      </c>
      <c r="I225" s="751">
        <f>$H$222-H225</f>
        <v>2342.4</v>
      </c>
      <c r="K225" s="753" t="s">
        <v>2779</v>
      </c>
      <c r="L225" s="752">
        <f>GETPIVOTDATA("Sum of # of affected women and girls receiving a sufficient quantity of sanitary pads from direct distribution or from MHM room facilities",$G$216,"State","Shan (North)")</f>
        <v>28</v>
      </c>
      <c r="M225" s="752">
        <f>IF(L222-L225&lt;0,0,L222-L225)</f>
        <v>6279.5</v>
      </c>
    </row>
    <row r="226" spans="2:42" ht="15.5">
      <c r="B226" s="108" t="s">
        <v>1274</v>
      </c>
      <c r="C226" s="111">
        <f>GETPIVOTDATA("Sum of #HH with access to Hand Washing Station",$B$216,"State","Kachin")</f>
        <v>9724</v>
      </c>
      <c r="D226" s="111">
        <f>$C$222-C226</f>
        <v>7631.2000000000007</v>
      </c>
      <c r="G226" s="108" t="s">
        <v>1274</v>
      </c>
      <c r="H226" s="102">
        <f>GETPIVOTDATA("Sum of #HH with access to Hand Washing Station",$G$216,"State","Shan (North)")</f>
        <v>2145</v>
      </c>
      <c r="I226" s="102">
        <f>$H$222-H226</f>
        <v>2244</v>
      </c>
      <c r="K226" s="413"/>
      <c r="L226"/>
      <c r="M226" s="105"/>
    </row>
    <row r="227" spans="2:42" ht="15.5">
      <c r="G227" s="616" t="s">
        <v>2404</v>
      </c>
      <c r="H227" s="93">
        <f>GETPIVOTDATA("Sum of #_households that received standard amount of soap for this quarter",$G$216,"State","Shan (North)")</f>
        <v>18</v>
      </c>
      <c r="I227" s="93">
        <f>H222-H227</f>
        <v>4371</v>
      </c>
      <c r="J227" s="372"/>
      <c r="K227" s="419"/>
      <c r="L227" s="419"/>
      <c r="M227" s="387"/>
      <c r="N227" s="372"/>
      <c r="O227" s="372"/>
      <c r="P227" s="372"/>
      <c r="Q227" s="372"/>
      <c r="R227" s="372"/>
      <c r="S227" s="372"/>
      <c r="T227" s="372"/>
      <c r="U227" s="372"/>
      <c r="V227" s="372"/>
      <c r="W227" s="372"/>
      <c r="X227" s="372"/>
      <c r="Y227" s="372"/>
      <c r="Z227" s="372"/>
      <c r="AA227" s="372"/>
      <c r="AB227" s="372"/>
      <c r="AC227" s="372"/>
      <c r="AD227" s="372"/>
      <c r="AE227" s="372"/>
      <c r="AF227" s="372"/>
      <c r="AG227" s="372"/>
      <c r="AH227" s="372"/>
      <c r="AI227" s="372"/>
      <c r="AJ227" s="372"/>
      <c r="AK227" s="372"/>
      <c r="AL227" s="372"/>
      <c r="AM227" s="372"/>
      <c r="AN227" s="372"/>
      <c r="AO227" s="372"/>
      <c r="AP227" s="372"/>
    </row>
    <row r="228" spans="2:42" ht="15.5">
      <c r="G228" s="659" t="s">
        <v>2612</v>
      </c>
      <c r="H228" s="93">
        <f>GETPIVOTDATA("Sum of # of affected women and girls receiving a sufficient quantity of sanitary pads from direct distribution or from MHM room facilities",$G$216,"State","Shan (North)")</f>
        <v>28</v>
      </c>
      <c r="I228" s="102">
        <f>L222-H228</f>
        <v>6279.5</v>
      </c>
      <c r="K228" s="419"/>
      <c r="L228" s="419"/>
      <c r="M228" s="387"/>
      <c r="N228" s="372"/>
      <c r="O228" s="372"/>
      <c r="P228" s="372"/>
      <c r="Q228" s="372"/>
      <c r="R228" s="372"/>
      <c r="S228" s="372"/>
      <c r="T228" s="372"/>
      <c r="U228" s="372"/>
      <c r="V228" s="372"/>
      <c r="W228" s="372"/>
      <c r="X228" s="372"/>
      <c r="Y228" s="372"/>
      <c r="Z228" s="372"/>
      <c r="AA228" s="372"/>
      <c r="AB228" s="372"/>
      <c r="AC228" s="372"/>
      <c r="AD228" s="372"/>
      <c r="AE228" s="372"/>
      <c r="AF228" s="372"/>
      <c r="AG228" s="372"/>
      <c r="AH228" s="372"/>
      <c r="AI228" s="372"/>
      <c r="AJ228" s="372"/>
      <c r="AK228" s="372"/>
      <c r="AL228" s="372"/>
      <c r="AM228" s="372"/>
      <c r="AN228" s="372"/>
      <c r="AO228" s="372"/>
      <c r="AP228" s="372"/>
    </row>
    <row r="229" spans="2:42" ht="15.5">
      <c r="K229" s="413"/>
      <c r="L229" s="360"/>
      <c r="M229" s="105"/>
    </row>
    <row r="230" spans="2:42" ht="15.5">
      <c r="K230" s="413"/>
      <c r="L230" s="413"/>
      <c r="M230" s="387"/>
      <c r="N230" s="372"/>
      <c r="R230" s="372"/>
      <c r="S230" s="372"/>
      <c r="T230" s="372"/>
      <c r="U230" s="372"/>
      <c r="V230" s="372"/>
      <c r="W230" s="372"/>
      <c r="X230" s="372"/>
      <c r="Y230" s="372"/>
      <c r="Z230" s="372"/>
      <c r="AA230" s="372"/>
      <c r="AB230" s="372"/>
      <c r="AC230" s="372"/>
      <c r="AD230" s="372"/>
      <c r="AE230" s="372"/>
      <c r="AF230" s="372"/>
      <c r="AG230" s="372"/>
      <c r="AH230" s="372"/>
      <c r="AI230" s="372"/>
      <c r="AJ230" s="372"/>
      <c r="AK230" s="372"/>
      <c r="AL230" s="372"/>
      <c r="AM230" s="372"/>
      <c r="AN230" s="372"/>
      <c r="AO230" s="372"/>
      <c r="AP230" s="372"/>
    </row>
    <row r="231" spans="2:42" ht="15.5">
      <c r="H231" s="413"/>
      <c r="I231" s="413"/>
      <c r="K231" s="413"/>
      <c r="L231" s="413"/>
      <c r="M231" s="387"/>
      <c r="N231" s="372"/>
      <c r="R231" s="372"/>
      <c r="S231" s="372"/>
      <c r="T231" s="372"/>
      <c r="U231" s="372"/>
      <c r="V231" s="372"/>
      <c r="W231" s="372"/>
      <c r="X231" s="372"/>
      <c r="Y231" s="372"/>
      <c r="Z231" s="372"/>
      <c r="AA231" s="372"/>
      <c r="AB231" s="372"/>
      <c r="AC231" s="372"/>
      <c r="AD231" s="372"/>
      <c r="AE231" s="372"/>
      <c r="AF231" s="372"/>
      <c r="AG231" s="372"/>
      <c r="AH231" s="372"/>
      <c r="AI231" s="372"/>
      <c r="AJ231" s="372"/>
      <c r="AK231" s="372"/>
      <c r="AL231" s="372"/>
      <c r="AM231" s="372"/>
      <c r="AN231" s="372"/>
      <c r="AO231" s="372"/>
      <c r="AP231" s="372"/>
    </row>
    <row r="232" spans="2:42" ht="15.5">
      <c r="H232" s="413"/>
      <c r="I232" s="413"/>
      <c r="K232" s="413"/>
      <c r="L232" s="413"/>
      <c r="M232" s="387"/>
      <c r="N232" s="372"/>
      <c r="R232" s="372"/>
      <c r="S232" s="372"/>
      <c r="T232" s="372"/>
      <c r="U232" s="372"/>
      <c r="V232" s="372"/>
      <c r="W232" s="372"/>
      <c r="X232" s="372"/>
      <c r="Y232" s="372"/>
      <c r="Z232" s="372"/>
      <c r="AA232" s="372"/>
      <c r="AB232" s="372"/>
      <c r="AC232" s="372"/>
      <c r="AD232" s="372"/>
      <c r="AE232" s="372"/>
      <c r="AF232" s="372"/>
      <c r="AG232" s="372"/>
      <c r="AH232" s="372"/>
      <c r="AI232" s="372"/>
      <c r="AJ232" s="372"/>
      <c r="AK232" s="372"/>
      <c r="AL232" s="372"/>
      <c r="AM232" s="372"/>
      <c r="AN232" s="372"/>
      <c r="AO232" s="372"/>
      <c r="AP232" s="372"/>
    </row>
    <row r="233" spans="2:42" ht="15.5">
      <c r="H233" s="419"/>
      <c r="I233" s="413"/>
      <c r="K233" s="413"/>
      <c r="L233" s="413"/>
      <c r="M233" s="387"/>
      <c r="N233" s="372"/>
      <c r="R233" s="372"/>
      <c r="S233" s="372"/>
      <c r="T233" s="372"/>
      <c r="U233" s="372"/>
      <c r="V233" s="372"/>
      <c r="W233" s="372"/>
      <c r="X233" s="372"/>
      <c r="Y233" s="372"/>
      <c r="Z233" s="372"/>
      <c r="AA233" s="372"/>
      <c r="AB233" s="372"/>
      <c r="AC233" s="372"/>
      <c r="AD233" s="372"/>
      <c r="AE233" s="372"/>
      <c r="AF233" s="372"/>
      <c r="AG233" s="372"/>
      <c r="AH233" s="372"/>
      <c r="AI233" s="372"/>
      <c r="AJ233" s="372"/>
      <c r="AK233" s="372"/>
      <c r="AL233" s="372"/>
      <c r="AM233" s="372"/>
      <c r="AN233" s="372"/>
      <c r="AO233" s="372"/>
      <c r="AP233" s="372"/>
    </row>
    <row r="234" spans="2:42" ht="15.5">
      <c r="H234" s="413"/>
      <c r="I234" s="413"/>
      <c r="K234" s="413"/>
      <c r="L234" s="360"/>
      <c r="M234" s="105"/>
    </row>
    <row r="235" spans="2:42" ht="15.5">
      <c r="H235" s="413"/>
      <c r="I235" s="413"/>
      <c r="K235" s="413"/>
      <c r="L235" s="360"/>
      <c r="M235" s="105"/>
    </row>
    <row r="236" spans="2:42" ht="15.5">
      <c r="B236"/>
      <c r="C236"/>
      <c r="D236"/>
      <c r="E236"/>
      <c r="F236"/>
      <c r="G236"/>
      <c r="K236" s="413"/>
      <c r="L236" s="360"/>
      <c r="M236" s="105"/>
    </row>
    <row r="237" spans="2:42" ht="15.5">
      <c r="B237" s="1091" t="s">
        <v>35</v>
      </c>
      <c r="C237" s="1092" t="s">
        <v>1471</v>
      </c>
      <c r="D237"/>
      <c r="E237"/>
      <c r="F237"/>
      <c r="G237"/>
      <c r="I237" s="413"/>
      <c r="J237" s="413"/>
      <c r="K237" s="413"/>
      <c r="L237" s="360"/>
      <c r="M237" s="105"/>
    </row>
    <row r="238" spans="2:42" ht="15.5">
      <c r="B238" s="1091" t="s">
        <v>20</v>
      </c>
      <c r="C238" s="1092" t="s">
        <v>2962</v>
      </c>
      <c r="D238" s="100"/>
      <c r="F238" s="360"/>
      <c r="J238" s="413"/>
      <c r="K238" s="413"/>
      <c r="L238" s="360"/>
      <c r="M238" s="105"/>
    </row>
    <row r="239" spans="2:42" ht="15.5">
      <c r="B239" s="1091" t="s">
        <v>34</v>
      </c>
      <c r="C239" s="1092" t="s">
        <v>34</v>
      </c>
      <c r="F239" s="360"/>
      <c r="J239" s="413"/>
      <c r="K239" s="612"/>
      <c r="L239" s="102"/>
      <c r="M239" s="611"/>
    </row>
    <row r="240" spans="2:42" ht="15.5">
      <c r="B240" s="1091" t="s">
        <v>134</v>
      </c>
      <c r="C240" s="1092" t="s">
        <v>1471</v>
      </c>
      <c r="D240" s="100"/>
      <c r="F240" s="360"/>
      <c r="G240" s="504" t="s">
        <v>2238</v>
      </c>
      <c r="H240" s="505" t="s">
        <v>2242</v>
      </c>
      <c r="I240" s="503" t="s">
        <v>2237</v>
      </c>
      <c r="K240" s="504" t="s">
        <v>2239</v>
      </c>
      <c r="L240" s="658" t="s">
        <v>2607</v>
      </c>
      <c r="M240" s="658" t="s">
        <v>2608</v>
      </c>
    </row>
    <row r="241" spans="2:42" ht="15.5">
      <c r="F241" s="413"/>
      <c r="G241" s="610" t="s">
        <v>2350</v>
      </c>
      <c r="H241" s="102">
        <f>GETPIVOTDATA("Sum of Total HH",$B$242,"State","Kachin","Ethnic or GCA/NGCA","GCA")*25%</f>
        <v>2181</v>
      </c>
      <c r="I241" s="93">
        <f>GETPIVOTDATA("Sum of Total HH",$B$242,"State","Kachin","Ethnic or GCA/NGCA","NGCA")</f>
        <v>8631.2000000000007</v>
      </c>
      <c r="K241" s="610" t="s">
        <v>2351</v>
      </c>
      <c r="L241" s="102">
        <f>GETPIVOTDATA("Sum of Total PoP ",$B$242,"State","Kachin","Ethnic or GCA/NGCA","GCA")*29%</f>
        <v>13308.97</v>
      </c>
      <c r="M241" s="611">
        <f>GETPIVOTDATA("Sum of Total PoP ",$B$242,"State","Kachin","Ethnic or GCA/NGCA","NGCA")*29%</f>
        <v>12945.89</v>
      </c>
    </row>
    <row r="242" spans="2:42" ht="15.5">
      <c r="B242" s="1091" t="s">
        <v>1278</v>
      </c>
      <c r="C242" s="1092" t="s">
        <v>1477</v>
      </c>
      <c r="D242" s="1092" t="s">
        <v>2349</v>
      </c>
      <c r="E242"/>
      <c r="F242"/>
      <c r="G242"/>
      <c r="H242"/>
      <c r="J242" s="372"/>
      <c r="O242" s="372"/>
      <c r="P242" s="372"/>
      <c r="U242" s="372"/>
      <c r="V242" s="372"/>
      <c r="W242" s="372"/>
      <c r="X242" s="372"/>
      <c r="Y242" s="372"/>
      <c r="Z242" s="372"/>
      <c r="AA242" s="372"/>
      <c r="AB242" s="372"/>
      <c r="AC242" s="372"/>
      <c r="AD242" s="372"/>
      <c r="AE242" s="372"/>
      <c r="AF242" s="372"/>
      <c r="AG242" s="372"/>
      <c r="AH242" s="372"/>
      <c r="AI242" s="372"/>
      <c r="AJ242" s="372"/>
      <c r="AK242" s="372"/>
      <c r="AL242" s="372"/>
      <c r="AM242" s="372"/>
      <c r="AN242" s="372"/>
      <c r="AO242" s="372"/>
      <c r="AP242" s="372"/>
    </row>
    <row r="243" spans="2:42" ht="15.5">
      <c r="B243" s="1093" t="s">
        <v>37</v>
      </c>
      <c r="C243" s="1102"/>
      <c r="D243" s="1099"/>
      <c r="E243"/>
      <c r="F243"/>
      <c r="G243"/>
      <c r="H243" s="110" t="s">
        <v>34</v>
      </c>
      <c r="I243" s="110" t="s">
        <v>1286</v>
      </c>
      <c r="L243" s="110" t="s">
        <v>34</v>
      </c>
      <c r="M243" s="110" t="s">
        <v>1286</v>
      </c>
      <c r="O243" s="579" t="s">
        <v>2338</v>
      </c>
    </row>
    <row r="244" spans="2:42" ht="15.5">
      <c r="B244" s="1104" t="s">
        <v>44</v>
      </c>
      <c r="C244" s="1102">
        <v>8724</v>
      </c>
      <c r="D244" s="1099">
        <v>45893</v>
      </c>
      <c r="E244"/>
      <c r="F244"/>
      <c r="G244" s="754" t="s">
        <v>2780</v>
      </c>
      <c r="H244">
        <f>GETPIVOTDATA("Sum of #_households that received standard amount of soap for this quarter",$B$254,"State","Kachin","Ethnic or GCA/NGCA","GCA")</f>
        <v>1240</v>
      </c>
      <c r="I244" s="111">
        <f>IF(H241-H244&lt;-1,0,H241-H244)</f>
        <v>941</v>
      </c>
      <c r="K244" s="658" t="s">
        <v>2609</v>
      </c>
      <c r="L244" s="111">
        <f>GETPIVOTDATA("Sum of # of affected women and girls receiving a sufficient quantity of sanitary pads from direct distribution or from MHM room facilities",$B$254,"State","Kachin","Ethnic or GCA/NGCA","GCA")</f>
        <v>1457</v>
      </c>
      <c r="M244" s="111">
        <f>L241-L244</f>
        <v>11851.97</v>
      </c>
    </row>
    <row r="245" spans="2:42" ht="15.5">
      <c r="B245" s="1104" t="s">
        <v>589</v>
      </c>
      <c r="C245" s="1102">
        <v>8631.2000000000007</v>
      </c>
      <c r="D245" s="1099">
        <v>44641</v>
      </c>
      <c r="E245"/>
      <c r="F245"/>
      <c r="G245" s="754" t="s">
        <v>2781</v>
      </c>
      <c r="H245">
        <f>GETPIVOTDATA("Sum of #_households that received standard amount of soap for this quarter",$B$254,"State","Kachin","Ethnic or GCA/NGCA","NGCA")</f>
        <v>1350</v>
      </c>
      <c r="I245" s="111">
        <f>I241-H245</f>
        <v>7281.2000000000007</v>
      </c>
      <c r="K245" s="658" t="s">
        <v>2610</v>
      </c>
      <c r="L245" s="111">
        <f>GETPIVOTDATA("Sum of # of affected women and girls receiving a sufficient quantity of sanitary pads from direct distribution or from MHM room facilities",$B$254,"State","Kachin","Ethnic or GCA/NGCA","NGCA")</f>
        <v>1300</v>
      </c>
      <c r="M245" s="111">
        <f>M241-L245</f>
        <v>11645.89</v>
      </c>
    </row>
    <row r="246" spans="2:42" ht="15.5">
      <c r="B246" s="1093" t="s">
        <v>1484</v>
      </c>
      <c r="C246" s="1102">
        <v>17355.2</v>
      </c>
      <c r="D246" s="1099">
        <v>90534</v>
      </c>
      <c r="E246"/>
      <c r="F246"/>
      <c r="G246"/>
      <c r="H246"/>
      <c r="K246" s="413"/>
      <c r="L246" s="413"/>
      <c r="M246" s="105"/>
    </row>
    <row r="247" spans="2:42" ht="15.5">
      <c r="B247" s="1093" t="s">
        <v>1280</v>
      </c>
      <c r="C247" s="1102">
        <v>17355.2</v>
      </c>
      <c r="D247" s="1099">
        <v>90534</v>
      </c>
      <c r="E247" s="502"/>
      <c r="F247" s="413"/>
      <c r="G247" s="413"/>
      <c r="K247" s="413"/>
      <c r="L247" s="413"/>
      <c r="M247" s="105"/>
    </row>
    <row r="248" spans="2:42" ht="15.5">
      <c r="B248"/>
      <c r="C248"/>
      <c r="D248"/>
      <c r="E248" s="502"/>
      <c r="F248" s="413"/>
      <c r="G248" s="413"/>
      <c r="K248" s="413"/>
      <c r="L248" s="413"/>
      <c r="M248" s="105"/>
    </row>
    <row r="249" spans="2:42" ht="15.5">
      <c r="B249" s="1091" t="s">
        <v>35</v>
      </c>
      <c r="C249" s="1092" t="s">
        <v>1471</v>
      </c>
      <c r="D249"/>
      <c r="E249" s="502"/>
      <c r="F249" s="413"/>
      <c r="G249" s="413"/>
      <c r="K249" s="413"/>
      <c r="L249" s="413"/>
      <c r="M249" s="105"/>
    </row>
    <row r="250" spans="2:42" ht="15.5">
      <c r="B250" s="1091" t="s">
        <v>20</v>
      </c>
      <c r="C250" s="1092" t="s">
        <v>2962</v>
      </c>
      <c r="D250" s="100"/>
      <c r="E250" s="502"/>
      <c r="F250" s="413"/>
      <c r="G250" s="413"/>
      <c r="K250" s="413"/>
      <c r="L250" s="413"/>
      <c r="M250" s="105"/>
    </row>
    <row r="251" spans="2:42" ht="15.5">
      <c r="B251" s="1091" t="s">
        <v>34</v>
      </c>
      <c r="C251" s="1092" t="s">
        <v>34</v>
      </c>
      <c r="E251" s="502"/>
      <c r="F251" s="413"/>
      <c r="G251" s="413"/>
      <c r="K251" s="413"/>
      <c r="L251" s="413"/>
      <c r="M251" s="105"/>
    </row>
    <row r="252" spans="2:42" ht="15.5">
      <c r="B252" s="1091" t="s">
        <v>134</v>
      </c>
      <c r="C252" s="1092" t="s">
        <v>1471</v>
      </c>
      <c r="D252" s="100"/>
      <c r="E252" s="502"/>
      <c r="F252" s="413"/>
      <c r="K252" s="413"/>
      <c r="L252" s="413"/>
      <c r="M252" s="105"/>
    </row>
    <row r="253" spans="2:42" ht="15.5">
      <c r="E253" s="502"/>
      <c r="F253" s="413"/>
      <c r="K253" s="413"/>
      <c r="L253" s="413"/>
      <c r="M253" s="105"/>
    </row>
    <row r="254" spans="2:42" ht="15.5">
      <c r="B254" s="1091" t="s">
        <v>1278</v>
      </c>
      <c r="C254" s="1092" t="s">
        <v>2114</v>
      </c>
      <c r="D254" s="1092" t="s">
        <v>2337</v>
      </c>
      <c r="E254" s="502"/>
      <c r="F254" s="413"/>
      <c r="K254" s="413"/>
      <c r="L254" s="413"/>
      <c r="M254" s="105"/>
    </row>
    <row r="255" spans="2:42" ht="15.5">
      <c r="B255" s="1093" t="s">
        <v>37</v>
      </c>
      <c r="C255" s="1099"/>
      <c r="D255" s="1099"/>
      <c r="E255" s="502"/>
      <c r="F255" s="413"/>
      <c r="K255" s="413"/>
      <c r="L255" s="413"/>
      <c r="M255" s="105"/>
    </row>
    <row r="256" spans="2:42" ht="15.5">
      <c r="B256" s="1104" t="s">
        <v>44</v>
      </c>
      <c r="C256" s="1099">
        <v>1240</v>
      </c>
      <c r="D256" s="1099">
        <v>1457</v>
      </c>
      <c r="E256" s="502"/>
      <c r="F256" s="413"/>
      <c r="K256" s="413"/>
      <c r="L256" s="413"/>
      <c r="M256" s="105"/>
    </row>
    <row r="257" spans="2:13" ht="15.5">
      <c r="B257" s="1104" t="s">
        <v>589</v>
      </c>
      <c r="C257" s="1099">
        <v>1350</v>
      </c>
      <c r="D257" s="1099">
        <v>1300</v>
      </c>
      <c r="E257" s="502"/>
      <c r="F257" s="413"/>
      <c r="K257" s="413"/>
      <c r="L257" s="413"/>
      <c r="M257" s="105"/>
    </row>
    <row r="258" spans="2:13" ht="15.5">
      <c r="B258" s="1093" t="s">
        <v>1484</v>
      </c>
      <c r="C258" s="1099">
        <v>2590</v>
      </c>
      <c r="D258" s="1099">
        <v>2757</v>
      </c>
      <c r="E258" s="502"/>
      <c r="F258" s="413"/>
      <c r="G258" s="413"/>
      <c r="K258" s="413"/>
      <c r="L258" s="413"/>
      <c r="M258" s="105"/>
    </row>
    <row r="259" spans="2:13" ht="15.5">
      <c r="B259"/>
      <c r="C259"/>
      <c r="D259"/>
      <c r="F259" s="413"/>
      <c r="G259" s="413"/>
      <c r="K259" s="413"/>
      <c r="L259" s="413"/>
      <c r="M259" s="105"/>
    </row>
    <row r="260" spans="2:13" ht="15.5">
      <c r="K260" s="413"/>
      <c r="L260" s="413"/>
      <c r="M260" s="105"/>
    </row>
    <row r="261" spans="2:13" ht="15.5">
      <c r="K261" s="413"/>
      <c r="L261" s="413"/>
      <c r="M261" s="105"/>
    </row>
    <row r="262" spans="2:13" ht="15.5">
      <c r="F262" s="360"/>
      <c r="G262" s="413"/>
      <c r="H262" s="413"/>
      <c r="I262" s="413"/>
      <c r="K262" s="413"/>
      <c r="L262" s="413"/>
      <c r="M262" s="105"/>
    </row>
    <row r="263" spans="2:13" ht="15.5">
      <c r="B263"/>
      <c r="C263"/>
      <c r="D263"/>
      <c r="K263" s="360"/>
      <c r="L263" s="360"/>
      <c r="M263" s="105"/>
    </row>
    <row r="264" spans="2:13" ht="15.5">
      <c r="B264"/>
      <c r="C264"/>
      <c r="D264"/>
      <c r="K264" s="360"/>
      <c r="L264" s="360"/>
      <c r="M264" s="105"/>
    </row>
    <row r="265" spans="2:13">
      <c r="B265" s="1091" t="s">
        <v>35</v>
      </c>
      <c r="C265" s="1092" t="s">
        <v>1471</v>
      </c>
      <c r="K265" s="1091" t="s">
        <v>20</v>
      </c>
      <c r="L265" s="1092" t="s">
        <v>2962</v>
      </c>
    </row>
    <row r="266" spans="2:13">
      <c r="B266" s="1091" t="s">
        <v>20</v>
      </c>
      <c r="C266" s="1092" t="s">
        <v>2962</v>
      </c>
      <c r="D266" s="105"/>
      <c r="K266" s="1091" t="s">
        <v>34</v>
      </c>
      <c r="L266" s="1092" t="s">
        <v>34</v>
      </c>
      <c r="M266" s="100"/>
    </row>
    <row r="267" spans="2:13">
      <c r="B267" s="1091" t="s">
        <v>34</v>
      </c>
      <c r="C267" s="1092" t="s">
        <v>34</v>
      </c>
      <c r="D267" s="100"/>
      <c r="K267" s="1097" t="s">
        <v>21</v>
      </c>
      <c r="L267" s="1098" t="s">
        <v>515</v>
      </c>
      <c r="M267" s="100"/>
    </row>
    <row r="268" spans="2:13">
      <c r="B268" s="1097" t="s">
        <v>21</v>
      </c>
      <c r="C268" s="1098" t="s">
        <v>37</v>
      </c>
      <c r="D268" s="100"/>
      <c r="K268" s="1091" t="s">
        <v>134</v>
      </c>
      <c r="L268" s="1092" t="s">
        <v>1471</v>
      </c>
      <c r="M268" s="100"/>
    </row>
    <row r="269" spans="2:13">
      <c r="B269" s="1091" t="s">
        <v>134</v>
      </c>
      <c r="C269" s="1092" t="s">
        <v>1471</v>
      </c>
      <c r="D269" s="100"/>
      <c r="K269" s="376"/>
      <c r="L269" s="100"/>
      <c r="M269" s="100"/>
    </row>
    <row r="270" spans="2:13">
      <c r="B270" s="376"/>
      <c r="C270" s="100"/>
      <c r="D270" s="100"/>
      <c r="K270" s="1096" t="s">
        <v>21</v>
      </c>
      <c r="L270" s="1092" t="s">
        <v>2142</v>
      </c>
      <c r="M270" s="1092" t="s">
        <v>2137</v>
      </c>
    </row>
    <row r="271" spans="2:13">
      <c r="B271" s="1096" t="s">
        <v>21</v>
      </c>
      <c r="C271" s="1092" t="s">
        <v>2142</v>
      </c>
      <c r="D271" s="1092" t="s">
        <v>2137</v>
      </c>
      <c r="K271" s="1093" t="s">
        <v>534</v>
      </c>
      <c r="L271" s="1094">
        <v>1</v>
      </c>
      <c r="M271" s="1094">
        <v>0</v>
      </c>
    </row>
    <row r="272" spans="2:13">
      <c r="B272" s="1093" t="s">
        <v>195</v>
      </c>
      <c r="C272" s="1094">
        <v>0.95294875926522715</v>
      </c>
      <c r="D272" s="1094">
        <v>4.7051240734772848E-2</v>
      </c>
      <c r="K272" s="1093" t="s">
        <v>556</v>
      </c>
      <c r="L272" s="1094">
        <v>0.375</v>
      </c>
      <c r="M272" s="1094">
        <v>0.625</v>
      </c>
    </row>
    <row r="273" spans="2:23">
      <c r="B273" s="1093" t="s">
        <v>146</v>
      </c>
      <c r="C273" s="1094">
        <v>0.70388349514563109</v>
      </c>
      <c r="D273" s="1094">
        <v>0.29611650485436891</v>
      </c>
      <c r="K273" s="1093" t="s">
        <v>519</v>
      </c>
      <c r="L273" s="1094">
        <v>0.79848156182212582</v>
      </c>
      <c r="M273" s="1094">
        <v>0.20151843817787418</v>
      </c>
    </row>
    <row r="274" spans="2:23">
      <c r="B274" s="1093" t="s">
        <v>148</v>
      </c>
      <c r="C274" s="1094">
        <v>0.97003424657534243</v>
      </c>
      <c r="D274" s="1094">
        <v>2.9965753424657571E-2</v>
      </c>
      <c r="K274" s="1093" t="s">
        <v>956</v>
      </c>
      <c r="L274" s="1094">
        <v>0</v>
      </c>
      <c r="M274" s="1094">
        <v>1</v>
      </c>
    </row>
    <row r="275" spans="2:23">
      <c r="B275" s="1093" t="s">
        <v>586</v>
      </c>
      <c r="C275" s="1094">
        <v>1</v>
      </c>
      <c r="D275" s="1094">
        <v>0</v>
      </c>
      <c r="K275" s="1093" t="s">
        <v>958</v>
      </c>
      <c r="L275" s="1094">
        <v>0</v>
      </c>
      <c r="M275" s="1094">
        <v>1</v>
      </c>
    </row>
    <row r="276" spans="2:23">
      <c r="B276" s="1093" t="s">
        <v>38</v>
      </c>
      <c r="C276" s="1094">
        <v>0.50108091414453371</v>
      </c>
      <c r="D276" s="1094">
        <v>0.49891908585546629</v>
      </c>
      <c r="K276" s="1093" t="s">
        <v>525</v>
      </c>
      <c r="L276" s="1094">
        <v>0</v>
      </c>
      <c r="M276" s="1094">
        <v>1</v>
      </c>
    </row>
    <row r="277" spans="2:23">
      <c r="B277" s="1093" t="s">
        <v>152</v>
      </c>
      <c r="C277" s="1094">
        <v>1</v>
      </c>
      <c r="D277" s="1094">
        <v>0</v>
      </c>
      <c r="K277" s="1093" t="s">
        <v>516</v>
      </c>
      <c r="L277" s="1094">
        <v>0.65343347639484983</v>
      </c>
      <c r="M277" s="1094">
        <v>0.34656652360515017</v>
      </c>
    </row>
    <row r="278" spans="2:23">
      <c r="B278" s="1093" t="s">
        <v>157</v>
      </c>
      <c r="C278" s="1094">
        <v>1</v>
      </c>
      <c r="D278" s="1094">
        <v>0</v>
      </c>
      <c r="K278" s="1093" t="s">
        <v>979</v>
      </c>
      <c r="L278" s="1094">
        <v>0</v>
      </c>
      <c r="M278" s="1094">
        <v>1</v>
      </c>
    </row>
    <row r="279" spans="2:23" ht="15.5">
      <c r="B279" s="1093" t="s">
        <v>205</v>
      </c>
      <c r="C279" s="1094">
        <v>0.63180819180819181</v>
      </c>
      <c r="D279" s="1094">
        <v>0.36819180819180819</v>
      </c>
      <c r="K279"/>
      <c r="L279"/>
      <c r="M279"/>
    </row>
    <row r="280" spans="2:23" ht="15.5">
      <c r="B280" s="1093" t="s">
        <v>159</v>
      </c>
      <c r="C280" s="1094">
        <v>0.82837477797513326</v>
      </c>
      <c r="D280" s="1094">
        <v>0.17162522202486674</v>
      </c>
      <c r="K280"/>
      <c r="L280"/>
      <c r="M280"/>
    </row>
    <row r="281" spans="2:23" ht="15.5">
      <c r="B281" s="1093" t="s">
        <v>214</v>
      </c>
      <c r="C281" s="1094">
        <v>0.81950207468879666</v>
      </c>
      <c r="D281" s="1094">
        <v>0.18049792531120334</v>
      </c>
      <c r="K281"/>
      <c r="L281"/>
      <c r="M281"/>
    </row>
    <row r="282" spans="2:23" ht="15.5">
      <c r="B282" s="1093" t="s">
        <v>184</v>
      </c>
      <c r="C282" s="1094">
        <v>1</v>
      </c>
      <c r="D282" s="1094">
        <v>0</v>
      </c>
      <c r="K282"/>
      <c r="L282"/>
      <c r="M282"/>
    </row>
    <row r="283" spans="2:23" ht="15.5">
      <c r="B283" s="1093" t="s">
        <v>858</v>
      </c>
      <c r="C283" s="1094">
        <v>0.88115134633240488</v>
      </c>
      <c r="D283" s="1094">
        <v>0.11884865366759512</v>
      </c>
      <c r="K283"/>
      <c r="L283"/>
      <c r="M283"/>
    </row>
    <row r="284" spans="2:23" ht="15.5">
      <c r="B284" s="1093" t="s">
        <v>142</v>
      </c>
      <c r="C284" s="1094">
        <v>0.72021017076374549</v>
      </c>
      <c r="D284" s="1094">
        <v>0.27978982923625451</v>
      </c>
      <c r="K284"/>
      <c r="L284"/>
      <c r="M284"/>
    </row>
    <row r="285" spans="2:23" ht="15.5">
      <c r="B285"/>
      <c r="C285"/>
      <c r="D285"/>
    </row>
    <row r="286" spans="2:23" ht="15.5">
      <c r="B286" s="100"/>
      <c r="C286" s="100"/>
      <c r="D286" s="100"/>
      <c r="K286"/>
      <c r="L286"/>
      <c r="M286"/>
      <c r="U286"/>
      <c r="V286"/>
      <c r="W286"/>
    </row>
    <row r="287" spans="2:23" ht="15.5">
      <c r="B287" s="100"/>
      <c r="C287" s="100"/>
      <c r="D287" s="100"/>
      <c r="K287"/>
      <c r="L287"/>
      <c r="M287"/>
      <c r="U287"/>
      <c r="V287"/>
      <c r="W287"/>
    </row>
    <row r="288" spans="2:23" ht="15.5">
      <c r="B288" s="100"/>
      <c r="C288" s="100"/>
      <c r="D288" s="100"/>
      <c r="K288" s="396"/>
      <c r="L288" s="397"/>
      <c r="M288" s="397"/>
      <c r="U288" s="360"/>
      <c r="V288" s="360"/>
      <c r="W288" s="360"/>
    </row>
    <row r="289" spans="1:26" ht="15.5">
      <c r="B289" s="100"/>
      <c r="C289" s="100"/>
      <c r="D289" s="100"/>
      <c r="K289" s="396"/>
      <c r="L289" s="397"/>
      <c r="M289" s="397"/>
      <c r="U289" s="360"/>
      <c r="V289" s="360"/>
      <c r="W289" s="360"/>
    </row>
    <row r="290" spans="1:26" ht="15.5">
      <c r="B290" s="100"/>
      <c r="C290" s="100"/>
      <c r="D290" s="100"/>
      <c r="K290" s="396"/>
      <c r="L290" s="397"/>
      <c r="M290" s="397"/>
      <c r="U290" s="360"/>
      <c r="V290" s="360"/>
      <c r="W290" s="360"/>
    </row>
    <row r="291" spans="1:26" ht="15.5">
      <c r="B291" s="100"/>
      <c r="C291" s="100"/>
      <c r="D291" s="100"/>
      <c r="K291" s="396"/>
      <c r="L291" s="397"/>
      <c r="M291" s="397"/>
      <c r="U291" s="360"/>
      <c r="V291" s="360"/>
      <c r="W291" s="360"/>
    </row>
    <row r="292" spans="1:26" ht="18.5">
      <c r="A292" s="147" t="s">
        <v>1285</v>
      </c>
      <c r="B292" s="112"/>
      <c r="C292" s="112"/>
      <c r="D292" s="112"/>
      <c r="E292" s="112"/>
      <c r="F292" s="112"/>
      <c r="G292" s="112"/>
      <c r="H292" s="112"/>
      <c r="I292" s="112"/>
      <c r="J292" s="112"/>
      <c r="K292" s="112"/>
      <c r="L292" s="112"/>
      <c r="M292" s="112"/>
      <c r="N292" s="112"/>
      <c r="O292" s="112"/>
      <c r="P292" s="112"/>
      <c r="Q292" s="112"/>
      <c r="R292" s="112"/>
      <c r="S292" s="112"/>
      <c r="T292" s="112"/>
      <c r="U292" s="112"/>
      <c r="V292" s="112"/>
      <c r="W292" s="112"/>
      <c r="X292" s="112"/>
      <c r="Y292" s="112"/>
      <c r="Z292" s="112"/>
    </row>
    <row r="293" spans="1:26">
      <c r="B293" s="100"/>
      <c r="C293" s="100"/>
      <c r="D293" s="100"/>
    </row>
    <row r="294" spans="1:26" ht="15.5">
      <c r="B294" s="100"/>
      <c r="C294" s="1091" t="s">
        <v>20</v>
      </c>
      <c r="D294" s="1092" t="s">
        <v>2962</v>
      </c>
      <c r="M294"/>
      <c r="N294"/>
    </row>
    <row r="295" spans="1:26">
      <c r="C295" s="1098" t="s">
        <v>21</v>
      </c>
      <c r="D295" s="1092" t="s">
        <v>37</v>
      </c>
      <c r="M295" s="1091" t="s">
        <v>20</v>
      </c>
      <c r="N295" s="1092" t="s">
        <v>2962</v>
      </c>
    </row>
    <row r="296" spans="1:26">
      <c r="C296" s="1091" t="s">
        <v>35</v>
      </c>
      <c r="D296" s="1092" t="s">
        <v>1471</v>
      </c>
      <c r="H296" s="1091" t="s">
        <v>20</v>
      </c>
      <c r="I296" s="1092" t="s">
        <v>2962</v>
      </c>
    </row>
    <row r="297" spans="1:26">
      <c r="H297" s="1098" t="s">
        <v>21</v>
      </c>
      <c r="I297" s="1098" t="s">
        <v>515</v>
      </c>
      <c r="M297" s="1091" t="s">
        <v>1475</v>
      </c>
      <c r="N297" s="1091" t="s">
        <v>1472</v>
      </c>
      <c r="O297" s="1092"/>
    </row>
    <row r="298" spans="1:26" ht="15.5">
      <c r="C298" s="1091" t="s">
        <v>1475</v>
      </c>
      <c r="D298" s="1091" t="s">
        <v>1472</v>
      </c>
      <c r="E298" s="1092"/>
      <c r="M298" s="1098" t="s">
        <v>1278</v>
      </c>
      <c r="N298" s="1092" t="s">
        <v>34</v>
      </c>
      <c r="O298" s="1092" t="s">
        <v>1286</v>
      </c>
      <c r="P298"/>
    </row>
    <row r="299" spans="1:26" ht="15.5">
      <c r="C299" s="1091" t="s">
        <v>1278</v>
      </c>
      <c r="D299" s="1092" t="s">
        <v>34</v>
      </c>
      <c r="E299" s="1092" t="s">
        <v>1286</v>
      </c>
      <c r="H299" s="1091" t="s">
        <v>1475</v>
      </c>
      <c r="I299" s="1091" t="s">
        <v>1472</v>
      </c>
      <c r="J299" s="1092"/>
      <c r="M299" s="1093" t="s">
        <v>37</v>
      </c>
      <c r="N299" s="1099">
        <v>119</v>
      </c>
      <c r="O299" s="1099">
        <v>24</v>
      </c>
      <c r="P299"/>
    </row>
    <row r="300" spans="1:26" ht="15.5">
      <c r="C300" s="1093" t="s">
        <v>43</v>
      </c>
      <c r="D300" s="1099">
        <v>109</v>
      </c>
      <c r="E300" s="1099">
        <v>23</v>
      </c>
      <c r="H300" s="1091" t="s">
        <v>1278</v>
      </c>
      <c r="I300" s="1092" t="s">
        <v>34</v>
      </c>
      <c r="J300" s="1092" t="s">
        <v>1286</v>
      </c>
      <c r="M300" s="1093" t="s">
        <v>515</v>
      </c>
      <c r="N300" s="1099">
        <v>28</v>
      </c>
      <c r="O300" s="1099">
        <v>17</v>
      </c>
      <c r="P300"/>
    </row>
    <row r="301" spans="1:26" ht="15.5">
      <c r="C301" s="1093" t="s">
        <v>1094</v>
      </c>
      <c r="D301" s="1099">
        <v>2</v>
      </c>
      <c r="E301" s="1099"/>
      <c r="H301" s="1093" t="s">
        <v>43</v>
      </c>
      <c r="I301" s="1099">
        <v>28</v>
      </c>
      <c r="J301" s="1099">
        <v>15</v>
      </c>
      <c r="M301"/>
      <c r="N301"/>
      <c r="O301"/>
      <c r="P301"/>
    </row>
    <row r="302" spans="1:26" ht="15.5">
      <c r="C302" s="1093" t="s">
        <v>617</v>
      </c>
      <c r="D302" s="1099"/>
      <c r="E302" s="1099">
        <v>1</v>
      </c>
      <c r="H302" s="1093" t="s">
        <v>617</v>
      </c>
      <c r="I302" s="1099"/>
      <c r="J302" s="1099">
        <v>2</v>
      </c>
      <c r="M302"/>
      <c r="N302"/>
      <c r="O302"/>
      <c r="P302"/>
    </row>
    <row r="303" spans="1:26" ht="15.5">
      <c r="C303" s="1093" t="s">
        <v>3064</v>
      </c>
      <c r="D303" s="1099">
        <v>8</v>
      </c>
      <c r="E303" s="1099"/>
      <c r="H303"/>
      <c r="I303"/>
      <c r="J303"/>
      <c r="M303"/>
      <c r="N303"/>
      <c r="O303"/>
      <c r="P303"/>
    </row>
    <row r="304" spans="1:26" ht="15.5">
      <c r="C304"/>
      <c r="D304"/>
      <c r="E304"/>
      <c r="H304"/>
      <c r="I304"/>
      <c r="J304"/>
      <c r="M304"/>
      <c r="N304"/>
      <c r="O304"/>
      <c r="P304"/>
    </row>
    <row r="305" spans="1:26" ht="15.5">
      <c r="C305"/>
      <c r="D305"/>
      <c r="E305"/>
      <c r="H305"/>
      <c r="I305"/>
      <c r="J305"/>
      <c r="M305"/>
      <c r="N305"/>
      <c r="O305"/>
      <c r="P305"/>
    </row>
    <row r="306" spans="1:26" ht="15.5">
      <c r="C306"/>
      <c r="D306"/>
      <c r="E306"/>
      <c r="M306"/>
      <c r="N306"/>
      <c r="O306"/>
      <c r="P306"/>
    </row>
    <row r="307" spans="1:26" ht="15.5">
      <c r="C307"/>
      <c r="D307"/>
      <c r="E307"/>
      <c r="M307"/>
      <c r="N307"/>
      <c r="O307"/>
      <c r="P307"/>
    </row>
    <row r="308" spans="1:26" ht="15.5">
      <c r="C308"/>
      <c r="D308"/>
      <c r="E308"/>
      <c r="M308"/>
      <c r="N308"/>
      <c r="O308"/>
      <c r="P308"/>
    </row>
    <row r="309" spans="1:26" ht="15.5">
      <c r="C309"/>
      <c r="D309"/>
      <c r="E309"/>
      <c r="M309"/>
      <c r="N309"/>
      <c r="O309"/>
      <c r="P309"/>
    </row>
    <row r="310" spans="1:26" ht="15.5">
      <c r="C310"/>
      <c r="D310"/>
      <c r="E310"/>
      <c r="N310"/>
      <c r="O310"/>
      <c r="P310"/>
    </row>
    <row r="311" spans="1:26" ht="15.5">
      <c r="C311"/>
      <c r="D311"/>
      <c r="E311"/>
    </row>
    <row r="312" spans="1:26" ht="15.5">
      <c r="C312"/>
      <c r="D312"/>
      <c r="E312"/>
    </row>
    <row r="313" spans="1:26" ht="15.5">
      <c r="C313"/>
      <c r="D313"/>
      <c r="E313"/>
    </row>
    <row r="314" spans="1:26" ht="15.5">
      <c r="C314"/>
      <c r="D314"/>
      <c r="E314"/>
    </row>
    <row r="315" spans="1:26" ht="15.5">
      <c r="C315"/>
      <c r="D315"/>
      <c r="E315"/>
    </row>
    <row r="316" spans="1:26">
      <c r="C316" s="925"/>
      <c r="D316" s="924"/>
      <c r="E316" s="924"/>
    </row>
    <row r="317" spans="1:26">
      <c r="C317" s="925"/>
      <c r="D317" s="924"/>
      <c r="E317" s="924"/>
    </row>
    <row r="318" spans="1:26" ht="18.5">
      <c r="A318" s="148" t="s">
        <v>1580</v>
      </c>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row>
    <row r="321" spans="3:12">
      <c r="C321" s="1091" t="s">
        <v>20</v>
      </c>
      <c r="D321" s="1092" t="s">
        <v>2962</v>
      </c>
    </row>
    <row r="322" spans="3:12">
      <c r="C322" s="1091" t="s">
        <v>34</v>
      </c>
      <c r="D322" s="1092" t="s">
        <v>1286</v>
      </c>
    </row>
    <row r="324" spans="3:12">
      <c r="C324" s="1091" t="s">
        <v>21</v>
      </c>
      <c r="D324" s="1091" t="s">
        <v>22</v>
      </c>
      <c r="E324" s="1091" t="s">
        <v>23</v>
      </c>
      <c r="F324" s="1091" t="s">
        <v>29</v>
      </c>
      <c r="G324" s="1092" t="s">
        <v>1475</v>
      </c>
      <c r="H324" s="1092" t="s">
        <v>1508</v>
      </c>
      <c r="I324" s="1092" t="s">
        <v>1509</v>
      </c>
      <c r="J324" s="1092" t="s">
        <v>1510</v>
      </c>
      <c r="K324" s="1092" t="s">
        <v>1511</v>
      </c>
      <c r="L324" s="1092" t="s">
        <v>1512</v>
      </c>
    </row>
    <row r="325" spans="3:12">
      <c r="C325" s="1092" t="s">
        <v>37</v>
      </c>
      <c r="D325" s="1092" t="s">
        <v>195</v>
      </c>
      <c r="E325" s="1092" t="s">
        <v>2870</v>
      </c>
      <c r="F325" s="1092" t="s">
        <v>2576</v>
      </c>
      <c r="G325" s="1099">
        <v>1</v>
      </c>
      <c r="H325" s="1101">
        <v>181</v>
      </c>
      <c r="I325" s="1101">
        <v>906</v>
      </c>
      <c r="J325" s="1094">
        <v>1</v>
      </c>
      <c r="K325" s="1094">
        <v>1</v>
      </c>
      <c r="L325" s="1094">
        <v>1</v>
      </c>
    </row>
    <row r="326" spans="3:12">
      <c r="C326" s="1092"/>
      <c r="D326" s="1092" t="s">
        <v>148</v>
      </c>
      <c r="E326" s="1092" t="s">
        <v>257</v>
      </c>
      <c r="F326" s="1092" t="s">
        <v>587</v>
      </c>
      <c r="G326" s="1099">
        <v>1</v>
      </c>
      <c r="H326" s="1101">
        <v>3</v>
      </c>
      <c r="I326" s="1101">
        <v>15</v>
      </c>
      <c r="J326" s="1094">
        <v>0</v>
      </c>
      <c r="K326" s="1094">
        <v>1</v>
      </c>
      <c r="L326" s="1094">
        <v>1</v>
      </c>
    </row>
    <row r="327" spans="3:12">
      <c r="C327" s="1092"/>
      <c r="D327" s="1092"/>
      <c r="E327" s="1092" t="s">
        <v>2986</v>
      </c>
      <c r="F327" s="1092" t="s">
        <v>587</v>
      </c>
      <c r="G327" s="1099">
        <v>1</v>
      </c>
      <c r="H327" s="1101">
        <v>12</v>
      </c>
      <c r="I327" s="1101">
        <v>54</v>
      </c>
      <c r="J327" s="1094">
        <v>1</v>
      </c>
      <c r="K327" s="1094">
        <v>1</v>
      </c>
      <c r="L327" s="1094">
        <v>1</v>
      </c>
    </row>
    <row r="328" spans="3:12">
      <c r="C328" s="1092"/>
      <c r="D328" s="1092" t="s">
        <v>38</v>
      </c>
      <c r="E328" s="1092" t="s">
        <v>2569</v>
      </c>
      <c r="F328" s="1092" t="s">
        <v>2866</v>
      </c>
      <c r="G328" s="1099">
        <v>1</v>
      </c>
      <c r="H328" s="1101">
        <v>86</v>
      </c>
      <c r="I328" s="1101">
        <v>450</v>
      </c>
      <c r="J328" s="1094">
        <v>1</v>
      </c>
      <c r="K328" s="1094">
        <v>1</v>
      </c>
      <c r="L328" s="1094">
        <v>1</v>
      </c>
    </row>
    <row r="329" spans="3:12">
      <c r="C329" s="1092"/>
      <c r="D329" s="1092"/>
      <c r="E329" s="1092" t="s">
        <v>2875</v>
      </c>
      <c r="F329" s="1092" t="s">
        <v>2576</v>
      </c>
      <c r="G329" s="1099">
        <v>1</v>
      </c>
      <c r="H329" s="1101">
        <v>67</v>
      </c>
      <c r="I329" s="1101">
        <v>308</v>
      </c>
      <c r="J329" s="1094">
        <v>1</v>
      </c>
      <c r="K329" s="1094">
        <v>1</v>
      </c>
      <c r="L329" s="1094">
        <v>1</v>
      </c>
    </row>
    <row r="330" spans="3:12">
      <c r="C330" s="1092"/>
      <c r="D330" s="1092" t="s">
        <v>157</v>
      </c>
      <c r="E330" s="1092" t="s">
        <v>2876</v>
      </c>
      <c r="F330" s="1092" t="s">
        <v>2576</v>
      </c>
      <c r="G330" s="1099">
        <v>1</v>
      </c>
      <c r="H330" s="1101">
        <v>27</v>
      </c>
      <c r="I330" s="1101">
        <v>126</v>
      </c>
      <c r="J330" s="1094">
        <v>1</v>
      </c>
      <c r="K330" s="1094">
        <v>1</v>
      </c>
      <c r="L330" s="1094">
        <v>1</v>
      </c>
    </row>
    <row r="331" spans="3:12">
      <c r="C331" s="1092"/>
      <c r="D331" s="1092"/>
      <c r="E331" s="1092" t="s">
        <v>2877</v>
      </c>
      <c r="F331" s="1092" t="s">
        <v>2576</v>
      </c>
      <c r="G331" s="1099">
        <v>1</v>
      </c>
      <c r="H331" s="1101">
        <v>15</v>
      </c>
      <c r="I331" s="1101">
        <v>71</v>
      </c>
      <c r="J331" s="1094">
        <v>1</v>
      </c>
      <c r="K331" s="1094">
        <v>1</v>
      </c>
      <c r="L331" s="1094">
        <v>1</v>
      </c>
    </row>
    <row r="332" spans="3:12">
      <c r="C332" s="1092"/>
      <c r="D332" s="1092"/>
      <c r="E332" s="1092" t="s">
        <v>2987</v>
      </c>
      <c r="F332" s="1092" t="s">
        <v>587</v>
      </c>
      <c r="G332" s="1099">
        <v>1</v>
      </c>
      <c r="H332" s="1101">
        <v>92</v>
      </c>
      <c r="I332" s="1101">
        <v>479</v>
      </c>
      <c r="J332" s="1094">
        <v>1</v>
      </c>
      <c r="K332" s="1094">
        <v>1</v>
      </c>
      <c r="L332" s="1094">
        <v>1</v>
      </c>
    </row>
    <row r="333" spans="3:12">
      <c r="C333" s="1092"/>
      <c r="D333" s="1092"/>
      <c r="E333" s="1092" t="s">
        <v>2992</v>
      </c>
      <c r="F333" s="1092" t="s">
        <v>2576</v>
      </c>
      <c r="G333" s="1099">
        <v>1</v>
      </c>
      <c r="H333" s="1101">
        <v>542</v>
      </c>
      <c r="I333" s="1101">
        <v>2399</v>
      </c>
      <c r="J333" s="1094">
        <v>1</v>
      </c>
      <c r="K333" s="1094">
        <v>1</v>
      </c>
      <c r="L333" s="1094">
        <v>1</v>
      </c>
    </row>
    <row r="334" spans="3:12">
      <c r="C334" s="1092"/>
      <c r="D334" s="1092" t="s">
        <v>205</v>
      </c>
      <c r="E334" s="1092" t="s">
        <v>2872</v>
      </c>
      <c r="F334" s="1092" t="s">
        <v>2576</v>
      </c>
      <c r="G334" s="1099">
        <v>1</v>
      </c>
      <c r="H334" s="1101">
        <v>223</v>
      </c>
      <c r="I334" s="1101">
        <v>1067</v>
      </c>
      <c r="J334" s="1094">
        <v>1</v>
      </c>
      <c r="K334" s="1094">
        <v>1</v>
      </c>
      <c r="L334" s="1094">
        <v>1</v>
      </c>
    </row>
    <row r="335" spans="3:12">
      <c r="C335" s="1092"/>
      <c r="D335" s="1092"/>
      <c r="E335" s="1092" t="s">
        <v>2869</v>
      </c>
      <c r="F335" s="1092" t="s">
        <v>2576</v>
      </c>
      <c r="G335" s="1099">
        <v>1</v>
      </c>
      <c r="H335" s="1101">
        <v>15</v>
      </c>
      <c r="I335" s="1101">
        <v>101</v>
      </c>
      <c r="J335" s="1094">
        <v>1</v>
      </c>
      <c r="K335" s="1094">
        <v>1</v>
      </c>
      <c r="L335" s="1094">
        <v>1</v>
      </c>
    </row>
    <row r="336" spans="3:12">
      <c r="C336" s="1092"/>
      <c r="D336" s="1092" t="s">
        <v>214</v>
      </c>
      <c r="E336" s="1092" t="s">
        <v>1585</v>
      </c>
      <c r="F336" s="1092" t="s">
        <v>587</v>
      </c>
      <c r="G336" s="1099">
        <v>1</v>
      </c>
      <c r="H336" s="1101">
        <v>386</v>
      </c>
      <c r="I336" s="1101">
        <v>1397</v>
      </c>
      <c r="J336" s="1094">
        <v>0</v>
      </c>
      <c r="K336" s="1094">
        <v>0.92841803865425909</v>
      </c>
      <c r="L336" s="1094">
        <v>1</v>
      </c>
    </row>
    <row r="337" spans="3:12">
      <c r="C337" s="1092"/>
      <c r="D337" s="1092" t="s">
        <v>142</v>
      </c>
      <c r="E337" s="1092" t="s">
        <v>775</v>
      </c>
      <c r="F337" s="1092" t="s">
        <v>587</v>
      </c>
      <c r="G337" s="1099">
        <v>1</v>
      </c>
      <c r="H337" s="1101">
        <v>45</v>
      </c>
      <c r="I337" s="1101">
        <v>247</v>
      </c>
      <c r="J337" s="1094">
        <v>1</v>
      </c>
      <c r="K337" s="1094">
        <v>1</v>
      </c>
      <c r="L337" s="1094">
        <v>1</v>
      </c>
    </row>
    <row r="338" spans="3:12">
      <c r="C338" s="1092"/>
      <c r="D338" s="1092"/>
      <c r="E338" s="1092" t="s">
        <v>2704</v>
      </c>
      <c r="F338" s="1092" t="s">
        <v>587</v>
      </c>
      <c r="G338" s="1099">
        <v>1</v>
      </c>
      <c r="H338" s="1101">
        <v>12</v>
      </c>
      <c r="I338" s="1101">
        <v>80</v>
      </c>
      <c r="J338" s="1094">
        <v>1</v>
      </c>
      <c r="K338" s="1094">
        <v>1</v>
      </c>
      <c r="L338" s="1094">
        <v>1</v>
      </c>
    </row>
    <row r="339" spans="3:12">
      <c r="C339" s="1092"/>
      <c r="D339" s="1092"/>
      <c r="E339" s="1092" t="s">
        <v>2705</v>
      </c>
      <c r="F339" s="1092" t="s">
        <v>587</v>
      </c>
      <c r="G339" s="1099">
        <v>1</v>
      </c>
      <c r="H339" s="1101">
        <v>27</v>
      </c>
      <c r="I339" s="1101">
        <v>139</v>
      </c>
      <c r="J339" s="1094">
        <v>1</v>
      </c>
      <c r="K339" s="1094">
        <v>1</v>
      </c>
      <c r="L339" s="1094">
        <v>1</v>
      </c>
    </row>
    <row r="340" spans="3:12">
      <c r="C340" s="1092"/>
      <c r="D340" s="1092"/>
      <c r="E340" s="1092" t="s">
        <v>2708</v>
      </c>
      <c r="F340" s="1092" t="s">
        <v>587</v>
      </c>
      <c r="G340" s="1099">
        <v>1</v>
      </c>
      <c r="H340" s="1101">
        <v>61</v>
      </c>
      <c r="I340" s="1101">
        <v>294</v>
      </c>
      <c r="J340" s="1094">
        <v>1</v>
      </c>
      <c r="K340" s="1094">
        <v>1</v>
      </c>
      <c r="L340" s="1094">
        <v>1</v>
      </c>
    </row>
    <row r="341" spans="3:12">
      <c r="C341" s="1092"/>
      <c r="D341" s="1092"/>
      <c r="E341" s="1092" t="s">
        <v>2711</v>
      </c>
      <c r="F341" s="1092" t="s">
        <v>587</v>
      </c>
      <c r="G341" s="1099">
        <v>1</v>
      </c>
      <c r="H341" s="1101">
        <v>48</v>
      </c>
      <c r="I341" s="1101">
        <v>240</v>
      </c>
      <c r="J341" s="1094">
        <v>1</v>
      </c>
      <c r="K341" s="1094">
        <v>1</v>
      </c>
      <c r="L341" s="1094">
        <v>1</v>
      </c>
    </row>
    <row r="342" spans="3:12">
      <c r="C342" s="1092"/>
      <c r="D342" s="1092"/>
      <c r="E342" s="1092" t="s">
        <v>2712</v>
      </c>
      <c r="F342" s="1092" t="s">
        <v>587</v>
      </c>
      <c r="G342" s="1099">
        <v>1</v>
      </c>
      <c r="H342" s="1101">
        <v>34</v>
      </c>
      <c r="I342" s="1101">
        <v>189</v>
      </c>
      <c r="J342" s="1094">
        <v>1</v>
      </c>
      <c r="K342" s="1094">
        <v>1</v>
      </c>
      <c r="L342" s="1094">
        <v>1</v>
      </c>
    </row>
    <row r="343" spans="3:12">
      <c r="C343" s="1092"/>
      <c r="D343" s="1092"/>
      <c r="E343" s="1092" t="s">
        <v>2988</v>
      </c>
      <c r="F343" s="1092" t="s">
        <v>587</v>
      </c>
      <c r="G343" s="1099">
        <v>1</v>
      </c>
      <c r="H343" s="1101">
        <v>25</v>
      </c>
      <c r="I343" s="1101">
        <v>115</v>
      </c>
      <c r="J343" s="1094">
        <v>1</v>
      </c>
      <c r="K343" s="1094">
        <v>1</v>
      </c>
      <c r="L343" s="1094">
        <v>1</v>
      </c>
    </row>
    <row r="344" spans="3:12">
      <c r="C344" s="1092"/>
      <c r="D344" s="1092"/>
      <c r="E344" s="1092" t="s">
        <v>2991</v>
      </c>
      <c r="F344" s="1092" t="s">
        <v>587</v>
      </c>
      <c r="G344" s="1099">
        <v>1</v>
      </c>
      <c r="H344" s="1101">
        <v>24</v>
      </c>
      <c r="I344" s="1101">
        <v>130</v>
      </c>
      <c r="J344" s="1094">
        <v>1</v>
      </c>
      <c r="K344" s="1094">
        <v>1</v>
      </c>
      <c r="L344" s="1094">
        <v>1</v>
      </c>
    </row>
    <row r="345" spans="3:12">
      <c r="C345" s="1092"/>
      <c r="D345" s="1092"/>
      <c r="E345" s="1092" t="s">
        <v>2993</v>
      </c>
      <c r="F345" s="1092" t="s">
        <v>587</v>
      </c>
      <c r="G345" s="1099">
        <v>1</v>
      </c>
      <c r="H345" s="1101">
        <v>52</v>
      </c>
      <c r="I345" s="1101">
        <v>318</v>
      </c>
      <c r="J345" s="1094">
        <v>1</v>
      </c>
      <c r="K345" s="1094">
        <v>1</v>
      </c>
      <c r="L345" s="1094">
        <v>1</v>
      </c>
    </row>
    <row r="346" spans="3:12">
      <c r="C346" s="1092"/>
      <c r="D346" s="1092"/>
      <c r="E346" s="1092" t="s">
        <v>2990</v>
      </c>
      <c r="F346" s="1092" t="s">
        <v>587</v>
      </c>
      <c r="G346" s="1099">
        <v>1</v>
      </c>
      <c r="H346" s="1101">
        <v>33</v>
      </c>
      <c r="I346" s="1101">
        <v>178</v>
      </c>
      <c r="J346" s="1094">
        <v>1</v>
      </c>
      <c r="K346" s="1094">
        <v>1</v>
      </c>
      <c r="L346" s="1094">
        <v>1</v>
      </c>
    </row>
    <row r="347" spans="3:12">
      <c r="C347" s="1092"/>
      <c r="D347" s="1092"/>
      <c r="E347" s="1092" t="s">
        <v>2978</v>
      </c>
      <c r="F347" s="1092" t="s">
        <v>587</v>
      </c>
      <c r="G347" s="1099">
        <v>1</v>
      </c>
      <c r="H347" s="1101">
        <v>30</v>
      </c>
      <c r="I347" s="1101">
        <v>157</v>
      </c>
      <c r="J347" s="1094">
        <v>1</v>
      </c>
      <c r="K347" s="1094">
        <v>1</v>
      </c>
      <c r="L347" s="1094">
        <v>1</v>
      </c>
    </row>
    <row r="348" spans="3:12">
      <c r="C348" s="1092"/>
      <c r="D348" s="1092" t="s">
        <v>586</v>
      </c>
      <c r="E348" s="1092" t="s">
        <v>2979</v>
      </c>
      <c r="F348" s="1092" t="s">
        <v>587</v>
      </c>
      <c r="G348" s="1099">
        <v>1</v>
      </c>
      <c r="H348" s="1101">
        <v>42</v>
      </c>
      <c r="I348" s="1101">
        <v>112</v>
      </c>
      <c r="J348" s="1094">
        <v>1</v>
      </c>
      <c r="K348" s="1094">
        <v>1</v>
      </c>
      <c r="L348" s="1094">
        <v>1</v>
      </c>
    </row>
    <row r="349" spans="3:12">
      <c r="C349" s="1092" t="s">
        <v>1484</v>
      </c>
      <c r="D349" s="1092"/>
      <c r="E349" s="1092"/>
      <c r="F349" s="1092"/>
      <c r="G349" s="1099">
        <v>24</v>
      </c>
      <c r="H349" s="1101">
        <v>2082</v>
      </c>
      <c r="I349" s="1101">
        <v>9572</v>
      </c>
      <c r="J349" s="1094">
        <v>0.91666666666666663</v>
      </c>
      <c r="K349" s="1094">
        <v>0.99701741827726076</v>
      </c>
      <c r="L349" s="1094">
        <v>1</v>
      </c>
    </row>
    <row r="350" spans="3:12">
      <c r="C350" s="1092" t="s">
        <v>515</v>
      </c>
      <c r="D350" s="1092" t="s">
        <v>956</v>
      </c>
      <c r="E350" s="1092" t="s">
        <v>2973</v>
      </c>
      <c r="F350" s="1092" t="s">
        <v>587</v>
      </c>
      <c r="G350" s="1099">
        <v>1</v>
      </c>
      <c r="H350" s="1101">
        <v>19</v>
      </c>
      <c r="I350" s="1101">
        <v>82</v>
      </c>
      <c r="J350" s="1094">
        <v>1</v>
      </c>
      <c r="K350" s="1094">
        <v>1</v>
      </c>
      <c r="L350" s="1094">
        <v>1</v>
      </c>
    </row>
    <row r="351" spans="3:12">
      <c r="C351" s="1092"/>
      <c r="D351" s="1092"/>
      <c r="E351" s="1092" t="s">
        <v>2974</v>
      </c>
      <c r="F351" s="1092" t="s">
        <v>587</v>
      </c>
      <c r="G351" s="1099">
        <v>1</v>
      </c>
      <c r="H351" s="1101">
        <v>26</v>
      </c>
      <c r="I351" s="1101">
        <v>135</v>
      </c>
      <c r="J351" s="1094">
        <v>1</v>
      </c>
      <c r="K351" s="1094">
        <v>1</v>
      </c>
      <c r="L351" s="1094">
        <v>1</v>
      </c>
    </row>
    <row r="352" spans="3:12">
      <c r="C352" s="1092"/>
      <c r="D352" s="1092"/>
      <c r="E352" s="1092" t="s">
        <v>2975</v>
      </c>
      <c r="F352" s="1092" t="s">
        <v>587</v>
      </c>
      <c r="G352" s="1099">
        <v>1</v>
      </c>
      <c r="H352" s="1101">
        <v>18</v>
      </c>
      <c r="I352" s="1101">
        <v>123</v>
      </c>
      <c r="J352" s="1094">
        <v>1</v>
      </c>
      <c r="K352" s="1094">
        <v>1</v>
      </c>
      <c r="L352" s="1094">
        <v>1</v>
      </c>
    </row>
    <row r="353" spans="3:12">
      <c r="C353" s="1092"/>
      <c r="D353" s="1092"/>
      <c r="E353" s="1092" t="s">
        <v>2980</v>
      </c>
      <c r="F353" s="1092" t="s">
        <v>587</v>
      </c>
      <c r="G353" s="1099">
        <v>1</v>
      </c>
      <c r="H353" s="1101">
        <v>62</v>
      </c>
      <c r="I353" s="1101">
        <v>144</v>
      </c>
      <c r="J353" s="1094">
        <v>1</v>
      </c>
      <c r="K353" s="1094">
        <v>1</v>
      </c>
      <c r="L353" s="1094">
        <v>1</v>
      </c>
    </row>
    <row r="354" spans="3:12">
      <c r="C354" s="1092"/>
      <c r="D354" s="1092"/>
      <c r="E354" s="1092" t="s">
        <v>2981</v>
      </c>
      <c r="F354" s="1092" t="s">
        <v>587</v>
      </c>
      <c r="G354" s="1099">
        <v>1</v>
      </c>
      <c r="H354" s="1101">
        <v>20</v>
      </c>
      <c r="I354" s="1101">
        <v>61</v>
      </c>
      <c r="J354" s="1094">
        <v>1</v>
      </c>
      <c r="K354" s="1094">
        <v>1</v>
      </c>
      <c r="L354" s="1094">
        <v>1</v>
      </c>
    </row>
    <row r="355" spans="3:12">
      <c r="C355" s="1092"/>
      <c r="D355" s="1092"/>
      <c r="E355" s="1092" t="s">
        <v>2984</v>
      </c>
      <c r="F355" s="1092" t="s">
        <v>587</v>
      </c>
      <c r="G355" s="1099">
        <v>1</v>
      </c>
      <c r="H355" s="1101">
        <v>18</v>
      </c>
      <c r="I355" s="1101">
        <v>92</v>
      </c>
      <c r="J355" s="1094">
        <v>1</v>
      </c>
      <c r="K355" s="1094">
        <v>1</v>
      </c>
      <c r="L355" s="1094">
        <v>1</v>
      </c>
    </row>
    <row r="356" spans="3:12">
      <c r="C356" s="1092"/>
      <c r="D356" s="1092"/>
      <c r="E356" s="1092" t="s">
        <v>2985</v>
      </c>
      <c r="F356" s="1092" t="s">
        <v>587</v>
      </c>
      <c r="G356" s="1099">
        <v>1</v>
      </c>
      <c r="H356" s="1101">
        <v>7</v>
      </c>
      <c r="I356" s="1101">
        <v>30</v>
      </c>
      <c r="J356" s="1094">
        <v>1</v>
      </c>
      <c r="K356" s="1094">
        <v>1</v>
      </c>
      <c r="L356" s="1094">
        <v>1</v>
      </c>
    </row>
    <row r="357" spans="3:12">
      <c r="C357" s="1092"/>
      <c r="D357" s="1092"/>
      <c r="E357" s="1092" t="s">
        <v>3236</v>
      </c>
      <c r="F357" s="1092" t="s">
        <v>2576</v>
      </c>
      <c r="G357" s="1099">
        <v>1</v>
      </c>
      <c r="H357" s="1101">
        <v>44</v>
      </c>
      <c r="I357" s="1101">
        <v>145</v>
      </c>
      <c r="J357" s="1094">
        <v>1</v>
      </c>
      <c r="K357" s="1094">
        <v>1</v>
      </c>
      <c r="L357" s="1094">
        <v>1</v>
      </c>
    </row>
    <row r="358" spans="3:12">
      <c r="C358" s="1092"/>
      <c r="D358" s="1092"/>
      <c r="E358" s="1092" t="s">
        <v>3237</v>
      </c>
      <c r="F358" s="1092" t="s">
        <v>2576</v>
      </c>
      <c r="G358" s="1099">
        <v>1</v>
      </c>
      <c r="H358" s="1101">
        <v>37</v>
      </c>
      <c r="I358" s="1101">
        <v>114</v>
      </c>
      <c r="J358" s="1094">
        <v>1</v>
      </c>
      <c r="K358" s="1094">
        <v>1</v>
      </c>
      <c r="L358" s="1094">
        <v>1</v>
      </c>
    </row>
    <row r="359" spans="3:12">
      <c r="C359" s="1092"/>
      <c r="D359" s="1092" t="s">
        <v>958</v>
      </c>
      <c r="E359" s="1092" t="s">
        <v>2571</v>
      </c>
      <c r="F359" s="1092" t="s">
        <v>587</v>
      </c>
      <c r="G359" s="1099">
        <v>1</v>
      </c>
      <c r="H359" s="1101">
        <v>34</v>
      </c>
      <c r="I359" s="1101">
        <v>170</v>
      </c>
      <c r="J359" s="1094">
        <v>1</v>
      </c>
      <c r="K359" s="1094">
        <v>1</v>
      </c>
      <c r="L359" s="1094">
        <v>1</v>
      </c>
    </row>
    <row r="360" spans="3:12">
      <c r="C360" s="1092"/>
      <c r="D360" s="1092"/>
      <c r="E360" s="1092" t="s">
        <v>2574</v>
      </c>
      <c r="F360" s="1092" t="s">
        <v>2866</v>
      </c>
      <c r="G360" s="1099">
        <v>1</v>
      </c>
      <c r="H360" s="1101">
        <v>219</v>
      </c>
      <c r="I360" s="1101">
        <v>653</v>
      </c>
      <c r="J360" s="1094">
        <v>1</v>
      </c>
      <c r="K360" s="1094">
        <v>1</v>
      </c>
      <c r="L360" s="1094">
        <v>1</v>
      </c>
    </row>
    <row r="361" spans="3:12">
      <c r="C361" s="1092"/>
      <c r="D361" s="1092"/>
      <c r="E361" s="1092" t="s">
        <v>2573</v>
      </c>
      <c r="F361" s="1092" t="s">
        <v>2866</v>
      </c>
      <c r="G361" s="1099">
        <v>1</v>
      </c>
      <c r="H361" s="1101">
        <v>657</v>
      </c>
      <c r="I361" s="1101">
        <v>2786</v>
      </c>
      <c r="J361" s="1094">
        <v>1</v>
      </c>
      <c r="K361" s="1094">
        <v>1</v>
      </c>
      <c r="L361" s="1094">
        <v>1</v>
      </c>
    </row>
    <row r="362" spans="3:12">
      <c r="C362" s="1092"/>
      <c r="D362" s="1092" t="s">
        <v>955</v>
      </c>
      <c r="E362" s="1092" t="s">
        <v>2646</v>
      </c>
      <c r="F362" s="1092" t="s">
        <v>2576</v>
      </c>
      <c r="G362" s="1099">
        <v>1</v>
      </c>
      <c r="H362" s="1101">
        <v>142</v>
      </c>
      <c r="I362" s="1101">
        <v>504</v>
      </c>
      <c r="J362" s="1094">
        <v>1</v>
      </c>
      <c r="K362" s="1094">
        <v>1</v>
      </c>
      <c r="L362" s="1094">
        <v>1</v>
      </c>
    </row>
    <row r="363" spans="3:12">
      <c r="C363" s="1092"/>
      <c r="D363" s="1092"/>
      <c r="E363" s="1092" t="s">
        <v>2842</v>
      </c>
      <c r="F363" s="1092" t="s">
        <v>587</v>
      </c>
      <c r="G363" s="1099">
        <v>1</v>
      </c>
      <c r="H363" s="1101">
        <v>11</v>
      </c>
      <c r="I363" s="1101">
        <v>40</v>
      </c>
      <c r="J363" s="1094">
        <v>1</v>
      </c>
      <c r="K363" s="1094">
        <v>0</v>
      </c>
      <c r="L363" s="1094">
        <v>1</v>
      </c>
    </row>
    <row r="364" spans="3:12">
      <c r="C364" s="1092"/>
      <c r="D364" s="1092"/>
      <c r="E364" s="1092" t="s">
        <v>2843</v>
      </c>
      <c r="F364" s="1092" t="s">
        <v>587</v>
      </c>
      <c r="G364" s="1099">
        <v>1</v>
      </c>
      <c r="H364" s="1101">
        <v>9</v>
      </c>
      <c r="I364" s="1101">
        <v>28</v>
      </c>
      <c r="J364" s="1094">
        <v>1</v>
      </c>
      <c r="K364" s="1094">
        <v>0</v>
      </c>
      <c r="L364" s="1094">
        <v>1</v>
      </c>
    </row>
    <row r="365" spans="3:12">
      <c r="C365" s="1092"/>
      <c r="D365" s="1092"/>
      <c r="E365" s="1092" t="s">
        <v>2844</v>
      </c>
      <c r="F365" s="1092" t="s">
        <v>587</v>
      </c>
      <c r="G365" s="1099">
        <v>1</v>
      </c>
      <c r="H365" s="1101">
        <v>14</v>
      </c>
      <c r="I365" s="1101">
        <v>31</v>
      </c>
      <c r="J365" s="1094">
        <v>1</v>
      </c>
      <c r="K365" s="1094">
        <v>0</v>
      </c>
      <c r="L365" s="1094">
        <v>1</v>
      </c>
    </row>
    <row r="366" spans="3:12">
      <c r="C366" s="1092"/>
      <c r="D366" s="1092"/>
      <c r="E366" s="1092" t="s">
        <v>2846</v>
      </c>
      <c r="F366" s="1092" t="s">
        <v>587</v>
      </c>
      <c r="G366" s="1099">
        <v>1</v>
      </c>
      <c r="H366" s="1101">
        <v>12</v>
      </c>
      <c r="I366" s="1101">
        <v>26</v>
      </c>
      <c r="J366" s="1094">
        <v>0</v>
      </c>
      <c r="K366" s="1094">
        <v>0</v>
      </c>
      <c r="L366" s="1094">
        <v>1</v>
      </c>
    </row>
    <row r="367" spans="3:12">
      <c r="C367" s="1092" t="s">
        <v>2081</v>
      </c>
      <c r="D367" s="1092"/>
      <c r="E367" s="1092"/>
      <c r="F367" s="1092"/>
      <c r="G367" s="1099">
        <v>17</v>
      </c>
      <c r="H367" s="1101">
        <v>1349</v>
      </c>
      <c r="I367" s="1101">
        <v>5164</v>
      </c>
      <c r="J367" s="1094">
        <v>0.94117647058823528</v>
      </c>
      <c r="K367" s="1094">
        <v>0.76470588235294112</v>
      </c>
      <c r="L367" s="1094">
        <v>1</v>
      </c>
    </row>
    <row r="368" spans="3:12" ht="15.5">
      <c r="C368"/>
      <c r="D368"/>
      <c r="E368"/>
      <c r="F368"/>
      <c r="G368"/>
      <c r="H368"/>
      <c r="I368"/>
      <c r="J368"/>
      <c r="K368"/>
      <c r="L368"/>
    </row>
    <row r="369" spans="1:25" ht="15.5">
      <c r="C369"/>
      <c r="D369"/>
      <c r="E369"/>
      <c r="F369"/>
      <c r="G369"/>
      <c r="H369"/>
      <c r="I369"/>
      <c r="J369"/>
      <c r="K369"/>
      <c r="L369"/>
    </row>
    <row r="370" spans="1:25" ht="15.5">
      <c r="C370"/>
      <c r="D370"/>
      <c r="E370"/>
      <c r="F370"/>
      <c r="G370"/>
      <c r="H370"/>
      <c r="I370"/>
      <c r="J370"/>
      <c r="K370"/>
      <c r="L370"/>
    </row>
    <row r="371" spans="1:25">
      <c r="C371" s="100"/>
      <c r="D371" s="100"/>
      <c r="E371" s="100"/>
      <c r="F371" s="100"/>
      <c r="G371" s="100"/>
      <c r="H371" s="100"/>
      <c r="I371" s="100"/>
      <c r="J371" s="100"/>
      <c r="K371" s="100"/>
    </row>
    <row r="372" spans="1:25">
      <c r="C372" s="100"/>
      <c r="D372" s="100"/>
      <c r="E372" s="100"/>
      <c r="F372" s="100"/>
      <c r="G372" s="100"/>
      <c r="H372" s="100"/>
      <c r="I372" s="100"/>
      <c r="J372" s="100"/>
      <c r="K372" s="100"/>
    </row>
    <row r="373" spans="1:25" ht="18.5">
      <c r="A373" s="149" t="s">
        <v>1513</v>
      </c>
      <c r="B373" s="113"/>
      <c r="C373" s="113"/>
      <c r="D373" s="113"/>
      <c r="E373" s="113"/>
      <c r="F373" s="113"/>
      <c r="G373" s="113"/>
      <c r="H373" s="113"/>
      <c r="I373" s="113"/>
      <c r="J373" s="113"/>
      <c r="K373" s="113"/>
      <c r="L373" s="113"/>
      <c r="M373" s="113"/>
      <c r="N373" s="113"/>
      <c r="O373" s="113"/>
      <c r="P373" s="113"/>
      <c r="Q373" s="113"/>
      <c r="R373" s="113"/>
      <c r="S373" s="113"/>
      <c r="T373" s="113"/>
      <c r="U373" s="113"/>
      <c r="V373" s="113"/>
      <c r="W373" s="113"/>
      <c r="X373" s="113"/>
      <c r="Y373" s="113"/>
    </row>
    <row r="374" spans="1:25">
      <c r="C374" s="1091" t="s">
        <v>20</v>
      </c>
      <c r="D374" s="1092" t="s">
        <v>2962</v>
      </c>
      <c r="E374" s="100"/>
      <c r="F374" s="100"/>
      <c r="G374" s="100"/>
      <c r="H374" s="100"/>
      <c r="I374" s="100"/>
      <c r="J374" s="100"/>
      <c r="K374" s="100"/>
    </row>
    <row r="375" spans="1:25">
      <c r="C375" s="1091" t="s">
        <v>34</v>
      </c>
      <c r="D375" s="1092" t="s">
        <v>34</v>
      </c>
      <c r="F375" s="100"/>
      <c r="G375" s="100"/>
      <c r="H375" s="100"/>
      <c r="I375" s="100"/>
      <c r="J375" s="100"/>
      <c r="K375" s="100"/>
    </row>
    <row r="376" spans="1:25">
      <c r="C376" s="1091" t="s">
        <v>35</v>
      </c>
      <c r="D376" s="1092" t="s">
        <v>1471</v>
      </c>
      <c r="F376" s="100"/>
      <c r="G376" s="100"/>
      <c r="H376" s="100"/>
      <c r="I376" s="100"/>
      <c r="J376" s="100"/>
      <c r="K376" s="100"/>
    </row>
    <row r="377" spans="1:25">
      <c r="C377" s="398"/>
      <c r="F377" s="100"/>
      <c r="G377" s="100"/>
      <c r="H377" s="100"/>
      <c r="I377" s="100"/>
      <c r="J377" s="100"/>
      <c r="K377" s="100"/>
    </row>
    <row r="378" spans="1:25" s="388" customFormat="1" ht="87">
      <c r="C378" s="1096" t="s">
        <v>21</v>
      </c>
      <c r="D378" s="1107" t="s">
        <v>2785</v>
      </c>
      <c r="E378" s="1107" t="s">
        <v>2118</v>
      </c>
      <c r="F378" s="1107" t="s">
        <v>2119</v>
      </c>
      <c r="G378" s="1107" t="s">
        <v>2786</v>
      </c>
      <c r="H378" s="1107" t="s">
        <v>2784</v>
      </c>
      <c r="I378" s="1107" t="s">
        <v>2348</v>
      </c>
      <c r="J378" s="390"/>
      <c r="K378" s="390"/>
    </row>
    <row r="379" spans="1:25">
      <c r="C379" s="1093" t="s">
        <v>37</v>
      </c>
      <c r="D379" s="1101"/>
      <c r="E379" s="1101">
        <v>66</v>
      </c>
      <c r="F379" s="1101">
        <v>85</v>
      </c>
      <c r="G379" s="1101">
        <v>61</v>
      </c>
      <c r="H379" s="1101">
        <v>7</v>
      </c>
      <c r="I379" s="1101">
        <v>17.5</v>
      </c>
      <c r="J379" s="100"/>
      <c r="K379" s="100"/>
    </row>
    <row r="380" spans="1:25">
      <c r="C380" s="1093" t="s">
        <v>515</v>
      </c>
      <c r="D380" s="1101"/>
      <c r="E380" s="1101"/>
      <c r="F380" s="1101">
        <v>19</v>
      </c>
      <c r="G380" s="1101">
        <v>6</v>
      </c>
      <c r="H380" s="1101"/>
      <c r="I380" s="1101"/>
      <c r="J380" s="100"/>
      <c r="K380" s="100"/>
    </row>
    <row r="381" spans="1:25" ht="15.5">
      <c r="C381"/>
      <c r="D381"/>
      <c r="E381"/>
      <c r="F381"/>
      <c r="G381"/>
      <c r="H381"/>
      <c r="I381"/>
      <c r="J381" s="100"/>
      <c r="K381" s="100"/>
    </row>
    <row r="382" spans="1:25" ht="15.5">
      <c r="C382"/>
      <c r="D382"/>
      <c r="E382"/>
      <c r="F382"/>
      <c r="G382"/>
      <c r="H382"/>
      <c r="I382"/>
      <c r="J382" s="100"/>
      <c r="K382" s="100"/>
    </row>
    <row r="383" spans="1:25" ht="15" thickBot="1">
      <c r="C383" s="399"/>
      <c r="D383" s="100"/>
      <c r="E383" s="100"/>
      <c r="F383" s="100"/>
      <c r="G383" s="100"/>
      <c r="H383" s="100"/>
      <c r="I383" s="100"/>
      <c r="J383" s="100"/>
      <c r="K383" s="100"/>
    </row>
    <row r="384" spans="1:25" s="388" customFormat="1" ht="73" thickBot="1">
      <c r="C384" s="389" t="s">
        <v>21</v>
      </c>
      <c r="D384" s="385" t="s">
        <v>2347</v>
      </c>
      <c r="E384" s="385" t="s">
        <v>2120</v>
      </c>
      <c r="F384" s="385" t="s">
        <v>2782</v>
      </c>
      <c r="G384" s="385" t="s">
        <v>2783</v>
      </c>
      <c r="H384" s="385" t="s">
        <v>2787</v>
      </c>
      <c r="I384" s="386" t="s">
        <v>2788</v>
      </c>
      <c r="J384" s="390"/>
    </row>
    <row r="385" spans="3:11">
      <c r="C385" s="114" t="s">
        <v>37</v>
      </c>
      <c r="D385" s="755">
        <f>GETPIVOTDATA(" # of hand washing stations with soap in TLS",$C$378,"State","Kachin")</f>
        <v>85</v>
      </c>
      <c r="E385" s="755">
        <f>GETPIVOTDATA(" #_Hygiene Promotion activities (sessions) in TLS?",$C$378,"State","Kachin")</f>
        <v>66</v>
      </c>
      <c r="F385" s="755">
        <f>GETPIVOTDATA("  functional latrines in TLS/CFS supported by WASH partners during the reporting period",$C$378,"State","Kachin")</f>
        <v>0</v>
      </c>
      <c r="G385" s="755">
        <f>GETPIVOTDATA(" #_of water points in TLS/CFS",$C$378,"State","Kachin")</f>
        <v>61</v>
      </c>
      <c r="H385" s="755">
        <f>GETPIVOTDATA("Sum of #_of water points in THF",$C$378,"State","Kachin")</f>
        <v>7</v>
      </c>
      <c r="I385" s="755">
        <f>GETPIVOTDATA("Sum of # of functional latrines in THF supported by WASH partners during the reporting period2",$C$378,"State","Kachin")</f>
        <v>17.5</v>
      </c>
      <c r="J385" s="100"/>
    </row>
    <row r="386" spans="3:11">
      <c r="C386" s="114" t="s">
        <v>515</v>
      </c>
      <c r="D386" s="756">
        <f>GETPIVOTDATA(" # of hand washing stations with soap in TLS",$C$378,"State","Shan (North)")</f>
        <v>19</v>
      </c>
      <c r="E386" s="756">
        <f>GETPIVOTDATA(" #_Hygiene Promotion activities (sessions) in TLS?",$C$378,"State","Shan (North)")</f>
        <v>0</v>
      </c>
      <c r="F386" s="756">
        <f>GETPIVOTDATA("  functional latrines in TLS/CFS supported by WASH partners during the reporting period",$C$378,"State","Shan (North)")</f>
        <v>0</v>
      </c>
      <c r="G386" s="756">
        <f>GETPIVOTDATA(" #_of water points in TLS/CFS",$C$378,"State","Shan (North)")</f>
        <v>6</v>
      </c>
      <c r="H386" s="756">
        <f>GETPIVOTDATA("Sum of #_of water points in THF",$C$378,"State","Shan (North)")</f>
        <v>0</v>
      </c>
      <c r="I386" s="757">
        <f>GETPIVOTDATA("Sum of # of functional latrines in THF supported by WASH partners during the reporting period2",$C$378,"State","Shan (North)")</f>
        <v>0</v>
      </c>
      <c r="J386" s="100"/>
    </row>
    <row r="387" spans="3:11">
      <c r="C387" s="100"/>
      <c r="D387" s="100"/>
      <c r="E387" s="100"/>
      <c r="F387" s="100"/>
      <c r="G387" s="100"/>
      <c r="H387" s="100"/>
      <c r="I387" s="100"/>
      <c r="J387" s="100"/>
      <c r="K387" s="100"/>
    </row>
    <row r="388" spans="3:11">
      <c r="C388" s="100"/>
      <c r="D388" s="100"/>
      <c r="E388" s="100"/>
      <c r="F388" s="100"/>
      <c r="G388" s="100"/>
      <c r="H388" s="100"/>
      <c r="I388" s="100"/>
      <c r="J388" s="100"/>
      <c r="K388" s="100"/>
    </row>
    <row r="389" spans="3:11">
      <c r="C389" s="100"/>
      <c r="D389" s="100"/>
      <c r="E389" s="100"/>
      <c r="F389" s="100"/>
      <c r="G389" s="100"/>
      <c r="H389" s="100"/>
      <c r="I389" s="100"/>
      <c r="J389" s="100"/>
      <c r="K389" s="100"/>
    </row>
    <row r="390" spans="3:11">
      <c r="C390" s="100"/>
      <c r="D390" s="100"/>
      <c r="E390" s="100"/>
      <c r="F390" s="100"/>
      <c r="G390" s="100"/>
      <c r="H390" s="100"/>
      <c r="I390" s="100"/>
      <c r="J390" s="100"/>
      <c r="K390" s="100"/>
    </row>
    <row r="391" spans="3:11">
      <c r="C391" s="100"/>
      <c r="D391" s="100"/>
      <c r="E391" s="100"/>
      <c r="F391" s="100"/>
      <c r="G391" s="100"/>
      <c r="H391" s="100"/>
      <c r="I391" s="100"/>
      <c r="J391" s="100"/>
      <c r="K391" s="100"/>
    </row>
    <row r="392" spans="3:11">
      <c r="C392" s="100"/>
      <c r="D392" s="100"/>
      <c r="E392" s="100"/>
      <c r="F392" s="100"/>
      <c r="G392" s="100"/>
      <c r="H392" s="100"/>
      <c r="I392" s="100"/>
      <c r="J392" s="100"/>
      <c r="K392" s="100"/>
    </row>
    <row r="393" spans="3:11">
      <c r="C393" s="100"/>
      <c r="D393" s="100"/>
      <c r="E393" s="100"/>
      <c r="F393" s="100"/>
      <c r="G393" s="100"/>
      <c r="H393" s="100"/>
      <c r="I393" s="100"/>
      <c r="J393" s="100"/>
      <c r="K393" s="100"/>
    </row>
    <row r="394" spans="3:11">
      <c r="C394" s="100"/>
      <c r="D394" s="100"/>
      <c r="E394" s="100"/>
      <c r="F394" s="100"/>
      <c r="G394" s="100"/>
      <c r="H394" s="100"/>
      <c r="I394" s="100"/>
      <c r="J394" s="100"/>
      <c r="K394" s="100"/>
    </row>
    <row r="395" spans="3:11">
      <c r="C395" s="100"/>
      <c r="D395" s="100"/>
      <c r="E395" s="100"/>
      <c r="F395" s="100"/>
      <c r="G395" s="100"/>
      <c r="H395" s="100"/>
      <c r="I395" s="100"/>
      <c r="J395" s="100"/>
      <c r="K395" s="100"/>
    </row>
    <row r="396" spans="3:11">
      <c r="C396" s="100"/>
      <c r="D396" s="100"/>
      <c r="E396" s="100"/>
      <c r="F396" s="100"/>
      <c r="G396" s="100"/>
      <c r="H396" s="100"/>
      <c r="I396" s="100"/>
      <c r="J396" s="100"/>
      <c r="K396" s="100"/>
    </row>
    <row r="397" spans="3:11">
      <c r="C397" s="100"/>
      <c r="D397" s="100"/>
      <c r="E397" s="100"/>
      <c r="F397" s="100"/>
      <c r="G397" s="100"/>
      <c r="H397" s="100"/>
      <c r="I397" s="100"/>
      <c r="J397" s="100"/>
      <c r="K397" s="100"/>
    </row>
    <row r="398" spans="3:11">
      <c r="C398" s="100"/>
      <c r="D398" s="100"/>
      <c r="E398" s="100"/>
      <c r="F398" s="100"/>
      <c r="G398" s="100"/>
      <c r="H398" s="100"/>
      <c r="I398" s="100"/>
      <c r="J398" s="100"/>
      <c r="K398" s="100"/>
    </row>
    <row r="399" spans="3:11">
      <c r="C399" s="100"/>
      <c r="D399" s="100"/>
      <c r="E399" s="100"/>
      <c r="F399" s="100"/>
      <c r="G399" s="100"/>
      <c r="H399" s="100"/>
      <c r="I399" s="100"/>
      <c r="J399" s="100"/>
      <c r="K399" s="100"/>
    </row>
    <row r="400" spans="3:11">
      <c r="C400" s="100"/>
      <c r="D400" s="100"/>
      <c r="E400" s="100"/>
      <c r="F400" s="100"/>
      <c r="G400" s="100"/>
      <c r="H400" s="100"/>
      <c r="I400" s="100"/>
      <c r="J400" s="100"/>
      <c r="K400" s="100"/>
    </row>
    <row r="401" spans="1:42">
      <c r="C401" s="100"/>
      <c r="D401" s="100"/>
      <c r="E401" s="100"/>
      <c r="F401" s="100"/>
      <c r="G401" s="100"/>
      <c r="H401" s="100"/>
      <c r="I401" s="100"/>
      <c r="J401" s="100"/>
      <c r="K401" s="100"/>
    </row>
    <row r="402" spans="1:42">
      <c r="C402" s="100"/>
      <c r="D402" s="100"/>
      <c r="E402" s="100"/>
      <c r="F402" s="100"/>
      <c r="G402" s="100"/>
      <c r="H402" s="100"/>
      <c r="I402" s="100"/>
      <c r="J402" s="100"/>
      <c r="K402" s="100"/>
    </row>
    <row r="403" spans="1:42">
      <c r="C403" s="100"/>
      <c r="D403" s="100"/>
      <c r="E403" s="100"/>
      <c r="F403" s="100"/>
      <c r="G403" s="100"/>
      <c r="H403" s="100"/>
      <c r="I403" s="100"/>
      <c r="J403" s="100"/>
      <c r="K403" s="100"/>
    </row>
    <row r="404" spans="1:42">
      <c r="C404" s="100"/>
      <c r="D404" s="100"/>
      <c r="E404" s="100"/>
      <c r="F404" s="100"/>
      <c r="G404" s="100"/>
      <c r="H404" s="100"/>
      <c r="I404" s="100"/>
      <c r="J404" s="100"/>
      <c r="K404" s="100"/>
    </row>
    <row r="405" spans="1:42">
      <c r="C405" s="100"/>
      <c r="D405" s="100"/>
      <c r="E405" s="100"/>
      <c r="F405" s="100"/>
      <c r="G405" s="100"/>
      <c r="H405" s="100"/>
      <c r="I405" s="100"/>
      <c r="J405" s="100"/>
      <c r="K405" s="100"/>
    </row>
    <row r="406" spans="1:42" s="489" customFormat="1" ht="18.5">
      <c r="A406" s="487" t="s">
        <v>2215</v>
      </c>
      <c r="B406" s="488"/>
      <c r="C406" s="488"/>
      <c r="D406" s="488"/>
      <c r="E406" s="488"/>
      <c r="F406" s="488"/>
      <c r="G406" s="488"/>
      <c r="H406" s="488"/>
      <c r="I406" s="488"/>
      <c r="J406" s="488"/>
      <c r="K406" s="488"/>
      <c r="L406" s="488"/>
      <c r="M406" s="488"/>
      <c r="N406" s="488"/>
      <c r="O406" s="488"/>
      <c r="P406" s="488"/>
      <c r="Q406" s="488"/>
      <c r="R406" s="488"/>
      <c r="S406" s="488"/>
      <c r="T406" s="488"/>
      <c r="U406" s="488"/>
      <c r="V406" s="488"/>
      <c r="W406" s="488"/>
      <c r="X406" s="488"/>
      <c r="Y406" s="488"/>
    </row>
    <row r="407" spans="1:42">
      <c r="C407" s="1091" t="s">
        <v>34</v>
      </c>
      <c r="D407" s="1092" t="s">
        <v>34</v>
      </c>
      <c r="E407" s="100"/>
      <c r="F407" s="100"/>
      <c r="G407" s="100"/>
      <c r="H407" s="100"/>
      <c r="I407" s="100"/>
      <c r="J407" s="100"/>
      <c r="K407" s="100"/>
    </row>
    <row r="408" spans="1:42">
      <c r="C408" s="1091" t="s">
        <v>134</v>
      </c>
      <c r="D408" s="1092" t="s">
        <v>1471</v>
      </c>
      <c r="E408" s="100"/>
      <c r="F408" s="100"/>
      <c r="G408" s="100"/>
      <c r="H408" s="100"/>
      <c r="I408" s="100"/>
      <c r="J408" s="100"/>
      <c r="K408" s="100"/>
    </row>
    <row r="409" spans="1:42">
      <c r="C409" s="1091" t="s">
        <v>21</v>
      </c>
      <c r="D409" s="1092" t="s">
        <v>37</v>
      </c>
      <c r="F409" s="100"/>
      <c r="G409" s="100"/>
      <c r="H409" s="100"/>
      <c r="I409" s="100"/>
      <c r="J409" s="100"/>
      <c r="K409" s="100"/>
    </row>
    <row r="410" spans="1:42">
      <c r="C410" s="1091" t="s">
        <v>35</v>
      </c>
      <c r="D410" s="1092" t="s">
        <v>1471</v>
      </c>
      <c r="F410" s="100"/>
      <c r="G410" s="100"/>
      <c r="H410" s="100"/>
      <c r="I410" s="100"/>
      <c r="J410" s="100"/>
      <c r="K410" s="100"/>
    </row>
    <row r="411" spans="1:42">
      <c r="F411" s="100"/>
      <c r="G411" s="100"/>
      <c r="H411" s="100"/>
      <c r="I411" s="100"/>
      <c r="J411" s="100"/>
      <c r="K411" s="100"/>
    </row>
    <row r="412" spans="1:42" ht="15.5">
      <c r="C412" s="1092"/>
      <c r="D412" s="1091" t="s">
        <v>1472</v>
      </c>
      <c r="E412" s="1092"/>
      <c r="F412"/>
      <c r="G412"/>
      <c r="H412" s="100"/>
      <c r="I412" s="100"/>
      <c r="J412" s="100"/>
      <c r="K412" s="100"/>
    </row>
    <row r="413" spans="1:42" ht="15.5">
      <c r="C413" s="1091" t="s">
        <v>1473</v>
      </c>
      <c r="D413" s="1092" t="s">
        <v>2961</v>
      </c>
      <c r="E413" s="1092" t="s">
        <v>2962</v>
      </c>
      <c r="F413"/>
      <c r="G413"/>
      <c r="H413" s="490"/>
      <c r="I413" s="490"/>
      <c r="J413" s="490"/>
      <c r="K413" s="490"/>
      <c r="L413" s="372"/>
      <c r="M413" s="372"/>
      <c r="N413" s="372"/>
      <c r="O413" s="372"/>
      <c r="P413" s="372"/>
      <c r="Q413" s="372"/>
      <c r="R413" s="372"/>
      <c r="S413" s="372"/>
      <c r="T413" s="372"/>
      <c r="U413" s="372"/>
      <c r="V413" s="372"/>
      <c r="W413" s="372"/>
      <c r="X413" s="372"/>
      <c r="Y413" s="372"/>
      <c r="Z413" s="372"/>
      <c r="AA413" s="372"/>
      <c r="AB413" s="372"/>
      <c r="AC413" s="372"/>
      <c r="AD413" s="372"/>
      <c r="AE413" s="372"/>
      <c r="AF413" s="372"/>
      <c r="AG413" s="372"/>
      <c r="AH413" s="372"/>
      <c r="AI413" s="372"/>
      <c r="AJ413" s="372"/>
      <c r="AK413" s="372"/>
      <c r="AL413" s="372"/>
      <c r="AM413" s="372"/>
      <c r="AN413" s="372"/>
      <c r="AO413" s="372"/>
      <c r="AP413" s="372"/>
    </row>
    <row r="414" spans="1:42" ht="15.5">
      <c r="C414" s="1093" t="s">
        <v>2219</v>
      </c>
      <c r="D414" s="1094">
        <v>0.86780487804878048</v>
      </c>
      <c r="E414" s="1094">
        <v>0.87361111111111123</v>
      </c>
      <c r="F414"/>
      <c r="G414"/>
      <c r="H414" s="687">
        <f>AVERAGE(D414:G414)</f>
        <v>0.87070799457994585</v>
      </c>
      <c r="I414" s="100"/>
      <c r="J414" s="100"/>
      <c r="K414" s="100"/>
    </row>
    <row r="415" spans="1:42" ht="15.5">
      <c r="C415" s="1093" t="s">
        <v>2220</v>
      </c>
      <c r="D415" s="1094">
        <v>0.85649999999999982</v>
      </c>
      <c r="E415" s="1094">
        <v>0.8471428571428572</v>
      </c>
      <c r="F415"/>
      <c r="G415"/>
      <c r="H415" s="687">
        <f>AVERAGE(D415:G415)</f>
        <v>0.85182142857142851</v>
      </c>
      <c r="I415" s="100"/>
      <c r="J415" s="100"/>
      <c r="K415" s="100"/>
    </row>
    <row r="416" spans="1:42" ht="15.5">
      <c r="C416" s="1093" t="s">
        <v>2221</v>
      </c>
      <c r="D416" s="1094">
        <v>0.82594594594594573</v>
      </c>
      <c r="E416" s="1094">
        <v>0.84117647058823519</v>
      </c>
      <c r="F416"/>
      <c r="G416"/>
      <c r="H416" s="687">
        <f>AVERAGE(D416:G416)</f>
        <v>0.83356120826709046</v>
      </c>
      <c r="I416" s="100"/>
      <c r="J416" s="100"/>
      <c r="K416" s="100"/>
    </row>
    <row r="417" spans="3:11" ht="15.5">
      <c r="C417" s="1093" t="s">
        <v>2236</v>
      </c>
      <c r="D417" s="1094">
        <v>8.800912246350269E-2</v>
      </c>
      <c r="E417" s="1094">
        <v>5.6505945076168462E-2</v>
      </c>
      <c r="F417"/>
      <c r="G417"/>
      <c r="H417" s="687">
        <f>AVERAGE(E417:G417)</f>
        <v>5.6505945076168462E-2</v>
      </c>
      <c r="I417" s="100"/>
      <c r="J417" s="100"/>
      <c r="K417" s="100"/>
    </row>
    <row r="418" spans="3:11">
      <c r="C418" s="100"/>
      <c r="D418" s="100"/>
      <c r="E418" s="100"/>
      <c r="F418" s="100"/>
      <c r="G418" s="100"/>
      <c r="H418" s="100"/>
      <c r="I418" s="100"/>
      <c r="J418" s="100"/>
      <c r="K418" s="100"/>
    </row>
    <row r="419" spans="3:11">
      <c r="C419" s="100"/>
      <c r="D419" s="100"/>
      <c r="E419" s="100"/>
      <c r="F419" s="100"/>
      <c r="G419" s="100"/>
      <c r="H419" s="100"/>
      <c r="I419" s="100"/>
      <c r="J419" s="100"/>
      <c r="K419" s="100"/>
    </row>
    <row r="420" spans="3:11">
      <c r="C420" s="100"/>
      <c r="D420" s="100"/>
      <c r="E420" s="100"/>
      <c r="F420" s="100"/>
      <c r="G420" s="100"/>
      <c r="H420" s="100"/>
      <c r="I420" s="100"/>
      <c r="J420" s="100"/>
      <c r="K420" s="100"/>
    </row>
    <row r="421" spans="3:11">
      <c r="C421" s="100"/>
      <c r="D421" s="100"/>
      <c r="E421" s="100"/>
      <c r="F421" s="100"/>
      <c r="G421" s="100"/>
      <c r="H421" s="100"/>
      <c r="I421" s="100"/>
      <c r="J421" s="100"/>
      <c r="K421" s="100"/>
    </row>
    <row r="422" spans="3:11">
      <c r="C422" s="780"/>
      <c r="D422" s="780"/>
      <c r="E422" s="100"/>
      <c r="F422" s="100"/>
      <c r="G422" s="100"/>
      <c r="H422" s="100"/>
      <c r="I422" s="100"/>
      <c r="J422" s="100"/>
      <c r="K422" s="100"/>
    </row>
    <row r="423" spans="3:11">
      <c r="C423" s="1091" t="s">
        <v>34</v>
      </c>
      <c r="D423" s="1092" t="s">
        <v>34</v>
      </c>
      <c r="E423" s="100"/>
      <c r="F423" s="100"/>
      <c r="G423" s="100"/>
      <c r="H423" s="100"/>
      <c r="I423" s="100"/>
      <c r="J423" s="100"/>
      <c r="K423" s="100"/>
    </row>
    <row r="424" spans="3:11">
      <c r="C424" s="1091" t="s">
        <v>134</v>
      </c>
      <c r="D424" s="1092" t="s">
        <v>1471</v>
      </c>
      <c r="F424" s="100"/>
      <c r="G424" s="100"/>
      <c r="H424" s="100"/>
      <c r="I424" s="100"/>
      <c r="J424" s="100"/>
      <c r="K424" s="100"/>
    </row>
    <row r="425" spans="3:11">
      <c r="C425" s="1091" t="s">
        <v>21</v>
      </c>
      <c r="D425" s="1092" t="s">
        <v>515</v>
      </c>
      <c r="F425" s="100"/>
      <c r="G425" s="100"/>
      <c r="H425" s="100"/>
      <c r="I425" s="100"/>
      <c r="J425" s="100"/>
      <c r="K425" s="100"/>
    </row>
    <row r="426" spans="3:11">
      <c r="F426" s="100"/>
      <c r="G426" s="100"/>
      <c r="H426" s="100"/>
      <c r="I426" s="100"/>
      <c r="J426" s="100"/>
      <c r="K426" s="100"/>
    </row>
    <row r="427" spans="3:11" ht="15.5">
      <c r="C427" s="1092"/>
      <c r="D427" s="1091" t="s">
        <v>1472</v>
      </c>
      <c r="E427" s="1092"/>
      <c r="F427"/>
      <c r="G427"/>
      <c r="H427" s="490"/>
      <c r="I427" s="490"/>
      <c r="J427" s="490"/>
      <c r="K427" s="490"/>
    </row>
    <row r="428" spans="3:11" ht="15.5">
      <c r="C428" s="1091" t="s">
        <v>1473</v>
      </c>
      <c r="D428" s="1092" t="s">
        <v>2961</v>
      </c>
      <c r="E428" s="1092" t="s">
        <v>2962</v>
      </c>
      <c r="F428"/>
      <c r="G428"/>
      <c r="H428" s="100"/>
      <c r="I428" s="100"/>
      <c r="J428" s="100"/>
      <c r="K428" s="100"/>
    </row>
    <row r="429" spans="3:11" ht="15.5">
      <c r="C429" s="1093" t="s">
        <v>2219</v>
      </c>
      <c r="D429" s="1094"/>
      <c r="E429" s="1094"/>
      <c r="F429"/>
      <c r="G429"/>
      <c r="H429" s="100"/>
      <c r="I429" s="100"/>
      <c r="J429" s="100"/>
      <c r="K429" s="100"/>
    </row>
    <row r="430" spans="3:11" ht="15.5">
      <c r="C430" s="1093" t="s">
        <v>2220</v>
      </c>
      <c r="D430" s="1094"/>
      <c r="E430" s="1094"/>
      <c r="F430"/>
      <c r="G430"/>
      <c r="H430" s="100"/>
      <c r="I430" s="100"/>
      <c r="J430" s="100"/>
      <c r="K430" s="100"/>
    </row>
    <row r="431" spans="3:11" ht="15.5">
      <c r="C431" s="1093" t="s">
        <v>2221</v>
      </c>
      <c r="D431" s="1094"/>
      <c r="E431" s="1094"/>
      <c r="F431"/>
      <c r="G431"/>
      <c r="H431" s="100"/>
      <c r="I431" s="100"/>
      <c r="J431" s="100"/>
      <c r="K431" s="100"/>
    </row>
    <row r="432" spans="3:11" ht="15.5">
      <c r="C432" s="1093" t="s">
        <v>2236</v>
      </c>
      <c r="D432" s="1094" t="e">
        <v>#DIV/0!</v>
      </c>
      <c r="E432" s="1094" t="e">
        <v>#DIV/0!</v>
      </c>
      <c r="F432"/>
      <c r="G432"/>
      <c r="H432" s="100"/>
      <c r="I432" s="100"/>
      <c r="J432" s="100"/>
      <c r="K432" s="100"/>
    </row>
    <row r="433" spans="3:11">
      <c r="C433" s="100"/>
      <c r="D433" s="100"/>
      <c r="E433" s="100"/>
      <c r="F433" s="100"/>
      <c r="G433" s="100"/>
      <c r="H433" s="100"/>
      <c r="I433" s="100"/>
      <c r="J433" s="100"/>
      <c r="K433" s="100"/>
    </row>
    <row r="434" spans="3:11">
      <c r="C434" s="100"/>
      <c r="D434" s="100"/>
      <c r="E434" s="100"/>
      <c r="F434" s="100"/>
      <c r="G434" s="100"/>
      <c r="H434" s="100"/>
      <c r="I434" s="100"/>
      <c r="J434" s="100"/>
      <c r="K434" s="100"/>
    </row>
    <row r="435" spans="3:11">
      <c r="C435" s="100"/>
      <c r="D435" s="100"/>
      <c r="E435" s="100"/>
      <c r="F435" s="100"/>
      <c r="G435" s="100"/>
      <c r="H435" s="100"/>
      <c r="I435" s="100"/>
      <c r="J435" s="100"/>
      <c r="K435" s="100"/>
    </row>
    <row r="436" spans="3:11" ht="15.5">
      <c r="C436"/>
      <c r="D436"/>
      <c r="E436" s="100"/>
      <c r="F436" s="100"/>
      <c r="G436" s="100"/>
      <c r="H436" s="100"/>
      <c r="I436" s="100"/>
      <c r="J436" s="100"/>
      <c r="K436" s="100"/>
    </row>
    <row r="437" spans="3:11">
      <c r="C437" s="1091" t="s">
        <v>34</v>
      </c>
      <c r="D437" s="1092" t="s">
        <v>34</v>
      </c>
      <c r="E437" s="100"/>
      <c r="F437" s="100"/>
      <c r="G437" s="100"/>
      <c r="H437" s="100"/>
      <c r="I437" s="100"/>
      <c r="J437" s="100"/>
      <c r="K437" s="100"/>
    </row>
    <row r="438" spans="3:11">
      <c r="C438" s="1091" t="s">
        <v>134</v>
      </c>
      <c r="D438" s="1092" t="s">
        <v>1471</v>
      </c>
      <c r="F438" s="100"/>
      <c r="G438" s="100"/>
      <c r="H438" s="100"/>
      <c r="I438" s="100"/>
      <c r="J438" s="100"/>
      <c r="K438" s="100"/>
    </row>
    <row r="439" spans="3:11">
      <c r="C439" s="1091" t="s">
        <v>35</v>
      </c>
      <c r="D439" s="1092" t="s">
        <v>1471</v>
      </c>
      <c r="F439" s="100"/>
      <c r="G439" s="100"/>
      <c r="H439" s="100"/>
      <c r="I439" s="100"/>
      <c r="J439" s="100"/>
      <c r="K439" s="100"/>
    </row>
    <row r="440" spans="3:11">
      <c r="F440" s="100"/>
      <c r="G440" s="100"/>
      <c r="H440" s="100"/>
      <c r="I440" s="100"/>
      <c r="J440" s="100"/>
      <c r="K440" s="100"/>
    </row>
    <row r="441" spans="3:11" ht="15.5">
      <c r="C441" s="1092"/>
      <c r="D441" s="1092"/>
      <c r="E441" s="1091" t="s">
        <v>20</v>
      </c>
      <c r="F441" s="1092"/>
      <c r="G441"/>
      <c r="H441"/>
      <c r="I441" s="490"/>
      <c r="J441" s="490"/>
      <c r="K441" s="490"/>
    </row>
    <row r="442" spans="3:11" ht="15.5">
      <c r="C442" s="1091" t="s">
        <v>21</v>
      </c>
      <c r="D442" s="1091" t="s">
        <v>1473</v>
      </c>
      <c r="E442" s="1092" t="s">
        <v>2961</v>
      </c>
      <c r="F442" s="1092" t="s">
        <v>2962</v>
      </c>
      <c r="G442"/>
      <c r="H442"/>
      <c r="I442" s="100"/>
      <c r="J442" s="100"/>
      <c r="K442" s="100"/>
    </row>
    <row r="443" spans="3:11" ht="15.5">
      <c r="C443" s="1092" t="s">
        <v>37</v>
      </c>
      <c r="D443" s="1092" t="s">
        <v>2216</v>
      </c>
      <c r="E443" s="1094">
        <v>0.86780487804878048</v>
      </c>
      <c r="F443" s="1094">
        <v>0.87361111111111134</v>
      </c>
      <c r="G443"/>
      <c r="H443"/>
      <c r="I443" s="687"/>
      <c r="J443" s="100"/>
      <c r="K443" s="100"/>
    </row>
    <row r="444" spans="3:11" ht="15.5">
      <c r="C444" s="1092"/>
      <c r="D444" s="1092" t="s">
        <v>2217</v>
      </c>
      <c r="E444" s="1094">
        <v>0.85649999999999982</v>
      </c>
      <c r="F444" s="1094">
        <v>0.84714285714285709</v>
      </c>
      <c r="G444"/>
      <c r="H444"/>
      <c r="I444" s="687"/>
      <c r="J444" s="100"/>
      <c r="K444" s="100"/>
    </row>
    <row r="445" spans="3:11" ht="15.5">
      <c r="C445" s="1092"/>
      <c r="D445" s="1092" t="s">
        <v>2218</v>
      </c>
      <c r="E445" s="1094">
        <v>0.82594594594594573</v>
      </c>
      <c r="F445" s="1094">
        <v>0.84117647058823541</v>
      </c>
      <c r="G445"/>
      <c r="H445"/>
      <c r="I445" s="100"/>
      <c r="J445" s="100"/>
      <c r="K445" s="100"/>
    </row>
    <row r="446" spans="3:11" ht="15.5">
      <c r="C446" s="1092"/>
      <c r="D446" s="1092" t="s">
        <v>2235</v>
      </c>
      <c r="E446" s="1094">
        <v>8.800912246350269E-2</v>
      </c>
      <c r="F446" s="1094">
        <v>5.6505945076168455E-2</v>
      </c>
      <c r="G446"/>
      <c r="H446"/>
      <c r="I446" s="100"/>
      <c r="J446" s="100"/>
      <c r="K446" s="100"/>
    </row>
    <row r="447" spans="3:11" ht="15.5">
      <c r="C447" s="1092" t="s">
        <v>515</v>
      </c>
      <c r="D447" s="1092" t="s">
        <v>2216</v>
      </c>
      <c r="E447" s="1094"/>
      <c r="F447" s="1094"/>
      <c r="G447"/>
      <c r="H447"/>
      <c r="I447" s="100"/>
      <c r="J447" s="100"/>
      <c r="K447" s="100"/>
    </row>
    <row r="448" spans="3:11" ht="15.5">
      <c r="C448" s="1092"/>
      <c r="D448" s="1092" t="s">
        <v>2217</v>
      </c>
      <c r="E448" s="1094"/>
      <c r="F448" s="1094"/>
      <c r="G448"/>
      <c r="H448"/>
      <c r="I448" s="100"/>
      <c r="J448" s="100"/>
      <c r="K448" s="100"/>
    </row>
    <row r="449" spans="3:13" ht="15.5">
      <c r="C449" s="1092"/>
      <c r="D449" s="1092" t="s">
        <v>2218</v>
      </c>
      <c r="E449" s="1094"/>
      <c r="F449" s="1094"/>
      <c r="G449"/>
      <c r="H449"/>
      <c r="I449" s="100"/>
      <c r="J449" s="100"/>
      <c r="K449" s="100"/>
    </row>
    <row r="450" spans="3:13" ht="15.5">
      <c r="C450" s="1092"/>
      <c r="D450" s="1092" t="s">
        <v>2235</v>
      </c>
      <c r="E450" s="1094" t="e">
        <v>#DIV/0!</v>
      </c>
      <c r="F450" s="1094" t="e">
        <v>#DIV/0!</v>
      </c>
      <c r="G450"/>
      <c r="H450"/>
      <c r="I450" s="100"/>
      <c r="J450" s="100"/>
      <c r="K450" s="100"/>
    </row>
    <row r="451" spans="3:13" ht="15.5">
      <c r="C451"/>
      <c r="D451"/>
      <c r="E451"/>
      <c r="F451"/>
      <c r="G451"/>
      <c r="H451"/>
      <c r="I451" s="100"/>
      <c r="J451" s="100"/>
      <c r="K451" s="100"/>
    </row>
    <row r="452" spans="3:13" ht="15.5">
      <c r="C452"/>
      <c r="D452"/>
      <c r="E452"/>
      <c r="F452"/>
      <c r="G452"/>
      <c r="H452"/>
      <c r="I452" s="100"/>
      <c r="J452" s="100"/>
      <c r="K452" s="100"/>
    </row>
    <row r="453" spans="3:13" ht="15.5">
      <c r="C453"/>
      <c r="D453"/>
      <c r="E453"/>
      <c r="F453"/>
      <c r="G453"/>
      <c r="H453"/>
      <c r="I453" s="100"/>
      <c r="J453" s="100"/>
      <c r="K453" s="100"/>
    </row>
    <row r="454" spans="3:13" ht="15.5">
      <c r="C454"/>
      <c r="D454"/>
      <c r="E454"/>
      <c r="F454"/>
      <c r="G454"/>
      <c r="H454"/>
      <c r="I454" s="100"/>
      <c r="J454" s="100"/>
      <c r="K454" s="100"/>
    </row>
    <row r="455" spans="3:13" ht="15.5">
      <c r="C455" s="1091" t="s">
        <v>34</v>
      </c>
      <c r="D455" s="1092" t="s">
        <v>34</v>
      </c>
      <c r="E455" s="100"/>
      <c r="F455"/>
      <c r="G455"/>
      <c r="H455" s="100"/>
      <c r="I455" s="100"/>
      <c r="J455" s="100"/>
      <c r="K455" s="100"/>
    </row>
    <row r="456" spans="3:13" ht="15.5">
      <c r="C456" s="1091" t="s">
        <v>134</v>
      </c>
      <c r="D456" s="1092" t="s">
        <v>1471</v>
      </c>
      <c r="F456"/>
      <c r="G456"/>
      <c r="H456" s="100"/>
      <c r="I456" s="100"/>
      <c r="J456" s="100"/>
      <c r="K456" s="100"/>
    </row>
    <row r="457" spans="3:13" ht="15.5">
      <c r="C457" s="1091" t="s">
        <v>35</v>
      </c>
      <c r="D457" s="1092" t="s">
        <v>1471</v>
      </c>
      <c r="F457"/>
      <c r="G457"/>
      <c r="H457" s="100"/>
      <c r="I457" s="100"/>
      <c r="J457" s="100"/>
      <c r="K457" s="100"/>
    </row>
    <row r="458" spans="3:13">
      <c r="F458" s="100"/>
      <c r="G458" s="100"/>
      <c r="H458" s="100"/>
      <c r="I458" s="100"/>
      <c r="J458" s="100"/>
      <c r="K458" s="100"/>
    </row>
    <row r="459" spans="3:13">
      <c r="C459" s="1091" t="s">
        <v>20</v>
      </c>
      <c r="D459" s="1091" t="s">
        <v>21</v>
      </c>
      <c r="E459" s="1091" t="s">
        <v>22</v>
      </c>
      <c r="F459" s="1091" t="s">
        <v>1759</v>
      </c>
      <c r="G459" s="1091" t="s">
        <v>1761</v>
      </c>
      <c r="H459" s="100"/>
      <c r="I459" s="931" t="s">
        <v>20</v>
      </c>
      <c r="J459" s="932" t="s">
        <v>21</v>
      </c>
      <c r="K459" s="932" t="s">
        <v>22</v>
      </c>
      <c r="L459" s="932" t="s">
        <v>1759</v>
      </c>
      <c r="M459" s="935"/>
    </row>
    <row r="460" spans="3:13">
      <c r="C460" s="1092" t="s">
        <v>2961</v>
      </c>
      <c r="D460" s="1092" t="s">
        <v>37</v>
      </c>
      <c r="E460" s="1092" t="s">
        <v>195</v>
      </c>
      <c r="F460" s="1092" t="s">
        <v>192</v>
      </c>
      <c r="G460" s="1092" t="s">
        <v>192</v>
      </c>
      <c r="H460" s="100"/>
      <c r="I460" s="933" t="s">
        <v>2961</v>
      </c>
      <c r="J460" s="934" t="s">
        <v>37</v>
      </c>
      <c r="K460" s="934" t="s">
        <v>195</v>
      </c>
      <c r="L460" s="934" t="s">
        <v>276</v>
      </c>
      <c r="M460" s="936"/>
    </row>
    <row r="461" spans="3:13">
      <c r="C461" s="1092" t="s">
        <v>2961</v>
      </c>
      <c r="D461" s="1092" t="s">
        <v>37</v>
      </c>
      <c r="E461" s="1092" t="s">
        <v>195</v>
      </c>
      <c r="F461" s="1092" t="s">
        <v>242</v>
      </c>
      <c r="G461" s="1092" t="s">
        <v>242</v>
      </c>
      <c r="H461" s="100"/>
      <c r="I461" s="933" t="s">
        <v>2961</v>
      </c>
      <c r="J461" s="934" t="s">
        <v>37</v>
      </c>
      <c r="K461" s="934" t="s">
        <v>146</v>
      </c>
      <c r="L461" s="934" t="s">
        <v>241</v>
      </c>
      <c r="M461" s="936"/>
    </row>
    <row r="462" spans="3:13">
      <c r="C462" s="1092" t="s">
        <v>2961</v>
      </c>
      <c r="D462" s="1092" t="s">
        <v>37</v>
      </c>
      <c r="E462" s="1092" t="s">
        <v>195</v>
      </c>
      <c r="F462" s="1092" t="s">
        <v>276</v>
      </c>
      <c r="G462" s="1092" t="s">
        <v>276</v>
      </c>
      <c r="H462" s="100"/>
      <c r="I462" s="933" t="s">
        <v>2961</v>
      </c>
      <c r="J462" s="934" t="s">
        <v>37</v>
      </c>
      <c r="K462" s="934" t="s">
        <v>148</v>
      </c>
      <c r="L462" s="934" t="s">
        <v>241</v>
      </c>
      <c r="M462" s="936"/>
    </row>
    <row r="463" spans="3:13">
      <c r="C463" s="1092" t="s">
        <v>2961</v>
      </c>
      <c r="D463" s="1092" t="s">
        <v>37</v>
      </c>
      <c r="E463" s="1092" t="s">
        <v>195</v>
      </c>
      <c r="F463" s="1092" t="s">
        <v>3214</v>
      </c>
      <c r="G463" s="1092" t="s">
        <v>3214</v>
      </c>
      <c r="H463" s="100"/>
      <c r="I463" s="933" t="s">
        <v>2961</v>
      </c>
      <c r="J463" s="934" t="s">
        <v>37</v>
      </c>
      <c r="K463" s="934" t="s">
        <v>38</v>
      </c>
      <c r="L463" s="934" t="s">
        <v>141</v>
      </c>
      <c r="M463" s="936"/>
    </row>
    <row r="464" spans="3:13">
      <c r="C464" s="1092" t="s">
        <v>2961</v>
      </c>
      <c r="D464" s="1092" t="s">
        <v>37</v>
      </c>
      <c r="E464" s="1092" t="s">
        <v>146</v>
      </c>
      <c r="F464" s="1092" t="s">
        <v>141</v>
      </c>
      <c r="G464" s="1092" t="s">
        <v>141</v>
      </c>
      <c r="H464" s="100"/>
      <c r="I464" s="933" t="s">
        <v>2961</v>
      </c>
      <c r="J464" s="934" t="s">
        <v>37</v>
      </c>
      <c r="K464" s="934" t="s">
        <v>152</v>
      </c>
      <c r="L464" s="934" t="s">
        <v>241</v>
      </c>
      <c r="M464" s="936"/>
    </row>
    <row r="465" spans="3:13">
      <c r="C465" s="1092" t="s">
        <v>2961</v>
      </c>
      <c r="D465" s="1092" t="s">
        <v>37</v>
      </c>
      <c r="E465" s="1092" t="s">
        <v>146</v>
      </c>
      <c r="F465" s="1092" t="s">
        <v>242</v>
      </c>
      <c r="G465" s="1092" t="s">
        <v>242</v>
      </c>
      <c r="H465" s="100"/>
      <c r="I465" s="933" t="s">
        <v>2961</v>
      </c>
      <c r="J465" s="934" t="s">
        <v>37</v>
      </c>
      <c r="K465" s="934" t="s">
        <v>152</v>
      </c>
      <c r="L465" s="934" t="s">
        <v>3096</v>
      </c>
      <c r="M465" s="936"/>
    </row>
    <row r="466" spans="3:13">
      <c r="C466" s="1092" t="s">
        <v>2961</v>
      </c>
      <c r="D466" s="1092" t="s">
        <v>37</v>
      </c>
      <c r="E466" s="1092" t="s">
        <v>148</v>
      </c>
      <c r="F466" s="1092" t="s">
        <v>141</v>
      </c>
      <c r="G466" s="1092" t="s">
        <v>141</v>
      </c>
      <c r="H466" s="100"/>
      <c r="I466" s="933" t="s">
        <v>2961</v>
      </c>
      <c r="J466" s="934" t="s">
        <v>37</v>
      </c>
      <c r="K466" s="934" t="s">
        <v>157</v>
      </c>
      <c r="L466" s="934" t="s">
        <v>241</v>
      </c>
      <c r="M466" s="936"/>
    </row>
    <row r="467" spans="3:13">
      <c r="C467" s="1092" t="s">
        <v>2961</v>
      </c>
      <c r="D467" s="1092" t="s">
        <v>37</v>
      </c>
      <c r="E467" s="1092" t="s">
        <v>148</v>
      </c>
      <c r="F467" s="1092" t="s">
        <v>36</v>
      </c>
      <c r="G467" s="1092" t="s">
        <v>36</v>
      </c>
      <c r="H467" s="100"/>
      <c r="I467" s="933" t="s">
        <v>2961</v>
      </c>
      <c r="J467" s="934" t="s">
        <v>37</v>
      </c>
      <c r="K467" s="934" t="s">
        <v>205</v>
      </c>
      <c r="L467" s="934" t="s">
        <v>141</v>
      </c>
      <c r="M467" s="936"/>
    </row>
    <row r="468" spans="3:13">
      <c r="C468" s="1092" t="s">
        <v>2961</v>
      </c>
      <c r="D468" s="1092" t="s">
        <v>37</v>
      </c>
      <c r="E468" s="1092" t="s">
        <v>148</v>
      </c>
      <c r="F468" s="1092" t="s">
        <v>242</v>
      </c>
      <c r="G468" s="1092" t="s">
        <v>242</v>
      </c>
      <c r="H468" s="100"/>
      <c r="I468" s="933" t="s">
        <v>2961</v>
      </c>
      <c r="J468" s="934" t="s">
        <v>37</v>
      </c>
      <c r="K468" s="934" t="s">
        <v>205</v>
      </c>
      <c r="L468" s="934" t="s">
        <v>276</v>
      </c>
      <c r="M468" s="936"/>
    </row>
    <row r="469" spans="3:13">
      <c r="C469" s="1092" t="s">
        <v>2961</v>
      </c>
      <c r="D469" s="1092" t="s">
        <v>37</v>
      </c>
      <c r="E469" s="1092" t="s">
        <v>586</v>
      </c>
      <c r="F469" s="1092" t="s">
        <v>2634</v>
      </c>
      <c r="G469" s="1092" t="s">
        <v>2634</v>
      </c>
      <c r="H469" s="100"/>
      <c r="I469" s="933" t="s">
        <v>2961</v>
      </c>
      <c r="J469" s="934" t="s">
        <v>37</v>
      </c>
      <c r="K469" s="934" t="s">
        <v>159</v>
      </c>
      <c r="L469" s="934" t="s">
        <v>241</v>
      </c>
      <c r="M469" s="936"/>
    </row>
    <row r="470" spans="3:13">
      <c r="C470" s="1092" t="s">
        <v>2961</v>
      </c>
      <c r="D470" s="1092" t="s">
        <v>37</v>
      </c>
      <c r="E470" s="1092" t="s">
        <v>38</v>
      </c>
      <c r="F470" s="1092" t="s">
        <v>141</v>
      </c>
      <c r="G470" s="1092" t="s">
        <v>141</v>
      </c>
      <c r="H470" s="100"/>
      <c r="I470" s="933" t="s">
        <v>2961</v>
      </c>
      <c r="J470" s="934" t="s">
        <v>37</v>
      </c>
      <c r="K470" s="934" t="s">
        <v>159</v>
      </c>
      <c r="L470" s="934" t="s">
        <v>3092</v>
      </c>
      <c r="M470" s="936"/>
    </row>
    <row r="471" spans="3:13">
      <c r="C471" s="1092" t="s">
        <v>2961</v>
      </c>
      <c r="D471" s="1092" t="s">
        <v>37</v>
      </c>
      <c r="E471" s="1092" t="s">
        <v>38</v>
      </c>
      <c r="F471" s="1092" t="s">
        <v>36</v>
      </c>
      <c r="G471" s="1092" t="s">
        <v>36</v>
      </c>
      <c r="H471" s="100"/>
      <c r="I471" s="933" t="s">
        <v>2961</v>
      </c>
      <c r="J471" s="934" t="s">
        <v>37</v>
      </c>
      <c r="K471" s="934" t="s">
        <v>214</v>
      </c>
      <c r="L471" s="934" t="s">
        <v>141</v>
      </c>
      <c r="M471" s="936"/>
    </row>
    <row r="472" spans="3:13">
      <c r="C472" s="1092" t="s">
        <v>2961</v>
      </c>
      <c r="D472" s="1092" t="s">
        <v>37</v>
      </c>
      <c r="E472" s="1092" t="s">
        <v>38</v>
      </c>
      <c r="F472" s="1092" t="s">
        <v>192</v>
      </c>
      <c r="G472" s="1092" t="s">
        <v>192</v>
      </c>
      <c r="H472" s="100"/>
      <c r="I472" s="933" t="s">
        <v>2961</v>
      </c>
      <c r="J472" s="934" t="s">
        <v>37</v>
      </c>
      <c r="K472" s="934" t="s">
        <v>184</v>
      </c>
      <c r="L472" s="934" t="s">
        <v>241</v>
      </c>
      <c r="M472" s="936"/>
    </row>
    <row r="473" spans="3:13">
      <c r="C473" s="1092" t="s">
        <v>2961</v>
      </c>
      <c r="D473" s="1092" t="s">
        <v>37</v>
      </c>
      <c r="E473" s="1092" t="s">
        <v>38</v>
      </c>
      <c r="F473" s="1092" t="s">
        <v>291</v>
      </c>
      <c r="G473" s="1092" t="s">
        <v>291</v>
      </c>
      <c r="H473" s="100"/>
      <c r="I473" s="933" t="s">
        <v>2961</v>
      </c>
      <c r="J473" s="934" t="s">
        <v>37</v>
      </c>
      <c r="K473" s="934" t="s">
        <v>858</v>
      </c>
      <c r="L473" s="934" t="s">
        <v>241</v>
      </c>
      <c r="M473" s="936"/>
    </row>
    <row r="474" spans="3:13">
      <c r="C474" s="1092" t="s">
        <v>2961</v>
      </c>
      <c r="D474" s="1092" t="s">
        <v>37</v>
      </c>
      <c r="E474" s="1092" t="s">
        <v>152</v>
      </c>
      <c r="F474" s="1092" t="s">
        <v>141</v>
      </c>
      <c r="G474" s="1092" t="s">
        <v>141</v>
      </c>
      <c r="H474" s="100"/>
      <c r="I474" s="933" t="s">
        <v>2961</v>
      </c>
      <c r="J474" s="934" t="s">
        <v>37</v>
      </c>
      <c r="K474" s="934" t="s">
        <v>142</v>
      </c>
      <c r="L474" s="934" t="s">
        <v>241</v>
      </c>
      <c r="M474" s="936"/>
    </row>
    <row r="475" spans="3:13">
      <c r="C475" s="1092" t="s">
        <v>2961</v>
      </c>
      <c r="D475" s="1092" t="s">
        <v>37</v>
      </c>
      <c r="E475" s="1092" t="s">
        <v>152</v>
      </c>
      <c r="F475" s="1092" t="s">
        <v>36</v>
      </c>
      <c r="G475" s="1092" t="s">
        <v>36</v>
      </c>
      <c r="H475" s="100"/>
      <c r="I475" s="933" t="s">
        <v>2961</v>
      </c>
      <c r="J475" s="934" t="s">
        <v>37</v>
      </c>
      <c r="K475" s="934" t="s">
        <v>142</v>
      </c>
      <c r="L475" s="934" t="s">
        <v>3092</v>
      </c>
      <c r="M475" s="936"/>
    </row>
    <row r="476" spans="3:13">
      <c r="C476" s="1092" t="s">
        <v>2961</v>
      </c>
      <c r="D476" s="1092" t="s">
        <v>37</v>
      </c>
      <c r="E476" s="1092" t="s">
        <v>152</v>
      </c>
      <c r="F476" s="1092" t="s">
        <v>3179</v>
      </c>
      <c r="G476" s="1092" t="s">
        <v>141</v>
      </c>
      <c r="H476" s="100"/>
      <c r="I476" s="933" t="s">
        <v>2961</v>
      </c>
      <c r="J476" s="934" t="s">
        <v>37</v>
      </c>
      <c r="K476" s="934" t="s">
        <v>142</v>
      </c>
      <c r="L476" s="934" t="s">
        <v>3096</v>
      </c>
      <c r="M476" s="936"/>
    </row>
    <row r="477" spans="3:13">
      <c r="C477" s="1092" t="s">
        <v>2961</v>
      </c>
      <c r="D477" s="1092" t="s">
        <v>37</v>
      </c>
      <c r="E477" s="1092" t="s">
        <v>157</v>
      </c>
      <c r="F477" s="1092" t="s">
        <v>141</v>
      </c>
      <c r="G477" s="1092" t="s">
        <v>141</v>
      </c>
      <c r="H477" s="100"/>
      <c r="I477" s="933" t="s">
        <v>2961</v>
      </c>
      <c r="J477" s="934" t="s">
        <v>515</v>
      </c>
      <c r="K477" s="934" t="s">
        <v>534</v>
      </c>
      <c r="L477" s="934" t="s">
        <v>192</v>
      </c>
      <c r="M477" s="936"/>
    </row>
    <row r="478" spans="3:13">
      <c r="C478" s="1092" t="s">
        <v>2961</v>
      </c>
      <c r="D478" s="1092" t="s">
        <v>37</v>
      </c>
      <c r="E478" s="1092" t="s">
        <v>205</v>
      </c>
      <c r="F478" s="1092" t="s">
        <v>914</v>
      </c>
      <c r="G478" s="1092" t="s">
        <v>141</v>
      </c>
      <c r="H478" s="100"/>
      <c r="I478" s="933" t="s">
        <v>2961</v>
      </c>
      <c r="J478" s="934" t="s">
        <v>515</v>
      </c>
      <c r="K478" s="934" t="s">
        <v>556</v>
      </c>
      <c r="L478" s="934" t="s">
        <v>3098</v>
      </c>
      <c r="M478" s="936"/>
    </row>
    <row r="479" spans="3:13">
      <c r="C479" s="1092" t="s">
        <v>2961</v>
      </c>
      <c r="D479" s="1092" t="s">
        <v>37</v>
      </c>
      <c r="E479" s="1092" t="s">
        <v>205</v>
      </c>
      <c r="F479" s="1092" t="s">
        <v>141</v>
      </c>
      <c r="G479" s="1092" t="s">
        <v>141</v>
      </c>
      <c r="H479" s="100"/>
      <c r="I479" s="933" t="s">
        <v>2961</v>
      </c>
      <c r="J479" s="934" t="s">
        <v>515</v>
      </c>
      <c r="K479" s="934" t="s">
        <v>519</v>
      </c>
      <c r="L479" s="934" t="s">
        <v>192</v>
      </c>
      <c r="M479" s="936"/>
    </row>
    <row r="480" spans="3:13">
      <c r="C480" s="1092" t="s">
        <v>2961</v>
      </c>
      <c r="D480" s="1092" t="s">
        <v>37</v>
      </c>
      <c r="E480" s="1092" t="s">
        <v>205</v>
      </c>
      <c r="F480" s="1092" t="s">
        <v>36</v>
      </c>
      <c r="G480" s="1092" t="s">
        <v>36</v>
      </c>
      <c r="H480" s="100"/>
      <c r="I480" s="933" t="s">
        <v>2961</v>
      </c>
      <c r="J480" s="934" t="s">
        <v>515</v>
      </c>
      <c r="K480" s="934" t="s">
        <v>955</v>
      </c>
      <c r="L480" s="934" t="s">
        <v>192</v>
      </c>
      <c r="M480" s="936"/>
    </row>
    <row r="481" spans="3:13">
      <c r="C481" s="1092" t="s">
        <v>2961</v>
      </c>
      <c r="D481" s="1092" t="s">
        <v>37</v>
      </c>
      <c r="E481" s="1092" t="s">
        <v>205</v>
      </c>
      <c r="F481" s="1092" t="s">
        <v>192</v>
      </c>
      <c r="G481" s="1092" t="s">
        <v>192</v>
      </c>
      <c r="H481" s="100"/>
      <c r="I481" s="933" t="s">
        <v>2961</v>
      </c>
      <c r="J481" s="934" t="s">
        <v>515</v>
      </c>
      <c r="K481" s="934" t="s">
        <v>956</v>
      </c>
      <c r="L481" s="934" t="s">
        <v>3098</v>
      </c>
      <c r="M481" s="936"/>
    </row>
    <row r="482" spans="3:13">
      <c r="C482" s="1092" t="s">
        <v>2961</v>
      </c>
      <c r="D482" s="1092" t="s">
        <v>37</v>
      </c>
      <c r="E482" s="1092" t="s">
        <v>205</v>
      </c>
      <c r="F482" s="1092" t="s">
        <v>276</v>
      </c>
      <c r="G482" s="1092" t="s">
        <v>276</v>
      </c>
      <c r="H482" s="100"/>
      <c r="I482" s="933" t="s">
        <v>2961</v>
      </c>
      <c r="J482" s="934" t="s">
        <v>515</v>
      </c>
      <c r="K482" s="934" t="s">
        <v>956</v>
      </c>
      <c r="L482" s="934" t="s">
        <v>192</v>
      </c>
      <c r="M482" s="936"/>
    </row>
    <row r="483" spans="3:13">
      <c r="C483" s="1092" t="s">
        <v>2961</v>
      </c>
      <c r="D483" s="1092" t="s">
        <v>37</v>
      </c>
      <c r="E483" s="1092" t="s">
        <v>205</v>
      </c>
      <c r="F483" s="1092" t="s">
        <v>291</v>
      </c>
      <c r="G483" s="1092" t="s">
        <v>291</v>
      </c>
      <c r="H483" s="100"/>
      <c r="I483" s="933" t="s">
        <v>2961</v>
      </c>
      <c r="J483" s="934" t="s">
        <v>515</v>
      </c>
      <c r="K483" s="934" t="s">
        <v>958</v>
      </c>
      <c r="L483" s="934" t="s">
        <v>2154</v>
      </c>
      <c r="M483" s="936"/>
    </row>
    <row r="484" spans="3:13">
      <c r="C484" s="1092" t="s">
        <v>2961</v>
      </c>
      <c r="D484" s="1092" t="s">
        <v>37</v>
      </c>
      <c r="E484" s="1092" t="s">
        <v>205</v>
      </c>
      <c r="F484" s="1092" t="s">
        <v>3133</v>
      </c>
      <c r="G484" s="1092" t="s">
        <v>3133</v>
      </c>
      <c r="H484" s="100"/>
      <c r="I484" s="933" t="s">
        <v>2961</v>
      </c>
      <c r="J484" s="934" t="s">
        <v>515</v>
      </c>
      <c r="K484" s="934" t="s">
        <v>522</v>
      </c>
      <c r="L484" s="934" t="s">
        <v>192</v>
      </c>
      <c r="M484" s="936"/>
    </row>
    <row r="485" spans="3:13">
      <c r="C485" s="1092" t="s">
        <v>2961</v>
      </c>
      <c r="D485" s="1092" t="s">
        <v>37</v>
      </c>
      <c r="E485" s="1092" t="s">
        <v>159</v>
      </c>
      <c r="F485" s="1092" t="s">
        <v>141</v>
      </c>
      <c r="G485" s="1092" t="s">
        <v>141</v>
      </c>
      <c r="H485" s="100"/>
      <c r="I485" s="933" t="s">
        <v>2961</v>
      </c>
      <c r="J485" s="934" t="s">
        <v>515</v>
      </c>
      <c r="K485" s="934" t="s">
        <v>522</v>
      </c>
      <c r="L485" s="934" t="s">
        <v>2341</v>
      </c>
      <c r="M485" s="936"/>
    </row>
    <row r="486" spans="3:13">
      <c r="C486" s="1092" t="s">
        <v>2961</v>
      </c>
      <c r="D486" s="1092" t="s">
        <v>37</v>
      </c>
      <c r="E486" s="1092" t="s">
        <v>159</v>
      </c>
      <c r="F486" s="1092" t="s">
        <v>36</v>
      </c>
      <c r="G486" s="1092" t="s">
        <v>36</v>
      </c>
      <c r="H486" s="100"/>
      <c r="I486" s="933" t="s">
        <v>2961</v>
      </c>
      <c r="J486" s="934" t="s">
        <v>515</v>
      </c>
      <c r="K486" s="934" t="s">
        <v>525</v>
      </c>
      <c r="L486" s="934" t="s">
        <v>3098</v>
      </c>
      <c r="M486" s="936"/>
    </row>
    <row r="487" spans="3:13">
      <c r="C487" s="1092" t="s">
        <v>2961</v>
      </c>
      <c r="D487" s="1092" t="s">
        <v>37</v>
      </c>
      <c r="E487" s="1092" t="s">
        <v>159</v>
      </c>
      <c r="F487" s="1092" t="s">
        <v>242</v>
      </c>
      <c r="G487" s="1092" t="s">
        <v>242</v>
      </c>
      <c r="H487" s="100"/>
      <c r="I487" s="933" t="s">
        <v>2961</v>
      </c>
      <c r="J487" s="934" t="s">
        <v>515</v>
      </c>
      <c r="K487" s="934" t="s">
        <v>525</v>
      </c>
      <c r="L487" s="934" t="s">
        <v>192</v>
      </c>
      <c r="M487" s="936"/>
    </row>
    <row r="488" spans="3:13">
      <c r="C488" s="1092" t="s">
        <v>2961</v>
      </c>
      <c r="D488" s="1092" t="s">
        <v>37</v>
      </c>
      <c r="E488" s="1092" t="s">
        <v>159</v>
      </c>
      <c r="F488" s="1092" t="s">
        <v>3180</v>
      </c>
      <c r="G488" s="1092" t="s">
        <v>141</v>
      </c>
      <c r="H488" s="100"/>
      <c r="I488" s="933" t="s">
        <v>2961</v>
      </c>
      <c r="J488" s="934" t="s">
        <v>515</v>
      </c>
      <c r="K488" s="934" t="s">
        <v>516</v>
      </c>
      <c r="L488" s="934" t="s">
        <v>192</v>
      </c>
      <c r="M488" s="936"/>
    </row>
    <row r="489" spans="3:13">
      <c r="C489" s="1092" t="s">
        <v>2961</v>
      </c>
      <c r="D489" s="1092" t="s">
        <v>37</v>
      </c>
      <c r="E489" s="1092" t="s">
        <v>214</v>
      </c>
      <c r="F489" s="1092" t="s">
        <v>141</v>
      </c>
      <c r="G489" s="1092" t="s">
        <v>141</v>
      </c>
      <c r="H489" s="100"/>
      <c r="I489" s="933" t="s">
        <v>2961</v>
      </c>
      <c r="J489" s="934" t="s">
        <v>515</v>
      </c>
      <c r="K489" s="934" t="s">
        <v>516</v>
      </c>
      <c r="L489" s="934" t="s">
        <v>2341</v>
      </c>
      <c r="M489" s="936"/>
    </row>
    <row r="490" spans="3:13">
      <c r="C490" s="1092" t="s">
        <v>2961</v>
      </c>
      <c r="D490" s="1092" t="s">
        <v>37</v>
      </c>
      <c r="E490" s="1092" t="s">
        <v>214</v>
      </c>
      <c r="F490" s="1092" t="s">
        <v>192</v>
      </c>
      <c r="G490" s="1092" t="s">
        <v>192</v>
      </c>
      <c r="H490" s="100"/>
      <c r="I490" s="933" t="s">
        <v>2961</v>
      </c>
      <c r="J490" s="934" t="s">
        <v>515</v>
      </c>
      <c r="K490" s="934" t="s">
        <v>536</v>
      </c>
      <c r="L490" s="934" t="s">
        <v>192</v>
      </c>
      <c r="M490" s="936"/>
    </row>
    <row r="491" spans="3:13">
      <c r="C491" s="1092" t="s">
        <v>2961</v>
      </c>
      <c r="D491" s="1092" t="s">
        <v>37</v>
      </c>
      <c r="E491" s="1092" t="s">
        <v>214</v>
      </c>
      <c r="F491" s="1092" t="s">
        <v>3133</v>
      </c>
      <c r="G491" s="1092" t="s">
        <v>3133</v>
      </c>
      <c r="H491" s="100"/>
      <c r="I491" s="933" t="s">
        <v>2961</v>
      </c>
      <c r="J491" s="934" t="s">
        <v>515</v>
      </c>
      <c r="K491" s="934" t="s">
        <v>536</v>
      </c>
      <c r="L491" s="934" t="s">
        <v>2953</v>
      </c>
      <c r="M491" s="936"/>
    </row>
    <row r="492" spans="3:13">
      <c r="C492" s="1092" t="s">
        <v>2961</v>
      </c>
      <c r="D492" s="1092" t="s">
        <v>37</v>
      </c>
      <c r="E492" s="1092" t="s">
        <v>184</v>
      </c>
      <c r="F492" s="1092" t="s">
        <v>141</v>
      </c>
      <c r="G492" s="1092" t="s">
        <v>141</v>
      </c>
      <c r="H492" s="100"/>
      <c r="I492" s="100"/>
      <c r="J492" s="100"/>
      <c r="K492" s="100"/>
    </row>
    <row r="493" spans="3:13">
      <c r="C493" s="1092" t="s">
        <v>2961</v>
      </c>
      <c r="D493" s="1092" t="s">
        <v>37</v>
      </c>
      <c r="E493" s="1092" t="s">
        <v>858</v>
      </c>
      <c r="F493" s="1092" t="s">
        <v>141</v>
      </c>
      <c r="G493" s="1092" t="s">
        <v>141</v>
      </c>
      <c r="H493" s="100"/>
      <c r="I493" s="100"/>
      <c r="J493" s="100"/>
      <c r="K493" s="100"/>
    </row>
    <row r="494" spans="3:13">
      <c r="C494" s="1092" t="s">
        <v>2961</v>
      </c>
      <c r="D494" s="1092" t="s">
        <v>37</v>
      </c>
      <c r="E494" s="1092" t="s">
        <v>858</v>
      </c>
      <c r="F494" s="1092" t="s">
        <v>36</v>
      </c>
      <c r="G494" s="1092" t="s">
        <v>36</v>
      </c>
      <c r="H494" s="100"/>
      <c r="I494" s="100"/>
      <c r="J494" s="100"/>
      <c r="K494" s="100"/>
    </row>
    <row r="495" spans="3:13">
      <c r="C495" s="1092" t="s">
        <v>2961</v>
      </c>
      <c r="D495" s="1092" t="s">
        <v>37</v>
      </c>
      <c r="E495" s="1092" t="s">
        <v>142</v>
      </c>
      <c r="F495" s="1092" t="s">
        <v>141</v>
      </c>
      <c r="G495" s="1092" t="s">
        <v>141</v>
      </c>
      <c r="H495" s="100"/>
      <c r="I495" s="100"/>
      <c r="J495" s="100"/>
      <c r="K495" s="100"/>
    </row>
    <row r="496" spans="3:13">
      <c r="C496" s="1092" t="s">
        <v>2961</v>
      </c>
      <c r="D496" s="1092" t="s">
        <v>37</v>
      </c>
      <c r="E496" s="1092" t="s">
        <v>142</v>
      </c>
      <c r="F496" s="1092" t="s">
        <v>36</v>
      </c>
      <c r="G496" s="1092" t="s">
        <v>36</v>
      </c>
      <c r="H496" s="100"/>
      <c r="I496" s="100"/>
      <c r="J496" s="100"/>
      <c r="K496" s="100"/>
    </row>
    <row r="497" spans="3:11">
      <c r="C497" s="1092" t="s">
        <v>2961</v>
      </c>
      <c r="D497" s="1092" t="s">
        <v>37</v>
      </c>
      <c r="E497" s="1092" t="s">
        <v>142</v>
      </c>
      <c r="F497" s="1092" t="s">
        <v>192</v>
      </c>
      <c r="G497" s="1092" t="s">
        <v>192</v>
      </c>
      <c r="H497" s="100"/>
      <c r="I497" s="100"/>
      <c r="J497" s="100"/>
      <c r="K497" s="100"/>
    </row>
    <row r="498" spans="3:11">
      <c r="C498" s="1092" t="s">
        <v>2961</v>
      </c>
      <c r="D498" s="1092" t="s">
        <v>37</v>
      </c>
      <c r="E498" s="1092" t="s">
        <v>142</v>
      </c>
      <c r="F498" s="1092" t="s">
        <v>242</v>
      </c>
      <c r="G498" s="1092" t="s">
        <v>242</v>
      </c>
      <c r="H498" s="100"/>
      <c r="I498" s="100"/>
      <c r="J498" s="100"/>
      <c r="K498" s="100"/>
    </row>
    <row r="499" spans="3:11">
      <c r="C499" s="1092" t="s">
        <v>2961</v>
      </c>
      <c r="D499" s="1092" t="s">
        <v>37</v>
      </c>
      <c r="E499" s="1092" t="s">
        <v>142</v>
      </c>
      <c r="F499" s="1092" t="s">
        <v>2634</v>
      </c>
      <c r="G499" s="1092" t="s">
        <v>2634</v>
      </c>
      <c r="H499" s="100"/>
      <c r="I499" s="100"/>
      <c r="J499" s="100"/>
      <c r="K499" s="100"/>
    </row>
    <row r="500" spans="3:11">
      <c r="C500" s="1092" t="s">
        <v>2961</v>
      </c>
      <c r="D500" s="1092" t="s">
        <v>37</v>
      </c>
      <c r="E500" s="1092" t="s">
        <v>142</v>
      </c>
      <c r="F500" s="1092" t="s">
        <v>3180</v>
      </c>
      <c r="G500" s="1092" t="s">
        <v>141</v>
      </c>
      <c r="H500" s="100"/>
      <c r="I500" s="100"/>
      <c r="J500" s="100"/>
      <c r="K500" s="100"/>
    </row>
    <row r="501" spans="3:11">
      <c r="C501" s="1092" t="s">
        <v>2961</v>
      </c>
      <c r="D501" s="1092" t="s">
        <v>37</v>
      </c>
      <c r="E501" s="1092" t="s">
        <v>142</v>
      </c>
      <c r="F501" s="1092" t="s">
        <v>3218</v>
      </c>
      <c r="G501" s="1092" t="s">
        <v>3222</v>
      </c>
      <c r="H501" s="100"/>
      <c r="I501" s="100"/>
      <c r="J501" s="100"/>
      <c r="K501" s="100"/>
    </row>
    <row r="502" spans="3:11">
      <c r="C502" s="1092" t="s">
        <v>2962</v>
      </c>
      <c r="D502" s="1092" t="s">
        <v>37</v>
      </c>
      <c r="E502" s="1092" t="s">
        <v>195</v>
      </c>
      <c r="F502" s="1092" t="s">
        <v>192</v>
      </c>
      <c r="G502" s="1092" t="s">
        <v>192</v>
      </c>
      <c r="H502" s="100"/>
      <c r="I502" s="100"/>
      <c r="J502" s="100"/>
      <c r="K502" s="100"/>
    </row>
    <row r="503" spans="3:11">
      <c r="C503" s="1092" t="s">
        <v>2962</v>
      </c>
      <c r="D503" s="1092" t="s">
        <v>37</v>
      </c>
      <c r="E503" s="1092" t="s">
        <v>195</v>
      </c>
      <c r="F503" s="1092" t="s">
        <v>192</v>
      </c>
      <c r="G503" s="1092" t="s">
        <v>3285</v>
      </c>
      <c r="H503" s="100"/>
      <c r="I503" s="100"/>
      <c r="J503" s="100"/>
      <c r="K503" s="100"/>
    </row>
    <row r="504" spans="3:11">
      <c r="C504" s="1092" t="s">
        <v>2962</v>
      </c>
      <c r="D504" s="1092" t="s">
        <v>37</v>
      </c>
      <c r="E504" s="1092" t="s">
        <v>195</v>
      </c>
      <c r="F504" s="1092" t="s">
        <v>192</v>
      </c>
      <c r="G504" s="1092" t="s">
        <v>3326</v>
      </c>
      <c r="H504" s="100"/>
      <c r="I504" s="100"/>
      <c r="J504" s="100"/>
      <c r="K504" s="100"/>
    </row>
    <row r="505" spans="3:11">
      <c r="C505" s="1092" t="s">
        <v>2962</v>
      </c>
      <c r="D505" s="1092" t="s">
        <v>37</v>
      </c>
      <c r="E505" s="1092" t="s">
        <v>195</v>
      </c>
      <c r="F505" s="1092" t="s">
        <v>242</v>
      </c>
      <c r="G505" s="1092" t="s">
        <v>3309</v>
      </c>
      <c r="H505" s="100"/>
      <c r="I505" s="100"/>
      <c r="J505" s="100"/>
      <c r="K505" s="100"/>
    </row>
    <row r="506" spans="3:11">
      <c r="C506" s="1092" t="s">
        <v>2962</v>
      </c>
      <c r="D506" s="1092" t="s">
        <v>37</v>
      </c>
      <c r="E506" s="1092" t="s">
        <v>195</v>
      </c>
      <c r="F506" s="1092" t="s">
        <v>276</v>
      </c>
      <c r="G506" s="1092" t="s">
        <v>276</v>
      </c>
      <c r="H506" s="100"/>
      <c r="I506" s="100"/>
      <c r="J506" s="100"/>
      <c r="K506" s="100"/>
    </row>
    <row r="507" spans="3:11">
      <c r="C507" s="1092" t="s">
        <v>2962</v>
      </c>
      <c r="D507" s="1092" t="s">
        <v>37</v>
      </c>
      <c r="E507" s="1092" t="s">
        <v>195</v>
      </c>
      <c r="F507" s="1092" t="s">
        <v>276</v>
      </c>
      <c r="G507" s="1092" t="s">
        <v>3299</v>
      </c>
      <c r="H507" s="100"/>
      <c r="I507" s="100"/>
      <c r="J507" s="100"/>
      <c r="K507" s="100"/>
    </row>
    <row r="508" spans="3:11">
      <c r="C508" s="1092" t="s">
        <v>2962</v>
      </c>
      <c r="D508" s="1092" t="s">
        <v>37</v>
      </c>
      <c r="E508" s="1092" t="s">
        <v>146</v>
      </c>
      <c r="F508" s="1092" t="s">
        <v>242</v>
      </c>
      <c r="G508" s="1092" t="s">
        <v>242</v>
      </c>
      <c r="H508" s="100"/>
      <c r="I508" s="100"/>
      <c r="J508" s="100"/>
      <c r="K508" s="100"/>
    </row>
    <row r="509" spans="3:11">
      <c r="C509" s="1092" t="s">
        <v>2962</v>
      </c>
      <c r="D509" s="1092" t="s">
        <v>37</v>
      </c>
      <c r="E509" s="1092" t="s">
        <v>146</v>
      </c>
      <c r="F509" s="1092" t="s">
        <v>3347</v>
      </c>
      <c r="G509" s="1092" t="s">
        <v>3347</v>
      </c>
      <c r="H509" s="100"/>
      <c r="I509" s="100"/>
      <c r="J509" s="100"/>
      <c r="K509" s="100"/>
    </row>
    <row r="510" spans="3:11">
      <c r="C510" s="1092" t="s">
        <v>2962</v>
      </c>
      <c r="D510" s="1092" t="s">
        <v>37</v>
      </c>
      <c r="E510" s="1092" t="s">
        <v>148</v>
      </c>
      <c r="F510" s="1092" t="s">
        <v>36</v>
      </c>
      <c r="G510" s="1092" t="s">
        <v>36</v>
      </c>
      <c r="H510" s="100"/>
      <c r="I510" s="100"/>
      <c r="J510" s="100"/>
      <c r="K510" s="100"/>
    </row>
    <row r="511" spans="3:11">
      <c r="C511" s="1092" t="s">
        <v>2962</v>
      </c>
      <c r="D511" s="1092" t="s">
        <v>37</v>
      </c>
      <c r="E511" s="1092" t="s">
        <v>148</v>
      </c>
      <c r="F511" s="1092" t="s">
        <v>242</v>
      </c>
      <c r="G511" s="1092" t="s">
        <v>242</v>
      </c>
      <c r="H511" s="100"/>
      <c r="I511" s="100"/>
      <c r="J511" s="100"/>
      <c r="K511" s="100"/>
    </row>
    <row r="512" spans="3:11">
      <c r="C512" s="1092" t="s">
        <v>2962</v>
      </c>
      <c r="D512" s="1092" t="s">
        <v>37</v>
      </c>
      <c r="E512" s="1092" t="s">
        <v>148</v>
      </c>
      <c r="F512" s="1092" t="s">
        <v>3347</v>
      </c>
      <c r="G512" s="1092" t="s">
        <v>3347</v>
      </c>
      <c r="H512" s="100"/>
      <c r="I512" s="100"/>
      <c r="J512" s="100"/>
      <c r="K512" s="100"/>
    </row>
    <row r="513" spans="3:11">
      <c r="C513" s="1092" t="s">
        <v>2962</v>
      </c>
      <c r="D513" s="1092" t="s">
        <v>37</v>
      </c>
      <c r="E513" s="1092" t="s">
        <v>586</v>
      </c>
      <c r="F513" s="1092" t="s">
        <v>2634</v>
      </c>
      <c r="G513" s="1092" t="s">
        <v>2634</v>
      </c>
      <c r="H513" s="100"/>
      <c r="I513" s="100"/>
      <c r="J513" s="100"/>
      <c r="K513" s="100"/>
    </row>
    <row r="514" spans="3:11">
      <c r="C514" s="1092" t="s">
        <v>2962</v>
      </c>
      <c r="D514" s="1092" t="s">
        <v>37</v>
      </c>
      <c r="E514" s="1092" t="s">
        <v>38</v>
      </c>
      <c r="F514" s="1092" t="s">
        <v>141</v>
      </c>
      <c r="G514" s="1092" t="s">
        <v>141</v>
      </c>
      <c r="H514" s="100"/>
      <c r="I514" s="100"/>
      <c r="J514" s="100"/>
      <c r="K514" s="100"/>
    </row>
    <row r="515" spans="3:11">
      <c r="C515" s="1092" t="s">
        <v>2962</v>
      </c>
      <c r="D515" s="1092" t="s">
        <v>37</v>
      </c>
      <c r="E515" s="1092" t="s">
        <v>38</v>
      </c>
      <c r="F515" s="1092" t="s">
        <v>36</v>
      </c>
      <c r="G515" s="1092" t="s">
        <v>36</v>
      </c>
      <c r="H515" s="100"/>
      <c r="I515" s="100"/>
      <c r="J515" s="100"/>
      <c r="K515" s="100"/>
    </row>
    <row r="516" spans="3:11">
      <c r="C516" s="1092" t="s">
        <v>2962</v>
      </c>
      <c r="D516" s="1092" t="s">
        <v>37</v>
      </c>
      <c r="E516" s="1092" t="s">
        <v>38</v>
      </c>
      <c r="F516" s="1092" t="s">
        <v>192</v>
      </c>
      <c r="G516" s="1092" t="s">
        <v>3285</v>
      </c>
      <c r="H516" s="100"/>
      <c r="I516" s="100"/>
      <c r="J516" s="100"/>
      <c r="K516" s="100"/>
    </row>
    <row r="517" spans="3:11">
      <c r="C517" s="1092" t="s">
        <v>2962</v>
      </c>
      <c r="D517" s="1092" t="s">
        <v>37</v>
      </c>
      <c r="E517" s="1092" t="s">
        <v>38</v>
      </c>
      <c r="F517" s="1092" t="s">
        <v>291</v>
      </c>
      <c r="G517" s="1092" t="s">
        <v>291</v>
      </c>
      <c r="H517" s="100"/>
      <c r="I517" s="100"/>
      <c r="J517" s="100"/>
      <c r="K517" s="100"/>
    </row>
    <row r="518" spans="3:11">
      <c r="C518" s="1092" t="s">
        <v>2962</v>
      </c>
      <c r="D518" s="1092" t="s">
        <v>37</v>
      </c>
      <c r="E518" s="1092" t="s">
        <v>152</v>
      </c>
      <c r="F518" s="1092" t="s">
        <v>36</v>
      </c>
      <c r="G518" s="1092" t="s">
        <v>36</v>
      </c>
      <c r="H518" s="100"/>
      <c r="I518" s="100"/>
      <c r="J518" s="100"/>
      <c r="K518" s="100"/>
    </row>
    <row r="519" spans="3:11">
      <c r="C519" s="1092" t="s">
        <v>2962</v>
      </c>
      <c r="D519" s="1092" t="s">
        <v>37</v>
      </c>
      <c r="E519" s="1092" t="s">
        <v>152</v>
      </c>
      <c r="F519" s="1092" t="s">
        <v>3347</v>
      </c>
      <c r="G519" s="1092" t="s">
        <v>3347</v>
      </c>
      <c r="H519" s="100"/>
      <c r="I519" s="100"/>
      <c r="J519" s="100"/>
      <c r="K519" s="100"/>
    </row>
    <row r="520" spans="3:11">
      <c r="C520" s="1092" t="s">
        <v>2962</v>
      </c>
      <c r="D520" s="1092" t="s">
        <v>37</v>
      </c>
      <c r="E520" s="1092" t="s">
        <v>152</v>
      </c>
      <c r="F520" s="1092" t="s">
        <v>3347</v>
      </c>
      <c r="G520" s="1092" t="s">
        <v>3348</v>
      </c>
      <c r="H520" s="100"/>
      <c r="I520" s="100"/>
      <c r="J520" s="100"/>
      <c r="K520" s="100"/>
    </row>
    <row r="521" spans="3:11">
      <c r="C521" s="1092" t="s">
        <v>2962</v>
      </c>
      <c r="D521" s="1092" t="s">
        <v>37</v>
      </c>
      <c r="E521" s="1092" t="s">
        <v>157</v>
      </c>
      <c r="F521" s="1092" t="s">
        <v>3347</v>
      </c>
      <c r="G521" s="1092" t="s">
        <v>3347</v>
      </c>
      <c r="H521" s="100"/>
      <c r="I521" s="100"/>
      <c r="J521" s="100"/>
      <c r="K521" s="100"/>
    </row>
    <row r="522" spans="3:11">
      <c r="C522" s="1092" t="s">
        <v>2962</v>
      </c>
      <c r="D522" s="1092" t="s">
        <v>37</v>
      </c>
      <c r="E522" s="1092" t="s">
        <v>205</v>
      </c>
      <c r="F522" s="1092" t="s">
        <v>141</v>
      </c>
      <c r="G522" s="1092" t="s">
        <v>141</v>
      </c>
      <c r="H522" s="100"/>
      <c r="I522" s="100"/>
      <c r="J522" s="100"/>
      <c r="K522" s="100"/>
    </row>
    <row r="523" spans="3:11">
      <c r="C523" s="1092" t="s">
        <v>2962</v>
      </c>
      <c r="D523" s="1092" t="s">
        <v>37</v>
      </c>
      <c r="E523" s="1092" t="s">
        <v>205</v>
      </c>
      <c r="F523" s="1092" t="s">
        <v>141</v>
      </c>
      <c r="G523" s="1092" t="s">
        <v>3290</v>
      </c>
      <c r="H523" s="100"/>
      <c r="I523" s="100"/>
      <c r="J523" s="100"/>
      <c r="K523" s="100"/>
    </row>
    <row r="524" spans="3:11">
      <c r="C524" s="1092" t="s">
        <v>2962</v>
      </c>
      <c r="D524" s="1092" t="s">
        <v>37</v>
      </c>
      <c r="E524" s="1092" t="s">
        <v>205</v>
      </c>
      <c r="F524" s="1092" t="s">
        <v>141</v>
      </c>
      <c r="G524" s="1092" t="s">
        <v>3283</v>
      </c>
      <c r="H524" s="100"/>
      <c r="I524" s="100"/>
      <c r="J524" s="100"/>
      <c r="K524" s="100"/>
    </row>
    <row r="525" spans="3:11">
      <c r="C525" s="1092" t="s">
        <v>2962</v>
      </c>
      <c r="D525" s="1092" t="s">
        <v>37</v>
      </c>
      <c r="E525" s="1092" t="s">
        <v>205</v>
      </c>
      <c r="F525" s="1092" t="s">
        <v>141</v>
      </c>
      <c r="G525" s="1092" t="s">
        <v>3331</v>
      </c>
      <c r="H525" s="100"/>
      <c r="I525" s="100"/>
      <c r="J525" s="100"/>
      <c r="K525" s="100"/>
    </row>
    <row r="526" spans="3:11">
      <c r="C526" s="1092" t="s">
        <v>2962</v>
      </c>
      <c r="D526" s="1092" t="s">
        <v>37</v>
      </c>
      <c r="E526" s="1092" t="s">
        <v>205</v>
      </c>
      <c r="F526" s="1092" t="s">
        <v>141</v>
      </c>
      <c r="G526" s="1092" t="s">
        <v>3350</v>
      </c>
      <c r="H526" s="100"/>
      <c r="I526" s="100"/>
      <c r="J526" s="100"/>
      <c r="K526" s="100"/>
    </row>
    <row r="527" spans="3:11">
      <c r="C527" s="1092" t="s">
        <v>2962</v>
      </c>
      <c r="D527" s="1092" t="s">
        <v>37</v>
      </c>
      <c r="E527" s="1092" t="s">
        <v>205</v>
      </c>
      <c r="F527" s="1092" t="s">
        <v>36</v>
      </c>
      <c r="G527" s="1092" t="s">
        <v>36</v>
      </c>
      <c r="H527" s="100"/>
      <c r="I527" s="100"/>
      <c r="J527" s="100"/>
      <c r="K527" s="100"/>
    </row>
    <row r="528" spans="3:11">
      <c r="C528" s="1092" t="s">
        <v>2962</v>
      </c>
      <c r="D528" s="1092" t="s">
        <v>37</v>
      </c>
      <c r="E528" s="1092" t="s">
        <v>205</v>
      </c>
      <c r="F528" s="1092" t="s">
        <v>192</v>
      </c>
      <c r="G528" s="1092" t="s">
        <v>192</v>
      </c>
      <c r="H528" s="100"/>
      <c r="I528" s="100"/>
      <c r="J528" s="100"/>
      <c r="K528" s="100"/>
    </row>
    <row r="529" spans="3:11">
      <c r="C529" s="1092" t="s">
        <v>2962</v>
      </c>
      <c r="D529" s="1092" t="s">
        <v>37</v>
      </c>
      <c r="E529" s="1092" t="s">
        <v>205</v>
      </c>
      <c r="F529" s="1092" t="s">
        <v>192</v>
      </c>
      <c r="G529" s="1092" t="s">
        <v>3285</v>
      </c>
      <c r="H529" s="100"/>
      <c r="I529" s="100"/>
      <c r="J529" s="100"/>
      <c r="K529" s="100"/>
    </row>
    <row r="530" spans="3:11">
      <c r="C530" s="1092" t="s">
        <v>2962</v>
      </c>
      <c r="D530" s="1092" t="s">
        <v>37</v>
      </c>
      <c r="E530" s="1092" t="s">
        <v>205</v>
      </c>
      <c r="F530" s="1092" t="s">
        <v>276</v>
      </c>
      <c r="G530" s="1092" t="s">
        <v>276</v>
      </c>
      <c r="H530" s="100"/>
      <c r="I530" s="100"/>
      <c r="J530" s="100"/>
      <c r="K530" s="100"/>
    </row>
    <row r="531" spans="3:11">
      <c r="C531" s="1092" t="s">
        <v>2962</v>
      </c>
      <c r="D531" s="1092" t="s">
        <v>37</v>
      </c>
      <c r="E531" s="1092" t="s">
        <v>205</v>
      </c>
      <c r="F531" s="1092" t="s">
        <v>291</v>
      </c>
      <c r="G531" s="1092" t="s">
        <v>291</v>
      </c>
      <c r="H531" s="100"/>
      <c r="I531" s="100"/>
      <c r="J531" s="100"/>
      <c r="K531" s="100"/>
    </row>
    <row r="532" spans="3:11">
      <c r="C532" s="1092" t="s">
        <v>2962</v>
      </c>
      <c r="D532" s="1092" t="s">
        <v>37</v>
      </c>
      <c r="E532" s="1092" t="s">
        <v>159</v>
      </c>
      <c r="F532" s="1092" t="s">
        <v>36</v>
      </c>
      <c r="G532" s="1092" t="s">
        <v>36</v>
      </c>
      <c r="H532" s="100"/>
      <c r="I532" s="100"/>
      <c r="J532" s="100"/>
      <c r="K532" s="100"/>
    </row>
    <row r="533" spans="3:11">
      <c r="C533" s="1092" t="s">
        <v>2962</v>
      </c>
      <c r="D533" s="1092" t="s">
        <v>37</v>
      </c>
      <c r="E533" s="1092" t="s">
        <v>159</v>
      </c>
      <c r="F533" s="1092" t="s">
        <v>242</v>
      </c>
      <c r="G533" s="1092" t="s">
        <v>242</v>
      </c>
      <c r="H533" s="100"/>
      <c r="I533" s="100"/>
      <c r="J533" s="100"/>
      <c r="K533" s="100"/>
    </row>
    <row r="534" spans="3:11">
      <c r="C534" s="1092" t="s">
        <v>2962</v>
      </c>
      <c r="D534" s="1092" t="s">
        <v>37</v>
      </c>
      <c r="E534" s="1092" t="s">
        <v>159</v>
      </c>
      <c r="F534" s="1092" t="s">
        <v>3347</v>
      </c>
      <c r="G534" s="1092" t="s">
        <v>3347</v>
      </c>
      <c r="H534" s="100"/>
      <c r="I534" s="100"/>
      <c r="J534" s="100"/>
      <c r="K534" s="100"/>
    </row>
    <row r="535" spans="3:11">
      <c r="C535" s="1092" t="s">
        <v>2962</v>
      </c>
      <c r="D535" s="1092" t="s">
        <v>37</v>
      </c>
      <c r="E535" s="1092" t="s">
        <v>159</v>
      </c>
      <c r="F535" s="1092" t="s">
        <v>3347</v>
      </c>
      <c r="G535" s="1092" t="s">
        <v>3349</v>
      </c>
      <c r="H535" s="100"/>
      <c r="I535" s="100"/>
      <c r="J535" s="100"/>
      <c r="K535" s="100"/>
    </row>
    <row r="536" spans="3:11">
      <c r="C536" s="1092" t="s">
        <v>2962</v>
      </c>
      <c r="D536" s="1092" t="s">
        <v>37</v>
      </c>
      <c r="E536" s="1092" t="s">
        <v>214</v>
      </c>
      <c r="F536" s="1092" t="s">
        <v>192</v>
      </c>
      <c r="G536" s="1092" t="s">
        <v>192</v>
      </c>
      <c r="H536" s="100"/>
      <c r="I536" s="100"/>
      <c r="J536" s="100"/>
      <c r="K536" s="100"/>
    </row>
    <row r="537" spans="3:11">
      <c r="C537" s="1092" t="s">
        <v>2962</v>
      </c>
      <c r="D537" s="1092" t="s">
        <v>37</v>
      </c>
      <c r="E537" s="1092" t="s">
        <v>184</v>
      </c>
      <c r="F537" s="1092" t="s">
        <v>3347</v>
      </c>
      <c r="G537" s="1092" t="s">
        <v>3347</v>
      </c>
      <c r="H537" s="100"/>
      <c r="I537" s="100"/>
      <c r="J537" s="100"/>
      <c r="K537" s="100"/>
    </row>
    <row r="538" spans="3:11">
      <c r="C538" s="1092" t="s">
        <v>2962</v>
      </c>
      <c r="D538" s="1092" t="s">
        <v>37</v>
      </c>
      <c r="E538" s="1092" t="s">
        <v>858</v>
      </c>
      <c r="F538" s="1092" t="s">
        <v>36</v>
      </c>
      <c r="G538" s="1092" t="s">
        <v>36</v>
      </c>
      <c r="H538" s="100"/>
      <c r="I538" s="100"/>
      <c r="J538" s="100"/>
      <c r="K538" s="100"/>
    </row>
    <row r="539" spans="3:11">
      <c r="C539" s="1092" t="s">
        <v>2962</v>
      </c>
      <c r="D539" s="1092" t="s">
        <v>37</v>
      </c>
      <c r="E539" s="1092" t="s">
        <v>858</v>
      </c>
      <c r="F539" s="1092" t="s">
        <v>3347</v>
      </c>
      <c r="G539" s="1092" t="s">
        <v>3347</v>
      </c>
      <c r="H539" s="100"/>
      <c r="I539" s="100"/>
      <c r="J539" s="100"/>
      <c r="K539" s="100"/>
    </row>
    <row r="540" spans="3:11">
      <c r="C540" s="1092" t="s">
        <v>2962</v>
      </c>
      <c r="D540" s="1092" t="s">
        <v>37</v>
      </c>
      <c r="E540" s="1092" t="s">
        <v>142</v>
      </c>
      <c r="F540" s="1092" t="s">
        <v>36</v>
      </c>
      <c r="G540" s="1092" t="s">
        <v>36</v>
      </c>
      <c r="H540" s="100"/>
      <c r="I540" s="100"/>
      <c r="J540" s="100"/>
      <c r="K540" s="100"/>
    </row>
    <row r="541" spans="3:11">
      <c r="C541" s="1092" t="s">
        <v>2962</v>
      </c>
      <c r="D541" s="1092" t="s">
        <v>37</v>
      </c>
      <c r="E541" s="1092" t="s">
        <v>142</v>
      </c>
      <c r="F541" s="1092" t="s">
        <v>192</v>
      </c>
      <c r="G541" s="1092" t="s">
        <v>192</v>
      </c>
      <c r="H541" s="100"/>
      <c r="I541" s="100"/>
      <c r="J541" s="100"/>
      <c r="K541" s="100"/>
    </row>
    <row r="542" spans="3:11">
      <c r="C542" s="1092" t="s">
        <v>2962</v>
      </c>
      <c r="D542" s="1092" t="s">
        <v>37</v>
      </c>
      <c r="E542" s="1092" t="s">
        <v>142</v>
      </c>
      <c r="F542" s="1092" t="s">
        <v>242</v>
      </c>
      <c r="G542" s="1092" t="s">
        <v>242</v>
      </c>
      <c r="H542" s="100"/>
      <c r="I542" s="100"/>
      <c r="J542" s="100"/>
      <c r="K542" s="100"/>
    </row>
    <row r="543" spans="3:11">
      <c r="C543" s="1092" t="s">
        <v>2962</v>
      </c>
      <c r="D543" s="1092" t="s">
        <v>37</v>
      </c>
      <c r="E543" s="1092" t="s">
        <v>142</v>
      </c>
      <c r="F543" s="1092" t="s">
        <v>2634</v>
      </c>
      <c r="G543" s="1092" t="s">
        <v>2634</v>
      </c>
      <c r="H543" s="100"/>
      <c r="I543" s="100"/>
      <c r="J543" s="100"/>
      <c r="K543" s="100"/>
    </row>
    <row r="544" spans="3:11">
      <c r="C544" s="1092" t="s">
        <v>2962</v>
      </c>
      <c r="D544" s="1092" t="s">
        <v>37</v>
      </c>
      <c r="E544" s="1092" t="s">
        <v>142</v>
      </c>
      <c r="F544" s="1092" t="s">
        <v>3347</v>
      </c>
      <c r="G544" s="1092" t="s">
        <v>3347</v>
      </c>
      <c r="H544" s="100"/>
      <c r="I544" s="100"/>
      <c r="J544" s="100"/>
      <c r="K544" s="100"/>
    </row>
    <row r="545" spans="3:11">
      <c r="C545" s="1092" t="s">
        <v>2962</v>
      </c>
      <c r="D545" s="1092" t="s">
        <v>37</v>
      </c>
      <c r="E545" s="1092" t="s">
        <v>142</v>
      </c>
      <c r="F545" s="1092" t="s">
        <v>3347</v>
      </c>
      <c r="G545" s="1092" t="s">
        <v>3349</v>
      </c>
      <c r="H545" s="100"/>
      <c r="I545" s="100"/>
      <c r="J545" s="100"/>
      <c r="K545" s="100"/>
    </row>
    <row r="546" spans="3:11">
      <c r="C546" s="1092" t="s">
        <v>2962</v>
      </c>
      <c r="D546" s="1092" t="s">
        <v>37</v>
      </c>
      <c r="E546" s="1092" t="s">
        <v>142</v>
      </c>
      <c r="F546" s="1092" t="s">
        <v>3347</v>
      </c>
      <c r="G546" s="1092" t="s">
        <v>3362</v>
      </c>
      <c r="H546" s="100"/>
    </row>
    <row r="547" spans="3:11">
      <c r="C547" s="100"/>
      <c r="D547" s="100"/>
      <c r="E547" s="100"/>
      <c r="F547" s="100"/>
      <c r="G547" s="100"/>
      <c r="H547" s="100"/>
    </row>
    <row r="548" spans="3:11">
      <c r="C548" s="100"/>
      <c r="D548" s="100"/>
      <c r="E548" s="100"/>
      <c r="F548" s="100"/>
      <c r="G548" s="100"/>
      <c r="H548" s="100"/>
    </row>
    <row r="549" spans="3:11">
      <c r="C549" s="100"/>
      <c r="D549" s="100"/>
      <c r="E549" s="100"/>
      <c r="F549" s="100"/>
      <c r="G549" s="100"/>
      <c r="H549" s="100"/>
    </row>
    <row r="550" spans="3:11">
      <c r="C550" s="100"/>
      <c r="D550" s="100"/>
      <c r="E550" s="100"/>
      <c r="F550" s="100"/>
      <c r="G550" s="100"/>
      <c r="H550" s="100"/>
    </row>
    <row r="551" spans="3:11">
      <c r="C551" s="100"/>
      <c r="D551" s="100"/>
      <c r="E551" s="100"/>
      <c r="F551" s="100"/>
      <c r="G551" s="100"/>
      <c r="H551" s="100"/>
    </row>
    <row r="552" spans="3:11">
      <c r="C552" s="100"/>
      <c r="D552" s="100"/>
      <c r="E552" s="100"/>
      <c r="F552" s="100"/>
      <c r="G552" s="100"/>
      <c r="H552" s="100"/>
    </row>
    <row r="553" spans="3:11">
      <c r="C553" s="100"/>
      <c r="D553" s="100"/>
      <c r="E553" s="100"/>
      <c r="F553" s="100"/>
      <c r="G553" s="100"/>
      <c r="H553" s="100"/>
    </row>
    <row r="554" spans="3:11">
      <c r="C554" s="100"/>
      <c r="D554" s="100"/>
      <c r="E554" s="100"/>
      <c r="F554" s="100"/>
      <c r="G554" s="100"/>
      <c r="H554" s="100"/>
    </row>
    <row r="555" spans="3:11">
      <c r="C555" s="100"/>
      <c r="D555" s="100"/>
      <c r="E555" s="100"/>
      <c r="F555" s="100"/>
      <c r="G555" s="100"/>
      <c r="H555" s="100"/>
    </row>
    <row r="556" spans="3:11">
      <c r="C556" s="100"/>
      <c r="D556" s="100"/>
      <c r="E556" s="100"/>
      <c r="F556" s="100"/>
      <c r="G556" s="100"/>
      <c r="H556" s="100"/>
    </row>
    <row r="557" spans="3:11">
      <c r="C557" s="100"/>
      <c r="D557" s="100"/>
      <c r="E557" s="100"/>
      <c r="F557" s="100"/>
      <c r="G557" s="100"/>
      <c r="H557" s="100"/>
    </row>
    <row r="558" spans="3:11">
      <c r="C558" s="100"/>
      <c r="D558" s="100"/>
      <c r="E558" s="100"/>
      <c r="F558" s="100"/>
      <c r="G558" s="100"/>
      <c r="H558" s="100"/>
    </row>
    <row r="559" spans="3:11">
      <c r="C559" s="100"/>
      <c r="D559" s="100"/>
      <c r="E559" s="100"/>
      <c r="F559" s="100"/>
      <c r="G559" s="100"/>
      <c r="H559" s="100"/>
    </row>
    <row r="560" spans="3:11">
      <c r="C560" s="100"/>
      <c r="D560" s="100"/>
      <c r="E560" s="100"/>
      <c r="F560" s="100"/>
      <c r="G560" s="100"/>
      <c r="H560" s="100"/>
    </row>
    <row r="561" spans="3:8">
      <c r="C561" s="100"/>
      <c r="D561" s="100"/>
      <c r="E561" s="100"/>
      <c r="F561" s="100"/>
      <c r="G561" s="100"/>
      <c r="H561" s="100"/>
    </row>
    <row r="562" spans="3:8">
      <c r="C562" s="100"/>
      <c r="D562" s="100"/>
      <c r="E562" s="100"/>
      <c r="F562" s="100"/>
      <c r="G562" s="100"/>
      <c r="H562" s="100"/>
    </row>
    <row r="563" spans="3:8">
      <c r="C563" s="100"/>
      <c r="D563" s="100"/>
      <c r="E563" s="100"/>
      <c r="F563" s="100"/>
      <c r="G563" s="100"/>
      <c r="H563" s="100"/>
    </row>
    <row r="564" spans="3:8">
      <c r="C564" s="100"/>
      <c r="D564" s="100"/>
      <c r="E564" s="100"/>
      <c r="F564" s="100"/>
      <c r="G564" s="100"/>
      <c r="H564" s="100"/>
    </row>
    <row r="565" spans="3:8">
      <c r="C565" s="100"/>
      <c r="D565" s="100"/>
      <c r="E565" s="100"/>
      <c r="F565" s="100"/>
      <c r="G565" s="100"/>
      <c r="H565" s="100"/>
    </row>
    <row r="566" spans="3:8">
      <c r="C566" s="100"/>
      <c r="D566" s="100"/>
      <c r="E566" s="100"/>
      <c r="F566" s="100"/>
      <c r="G566" s="100"/>
      <c r="H566" s="100"/>
    </row>
    <row r="567" spans="3:8">
      <c r="C567" s="100"/>
      <c r="D567" s="100"/>
      <c r="E567" s="100"/>
      <c r="F567" s="100"/>
      <c r="G567" s="100"/>
      <c r="H567" s="100"/>
    </row>
    <row r="568" spans="3:8">
      <c r="C568" s="100"/>
      <c r="D568" s="100"/>
      <c r="E568" s="100"/>
      <c r="F568" s="100"/>
      <c r="G568" s="100"/>
      <c r="H568" s="100"/>
    </row>
    <row r="569" spans="3:8">
      <c r="C569" s="100"/>
      <c r="D569" s="100"/>
      <c r="E569" s="100"/>
      <c r="F569" s="100"/>
      <c r="G569" s="100"/>
      <c r="H569" s="100"/>
    </row>
    <row r="570" spans="3:8">
      <c r="C570" s="100"/>
      <c r="D570" s="100"/>
      <c r="E570" s="100"/>
      <c r="F570" s="100"/>
      <c r="G570" s="100"/>
      <c r="H570" s="100"/>
    </row>
    <row r="571" spans="3:8">
      <c r="C571" s="100"/>
      <c r="D571" s="100"/>
      <c r="E571" s="100"/>
      <c r="F571" s="100"/>
      <c r="G571" s="100"/>
      <c r="H571" s="100"/>
    </row>
    <row r="572" spans="3:8">
      <c r="C572" s="100"/>
      <c r="D572" s="100"/>
      <c r="E572" s="100"/>
      <c r="F572" s="100"/>
      <c r="G572" s="100"/>
      <c r="H572" s="100"/>
    </row>
    <row r="573" spans="3:8">
      <c r="C573" s="100"/>
      <c r="D573" s="100"/>
      <c r="E573" s="100"/>
      <c r="F573" s="100"/>
      <c r="G573" s="100"/>
      <c r="H573" s="100"/>
    </row>
    <row r="574" spans="3:8">
      <c r="C574" s="100"/>
      <c r="D574" s="100"/>
      <c r="E574" s="100"/>
      <c r="F574" s="100"/>
      <c r="G574" s="100"/>
      <c r="H574" s="100"/>
    </row>
    <row r="575" spans="3:8">
      <c r="C575" s="100"/>
      <c r="D575" s="100"/>
      <c r="E575" s="100"/>
      <c r="F575" s="100"/>
      <c r="G575" s="100"/>
      <c r="H575" s="100"/>
    </row>
    <row r="576" spans="3:8">
      <c r="C576" s="100"/>
      <c r="D576" s="100"/>
      <c r="E576" s="100"/>
      <c r="F576" s="100"/>
      <c r="G576" s="100"/>
      <c r="H576" s="100"/>
    </row>
    <row r="577" spans="3:8">
      <c r="C577" s="100"/>
      <c r="D577" s="100"/>
      <c r="E577" s="100"/>
      <c r="F577" s="100"/>
      <c r="G577" s="100"/>
      <c r="H577" s="100"/>
    </row>
    <row r="578" spans="3:8">
      <c r="C578" s="100"/>
      <c r="D578" s="100"/>
      <c r="E578" s="100"/>
      <c r="F578" s="100"/>
      <c r="G578" s="100"/>
      <c r="H578" s="100"/>
    </row>
    <row r="579" spans="3:8">
      <c r="C579" s="100"/>
      <c r="D579" s="100"/>
      <c r="E579" s="100"/>
      <c r="F579" s="100"/>
      <c r="G579" s="100"/>
      <c r="H579" s="100"/>
    </row>
    <row r="580" spans="3:8">
      <c r="C580" s="100"/>
      <c r="D580" s="100"/>
      <c r="E580" s="100"/>
      <c r="F580" s="100"/>
      <c r="G580" s="100"/>
      <c r="H580" s="100"/>
    </row>
    <row r="581" spans="3:8">
      <c r="C581" s="100"/>
      <c r="D581" s="100"/>
      <c r="E581" s="100"/>
      <c r="F581" s="100"/>
      <c r="G581" s="100"/>
      <c r="H581" s="100"/>
    </row>
    <row r="582" spans="3:8">
      <c r="C582" s="100"/>
      <c r="D582" s="100"/>
      <c r="E582" s="100"/>
      <c r="F582" s="100"/>
      <c r="G582" s="100"/>
      <c r="H582" s="100"/>
    </row>
    <row r="583" spans="3:8">
      <c r="C583" s="100"/>
      <c r="D583" s="100"/>
      <c r="E583" s="100"/>
      <c r="F583" s="100"/>
      <c r="G583" s="100"/>
      <c r="H583" s="100"/>
    </row>
    <row r="584" spans="3:8">
      <c r="C584" s="100"/>
      <c r="D584" s="100"/>
      <c r="E584" s="100"/>
      <c r="F584" s="100"/>
      <c r="G584" s="100"/>
      <c r="H584" s="100"/>
    </row>
    <row r="585" spans="3:8">
      <c r="C585" s="100"/>
      <c r="D585" s="100"/>
      <c r="E585" s="100"/>
      <c r="F585" s="100"/>
      <c r="G585" s="100"/>
      <c r="H585" s="100"/>
    </row>
    <row r="586" spans="3:8">
      <c r="C586" s="100"/>
      <c r="D586" s="100"/>
      <c r="E586" s="100"/>
      <c r="F586" s="100"/>
      <c r="G586" s="100"/>
      <c r="H586" s="100"/>
    </row>
    <row r="587" spans="3:8">
      <c r="C587" s="100"/>
      <c r="D587" s="100"/>
      <c r="E587" s="100"/>
      <c r="F587" s="100"/>
      <c r="G587" s="100"/>
      <c r="H587" s="100"/>
    </row>
    <row r="588" spans="3:8">
      <c r="C588" s="100"/>
      <c r="D588" s="100"/>
      <c r="E588" s="100"/>
      <c r="F588" s="100"/>
      <c r="G588" s="100"/>
      <c r="H588" s="100"/>
    </row>
    <row r="589" spans="3:8">
      <c r="C589" s="100"/>
      <c r="D589" s="100"/>
      <c r="E589" s="100"/>
      <c r="F589" s="100"/>
      <c r="G589" s="100"/>
      <c r="H589" s="100"/>
    </row>
    <row r="590" spans="3:8">
      <c r="C590" s="100"/>
      <c r="D590" s="100"/>
      <c r="E590" s="100"/>
      <c r="F590" s="100"/>
      <c r="G590" s="100"/>
      <c r="H590" s="100"/>
    </row>
    <row r="591" spans="3:8">
      <c r="C591" s="100"/>
      <c r="D591" s="100"/>
      <c r="E591" s="100"/>
      <c r="F591" s="100"/>
      <c r="G591" s="100"/>
      <c r="H591" s="100"/>
    </row>
    <row r="592" spans="3:8">
      <c r="C592" s="100"/>
      <c r="D592" s="100"/>
      <c r="E592" s="100"/>
      <c r="F592" s="100"/>
      <c r="G592" s="100"/>
      <c r="H592" s="100"/>
    </row>
    <row r="593" spans="3:8">
      <c r="C593" s="100"/>
      <c r="D593" s="100"/>
      <c r="E593" s="100"/>
      <c r="F593" s="100"/>
      <c r="G593" s="100"/>
      <c r="H593" s="100"/>
    </row>
    <row r="594" spans="3:8">
      <c r="C594" s="100"/>
      <c r="D594" s="100"/>
      <c r="E594" s="100"/>
      <c r="F594" s="100"/>
      <c r="G594" s="100"/>
      <c r="H594" s="100"/>
    </row>
    <row r="595" spans="3:8">
      <c r="C595" s="100"/>
      <c r="D595" s="100"/>
      <c r="E595" s="100"/>
      <c r="F595" s="100"/>
      <c r="G595" s="100"/>
      <c r="H595" s="100"/>
    </row>
    <row r="596" spans="3:8">
      <c r="C596" s="100"/>
      <c r="D596" s="100"/>
      <c r="E596" s="100"/>
      <c r="F596" s="100"/>
      <c r="G596" s="100"/>
      <c r="H596" s="100"/>
    </row>
    <row r="597" spans="3:8">
      <c r="C597" s="100"/>
      <c r="D597" s="100"/>
      <c r="E597" s="100"/>
      <c r="F597" s="100"/>
      <c r="G597" s="100"/>
      <c r="H597" s="100"/>
    </row>
    <row r="598" spans="3:8">
      <c r="C598" s="100"/>
      <c r="D598" s="100"/>
      <c r="E598" s="100"/>
      <c r="F598" s="100"/>
      <c r="G598" s="100"/>
      <c r="H598" s="100"/>
    </row>
    <row r="599" spans="3:8">
      <c r="C599" s="100"/>
      <c r="D599" s="100"/>
      <c r="E599" s="100"/>
      <c r="F599" s="100"/>
      <c r="G599" s="100"/>
      <c r="H599" s="100"/>
    </row>
    <row r="600" spans="3:8">
      <c r="C600" s="100"/>
      <c r="D600" s="100"/>
      <c r="E600" s="100"/>
      <c r="F600" s="100"/>
      <c r="G600" s="100"/>
      <c r="H600" s="100"/>
    </row>
    <row r="601" spans="3:8">
      <c r="C601" s="100"/>
      <c r="D601" s="100"/>
      <c r="E601" s="100"/>
      <c r="F601" s="100"/>
      <c r="G601" s="100"/>
      <c r="H601" s="100"/>
    </row>
    <row r="602" spans="3:8">
      <c r="C602" s="100"/>
      <c r="D602" s="100"/>
      <c r="E602" s="100"/>
      <c r="F602" s="100"/>
      <c r="G602" s="100"/>
      <c r="H602" s="100"/>
    </row>
    <row r="603" spans="3:8">
      <c r="C603" s="100"/>
      <c r="D603" s="100"/>
      <c r="E603" s="100"/>
      <c r="F603" s="100"/>
      <c r="G603" s="100"/>
      <c r="H603" s="100"/>
    </row>
    <row r="604" spans="3:8">
      <c r="C604" s="100"/>
      <c r="D604" s="100"/>
      <c r="E604" s="100"/>
      <c r="F604" s="100"/>
      <c r="G604" s="100"/>
      <c r="H604" s="100"/>
    </row>
    <row r="605" spans="3:8">
      <c r="C605" s="100"/>
      <c r="D605" s="100"/>
      <c r="E605" s="100"/>
      <c r="F605" s="100"/>
      <c r="G605" s="100"/>
      <c r="H605" s="100"/>
    </row>
    <row r="606" spans="3:8">
      <c r="C606" s="100"/>
      <c r="D606" s="100"/>
      <c r="E606" s="100"/>
      <c r="F606" s="100"/>
      <c r="G606" s="100"/>
      <c r="H606" s="100"/>
    </row>
    <row r="607" spans="3:8">
      <c r="C607" s="100"/>
      <c r="D607" s="100"/>
      <c r="E607" s="100"/>
      <c r="F607" s="100"/>
      <c r="G607" s="100"/>
      <c r="H607" s="100"/>
    </row>
    <row r="608" spans="3:8">
      <c r="C608" s="100"/>
      <c r="D608" s="100"/>
      <c r="E608" s="100"/>
      <c r="F608" s="100"/>
      <c r="G608" s="100"/>
      <c r="H608" s="100"/>
    </row>
    <row r="609" spans="3:8">
      <c r="C609" s="100"/>
      <c r="D609" s="100"/>
      <c r="E609" s="100"/>
      <c r="F609" s="100"/>
      <c r="G609" s="100"/>
      <c r="H609" s="100"/>
    </row>
    <row r="610" spans="3:8">
      <c r="C610" s="100"/>
      <c r="D610" s="100"/>
      <c r="E610" s="100"/>
      <c r="F610" s="100"/>
      <c r="G610" s="100"/>
      <c r="H610" s="100"/>
    </row>
    <row r="611" spans="3:8">
      <c r="C611" s="100"/>
      <c r="D611" s="100"/>
      <c r="E611" s="100"/>
      <c r="F611" s="100"/>
      <c r="G611" s="100"/>
      <c r="H611" s="100"/>
    </row>
    <row r="612" spans="3:8">
      <c r="C612" s="100"/>
      <c r="D612" s="100"/>
      <c r="E612" s="100"/>
      <c r="F612" s="100"/>
      <c r="G612" s="100"/>
      <c r="H612" s="100"/>
    </row>
    <row r="613" spans="3:8">
      <c r="C613" s="100"/>
      <c r="D613" s="100"/>
      <c r="E613" s="100"/>
      <c r="F613" s="100"/>
      <c r="G613" s="100"/>
      <c r="H613" s="100"/>
    </row>
    <row r="614" spans="3:8">
      <c r="C614" s="100"/>
      <c r="D614" s="100"/>
      <c r="E614" s="100"/>
      <c r="F614" s="100"/>
      <c r="G614" s="100"/>
      <c r="H614" s="100"/>
    </row>
    <row r="615" spans="3:8">
      <c r="C615" s="100"/>
      <c r="D615" s="100"/>
      <c r="E615" s="100"/>
      <c r="F615" s="100"/>
      <c r="G615" s="100"/>
      <c r="H615" s="100"/>
    </row>
    <row r="616" spans="3:8">
      <c r="C616" s="100"/>
      <c r="D616" s="100"/>
      <c r="E616" s="100"/>
      <c r="F616" s="100"/>
      <c r="G616" s="100"/>
      <c r="H616" s="100"/>
    </row>
    <row r="617" spans="3:8">
      <c r="C617" s="100"/>
      <c r="D617" s="100"/>
      <c r="E617" s="100"/>
      <c r="F617" s="100"/>
      <c r="G617" s="100"/>
      <c r="H617" s="100"/>
    </row>
    <row r="618" spans="3:8">
      <c r="C618" s="100"/>
      <c r="D618" s="100"/>
      <c r="E618" s="100"/>
      <c r="F618" s="100"/>
      <c r="G618" s="100"/>
      <c r="H618" s="100"/>
    </row>
    <row r="619" spans="3:8">
      <c r="C619" s="100"/>
      <c r="D619" s="100"/>
      <c r="E619" s="100"/>
      <c r="F619" s="100"/>
      <c r="G619" s="100"/>
      <c r="H619" s="100"/>
    </row>
    <row r="620" spans="3:8">
      <c r="C620" s="100"/>
      <c r="D620" s="100"/>
      <c r="E620" s="100"/>
      <c r="F620" s="100"/>
      <c r="G620" s="100"/>
      <c r="H620" s="100"/>
    </row>
    <row r="621" spans="3:8">
      <c r="C621" s="100"/>
      <c r="D621" s="100"/>
      <c r="E621" s="100"/>
      <c r="F621" s="100"/>
      <c r="G621" s="100"/>
      <c r="H621" s="100"/>
    </row>
    <row r="622" spans="3:8">
      <c r="C622" s="100"/>
      <c r="D622" s="100"/>
      <c r="E622" s="100"/>
      <c r="F622" s="100"/>
      <c r="G622" s="100"/>
      <c r="H622" s="100"/>
    </row>
    <row r="623" spans="3:8">
      <c r="C623" s="100"/>
      <c r="D623" s="100"/>
      <c r="E623" s="100"/>
      <c r="F623" s="100"/>
      <c r="G623" s="100"/>
      <c r="H623" s="100"/>
    </row>
    <row r="624" spans="3:8">
      <c r="C624" s="100"/>
      <c r="D624" s="100"/>
      <c r="E624" s="100"/>
      <c r="F624" s="100"/>
      <c r="G624" s="100"/>
      <c r="H624" s="100"/>
    </row>
    <row r="625" spans="3:8">
      <c r="C625" s="100"/>
      <c r="D625" s="100"/>
      <c r="E625" s="100"/>
      <c r="F625" s="100"/>
      <c r="G625" s="100"/>
      <c r="H625" s="100"/>
    </row>
    <row r="626" spans="3:8">
      <c r="C626" s="100"/>
      <c r="D626" s="100"/>
      <c r="E626" s="100"/>
      <c r="F626" s="100"/>
      <c r="G626" s="100"/>
      <c r="H626" s="100"/>
    </row>
    <row r="627" spans="3:8">
      <c r="C627" s="100"/>
      <c r="D627" s="100"/>
      <c r="E627" s="100"/>
      <c r="F627" s="100"/>
      <c r="G627" s="100"/>
      <c r="H627" s="100"/>
    </row>
    <row r="628" spans="3:8">
      <c r="C628" s="100"/>
      <c r="D628" s="100"/>
      <c r="E628" s="100"/>
      <c r="F628" s="100"/>
      <c r="G628" s="100"/>
      <c r="H628" s="100"/>
    </row>
    <row r="629" spans="3:8">
      <c r="C629" s="100"/>
      <c r="D629" s="100"/>
      <c r="E629" s="100"/>
      <c r="F629" s="100"/>
      <c r="G629" s="100"/>
      <c r="H629" s="100"/>
    </row>
    <row r="630" spans="3:8">
      <c r="C630" s="100"/>
      <c r="D630" s="100"/>
      <c r="E630" s="100"/>
      <c r="F630" s="100"/>
      <c r="G630" s="100"/>
      <c r="H630" s="100"/>
    </row>
    <row r="631" spans="3:8">
      <c r="C631" s="100"/>
      <c r="D631" s="100"/>
      <c r="E631" s="100"/>
      <c r="F631" s="100"/>
      <c r="G631" s="100"/>
      <c r="H631" s="100"/>
    </row>
    <row r="632" spans="3:8">
      <c r="C632" s="100"/>
      <c r="D632" s="100"/>
      <c r="E632" s="100"/>
      <c r="F632" s="100"/>
      <c r="G632" s="100"/>
      <c r="H632" s="100"/>
    </row>
    <row r="633" spans="3:8">
      <c r="C633" s="100"/>
      <c r="D633" s="100"/>
      <c r="E633" s="100"/>
      <c r="F633" s="100"/>
      <c r="G633" s="100"/>
      <c r="H633" s="100"/>
    </row>
    <row r="634" spans="3:8">
      <c r="C634" s="100"/>
      <c r="D634" s="100"/>
      <c r="E634" s="100"/>
      <c r="F634" s="100"/>
      <c r="G634" s="100"/>
      <c r="H634" s="100"/>
    </row>
    <row r="635" spans="3:8">
      <c r="C635" s="100"/>
      <c r="D635" s="100"/>
      <c r="E635" s="100"/>
      <c r="F635" s="100"/>
      <c r="G635" s="100"/>
      <c r="H635" s="100"/>
    </row>
    <row r="636" spans="3:8">
      <c r="C636" s="100"/>
      <c r="D636" s="100"/>
      <c r="E636" s="100"/>
      <c r="F636" s="100"/>
      <c r="G636" s="100"/>
      <c r="H636" s="100"/>
    </row>
    <row r="637" spans="3:8">
      <c r="C637" s="100"/>
      <c r="D637" s="100"/>
      <c r="E637" s="100"/>
      <c r="F637" s="100"/>
      <c r="G637" s="100"/>
      <c r="H637" s="100"/>
    </row>
    <row r="638" spans="3:8">
      <c r="C638" s="100"/>
      <c r="D638" s="100"/>
      <c r="E638" s="100"/>
      <c r="F638" s="100"/>
      <c r="G638" s="100"/>
      <c r="H638" s="100"/>
    </row>
    <row r="639" spans="3:8">
      <c r="C639" s="100"/>
      <c r="D639" s="100"/>
      <c r="E639" s="100"/>
      <c r="F639" s="100"/>
      <c r="G639" s="100"/>
      <c r="H639" s="100"/>
    </row>
    <row r="640" spans="3:8">
      <c r="C640" s="100"/>
      <c r="D640" s="100"/>
      <c r="E640" s="100"/>
      <c r="F640" s="100"/>
      <c r="G640" s="100"/>
      <c r="H640" s="100"/>
    </row>
    <row r="641" spans="3:8">
      <c r="C641" s="100"/>
      <c r="D641" s="100"/>
      <c r="E641" s="100"/>
      <c r="F641" s="100"/>
      <c r="G641" s="100"/>
      <c r="H641" s="100"/>
    </row>
    <row r="642" spans="3:8">
      <c r="C642" s="100"/>
      <c r="D642" s="100"/>
      <c r="E642" s="100"/>
      <c r="F642" s="100"/>
      <c r="G642" s="100"/>
      <c r="H642" s="100"/>
    </row>
    <row r="643" spans="3:8">
      <c r="C643" s="100"/>
      <c r="D643" s="100"/>
      <c r="E643" s="100"/>
      <c r="F643" s="100"/>
      <c r="G643" s="100"/>
      <c r="H643" s="100"/>
    </row>
    <row r="644" spans="3:8">
      <c r="C644" s="100"/>
      <c r="D644" s="100"/>
      <c r="E644" s="100"/>
      <c r="F644" s="100"/>
      <c r="G644" s="100"/>
      <c r="H644" s="100"/>
    </row>
    <row r="645" spans="3:8">
      <c r="C645" s="100"/>
      <c r="D645" s="100"/>
      <c r="E645" s="100"/>
      <c r="F645" s="100"/>
      <c r="G645" s="100"/>
      <c r="H645" s="100"/>
    </row>
    <row r="646" spans="3:8">
      <c r="C646" s="100"/>
      <c r="D646" s="100"/>
      <c r="E646" s="100"/>
      <c r="F646" s="100"/>
      <c r="G646" s="100"/>
      <c r="H646" s="100"/>
    </row>
    <row r="647" spans="3:8">
      <c r="C647" s="100"/>
      <c r="D647" s="100"/>
      <c r="E647" s="100"/>
      <c r="F647" s="100"/>
      <c r="G647" s="100"/>
      <c r="H647" s="100"/>
    </row>
    <row r="648" spans="3:8">
      <c r="C648" s="100"/>
      <c r="D648" s="100"/>
      <c r="E648" s="100"/>
      <c r="F648" s="100"/>
      <c r="G648" s="100"/>
      <c r="H648" s="100"/>
    </row>
    <row r="649" spans="3:8">
      <c r="C649" s="100"/>
      <c r="D649" s="100"/>
      <c r="E649" s="100"/>
      <c r="F649" s="100"/>
      <c r="G649" s="100"/>
      <c r="H649" s="100"/>
    </row>
    <row r="650" spans="3:8">
      <c r="C650" s="100"/>
      <c r="D650" s="100"/>
      <c r="E650" s="100"/>
      <c r="F650" s="100"/>
      <c r="G650" s="100"/>
      <c r="H650" s="100"/>
    </row>
    <row r="651" spans="3:8">
      <c r="C651" s="100"/>
      <c r="D651" s="100"/>
      <c r="E651" s="100"/>
      <c r="F651" s="100"/>
      <c r="G651" s="100"/>
      <c r="H651" s="100"/>
    </row>
    <row r="652" spans="3:8">
      <c r="C652" s="100"/>
      <c r="D652" s="100"/>
      <c r="E652" s="100"/>
      <c r="F652" s="100"/>
      <c r="G652" s="100"/>
      <c r="H652" s="100"/>
    </row>
    <row r="653" spans="3:8">
      <c r="C653" s="100"/>
      <c r="D653" s="100"/>
      <c r="E653" s="100"/>
      <c r="F653" s="100"/>
      <c r="G653" s="100"/>
      <c r="H653" s="100"/>
    </row>
    <row r="654" spans="3:8">
      <c r="C654" s="100"/>
      <c r="D654" s="100"/>
      <c r="E654" s="100"/>
      <c r="F654" s="100"/>
      <c r="G654" s="100"/>
      <c r="H654" s="100"/>
    </row>
    <row r="655" spans="3:8">
      <c r="C655" s="100"/>
      <c r="D655" s="100"/>
      <c r="E655" s="100"/>
      <c r="F655" s="100"/>
      <c r="G655" s="100"/>
      <c r="H655" s="100"/>
    </row>
    <row r="656" spans="3:8">
      <c r="C656" s="100"/>
      <c r="D656" s="100"/>
      <c r="E656" s="100"/>
      <c r="F656" s="100"/>
      <c r="G656" s="100"/>
      <c r="H656" s="100"/>
    </row>
    <row r="657" spans="3:8">
      <c r="C657" s="100"/>
      <c r="D657" s="100"/>
      <c r="E657" s="100"/>
      <c r="F657" s="100"/>
      <c r="G657" s="100"/>
      <c r="H657" s="100"/>
    </row>
    <row r="658" spans="3:8">
      <c r="C658" s="100"/>
      <c r="D658" s="100"/>
      <c r="E658" s="100"/>
      <c r="F658" s="100"/>
      <c r="G658" s="100"/>
      <c r="H658" s="100"/>
    </row>
    <row r="659" spans="3:8">
      <c r="C659" s="100"/>
      <c r="D659" s="100"/>
      <c r="E659" s="100"/>
      <c r="F659" s="100"/>
      <c r="G659" s="100"/>
      <c r="H659" s="100"/>
    </row>
    <row r="660" spans="3:8">
      <c r="C660" s="100"/>
      <c r="D660" s="100"/>
      <c r="E660" s="100"/>
      <c r="F660" s="100"/>
      <c r="G660" s="100"/>
      <c r="H660" s="100"/>
    </row>
    <row r="661" spans="3:8">
      <c r="C661" s="100"/>
      <c r="D661" s="100"/>
      <c r="E661" s="100"/>
      <c r="F661" s="100"/>
      <c r="G661" s="100"/>
      <c r="H661" s="100"/>
    </row>
    <row r="662" spans="3:8">
      <c r="C662" s="100"/>
      <c r="D662" s="100"/>
      <c r="E662" s="100"/>
      <c r="F662" s="100"/>
      <c r="G662" s="100"/>
      <c r="H662" s="100"/>
    </row>
    <row r="663" spans="3:8">
      <c r="C663" s="100"/>
      <c r="D663" s="100"/>
      <c r="E663" s="100"/>
      <c r="F663" s="100"/>
      <c r="G663" s="100"/>
      <c r="H663" s="100"/>
    </row>
    <row r="664" spans="3:8">
      <c r="C664" s="100"/>
      <c r="D664" s="100"/>
      <c r="E664" s="100"/>
      <c r="F664" s="100"/>
      <c r="G664" s="100"/>
      <c r="H664" s="100"/>
    </row>
    <row r="665" spans="3:8">
      <c r="C665" s="100"/>
      <c r="D665" s="100"/>
      <c r="E665" s="100"/>
      <c r="F665" s="100"/>
      <c r="G665" s="100"/>
      <c r="H665" s="100"/>
    </row>
    <row r="666" spans="3:8">
      <c r="C666" s="100"/>
      <c r="D666" s="100"/>
      <c r="E666" s="100"/>
      <c r="F666" s="100"/>
      <c r="G666" s="100"/>
      <c r="H666" s="100"/>
    </row>
    <row r="667" spans="3:8">
      <c r="C667" s="100"/>
      <c r="D667" s="100"/>
      <c r="E667" s="100"/>
      <c r="F667" s="100"/>
      <c r="G667" s="100"/>
      <c r="H667" s="100"/>
    </row>
    <row r="668" spans="3:8">
      <c r="C668" s="100"/>
      <c r="D668" s="100"/>
      <c r="E668" s="100"/>
      <c r="F668" s="100"/>
      <c r="G668" s="100"/>
      <c r="H668" s="100"/>
    </row>
    <row r="669" spans="3:8">
      <c r="C669" s="100"/>
      <c r="D669" s="100"/>
      <c r="E669" s="100"/>
      <c r="F669" s="100"/>
      <c r="G669" s="100"/>
      <c r="H669" s="100"/>
    </row>
    <row r="670" spans="3:8">
      <c r="C670" s="100"/>
      <c r="D670" s="100"/>
      <c r="E670" s="100"/>
      <c r="F670" s="100"/>
      <c r="G670" s="100"/>
      <c r="H670" s="100"/>
    </row>
    <row r="671" spans="3:8">
      <c r="C671" s="100"/>
      <c r="D671" s="100"/>
      <c r="E671" s="100"/>
      <c r="F671" s="100"/>
      <c r="G671" s="100"/>
      <c r="H671" s="100"/>
    </row>
    <row r="672" spans="3:8">
      <c r="C672" s="100"/>
      <c r="D672" s="100"/>
      <c r="E672" s="100"/>
      <c r="F672" s="100"/>
      <c r="G672" s="100"/>
      <c r="H672" s="100"/>
    </row>
    <row r="673" spans="3:8">
      <c r="C673" s="100"/>
      <c r="D673" s="100"/>
      <c r="E673" s="100"/>
      <c r="F673" s="100"/>
      <c r="G673" s="100"/>
      <c r="H673" s="100"/>
    </row>
    <row r="674" spans="3:8">
      <c r="C674" s="100"/>
      <c r="D674" s="100"/>
      <c r="E674" s="100"/>
      <c r="F674" s="100"/>
      <c r="G674" s="100"/>
      <c r="H674" s="100"/>
    </row>
    <row r="675" spans="3:8">
      <c r="C675" s="100"/>
      <c r="D675" s="100"/>
      <c r="E675" s="100"/>
      <c r="F675" s="100"/>
      <c r="G675" s="100"/>
      <c r="H675" s="100"/>
    </row>
    <row r="676" spans="3:8">
      <c r="C676" s="100"/>
      <c r="D676" s="100"/>
      <c r="E676" s="100"/>
      <c r="F676" s="100"/>
      <c r="G676" s="100"/>
      <c r="H676" s="100"/>
    </row>
    <row r="677" spans="3:8">
      <c r="C677" s="100"/>
      <c r="D677" s="100"/>
      <c r="E677" s="100"/>
      <c r="F677" s="100"/>
      <c r="G677" s="100"/>
      <c r="H677" s="100"/>
    </row>
    <row r="678" spans="3:8">
      <c r="C678" s="100"/>
      <c r="D678" s="100"/>
      <c r="E678" s="100"/>
      <c r="F678" s="100"/>
      <c r="G678" s="100"/>
      <c r="H678" s="100"/>
    </row>
    <row r="679" spans="3:8">
      <c r="C679" s="100"/>
      <c r="D679" s="100"/>
      <c r="E679" s="100"/>
      <c r="F679" s="100"/>
      <c r="G679" s="100"/>
      <c r="H679" s="100"/>
    </row>
    <row r="680" spans="3:8">
      <c r="C680" s="100"/>
      <c r="D680" s="100"/>
      <c r="E680" s="100"/>
      <c r="F680" s="100"/>
      <c r="G680" s="100"/>
      <c r="H680" s="100"/>
    </row>
    <row r="681" spans="3:8">
      <c r="C681" s="100"/>
      <c r="D681" s="100"/>
      <c r="E681" s="100"/>
      <c r="F681" s="100"/>
      <c r="G681" s="100"/>
      <c r="H681" s="100"/>
    </row>
    <row r="682" spans="3:8">
      <c r="C682" s="100"/>
      <c r="D682" s="100"/>
      <c r="E682" s="100"/>
      <c r="F682" s="100"/>
      <c r="G682" s="100"/>
      <c r="H682" s="100"/>
    </row>
    <row r="683" spans="3:8">
      <c r="C683" s="100"/>
      <c r="D683" s="100"/>
      <c r="E683" s="100"/>
      <c r="F683" s="100"/>
      <c r="G683" s="100"/>
      <c r="H683" s="100"/>
    </row>
    <row r="684" spans="3:8">
      <c r="C684" s="100"/>
      <c r="D684" s="100"/>
      <c r="E684" s="100"/>
      <c r="F684" s="100"/>
      <c r="G684" s="100"/>
      <c r="H684" s="100"/>
    </row>
    <row r="685" spans="3:8">
      <c r="C685" s="100"/>
      <c r="D685" s="100"/>
      <c r="E685" s="100"/>
      <c r="F685" s="100"/>
      <c r="G685" s="100"/>
      <c r="H685" s="100"/>
    </row>
    <row r="686" spans="3:8">
      <c r="C686" s="100"/>
      <c r="D686" s="100"/>
      <c r="E686" s="100"/>
      <c r="F686" s="100"/>
      <c r="G686" s="100"/>
      <c r="H686" s="100"/>
    </row>
    <row r="687" spans="3:8">
      <c r="C687" s="100"/>
      <c r="D687" s="100"/>
      <c r="E687" s="100"/>
      <c r="F687" s="100"/>
      <c r="G687" s="100"/>
      <c r="H687" s="100"/>
    </row>
    <row r="688" spans="3:8">
      <c r="C688" s="100"/>
      <c r="D688" s="100"/>
      <c r="E688" s="100"/>
      <c r="F688" s="100"/>
      <c r="G688" s="100"/>
      <c r="H688" s="100"/>
    </row>
    <row r="689" spans="3:8">
      <c r="C689" s="100"/>
      <c r="D689" s="100"/>
      <c r="E689" s="100"/>
      <c r="F689" s="100"/>
      <c r="G689" s="100"/>
      <c r="H689" s="100"/>
    </row>
    <row r="690" spans="3:8">
      <c r="C690" s="100"/>
      <c r="D690" s="100"/>
      <c r="E690" s="100"/>
      <c r="F690" s="100"/>
      <c r="G690" s="100"/>
      <c r="H690" s="100"/>
    </row>
    <row r="691" spans="3:8">
      <c r="C691" s="100"/>
      <c r="D691" s="100"/>
      <c r="E691" s="100"/>
      <c r="F691" s="100"/>
      <c r="G691" s="100"/>
      <c r="H691" s="100"/>
    </row>
    <row r="692" spans="3:8">
      <c r="C692" s="100"/>
      <c r="D692" s="100"/>
      <c r="E692" s="100"/>
      <c r="F692" s="100"/>
      <c r="G692" s="100"/>
      <c r="H692" s="100"/>
    </row>
    <row r="693" spans="3:8">
      <c r="C693" s="100"/>
      <c r="D693" s="100"/>
      <c r="E693" s="100"/>
      <c r="F693" s="100"/>
      <c r="G693" s="100"/>
      <c r="H693" s="100"/>
    </row>
    <row r="694" spans="3:8">
      <c r="C694" s="100"/>
      <c r="D694" s="100"/>
      <c r="E694" s="100"/>
      <c r="F694" s="100"/>
      <c r="G694" s="100"/>
      <c r="H694" s="100"/>
    </row>
    <row r="695" spans="3:8">
      <c r="C695" s="100"/>
      <c r="D695" s="100"/>
      <c r="E695" s="100"/>
      <c r="F695" s="100"/>
      <c r="G695" s="100"/>
      <c r="H695" s="100"/>
    </row>
    <row r="696" spans="3:8">
      <c r="C696" s="100"/>
      <c r="D696" s="100"/>
      <c r="E696" s="100"/>
      <c r="F696" s="100"/>
      <c r="G696" s="100"/>
      <c r="H696" s="100"/>
    </row>
    <row r="697" spans="3:8">
      <c r="C697" s="100"/>
      <c r="D697" s="100"/>
      <c r="E697" s="100"/>
      <c r="F697" s="100"/>
      <c r="G697" s="100"/>
      <c r="H697" s="100"/>
    </row>
    <row r="698" spans="3:8">
      <c r="C698" s="100"/>
      <c r="D698" s="100"/>
      <c r="E698" s="100"/>
      <c r="F698" s="100"/>
      <c r="G698" s="100"/>
      <c r="H698" s="100"/>
    </row>
    <row r="699" spans="3:8">
      <c r="C699" s="100"/>
      <c r="D699" s="100"/>
      <c r="E699" s="100"/>
      <c r="F699" s="100"/>
      <c r="G699" s="100"/>
      <c r="H699" s="100"/>
    </row>
    <row r="700" spans="3:8">
      <c r="C700" s="100"/>
      <c r="D700" s="100"/>
      <c r="E700" s="100"/>
      <c r="F700" s="100"/>
      <c r="G700" s="100"/>
      <c r="H700" s="100"/>
    </row>
    <row r="701" spans="3:8">
      <c r="C701" s="100"/>
      <c r="D701" s="100"/>
      <c r="E701" s="100"/>
      <c r="F701" s="100"/>
      <c r="G701" s="100"/>
      <c r="H701" s="100"/>
    </row>
    <row r="702" spans="3:8">
      <c r="C702" s="100"/>
      <c r="D702" s="100"/>
      <c r="E702" s="100"/>
      <c r="F702" s="100"/>
      <c r="G702" s="100"/>
      <c r="H702" s="100"/>
    </row>
    <row r="703" spans="3:8">
      <c r="C703" s="100"/>
      <c r="D703" s="100"/>
      <c r="E703" s="100"/>
      <c r="F703" s="100"/>
      <c r="G703" s="100"/>
      <c r="H703" s="100"/>
    </row>
    <row r="704" spans="3:8">
      <c r="C704" s="100"/>
      <c r="D704" s="100"/>
      <c r="E704" s="100"/>
      <c r="F704" s="100"/>
      <c r="G704" s="100"/>
      <c r="H704" s="100"/>
    </row>
    <row r="705" spans="3:8">
      <c r="C705" s="100"/>
      <c r="D705" s="100"/>
      <c r="E705" s="100"/>
      <c r="F705" s="100"/>
      <c r="G705" s="100"/>
      <c r="H705" s="100"/>
    </row>
    <row r="706" spans="3:8">
      <c r="C706" s="100"/>
      <c r="D706" s="100"/>
      <c r="E706" s="100"/>
      <c r="F706" s="100"/>
      <c r="G706" s="100"/>
      <c r="H706" s="100"/>
    </row>
    <row r="707" spans="3:8">
      <c r="C707" s="100"/>
      <c r="D707" s="100"/>
      <c r="E707" s="100"/>
      <c r="F707" s="100"/>
      <c r="G707" s="100"/>
      <c r="H707" s="100"/>
    </row>
    <row r="708" spans="3:8">
      <c r="C708" s="100"/>
      <c r="D708" s="100"/>
      <c r="E708" s="100"/>
      <c r="F708" s="100"/>
      <c r="G708" s="100"/>
      <c r="H708" s="100"/>
    </row>
    <row r="709" spans="3:8">
      <c r="C709" s="100"/>
      <c r="D709" s="100"/>
      <c r="E709" s="100"/>
      <c r="F709" s="100"/>
      <c r="G709" s="100"/>
      <c r="H709" s="100"/>
    </row>
    <row r="710" spans="3:8">
      <c r="C710" s="100"/>
      <c r="D710" s="100"/>
      <c r="E710" s="100"/>
      <c r="F710" s="100"/>
      <c r="G710" s="100"/>
      <c r="H710" s="100"/>
    </row>
    <row r="711" spans="3:8">
      <c r="C711" s="100"/>
      <c r="D711" s="100"/>
      <c r="E711" s="100"/>
      <c r="F711" s="100"/>
      <c r="G711" s="100"/>
      <c r="H711" s="100"/>
    </row>
    <row r="712" spans="3:8">
      <c r="C712" s="100"/>
      <c r="D712" s="100"/>
      <c r="E712" s="100"/>
      <c r="F712" s="100"/>
      <c r="G712" s="100"/>
      <c r="H712" s="100"/>
    </row>
    <row r="713" spans="3:8">
      <c r="C713" s="100"/>
      <c r="D713" s="100"/>
      <c r="E713" s="100"/>
      <c r="F713" s="100"/>
      <c r="G713" s="100"/>
      <c r="H713" s="100"/>
    </row>
    <row r="714" spans="3:8">
      <c r="C714" s="100"/>
      <c r="D714" s="100"/>
      <c r="E714" s="100"/>
      <c r="F714" s="100"/>
      <c r="G714" s="100"/>
      <c r="H714" s="100"/>
    </row>
    <row r="715" spans="3:8">
      <c r="C715" s="100"/>
      <c r="D715" s="100"/>
      <c r="E715" s="100"/>
      <c r="F715" s="100"/>
      <c r="G715" s="100"/>
      <c r="H715" s="100"/>
    </row>
    <row r="716" spans="3:8">
      <c r="C716" s="100"/>
      <c r="D716" s="100"/>
      <c r="E716" s="100"/>
      <c r="F716" s="100"/>
      <c r="G716" s="100"/>
      <c r="H716" s="100"/>
    </row>
    <row r="717" spans="3:8">
      <c r="C717" s="100"/>
      <c r="D717" s="100"/>
      <c r="E717" s="100"/>
      <c r="F717" s="100"/>
      <c r="G717" s="100"/>
      <c r="H717" s="100"/>
    </row>
    <row r="718" spans="3:8">
      <c r="C718" s="100"/>
      <c r="D718" s="100"/>
      <c r="E718" s="100"/>
      <c r="F718" s="100"/>
      <c r="G718" s="100"/>
      <c r="H718" s="100"/>
    </row>
    <row r="719" spans="3:8">
      <c r="C719" s="100"/>
      <c r="D719" s="100"/>
      <c r="E719" s="100"/>
      <c r="F719" s="100"/>
      <c r="G719" s="100"/>
      <c r="H719" s="100"/>
    </row>
    <row r="720" spans="3:8">
      <c r="C720" s="100"/>
      <c r="D720" s="100"/>
      <c r="E720" s="100"/>
      <c r="F720" s="100"/>
      <c r="G720" s="100"/>
      <c r="H720" s="100"/>
    </row>
    <row r="721" spans="3:8">
      <c r="C721" s="100"/>
      <c r="D721" s="100"/>
      <c r="E721" s="100"/>
      <c r="F721" s="100"/>
      <c r="G721" s="100"/>
      <c r="H721" s="100"/>
    </row>
    <row r="722" spans="3:8">
      <c r="C722" s="100"/>
      <c r="D722" s="100"/>
      <c r="E722" s="100"/>
      <c r="F722" s="100"/>
      <c r="G722" s="100"/>
      <c r="H722" s="100"/>
    </row>
    <row r="723" spans="3:8">
      <c r="C723" s="100"/>
      <c r="D723" s="100"/>
      <c r="E723" s="100"/>
      <c r="F723" s="100"/>
      <c r="G723" s="100"/>
      <c r="H723" s="100"/>
    </row>
    <row r="724" spans="3:8">
      <c r="C724" s="100"/>
      <c r="D724" s="100"/>
      <c r="E724" s="100"/>
      <c r="F724" s="100"/>
      <c r="G724" s="100"/>
      <c r="H724" s="100"/>
    </row>
    <row r="725" spans="3:8">
      <c r="C725" s="100"/>
      <c r="D725" s="100"/>
      <c r="E725" s="100"/>
      <c r="F725" s="100"/>
      <c r="G725" s="100"/>
      <c r="H725" s="100"/>
    </row>
    <row r="726" spans="3:8">
      <c r="C726" s="100"/>
      <c r="D726" s="100"/>
      <c r="E726" s="100"/>
      <c r="F726" s="100"/>
      <c r="G726" s="100"/>
      <c r="H726" s="100"/>
    </row>
    <row r="727" spans="3:8">
      <c r="C727" s="100"/>
      <c r="D727" s="100"/>
      <c r="E727" s="100"/>
      <c r="F727" s="100"/>
      <c r="G727" s="100"/>
      <c r="H727" s="100"/>
    </row>
    <row r="728" spans="3:8">
      <c r="C728" s="100"/>
      <c r="D728" s="100"/>
      <c r="E728" s="100"/>
      <c r="F728" s="100"/>
      <c r="G728" s="100"/>
      <c r="H728" s="100"/>
    </row>
    <row r="729" spans="3:8">
      <c r="C729" s="100"/>
      <c r="D729" s="100"/>
      <c r="E729" s="100"/>
      <c r="F729" s="100"/>
      <c r="G729" s="100"/>
      <c r="H729" s="100"/>
    </row>
    <row r="730" spans="3:8">
      <c r="C730" s="100"/>
      <c r="D730" s="100"/>
      <c r="E730" s="100"/>
      <c r="F730" s="100"/>
      <c r="G730" s="100"/>
      <c r="H730" s="100"/>
    </row>
    <row r="731" spans="3:8">
      <c r="C731" s="100"/>
      <c r="D731" s="100"/>
      <c r="E731" s="100"/>
      <c r="F731" s="100"/>
      <c r="G731" s="100"/>
      <c r="H731" s="100"/>
    </row>
    <row r="732" spans="3:8">
      <c r="C732" s="100"/>
      <c r="D732" s="100"/>
      <c r="E732" s="100"/>
      <c r="F732" s="100"/>
      <c r="G732" s="100"/>
      <c r="H732" s="100"/>
    </row>
    <row r="733" spans="3:8">
      <c r="C733" s="100"/>
      <c r="D733" s="100"/>
      <c r="E733" s="100"/>
      <c r="F733" s="100"/>
      <c r="G733" s="100"/>
      <c r="H733" s="100"/>
    </row>
    <row r="734" spans="3:8">
      <c r="C734" s="100"/>
      <c r="D734" s="100"/>
      <c r="E734" s="100"/>
      <c r="F734" s="100"/>
      <c r="G734" s="100"/>
      <c r="H734" s="100"/>
    </row>
    <row r="735" spans="3:8">
      <c r="C735" s="100"/>
      <c r="D735" s="100"/>
      <c r="E735" s="100"/>
      <c r="F735" s="100"/>
      <c r="G735" s="100"/>
      <c r="H735" s="100"/>
    </row>
    <row r="736" spans="3:8">
      <c r="C736" s="100"/>
      <c r="D736" s="100"/>
      <c r="E736" s="100"/>
      <c r="F736" s="100"/>
      <c r="G736" s="100"/>
      <c r="H736" s="100"/>
    </row>
    <row r="737" spans="3:8">
      <c r="C737" s="100"/>
      <c r="D737" s="100"/>
      <c r="E737" s="100"/>
      <c r="F737" s="100"/>
      <c r="G737" s="100"/>
      <c r="H737" s="100"/>
    </row>
    <row r="738" spans="3:8">
      <c r="C738" s="100"/>
      <c r="D738" s="100"/>
      <c r="E738" s="100"/>
      <c r="F738" s="100"/>
      <c r="G738" s="100"/>
      <c r="H738" s="100"/>
    </row>
    <row r="739" spans="3:8">
      <c r="C739" s="100"/>
      <c r="D739" s="100"/>
      <c r="E739" s="100"/>
      <c r="F739" s="100"/>
      <c r="G739" s="100"/>
      <c r="H739" s="100"/>
    </row>
    <row r="740" spans="3:8">
      <c r="C740" s="100"/>
      <c r="D740" s="100"/>
      <c r="E740" s="100"/>
      <c r="F740" s="100"/>
      <c r="G740" s="100"/>
      <c r="H740" s="100"/>
    </row>
    <row r="741" spans="3:8">
      <c r="C741" s="100"/>
      <c r="D741" s="100"/>
      <c r="E741" s="100"/>
      <c r="F741" s="100"/>
      <c r="G741" s="100"/>
      <c r="H741" s="100"/>
    </row>
    <row r="742" spans="3:8">
      <c r="C742" s="100"/>
      <c r="D742" s="100"/>
      <c r="E742" s="100"/>
      <c r="F742" s="100"/>
      <c r="G742" s="100"/>
      <c r="H742" s="100"/>
    </row>
    <row r="743" spans="3:8">
      <c r="C743" s="100"/>
      <c r="D743" s="100"/>
      <c r="E743" s="100"/>
      <c r="F743" s="100"/>
      <c r="G743" s="100"/>
      <c r="H743" s="100"/>
    </row>
    <row r="744" spans="3:8">
      <c r="C744" s="100"/>
      <c r="D744" s="100"/>
      <c r="E744" s="100"/>
      <c r="F744" s="100"/>
      <c r="G744" s="100"/>
      <c r="H744" s="100"/>
    </row>
    <row r="745" spans="3:8">
      <c r="C745" s="100"/>
      <c r="D745" s="100"/>
      <c r="E745" s="100"/>
      <c r="F745" s="100"/>
      <c r="G745" s="100"/>
      <c r="H745" s="100"/>
    </row>
    <row r="746" spans="3:8">
      <c r="C746" s="100"/>
      <c r="D746" s="100"/>
      <c r="E746" s="100"/>
      <c r="F746" s="100"/>
      <c r="G746" s="100"/>
      <c r="H746" s="100"/>
    </row>
    <row r="747" spans="3:8">
      <c r="C747" s="100"/>
      <c r="D747" s="100"/>
      <c r="E747" s="100"/>
      <c r="F747" s="100"/>
      <c r="G747" s="100"/>
      <c r="H747" s="100"/>
    </row>
    <row r="748" spans="3:8">
      <c r="C748" s="100"/>
      <c r="D748" s="100"/>
      <c r="E748" s="100"/>
      <c r="F748" s="100"/>
      <c r="G748" s="100"/>
      <c r="H748" s="100"/>
    </row>
    <row r="749" spans="3:8">
      <c r="C749" s="100"/>
      <c r="D749" s="100"/>
      <c r="E749" s="100"/>
      <c r="F749" s="100"/>
      <c r="G749" s="100"/>
      <c r="H749" s="100"/>
    </row>
    <row r="750" spans="3:8">
      <c r="C750" s="100"/>
      <c r="D750" s="100"/>
      <c r="E750" s="100"/>
      <c r="F750" s="100"/>
      <c r="G750" s="100"/>
      <c r="H750" s="100"/>
    </row>
    <row r="751" spans="3:8">
      <c r="C751" s="100"/>
      <c r="D751" s="100"/>
      <c r="E751" s="100"/>
      <c r="F751" s="100"/>
      <c r="G751" s="100"/>
      <c r="H751" s="100"/>
    </row>
    <row r="752" spans="3:8">
      <c r="C752" s="100"/>
      <c r="D752" s="100"/>
      <c r="E752" s="100"/>
      <c r="F752" s="100"/>
      <c r="G752" s="100"/>
      <c r="H752" s="100"/>
    </row>
    <row r="753" spans="3:8">
      <c r="C753" s="100"/>
      <c r="D753" s="100"/>
      <c r="E753" s="100"/>
      <c r="F753" s="100"/>
      <c r="G753" s="100"/>
      <c r="H753" s="100"/>
    </row>
    <row r="754" spans="3:8">
      <c r="C754" s="100"/>
      <c r="D754" s="100"/>
      <c r="E754" s="100"/>
      <c r="F754" s="100"/>
      <c r="G754" s="100"/>
      <c r="H754" s="100"/>
    </row>
    <row r="755" spans="3:8">
      <c r="C755" s="100"/>
      <c r="D755" s="100"/>
      <c r="E755" s="100"/>
      <c r="F755" s="100"/>
      <c r="G755" s="100"/>
      <c r="H755" s="100"/>
    </row>
    <row r="756" spans="3:8">
      <c r="C756" s="100"/>
      <c r="D756" s="100"/>
      <c r="E756" s="100"/>
      <c r="F756" s="100"/>
      <c r="G756" s="100"/>
      <c r="H756" s="100"/>
    </row>
    <row r="757" spans="3:8">
      <c r="C757" s="100"/>
      <c r="D757" s="100"/>
      <c r="E757" s="100"/>
      <c r="F757" s="100"/>
      <c r="G757" s="100"/>
      <c r="H757" s="100"/>
    </row>
    <row r="758" spans="3:8">
      <c r="C758" s="100"/>
      <c r="D758" s="100"/>
      <c r="E758" s="100"/>
      <c r="F758" s="100"/>
      <c r="G758" s="100"/>
      <c r="H758" s="100"/>
    </row>
    <row r="759" spans="3:8">
      <c r="C759" s="100"/>
      <c r="D759" s="100"/>
      <c r="E759" s="100"/>
      <c r="F759" s="100"/>
      <c r="G759" s="100"/>
      <c r="H759" s="100"/>
    </row>
    <row r="760" spans="3:8">
      <c r="C760" s="100"/>
      <c r="D760" s="100"/>
      <c r="E760" s="100"/>
      <c r="F760" s="100"/>
      <c r="G760" s="100"/>
      <c r="H760" s="100"/>
    </row>
    <row r="761" spans="3:8">
      <c r="C761" s="100"/>
      <c r="D761" s="100"/>
      <c r="E761" s="100"/>
      <c r="F761" s="100"/>
      <c r="G761" s="100"/>
      <c r="H761" s="100"/>
    </row>
    <row r="762" spans="3:8">
      <c r="C762" s="100"/>
      <c r="D762" s="100"/>
      <c r="E762" s="100"/>
      <c r="F762" s="100"/>
      <c r="G762" s="100"/>
      <c r="H762" s="100"/>
    </row>
    <row r="763" spans="3:8">
      <c r="C763" s="100"/>
      <c r="D763" s="100"/>
      <c r="E763" s="100"/>
      <c r="F763" s="100"/>
      <c r="G763" s="100"/>
      <c r="H763" s="100"/>
    </row>
    <row r="764" spans="3:8">
      <c r="C764" s="100"/>
      <c r="D764" s="100"/>
      <c r="E764" s="100"/>
      <c r="F764" s="100"/>
      <c r="G764" s="100"/>
      <c r="H764" s="100"/>
    </row>
    <row r="765" spans="3:8">
      <c r="C765" s="100"/>
      <c r="D765" s="100"/>
      <c r="E765" s="100"/>
      <c r="F765" s="100"/>
      <c r="G765" s="100"/>
      <c r="H765" s="100"/>
    </row>
    <row r="766" spans="3:8">
      <c r="C766" s="100"/>
      <c r="D766" s="100"/>
      <c r="E766" s="100"/>
      <c r="F766" s="100"/>
      <c r="G766" s="100"/>
      <c r="H766" s="100"/>
    </row>
    <row r="767" spans="3:8">
      <c r="C767" s="100"/>
      <c r="D767" s="100"/>
      <c r="E767" s="100"/>
      <c r="F767" s="100"/>
      <c r="G767" s="100"/>
      <c r="H767" s="100"/>
    </row>
    <row r="768" spans="3:8">
      <c r="C768" s="100"/>
      <c r="D768" s="100"/>
      <c r="E768" s="100"/>
      <c r="F768" s="100"/>
      <c r="G768" s="100"/>
      <c r="H768" s="100"/>
    </row>
    <row r="769" spans="3:8">
      <c r="C769" s="100"/>
      <c r="D769" s="100"/>
      <c r="E769" s="100"/>
      <c r="F769" s="100"/>
      <c r="G769" s="100"/>
      <c r="H769" s="100"/>
    </row>
    <row r="770" spans="3:8">
      <c r="C770" s="100"/>
      <c r="D770" s="100"/>
      <c r="E770" s="100"/>
      <c r="F770" s="100"/>
      <c r="G770" s="100"/>
      <c r="H770" s="100"/>
    </row>
    <row r="771" spans="3:8">
      <c r="C771" s="100"/>
      <c r="D771" s="100"/>
      <c r="E771" s="100"/>
      <c r="F771" s="100"/>
      <c r="G771" s="100"/>
      <c r="H771" s="100"/>
    </row>
    <row r="772" spans="3:8">
      <c r="C772" s="100"/>
      <c r="D772" s="100"/>
      <c r="E772" s="100"/>
      <c r="F772" s="100"/>
      <c r="G772" s="100"/>
      <c r="H772" s="100"/>
    </row>
    <row r="773" spans="3:8">
      <c r="C773" s="100"/>
      <c r="D773" s="100"/>
      <c r="E773" s="100"/>
      <c r="F773" s="100"/>
      <c r="G773" s="100"/>
      <c r="H773" s="100"/>
    </row>
    <row r="774" spans="3:8">
      <c r="C774" s="100"/>
      <c r="D774" s="100"/>
      <c r="E774" s="100"/>
      <c r="F774" s="100"/>
      <c r="G774" s="100"/>
      <c r="H774" s="100"/>
    </row>
    <row r="775" spans="3:8">
      <c r="C775" s="100"/>
      <c r="D775" s="100"/>
      <c r="E775" s="100"/>
      <c r="F775" s="100"/>
      <c r="G775" s="100"/>
      <c r="H775" s="100"/>
    </row>
    <row r="776" spans="3:8">
      <c r="C776" s="100"/>
      <c r="D776" s="100"/>
      <c r="E776" s="100"/>
      <c r="F776" s="100"/>
      <c r="G776" s="100"/>
      <c r="H776" s="100"/>
    </row>
    <row r="777" spans="3:8">
      <c r="C777" s="100"/>
      <c r="D777" s="100"/>
      <c r="E777" s="100"/>
      <c r="F777" s="100"/>
      <c r="G777" s="100"/>
      <c r="H777" s="100"/>
    </row>
    <row r="778" spans="3:8">
      <c r="C778" s="100"/>
      <c r="D778" s="100"/>
      <c r="E778" s="100"/>
      <c r="F778" s="100"/>
      <c r="G778" s="100"/>
      <c r="H778" s="100"/>
    </row>
    <row r="779" spans="3:8">
      <c r="C779" s="100"/>
      <c r="D779" s="100"/>
      <c r="E779" s="100"/>
      <c r="F779" s="100"/>
      <c r="G779" s="100"/>
      <c r="H779" s="100"/>
    </row>
    <row r="780" spans="3:8">
      <c r="C780" s="100"/>
      <c r="D780" s="100"/>
      <c r="E780" s="100"/>
      <c r="F780" s="100"/>
      <c r="G780" s="100"/>
      <c r="H780" s="100"/>
    </row>
    <row r="781" spans="3:8">
      <c r="C781" s="100"/>
      <c r="D781" s="100"/>
      <c r="E781" s="100"/>
      <c r="F781" s="100"/>
      <c r="G781" s="100"/>
      <c r="H781" s="100"/>
    </row>
    <row r="782" spans="3:8">
      <c r="C782" s="100"/>
      <c r="D782" s="100"/>
      <c r="E782" s="100"/>
      <c r="F782" s="100"/>
      <c r="G782" s="100"/>
      <c r="H782" s="100"/>
    </row>
    <row r="783" spans="3:8">
      <c r="C783" s="100"/>
      <c r="D783" s="100"/>
      <c r="E783" s="100"/>
      <c r="F783" s="100"/>
      <c r="G783" s="100"/>
      <c r="H783" s="100"/>
    </row>
    <row r="784" spans="3:8">
      <c r="C784" s="100"/>
      <c r="D784" s="100"/>
      <c r="E784" s="100"/>
      <c r="F784" s="100"/>
      <c r="G784" s="100"/>
      <c r="H784" s="100"/>
    </row>
    <row r="785" spans="3:8">
      <c r="C785" s="100"/>
      <c r="D785" s="100"/>
      <c r="E785" s="100"/>
      <c r="F785" s="100"/>
      <c r="G785" s="100"/>
      <c r="H785" s="100"/>
    </row>
    <row r="786" spans="3:8">
      <c r="C786" s="100"/>
      <c r="D786" s="100"/>
      <c r="E786" s="100"/>
      <c r="F786" s="100"/>
      <c r="G786" s="100"/>
      <c r="H786" s="100"/>
    </row>
    <row r="787" spans="3:8">
      <c r="C787" s="100"/>
      <c r="D787" s="100"/>
      <c r="E787" s="100"/>
      <c r="F787" s="100"/>
      <c r="G787" s="100"/>
      <c r="H787" s="100"/>
    </row>
    <row r="788" spans="3:8">
      <c r="C788" s="100"/>
      <c r="D788" s="100"/>
      <c r="E788" s="100"/>
      <c r="F788" s="100"/>
      <c r="G788" s="100"/>
      <c r="H788" s="100"/>
    </row>
    <row r="789" spans="3:8">
      <c r="C789" s="100"/>
      <c r="D789" s="100"/>
      <c r="E789" s="100"/>
      <c r="F789" s="100"/>
      <c r="G789" s="100"/>
      <c r="H789" s="100"/>
    </row>
    <row r="790" spans="3:8">
      <c r="C790" s="100"/>
      <c r="D790" s="100"/>
      <c r="E790" s="100"/>
      <c r="F790" s="100"/>
      <c r="G790" s="100"/>
      <c r="H790" s="100"/>
    </row>
    <row r="791" spans="3:8">
      <c r="C791" s="100"/>
      <c r="D791" s="100"/>
      <c r="E791" s="100"/>
      <c r="F791" s="100"/>
      <c r="G791" s="100"/>
      <c r="H791" s="100"/>
    </row>
    <row r="792" spans="3:8">
      <c r="C792" s="100"/>
      <c r="D792" s="100"/>
      <c r="E792" s="100"/>
      <c r="F792" s="100"/>
      <c r="G792" s="100"/>
      <c r="H792" s="100"/>
    </row>
    <row r="793" spans="3:8">
      <c r="C793" s="100"/>
      <c r="D793" s="100"/>
      <c r="E793" s="100"/>
      <c r="F793" s="100"/>
      <c r="G793" s="100"/>
      <c r="H793" s="100"/>
    </row>
    <row r="794" spans="3:8">
      <c r="C794" s="100"/>
      <c r="D794" s="100"/>
      <c r="E794" s="100"/>
      <c r="F794" s="100"/>
      <c r="G794" s="100"/>
      <c r="H794" s="100"/>
    </row>
    <row r="795" spans="3:8">
      <c r="C795" s="100"/>
      <c r="D795" s="100"/>
      <c r="E795" s="100"/>
      <c r="F795" s="100"/>
      <c r="G795" s="100"/>
      <c r="H795" s="100"/>
    </row>
    <row r="796" spans="3:8">
      <c r="C796" s="100"/>
      <c r="D796" s="100"/>
      <c r="E796" s="100"/>
      <c r="F796" s="100"/>
      <c r="G796" s="100"/>
      <c r="H796" s="100"/>
    </row>
    <row r="797" spans="3:8">
      <c r="C797" s="100"/>
      <c r="D797" s="100"/>
      <c r="E797" s="100"/>
      <c r="F797" s="100"/>
      <c r="G797" s="100"/>
      <c r="H797" s="100"/>
    </row>
    <row r="798" spans="3:8">
      <c r="C798" s="100"/>
      <c r="D798" s="100"/>
      <c r="E798" s="100"/>
      <c r="F798" s="100"/>
      <c r="G798" s="100"/>
      <c r="H798" s="100"/>
    </row>
    <row r="799" spans="3:8">
      <c r="C799" s="100"/>
      <c r="D799" s="100"/>
      <c r="E799" s="100"/>
      <c r="F799" s="100"/>
      <c r="G799" s="100"/>
      <c r="H799" s="100"/>
    </row>
    <row r="800" spans="3:8">
      <c r="C800" s="100"/>
      <c r="D800" s="100"/>
      <c r="E800" s="100"/>
      <c r="F800" s="100"/>
      <c r="G800" s="100"/>
      <c r="H800" s="100"/>
    </row>
    <row r="801" spans="3:8">
      <c r="C801" s="100"/>
      <c r="D801" s="100"/>
      <c r="E801" s="100"/>
      <c r="F801" s="100"/>
      <c r="G801" s="100"/>
      <c r="H801" s="100"/>
    </row>
    <row r="802" spans="3:8">
      <c r="C802" s="100"/>
      <c r="D802" s="100"/>
      <c r="E802" s="100"/>
      <c r="F802" s="100"/>
      <c r="G802" s="100"/>
      <c r="H802" s="100"/>
    </row>
    <row r="803" spans="3:8">
      <c r="C803" s="100"/>
      <c r="D803" s="100"/>
      <c r="E803" s="100"/>
      <c r="F803" s="100"/>
      <c r="G803" s="100"/>
      <c r="H803" s="100"/>
    </row>
    <row r="804" spans="3:8">
      <c r="C804" s="100"/>
      <c r="D804" s="100"/>
      <c r="E804" s="100"/>
      <c r="F804" s="100"/>
      <c r="G804" s="100"/>
      <c r="H804" s="100"/>
    </row>
    <row r="805" spans="3:8">
      <c r="C805" s="100"/>
      <c r="D805" s="100"/>
      <c r="E805" s="100"/>
      <c r="F805" s="100"/>
      <c r="G805" s="100"/>
      <c r="H805" s="100"/>
    </row>
    <row r="806" spans="3:8">
      <c r="C806" s="100"/>
      <c r="D806" s="100"/>
      <c r="E806" s="100"/>
      <c r="F806" s="100"/>
      <c r="G806" s="100"/>
      <c r="H806" s="100"/>
    </row>
    <row r="807" spans="3:8">
      <c r="C807" s="100"/>
      <c r="D807" s="100"/>
      <c r="E807" s="100"/>
      <c r="F807" s="100"/>
      <c r="G807" s="100"/>
      <c r="H807" s="100"/>
    </row>
    <row r="808" spans="3:8">
      <c r="C808" s="100"/>
      <c r="D808" s="100"/>
      <c r="E808" s="100"/>
      <c r="F808" s="100"/>
      <c r="G808" s="100"/>
      <c r="H808" s="100"/>
    </row>
    <row r="809" spans="3:8">
      <c r="C809" s="100"/>
      <c r="D809" s="100"/>
      <c r="E809" s="100"/>
      <c r="F809" s="100"/>
      <c r="G809" s="100"/>
      <c r="H809" s="100"/>
    </row>
    <row r="810" spans="3:8">
      <c r="C810" s="100"/>
      <c r="D810" s="100"/>
      <c r="E810" s="100"/>
      <c r="F810" s="100"/>
      <c r="G810" s="100"/>
      <c r="H810" s="100"/>
    </row>
    <row r="811" spans="3:8">
      <c r="C811" s="100"/>
      <c r="D811" s="100"/>
      <c r="E811" s="100"/>
      <c r="F811" s="100"/>
      <c r="G811" s="100"/>
      <c r="H811" s="100"/>
    </row>
    <row r="812" spans="3:8">
      <c r="C812" s="100"/>
      <c r="D812" s="100"/>
      <c r="E812" s="100"/>
      <c r="F812" s="100"/>
      <c r="G812" s="100"/>
      <c r="H812" s="100"/>
    </row>
    <row r="813" spans="3:8">
      <c r="C813" s="100"/>
      <c r="D813" s="100"/>
      <c r="E813" s="100"/>
      <c r="F813" s="100"/>
      <c r="G813" s="100"/>
      <c r="H813" s="100"/>
    </row>
    <row r="814" spans="3:8">
      <c r="C814" s="100"/>
      <c r="D814" s="100"/>
      <c r="E814" s="100"/>
      <c r="F814" s="100"/>
      <c r="G814" s="100"/>
      <c r="H814" s="100"/>
    </row>
    <row r="815" spans="3:8">
      <c r="C815" s="100"/>
      <c r="D815" s="100"/>
      <c r="E815" s="100"/>
      <c r="F815" s="100"/>
      <c r="G815" s="100"/>
      <c r="H815" s="100"/>
    </row>
    <row r="816" spans="3:8">
      <c r="C816" s="100"/>
      <c r="D816" s="100"/>
      <c r="E816" s="100"/>
      <c r="F816" s="100"/>
      <c r="G816" s="100"/>
      <c r="H816" s="100"/>
    </row>
    <row r="817" spans="3:8">
      <c r="C817" s="100"/>
      <c r="D817" s="100"/>
      <c r="E817" s="100"/>
      <c r="F817" s="100"/>
      <c r="G817" s="100"/>
      <c r="H817" s="100"/>
    </row>
    <row r="818" spans="3:8">
      <c r="C818" s="100"/>
      <c r="D818" s="100"/>
      <c r="E818" s="100"/>
      <c r="F818" s="100"/>
      <c r="G818" s="100"/>
      <c r="H818" s="100"/>
    </row>
    <row r="819" spans="3:8">
      <c r="C819" s="100"/>
      <c r="D819" s="100"/>
      <c r="E819" s="100"/>
      <c r="F819" s="100"/>
      <c r="G819" s="100"/>
      <c r="H819" s="100"/>
    </row>
    <row r="820" spans="3:8">
      <c r="C820" s="100"/>
      <c r="D820" s="100"/>
      <c r="E820" s="100"/>
      <c r="F820" s="100"/>
      <c r="G820" s="100"/>
      <c r="H820" s="100"/>
    </row>
    <row r="821" spans="3:8">
      <c r="C821" s="100"/>
      <c r="D821" s="100"/>
      <c r="E821" s="100"/>
      <c r="F821" s="100"/>
      <c r="G821" s="100"/>
      <c r="H821" s="100"/>
    </row>
    <row r="822" spans="3:8">
      <c r="C822" s="100"/>
      <c r="D822" s="100"/>
      <c r="E822" s="100"/>
      <c r="F822" s="100"/>
      <c r="G822" s="100"/>
      <c r="H822" s="100"/>
    </row>
    <row r="823" spans="3:8">
      <c r="C823" s="100"/>
      <c r="D823" s="100"/>
      <c r="E823" s="100"/>
      <c r="F823" s="100"/>
      <c r="G823" s="100"/>
      <c r="H823" s="100"/>
    </row>
    <row r="824" spans="3:8">
      <c r="C824" s="100"/>
      <c r="D824" s="100"/>
      <c r="E824" s="100"/>
      <c r="F824" s="100"/>
      <c r="G824" s="100"/>
      <c r="H824" s="100"/>
    </row>
    <row r="825" spans="3:8">
      <c r="C825" s="100"/>
      <c r="D825" s="100"/>
      <c r="E825" s="100"/>
      <c r="F825" s="100"/>
      <c r="G825" s="100"/>
      <c r="H825" s="100"/>
    </row>
    <row r="826" spans="3:8">
      <c r="C826" s="100"/>
      <c r="D826" s="100"/>
      <c r="E826" s="100"/>
      <c r="F826" s="100"/>
      <c r="G826" s="100"/>
      <c r="H826" s="100"/>
    </row>
    <row r="827" spans="3:8">
      <c r="C827" s="100"/>
      <c r="D827" s="100"/>
      <c r="E827" s="100"/>
      <c r="F827" s="100"/>
      <c r="G827" s="100"/>
      <c r="H827" s="100"/>
    </row>
    <row r="828" spans="3:8">
      <c r="C828" s="100"/>
      <c r="D828" s="100"/>
      <c r="E828" s="100"/>
      <c r="F828" s="100"/>
      <c r="G828" s="100"/>
      <c r="H828" s="100"/>
    </row>
    <row r="829" spans="3:8">
      <c r="C829" s="100"/>
      <c r="D829" s="100"/>
      <c r="E829" s="100"/>
      <c r="F829" s="100"/>
      <c r="G829" s="100"/>
      <c r="H829" s="100"/>
    </row>
    <row r="830" spans="3:8">
      <c r="C830" s="100"/>
      <c r="D830" s="100"/>
      <c r="E830" s="100"/>
      <c r="F830" s="100"/>
      <c r="G830" s="100"/>
      <c r="H830" s="100"/>
    </row>
    <row r="831" spans="3:8">
      <c r="C831" s="100"/>
      <c r="D831" s="100"/>
      <c r="E831" s="100"/>
      <c r="F831" s="100"/>
      <c r="G831" s="100"/>
      <c r="H831" s="100"/>
    </row>
    <row r="832" spans="3:8">
      <c r="C832" s="100"/>
      <c r="D832" s="100"/>
      <c r="E832" s="100"/>
      <c r="F832" s="100"/>
      <c r="G832" s="100"/>
      <c r="H832" s="100"/>
    </row>
    <row r="833" spans="3:8">
      <c r="C833" s="100"/>
      <c r="D833" s="100"/>
      <c r="E833" s="100"/>
      <c r="F833" s="100"/>
      <c r="G833" s="100"/>
      <c r="H833" s="100"/>
    </row>
    <row r="834" spans="3:8">
      <c r="C834" s="100"/>
      <c r="D834" s="100"/>
      <c r="E834" s="100"/>
      <c r="F834" s="100"/>
      <c r="G834" s="100"/>
      <c r="H834" s="100"/>
    </row>
    <row r="835" spans="3:8">
      <c r="C835" s="100"/>
      <c r="D835" s="100"/>
      <c r="E835" s="100"/>
      <c r="F835" s="100"/>
      <c r="G835" s="100"/>
      <c r="H835" s="100"/>
    </row>
    <row r="836" spans="3:8">
      <c r="C836" s="100"/>
      <c r="D836" s="100"/>
      <c r="E836" s="100"/>
      <c r="F836" s="100"/>
      <c r="G836" s="100"/>
      <c r="H836" s="100"/>
    </row>
    <row r="837" spans="3:8">
      <c r="C837" s="100"/>
      <c r="D837" s="100"/>
      <c r="E837" s="100"/>
      <c r="F837" s="100"/>
      <c r="G837" s="100"/>
      <c r="H837" s="100"/>
    </row>
    <row r="838" spans="3:8">
      <c r="C838" s="100"/>
      <c r="D838" s="100"/>
      <c r="E838" s="100"/>
      <c r="F838" s="100"/>
      <c r="G838" s="100"/>
      <c r="H838" s="100"/>
    </row>
    <row r="839" spans="3:8">
      <c r="C839" s="100"/>
      <c r="D839" s="100"/>
      <c r="E839" s="100"/>
      <c r="F839" s="100"/>
      <c r="G839" s="100"/>
      <c r="H839" s="100"/>
    </row>
    <row r="840" spans="3:8">
      <c r="C840" s="100"/>
      <c r="D840" s="100"/>
      <c r="E840" s="100"/>
      <c r="F840" s="100"/>
      <c r="G840" s="100"/>
      <c r="H840" s="100"/>
    </row>
    <row r="841" spans="3:8">
      <c r="C841" s="100"/>
      <c r="D841" s="100"/>
      <c r="E841" s="100"/>
      <c r="F841" s="100"/>
      <c r="G841" s="100"/>
      <c r="H841" s="100"/>
    </row>
    <row r="842" spans="3:8">
      <c r="C842" s="100"/>
      <c r="D842" s="100"/>
      <c r="E842" s="100"/>
      <c r="F842" s="100"/>
      <c r="G842" s="100"/>
      <c r="H842" s="100"/>
    </row>
    <row r="843" spans="3:8">
      <c r="C843" s="100"/>
      <c r="D843" s="100"/>
      <c r="E843" s="100"/>
      <c r="F843" s="100"/>
      <c r="G843" s="100"/>
      <c r="H843" s="100"/>
    </row>
    <row r="844" spans="3:8">
      <c r="C844" s="100"/>
      <c r="D844" s="100"/>
      <c r="E844" s="100"/>
      <c r="F844" s="100"/>
      <c r="G844" s="100"/>
      <c r="H844" s="100"/>
    </row>
    <row r="845" spans="3:8">
      <c r="C845" s="100"/>
      <c r="D845" s="100"/>
      <c r="E845" s="100"/>
      <c r="F845" s="100"/>
      <c r="G845" s="100"/>
      <c r="H845" s="100"/>
    </row>
    <row r="846" spans="3:8">
      <c r="C846" s="100"/>
      <c r="D846" s="100"/>
      <c r="E846" s="100"/>
      <c r="F846" s="100"/>
      <c r="G846" s="100"/>
      <c r="H846" s="100"/>
    </row>
    <row r="847" spans="3:8">
      <c r="C847" s="100"/>
      <c r="D847" s="100"/>
      <c r="E847" s="100"/>
      <c r="F847" s="100"/>
      <c r="G847" s="100"/>
      <c r="H847" s="100"/>
    </row>
    <row r="848" spans="3:8">
      <c r="C848" s="100"/>
      <c r="D848" s="100"/>
      <c r="E848" s="100"/>
      <c r="F848" s="100"/>
      <c r="G848" s="100"/>
      <c r="H848" s="100"/>
    </row>
    <row r="849" spans="3:8">
      <c r="C849" s="100"/>
      <c r="D849" s="100"/>
      <c r="E849" s="100"/>
      <c r="F849" s="100"/>
      <c r="G849" s="100"/>
      <c r="H849" s="100"/>
    </row>
    <row r="850" spans="3:8">
      <c r="C850" s="100"/>
      <c r="D850" s="100"/>
      <c r="E850" s="100"/>
      <c r="F850" s="100"/>
      <c r="G850" s="100"/>
      <c r="H850" s="100"/>
    </row>
    <row r="851" spans="3:8">
      <c r="C851" s="100"/>
      <c r="D851" s="100"/>
      <c r="E851" s="100"/>
      <c r="F851" s="100"/>
      <c r="G851" s="100"/>
      <c r="H851" s="100"/>
    </row>
    <row r="852" spans="3:8">
      <c r="C852" s="100"/>
      <c r="D852" s="100"/>
      <c r="E852" s="100"/>
      <c r="F852" s="100"/>
      <c r="G852" s="100"/>
      <c r="H852" s="100"/>
    </row>
    <row r="853" spans="3:8">
      <c r="C853" s="100"/>
      <c r="D853" s="100"/>
      <c r="E853" s="100"/>
      <c r="F853" s="100"/>
      <c r="G853" s="100"/>
      <c r="H853" s="100"/>
    </row>
    <row r="854" spans="3:8">
      <c r="C854" s="100"/>
      <c r="D854" s="100"/>
      <c r="E854" s="100"/>
      <c r="F854" s="100"/>
      <c r="G854" s="100"/>
      <c r="H854" s="100"/>
    </row>
    <row r="855" spans="3:8">
      <c r="C855" s="100"/>
      <c r="D855" s="100"/>
      <c r="E855" s="100"/>
      <c r="F855" s="100"/>
      <c r="G855" s="100"/>
      <c r="H855" s="100"/>
    </row>
    <row r="856" spans="3:8">
      <c r="C856" s="100"/>
      <c r="D856" s="100"/>
      <c r="E856" s="100"/>
      <c r="F856" s="100"/>
      <c r="G856" s="100"/>
      <c r="H856" s="100"/>
    </row>
    <row r="857" spans="3:8">
      <c r="C857" s="100"/>
      <c r="D857" s="100"/>
      <c r="E857" s="100"/>
      <c r="F857" s="100"/>
      <c r="G857" s="100"/>
      <c r="H857" s="100"/>
    </row>
    <row r="858" spans="3:8">
      <c r="C858" s="100"/>
      <c r="D858" s="100"/>
      <c r="E858" s="100"/>
      <c r="F858" s="100"/>
      <c r="G858" s="100"/>
      <c r="H858" s="100"/>
    </row>
    <row r="859" spans="3:8">
      <c r="C859" s="100"/>
      <c r="D859" s="100"/>
      <c r="E859" s="100"/>
      <c r="F859" s="100"/>
      <c r="G859" s="100"/>
      <c r="H859" s="100"/>
    </row>
    <row r="860" spans="3:8">
      <c r="C860" s="100"/>
      <c r="D860" s="100"/>
      <c r="E860" s="100"/>
      <c r="F860" s="100"/>
      <c r="G860" s="100"/>
      <c r="H860" s="100"/>
    </row>
    <row r="861" spans="3:8">
      <c r="C861" s="100"/>
      <c r="D861" s="100"/>
      <c r="E861" s="100"/>
      <c r="F861" s="100"/>
      <c r="G861" s="100"/>
      <c r="H861" s="100"/>
    </row>
    <row r="862" spans="3:8">
      <c r="C862" s="100"/>
      <c r="D862" s="100"/>
      <c r="E862" s="100"/>
      <c r="F862" s="100"/>
      <c r="G862" s="100"/>
      <c r="H862" s="100"/>
    </row>
    <row r="863" spans="3:8">
      <c r="C863" s="100"/>
      <c r="D863" s="100"/>
      <c r="E863" s="100"/>
      <c r="F863" s="100"/>
      <c r="G863" s="100"/>
      <c r="H863" s="100"/>
    </row>
    <row r="864" spans="3:8">
      <c r="C864" s="100"/>
      <c r="D864" s="100"/>
      <c r="E864" s="100"/>
      <c r="F864" s="100"/>
      <c r="G864" s="100"/>
      <c r="H864" s="100"/>
    </row>
    <row r="865" spans="3:8">
      <c r="C865" s="100"/>
      <c r="D865" s="100"/>
      <c r="E865" s="100"/>
      <c r="F865" s="100"/>
      <c r="G865" s="100"/>
      <c r="H865" s="100"/>
    </row>
    <row r="866" spans="3:8">
      <c r="C866" s="100"/>
      <c r="D866" s="100"/>
      <c r="E866" s="100"/>
      <c r="F866" s="100"/>
      <c r="G866" s="100"/>
      <c r="H866" s="100"/>
    </row>
    <row r="867" spans="3:8">
      <c r="C867" s="100"/>
      <c r="D867" s="100"/>
      <c r="E867" s="100"/>
      <c r="F867" s="100"/>
      <c r="G867" s="100"/>
      <c r="H867" s="100"/>
    </row>
    <row r="868" spans="3:8">
      <c r="C868" s="100"/>
      <c r="D868" s="100"/>
      <c r="E868" s="100"/>
      <c r="F868" s="100"/>
      <c r="G868" s="100"/>
      <c r="H868" s="100"/>
    </row>
    <row r="869" spans="3:8">
      <c r="C869" s="100"/>
      <c r="D869" s="100"/>
      <c r="E869" s="100"/>
      <c r="F869" s="100"/>
      <c r="G869" s="100"/>
      <c r="H869" s="100"/>
    </row>
    <row r="870" spans="3:8">
      <c r="C870" s="100"/>
      <c r="D870" s="100"/>
      <c r="E870" s="100"/>
      <c r="F870" s="100"/>
      <c r="G870" s="100"/>
      <c r="H870" s="100"/>
    </row>
    <row r="871" spans="3:8">
      <c r="C871" s="100"/>
      <c r="D871" s="100"/>
      <c r="E871" s="100"/>
      <c r="F871" s="100"/>
      <c r="G871" s="100"/>
      <c r="H871" s="100"/>
    </row>
    <row r="872" spans="3:8">
      <c r="C872" s="100"/>
      <c r="D872" s="100"/>
      <c r="E872" s="100"/>
      <c r="F872" s="100"/>
      <c r="G872" s="100"/>
      <c r="H872" s="100"/>
    </row>
    <row r="873" spans="3:8">
      <c r="C873" s="100"/>
      <c r="D873" s="100"/>
      <c r="E873" s="100"/>
      <c r="F873" s="100"/>
      <c r="G873" s="100"/>
      <c r="H873" s="100"/>
    </row>
    <row r="874" spans="3:8">
      <c r="C874" s="100"/>
      <c r="D874" s="100"/>
      <c r="E874" s="100"/>
      <c r="F874" s="100"/>
      <c r="G874" s="100"/>
      <c r="H874" s="100"/>
    </row>
    <row r="875" spans="3:8">
      <c r="C875" s="100"/>
      <c r="D875" s="100"/>
      <c r="E875" s="100"/>
      <c r="F875" s="100"/>
      <c r="G875" s="100"/>
      <c r="H875" s="100"/>
    </row>
    <row r="876" spans="3:8">
      <c r="C876" s="100"/>
      <c r="D876" s="100"/>
      <c r="E876" s="100"/>
      <c r="F876" s="100"/>
      <c r="G876" s="100"/>
      <c r="H876" s="100"/>
    </row>
    <row r="877" spans="3:8">
      <c r="C877" s="100"/>
      <c r="D877" s="100"/>
      <c r="E877" s="100"/>
      <c r="F877" s="100"/>
      <c r="G877" s="100"/>
      <c r="H877" s="100"/>
    </row>
    <row r="878" spans="3:8">
      <c r="C878" s="100"/>
      <c r="D878" s="100"/>
      <c r="E878" s="100"/>
      <c r="F878" s="100"/>
      <c r="G878" s="100"/>
      <c r="H878" s="100"/>
    </row>
    <row r="879" spans="3:8">
      <c r="C879" s="100"/>
      <c r="D879" s="100"/>
      <c r="E879" s="100"/>
      <c r="F879" s="100"/>
      <c r="G879" s="100"/>
      <c r="H879" s="100"/>
    </row>
    <row r="880" spans="3:8">
      <c r="C880" s="100"/>
      <c r="D880" s="100"/>
      <c r="E880" s="100"/>
      <c r="F880" s="100"/>
      <c r="G880" s="100"/>
      <c r="H880" s="100"/>
    </row>
    <row r="881" spans="3:8">
      <c r="C881" s="100"/>
      <c r="D881" s="100"/>
      <c r="E881" s="100"/>
      <c r="F881" s="100"/>
      <c r="G881" s="100"/>
      <c r="H881" s="100"/>
    </row>
    <row r="882" spans="3:8">
      <c r="C882" s="100"/>
      <c r="D882" s="100"/>
      <c r="E882" s="100"/>
      <c r="F882" s="100"/>
      <c r="G882" s="100"/>
      <c r="H882" s="100"/>
    </row>
    <row r="883" spans="3:8">
      <c r="C883" s="100"/>
      <c r="D883" s="100"/>
      <c r="E883" s="100"/>
      <c r="F883" s="100"/>
      <c r="G883" s="100"/>
      <c r="H883" s="100"/>
    </row>
    <row r="884" spans="3:8">
      <c r="C884" s="100"/>
      <c r="D884" s="100"/>
      <c r="E884" s="100"/>
      <c r="F884" s="100"/>
      <c r="G884" s="100"/>
      <c r="H884" s="100"/>
    </row>
    <row r="885" spans="3:8">
      <c r="C885" s="100"/>
      <c r="D885" s="100"/>
      <c r="E885" s="100"/>
      <c r="F885" s="100"/>
      <c r="G885" s="100"/>
      <c r="H885" s="100"/>
    </row>
    <row r="886" spans="3:8">
      <c r="C886" s="100"/>
      <c r="D886" s="100"/>
      <c r="E886" s="100"/>
      <c r="F886" s="100"/>
      <c r="G886" s="100"/>
      <c r="H886" s="100"/>
    </row>
    <row r="887" spans="3:8">
      <c r="C887" s="100"/>
      <c r="D887" s="100"/>
      <c r="E887" s="100"/>
      <c r="F887" s="100"/>
      <c r="G887" s="100"/>
      <c r="H887" s="100"/>
    </row>
    <row r="888" spans="3:8">
      <c r="C888" s="100"/>
      <c r="D888" s="100"/>
      <c r="E888" s="100"/>
      <c r="F888" s="100"/>
      <c r="G888" s="100"/>
      <c r="H888" s="100"/>
    </row>
    <row r="889" spans="3:8">
      <c r="C889" s="100"/>
      <c r="D889" s="100"/>
      <c r="E889" s="100"/>
      <c r="F889" s="100"/>
      <c r="G889" s="100"/>
      <c r="H889" s="100"/>
    </row>
    <row r="890" spans="3:8">
      <c r="C890" s="100"/>
      <c r="D890" s="100"/>
      <c r="E890" s="100"/>
      <c r="F890" s="100"/>
      <c r="G890" s="100"/>
      <c r="H890" s="100"/>
    </row>
    <row r="891" spans="3:8">
      <c r="C891" s="100"/>
      <c r="D891" s="100"/>
      <c r="E891" s="100"/>
      <c r="F891" s="100"/>
      <c r="G891" s="100"/>
      <c r="H891" s="100"/>
    </row>
    <row r="892" spans="3:8">
      <c r="C892" s="100"/>
      <c r="D892" s="100"/>
      <c r="E892" s="100"/>
      <c r="F892" s="100"/>
      <c r="G892" s="100"/>
      <c r="H892" s="100"/>
    </row>
    <row r="893" spans="3:8">
      <c r="C893" s="100"/>
      <c r="D893" s="100"/>
      <c r="E893" s="100"/>
      <c r="F893" s="100"/>
      <c r="G893" s="100"/>
      <c r="H893" s="100"/>
    </row>
    <row r="894" spans="3:8">
      <c r="C894" s="100"/>
      <c r="D894" s="100"/>
      <c r="E894" s="100"/>
      <c r="F894" s="100"/>
      <c r="G894" s="100"/>
      <c r="H894" s="100"/>
    </row>
    <row r="895" spans="3:8">
      <c r="C895" s="100"/>
      <c r="D895" s="100"/>
      <c r="E895" s="100"/>
      <c r="F895" s="100"/>
      <c r="G895" s="100"/>
      <c r="H895" s="100"/>
    </row>
    <row r="896" spans="3:8">
      <c r="C896" s="100"/>
      <c r="D896" s="100"/>
      <c r="E896" s="100"/>
      <c r="F896" s="100"/>
      <c r="G896" s="100"/>
      <c r="H896" s="100"/>
    </row>
    <row r="897" spans="3:8">
      <c r="C897" s="100"/>
      <c r="D897" s="100"/>
      <c r="E897" s="100"/>
      <c r="F897" s="100"/>
      <c r="G897" s="100"/>
      <c r="H897" s="100"/>
    </row>
    <row r="898" spans="3:8">
      <c r="C898" s="100"/>
      <c r="D898" s="100"/>
      <c r="E898" s="100"/>
      <c r="F898" s="100"/>
      <c r="G898" s="100"/>
      <c r="H898" s="100"/>
    </row>
    <row r="899" spans="3:8">
      <c r="C899" s="100"/>
      <c r="D899" s="100"/>
      <c r="E899" s="100"/>
      <c r="F899" s="100"/>
      <c r="G899" s="100"/>
      <c r="H899" s="100"/>
    </row>
    <row r="900" spans="3:8">
      <c r="C900" s="100"/>
      <c r="D900" s="100"/>
      <c r="E900" s="100"/>
      <c r="F900" s="100"/>
      <c r="G900" s="100"/>
      <c r="H900" s="100"/>
    </row>
    <row r="901" spans="3:8">
      <c r="C901" s="100"/>
      <c r="D901" s="100"/>
      <c r="E901" s="100"/>
      <c r="F901" s="100"/>
      <c r="G901" s="100"/>
      <c r="H901" s="100"/>
    </row>
    <row r="902" spans="3:8">
      <c r="C902" s="100"/>
      <c r="D902" s="100"/>
      <c r="E902" s="100"/>
      <c r="F902" s="100"/>
      <c r="G902" s="100"/>
      <c r="H902" s="100"/>
    </row>
    <row r="903" spans="3:8">
      <c r="C903" s="100"/>
      <c r="D903" s="100"/>
      <c r="E903" s="100"/>
      <c r="F903" s="100"/>
      <c r="G903" s="100"/>
      <c r="H903" s="100"/>
    </row>
    <row r="904" spans="3:8">
      <c r="C904" s="100"/>
      <c r="D904" s="100"/>
      <c r="E904" s="100"/>
      <c r="F904" s="100"/>
      <c r="G904" s="100"/>
      <c r="H904" s="100"/>
    </row>
    <row r="905" spans="3:8">
      <c r="C905" s="100"/>
      <c r="D905" s="100"/>
      <c r="E905" s="100"/>
      <c r="F905" s="100"/>
      <c r="G905" s="100"/>
      <c r="H905" s="100"/>
    </row>
    <row r="906" spans="3:8">
      <c r="C906" s="100"/>
      <c r="D906" s="100"/>
      <c r="E906" s="100"/>
      <c r="F906" s="100"/>
      <c r="G906" s="100"/>
      <c r="H906" s="100"/>
    </row>
    <row r="907" spans="3:8">
      <c r="C907" s="100"/>
      <c r="D907" s="100"/>
      <c r="E907" s="100"/>
      <c r="F907" s="100"/>
      <c r="G907" s="100"/>
      <c r="H907" s="100"/>
    </row>
    <row r="908" spans="3:8">
      <c r="C908" s="100"/>
      <c r="D908" s="100"/>
      <c r="E908" s="100"/>
      <c r="F908" s="100"/>
      <c r="G908" s="100"/>
      <c r="H908" s="100"/>
    </row>
    <row r="909" spans="3:8">
      <c r="C909" s="100"/>
      <c r="D909" s="100"/>
      <c r="E909" s="100"/>
      <c r="F909" s="100"/>
      <c r="G909" s="100"/>
      <c r="H909" s="100"/>
    </row>
    <row r="910" spans="3:8">
      <c r="C910" s="100"/>
      <c r="D910" s="100"/>
      <c r="E910" s="100"/>
      <c r="F910" s="100"/>
      <c r="G910" s="100"/>
      <c r="H910" s="100"/>
    </row>
    <row r="911" spans="3:8">
      <c r="C911" s="100"/>
      <c r="D911" s="100"/>
      <c r="E911" s="100"/>
      <c r="F911" s="100"/>
      <c r="G911" s="100"/>
      <c r="H911" s="100"/>
    </row>
    <row r="912" spans="3:8">
      <c r="C912" s="100"/>
      <c r="D912" s="100"/>
      <c r="E912" s="100"/>
      <c r="F912" s="100"/>
      <c r="G912" s="100"/>
      <c r="H912" s="100"/>
    </row>
    <row r="913" spans="3:8">
      <c r="C913" s="100"/>
      <c r="D913" s="100"/>
      <c r="E913" s="100"/>
      <c r="F913" s="100"/>
      <c r="G913" s="100"/>
      <c r="H913" s="100"/>
    </row>
    <row r="914" spans="3:8">
      <c r="C914" s="100"/>
      <c r="D914" s="100"/>
      <c r="E914" s="100"/>
      <c r="F914" s="100"/>
      <c r="G914" s="100"/>
      <c r="H914" s="100"/>
    </row>
    <row r="915" spans="3:8">
      <c r="C915" s="100"/>
      <c r="D915" s="100"/>
      <c r="E915" s="100"/>
      <c r="F915" s="100"/>
      <c r="G915" s="100"/>
      <c r="H915" s="100"/>
    </row>
    <row r="916" spans="3:8">
      <c r="C916" s="100"/>
      <c r="D916" s="100"/>
      <c r="E916" s="100"/>
      <c r="F916" s="100"/>
      <c r="G916" s="100"/>
      <c r="H916" s="100"/>
    </row>
    <row r="917" spans="3:8">
      <c r="C917" s="100"/>
      <c r="D917" s="100"/>
      <c r="E917" s="100"/>
      <c r="F917" s="100"/>
      <c r="G917" s="100"/>
      <c r="H917" s="100"/>
    </row>
    <row r="918" spans="3:8">
      <c r="C918" s="100"/>
      <c r="D918" s="100"/>
      <c r="E918" s="100"/>
      <c r="F918" s="100"/>
      <c r="G918" s="100"/>
      <c r="H918" s="100"/>
    </row>
    <row r="919" spans="3:8">
      <c r="C919" s="100"/>
      <c r="D919" s="100"/>
      <c r="E919" s="100"/>
      <c r="F919" s="100"/>
      <c r="G919" s="100"/>
      <c r="H919" s="100"/>
    </row>
    <row r="920" spans="3:8">
      <c r="C920" s="100"/>
      <c r="D920" s="100"/>
      <c r="E920" s="100"/>
      <c r="F920" s="100"/>
      <c r="G920" s="100"/>
      <c r="H920" s="100"/>
    </row>
    <row r="921" spans="3:8">
      <c r="C921" s="100"/>
      <c r="D921" s="100"/>
      <c r="E921" s="100"/>
      <c r="F921" s="100"/>
      <c r="G921" s="100"/>
      <c r="H921" s="100"/>
    </row>
    <row r="922" spans="3:8">
      <c r="C922" s="100"/>
      <c r="D922" s="100"/>
      <c r="E922" s="100"/>
      <c r="F922" s="100"/>
      <c r="G922" s="100"/>
      <c r="H922" s="100"/>
    </row>
    <row r="923" spans="3:8">
      <c r="C923" s="100"/>
      <c r="D923" s="100"/>
      <c r="E923" s="100"/>
      <c r="F923" s="100"/>
      <c r="G923" s="100"/>
      <c r="H923" s="100"/>
    </row>
    <row r="924" spans="3:8">
      <c r="C924" s="100"/>
      <c r="D924" s="100"/>
      <c r="E924" s="100"/>
      <c r="F924" s="100"/>
      <c r="G924" s="100"/>
      <c r="H924" s="100"/>
    </row>
    <row r="925" spans="3:8">
      <c r="C925" s="100"/>
      <c r="D925" s="100"/>
      <c r="E925" s="100"/>
      <c r="F925" s="100"/>
      <c r="G925" s="100"/>
      <c r="H925" s="100"/>
    </row>
    <row r="926" spans="3:8">
      <c r="C926" s="100"/>
      <c r="D926" s="100"/>
      <c r="E926" s="100"/>
      <c r="F926" s="100"/>
      <c r="G926" s="100"/>
      <c r="H926" s="100"/>
    </row>
    <row r="927" spans="3:8">
      <c r="C927" s="100"/>
      <c r="D927" s="100"/>
      <c r="E927" s="100"/>
      <c r="F927" s="100"/>
      <c r="G927" s="100"/>
      <c r="H927" s="100"/>
    </row>
    <row r="928" spans="3:8">
      <c r="C928" s="100"/>
      <c r="D928" s="100"/>
      <c r="E928" s="100"/>
      <c r="F928" s="100"/>
      <c r="G928" s="100"/>
      <c r="H928" s="100"/>
    </row>
    <row r="929" spans="3:8">
      <c r="C929" s="100"/>
      <c r="D929" s="100"/>
      <c r="E929" s="100"/>
      <c r="F929" s="100"/>
      <c r="G929" s="100"/>
      <c r="H929" s="100"/>
    </row>
    <row r="930" spans="3:8">
      <c r="C930" s="100"/>
      <c r="D930" s="100"/>
      <c r="E930" s="100"/>
      <c r="F930" s="100"/>
      <c r="G930" s="100"/>
      <c r="H930" s="100"/>
    </row>
    <row r="931" spans="3:8">
      <c r="C931" s="100"/>
      <c r="D931" s="100"/>
      <c r="E931" s="100"/>
      <c r="F931" s="100"/>
      <c r="G931" s="100"/>
      <c r="H931" s="100"/>
    </row>
    <row r="932" spans="3:8">
      <c r="C932" s="100"/>
      <c r="D932" s="100"/>
      <c r="E932" s="100"/>
      <c r="F932" s="100"/>
      <c r="G932" s="100"/>
      <c r="H932" s="100"/>
    </row>
    <row r="933" spans="3:8">
      <c r="C933" s="100"/>
      <c r="D933" s="100"/>
      <c r="E933" s="100"/>
      <c r="F933" s="100"/>
      <c r="G933" s="100"/>
      <c r="H933" s="100"/>
    </row>
    <row r="934" spans="3:8">
      <c r="C934" s="100"/>
      <c r="D934" s="100"/>
      <c r="E934" s="100"/>
      <c r="F934" s="100"/>
      <c r="G934" s="100"/>
      <c r="H934" s="100"/>
    </row>
    <row r="935" spans="3:8">
      <c r="C935" s="100"/>
      <c r="D935" s="100"/>
      <c r="E935" s="100"/>
      <c r="F935" s="100"/>
      <c r="G935" s="100"/>
      <c r="H935" s="100"/>
    </row>
    <row r="936" spans="3:8">
      <c r="C936" s="100"/>
      <c r="D936" s="100"/>
      <c r="E936" s="100"/>
      <c r="F936" s="100"/>
      <c r="G936" s="100"/>
      <c r="H936" s="100"/>
    </row>
    <row r="937" spans="3:8">
      <c r="C937" s="100"/>
      <c r="D937" s="100"/>
      <c r="E937" s="100"/>
      <c r="F937" s="100"/>
      <c r="G937" s="100"/>
      <c r="H937" s="100"/>
    </row>
    <row r="938" spans="3:8">
      <c r="C938" s="100"/>
      <c r="D938" s="100"/>
      <c r="E938" s="100"/>
      <c r="F938" s="100"/>
      <c r="G938" s="100"/>
      <c r="H938" s="100"/>
    </row>
    <row r="939" spans="3:8">
      <c r="C939" s="100"/>
      <c r="D939" s="100"/>
      <c r="E939" s="100"/>
      <c r="F939" s="100"/>
      <c r="G939" s="100"/>
      <c r="H939" s="100"/>
    </row>
    <row r="940" spans="3:8">
      <c r="C940" s="100"/>
      <c r="D940" s="100"/>
      <c r="E940" s="100"/>
      <c r="F940" s="100"/>
      <c r="G940" s="100"/>
      <c r="H940" s="100"/>
    </row>
    <row r="941" spans="3:8">
      <c r="C941" s="100"/>
      <c r="D941" s="100"/>
      <c r="E941" s="100"/>
      <c r="F941" s="100"/>
      <c r="G941" s="100"/>
      <c r="H941" s="100"/>
    </row>
    <row r="942" spans="3:8">
      <c r="C942" s="100"/>
      <c r="D942" s="100"/>
      <c r="E942" s="100"/>
      <c r="F942" s="100"/>
      <c r="G942" s="100"/>
      <c r="H942" s="100"/>
    </row>
    <row r="943" spans="3:8">
      <c r="C943" s="100"/>
      <c r="D943" s="100"/>
      <c r="E943" s="100"/>
      <c r="F943" s="100"/>
      <c r="G943" s="100"/>
      <c r="H943" s="100"/>
    </row>
    <row r="944" spans="3:8">
      <c r="C944" s="100"/>
      <c r="D944" s="100"/>
      <c r="E944" s="100"/>
      <c r="F944" s="100"/>
      <c r="G944" s="100"/>
      <c r="H944" s="100"/>
    </row>
    <row r="945" spans="3:8">
      <c r="C945" s="100"/>
      <c r="D945" s="100"/>
      <c r="E945" s="100"/>
      <c r="F945" s="100"/>
      <c r="G945" s="100"/>
      <c r="H945" s="100"/>
    </row>
    <row r="946" spans="3:8">
      <c r="C946" s="100"/>
      <c r="D946" s="100"/>
      <c r="E946" s="100"/>
      <c r="F946" s="100"/>
      <c r="G946" s="100"/>
      <c r="H946" s="100"/>
    </row>
    <row r="947" spans="3:8">
      <c r="C947" s="100"/>
      <c r="D947" s="100"/>
      <c r="E947" s="100"/>
      <c r="F947" s="100"/>
      <c r="G947" s="100"/>
      <c r="H947" s="100"/>
    </row>
    <row r="948" spans="3:8">
      <c r="C948" s="100"/>
      <c r="D948" s="100"/>
      <c r="E948" s="100"/>
      <c r="F948" s="100"/>
      <c r="G948" s="100"/>
      <c r="H948" s="100"/>
    </row>
    <row r="949" spans="3:8">
      <c r="C949" s="100"/>
      <c r="D949" s="100"/>
      <c r="E949" s="100"/>
      <c r="F949" s="100"/>
      <c r="G949" s="100"/>
      <c r="H949" s="100"/>
    </row>
    <row r="950" spans="3:8">
      <c r="C950" s="100"/>
      <c r="D950" s="100"/>
      <c r="E950" s="100"/>
      <c r="F950" s="100"/>
      <c r="G950" s="100"/>
      <c r="H950" s="100"/>
    </row>
    <row r="951" spans="3:8">
      <c r="C951" s="100"/>
      <c r="D951" s="100"/>
      <c r="E951" s="100"/>
      <c r="F951" s="100"/>
      <c r="G951" s="100"/>
      <c r="H951" s="100"/>
    </row>
    <row r="952" spans="3:8">
      <c r="C952" s="100"/>
      <c r="D952" s="100"/>
      <c r="E952" s="100"/>
      <c r="F952" s="100"/>
      <c r="G952" s="100"/>
      <c r="H952" s="100"/>
    </row>
    <row r="953" spans="3:8">
      <c r="C953" s="100"/>
      <c r="D953" s="100"/>
      <c r="E953" s="100"/>
      <c r="F953" s="100"/>
      <c r="G953" s="100"/>
      <c r="H953" s="100"/>
    </row>
    <row r="954" spans="3:8">
      <c r="C954" s="100"/>
      <c r="D954" s="100"/>
      <c r="E954" s="100"/>
      <c r="F954" s="100"/>
      <c r="G954" s="100"/>
      <c r="H954" s="100"/>
    </row>
    <row r="955" spans="3:8">
      <c r="C955" s="100"/>
      <c r="D955" s="100"/>
      <c r="E955" s="100"/>
      <c r="F955" s="100"/>
      <c r="G955" s="100"/>
      <c r="H955" s="100"/>
    </row>
    <row r="956" spans="3:8">
      <c r="C956" s="100"/>
      <c r="D956" s="100"/>
      <c r="E956" s="100"/>
      <c r="F956" s="100"/>
      <c r="G956" s="100"/>
      <c r="H956" s="100"/>
    </row>
    <row r="957" spans="3:8">
      <c r="C957" s="100"/>
      <c r="D957" s="100"/>
      <c r="E957" s="100"/>
      <c r="F957" s="100"/>
      <c r="G957" s="100"/>
      <c r="H957" s="100"/>
    </row>
    <row r="958" spans="3:8">
      <c r="C958" s="100"/>
      <c r="D958" s="100"/>
      <c r="E958" s="100"/>
      <c r="F958" s="100"/>
      <c r="G958" s="100"/>
      <c r="H958" s="100"/>
    </row>
    <row r="959" spans="3:8">
      <c r="C959" s="100"/>
      <c r="D959" s="100"/>
      <c r="E959" s="100"/>
      <c r="F959" s="100"/>
      <c r="G959" s="100"/>
      <c r="H959" s="100"/>
    </row>
    <row r="960" spans="3:8">
      <c r="C960" s="100"/>
      <c r="D960" s="100"/>
      <c r="E960" s="100"/>
      <c r="F960" s="100"/>
      <c r="G960" s="100"/>
      <c r="H960" s="100"/>
    </row>
    <row r="961" spans="3:8">
      <c r="C961" s="100"/>
      <c r="D961" s="100"/>
      <c r="E961" s="100"/>
      <c r="F961" s="100"/>
      <c r="G961" s="100"/>
      <c r="H961" s="100"/>
    </row>
    <row r="962" spans="3:8">
      <c r="C962" s="100"/>
      <c r="D962" s="100"/>
      <c r="E962" s="100"/>
      <c r="F962" s="100"/>
      <c r="G962" s="100"/>
      <c r="H962" s="100"/>
    </row>
    <row r="963" spans="3:8">
      <c r="C963" s="100"/>
      <c r="D963" s="100"/>
      <c r="E963" s="100"/>
      <c r="F963" s="100"/>
      <c r="G963" s="100"/>
      <c r="H963" s="100"/>
    </row>
    <row r="964" spans="3:8">
      <c r="C964" s="100"/>
      <c r="D964" s="100"/>
      <c r="E964" s="100"/>
      <c r="F964" s="100"/>
      <c r="G964" s="100"/>
      <c r="H964" s="100"/>
    </row>
    <row r="965" spans="3:8">
      <c r="C965" s="100"/>
      <c r="D965" s="100"/>
      <c r="E965" s="100"/>
      <c r="F965" s="100"/>
      <c r="G965" s="100"/>
      <c r="H965" s="100"/>
    </row>
    <row r="966" spans="3:8">
      <c r="C966" s="100"/>
      <c r="D966" s="100"/>
      <c r="E966" s="100"/>
      <c r="F966" s="100"/>
      <c r="G966" s="100"/>
      <c r="H966" s="100"/>
    </row>
    <row r="967" spans="3:8">
      <c r="C967" s="100"/>
      <c r="D967" s="100"/>
      <c r="E967" s="100"/>
      <c r="F967" s="100"/>
      <c r="G967" s="100"/>
      <c r="H967" s="100"/>
    </row>
    <row r="968" spans="3:8">
      <c r="C968" s="100"/>
      <c r="D968" s="100"/>
      <c r="E968" s="100"/>
      <c r="F968" s="100"/>
      <c r="G968" s="100"/>
      <c r="H968" s="100"/>
    </row>
    <row r="969" spans="3:8">
      <c r="C969" s="100"/>
      <c r="D969" s="100"/>
      <c r="E969" s="100"/>
      <c r="F969" s="100"/>
      <c r="G969" s="100"/>
      <c r="H969" s="100"/>
    </row>
    <row r="970" spans="3:8">
      <c r="C970" s="100"/>
      <c r="D970" s="100"/>
      <c r="E970" s="100"/>
      <c r="F970" s="100"/>
      <c r="G970" s="100"/>
      <c r="H970" s="100"/>
    </row>
    <row r="971" spans="3:8">
      <c r="C971" s="100"/>
      <c r="D971" s="100"/>
      <c r="E971" s="100"/>
      <c r="F971" s="100"/>
      <c r="G971" s="100"/>
      <c r="H971" s="100"/>
    </row>
    <row r="972" spans="3:8">
      <c r="C972" s="100"/>
      <c r="D972" s="100"/>
      <c r="E972" s="100"/>
      <c r="F972" s="100"/>
      <c r="G972" s="100"/>
      <c r="H972" s="100"/>
    </row>
    <row r="973" spans="3:8">
      <c r="C973" s="100"/>
      <c r="D973" s="100"/>
      <c r="E973" s="100"/>
      <c r="F973" s="100"/>
      <c r="G973" s="100"/>
      <c r="H973" s="100"/>
    </row>
    <row r="974" spans="3:8">
      <c r="C974" s="100"/>
      <c r="D974" s="100"/>
      <c r="E974" s="100"/>
      <c r="F974" s="100"/>
      <c r="G974" s="100"/>
      <c r="H974" s="100"/>
    </row>
    <row r="975" spans="3:8">
      <c r="C975" s="100"/>
      <c r="D975" s="100"/>
      <c r="E975" s="100"/>
      <c r="F975" s="100"/>
      <c r="G975" s="100"/>
      <c r="H975" s="100"/>
    </row>
    <row r="976" spans="3:8">
      <c r="C976" s="100"/>
      <c r="D976" s="100"/>
      <c r="E976" s="100"/>
      <c r="F976" s="100"/>
      <c r="G976" s="100"/>
      <c r="H976" s="100"/>
    </row>
    <row r="977" spans="3:8">
      <c r="C977" s="100"/>
      <c r="D977" s="100"/>
      <c r="E977" s="100"/>
      <c r="F977" s="100"/>
      <c r="G977" s="100"/>
      <c r="H977" s="100"/>
    </row>
    <row r="978" spans="3:8">
      <c r="C978" s="100"/>
      <c r="D978" s="100"/>
      <c r="E978" s="100"/>
      <c r="F978" s="100"/>
      <c r="G978" s="100"/>
      <c r="H978" s="100"/>
    </row>
    <row r="979" spans="3:8">
      <c r="C979" s="100"/>
      <c r="D979" s="100"/>
      <c r="E979" s="100"/>
      <c r="F979" s="100"/>
      <c r="G979" s="100"/>
      <c r="H979" s="100"/>
    </row>
    <row r="980" spans="3:8">
      <c r="C980" s="100"/>
      <c r="D980" s="100"/>
      <c r="E980" s="100"/>
      <c r="F980" s="100"/>
      <c r="G980" s="100"/>
      <c r="H980" s="100"/>
    </row>
    <row r="981" spans="3:8">
      <c r="C981" s="100"/>
      <c r="D981" s="100"/>
      <c r="E981" s="100"/>
      <c r="F981" s="100"/>
      <c r="G981" s="100"/>
      <c r="H981" s="100"/>
    </row>
    <row r="982" spans="3:8">
      <c r="C982" s="100"/>
      <c r="D982" s="100"/>
      <c r="E982" s="100"/>
      <c r="F982" s="100"/>
      <c r="G982" s="100"/>
      <c r="H982" s="100"/>
    </row>
    <row r="983" spans="3:8">
      <c r="C983" s="100"/>
      <c r="D983" s="100"/>
      <c r="E983" s="100"/>
      <c r="F983" s="100"/>
      <c r="G983" s="100"/>
      <c r="H983" s="100"/>
    </row>
    <row r="984" spans="3:8">
      <c r="C984" s="100"/>
      <c r="D984" s="100"/>
      <c r="E984" s="100"/>
      <c r="F984" s="100"/>
      <c r="G984" s="100"/>
      <c r="H984" s="100"/>
    </row>
    <row r="985" spans="3:8">
      <c r="C985" s="100"/>
      <c r="D985" s="100"/>
      <c r="E985" s="100"/>
      <c r="F985" s="100"/>
      <c r="G985" s="100"/>
      <c r="H985" s="100"/>
    </row>
    <row r="986" spans="3:8">
      <c r="C986" s="100"/>
      <c r="D986" s="100"/>
      <c r="E986" s="100"/>
      <c r="F986" s="100"/>
      <c r="G986" s="100"/>
      <c r="H986" s="100"/>
    </row>
    <row r="987" spans="3:8">
      <c r="C987" s="100"/>
      <c r="D987" s="100"/>
      <c r="E987" s="100"/>
      <c r="F987" s="100"/>
      <c r="G987" s="100"/>
      <c r="H987" s="100"/>
    </row>
    <row r="988" spans="3:8">
      <c r="C988" s="100"/>
      <c r="D988" s="100"/>
      <c r="E988" s="100"/>
      <c r="F988" s="100"/>
      <c r="G988" s="100"/>
      <c r="H988" s="100"/>
    </row>
    <row r="989" spans="3:8">
      <c r="C989" s="100"/>
      <c r="D989" s="100"/>
      <c r="E989" s="100"/>
      <c r="F989" s="100"/>
      <c r="G989" s="100"/>
      <c r="H989" s="100"/>
    </row>
    <row r="990" spans="3:8">
      <c r="C990" s="100"/>
      <c r="D990" s="100"/>
      <c r="E990" s="100"/>
      <c r="F990" s="100"/>
      <c r="G990" s="100"/>
      <c r="H990" s="100"/>
    </row>
    <row r="991" spans="3:8">
      <c r="C991" s="100"/>
      <c r="D991" s="100"/>
      <c r="E991" s="100"/>
      <c r="F991" s="100"/>
      <c r="G991" s="100"/>
      <c r="H991" s="100"/>
    </row>
    <row r="992" spans="3:8">
      <c r="C992" s="100"/>
      <c r="D992" s="100"/>
      <c r="E992" s="100"/>
      <c r="F992" s="100"/>
      <c r="G992" s="100"/>
      <c r="H992" s="100"/>
    </row>
    <row r="993" spans="3:8">
      <c r="C993" s="100"/>
      <c r="D993" s="100"/>
      <c r="E993" s="100"/>
      <c r="F993" s="100"/>
      <c r="G993" s="100"/>
      <c r="H993" s="100"/>
    </row>
    <row r="994" spans="3:8">
      <c r="C994" s="100"/>
      <c r="D994" s="100"/>
      <c r="E994" s="100"/>
      <c r="F994" s="100"/>
      <c r="G994" s="100"/>
      <c r="H994" s="100"/>
    </row>
    <row r="995" spans="3:8">
      <c r="C995" s="100"/>
      <c r="D995" s="100"/>
      <c r="E995" s="100"/>
      <c r="F995" s="100"/>
      <c r="G995" s="100"/>
      <c r="H995" s="100"/>
    </row>
    <row r="996" spans="3:8">
      <c r="C996" s="100"/>
      <c r="D996" s="100"/>
      <c r="E996" s="100"/>
      <c r="F996" s="100"/>
      <c r="G996" s="100"/>
      <c r="H996" s="100"/>
    </row>
    <row r="997" spans="3:8">
      <c r="C997" s="100"/>
      <c r="D997" s="100"/>
      <c r="E997" s="100"/>
      <c r="F997" s="100"/>
      <c r="G997" s="100"/>
      <c r="H997" s="100"/>
    </row>
    <row r="998" spans="3:8">
      <c r="C998" s="100"/>
      <c r="D998" s="100"/>
      <c r="E998" s="100"/>
      <c r="F998" s="100"/>
      <c r="G998" s="100"/>
      <c r="H998" s="100"/>
    </row>
    <row r="999" spans="3:8">
      <c r="C999" s="100"/>
      <c r="D999" s="100"/>
      <c r="E999" s="100"/>
      <c r="F999" s="100"/>
      <c r="G999" s="100"/>
      <c r="H999" s="100"/>
    </row>
    <row r="1000" spans="3:8">
      <c r="C1000" s="100"/>
      <c r="D1000" s="100"/>
      <c r="E1000" s="100"/>
      <c r="F1000" s="100"/>
      <c r="G1000" s="100"/>
      <c r="H1000" s="100"/>
    </row>
    <row r="1001" spans="3:8">
      <c r="C1001" s="100"/>
      <c r="D1001" s="100"/>
      <c r="E1001" s="100"/>
      <c r="F1001" s="100"/>
      <c r="G1001" s="100"/>
      <c r="H1001" s="100"/>
    </row>
    <row r="1002" spans="3:8">
      <c r="C1002" s="100"/>
      <c r="D1002" s="100"/>
      <c r="E1002" s="100"/>
      <c r="F1002" s="100"/>
      <c r="G1002" s="100"/>
      <c r="H1002" s="100"/>
    </row>
    <row r="1003" spans="3:8">
      <c r="C1003" s="100"/>
      <c r="D1003" s="100"/>
      <c r="E1003" s="100"/>
      <c r="F1003" s="100"/>
      <c r="G1003" s="100"/>
      <c r="H1003" s="100"/>
    </row>
    <row r="1004" spans="3:8">
      <c r="C1004" s="100"/>
      <c r="D1004" s="100"/>
      <c r="E1004" s="100"/>
      <c r="F1004" s="100"/>
      <c r="G1004" s="100"/>
      <c r="H1004" s="100"/>
    </row>
    <row r="1005" spans="3:8">
      <c r="C1005" s="100"/>
      <c r="D1005" s="100"/>
      <c r="E1005" s="100"/>
      <c r="F1005" s="100"/>
      <c r="G1005" s="100"/>
      <c r="H1005" s="100"/>
    </row>
    <row r="1006" spans="3:8">
      <c r="C1006" s="100"/>
      <c r="D1006" s="100"/>
      <c r="E1006" s="100"/>
      <c r="F1006" s="100"/>
      <c r="G1006" s="100"/>
      <c r="H1006" s="100"/>
    </row>
    <row r="1007" spans="3:8">
      <c r="C1007" s="100"/>
      <c r="D1007" s="100"/>
      <c r="E1007" s="100"/>
      <c r="F1007" s="100"/>
      <c r="G1007" s="100"/>
      <c r="H1007" s="100"/>
    </row>
    <row r="1008" spans="3:8">
      <c r="C1008" s="100"/>
      <c r="D1008" s="100"/>
      <c r="E1008" s="100"/>
      <c r="F1008" s="100"/>
      <c r="G1008" s="100"/>
      <c r="H1008" s="100"/>
    </row>
    <row r="1009" spans="3:8">
      <c r="C1009" s="100"/>
      <c r="D1009" s="100"/>
      <c r="E1009" s="100"/>
      <c r="F1009" s="100"/>
      <c r="G1009" s="100"/>
      <c r="H1009" s="100"/>
    </row>
    <row r="1010" spans="3:8">
      <c r="C1010" s="100"/>
      <c r="D1010" s="100"/>
      <c r="E1010" s="100"/>
      <c r="F1010" s="100"/>
      <c r="G1010" s="100"/>
      <c r="H1010" s="100"/>
    </row>
    <row r="1011" spans="3:8">
      <c r="C1011" s="100"/>
      <c r="D1011" s="100"/>
      <c r="E1011" s="100"/>
      <c r="F1011" s="100"/>
      <c r="G1011" s="100"/>
      <c r="H1011" s="100"/>
    </row>
    <row r="1012" spans="3:8">
      <c r="C1012" s="100"/>
      <c r="D1012" s="100"/>
      <c r="E1012" s="100"/>
      <c r="F1012" s="100"/>
      <c r="G1012" s="100"/>
      <c r="H1012" s="100"/>
    </row>
    <row r="1013" spans="3:8">
      <c r="C1013" s="100"/>
      <c r="D1013" s="100"/>
      <c r="E1013" s="100"/>
      <c r="F1013" s="100"/>
      <c r="G1013" s="100"/>
      <c r="H1013" s="100"/>
    </row>
    <row r="1014" spans="3:8">
      <c r="C1014" s="100"/>
      <c r="D1014" s="100"/>
      <c r="E1014" s="100"/>
      <c r="F1014" s="100"/>
      <c r="G1014" s="100"/>
      <c r="H1014" s="100"/>
    </row>
    <row r="1015" spans="3:8">
      <c r="C1015" s="100"/>
      <c r="D1015" s="100"/>
      <c r="E1015" s="100"/>
      <c r="F1015" s="100"/>
      <c r="G1015" s="100"/>
      <c r="H1015" s="100"/>
    </row>
    <row r="1016" spans="3:8">
      <c r="C1016" s="100"/>
      <c r="D1016" s="100"/>
      <c r="E1016" s="100"/>
      <c r="F1016" s="100"/>
      <c r="G1016" s="100"/>
      <c r="H1016" s="100"/>
    </row>
    <row r="1017" spans="3:8">
      <c r="C1017" s="100"/>
      <c r="D1017" s="100"/>
      <c r="E1017" s="100"/>
      <c r="F1017" s="100"/>
      <c r="G1017" s="100"/>
      <c r="H1017" s="100"/>
    </row>
    <row r="1018" spans="3:8">
      <c r="C1018" s="100"/>
      <c r="D1018" s="100"/>
      <c r="E1018" s="100"/>
      <c r="F1018" s="100"/>
      <c r="G1018" s="100"/>
      <c r="H1018" s="100"/>
    </row>
    <row r="1019" spans="3:8">
      <c r="C1019" s="100"/>
      <c r="D1019" s="100"/>
      <c r="E1019" s="100"/>
      <c r="F1019" s="100"/>
      <c r="G1019" s="100"/>
      <c r="H1019" s="100"/>
    </row>
    <row r="1020" spans="3:8">
      <c r="C1020" s="100"/>
      <c r="D1020" s="100"/>
      <c r="E1020" s="100"/>
      <c r="F1020" s="100"/>
      <c r="G1020" s="100"/>
      <c r="H1020" s="100"/>
    </row>
    <row r="1021" spans="3:8">
      <c r="C1021" s="100"/>
      <c r="D1021" s="100"/>
      <c r="E1021" s="100"/>
      <c r="F1021" s="100"/>
      <c r="G1021" s="100"/>
      <c r="H1021" s="100"/>
    </row>
    <row r="1022" spans="3:8">
      <c r="C1022" s="100"/>
      <c r="D1022" s="100"/>
      <c r="E1022" s="100"/>
      <c r="F1022" s="100"/>
      <c r="G1022" s="100"/>
      <c r="H1022" s="100"/>
    </row>
    <row r="1023" spans="3:8">
      <c r="C1023" s="100"/>
      <c r="D1023" s="100"/>
      <c r="E1023" s="100"/>
      <c r="F1023" s="100"/>
      <c r="G1023" s="100"/>
      <c r="H1023" s="100"/>
    </row>
    <row r="1024" spans="3:8">
      <c r="C1024" s="100"/>
      <c r="D1024" s="100"/>
      <c r="E1024" s="100"/>
      <c r="F1024" s="100"/>
      <c r="G1024" s="100"/>
      <c r="H1024" s="100"/>
    </row>
    <row r="1025" spans="3:8">
      <c r="C1025" s="100"/>
      <c r="D1025" s="100"/>
      <c r="E1025" s="100"/>
      <c r="F1025" s="100"/>
      <c r="G1025" s="100"/>
      <c r="H1025" s="100"/>
    </row>
    <row r="1026" spans="3:8">
      <c r="C1026" s="100"/>
      <c r="D1026" s="100"/>
      <c r="E1026" s="100"/>
      <c r="F1026" s="100"/>
      <c r="G1026" s="100"/>
      <c r="H1026" s="100"/>
    </row>
    <row r="1027" spans="3:8">
      <c r="C1027" s="100"/>
      <c r="D1027" s="100"/>
      <c r="E1027" s="100"/>
      <c r="F1027" s="100"/>
      <c r="G1027" s="100"/>
      <c r="H1027" s="100"/>
    </row>
    <row r="1028" spans="3:8">
      <c r="C1028" s="100"/>
      <c r="D1028" s="100"/>
      <c r="E1028" s="100"/>
      <c r="F1028" s="100"/>
      <c r="G1028" s="100"/>
      <c r="H1028" s="100"/>
    </row>
    <row r="1029" spans="3:8">
      <c r="C1029" s="100"/>
      <c r="D1029" s="100"/>
      <c r="E1029" s="100"/>
      <c r="F1029" s="100"/>
      <c r="G1029" s="100"/>
      <c r="H1029" s="100"/>
    </row>
    <row r="1030" spans="3:8">
      <c r="C1030" s="100"/>
      <c r="D1030" s="100"/>
      <c r="E1030" s="100"/>
      <c r="F1030" s="100"/>
      <c r="G1030" s="100"/>
      <c r="H1030" s="100"/>
    </row>
    <row r="1031" spans="3:8">
      <c r="C1031" s="100"/>
      <c r="D1031" s="100"/>
      <c r="E1031" s="100"/>
      <c r="F1031" s="100"/>
      <c r="G1031" s="100"/>
      <c r="H1031" s="100"/>
    </row>
    <row r="1032" spans="3:8">
      <c r="C1032" s="100"/>
      <c r="D1032" s="100"/>
      <c r="E1032" s="100"/>
      <c r="F1032" s="100"/>
      <c r="G1032" s="100"/>
      <c r="H1032" s="100"/>
    </row>
    <row r="1033" spans="3:8">
      <c r="C1033" s="100"/>
      <c r="D1033" s="100"/>
      <c r="E1033" s="100"/>
      <c r="F1033" s="100"/>
      <c r="G1033" s="100"/>
      <c r="H1033" s="100"/>
    </row>
    <row r="1034" spans="3:8">
      <c r="C1034" s="100"/>
      <c r="D1034" s="100"/>
      <c r="E1034" s="100"/>
      <c r="F1034" s="100"/>
      <c r="G1034" s="100"/>
      <c r="H1034" s="100"/>
    </row>
    <row r="1035" spans="3:8">
      <c r="C1035" s="100"/>
      <c r="D1035" s="100"/>
      <c r="E1035" s="100"/>
      <c r="F1035" s="100"/>
      <c r="G1035" s="100"/>
      <c r="H1035" s="100"/>
    </row>
    <row r="1036" spans="3:8">
      <c r="C1036" s="100"/>
      <c r="D1036" s="100"/>
      <c r="E1036" s="100"/>
      <c r="F1036" s="100"/>
      <c r="G1036" s="100"/>
      <c r="H1036" s="100"/>
    </row>
    <row r="1037" spans="3:8">
      <c r="C1037" s="100"/>
      <c r="D1037" s="100"/>
      <c r="E1037" s="100"/>
      <c r="F1037" s="100"/>
      <c r="G1037" s="100"/>
      <c r="H1037" s="100"/>
    </row>
    <row r="1038" spans="3:8">
      <c r="C1038" s="100"/>
      <c r="D1038" s="100"/>
      <c r="E1038" s="100"/>
      <c r="F1038" s="100"/>
      <c r="G1038" s="100"/>
      <c r="H1038" s="100"/>
    </row>
    <row r="1039" spans="3:8">
      <c r="C1039" s="100"/>
      <c r="D1039" s="100"/>
      <c r="E1039" s="100"/>
      <c r="F1039" s="100"/>
      <c r="G1039" s="100"/>
      <c r="H1039" s="100"/>
    </row>
    <row r="1040" spans="3:8">
      <c r="C1040" s="100"/>
      <c r="D1040" s="100"/>
      <c r="E1040" s="100"/>
      <c r="F1040" s="100"/>
      <c r="G1040" s="100"/>
      <c r="H1040" s="100"/>
    </row>
    <row r="1041" spans="3:8">
      <c r="C1041" s="100"/>
      <c r="D1041" s="100"/>
      <c r="E1041" s="100"/>
      <c r="F1041" s="100"/>
      <c r="G1041" s="100"/>
      <c r="H1041" s="100"/>
    </row>
    <row r="1042" spans="3:8">
      <c r="C1042" s="100"/>
      <c r="D1042" s="100"/>
      <c r="E1042" s="100"/>
      <c r="F1042" s="100"/>
      <c r="G1042" s="100"/>
      <c r="H1042" s="100"/>
    </row>
    <row r="1043" spans="3:8">
      <c r="C1043" s="100"/>
      <c r="D1043" s="100"/>
      <c r="E1043" s="100"/>
      <c r="F1043" s="100"/>
      <c r="G1043" s="100"/>
      <c r="H1043" s="100"/>
    </row>
    <row r="1044" spans="3:8">
      <c r="C1044" s="100"/>
      <c r="D1044" s="100"/>
      <c r="E1044" s="100"/>
      <c r="F1044" s="100"/>
      <c r="G1044" s="100"/>
      <c r="H1044" s="100"/>
    </row>
    <row r="1045" spans="3:8">
      <c r="C1045" s="100"/>
      <c r="D1045" s="100"/>
      <c r="E1045" s="100"/>
      <c r="F1045" s="100"/>
      <c r="G1045" s="100"/>
      <c r="H1045" s="100"/>
    </row>
    <row r="1046" spans="3:8">
      <c r="C1046" s="100"/>
      <c r="D1046" s="100"/>
      <c r="E1046" s="100"/>
      <c r="F1046" s="100"/>
      <c r="G1046" s="100"/>
      <c r="H1046" s="100"/>
    </row>
    <row r="1047" spans="3:8">
      <c r="C1047" s="100"/>
      <c r="D1047" s="100"/>
      <c r="E1047" s="100"/>
      <c r="F1047" s="100"/>
      <c r="G1047" s="100"/>
      <c r="H1047" s="100"/>
    </row>
    <row r="1048" spans="3:8">
      <c r="C1048" s="100"/>
      <c r="D1048" s="100"/>
      <c r="E1048" s="100"/>
      <c r="F1048" s="100"/>
      <c r="G1048" s="100"/>
      <c r="H1048" s="100"/>
    </row>
    <row r="1049" spans="3:8">
      <c r="C1049" s="100"/>
      <c r="D1049" s="100"/>
      <c r="E1049" s="100"/>
      <c r="F1049" s="100"/>
      <c r="G1049" s="100"/>
      <c r="H1049" s="100"/>
    </row>
    <row r="1050" spans="3:8">
      <c r="C1050" s="100"/>
      <c r="D1050" s="100"/>
      <c r="E1050" s="100"/>
      <c r="F1050" s="100"/>
      <c r="G1050" s="100"/>
      <c r="H1050" s="100"/>
    </row>
    <row r="1051" spans="3:8">
      <c r="C1051" s="100"/>
      <c r="D1051" s="100"/>
      <c r="E1051" s="100"/>
      <c r="F1051" s="100"/>
      <c r="G1051" s="100"/>
      <c r="H1051" s="100"/>
    </row>
    <row r="1052" spans="3:8">
      <c r="C1052" s="100"/>
      <c r="D1052" s="100"/>
      <c r="E1052" s="100"/>
      <c r="F1052" s="100"/>
      <c r="G1052" s="100"/>
      <c r="H1052" s="100"/>
    </row>
    <row r="1053" spans="3:8">
      <c r="C1053" s="100"/>
      <c r="D1053" s="100"/>
      <c r="E1053" s="100"/>
      <c r="F1053" s="100"/>
      <c r="G1053" s="100"/>
      <c r="H1053" s="100"/>
    </row>
    <row r="1054" spans="3:8">
      <c r="C1054" s="100"/>
      <c r="D1054" s="100"/>
      <c r="E1054" s="100"/>
      <c r="F1054" s="100"/>
      <c r="G1054" s="100"/>
      <c r="H1054" s="100"/>
    </row>
    <row r="1055" spans="3:8">
      <c r="C1055" s="100"/>
      <c r="D1055" s="100"/>
      <c r="E1055" s="100"/>
      <c r="F1055" s="100"/>
      <c r="G1055" s="100"/>
      <c r="H1055" s="100"/>
    </row>
    <row r="1056" spans="3:8">
      <c r="C1056" s="100"/>
      <c r="D1056" s="100"/>
      <c r="E1056" s="100"/>
      <c r="F1056" s="100"/>
      <c r="G1056" s="100"/>
      <c r="H1056" s="100"/>
    </row>
    <row r="1057" spans="3:8">
      <c r="C1057" s="100"/>
      <c r="D1057" s="100"/>
      <c r="E1057" s="100"/>
      <c r="F1057" s="100"/>
      <c r="G1057" s="100"/>
      <c r="H1057" s="100"/>
    </row>
    <row r="1058" spans="3:8">
      <c r="C1058" s="100"/>
      <c r="D1058" s="100"/>
      <c r="E1058" s="100"/>
      <c r="F1058" s="100"/>
      <c r="G1058" s="100"/>
      <c r="H1058" s="100"/>
    </row>
    <row r="1059" spans="3:8">
      <c r="C1059" s="100"/>
      <c r="D1059" s="100"/>
      <c r="E1059" s="100"/>
      <c r="F1059" s="100"/>
      <c r="G1059" s="100"/>
      <c r="H1059" s="100"/>
    </row>
    <row r="1060" spans="3:8">
      <c r="C1060" s="100"/>
      <c r="D1060" s="100"/>
      <c r="E1060" s="100"/>
      <c r="F1060" s="100"/>
      <c r="G1060" s="100"/>
      <c r="H1060" s="100"/>
    </row>
    <row r="1061" spans="3:8">
      <c r="C1061" s="100"/>
      <c r="D1061" s="100"/>
      <c r="E1061" s="100"/>
      <c r="F1061" s="100"/>
      <c r="G1061" s="100"/>
      <c r="H1061" s="100"/>
    </row>
    <row r="1062" spans="3:8">
      <c r="C1062" s="100"/>
      <c r="D1062" s="100"/>
      <c r="E1062" s="100"/>
      <c r="F1062" s="100"/>
      <c r="G1062" s="100"/>
      <c r="H1062" s="100"/>
    </row>
    <row r="1063" spans="3:8">
      <c r="C1063" s="100"/>
      <c r="D1063" s="100"/>
      <c r="E1063" s="100"/>
      <c r="F1063" s="100"/>
      <c r="G1063" s="100"/>
      <c r="H1063" s="100"/>
    </row>
    <row r="1064" spans="3:8">
      <c r="C1064" s="100"/>
      <c r="D1064" s="100"/>
      <c r="E1064" s="100"/>
      <c r="F1064" s="100"/>
      <c r="G1064" s="100"/>
      <c r="H1064" s="100"/>
    </row>
    <row r="1065" spans="3:8">
      <c r="C1065" s="100"/>
      <c r="D1065" s="100"/>
      <c r="E1065" s="100"/>
      <c r="F1065" s="100"/>
      <c r="G1065" s="100"/>
      <c r="H1065" s="100"/>
    </row>
    <row r="1066" spans="3:8">
      <c r="C1066" s="100"/>
      <c r="D1066" s="100"/>
      <c r="E1066" s="100"/>
      <c r="F1066" s="100"/>
      <c r="G1066" s="100"/>
      <c r="H1066" s="100"/>
    </row>
    <row r="1067" spans="3:8">
      <c r="C1067" s="100"/>
      <c r="D1067" s="100"/>
      <c r="E1067" s="100"/>
      <c r="F1067" s="100"/>
      <c r="G1067" s="100"/>
      <c r="H1067" s="100"/>
    </row>
    <row r="1068" spans="3:8">
      <c r="C1068" s="100"/>
      <c r="D1068" s="100"/>
      <c r="E1068" s="100"/>
      <c r="F1068" s="100"/>
      <c r="G1068" s="100"/>
      <c r="H1068" s="100"/>
    </row>
    <row r="1069" spans="3:8">
      <c r="C1069" s="100"/>
      <c r="D1069" s="100"/>
      <c r="E1069" s="100"/>
      <c r="F1069" s="100"/>
      <c r="G1069" s="100"/>
      <c r="H1069" s="100"/>
    </row>
    <row r="1070" spans="3:8">
      <c r="C1070" s="100"/>
      <c r="D1070" s="100"/>
      <c r="E1070" s="100"/>
      <c r="F1070" s="100"/>
      <c r="G1070" s="100"/>
      <c r="H1070" s="100"/>
    </row>
    <row r="1071" spans="3:8">
      <c r="C1071" s="100"/>
      <c r="D1071" s="100"/>
      <c r="E1071" s="100"/>
      <c r="F1071" s="100"/>
      <c r="G1071" s="100"/>
      <c r="H1071" s="100"/>
    </row>
    <row r="1072" spans="3:8">
      <c r="C1072" s="100"/>
      <c r="D1072" s="100"/>
      <c r="E1072" s="100"/>
      <c r="F1072" s="100"/>
      <c r="G1072" s="100"/>
      <c r="H1072" s="100"/>
    </row>
    <row r="1073" spans="3:8">
      <c r="C1073" s="100"/>
      <c r="D1073" s="100"/>
      <c r="E1073" s="100"/>
      <c r="F1073" s="100"/>
      <c r="G1073" s="100"/>
      <c r="H1073" s="100"/>
    </row>
    <row r="1074" spans="3:8">
      <c r="C1074" s="100"/>
      <c r="D1074" s="100"/>
      <c r="E1074" s="100"/>
      <c r="F1074" s="100"/>
      <c r="G1074" s="100"/>
      <c r="H1074" s="100"/>
    </row>
    <row r="1075" spans="3:8">
      <c r="C1075" s="100"/>
      <c r="D1075" s="100"/>
      <c r="E1075" s="100"/>
      <c r="F1075" s="100"/>
      <c r="G1075" s="100"/>
      <c r="H1075" s="100"/>
    </row>
    <row r="1076" spans="3:8">
      <c r="C1076" s="100"/>
      <c r="D1076" s="100"/>
      <c r="E1076" s="100"/>
      <c r="F1076" s="100"/>
      <c r="G1076" s="100"/>
      <c r="H1076" s="100"/>
    </row>
    <row r="1077" spans="3:8">
      <c r="C1077" s="100"/>
      <c r="D1077" s="100"/>
      <c r="E1077" s="100"/>
      <c r="F1077" s="100"/>
      <c r="G1077" s="100"/>
      <c r="H1077" s="100"/>
    </row>
    <row r="1078" spans="3:8">
      <c r="C1078" s="100"/>
      <c r="D1078" s="100"/>
      <c r="E1078" s="100"/>
      <c r="F1078" s="100"/>
      <c r="G1078" s="100"/>
      <c r="H1078" s="100"/>
    </row>
    <row r="1079" spans="3:8">
      <c r="C1079" s="100"/>
      <c r="D1079" s="100"/>
      <c r="E1079" s="100"/>
      <c r="F1079" s="100"/>
      <c r="G1079" s="100"/>
      <c r="H1079" s="100"/>
    </row>
    <row r="1080" spans="3:8">
      <c r="C1080" s="100"/>
      <c r="D1080" s="100"/>
      <c r="E1080" s="100"/>
      <c r="F1080" s="100"/>
      <c r="G1080" s="100"/>
      <c r="H1080" s="100"/>
    </row>
    <row r="1081" spans="3:8">
      <c r="C1081" s="100"/>
      <c r="D1081" s="100"/>
      <c r="E1081" s="100"/>
      <c r="F1081" s="100"/>
      <c r="G1081" s="100"/>
      <c r="H1081" s="100"/>
    </row>
    <row r="1082" spans="3:8">
      <c r="C1082" s="100"/>
      <c r="D1082" s="100"/>
      <c r="E1082" s="100"/>
      <c r="F1082" s="100"/>
      <c r="G1082" s="100"/>
      <c r="H1082" s="100"/>
    </row>
    <row r="1083" spans="3:8">
      <c r="C1083" s="100"/>
      <c r="D1083" s="100"/>
      <c r="E1083" s="100"/>
      <c r="F1083" s="100"/>
      <c r="G1083" s="100"/>
      <c r="H1083" s="100"/>
    </row>
    <row r="1084" spans="3:8">
      <c r="C1084" s="100"/>
      <c r="D1084" s="100"/>
      <c r="E1084" s="100"/>
      <c r="F1084" s="100"/>
      <c r="G1084" s="100"/>
      <c r="H1084" s="100"/>
    </row>
    <row r="1085" spans="3:8">
      <c r="C1085" s="100"/>
      <c r="D1085" s="100"/>
      <c r="E1085" s="100"/>
      <c r="F1085" s="100"/>
      <c r="G1085" s="100"/>
      <c r="H1085" s="100"/>
    </row>
    <row r="1086" spans="3:8">
      <c r="C1086" s="100"/>
      <c r="D1086" s="100"/>
      <c r="E1086" s="100"/>
      <c r="F1086" s="100"/>
      <c r="G1086" s="100"/>
      <c r="H1086" s="100"/>
    </row>
    <row r="1087" spans="3:8">
      <c r="C1087" s="100"/>
      <c r="D1087" s="100"/>
      <c r="E1087" s="100"/>
      <c r="F1087" s="100"/>
      <c r="G1087" s="100"/>
      <c r="H1087" s="100"/>
    </row>
    <row r="1088" spans="3:8">
      <c r="C1088" s="100"/>
      <c r="D1088" s="100"/>
      <c r="E1088" s="100"/>
      <c r="F1088" s="100"/>
      <c r="G1088" s="100"/>
      <c r="H1088" s="100"/>
    </row>
    <row r="1089" spans="3:8">
      <c r="C1089" s="100"/>
      <c r="D1089" s="100"/>
      <c r="E1089" s="100"/>
      <c r="F1089" s="100"/>
      <c r="G1089" s="100"/>
      <c r="H1089" s="100"/>
    </row>
    <row r="1090" spans="3:8">
      <c r="C1090" s="100"/>
      <c r="D1090" s="100"/>
      <c r="E1090" s="100"/>
      <c r="F1090" s="100"/>
      <c r="G1090" s="100"/>
      <c r="H1090" s="100"/>
    </row>
    <row r="1091" spans="3:8">
      <c r="C1091" s="100"/>
      <c r="D1091" s="100"/>
      <c r="E1091" s="100"/>
      <c r="F1091" s="100"/>
      <c r="G1091" s="100"/>
      <c r="H1091" s="100"/>
    </row>
    <row r="1092" spans="3:8">
      <c r="C1092" s="100"/>
      <c r="D1092" s="100"/>
      <c r="E1092" s="100"/>
      <c r="F1092" s="100"/>
      <c r="G1092" s="100"/>
      <c r="H1092" s="100"/>
    </row>
    <row r="1093" spans="3:8">
      <c r="C1093" s="100"/>
      <c r="D1093" s="100"/>
      <c r="E1093" s="100"/>
      <c r="F1093" s="100"/>
      <c r="G1093" s="100"/>
      <c r="H1093" s="100"/>
    </row>
    <row r="1094" spans="3:8">
      <c r="C1094" s="100"/>
      <c r="D1094" s="100"/>
      <c r="E1094" s="100"/>
      <c r="F1094" s="100"/>
      <c r="G1094" s="100"/>
      <c r="H1094" s="100"/>
    </row>
    <row r="1095" spans="3:8">
      <c r="C1095" s="100"/>
      <c r="D1095" s="100"/>
      <c r="E1095" s="100"/>
      <c r="F1095" s="100"/>
      <c r="G1095" s="100"/>
      <c r="H1095" s="100"/>
    </row>
    <row r="1096" spans="3:8">
      <c r="C1096" s="100"/>
      <c r="D1096" s="100"/>
      <c r="E1096" s="100"/>
      <c r="F1096" s="100"/>
      <c r="G1096" s="100"/>
      <c r="H1096" s="100"/>
    </row>
    <row r="1097" spans="3:8">
      <c r="C1097" s="100"/>
      <c r="D1097" s="100"/>
      <c r="E1097" s="100"/>
      <c r="F1097" s="100"/>
      <c r="G1097" s="100"/>
      <c r="H1097" s="100"/>
    </row>
    <row r="1098" spans="3:8">
      <c r="C1098" s="100"/>
      <c r="D1098" s="100"/>
      <c r="E1098" s="100"/>
      <c r="F1098" s="100"/>
      <c r="G1098" s="100"/>
      <c r="H1098" s="100"/>
    </row>
    <row r="1099" spans="3:8">
      <c r="C1099" s="100"/>
      <c r="D1099" s="100"/>
      <c r="E1099" s="100"/>
      <c r="F1099" s="100"/>
      <c r="G1099" s="100"/>
      <c r="H1099" s="100"/>
    </row>
    <row r="1100" spans="3:8">
      <c r="C1100" s="100"/>
      <c r="D1100" s="100"/>
      <c r="E1100" s="100"/>
      <c r="F1100" s="100"/>
      <c r="G1100" s="100"/>
      <c r="H1100" s="100"/>
    </row>
    <row r="1101" spans="3:8">
      <c r="C1101" s="100"/>
      <c r="D1101" s="100"/>
      <c r="E1101" s="100"/>
      <c r="F1101" s="100"/>
      <c r="G1101" s="100"/>
      <c r="H1101" s="100"/>
    </row>
    <row r="1102" spans="3:8">
      <c r="C1102" s="100"/>
      <c r="D1102" s="100"/>
      <c r="E1102" s="100"/>
      <c r="F1102" s="100"/>
      <c r="G1102" s="100"/>
      <c r="H1102" s="100"/>
    </row>
    <row r="1103" spans="3:8">
      <c r="C1103" s="100"/>
      <c r="D1103" s="100"/>
      <c r="E1103" s="100"/>
      <c r="F1103" s="100"/>
      <c r="G1103" s="100"/>
      <c r="H1103" s="100"/>
    </row>
    <row r="1104" spans="3:8">
      <c r="C1104" s="100"/>
      <c r="D1104" s="100"/>
      <c r="E1104" s="100"/>
      <c r="F1104" s="100"/>
      <c r="G1104" s="100"/>
      <c r="H1104" s="100"/>
    </row>
    <row r="1105" spans="3:8">
      <c r="C1105" s="100"/>
      <c r="D1105" s="100"/>
      <c r="E1105" s="100"/>
      <c r="F1105" s="100"/>
      <c r="G1105" s="100"/>
      <c r="H1105" s="100"/>
    </row>
    <row r="1106" spans="3:8">
      <c r="C1106" s="100"/>
      <c r="D1106" s="100"/>
      <c r="E1106" s="100"/>
      <c r="F1106" s="100"/>
      <c r="G1106" s="100"/>
      <c r="H1106" s="100"/>
    </row>
    <row r="1107" spans="3:8">
      <c r="C1107" s="100"/>
      <c r="D1107" s="100"/>
      <c r="E1107" s="100"/>
      <c r="F1107" s="100"/>
      <c r="G1107" s="100"/>
      <c r="H1107" s="100"/>
    </row>
    <row r="1108" spans="3:8">
      <c r="C1108" s="100"/>
      <c r="D1108" s="100"/>
      <c r="E1108" s="100"/>
      <c r="F1108" s="100"/>
      <c r="G1108" s="100"/>
      <c r="H1108" s="100"/>
    </row>
    <row r="1109" spans="3:8">
      <c r="C1109" s="100"/>
      <c r="D1109" s="100"/>
      <c r="E1109" s="100"/>
      <c r="F1109" s="100"/>
      <c r="G1109" s="100"/>
      <c r="H1109" s="100"/>
    </row>
    <row r="1110" spans="3:8">
      <c r="C1110" s="100"/>
      <c r="D1110" s="100"/>
      <c r="E1110" s="100"/>
      <c r="F1110" s="100"/>
      <c r="G1110" s="100"/>
      <c r="H1110" s="100"/>
    </row>
    <row r="1111" spans="3:8">
      <c r="C1111" s="100"/>
      <c r="D1111" s="100"/>
      <c r="E1111" s="100"/>
      <c r="F1111" s="100"/>
      <c r="G1111" s="100"/>
      <c r="H1111" s="100"/>
    </row>
    <row r="1112" spans="3:8">
      <c r="C1112" s="100"/>
      <c r="D1112" s="100"/>
      <c r="E1112" s="100"/>
      <c r="F1112" s="100"/>
      <c r="G1112" s="100"/>
      <c r="H1112" s="100"/>
    </row>
    <row r="1113" spans="3:8">
      <c r="C1113" s="100"/>
      <c r="D1113" s="100"/>
      <c r="E1113" s="100"/>
      <c r="F1113" s="100"/>
      <c r="G1113" s="100"/>
      <c r="H1113" s="100"/>
    </row>
    <row r="1114" spans="3:8">
      <c r="C1114" s="100"/>
      <c r="D1114" s="100"/>
      <c r="E1114" s="100"/>
      <c r="F1114" s="100"/>
      <c r="G1114" s="100"/>
      <c r="H1114" s="100"/>
    </row>
    <row r="1115" spans="3:8">
      <c r="C1115" s="100"/>
      <c r="D1115" s="100"/>
      <c r="E1115" s="100"/>
      <c r="F1115" s="100"/>
      <c r="G1115" s="100"/>
      <c r="H1115" s="100"/>
    </row>
    <row r="1116" spans="3:8">
      <c r="C1116" s="100"/>
      <c r="D1116" s="100"/>
      <c r="E1116" s="100"/>
      <c r="F1116" s="100"/>
      <c r="G1116" s="100"/>
      <c r="H1116" s="100"/>
    </row>
    <row r="1117" spans="3:8">
      <c r="C1117" s="100"/>
      <c r="D1117" s="100"/>
      <c r="E1117" s="100"/>
      <c r="F1117" s="100"/>
      <c r="G1117" s="100"/>
      <c r="H1117" s="100"/>
    </row>
    <row r="1118" spans="3:8">
      <c r="C1118" s="100"/>
      <c r="D1118" s="100"/>
      <c r="E1118" s="100"/>
      <c r="F1118" s="100"/>
      <c r="G1118" s="100"/>
      <c r="H1118" s="100"/>
    </row>
    <row r="1119" spans="3:8">
      <c r="C1119" s="100"/>
      <c r="D1119" s="100"/>
      <c r="E1119" s="100"/>
      <c r="F1119" s="100"/>
      <c r="G1119" s="100"/>
      <c r="H1119" s="100"/>
    </row>
    <row r="1120" spans="3:8">
      <c r="C1120" s="100"/>
      <c r="D1120" s="100"/>
      <c r="E1120" s="100"/>
      <c r="F1120" s="100"/>
      <c r="G1120" s="100"/>
      <c r="H1120" s="100"/>
    </row>
    <row r="1121" spans="3:8">
      <c r="C1121" s="100"/>
      <c r="D1121" s="100"/>
      <c r="E1121" s="100"/>
      <c r="F1121" s="100"/>
      <c r="G1121" s="100"/>
      <c r="H1121" s="100"/>
    </row>
    <row r="1122" spans="3:8">
      <c r="C1122" s="100"/>
      <c r="D1122" s="100"/>
      <c r="E1122" s="100"/>
      <c r="F1122" s="100"/>
      <c r="G1122" s="100"/>
      <c r="H1122" s="100"/>
    </row>
    <row r="1123" spans="3:8">
      <c r="C1123" s="100"/>
      <c r="D1123" s="100"/>
      <c r="E1123" s="100"/>
      <c r="F1123" s="100"/>
      <c r="G1123" s="100"/>
      <c r="H1123" s="100"/>
    </row>
    <row r="1124" spans="3:8">
      <c r="C1124" s="100"/>
      <c r="D1124" s="100"/>
      <c r="E1124" s="100"/>
      <c r="F1124" s="100"/>
      <c r="G1124" s="100"/>
      <c r="H1124" s="100"/>
    </row>
    <row r="1125" spans="3:8">
      <c r="C1125" s="100"/>
      <c r="D1125" s="100"/>
      <c r="E1125" s="100"/>
      <c r="F1125" s="100"/>
      <c r="G1125" s="100"/>
      <c r="H1125" s="100"/>
    </row>
    <row r="1126" spans="3:8">
      <c r="C1126" s="100"/>
      <c r="D1126" s="100"/>
      <c r="E1126" s="100"/>
      <c r="F1126" s="100"/>
      <c r="G1126" s="100"/>
      <c r="H1126" s="100"/>
    </row>
    <row r="1127" spans="3:8">
      <c r="C1127" s="100"/>
      <c r="D1127" s="100"/>
      <c r="E1127" s="100"/>
      <c r="F1127" s="100"/>
      <c r="G1127" s="100"/>
      <c r="H1127" s="100"/>
    </row>
    <row r="1128" spans="3:8">
      <c r="C1128" s="100"/>
      <c r="D1128" s="100"/>
      <c r="E1128" s="100"/>
      <c r="F1128" s="100"/>
      <c r="G1128" s="100"/>
      <c r="H1128" s="100"/>
    </row>
    <row r="1129" spans="3:8">
      <c r="C1129" s="100"/>
      <c r="D1129" s="100"/>
      <c r="E1129" s="100"/>
      <c r="F1129" s="100"/>
      <c r="G1129" s="100"/>
      <c r="H1129" s="100"/>
    </row>
    <row r="1130" spans="3:8">
      <c r="C1130" s="100"/>
      <c r="D1130" s="100"/>
      <c r="E1130" s="100"/>
      <c r="F1130" s="100"/>
      <c r="G1130" s="100"/>
      <c r="H1130" s="100"/>
    </row>
    <row r="1131" spans="3:8">
      <c r="C1131" s="100"/>
      <c r="D1131" s="100"/>
      <c r="E1131" s="100"/>
      <c r="F1131" s="100"/>
      <c r="G1131" s="100"/>
      <c r="H1131" s="100"/>
    </row>
    <row r="1132" spans="3:8">
      <c r="C1132" s="100"/>
      <c r="D1132" s="100"/>
      <c r="E1132" s="100"/>
      <c r="F1132" s="100"/>
      <c r="G1132" s="100"/>
      <c r="H1132" s="100"/>
    </row>
    <row r="1133" spans="3:8">
      <c r="C1133" s="100"/>
      <c r="D1133" s="100"/>
      <c r="E1133" s="100"/>
      <c r="F1133" s="100"/>
      <c r="G1133" s="100"/>
      <c r="H1133" s="100"/>
    </row>
    <row r="1134" spans="3:8">
      <c r="C1134" s="100"/>
      <c r="D1134" s="100"/>
      <c r="E1134" s="100"/>
      <c r="F1134" s="100"/>
      <c r="G1134" s="100"/>
      <c r="H1134" s="100"/>
    </row>
    <row r="1135" spans="3:8">
      <c r="C1135" s="100"/>
      <c r="D1135" s="100"/>
      <c r="E1135" s="100"/>
      <c r="F1135" s="100"/>
      <c r="G1135" s="100"/>
      <c r="H1135" s="100"/>
    </row>
    <row r="1136" spans="3:8">
      <c r="C1136" s="100"/>
      <c r="D1136" s="100"/>
      <c r="E1136" s="100"/>
      <c r="F1136" s="100"/>
      <c r="G1136" s="100"/>
      <c r="H1136" s="100"/>
    </row>
    <row r="1137" spans="3:8">
      <c r="C1137" s="100"/>
      <c r="D1137" s="100"/>
      <c r="E1137" s="100"/>
      <c r="F1137" s="100"/>
      <c r="G1137" s="100"/>
      <c r="H1137" s="100"/>
    </row>
    <row r="1138" spans="3:8">
      <c r="C1138" s="100"/>
      <c r="D1138" s="100"/>
      <c r="E1138" s="100"/>
      <c r="F1138" s="100"/>
      <c r="G1138" s="100"/>
      <c r="H1138" s="100"/>
    </row>
    <row r="1139" spans="3:8">
      <c r="C1139" s="100"/>
      <c r="D1139" s="100"/>
      <c r="E1139" s="100"/>
      <c r="F1139" s="100"/>
      <c r="G1139" s="100"/>
      <c r="H1139" s="100"/>
    </row>
    <row r="1140" spans="3:8">
      <c r="C1140" s="100"/>
      <c r="D1140" s="100"/>
      <c r="E1140" s="100"/>
      <c r="F1140" s="100"/>
      <c r="G1140" s="100"/>
      <c r="H1140" s="100"/>
    </row>
    <row r="1141" spans="3:8">
      <c r="C1141" s="100"/>
      <c r="D1141" s="100"/>
      <c r="E1141" s="100"/>
      <c r="F1141" s="100"/>
      <c r="G1141" s="100"/>
      <c r="H1141" s="100"/>
    </row>
    <row r="1142" spans="3:8">
      <c r="C1142" s="100"/>
      <c r="D1142" s="100"/>
      <c r="E1142" s="100"/>
      <c r="F1142" s="100"/>
      <c r="G1142" s="100"/>
      <c r="H1142" s="100"/>
    </row>
    <row r="1143" spans="3:8">
      <c r="C1143" s="100"/>
      <c r="D1143" s="100"/>
      <c r="E1143" s="100"/>
      <c r="F1143" s="100"/>
      <c r="G1143" s="100"/>
      <c r="H1143" s="100"/>
    </row>
    <row r="1144" spans="3:8">
      <c r="C1144" s="100"/>
      <c r="D1144" s="100"/>
      <c r="E1144" s="100"/>
      <c r="F1144" s="100"/>
      <c r="G1144" s="100"/>
      <c r="H1144" s="100"/>
    </row>
    <row r="1145" spans="3:8">
      <c r="C1145" s="100"/>
      <c r="D1145" s="100"/>
      <c r="E1145" s="100"/>
      <c r="F1145" s="100"/>
      <c r="G1145" s="100"/>
      <c r="H1145" s="100"/>
    </row>
    <row r="1146" spans="3:8">
      <c r="C1146" s="100"/>
      <c r="D1146" s="100"/>
      <c r="E1146" s="100"/>
      <c r="F1146" s="100"/>
      <c r="G1146" s="100"/>
      <c r="H1146" s="100"/>
    </row>
    <row r="1147" spans="3:8">
      <c r="C1147" s="100"/>
      <c r="D1147" s="100"/>
      <c r="E1147" s="100"/>
      <c r="F1147" s="100"/>
      <c r="G1147" s="100"/>
      <c r="H1147" s="100"/>
    </row>
    <row r="1148" spans="3:8">
      <c r="C1148" s="100"/>
      <c r="D1148" s="100"/>
      <c r="E1148" s="100"/>
      <c r="F1148" s="100"/>
      <c r="G1148" s="100"/>
      <c r="H1148" s="100"/>
    </row>
    <row r="1149" spans="3:8">
      <c r="C1149" s="100"/>
      <c r="D1149" s="100"/>
      <c r="E1149" s="100"/>
      <c r="F1149" s="100"/>
      <c r="G1149" s="100"/>
      <c r="H1149" s="100"/>
    </row>
    <row r="1150" spans="3:8">
      <c r="C1150" s="100"/>
      <c r="D1150" s="100"/>
      <c r="E1150" s="100"/>
      <c r="F1150" s="100"/>
      <c r="G1150" s="100"/>
      <c r="H1150" s="100"/>
    </row>
    <row r="1151" spans="3:8">
      <c r="C1151" s="100"/>
      <c r="D1151" s="100"/>
      <c r="E1151" s="100"/>
      <c r="F1151" s="100"/>
      <c r="G1151" s="100"/>
      <c r="H1151" s="100"/>
    </row>
    <row r="1152" spans="3:8">
      <c r="C1152" s="100"/>
      <c r="D1152" s="100"/>
      <c r="E1152" s="100"/>
      <c r="F1152" s="100"/>
      <c r="G1152" s="100"/>
      <c r="H1152" s="100"/>
    </row>
    <row r="1153" spans="3:8">
      <c r="C1153" s="100"/>
      <c r="D1153" s="100"/>
      <c r="E1153" s="100"/>
      <c r="F1153" s="100"/>
      <c r="G1153" s="100"/>
      <c r="H1153" s="100"/>
    </row>
    <row r="1154" spans="3:8">
      <c r="C1154" s="100"/>
      <c r="D1154" s="100"/>
      <c r="E1154" s="100"/>
      <c r="F1154" s="100"/>
      <c r="G1154" s="100"/>
      <c r="H1154" s="100"/>
    </row>
    <row r="1155" spans="3:8">
      <c r="C1155" s="100"/>
      <c r="D1155" s="100"/>
      <c r="E1155" s="100"/>
      <c r="F1155" s="100"/>
      <c r="G1155" s="100"/>
      <c r="H1155" s="100"/>
    </row>
    <row r="1156" spans="3:8">
      <c r="C1156" s="100"/>
      <c r="D1156" s="100"/>
      <c r="E1156" s="100"/>
      <c r="F1156" s="100"/>
      <c r="G1156" s="100"/>
      <c r="H1156" s="100"/>
    </row>
    <row r="1157" spans="3:8">
      <c r="C1157" s="100"/>
      <c r="D1157" s="100"/>
      <c r="E1157" s="100"/>
      <c r="F1157" s="100"/>
      <c r="G1157" s="100"/>
      <c r="H1157" s="100"/>
    </row>
    <row r="1158" spans="3:8">
      <c r="C1158" s="100"/>
      <c r="D1158" s="100"/>
      <c r="E1158" s="100"/>
      <c r="F1158" s="100"/>
      <c r="G1158" s="100"/>
      <c r="H1158" s="100"/>
    </row>
    <row r="1159" spans="3:8">
      <c r="C1159" s="100"/>
      <c r="D1159" s="100"/>
      <c r="E1159" s="100"/>
      <c r="F1159" s="100"/>
      <c r="G1159" s="100"/>
      <c r="H1159" s="100"/>
    </row>
    <row r="1160" spans="3:8">
      <c r="C1160" s="100"/>
      <c r="D1160" s="100"/>
      <c r="E1160" s="100"/>
      <c r="F1160" s="100"/>
      <c r="G1160" s="100"/>
      <c r="H1160" s="100"/>
    </row>
    <row r="1161" spans="3:8">
      <c r="C1161" s="100"/>
      <c r="D1161" s="100"/>
      <c r="E1161" s="100"/>
      <c r="F1161" s="100"/>
      <c r="G1161" s="100"/>
      <c r="H1161" s="100"/>
    </row>
    <row r="1162" spans="3:8">
      <c r="C1162" s="100"/>
      <c r="D1162" s="100"/>
      <c r="E1162" s="100"/>
      <c r="F1162" s="100"/>
      <c r="G1162" s="100"/>
      <c r="H1162" s="100"/>
    </row>
    <row r="1163" spans="3:8">
      <c r="C1163" s="100"/>
      <c r="D1163" s="100"/>
      <c r="E1163" s="100"/>
      <c r="F1163" s="100"/>
      <c r="G1163" s="100"/>
      <c r="H1163" s="100"/>
    </row>
    <row r="1164" spans="3:8">
      <c r="C1164" s="100"/>
      <c r="D1164" s="100"/>
      <c r="E1164" s="100"/>
      <c r="F1164" s="100"/>
      <c r="G1164" s="100"/>
      <c r="H1164" s="100"/>
    </row>
    <row r="1165" spans="3:8">
      <c r="C1165" s="100"/>
      <c r="D1165" s="100"/>
      <c r="E1165" s="100"/>
      <c r="F1165" s="100"/>
      <c r="G1165" s="100"/>
      <c r="H1165" s="100"/>
    </row>
    <row r="1166" spans="3:8">
      <c r="C1166" s="100"/>
      <c r="D1166" s="100"/>
      <c r="E1166" s="100"/>
      <c r="F1166" s="100"/>
      <c r="G1166" s="100"/>
      <c r="H1166" s="100"/>
    </row>
    <row r="1167" spans="3:8">
      <c r="C1167" s="100"/>
      <c r="D1167" s="100"/>
      <c r="E1167" s="100"/>
      <c r="F1167" s="100"/>
      <c r="G1167" s="100"/>
      <c r="H1167" s="100"/>
    </row>
    <row r="1168" spans="3:8">
      <c r="C1168" s="100"/>
      <c r="D1168" s="100"/>
      <c r="E1168" s="100"/>
      <c r="F1168" s="100"/>
      <c r="G1168" s="100"/>
      <c r="H1168" s="100"/>
    </row>
    <row r="1169" spans="3:8">
      <c r="C1169" s="100"/>
      <c r="D1169" s="100"/>
      <c r="E1169" s="100"/>
      <c r="F1169" s="100"/>
      <c r="G1169" s="100"/>
      <c r="H1169" s="100"/>
    </row>
    <row r="1170" spans="3:8">
      <c r="C1170" s="100"/>
      <c r="D1170" s="100"/>
      <c r="E1170" s="100"/>
      <c r="F1170" s="100"/>
      <c r="G1170" s="100"/>
      <c r="H1170" s="100"/>
    </row>
    <row r="1171" spans="3:8">
      <c r="C1171" s="100"/>
      <c r="D1171" s="100"/>
      <c r="E1171" s="100"/>
      <c r="F1171" s="100"/>
      <c r="G1171" s="100"/>
      <c r="H1171" s="100"/>
    </row>
    <row r="1172" spans="3:8">
      <c r="C1172" s="100"/>
      <c r="D1172" s="100"/>
      <c r="E1172" s="100"/>
      <c r="F1172" s="100"/>
      <c r="G1172" s="100"/>
      <c r="H1172" s="100"/>
    </row>
    <row r="1173" spans="3:8">
      <c r="C1173" s="100"/>
      <c r="D1173" s="100"/>
      <c r="E1173" s="100"/>
      <c r="F1173" s="100"/>
      <c r="G1173" s="100"/>
      <c r="H1173" s="100"/>
    </row>
    <row r="1174" spans="3:8">
      <c r="C1174" s="100"/>
      <c r="D1174" s="100"/>
      <c r="E1174" s="100"/>
      <c r="F1174" s="100"/>
      <c r="G1174" s="100"/>
      <c r="H1174" s="100"/>
    </row>
    <row r="1175" spans="3:8">
      <c r="C1175" s="100"/>
      <c r="D1175" s="100"/>
      <c r="E1175" s="100"/>
      <c r="F1175" s="100"/>
      <c r="G1175" s="100"/>
      <c r="H1175" s="100"/>
    </row>
    <row r="1176" spans="3:8">
      <c r="C1176" s="100"/>
      <c r="D1176" s="100"/>
      <c r="E1176" s="100"/>
      <c r="F1176" s="100"/>
      <c r="G1176" s="100"/>
      <c r="H1176" s="100"/>
    </row>
    <row r="1177" spans="3:8">
      <c r="C1177" s="100"/>
      <c r="D1177" s="100"/>
      <c r="E1177" s="100"/>
      <c r="F1177" s="100"/>
      <c r="G1177" s="100"/>
      <c r="H1177" s="100"/>
    </row>
    <row r="1178" spans="3:8">
      <c r="C1178" s="100"/>
      <c r="D1178" s="100"/>
      <c r="E1178" s="100"/>
      <c r="F1178" s="100"/>
      <c r="G1178" s="100"/>
      <c r="H1178" s="100"/>
    </row>
    <row r="1179" spans="3:8">
      <c r="C1179" s="100"/>
      <c r="D1179" s="100"/>
      <c r="E1179" s="100"/>
      <c r="F1179" s="100"/>
      <c r="G1179" s="100"/>
      <c r="H1179" s="100"/>
    </row>
    <row r="1180" spans="3:8">
      <c r="C1180" s="100"/>
      <c r="D1180" s="100"/>
      <c r="E1180" s="100"/>
      <c r="F1180" s="100"/>
      <c r="G1180" s="100"/>
      <c r="H1180" s="100"/>
    </row>
    <row r="1181" spans="3:8">
      <c r="C1181" s="100"/>
      <c r="D1181" s="100"/>
      <c r="E1181" s="100"/>
      <c r="F1181" s="100"/>
      <c r="G1181" s="100"/>
      <c r="H1181" s="100"/>
    </row>
    <row r="1182" spans="3:8">
      <c r="C1182" s="100"/>
      <c r="D1182" s="100"/>
      <c r="E1182" s="100"/>
      <c r="F1182" s="100"/>
      <c r="G1182" s="100"/>
      <c r="H1182" s="100"/>
    </row>
    <row r="1183" spans="3:8">
      <c r="C1183" s="100"/>
      <c r="D1183" s="100"/>
      <c r="E1183" s="100"/>
      <c r="F1183" s="100"/>
      <c r="G1183" s="100"/>
      <c r="H1183" s="100"/>
    </row>
    <row r="1184" spans="3:8">
      <c r="C1184" s="100"/>
      <c r="D1184" s="100"/>
      <c r="E1184" s="100"/>
      <c r="F1184" s="100"/>
      <c r="G1184" s="100"/>
      <c r="H1184" s="100"/>
    </row>
    <row r="1185" spans="3:8">
      <c r="C1185" s="100"/>
      <c r="D1185" s="100"/>
      <c r="E1185" s="100"/>
      <c r="F1185" s="100"/>
      <c r="G1185" s="100"/>
      <c r="H1185" s="100"/>
    </row>
    <row r="1186" spans="3:8">
      <c r="C1186" s="100"/>
      <c r="D1186" s="100"/>
      <c r="E1186" s="100"/>
      <c r="F1186" s="100"/>
      <c r="G1186" s="100"/>
      <c r="H1186" s="100"/>
    </row>
    <row r="1187" spans="3:8">
      <c r="C1187" s="100"/>
      <c r="D1187" s="100"/>
      <c r="E1187" s="100"/>
      <c r="F1187" s="100"/>
      <c r="G1187" s="100"/>
      <c r="H1187" s="100"/>
    </row>
    <row r="1188" spans="3:8">
      <c r="C1188" s="100"/>
      <c r="D1188" s="100"/>
      <c r="E1188" s="100"/>
      <c r="F1188" s="100"/>
      <c r="G1188" s="100"/>
      <c r="H1188" s="100"/>
    </row>
    <row r="1189" spans="3:8">
      <c r="C1189" s="100"/>
      <c r="D1189" s="100"/>
      <c r="E1189" s="100"/>
      <c r="F1189" s="100"/>
      <c r="G1189" s="100"/>
      <c r="H1189" s="100"/>
    </row>
    <row r="1190" spans="3:8">
      <c r="C1190" s="100"/>
      <c r="D1190" s="100"/>
      <c r="E1190" s="100"/>
      <c r="F1190" s="100"/>
      <c r="G1190" s="100"/>
      <c r="H1190" s="100"/>
    </row>
    <row r="1191" spans="3:8">
      <c r="C1191" s="100"/>
      <c r="D1191" s="100"/>
      <c r="E1191" s="100"/>
      <c r="F1191" s="100"/>
      <c r="G1191" s="100"/>
      <c r="H1191" s="100"/>
    </row>
    <row r="1192" spans="3:8">
      <c r="C1192" s="100"/>
      <c r="D1192" s="100"/>
      <c r="E1192" s="100"/>
      <c r="F1192" s="100"/>
      <c r="G1192" s="100"/>
      <c r="H1192" s="100"/>
    </row>
    <row r="1193" spans="3:8">
      <c r="C1193" s="100"/>
      <c r="D1193" s="100"/>
      <c r="E1193" s="100"/>
      <c r="F1193" s="100"/>
      <c r="G1193" s="100"/>
      <c r="H1193" s="100"/>
    </row>
    <row r="1194" spans="3:8">
      <c r="C1194" s="100"/>
      <c r="D1194" s="100"/>
      <c r="E1194" s="100"/>
      <c r="F1194" s="100"/>
      <c r="G1194" s="100"/>
      <c r="H1194" s="100"/>
    </row>
    <row r="1195" spans="3:8">
      <c r="C1195" s="100"/>
      <c r="D1195" s="100"/>
      <c r="E1195" s="100"/>
      <c r="F1195" s="100"/>
      <c r="G1195" s="100"/>
      <c r="H1195" s="100"/>
    </row>
    <row r="1196" spans="3:8">
      <c r="C1196" s="100"/>
      <c r="D1196" s="100"/>
      <c r="E1196" s="100"/>
      <c r="F1196" s="100"/>
      <c r="G1196" s="100"/>
      <c r="H1196" s="100"/>
    </row>
    <row r="1197" spans="3:8">
      <c r="C1197" s="100"/>
      <c r="D1197" s="100"/>
      <c r="E1197" s="100"/>
      <c r="F1197" s="100"/>
      <c r="G1197" s="100"/>
      <c r="H1197" s="100"/>
    </row>
    <row r="1198" spans="3:8">
      <c r="C1198" s="100"/>
      <c r="D1198" s="100"/>
      <c r="E1198" s="100"/>
      <c r="F1198" s="100"/>
      <c r="G1198" s="100"/>
      <c r="H1198" s="100"/>
    </row>
    <row r="1199" spans="3:8">
      <c r="C1199" s="100"/>
      <c r="D1199" s="100"/>
      <c r="E1199" s="100"/>
      <c r="F1199" s="100"/>
      <c r="G1199" s="100"/>
      <c r="H1199" s="100"/>
    </row>
    <row r="1200" spans="3:8">
      <c r="C1200" s="100"/>
      <c r="D1200" s="100"/>
      <c r="E1200" s="100"/>
      <c r="F1200" s="100"/>
      <c r="G1200" s="100"/>
      <c r="H1200" s="100"/>
    </row>
    <row r="1201" spans="3:8">
      <c r="C1201" s="100"/>
      <c r="D1201" s="100"/>
      <c r="E1201" s="100"/>
      <c r="F1201" s="100"/>
      <c r="G1201" s="100"/>
      <c r="H1201" s="100"/>
    </row>
    <row r="1202" spans="3:8">
      <c r="C1202" s="100"/>
      <c r="D1202" s="100"/>
      <c r="E1202" s="100"/>
      <c r="F1202" s="100"/>
      <c r="G1202" s="100"/>
      <c r="H1202" s="100"/>
    </row>
    <row r="1203" spans="3:8">
      <c r="C1203" s="100"/>
      <c r="D1203" s="100"/>
      <c r="E1203" s="100"/>
      <c r="F1203" s="100"/>
      <c r="G1203" s="100"/>
      <c r="H1203" s="100"/>
    </row>
    <row r="1204" spans="3:8">
      <c r="C1204" s="100"/>
      <c r="D1204" s="100"/>
      <c r="E1204" s="100"/>
      <c r="F1204" s="100"/>
      <c r="G1204" s="100"/>
      <c r="H1204" s="100"/>
    </row>
    <row r="1205" spans="3:8">
      <c r="C1205" s="100"/>
      <c r="D1205" s="100"/>
      <c r="E1205" s="100"/>
      <c r="F1205" s="100"/>
      <c r="G1205" s="100"/>
      <c r="H1205" s="100"/>
    </row>
    <row r="1206" spans="3:8">
      <c r="C1206" s="100"/>
      <c r="D1206" s="100"/>
      <c r="E1206" s="100"/>
      <c r="F1206" s="100"/>
      <c r="G1206" s="100"/>
      <c r="H1206" s="100"/>
    </row>
    <row r="1207" spans="3:8">
      <c r="C1207" s="100"/>
      <c r="D1207" s="100"/>
      <c r="E1207" s="100"/>
      <c r="F1207" s="100"/>
      <c r="G1207" s="100"/>
      <c r="H1207" s="100"/>
    </row>
    <row r="1208" spans="3:8">
      <c r="C1208" s="100"/>
      <c r="D1208" s="100"/>
      <c r="E1208" s="100"/>
      <c r="F1208" s="100"/>
      <c r="G1208" s="100"/>
      <c r="H1208" s="100"/>
    </row>
    <row r="1209" spans="3:8">
      <c r="C1209" s="100"/>
      <c r="D1209" s="100"/>
      <c r="E1209" s="100"/>
      <c r="F1209" s="100"/>
      <c r="G1209" s="100"/>
      <c r="H1209" s="100"/>
    </row>
    <row r="1210" spans="3:8">
      <c r="C1210" s="100"/>
      <c r="D1210" s="100"/>
      <c r="E1210" s="100"/>
      <c r="F1210" s="100"/>
      <c r="G1210" s="100"/>
      <c r="H1210" s="100"/>
    </row>
    <row r="1211" spans="3:8">
      <c r="C1211" s="100"/>
      <c r="D1211" s="100"/>
      <c r="E1211" s="100"/>
      <c r="F1211" s="100"/>
      <c r="G1211" s="100"/>
      <c r="H1211" s="100"/>
    </row>
    <row r="1212" spans="3:8">
      <c r="C1212" s="100"/>
      <c r="D1212" s="100"/>
      <c r="E1212" s="100"/>
      <c r="F1212" s="100"/>
      <c r="G1212" s="100"/>
      <c r="H1212" s="100"/>
    </row>
    <row r="1213" spans="3:8">
      <c r="C1213" s="100"/>
      <c r="D1213" s="100"/>
      <c r="E1213" s="100"/>
      <c r="F1213" s="100"/>
      <c r="G1213" s="100"/>
      <c r="H1213" s="100"/>
    </row>
    <row r="1214" spans="3:8">
      <c r="C1214" s="100"/>
      <c r="D1214" s="100"/>
      <c r="E1214" s="100"/>
      <c r="F1214" s="100"/>
      <c r="G1214" s="100"/>
      <c r="H1214" s="100"/>
    </row>
    <row r="1215" spans="3:8">
      <c r="C1215" s="100"/>
      <c r="D1215" s="100"/>
      <c r="E1215" s="100"/>
      <c r="F1215" s="100"/>
      <c r="G1215" s="100"/>
      <c r="H1215" s="100"/>
    </row>
    <row r="1216" spans="3:8">
      <c r="C1216" s="100"/>
      <c r="D1216" s="100"/>
      <c r="E1216" s="100"/>
      <c r="F1216" s="100"/>
      <c r="G1216" s="100"/>
      <c r="H1216" s="100"/>
    </row>
    <row r="1217" spans="3:8">
      <c r="C1217" s="100"/>
      <c r="D1217" s="100"/>
      <c r="E1217" s="100"/>
      <c r="F1217" s="100"/>
      <c r="G1217" s="100"/>
      <c r="H1217" s="100"/>
    </row>
    <row r="1218" spans="3:8">
      <c r="C1218" s="100"/>
      <c r="D1218" s="100"/>
      <c r="E1218" s="100"/>
      <c r="F1218" s="100"/>
      <c r="G1218" s="100"/>
      <c r="H1218" s="100"/>
    </row>
    <row r="1219" spans="3:8">
      <c r="C1219" s="100"/>
      <c r="D1219" s="100"/>
      <c r="E1219" s="100"/>
      <c r="F1219" s="100"/>
      <c r="G1219" s="100"/>
      <c r="H1219" s="100"/>
    </row>
    <row r="1220" spans="3:8">
      <c r="C1220" s="100"/>
      <c r="D1220" s="100"/>
      <c r="E1220" s="100"/>
      <c r="F1220" s="100"/>
      <c r="G1220" s="100"/>
      <c r="H1220" s="100"/>
    </row>
    <row r="1221" spans="3:8">
      <c r="C1221" s="100"/>
      <c r="D1221" s="100"/>
      <c r="E1221" s="100"/>
      <c r="F1221" s="100"/>
      <c r="G1221" s="100"/>
      <c r="H1221" s="100"/>
    </row>
    <row r="1222" spans="3:8">
      <c r="C1222" s="100"/>
      <c r="D1222" s="100"/>
      <c r="E1222" s="100"/>
      <c r="F1222" s="100"/>
      <c r="G1222" s="100"/>
      <c r="H1222" s="100"/>
    </row>
    <row r="1223" spans="3:8">
      <c r="C1223" s="100"/>
      <c r="D1223" s="100"/>
      <c r="E1223" s="100"/>
      <c r="F1223" s="100"/>
      <c r="G1223" s="100"/>
      <c r="H1223" s="100"/>
    </row>
    <row r="1224" spans="3:8">
      <c r="C1224" s="100"/>
      <c r="D1224" s="100"/>
      <c r="E1224" s="100"/>
      <c r="F1224" s="100"/>
      <c r="G1224" s="100"/>
      <c r="H1224" s="100"/>
    </row>
    <row r="1225" spans="3:8">
      <c r="C1225" s="100"/>
      <c r="D1225" s="100"/>
      <c r="E1225" s="100"/>
      <c r="F1225" s="100"/>
      <c r="G1225" s="100"/>
      <c r="H1225" s="100"/>
    </row>
    <row r="1226" spans="3:8">
      <c r="C1226" s="100"/>
      <c r="D1226" s="100"/>
      <c r="E1226" s="100"/>
      <c r="F1226" s="100"/>
      <c r="G1226" s="100"/>
      <c r="H1226" s="100"/>
    </row>
    <row r="1227" spans="3:8">
      <c r="C1227" s="100"/>
      <c r="D1227" s="100"/>
      <c r="E1227" s="100"/>
      <c r="F1227" s="100"/>
      <c r="G1227" s="100"/>
      <c r="H1227" s="100"/>
    </row>
    <row r="1228" spans="3:8">
      <c r="C1228" s="100"/>
      <c r="D1228" s="100"/>
      <c r="E1228" s="100"/>
      <c r="F1228" s="100"/>
      <c r="G1228" s="100"/>
      <c r="H1228" s="100"/>
    </row>
    <row r="1229" spans="3:8">
      <c r="C1229" s="100"/>
      <c r="D1229" s="100"/>
      <c r="E1229" s="100"/>
      <c r="F1229" s="100"/>
      <c r="G1229" s="100"/>
      <c r="H1229" s="100"/>
    </row>
    <row r="1230" spans="3:8">
      <c r="C1230" s="100"/>
      <c r="D1230" s="100"/>
      <c r="E1230" s="100"/>
      <c r="F1230" s="100"/>
      <c r="G1230" s="100"/>
      <c r="H1230" s="100"/>
    </row>
    <row r="1231" spans="3:8">
      <c r="C1231" s="100"/>
      <c r="D1231" s="100"/>
      <c r="E1231" s="100"/>
      <c r="F1231" s="100"/>
      <c r="G1231" s="100"/>
      <c r="H1231" s="100"/>
    </row>
    <row r="1232" spans="3:8">
      <c r="C1232" s="100"/>
      <c r="D1232" s="100"/>
      <c r="E1232" s="100"/>
      <c r="F1232" s="100"/>
      <c r="G1232" s="100"/>
      <c r="H1232" s="100"/>
    </row>
    <row r="1233" spans="3:8">
      <c r="C1233" s="100"/>
      <c r="D1233" s="100"/>
      <c r="E1233" s="100"/>
      <c r="F1233" s="100"/>
      <c r="G1233" s="100"/>
      <c r="H1233" s="100"/>
    </row>
    <row r="1234" spans="3:8">
      <c r="C1234" s="100"/>
      <c r="D1234" s="100"/>
      <c r="E1234" s="100"/>
      <c r="F1234" s="100"/>
      <c r="G1234" s="100"/>
      <c r="H1234" s="100"/>
    </row>
    <row r="1235" spans="3:8">
      <c r="C1235" s="100"/>
      <c r="D1235" s="100"/>
      <c r="E1235" s="100"/>
      <c r="F1235" s="100"/>
      <c r="G1235" s="100"/>
      <c r="H1235" s="100"/>
    </row>
    <row r="1236" spans="3:8">
      <c r="C1236" s="100"/>
      <c r="D1236" s="100"/>
      <c r="E1236" s="100"/>
      <c r="F1236" s="100"/>
      <c r="G1236" s="100"/>
      <c r="H1236" s="100"/>
    </row>
    <row r="1237" spans="3:8">
      <c r="C1237" s="100"/>
      <c r="D1237" s="100"/>
      <c r="E1237" s="100"/>
      <c r="F1237" s="100"/>
      <c r="G1237" s="100"/>
      <c r="H1237" s="100"/>
    </row>
    <row r="1238" spans="3:8">
      <c r="C1238" s="100"/>
      <c r="D1238" s="100"/>
      <c r="E1238" s="100"/>
      <c r="F1238" s="100"/>
      <c r="G1238" s="100"/>
      <c r="H1238" s="100"/>
    </row>
    <row r="1239" spans="3:8">
      <c r="C1239" s="100"/>
      <c r="D1239" s="100"/>
      <c r="E1239" s="100"/>
      <c r="F1239" s="100"/>
      <c r="G1239" s="100"/>
      <c r="H1239" s="100"/>
    </row>
    <row r="1240" spans="3:8">
      <c r="C1240" s="100"/>
      <c r="D1240" s="100"/>
      <c r="E1240" s="100"/>
      <c r="F1240" s="100"/>
      <c r="G1240" s="100"/>
      <c r="H1240" s="100"/>
    </row>
    <row r="1241" spans="3:8">
      <c r="C1241" s="100"/>
      <c r="D1241" s="100"/>
      <c r="E1241" s="100"/>
      <c r="F1241" s="100"/>
      <c r="G1241" s="100"/>
      <c r="H1241" s="100"/>
    </row>
    <row r="1242" spans="3:8">
      <c r="C1242" s="100"/>
      <c r="D1242" s="100"/>
      <c r="E1242" s="100"/>
      <c r="F1242" s="100"/>
      <c r="G1242" s="100"/>
      <c r="H1242" s="100"/>
    </row>
    <row r="1243" spans="3:8">
      <c r="C1243" s="100"/>
      <c r="D1243" s="100"/>
      <c r="E1243" s="100"/>
      <c r="F1243" s="100"/>
      <c r="G1243" s="100"/>
      <c r="H1243" s="100"/>
    </row>
    <row r="1244" spans="3:8">
      <c r="C1244" s="100"/>
      <c r="D1244" s="100"/>
      <c r="E1244" s="100"/>
      <c r="F1244" s="100"/>
      <c r="G1244" s="100"/>
      <c r="H1244" s="100"/>
    </row>
    <row r="1245" spans="3:8">
      <c r="C1245" s="100"/>
      <c r="D1245" s="100"/>
      <c r="E1245" s="100"/>
      <c r="F1245" s="100"/>
      <c r="G1245" s="100"/>
      <c r="H1245" s="100"/>
    </row>
    <row r="1246" spans="3:8">
      <c r="C1246" s="100"/>
      <c r="D1246" s="100"/>
      <c r="E1246" s="100"/>
      <c r="F1246" s="100"/>
      <c r="G1246" s="100"/>
      <c r="H1246" s="100"/>
    </row>
    <row r="1247" spans="3:8">
      <c r="C1247" s="100"/>
      <c r="D1247" s="100"/>
      <c r="E1247" s="100"/>
      <c r="F1247" s="100"/>
      <c r="G1247" s="100"/>
      <c r="H1247" s="100"/>
    </row>
    <row r="1248" spans="3:8">
      <c r="C1248" s="100"/>
      <c r="D1248" s="100"/>
      <c r="E1248" s="100"/>
      <c r="F1248" s="100"/>
      <c r="G1248" s="100"/>
      <c r="H1248" s="100"/>
    </row>
    <row r="1249" spans="3:8">
      <c r="C1249" s="100"/>
      <c r="D1249" s="100"/>
      <c r="E1249" s="100"/>
      <c r="F1249" s="100"/>
      <c r="G1249" s="100"/>
      <c r="H1249" s="100"/>
    </row>
    <row r="1250" spans="3:8">
      <c r="C1250" s="100"/>
      <c r="D1250" s="100"/>
      <c r="E1250" s="100"/>
      <c r="F1250" s="100"/>
      <c r="G1250" s="100"/>
      <c r="H1250" s="100"/>
    </row>
    <row r="1251" spans="3:8">
      <c r="C1251" s="100"/>
      <c r="D1251" s="100"/>
      <c r="E1251" s="100"/>
      <c r="F1251" s="100"/>
      <c r="G1251" s="100"/>
      <c r="H1251" s="100"/>
    </row>
    <row r="1252" spans="3:8">
      <c r="C1252" s="100"/>
      <c r="D1252" s="100"/>
      <c r="E1252" s="100"/>
      <c r="F1252" s="100"/>
      <c r="G1252" s="100"/>
      <c r="H1252" s="100"/>
    </row>
    <row r="1253" spans="3:8">
      <c r="C1253" s="100"/>
      <c r="D1253" s="100"/>
      <c r="E1253" s="100"/>
      <c r="F1253" s="100"/>
      <c r="G1253" s="100"/>
      <c r="H1253" s="100"/>
    </row>
    <row r="1254" spans="3:8">
      <c r="C1254" s="100"/>
      <c r="D1254" s="100"/>
      <c r="E1254" s="100"/>
      <c r="F1254" s="100"/>
      <c r="G1254" s="100"/>
      <c r="H1254" s="100"/>
    </row>
    <row r="1255" spans="3:8">
      <c r="C1255" s="100"/>
      <c r="D1255" s="100"/>
      <c r="E1255" s="100"/>
      <c r="F1255" s="100"/>
      <c r="G1255" s="100"/>
      <c r="H1255" s="100"/>
    </row>
    <row r="1256" spans="3:8">
      <c r="C1256" s="100"/>
      <c r="D1256" s="100"/>
      <c r="E1256" s="100"/>
      <c r="F1256" s="100"/>
      <c r="G1256" s="100"/>
      <c r="H1256" s="100"/>
    </row>
    <row r="1257" spans="3:8">
      <c r="C1257" s="100"/>
      <c r="D1257" s="100"/>
      <c r="E1257" s="100"/>
      <c r="F1257" s="100"/>
      <c r="G1257" s="100"/>
      <c r="H1257" s="100"/>
    </row>
    <row r="1258" spans="3:8">
      <c r="C1258" s="100"/>
      <c r="D1258" s="100"/>
      <c r="E1258" s="100"/>
      <c r="F1258" s="100"/>
      <c r="G1258" s="100"/>
      <c r="H1258" s="100"/>
    </row>
    <row r="1259" spans="3:8">
      <c r="C1259" s="100"/>
      <c r="D1259" s="100"/>
      <c r="E1259" s="100"/>
      <c r="F1259" s="100"/>
      <c r="G1259" s="100"/>
      <c r="H1259" s="100"/>
    </row>
    <row r="1260" spans="3:8">
      <c r="C1260" s="100"/>
      <c r="D1260" s="100"/>
      <c r="E1260" s="100"/>
      <c r="F1260" s="100"/>
      <c r="G1260" s="100"/>
      <c r="H1260" s="100"/>
    </row>
    <row r="1261" spans="3:8">
      <c r="C1261" s="100"/>
      <c r="D1261" s="100"/>
      <c r="E1261" s="100"/>
      <c r="F1261" s="100"/>
      <c r="G1261" s="100"/>
      <c r="H1261" s="100"/>
    </row>
    <row r="1262" spans="3:8">
      <c r="C1262" s="100"/>
      <c r="D1262" s="100"/>
      <c r="E1262" s="100"/>
      <c r="F1262" s="100"/>
      <c r="G1262" s="100"/>
      <c r="H1262" s="100"/>
    </row>
    <row r="1263" spans="3:8">
      <c r="C1263" s="100"/>
      <c r="D1263" s="100"/>
      <c r="E1263" s="100"/>
      <c r="F1263" s="100"/>
      <c r="G1263" s="100"/>
      <c r="H1263" s="100"/>
    </row>
    <row r="1264" spans="3:8">
      <c r="C1264" s="100"/>
      <c r="D1264" s="100"/>
      <c r="E1264" s="100"/>
      <c r="F1264" s="100"/>
      <c r="G1264" s="100"/>
      <c r="H1264" s="100"/>
    </row>
    <row r="1265" spans="3:8">
      <c r="C1265" s="100"/>
      <c r="D1265" s="100"/>
      <c r="E1265" s="100"/>
      <c r="F1265" s="100"/>
      <c r="G1265" s="100"/>
      <c r="H1265" s="100"/>
    </row>
    <row r="1266" spans="3:8">
      <c r="C1266" s="100"/>
      <c r="D1266" s="100"/>
      <c r="E1266" s="100"/>
      <c r="F1266" s="100"/>
      <c r="G1266" s="100"/>
      <c r="H1266" s="100"/>
    </row>
    <row r="1267" spans="3:8">
      <c r="C1267" s="100"/>
      <c r="D1267" s="100"/>
      <c r="E1267" s="100"/>
      <c r="F1267" s="100"/>
      <c r="G1267" s="100"/>
      <c r="H1267" s="100"/>
    </row>
    <row r="1268" spans="3:8">
      <c r="C1268" s="100"/>
      <c r="D1268" s="100"/>
      <c r="E1268" s="100"/>
      <c r="F1268" s="100"/>
      <c r="G1268" s="100"/>
      <c r="H1268" s="100"/>
    </row>
    <row r="1269" spans="3:8">
      <c r="C1269" s="100"/>
      <c r="D1269" s="100"/>
      <c r="E1269" s="100"/>
      <c r="F1269" s="100"/>
      <c r="G1269" s="100"/>
      <c r="H1269" s="100"/>
    </row>
    <row r="1270" spans="3:8">
      <c r="C1270" s="100"/>
      <c r="D1270" s="100"/>
      <c r="E1270" s="100"/>
      <c r="F1270" s="100"/>
      <c r="G1270" s="100"/>
      <c r="H1270" s="100"/>
    </row>
    <row r="1271" spans="3:8">
      <c r="C1271" s="100"/>
      <c r="D1271" s="100"/>
      <c r="E1271" s="100"/>
      <c r="F1271" s="100"/>
      <c r="G1271" s="100"/>
      <c r="H1271" s="100"/>
    </row>
    <row r="1272" spans="3:8">
      <c r="C1272" s="100"/>
      <c r="D1272" s="100"/>
      <c r="E1272" s="100"/>
      <c r="F1272" s="100"/>
      <c r="G1272" s="100"/>
      <c r="H1272" s="100"/>
    </row>
    <row r="1273" spans="3:8">
      <c r="C1273" s="100"/>
      <c r="D1273" s="100"/>
      <c r="E1273" s="100"/>
      <c r="F1273" s="100"/>
      <c r="G1273" s="100"/>
      <c r="H1273" s="100"/>
    </row>
    <row r="1274" spans="3:8">
      <c r="C1274" s="100"/>
      <c r="D1274" s="100"/>
      <c r="E1274" s="100"/>
      <c r="F1274" s="100"/>
      <c r="G1274" s="100"/>
      <c r="H1274" s="100"/>
    </row>
    <row r="1275" spans="3:8">
      <c r="C1275" s="100"/>
      <c r="D1275" s="100"/>
      <c r="E1275" s="100"/>
      <c r="F1275" s="100"/>
      <c r="G1275" s="100"/>
      <c r="H1275" s="100"/>
    </row>
    <row r="1276" spans="3:8">
      <c r="C1276" s="100"/>
      <c r="D1276" s="100"/>
      <c r="E1276" s="100"/>
      <c r="F1276" s="100"/>
      <c r="G1276" s="100"/>
      <c r="H1276" s="100"/>
    </row>
    <row r="1277" spans="3:8">
      <c r="C1277" s="100"/>
      <c r="D1277" s="100"/>
      <c r="E1277" s="100"/>
      <c r="F1277" s="100"/>
      <c r="G1277" s="100"/>
      <c r="H1277" s="100"/>
    </row>
    <row r="1278" spans="3:8">
      <c r="C1278" s="100"/>
      <c r="D1278" s="100"/>
      <c r="E1278" s="100"/>
      <c r="F1278" s="100"/>
      <c r="G1278" s="100"/>
      <c r="H1278" s="100"/>
    </row>
    <row r="1279" spans="3:8">
      <c r="C1279" s="100"/>
      <c r="D1279" s="100"/>
      <c r="E1279" s="100"/>
      <c r="F1279" s="100"/>
      <c r="G1279" s="100"/>
      <c r="H1279" s="100"/>
    </row>
    <row r="1280" spans="3:8">
      <c r="C1280" s="100"/>
      <c r="D1280" s="100"/>
      <c r="E1280" s="100"/>
      <c r="F1280" s="100"/>
      <c r="G1280" s="100"/>
      <c r="H1280" s="100"/>
    </row>
    <row r="1281" spans="3:8">
      <c r="C1281" s="100"/>
      <c r="D1281" s="100"/>
      <c r="E1281" s="100"/>
      <c r="F1281" s="100"/>
      <c r="G1281" s="100"/>
      <c r="H1281" s="100"/>
    </row>
    <row r="1282" spans="3:8">
      <c r="C1282" s="100"/>
      <c r="D1282" s="100"/>
      <c r="E1282" s="100"/>
      <c r="F1282" s="100"/>
      <c r="G1282" s="100"/>
      <c r="H1282" s="100"/>
    </row>
    <row r="1283" spans="3:8">
      <c r="C1283" s="100"/>
      <c r="D1283" s="100"/>
      <c r="E1283" s="100"/>
      <c r="F1283" s="100"/>
      <c r="G1283" s="100"/>
      <c r="H1283" s="100"/>
    </row>
    <row r="1284" spans="3:8">
      <c r="C1284" s="100"/>
      <c r="D1284" s="100"/>
      <c r="E1284" s="100"/>
      <c r="F1284" s="100"/>
      <c r="G1284" s="100"/>
      <c r="H1284" s="100"/>
    </row>
    <row r="1285" spans="3:8">
      <c r="C1285" s="100"/>
      <c r="D1285" s="100"/>
      <c r="E1285" s="100"/>
      <c r="F1285" s="100"/>
      <c r="G1285" s="100"/>
      <c r="H1285" s="100"/>
    </row>
    <row r="1286" spans="3:8">
      <c r="C1286" s="100"/>
      <c r="D1286" s="100"/>
      <c r="E1286" s="100"/>
      <c r="F1286" s="100"/>
      <c r="G1286" s="100"/>
      <c r="H1286" s="100"/>
    </row>
    <row r="1287" spans="3:8">
      <c r="C1287" s="100"/>
      <c r="D1287" s="100"/>
      <c r="E1287" s="100"/>
      <c r="F1287" s="100"/>
      <c r="G1287" s="100"/>
      <c r="H1287" s="100"/>
    </row>
    <row r="1288" spans="3:8">
      <c r="C1288" s="100"/>
      <c r="D1288" s="100"/>
      <c r="E1288" s="100"/>
      <c r="F1288" s="100"/>
      <c r="G1288" s="100"/>
      <c r="H1288" s="100"/>
    </row>
    <row r="1289" spans="3:8">
      <c r="C1289" s="100"/>
      <c r="D1289" s="100"/>
      <c r="E1289" s="100"/>
      <c r="F1289" s="100"/>
      <c r="G1289" s="100"/>
      <c r="H1289" s="100"/>
    </row>
    <row r="1290" spans="3:8">
      <c r="C1290" s="100"/>
      <c r="D1290" s="100"/>
      <c r="E1290" s="100"/>
      <c r="F1290" s="100"/>
      <c r="G1290" s="100"/>
      <c r="H1290" s="100"/>
    </row>
    <row r="1291" spans="3:8">
      <c r="C1291" s="100"/>
      <c r="D1291" s="100"/>
      <c r="E1291" s="100"/>
      <c r="F1291" s="100"/>
      <c r="G1291" s="100"/>
      <c r="H1291" s="100"/>
    </row>
    <row r="1292" spans="3:8">
      <c r="C1292" s="100"/>
      <c r="D1292" s="100"/>
      <c r="E1292" s="100"/>
      <c r="F1292" s="100"/>
      <c r="G1292" s="100"/>
      <c r="H1292" s="100"/>
    </row>
    <row r="1293" spans="3:8">
      <c r="C1293" s="100"/>
      <c r="D1293" s="100"/>
      <c r="E1293" s="100"/>
      <c r="F1293" s="100"/>
      <c r="G1293" s="100"/>
      <c r="H1293" s="100"/>
    </row>
    <row r="1294" spans="3:8">
      <c r="C1294" s="100"/>
      <c r="D1294" s="100"/>
      <c r="E1294" s="100"/>
      <c r="F1294" s="100"/>
      <c r="G1294" s="100"/>
      <c r="H1294" s="100"/>
    </row>
    <row r="1295" spans="3:8">
      <c r="C1295" s="100"/>
      <c r="D1295" s="100"/>
      <c r="E1295" s="100"/>
      <c r="F1295" s="100"/>
      <c r="G1295" s="100"/>
      <c r="H1295" s="100"/>
    </row>
    <row r="1296" spans="3:8">
      <c r="C1296" s="100"/>
      <c r="D1296" s="100"/>
      <c r="E1296" s="100"/>
      <c r="F1296" s="100"/>
      <c r="G1296" s="100"/>
      <c r="H1296" s="100"/>
    </row>
    <row r="1297" spans="3:8">
      <c r="C1297" s="100"/>
      <c r="D1297" s="100"/>
      <c r="E1297" s="100"/>
      <c r="F1297" s="100"/>
      <c r="G1297" s="100"/>
      <c r="H1297" s="100"/>
    </row>
    <row r="1298" spans="3:8">
      <c r="C1298" s="100"/>
      <c r="D1298" s="100"/>
      <c r="E1298" s="100"/>
      <c r="F1298" s="100"/>
      <c r="G1298" s="100"/>
      <c r="H1298" s="100"/>
    </row>
    <row r="1299" spans="3:8">
      <c r="C1299" s="100"/>
      <c r="D1299" s="100"/>
      <c r="E1299" s="100"/>
      <c r="F1299" s="100"/>
      <c r="G1299" s="100"/>
      <c r="H1299" s="100"/>
    </row>
    <row r="1300" spans="3:8">
      <c r="C1300" s="100"/>
      <c r="D1300" s="100"/>
      <c r="E1300" s="100"/>
      <c r="F1300" s="100"/>
      <c r="G1300" s="100"/>
      <c r="H1300" s="100"/>
    </row>
    <row r="1301" spans="3:8">
      <c r="C1301" s="100"/>
      <c r="D1301" s="100"/>
      <c r="E1301" s="100"/>
      <c r="F1301" s="100"/>
      <c r="G1301" s="100"/>
      <c r="H1301" s="100"/>
    </row>
    <row r="1302" spans="3:8">
      <c r="C1302" s="100"/>
      <c r="D1302" s="100"/>
      <c r="E1302" s="100"/>
      <c r="F1302" s="100"/>
      <c r="G1302" s="100"/>
      <c r="H1302" s="100"/>
    </row>
    <row r="1303" spans="3:8">
      <c r="C1303" s="100"/>
      <c r="D1303" s="100"/>
      <c r="E1303" s="100"/>
      <c r="F1303" s="100"/>
      <c r="G1303" s="100"/>
      <c r="H1303" s="100"/>
    </row>
    <row r="1304" spans="3:8">
      <c r="C1304" s="100"/>
      <c r="D1304" s="100"/>
      <c r="E1304" s="100"/>
      <c r="F1304" s="100"/>
      <c r="G1304" s="100"/>
      <c r="H1304" s="100"/>
    </row>
    <row r="1305" spans="3:8">
      <c r="C1305" s="100"/>
      <c r="D1305" s="100"/>
      <c r="E1305" s="100"/>
      <c r="F1305" s="100"/>
      <c r="G1305" s="100"/>
      <c r="H1305" s="100"/>
    </row>
    <row r="1306" spans="3:8">
      <c r="C1306" s="100"/>
      <c r="D1306" s="100"/>
      <c r="E1306" s="100"/>
      <c r="F1306" s="100"/>
      <c r="G1306" s="100"/>
      <c r="H1306" s="100"/>
    </row>
    <row r="1307" spans="3:8">
      <c r="C1307" s="100"/>
      <c r="D1307" s="100"/>
      <c r="E1307" s="100"/>
      <c r="F1307" s="100"/>
      <c r="G1307" s="100"/>
      <c r="H1307" s="100"/>
    </row>
    <row r="1308" spans="3:8">
      <c r="C1308" s="100"/>
      <c r="D1308" s="100"/>
      <c r="E1308" s="100"/>
      <c r="F1308" s="100"/>
      <c r="G1308" s="100"/>
      <c r="H1308" s="100"/>
    </row>
    <row r="1309" spans="3:8">
      <c r="C1309" s="100"/>
      <c r="D1309" s="100"/>
      <c r="E1309" s="100"/>
      <c r="F1309" s="100"/>
      <c r="G1309" s="100"/>
      <c r="H1309" s="100"/>
    </row>
    <row r="1310" spans="3:8">
      <c r="C1310" s="100"/>
      <c r="D1310" s="100"/>
      <c r="E1310" s="100"/>
      <c r="F1310" s="100"/>
      <c r="G1310" s="100"/>
      <c r="H1310" s="100"/>
    </row>
    <row r="1311" spans="3:8">
      <c r="C1311" s="100"/>
      <c r="D1311" s="100"/>
      <c r="E1311" s="100"/>
      <c r="F1311" s="100"/>
      <c r="G1311" s="100"/>
      <c r="H1311" s="100"/>
    </row>
    <row r="1312" spans="3:8">
      <c r="C1312" s="100"/>
      <c r="D1312" s="100"/>
      <c r="E1312" s="100"/>
      <c r="F1312" s="100"/>
      <c r="G1312" s="100"/>
      <c r="H1312" s="100"/>
    </row>
    <row r="1313" spans="3:8">
      <c r="C1313" s="100"/>
      <c r="D1313" s="100"/>
      <c r="E1313" s="100"/>
      <c r="F1313" s="100"/>
      <c r="G1313" s="100"/>
      <c r="H1313" s="100"/>
    </row>
    <row r="1314" spans="3:8">
      <c r="C1314" s="100"/>
      <c r="D1314" s="100"/>
      <c r="E1314" s="100"/>
      <c r="F1314" s="100"/>
      <c r="G1314" s="100"/>
      <c r="H1314" s="100"/>
    </row>
    <row r="1315" spans="3:8">
      <c r="C1315" s="100"/>
      <c r="D1315" s="100"/>
      <c r="E1315" s="100"/>
      <c r="F1315" s="100"/>
      <c r="G1315" s="100"/>
      <c r="H1315" s="100"/>
    </row>
    <row r="1316" spans="3:8">
      <c r="C1316" s="100"/>
      <c r="D1316" s="100"/>
      <c r="E1316" s="100"/>
      <c r="F1316" s="100"/>
      <c r="G1316" s="100"/>
      <c r="H1316" s="100"/>
    </row>
    <row r="1317" spans="3:8">
      <c r="C1317" s="100"/>
      <c r="D1317" s="100"/>
      <c r="E1317" s="100"/>
      <c r="F1317" s="100"/>
      <c r="G1317" s="100"/>
      <c r="H1317" s="100"/>
    </row>
    <row r="1318" spans="3:8">
      <c r="C1318" s="100"/>
      <c r="D1318" s="100"/>
      <c r="E1318" s="100"/>
      <c r="F1318" s="100"/>
      <c r="G1318" s="100"/>
      <c r="H1318" s="100"/>
    </row>
    <row r="1319" spans="3:8">
      <c r="C1319" s="100"/>
      <c r="D1319" s="100"/>
      <c r="E1319" s="100"/>
      <c r="F1319" s="100"/>
      <c r="G1319" s="100"/>
      <c r="H1319" s="100"/>
    </row>
    <row r="1320" spans="3:8">
      <c r="C1320" s="100"/>
      <c r="D1320" s="100"/>
      <c r="E1320" s="100"/>
      <c r="F1320" s="100"/>
      <c r="G1320" s="100"/>
      <c r="H1320" s="100"/>
    </row>
    <row r="1321" spans="3:8">
      <c r="C1321" s="100"/>
      <c r="D1321" s="100"/>
      <c r="E1321" s="100"/>
      <c r="F1321" s="100"/>
      <c r="G1321" s="100"/>
      <c r="H1321" s="100"/>
    </row>
    <row r="1322" spans="3:8">
      <c r="C1322" s="100"/>
      <c r="D1322" s="100"/>
      <c r="E1322" s="100"/>
      <c r="F1322" s="100"/>
      <c r="G1322" s="100"/>
      <c r="H1322" s="100"/>
    </row>
    <row r="1323" spans="3:8">
      <c r="C1323" s="100"/>
      <c r="D1323" s="100"/>
      <c r="E1323" s="100"/>
      <c r="F1323" s="100"/>
      <c r="G1323" s="100"/>
      <c r="H1323" s="100"/>
    </row>
    <row r="1324" spans="3:8">
      <c r="C1324" s="100"/>
      <c r="D1324" s="100"/>
      <c r="E1324" s="100"/>
      <c r="F1324" s="100"/>
      <c r="G1324" s="100"/>
      <c r="H1324" s="100"/>
    </row>
    <row r="1325" spans="3:8">
      <c r="C1325" s="100"/>
      <c r="D1325" s="100"/>
      <c r="E1325" s="100"/>
      <c r="F1325" s="100"/>
      <c r="G1325" s="100"/>
      <c r="H1325" s="100"/>
    </row>
    <row r="1326" spans="3:8">
      <c r="C1326" s="100"/>
      <c r="D1326" s="100"/>
      <c r="E1326" s="100"/>
      <c r="F1326" s="100"/>
      <c r="G1326" s="100"/>
      <c r="H1326" s="100"/>
    </row>
    <row r="1327" spans="3:8">
      <c r="C1327" s="100"/>
      <c r="D1327" s="100"/>
      <c r="E1327" s="100"/>
      <c r="F1327" s="100"/>
      <c r="G1327" s="100"/>
      <c r="H1327" s="100"/>
    </row>
    <row r="1328" spans="3:8">
      <c r="C1328" s="100"/>
      <c r="D1328" s="100"/>
      <c r="E1328" s="100"/>
      <c r="F1328" s="100"/>
      <c r="G1328" s="100"/>
      <c r="H1328" s="100"/>
    </row>
    <row r="1329" spans="3:8">
      <c r="C1329" s="100"/>
      <c r="D1329" s="100"/>
      <c r="E1329" s="100"/>
      <c r="F1329" s="100"/>
      <c r="G1329" s="100"/>
      <c r="H1329" s="100"/>
    </row>
    <row r="1330" spans="3:8">
      <c r="C1330" s="100"/>
      <c r="D1330" s="100"/>
      <c r="E1330" s="100"/>
      <c r="F1330" s="100"/>
      <c r="G1330" s="100"/>
      <c r="H1330" s="100"/>
    </row>
    <row r="1331" spans="3:8">
      <c r="C1331" s="100"/>
      <c r="D1331" s="100"/>
      <c r="E1331" s="100"/>
      <c r="F1331" s="100"/>
      <c r="G1331" s="100"/>
      <c r="H1331" s="100"/>
    </row>
    <row r="1332" spans="3:8">
      <c r="C1332" s="100"/>
      <c r="D1332" s="100"/>
      <c r="E1332" s="100"/>
      <c r="F1332" s="100"/>
      <c r="G1332" s="100"/>
      <c r="H1332" s="100"/>
    </row>
    <row r="1333" spans="3:8">
      <c r="C1333" s="100"/>
      <c r="D1333" s="100"/>
      <c r="E1333" s="100"/>
      <c r="F1333" s="100"/>
      <c r="G1333" s="100"/>
      <c r="H1333" s="100"/>
    </row>
    <row r="1334" spans="3:8">
      <c r="C1334" s="100"/>
      <c r="D1334" s="100"/>
      <c r="E1334" s="100"/>
      <c r="F1334" s="100"/>
      <c r="G1334" s="100"/>
      <c r="H1334" s="100"/>
    </row>
    <row r="1335" spans="3:8">
      <c r="C1335" s="100"/>
      <c r="D1335" s="100"/>
      <c r="E1335" s="100"/>
      <c r="F1335" s="100"/>
      <c r="G1335" s="100"/>
      <c r="H1335" s="100"/>
    </row>
    <row r="1336" spans="3:8">
      <c r="C1336" s="100"/>
      <c r="D1336" s="100"/>
      <c r="E1336" s="100"/>
      <c r="F1336" s="100"/>
      <c r="G1336" s="100"/>
      <c r="H1336" s="100"/>
    </row>
    <row r="1337" spans="3:8">
      <c r="C1337" s="100"/>
      <c r="D1337" s="100"/>
      <c r="E1337" s="100"/>
      <c r="F1337" s="100"/>
      <c r="G1337" s="100"/>
      <c r="H1337" s="100"/>
    </row>
    <row r="1338" spans="3:8">
      <c r="C1338" s="100"/>
      <c r="D1338" s="100"/>
      <c r="E1338" s="100"/>
      <c r="F1338" s="100"/>
      <c r="G1338" s="100"/>
      <c r="H1338" s="100"/>
    </row>
    <row r="1339" spans="3:8">
      <c r="C1339" s="100"/>
      <c r="D1339" s="100"/>
      <c r="E1339" s="100"/>
      <c r="F1339" s="100"/>
      <c r="G1339" s="100"/>
      <c r="H1339" s="100"/>
    </row>
    <row r="1340" spans="3:8">
      <c r="C1340" s="100"/>
      <c r="D1340" s="100"/>
      <c r="E1340" s="100"/>
      <c r="F1340" s="100"/>
      <c r="G1340" s="100"/>
      <c r="H1340" s="100"/>
    </row>
    <row r="1341" spans="3:8">
      <c r="C1341" s="100"/>
      <c r="D1341" s="100"/>
      <c r="E1341" s="100"/>
      <c r="F1341" s="100"/>
      <c r="G1341" s="100"/>
      <c r="H1341" s="100"/>
    </row>
    <row r="1342" spans="3:8">
      <c r="C1342" s="100"/>
      <c r="D1342" s="100"/>
      <c r="E1342" s="100"/>
      <c r="F1342" s="100"/>
      <c r="G1342" s="100"/>
      <c r="H1342" s="100"/>
    </row>
    <row r="1343" spans="3:8">
      <c r="C1343" s="100"/>
      <c r="D1343" s="100"/>
      <c r="E1343" s="100"/>
      <c r="F1343" s="100"/>
      <c r="G1343" s="100"/>
      <c r="H1343" s="100"/>
    </row>
    <row r="1344" spans="3:8">
      <c r="C1344" s="100"/>
      <c r="D1344" s="100"/>
      <c r="E1344" s="100"/>
      <c r="F1344" s="100"/>
      <c r="G1344" s="100"/>
      <c r="H1344" s="100"/>
    </row>
    <row r="1345" spans="3:8">
      <c r="C1345" s="100"/>
      <c r="D1345" s="100"/>
      <c r="E1345" s="100"/>
      <c r="F1345" s="100"/>
      <c r="G1345" s="100"/>
      <c r="H1345" s="100"/>
    </row>
    <row r="1346" spans="3:8">
      <c r="C1346" s="100"/>
      <c r="D1346" s="100"/>
      <c r="E1346" s="100"/>
      <c r="F1346" s="100"/>
      <c r="G1346" s="100"/>
      <c r="H1346" s="100"/>
    </row>
    <row r="1347" spans="3:8">
      <c r="C1347" s="100"/>
      <c r="D1347" s="100"/>
      <c r="E1347" s="100"/>
      <c r="F1347" s="100"/>
      <c r="G1347" s="100"/>
      <c r="H1347" s="100"/>
    </row>
    <row r="1348" spans="3:8">
      <c r="C1348" s="100"/>
      <c r="D1348" s="100"/>
      <c r="E1348" s="100"/>
      <c r="F1348" s="100"/>
      <c r="G1348" s="100"/>
      <c r="H1348" s="100"/>
    </row>
    <row r="1349" spans="3:8">
      <c r="C1349" s="100"/>
      <c r="D1349" s="100"/>
      <c r="E1349" s="100"/>
      <c r="F1349" s="100"/>
      <c r="G1349" s="100"/>
      <c r="H1349" s="100"/>
    </row>
    <row r="1350" spans="3:8">
      <c r="C1350" s="100"/>
      <c r="D1350" s="100"/>
      <c r="E1350" s="100"/>
      <c r="F1350" s="100"/>
      <c r="G1350" s="100"/>
      <c r="H1350" s="100"/>
    </row>
    <row r="1351" spans="3:8">
      <c r="C1351" s="100"/>
      <c r="D1351" s="100"/>
      <c r="E1351" s="100"/>
      <c r="F1351" s="100"/>
      <c r="G1351" s="100"/>
      <c r="H1351" s="100"/>
    </row>
    <row r="1352" spans="3:8">
      <c r="C1352" s="100"/>
      <c r="D1352" s="100"/>
      <c r="E1352" s="100"/>
      <c r="F1352" s="100"/>
      <c r="G1352" s="100"/>
      <c r="H1352" s="100"/>
    </row>
    <row r="1353" spans="3:8">
      <c r="C1353" s="100"/>
      <c r="D1353" s="100"/>
      <c r="E1353" s="100"/>
      <c r="F1353" s="100"/>
      <c r="G1353" s="100"/>
      <c r="H1353" s="100"/>
    </row>
    <row r="1354" spans="3:8">
      <c r="C1354" s="100"/>
      <c r="D1354" s="100"/>
      <c r="E1354" s="100"/>
      <c r="F1354" s="100"/>
      <c r="G1354" s="100"/>
      <c r="H1354" s="100"/>
    </row>
    <row r="1355" spans="3:8">
      <c r="C1355" s="100"/>
      <c r="D1355" s="100"/>
      <c r="E1355" s="100"/>
      <c r="F1355" s="100"/>
      <c r="G1355" s="100"/>
      <c r="H1355" s="100"/>
    </row>
    <row r="1356" spans="3:8">
      <c r="C1356" s="100"/>
      <c r="D1356" s="100"/>
      <c r="E1356" s="100"/>
      <c r="F1356" s="100"/>
      <c r="G1356" s="100"/>
      <c r="H1356" s="100"/>
    </row>
    <row r="1357" spans="3:8">
      <c r="C1357" s="100"/>
      <c r="D1357" s="100"/>
      <c r="E1357" s="100"/>
      <c r="F1357" s="100"/>
      <c r="G1357" s="100"/>
      <c r="H1357" s="100"/>
    </row>
    <row r="1358" spans="3:8">
      <c r="C1358" s="100"/>
      <c r="D1358" s="100"/>
      <c r="E1358" s="100"/>
      <c r="F1358" s="100"/>
      <c r="G1358" s="100"/>
      <c r="H1358" s="100"/>
    </row>
    <row r="1359" spans="3:8">
      <c r="C1359" s="100"/>
      <c r="D1359" s="100"/>
      <c r="E1359" s="100"/>
      <c r="F1359" s="100"/>
      <c r="G1359" s="100"/>
      <c r="H1359" s="100"/>
    </row>
    <row r="1360" spans="3:8">
      <c r="C1360" s="100"/>
      <c r="D1360" s="100"/>
      <c r="E1360" s="100"/>
      <c r="F1360" s="100"/>
      <c r="G1360" s="100"/>
      <c r="H1360" s="100"/>
    </row>
    <row r="1361" spans="3:8">
      <c r="C1361" s="100"/>
      <c r="D1361" s="100"/>
      <c r="E1361" s="100"/>
      <c r="F1361" s="100"/>
      <c r="G1361" s="100"/>
      <c r="H1361" s="100"/>
    </row>
    <row r="1362" spans="3:8">
      <c r="C1362" s="100"/>
      <c r="D1362" s="100"/>
      <c r="E1362" s="100"/>
      <c r="F1362" s="100"/>
      <c r="G1362" s="100"/>
      <c r="H1362" s="100"/>
    </row>
    <row r="1363" spans="3:8">
      <c r="C1363" s="100"/>
      <c r="D1363" s="100"/>
      <c r="E1363" s="100"/>
      <c r="F1363" s="100"/>
      <c r="G1363" s="100"/>
      <c r="H1363" s="100"/>
    </row>
    <row r="1364" spans="3:8">
      <c r="C1364" s="100"/>
      <c r="D1364" s="100"/>
      <c r="E1364" s="100"/>
      <c r="F1364" s="100"/>
      <c r="G1364" s="100"/>
      <c r="H1364" s="100"/>
    </row>
    <row r="1365" spans="3:8">
      <c r="C1365" s="100"/>
      <c r="D1365" s="100"/>
      <c r="E1365" s="100"/>
      <c r="F1365" s="100"/>
      <c r="G1365" s="100"/>
      <c r="H1365" s="100"/>
    </row>
    <row r="1366" spans="3:8">
      <c r="C1366" s="100"/>
      <c r="D1366" s="100"/>
      <c r="E1366" s="100"/>
      <c r="F1366" s="100"/>
      <c r="G1366" s="100"/>
      <c r="H1366" s="100"/>
    </row>
    <row r="1367" spans="3:8">
      <c r="C1367" s="100"/>
      <c r="D1367" s="100"/>
      <c r="E1367" s="100"/>
      <c r="F1367" s="100"/>
      <c r="G1367" s="100"/>
      <c r="H1367" s="100"/>
    </row>
    <row r="1368" spans="3:8">
      <c r="C1368" s="100"/>
      <c r="D1368" s="100"/>
      <c r="E1368" s="100"/>
      <c r="F1368" s="100"/>
      <c r="G1368" s="100"/>
      <c r="H1368" s="100"/>
    </row>
    <row r="1369" spans="3:8">
      <c r="C1369" s="100"/>
      <c r="D1369" s="100"/>
      <c r="E1369" s="100"/>
      <c r="F1369" s="100"/>
      <c r="G1369" s="100"/>
      <c r="H1369" s="100"/>
    </row>
    <row r="1370" spans="3:8">
      <c r="C1370" s="100"/>
      <c r="D1370" s="100"/>
      <c r="E1370" s="100"/>
      <c r="F1370" s="100"/>
      <c r="G1370" s="100"/>
      <c r="H1370" s="100"/>
    </row>
    <row r="1371" spans="3:8">
      <c r="C1371" s="100"/>
      <c r="D1371" s="100"/>
      <c r="E1371" s="100"/>
      <c r="F1371" s="100"/>
      <c r="G1371" s="100"/>
      <c r="H1371" s="100"/>
    </row>
    <row r="1372" spans="3:8">
      <c r="C1372" s="100"/>
      <c r="D1372" s="100"/>
      <c r="E1372" s="100"/>
      <c r="F1372" s="100"/>
      <c r="G1372" s="100"/>
      <c r="H1372" s="100"/>
    </row>
    <row r="1373" spans="3:8">
      <c r="C1373" s="100"/>
      <c r="D1373" s="100"/>
      <c r="E1373" s="100"/>
      <c r="F1373" s="100"/>
      <c r="G1373" s="100"/>
      <c r="H1373" s="100"/>
    </row>
    <row r="1374" spans="3:8">
      <c r="C1374" s="100"/>
      <c r="D1374" s="100"/>
      <c r="E1374" s="100"/>
      <c r="F1374" s="100"/>
      <c r="G1374" s="100"/>
      <c r="H1374" s="100"/>
    </row>
    <row r="1375" spans="3:8">
      <c r="C1375" s="100"/>
      <c r="D1375" s="100"/>
      <c r="E1375" s="100"/>
      <c r="F1375" s="100"/>
      <c r="G1375" s="100"/>
      <c r="H1375" s="100"/>
    </row>
    <row r="1376" spans="3:8">
      <c r="C1376" s="100"/>
      <c r="D1376" s="100"/>
      <c r="E1376" s="100"/>
      <c r="F1376" s="100"/>
      <c r="G1376" s="100"/>
      <c r="H1376" s="100"/>
    </row>
    <row r="1377" spans="3:8">
      <c r="C1377" s="100"/>
      <c r="D1377" s="100"/>
      <c r="E1377" s="100"/>
      <c r="F1377" s="100"/>
      <c r="G1377" s="100"/>
      <c r="H1377" s="100"/>
    </row>
    <row r="1378" spans="3:8">
      <c r="C1378" s="100"/>
      <c r="D1378" s="100"/>
      <c r="E1378" s="100"/>
      <c r="F1378" s="100"/>
      <c r="G1378" s="100"/>
      <c r="H1378" s="100"/>
    </row>
    <row r="1379" spans="3:8">
      <c r="C1379" s="100"/>
      <c r="D1379" s="100"/>
      <c r="E1379" s="100"/>
      <c r="F1379" s="100"/>
      <c r="G1379" s="100"/>
      <c r="H1379" s="100"/>
    </row>
    <row r="1380" spans="3:8">
      <c r="C1380" s="100"/>
      <c r="D1380" s="100"/>
      <c r="E1380" s="100"/>
      <c r="F1380" s="100"/>
      <c r="G1380" s="100"/>
      <c r="H1380" s="100"/>
    </row>
    <row r="1381" spans="3:8">
      <c r="C1381" s="100"/>
      <c r="D1381" s="100"/>
      <c r="E1381" s="100"/>
      <c r="F1381" s="100"/>
      <c r="G1381" s="100"/>
      <c r="H1381" s="100"/>
    </row>
    <row r="1382" spans="3:8">
      <c r="C1382" s="100"/>
      <c r="D1382" s="100"/>
      <c r="E1382" s="100"/>
      <c r="F1382" s="100"/>
      <c r="G1382" s="100"/>
      <c r="H1382" s="100"/>
    </row>
    <row r="1383" spans="3:8">
      <c r="C1383" s="100"/>
      <c r="D1383" s="100"/>
      <c r="E1383" s="100"/>
      <c r="F1383" s="100"/>
      <c r="G1383" s="100"/>
      <c r="H1383" s="100"/>
    </row>
    <row r="1384" spans="3:8">
      <c r="C1384" s="100"/>
      <c r="D1384" s="100"/>
      <c r="E1384" s="100"/>
      <c r="F1384" s="100"/>
      <c r="G1384" s="100"/>
      <c r="H1384" s="100"/>
    </row>
    <row r="1385" spans="3:8">
      <c r="C1385" s="100"/>
      <c r="D1385" s="100"/>
      <c r="E1385" s="100"/>
      <c r="F1385" s="100"/>
      <c r="G1385" s="100"/>
      <c r="H1385" s="100"/>
    </row>
    <row r="1386" spans="3:8">
      <c r="C1386" s="100"/>
      <c r="D1386" s="100"/>
      <c r="E1386" s="100"/>
      <c r="F1386" s="100"/>
      <c r="G1386" s="100"/>
      <c r="H1386" s="100"/>
    </row>
    <row r="1387" spans="3:8">
      <c r="C1387" s="100"/>
      <c r="D1387" s="100"/>
      <c r="E1387" s="100"/>
      <c r="F1387" s="100"/>
      <c r="G1387" s="100"/>
      <c r="H1387" s="100"/>
    </row>
    <row r="1388" spans="3:8">
      <c r="C1388" s="100"/>
      <c r="D1388" s="100"/>
      <c r="E1388" s="100"/>
      <c r="F1388" s="100"/>
      <c r="G1388" s="100"/>
      <c r="H1388" s="100"/>
    </row>
    <row r="1389" spans="3:8">
      <c r="C1389" s="100"/>
      <c r="D1389" s="100"/>
      <c r="E1389" s="100"/>
      <c r="F1389" s="100"/>
      <c r="G1389" s="100"/>
      <c r="H1389" s="100"/>
    </row>
    <row r="1390" spans="3:8">
      <c r="C1390" s="100"/>
      <c r="D1390" s="100"/>
      <c r="E1390" s="100"/>
      <c r="F1390" s="100"/>
      <c r="G1390" s="100"/>
      <c r="H1390" s="100"/>
    </row>
    <row r="1391" spans="3:8">
      <c r="C1391" s="100"/>
      <c r="D1391" s="100"/>
      <c r="E1391" s="100"/>
      <c r="F1391" s="100"/>
      <c r="G1391" s="100"/>
      <c r="H1391" s="100"/>
    </row>
    <row r="1392" spans="3:8">
      <c r="C1392" s="100"/>
      <c r="D1392" s="100"/>
      <c r="E1392" s="100"/>
      <c r="F1392" s="100"/>
      <c r="G1392" s="100"/>
      <c r="H1392" s="100"/>
    </row>
    <row r="1393" spans="3:8">
      <c r="C1393" s="100"/>
      <c r="D1393" s="100"/>
      <c r="E1393" s="100"/>
      <c r="F1393" s="100"/>
      <c r="G1393" s="100"/>
      <c r="H1393" s="100"/>
    </row>
    <row r="1394" spans="3:8">
      <c r="C1394" s="100"/>
      <c r="D1394" s="100"/>
      <c r="E1394" s="100"/>
      <c r="F1394" s="100"/>
      <c r="G1394" s="100"/>
      <c r="H1394" s="100"/>
    </row>
    <row r="1395" spans="3:8">
      <c r="C1395" s="100"/>
      <c r="D1395" s="100"/>
      <c r="E1395" s="100"/>
      <c r="F1395" s="100"/>
      <c r="G1395" s="100"/>
      <c r="H1395" s="100"/>
    </row>
    <row r="1396" spans="3:8">
      <c r="C1396" s="100"/>
      <c r="D1396" s="100"/>
      <c r="E1396" s="100"/>
      <c r="F1396" s="100"/>
      <c r="G1396" s="100"/>
      <c r="H1396" s="100"/>
    </row>
    <row r="1397" spans="3:8">
      <c r="C1397" s="100"/>
      <c r="D1397" s="100"/>
      <c r="E1397" s="100"/>
      <c r="F1397" s="100"/>
      <c r="G1397" s="100"/>
      <c r="H1397" s="100"/>
    </row>
    <row r="1398" spans="3:8">
      <c r="C1398" s="100"/>
      <c r="D1398" s="100"/>
      <c r="E1398" s="100"/>
      <c r="F1398" s="100"/>
      <c r="G1398" s="100"/>
      <c r="H1398" s="100"/>
    </row>
    <row r="1399" spans="3:8">
      <c r="C1399" s="100"/>
      <c r="D1399" s="100"/>
      <c r="E1399" s="100"/>
      <c r="F1399" s="100"/>
      <c r="G1399" s="100"/>
      <c r="H1399" s="100"/>
    </row>
    <row r="1400" spans="3:8">
      <c r="C1400" s="100"/>
      <c r="D1400" s="100"/>
      <c r="E1400" s="100"/>
      <c r="F1400" s="100"/>
      <c r="G1400" s="100"/>
      <c r="H1400" s="100"/>
    </row>
    <row r="1401" spans="3:8">
      <c r="C1401" s="100"/>
      <c r="D1401" s="100"/>
      <c r="E1401" s="100"/>
      <c r="F1401" s="100"/>
      <c r="G1401" s="100"/>
      <c r="H1401" s="100"/>
    </row>
    <row r="1402" spans="3:8">
      <c r="C1402" s="100"/>
      <c r="D1402" s="100"/>
      <c r="E1402" s="100"/>
      <c r="F1402" s="100"/>
      <c r="G1402" s="100"/>
      <c r="H1402" s="100"/>
    </row>
    <row r="1403" spans="3:8">
      <c r="C1403" s="100"/>
      <c r="D1403" s="100"/>
      <c r="E1403" s="100"/>
      <c r="F1403" s="100"/>
      <c r="G1403" s="100"/>
      <c r="H1403" s="100"/>
    </row>
    <row r="1404" spans="3:8">
      <c r="C1404" s="100"/>
      <c r="D1404" s="100"/>
      <c r="E1404" s="100"/>
      <c r="F1404" s="100"/>
      <c r="G1404" s="100"/>
      <c r="H1404" s="100"/>
    </row>
    <row r="1405" spans="3:8">
      <c r="C1405" s="100"/>
      <c r="D1405" s="100"/>
      <c r="E1405" s="100"/>
      <c r="F1405" s="100"/>
      <c r="G1405" s="100"/>
      <c r="H1405" s="100"/>
    </row>
    <row r="1406" spans="3:8">
      <c r="C1406" s="100"/>
      <c r="D1406" s="100"/>
      <c r="E1406" s="100"/>
      <c r="F1406" s="100"/>
      <c r="G1406" s="100"/>
      <c r="H1406" s="100"/>
    </row>
    <row r="1407" spans="3:8">
      <c r="C1407" s="100"/>
      <c r="D1407" s="100"/>
      <c r="E1407" s="100"/>
      <c r="F1407" s="100"/>
      <c r="G1407" s="100"/>
      <c r="H1407" s="100"/>
    </row>
    <row r="1408" spans="3:8">
      <c r="C1408" s="100"/>
      <c r="D1408" s="100"/>
      <c r="E1408" s="100"/>
      <c r="F1408" s="100"/>
      <c r="G1408" s="100"/>
      <c r="H1408" s="100"/>
    </row>
    <row r="1409" spans="3:8">
      <c r="C1409" s="100"/>
      <c r="D1409" s="100"/>
      <c r="E1409" s="100"/>
      <c r="F1409" s="100"/>
      <c r="G1409" s="100"/>
      <c r="H1409" s="100"/>
    </row>
    <row r="1410" spans="3:8">
      <c r="C1410" s="100"/>
      <c r="D1410" s="100"/>
      <c r="E1410" s="100"/>
      <c r="F1410" s="100"/>
      <c r="G1410" s="100"/>
      <c r="H1410" s="100"/>
    </row>
    <row r="1411" spans="3:8">
      <c r="C1411" s="100"/>
      <c r="D1411" s="100"/>
      <c r="E1411" s="100"/>
      <c r="F1411" s="100"/>
      <c r="G1411" s="100"/>
      <c r="H1411" s="100"/>
    </row>
    <row r="1412" spans="3:8">
      <c r="C1412" s="100"/>
      <c r="D1412" s="100"/>
      <c r="E1412" s="100"/>
      <c r="F1412" s="100"/>
      <c r="G1412" s="100"/>
      <c r="H1412" s="100"/>
    </row>
    <row r="1413" spans="3:8">
      <c r="C1413" s="100"/>
      <c r="D1413" s="100"/>
      <c r="E1413" s="100"/>
      <c r="F1413" s="100"/>
      <c r="G1413" s="100"/>
      <c r="H1413" s="100"/>
    </row>
    <row r="1414" spans="3:8">
      <c r="C1414" s="100"/>
      <c r="D1414" s="100"/>
      <c r="E1414" s="100"/>
      <c r="F1414" s="100"/>
      <c r="G1414" s="100"/>
      <c r="H1414" s="100"/>
    </row>
    <row r="1415" spans="3:8">
      <c r="C1415" s="100"/>
      <c r="D1415" s="100"/>
      <c r="E1415" s="100"/>
      <c r="F1415" s="100"/>
      <c r="G1415" s="100"/>
      <c r="H1415" s="100"/>
    </row>
    <row r="1416" spans="3:8">
      <c r="C1416" s="100"/>
      <c r="D1416" s="100"/>
      <c r="E1416" s="100"/>
      <c r="F1416" s="100"/>
      <c r="G1416" s="100"/>
      <c r="H1416" s="100"/>
    </row>
    <row r="1417" spans="3:8">
      <c r="C1417" s="100"/>
      <c r="D1417" s="100"/>
      <c r="E1417" s="100"/>
      <c r="F1417" s="100"/>
      <c r="G1417" s="100"/>
      <c r="H1417" s="100"/>
    </row>
    <row r="1418" spans="3:8">
      <c r="C1418" s="100"/>
      <c r="D1418" s="100"/>
      <c r="E1418" s="100"/>
      <c r="F1418" s="100"/>
      <c r="G1418" s="100"/>
      <c r="H1418" s="100"/>
    </row>
    <row r="1419" spans="3:8">
      <c r="C1419" s="100"/>
      <c r="D1419" s="100"/>
      <c r="E1419" s="100"/>
      <c r="F1419" s="100"/>
      <c r="G1419" s="100"/>
      <c r="H1419" s="100"/>
    </row>
    <row r="1420" spans="3:8">
      <c r="C1420" s="100"/>
      <c r="D1420" s="100"/>
      <c r="E1420" s="100"/>
      <c r="F1420" s="100"/>
      <c r="G1420" s="100"/>
      <c r="H1420" s="100"/>
    </row>
    <row r="1421" spans="3:8">
      <c r="C1421" s="100"/>
      <c r="D1421" s="100"/>
      <c r="E1421" s="100"/>
      <c r="F1421" s="100"/>
      <c r="G1421" s="100"/>
      <c r="H1421" s="100"/>
    </row>
    <row r="1422" spans="3:8">
      <c r="C1422" s="100"/>
      <c r="D1422" s="100"/>
      <c r="E1422" s="100"/>
      <c r="F1422" s="100"/>
      <c r="G1422" s="100"/>
      <c r="H1422" s="100"/>
    </row>
    <row r="1423" spans="3:8">
      <c r="C1423" s="100"/>
      <c r="D1423" s="100"/>
      <c r="E1423" s="100"/>
      <c r="F1423" s="100"/>
      <c r="G1423" s="100"/>
      <c r="H1423" s="100"/>
    </row>
    <row r="1424" spans="3:8">
      <c r="C1424" s="100"/>
      <c r="D1424" s="100"/>
      <c r="E1424" s="100"/>
      <c r="F1424" s="100"/>
      <c r="G1424" s="100"/>
      <c r="H1424" s="100"/>
    </row>
    <row r="1425" spans="3:8">
      <c r="C1425" s="100"/>
      <c r="D1425" s="100"/>
      <c r="E1425" s="100"/>
      <c r="F1425" s="100"/>
      <c r="G1425" s="100"/>
      <c r="H1425" s="100"/>
    </row>
    <row r="1426" spans="3:8">
      <c r="C1426" s="100"/>
      <c r="D1426" s="100"/>
      <c r="E1426" s="100"/>
      <c r="F1426" s="100"/>
      <c r="G1426" s="100"/>
      <c r="H1426" s="100"/>
    </row>
    <row r="1427" spans="3:8">
      <c r="C1427" s="100"/>
      <c r="D1427" s="100"/>
      <c r="E1427" s="100"/>
      <c r="F1427" s="100"/>
      <c r="G1427" s="100"/>
      <c r="H1427" s="100"/>
    </row>
    <row r="1428" spans="3:8">
      <c r="C1428" s="100"/>
      <c r="D1428" s="100"/>
      <c r="E1428" s="100"/>
      <c r="F1428" s="100"/>
      <c r="G1428" s="100"/>
      <c r="H1428" s="100"/>
    </row>
    <row r="1429" spans="3:8">
      <c r="C1429" s="100"/>
      <c r="D1429" s="100"/>
      <c r="E1429" s="100"/>
      <c r="F1429" s="100"/>
      <c r="G1429" s="100"/>
      <c r="H1429" s="100"/>
    </row>
    <row r="1430" spans="3:8">
      <c r="C1430" s="100"/>
      <c r="D1430" s="100"/>
      <c r="E1430" s="100"/>
      <c r="F1430" s="100"/>
      <c r="G1430" s="100"/>
      <c r="H1430" s="100"/>
    </row>
    <row r="1431" spans="3:8">
      <c r="C1431" s="100"/>
      <c r="D1431" s="100"/>
      <c r="E1431" s="100"/>
      <c r="F1431" s="100"/>
      <c r="G1431" s="100"/>
      <c r="H1431" s="100"/>
    </row>
    <row r="1432" spans="3:8">
      <c r="C1432" s="100"/>
      <c r="D1432" s="100"/>
      <c r="E1432" s="100"/>
      <c r="F1432" s="100"/>
      <c r="G1432" s="100"/>
      <c r="H1432" s="100"/>
    </row>
    <row r="1433" spans="3:8">
      <c r="C1433" s="100"/>
      <c r="D1433" s="100"/>
      <c r="E1433" s="100"/>
      <c r="F1433" s="100"/>
      <c r="G1433" s="100"/>
      <c r="H1433" s="100"/>
    </row>
    <row r="1434" spans="3:8">
      <c r="C1434" s="100"/>
      <c r="D1434" s="100"/>
      <c r="E1434" s="100"/>
      <c r="F1434" s="100"/>
      <c r="G1434" s="100"/>
      <c r="H1434" s="100"/>
    </row>
    <row r="1435" spans="3:8">
      <c r="C1435" s="100"/>
      <c r="D1435" s="100"/>
      <c r="E1435" s="100"/>
      <c r="F1435" s="100"/>
      <c r="G1435" s="100"/>
      <c r="H1435" s="100"/>
    </row>
    <row r="1436" spans="3:8">
      <c r="C1436" s="100"/>
      <c r="D1436" s="100"/>
      <c r="E1436" s="100"/>
      <c r="F1436" s="100"/>
      <c r="G1436" s="100"/>
      <c r="H1436" s="100"/>
    </row>
    <row r="1437" spans="3:8">
      <c r="C1437" s="100"/>
      <c r="D1437" s="100"/>
      <c r="E1437" s="100"/>
      <c r="F1437" s="100"/>
      <c r="G1437" s="100"/>
      <c r="H1437" s="100"/>
    </row>
    <row r="1438" spans="3:8">
      <c r="C1438" s="100"/>
      <c r="D1438" s="100"/>
      <c r="E1438" s="100"/>
      <c r="F1438" s="100"/>
      <c r="G1438" s="100"/>
      <c r="H1438" s="100"/>
    </row>
    <row r="1439" spans="3:8">
      <c r="C1439" s="100"/>
      <c r="D1439" s="100"/>
      <c r="E1439" s="100"/>
      <c r="F1439" s="100"/>
      <c r="G1439" s="100"/>
      <c r="H1439" s="100"/>
    </row>
    <row r="1440" spans="3:8">
      <c r="C1440" s="100"/>
      <c r="D1440" s="100"/>
      <c r="E1440" s="100"/>
      <c r="F1440" s="100"/>
      <c r="G1440" s="100"/>
      <c r="H1440" s="100"/>
    </row>
    <row r="1441" spans="3:8">
      <c r="C1441" s="100"/>
      <c r="D1441" s="100"/>
      <c r="E1441" s="100"/>
      <c r="F1441" s="100"/>
      <c r="G1441" s="100"/>
      <c r="H1441" s="100"/>
    </row>
    <row r="1442" spans="3:8">
      <c r="C1442" s="100"/>
      <c r="D1442" s="100"/>
      <c r="E1442" s="100"/>
      <c r="F1442" s="100"/>
      <c r="G1442" s="100"/>
      <c r="H1442" s="100"/>
    </row>
    <row r="1443" spans="3:8">
      <c r="C1443" s="100"/>
      <c r="D1443" s="100"/>
      <c r="E1443" s="100"/>
      <c r="F1443" s="100"/>
      <c r="G1443" s="100"/>
      <c r="H1443" s="100"/>
    </row>
    <row r="1444" spans="3:8">
      <c r="C1444" s="100"/>
      <c r="D1444" s="100"/>
      <c r="E1444" s="100"/>
      <c r="F1444" s="100"/>
      <c r="G1444" s="100"/>
      <c r="H1444" s="100"/>
    </row>
    <row r="1445" spans="3:8">
      <c r="C1445" s="100"/>
      <c r="D1445" s="100"/>
      <c r="E1445" s="100"/>
      <c r="F1445" s="100"/>
      <c r="G1445" s="100"/>
      <c r="H1445" s="100"/>
    </row>
    <row r="1446" spans="3:8">
      <c r="C1446" s="100"/>
      <c r="D1446" s="100"/>
      <c r="E1446" s="100"/>
      <c r="F1446" s="100"/>
      <c r="G1446" s="100"/>
      <c r="H1446" s="100"/>
    </row>
    <row r="1447" spans="3:8">
      <c r="C1447" s="100"/>
      <c r="D1447" s="100"/>
      <c r="E1447" s="100"/>
      <c r="F1447" s="100"/>
      <c r="G1447" s="100"/>
      <c r="H1447" s="100"/>
    </row>
    <row r="1448" spans="3:8">
      <c r="C1448" s="100"/>
      <c r="D1448" s="100"/>
      <c r="E1448" s="100"/>
      <c r="F1448" s="100"/>
      <c r="G1448" s="100"/>
      <c r="H1448" s="100"/>
    </row>
    <row r="1449" spans="3:8">
      <c r="C1449" s="100"/>
      <c r="D1449" s="100"/>
      <c r="E1449" s="100"/>
      <c r="F1449" s="100"/>
      <c r="G1449" s="100"/>
      <c r="H1449" s="100"/>
    </row>
    <row r="1450" spans="3:8">
      <c r="C1450" s="100"/>
      <c r="D1450" s="100"/>
      <c r="E1450" s="100"/>
      <c r="F1450" s="100"/>
      <c r="G1450" s="100"/>
      <c r="H1450" s="100"/>
    </row>
    <row r="1451" spans="3:8">
      <c r="C1451" s="100"/>
      <c r="D1451" s="100"/>
      <c r="E1451" s="100"/>
      <c r="F1451" s="100"/>
      <c r="G1451" s="100"/>
      <c r="H1451" s="100"/>
    </row>
    <row r="1452" spans="3:8">
      <c r="C1452" s="100"/>
      <c r="D1452" s="100"/>
      <c r="E1452" s="100"/>
      <c r="F1452" s="100"/>
      <c r="G1452" s="100"/>
      <c r="H1452" s="100"/>
    </row>
    <row r="1453" spans="3:8">
      <c r="C1453" s="100"/>
      <c r="D1453" s="100"/>
      <c r="E1453" s="100"/>
      <c r="F1453" s="100"/>
      <c r="G1453" s="100"/>
      <c r="H1453" s="100"/>
    </row>
    <row r="1454" spans="3:8">
      <c r="C1454" s="100"/>
      <c r="D1454" s="100"/>
      <c r="E1454" s="100"/>
      <c r="F1454" s="100"/>
      <c r="G1454" s="100"/>
      <c r="H1454" s="100"/>
    </row>
    <row r="1455" spans="3:8">
      <c r="C1455" s="100"/>
      <c r="D1455" s="100"/>
      <c r="E1455" s="100"/>
      <c r="F1455" s="100"/>
      <c r="G1455" s="100"/>
      <c r="H1455" s="100"/>
    </row>
    <row r="1456" spans="3:8">
      <c r="C1456" s="100"/>
      <c r="D1456" s="100"/>
      <c r="E1456" s="100"/>
      <c r="F1456" s="100"/>
      <c r="G1456" s="100"/>
      <c r="H1456" s="100"/>
    </row>
    <row r="1457" spans="3:8">
      <c r="C1457" s="100"/>
      <c r="D1457" s="100"/>
      <c r="E1457" s="100"/>
      <c r="F1457" s="100"/>
      <c r="G1457" s="100"/>
      <c r="H1457" s="100"/>
    </row>
    <row r="1458" spans="3:8">
      <c r="C1458" s="100"/>
      <c r="D1458" s="100"/>
      <c r="E1458" s="100"/>
      <c r="F1458" s="100"/>
      <c r="G1458" s="100"/>
      <c r="H1458" s="100"/>
    </row>
    <row r="1459" spans="3:8">
      <c r="C1459" s="100"/>
      <c r="D1459" s="100"/>
      <c r="E1459" s="100"/>
      <c r="F1459" s="100"/>
      <c r="G1459" s="100"/>
      <c r="H1459" s="100"/>
    </row>
    <row r="1460" spans="3:8">
      <c r="C1460" s="100"/>
      <c r="D1460" s="100"/>
      <c r="E1460" s="100"/>
      <c r="F1460" s="100"/>
      <c r="G1460" s="100"/>
      <c r="H1460" s="100"/>
    </row>
    <row r="1461" spans="3:8">
      <c r="C1461" s="100"/>
      <c r="D1461" s="100"/>
      <c r="E1461" s="100"/>
      <c r="F1461" s="100"/>
      <c r="G1461" s="100"/>
      <c r="H1461" s="100"/>
    </row>
    <row r="1462" spans="3:8">
      <c r="C1462" s="100"/>
      <c r="D1462" s="100"/>
      <c r="E1462" s="100"/>
      <c r="F1462" s="100"/>
      <c r="G1462" s="100"/>
      <c r="H1462" s="100"/>
    </row>
    <row r="1463" spans="3:8">
      <c r="C1463" s="100"/>
      <c r="D1463" s="100"/>
      <c r="E1463" s="100"/>
      <c r="F1463" s="100"/>
      <c r="G1463" s="100"/>
      <c r="H1463" s="100"/>
    </row>
    <row r="1464" spans="3:8">
      <c r="C1464" s="100"/>
      <c r="D1464" s="100"/>
      <c r="E1464" s="100"/>
      <c r="F1464" s="100"/>
      <c r="G1464" s="100"/>
      <c r="H1464" s="100"/>
    </row>
    <row r="1465" spans="3:8">
      <c r="C1465" s="100"/>
      <c r="D1465" s="100"/>
      <c r="E1465" s="100"/>
      <c r="F1465" s="100"/>
      <c r="G1465" s="100"/>
      <c r="H1465" s="100"/>
    </row>
    <row r="1466" spans="3:8">
      <c r="C1466" s="100"/>
      <c r="D1466" s="100"/>
      <c r="E1466" s="100"/>
      <c r="F1466" s="100"/>
      <c r="G1466" s="100"/>
      <c r="H1466" s="100"/>
    </row>
    <row r="1467" spans="3:8">
      <c r="C1467" s="100"/>
      <c r="D1467" s="100"/>
      <c r="E1467" s="100"/>
      <c r="F1467" s="100"/>
      <c r="G1467" s="100"/>
      <c r="H1467" s="100"/>
    </row>
    <row r="1468" spans="3:8">
      <c r="C1468" s="100"/>
      <c r="D1468" s="100"/>
      <c r="E1468" s="100"/>
      <c r="F1468" s="100"/>
      <c r="G1468" s="100"/>
      <c r="H1468" s="100"/>
    </row>
    <row r="1469" spans="3:8">
      <c r="C1469" s="100"/>
      <c r="D1469" s="100"/>
      <c r="E1469" s="100"/>
      <c r="F1469" s="100"/>
      <c r="G1469" s="100"/>
      <c r="H1469" s="100"/>
    </row>
    <row r="1470" spans="3:8">
      <c r="C1470" s="100"/>
      <c r="D1470" s="100"/>
      <c r="E1470" s="100"/>
      <c r="F1470" s="100"/>
      <c r="G1470" s="100"/>
      <c r="H1470" s="100"/>
    </row>
    <row r="1471" spans="3:8">
      <c r="C1471" s="100"/>
      <c r="D1471" s="100"/>
      <c r="E1471" s="100"/>
      <c r="F1471" s="100"/>
      <c r="G1471" s="100"/>
      <c r="H1471" s="100"/>
    </row>
    <row r="1472" spans="3:8">
      <c r="C1472" s="100"/>
      <c r="D1472" s="100"/>
      <c r="E1472" s="100"/>
      <c r="F1472" s="100"/>
      <c r="G1472" s="100"/>
      <c r="H1472" s="100"/>
    </row>
    <row r="1473" spans="3:8">
      <c r="C1473" s="100"/>
      <c r="D1473" s="100"/>
      <c r="E1473" s="100"/>
      <c r="F1473" s="100"/>
      <c r="G1473" s="100"/>
      <c r="H1473" s="100"/>
    </row>
    <row r="1474" spans="3:8">
      <c r="C1474" s="100"/>
      <c r="D1474" s="100"/>
      <c r="E1474" s="100"/>
      <c r="F1474" s="100"/>
      <c r="G1474" s="100"/>
      <c r="H1474" s="100"/>
    </row>
    <row r="1475" spans="3:8">
      <c r="C1475" s="100"/>
      <c r="D1475" s="100"/>
      <c r="E1475" s="100"/>
      <c r="F1475" s="100"/>
      <c r="G1475" s="100"/>
      <c r="H1475" s="100"/>
    </row>
    <row r="1476" spans="3:8">
      <c r="C1476" s="100"/>
      <c r="D1476" s="100"/>
      <c r="E1476" s="100"/>
      <c r="F1476" s="100"/>
      <c r="G1476" s="100"/>
      <c r="H1476" s="100"/>
    </row>
    <row r="1477" spans="3:8">
      <c r="C1477" s="100"/>
      <c r="D1477" s="100"/>
      <c r="E1477" s="100"/>
      <c r="F1477" s="100"/>
      <c r="G1477" s="100"/>
      <c r="H1477" s="100"/>
    </row>
    <row r="1478" spans="3:8">
      <c r="C1478" s="100"/>
      <c r="D1478" s="100"/>
      <c r="E1478" s="100"/>
      <c r="F1478" s="100"/>
      <c r="G1478" s="100"/>
      <c r="H1478" s="100"/>
    </row>
    <row r="1479" spans="3:8">
      <c r="C1479" s="100"/>
      <c r="D1479" s="100"/>
      <c r="E1479" s="100"/>
      <c r="F1479" s="100"/>
      <c r="G1479" s="100"/>
      <c r="H1479" s="100"/>
    </row>
    <row r="1480" spans="3:8">
      <c r="C1480" s="100"/>
      <c r="D1480" s="100"/>
      <c r="E1480" s="100"/>
      <c r="F1480" s="100"/>
      <c r="G1480" s="100"/>
      <c r="H1480" s="100"/>
    </row>
    <row r="1481" spans="3:8">
      <c r="C1481" s="100"/>
      <c r="D1481" s="100"/>
      <c r="E1481" s="100"/>
      <c r="F1481" s="100"/>
      <c r="G1481" s="100"/>
      <c r="H1481" s="100"/>
    </row>
    <row r="1482" spans="3:8">
      <c r="C1482" s="100"/>
      <c r="D1482" s="100"/>
      <c r="E1482" s="100"/>
      <c r="F1482" s="100"/>
      <c r="G1482" s="100"/>
      <c r="H1482" s="100"/>
    </row>
    <row r="1483" spans="3:8">
      <c r="C1483" s="100"/>
      <c r="D1483" s="100"/>
      <c r="E1483" s="100"/>
      <c r="F1483" s="100"/>
      <c r="G1483" s="100"/>
      <c r="H1483" s="100"/>
    </row>
    <row r="1484" spans="3:8">
      <c r="C1484" s="100"/>
      <c r="D1484" s="100"/>
      <c r="E1484" s="100"/>
      <c r="F1484" s="100"/>
      <c r="G1484" s="100"/>
      <c r="H1484" s="100"/>
    </row>
    <row r="1485" spans="3:8">
      <c r="C1485" s="100"/>
      <c r="D1485" s="100"/>
      <c r="E1485" s="100"/>
      <c r="F1485" s="100"/>
      <c r="G1485" s="100"/>
      <c r="H1485" s="100"/>
    </row>
    <row r="1486" spans="3:8">
      <c r="C1486" s="100"/>
      <c r="D1486" s="100"/>
      <c r="E1486" s="100"/>
      <c r="F1486" s="100"/>
      <c r="G1486" s="100"/>
      <c r="H1486" s="100"/>
    </row>
    <row r="1487" spans="3:8">
      <c r="C1487" s="100"/>
      <c r="D1487" s="100"/>
      <c r="E1487" s="100"/>
      <c r="F1487" s="100"/>
      <c r="G1487" s="100"/>
      <c r="H1487" s="100"/>
    </row>
    <row r="1488" spans="3:8">
      <c r="C1488" s="100"/>
      <c r="D1488" s="100"/>
      <c r="E1488" s="100"/>
      <c r="F1488" s="100"/>
      <c r="G1488" s="100"/>
      <c r="H1488" s="100"/>
    </row>
    <row r="1489" spans="3:8">
      <c r="C1489" s="100"/>
      <c r="D1489" s="100"/>
      <c r="E1489" s="100"/>
      <c r="F1489" s="100"/>
      <c r="G1489" s="100"/>
      <c r="H1489" s="100"/>
    </row>
    <row r="1490" spans="3:8">
      <c r="C1490" s="100"/>
      <c r="D1490" s="100"/>
      <c r="E1490" s="100"/>
      <c r="F1490" s="100"/>
      <c r="G1490" s="100"/>
      <c r="H1490" s="100"/>
    </row>
    <row r="1491" spans="3:8">
      <c r="C1491" s="100"/>
      <c r="D1491" s="100"/>
      <c r="E1491" s="100"/>
      <c r="F1491" s="100"/>
      <c r="G1491" s="100"/>
      <c r="H1491" s="100"/>
    </row>
    <row r="1492" spans="3:8">
      <c r="C1492" s="100"/>
      <c r="D1492" s="100"/>
      <c r="E1492" s="100"/>
      <c r="F1492" s="100"/>
      <c r="G1492" s="100"/>
      <c r="H1492" s="100"/>
    </row>
    <row r="1493" spans="3:8">
      <c r="C1493" s="100"/>
      <c r="D1493" s="100"/>
      <c r="E1493" s="100"/>
      <c r="F1493" s="100"/>
      <c r="G1493" s="100"/>
      <c r="H1493" s="100"/>
    </row>
    <row r="1494" spans="3:8">
      <c r="C1494" s="100"/>
      <c r="D1494" s="100"/>
      <c r="E1494" s="100"/>
      <c r="F1494" s="100"/>
      <c r="G1494" s="100"/>
      <c r="H1494" s="100"/>
    </row>
    <row r="1495" spans="3:8">
      <c r="C1495" s="100"/>
      <c r="D1495" s="100"/>
      <c r="E1495" s="100"/>
      <c r="F1495" s="100"/>
      <c r="G1495" s="100"/>
      <c r="H1495" s="100"/>
    </row>
    <row r="1496" spans="3:8">
      <c r="C1496" s="100"/>
      <c r="D1496" s="100"/>
      <c r="E1496" s="100"/>
      <c r="F1496" s="100"/>
      <c r="G1496" s="100"/>
      <c r="H1496" s="100"/>
    </row>
    <row r="1497" spans="3:8">
      <c r="C1497" s="100"/>
      <c r="D1497" s="100"/>
      <c r="E1497" s="100"/>
      <c r="F1497" s="100"/>
      <c r="G1497" s="100"/>
      <c r="H1497" s="100"/>
    </row>
    <row r="1498" spans="3:8">
      <c r="C1498" s="100"/>
      <c r="D1498" s="100"/>
      <c r="E1498" s="100"/>
      <c r="F1498" s="100"/>
      <c r="G1498" s="100"/>
      <c r="H1498" s="100"/>
    </row>
    <row r="1499" spans="3:8">
      <c r="C1499" s="100"/>
      <c r="D1499" s="100"/>
      <c r="E1499" s="100"/>
      <c r="F1499" s="100"/>
      <c r="G1499" s="100"/>
      <c r="H1499" s="100"/>
    </row>
    <row r="1500" spans="3:8">
      <c r="C1500" s="100"/>
      <c r="D1500" s="100"/>
      <c r="E1500" s="100"/>
      <c r="F1500" s="100"/>
      <c r="G1500" s="100"/>
      <c r="H1500" s="100"/>
    </row>
    <row r="1501" spans="3:8">
      <c r="C1501" s="100"/>
      <c r="D1501" s="100"/>
      <c r="E1501" s="100"/>
      <c r="F1501" s="100"/>
      <c r="G1501" s="100"/>
      <c r="H1501" s="100"/>
    </row>
    <row r="1502" spans="3:8">
      <c r="C1502" s="100"/>
      <c r="D1502" s="100"/>
      <c r="E1502" s="100"/>
      <c r="F1502" s="100"/>
      <c r="G1502" s="100"/>
      <c r="H1502" s="100"/>
    </row>
    <row r="1503" spans="3:8">
      <c r="C1503" s="100"/>
      <c r="D1503" s="100"/>
      <c r="E1503" s="100"/>
      <c r="F1503" s="100"/>
      <c r="G1503" s="100"/>
      <c r="H1503" s="100"/>
    </row>
    <row r="1504" spans="3:8">
      <c r="C1504" s="100"/>
      <c r="D1504" s="100"/>
      <c r="E1504" s="100"/>
      <c r="F1504" s="100"/>
      <c r="G1504" s="100"/>
      <c r="H1504" s="100"/>
    </row>
    <row r="1505" spans="3:8">
      <c r="C1505" s="100"/>
      <c r="D1505" s="100"/>
      <c r="E1505" s="100"/>
      <c r="F1505" s="100"/>
      <c r="G1505" s="100"/>
      <c r="H1505" s="100"/>
    </row>
    <row r="1506" spans="3:8">
      <c r="C1506" s="100"/>
      <c r="D1506" s="100"/>
      <c r="E1506" s="100"/>
      <c r="F1506" s="100"/>
      <c r="G1506" s="100"/>
      <c r="H1506" s="100"/>
    </row>
    <row r="1507" spans="3:8">
      <c r="C1507" s="100"/>
      <c r="D1507" s="100"/>
      <c r="E1507" s="100"/>
      <c r="F1507" s="100"/>
      <c r="G1507" s="100"/>
      <c r="H1507" s="100"/>
    </row>
    <row r="1508" spans="3:8">
      <c r="C1508" s="100"/>
      <c r="D1508" s="100"/>
      <c r="E1508" s="100"/>
      <c r="F1508" s="100"/>
      <c r="G1508" s="100"/>
      <c r="H1508" s="100"/>
    </row>
    <row r="1509" spans="3:8">
      <c r="C1509" s="100"/>
      <c r="D1509" s="100"/>
      <c r="E1509" s="100"/>
      <c r="F1509" s="100"/>
      <c r="G1509" s="100"/>
      <c r="H1509" s="100"/>
    </row>
    <row r="1510" spans="3:8">
      <c r="C1510" s="100"/>
      <c r="D1510" s="100"/>
      <c r="E1510" s="100"/>
      <c r="F1510" s="100"/>
      <c r="G1510" s="100"/>
      <c r="H1510" s="100"/>
    </row>
    <row r="1511" spans="3:8">
      <c r="C1511" s="100"/>
      <c r="D1511" s="100"/>
      <c r="E1511" s="100"/>
      <c r="F1511" s="100"/>
      <c r="G1511" s="100"/>
      <c r="H1511" s="100"/>
    </row>
    <row r="1512" spans="3:8">
      <c r="C1512" s="100"/>
      <c r="D1512" s="100"/>
      <c r="E1512" s="100"/>
      <c r="F1512" s="100"/>
      <c r="G1512" s="100"/>
      <c r="H1512" s="100"/>
    </row>
    <row r="1513" spans="3:8">
      <c r="C1513" s="100"/>
      <c r="D1513" s="100"/>
      <c r="E1513" s="100"/>
      <c r="F1513" s="100"/>
      <c r="G1513" s="100"/>
      <c r="H1513" s="100"/>
    </row>
    <row r="1514" spans="3:8">
      <c r="C1514" s="100"/>
      <c r="D1514" s="100"/>
      <c r="E1514" s="100"/>
      <c r="F1514" s="100"/>
      <c r="G1514" s="100"/>
      <c r="H1514" s="100"/>
    </row>
    <row r="1515" spans="3:8">
      <c r="C1515" s="100"/>
      <c r="D1515" s="100"/>
      <c r="E1515" s="100"/>
      <c r="F1515" s="100"/>
      <c r="G1515" s="100"/>
      <c r="H1515" s="100"/>
    </row>
    <row r="1516" spans="3:8">
      <c r="C1516" s="100"/>
      <c r="D1516" s="100"/>
      <c r="E1516" s="100"/>
      <c r="F1516" s="100"/>
      <c r="G1516" s="100"/>
      <c r="H1516" s="100"/>
    </row>
    <row r="1517" spans="3:8">
      <c r="C1517" s="100"/>
      <c r="D1517" s="100"/>
      <c r="E1517" s="100"/>
      <c r="F1517" s="100"/>
      <c r="G1517" s="100"/>
      <c r="H1517" s="100"/>
    </row>
    <row r="1518" spans="3:8">
      <c r="C1518" s="100"/>
      <c r="D1518" s="100"/>
      <c r="E1518" s="100"/>
      <c r="F1518" s="100"/>
      <c r="G1518" s="100"/>
      <c r="H1518" s="100"/>
    </row>
    <row r="1519" spans="3:8">
      <c r="C1519" s="100"/>
      <c r="D1519" s="100"/>
      <c r="E1519" s="100"/>
      <c r="F1519" s="100"/>
      <c r="G1519" s="100"/>
      <c r="H1519" s="100"/>
    </row>
    <row r="1520" spans="3:8">
      <c r="C1520" s="100"/>
      <c r="D1520" s="100"/>
      <c r="E1520" s="100"/>
      <c r="F1520" s="100"/>
      <c r="G1520" s="100"/>
      <c r="H1520" s="100"/>
    </row>
    <row r="1521" spans="3:8">
      <c r="C1521" s="100"/>
      <c r="D1521" s="100"/>
      <c r="E1521" s="100"/>
      <c r="F1521" s="100"/>
      <c r="G1521" s="100"/>
      <c r="H1521" s="100"/>
    </row>
    <row r="1522" spans="3:8">
      <c r="C1522" s="100"/>
      <c r="D1522" s="100"/>
      <c r="E1522" s="100"/>
      <c r="F1522" s="100"/>
      <c r="G1522" s="100"/>
      <c r="H1522" s="100"/>
    </row>
    <row r="1523" spans="3:8">
      <c r="C1523" s="100"/>
      <c r="D1523" s="100"/>
      <c r="E1523" s="100"/>
      <c r="F1523" s="100"/>
      <c r="G1523" s="100"/>
      <c r="H1523" s="100"/>
    </row>
    <row r="1524" spans="3:8">
      <c r="C1524" s="100"/>
      <c r="D1524" s="100"/>
      <c r="E1524" s="100"/>
      <c r="F1524" s="100"/>
      <c r="G1524" s="100"/>
      <c r="H1524" s="100"/>
    </row>
    <row r="1525" spans="3:8">
      <c r="C1525" s="100"/>
      <c r="D1525" s="100"/>
      <c r="E1525" s="100"/>
      <c r="F1525" s="100"/>
      <c r="G1525" s="100"/>
      <c r="H1525" s="100"/>
    </row>
    <row r="1526" spans="3:8">
      <c r="C1526" s="100"/>
      <c r="D1526" s="100"/>
      <c r="E1526" s="100"/>
      <c r="F1526" s="100"/>
      <c r="G1526" s="100"/>
      <c r="H1526" s="100"/>
    </row>
    <row r="1527" spans="3:8">
      <c r="C1527" s="100"/>
      <c r="D1527" s="100"/>
      <c r="E1527" s="100"/>
      <c r="F1527" s="100"/>
      <c r="G1527" s="100"/>
      <c r="H1527" s="100"/>
    </row>
    <row r="1528" spans="3:8">
      <c r="C1528" s="100"/>
      <c r="D1528" s="100"/>
      <c r="E1528" s="100"/>
      <c r="F1528" s="100"/>
      <c r="G1528" s="100"/>
      <c r="H1528" s="100"/>
    </row>
    <row r="1529" spans="3:8">
      <c r="C1529" s="100"/>
      <c r="D1529" s="100"/>
      <c r="E1529" s="100"/>
      <c r="F1529" s="100"/>
      <c r="G1529" s="100"/>
      <c r="H1529" s="100"/>
    </row>
    <row r="1530" spans="3:8">
      <c r="C1530" s="100"/>
      <c r="D1530" s="100"/>
      <c r="E1530" s="100"/>
      <c r="F1530" s="100"/>
      <c r="G1530" s="100"/>
      <c r="H1530" s="100"/>
    </row>
    <row r="1531" spans="3:8">
      <c r="C1531" s="100"/>
      <c r="D1531" s="100"/>
      <c r="E1531" s="100"/>
      <c r="F1531" s="100"/>
      <c r="G1531" s="100"/>
      <c r="H1531" s="100"/>
    </row>
    <row r="1532" spans="3:8">
      <c r="C1532" s="100"/>
      <c r="D1532" s="100"/>
      <c r="E1532" s="100"/>
      <c r="F1532" s="100"/>
      <c r="G1532" s="100"/>
      <c r="H1532" s="100"/>
    </row>
    <row r="1533" spans="3:8">
      <c r="C1533" s="100"/>
      <c r="D1533" s="100"/>
      <c r="E1533" s="100"/>
      <c r="F1533" s="100"/>
      <c r="G1533" s="100"/>
      <c r="H1533" s="100"/>
    </row>
    <row r="1534" spans="3:8">
      <c r="C1534" s="100"/>
      <c r="D1534" s="100"/>
      <c r="E1534" s="100"/>
      <c r="F1534" s="100"/>
      <c r="G1534" s="100"/>
      <c r="H1534" s="100"/>
    </row>
    <row r="1535" spans="3:8">
      <c r="C1535" s="100"/>
      <c r="D1535" s="100"/>
      <c r="E1535" s="100"/>
      <c r="F1535" s="100"/>
      <c r="G1535" s="100"/>
      <c r="H1535" s="100"/>
    </row>
    <row r="1536" spans="3:8">
      <c r="C1536" s="100"/>
      <c r="D1536" s="100"/>
      <c r="E1536" s="100"/>
      <c r="F1536" s="100"/>
      <c r="G1536" s="100"/>
      <c r="H1536" s="100"/>
    </row>
    <row r="1537" spans="3:8">
      <c r="C1537" s="100"/>
      <c r="D1537" s="100"/>
      <c r="E1537" s="100"/>
      <c r="F1537" s="100"/>
      <c r="G1537" s="100"/>
      <c r="H1537" s="100"/>
    </row>
    <row r="1538" spans="3:8">
      <c r="C1538" s="100"/>
      <c r="D1538" s="100"/>
      <c r="E1538" s="100"/>
      <c r="F1538" s="100"/>
      <c r="G1538" s="100"/>
      <c r="H1538" s="100"/>
    </row>
    <row r="1539" spans="3:8">
      <c r="C1539" s="100"/>
      <c r="D1539" s="100"/>
      <c r="E1539" s="100"/>
      <c r="F1539" s="100"/>
      <c r="G1539" s="100"/>
      <c r="H1539" s="100"/>
    </row>
    <row r="1540" spans="3:8">
      <c r="C1540" s="100"/>
      <c r="D1540" s="100"/>
      <c r="E1540" s="100"/>
      <c r="F1540" s="100"/>
      <c r="G1540" s="100"/>
      <c r="H1540" s="100"/>
    </row>
    <row r="1541" spans="3:8">
      <c r="C1541" s="100"/>
      <c r="D1541" s="100"/>
      <c r="E1541" s="100"/>
      <c r="F1541" s="100"/>
      <c r="G1541" s="100"/>
      <c r="H1541" s="100"/>
    </row>
    <row r="1542" spans="3:8">
      <c r="C1542" s="100"/>
      <c r="D1542" s="100"/>
      <c r="E1542" s="100"/>
      <c r="F1542" s="100"/>
      <c r="G1542" s="100"/>
      <c r="H1542" s="100"/>
    </row>
    <row r="1543" spans="3:8">
      <c r="C1543" s="100"/>
      <c r="D1543" s="100"/>
      <c r="E1543" s="100"/>
      <c r="F1543" s="100"/>
      <c r="G1543" s="100"/>
      <c r="H1543" s="100"/>
    </row>
    <row r="1544" spans="3:8">
      <c r="C1544" s="100"/>
      <c r="D1544" s="100"/>
      <c r="E1544" s="100"/>
      <c r="F1544" s="100"/>
      <c r="G1544" s="100"/>
      <c r="H1544" s="100"/>
    </row>
    <row r="1545" spans="3:8">
      <c r="C1545" s="100"/>
      <c r="D1545" s="100"/>
      <c r="E1545" s="100"/>
      <c r="F1545" s="100"/>
      <c r="G1545" s="100"/>
      <c r="H1545" s="100"/>
    </row>
    <row r="1546" spans="3:8">
      <c r="C1546" s="100"/>
      <c r="D1546" s="100"/>
      <c r="E1546" s="100"/>
      <c r="F1546" s="100"/>
      <c r="G1546" s="100"/>
      <c r="H1546" s="100"/>
    </row>
    <row r="1547" spans="3:8">
      <c r="C1547" s="100"/>
      <c r="D1547" s="100"/>
      <c r="E1547" s="100"/>
      <c r="F1547" s="100"/>
      <c r="G1547" s="100"/>
      <c r="H1547" s="100"/>
    </row>
    <row r="1548" spans="3:8">
      <c r="C1548" s="100"/>
      <c r="D1548" s="100"/>
      <c r="E1548" s="100"/>
      <c r="F1548" s="100"/>
      <c r="G1548" s="100"/>
      <c r="H1548" s="100"/>
    </row>
    <row r="1549" spans="3:8">
      <c r="C1549" s="100"/>
      <c r="D1549" s="100"/>
      <c r="E1549" s="100"/>
      <c r="F1549" s="100"/>
      <c r="G1549" s="100"/>
      <c r="H1549" s="100"/>
    </row>
    <row r="1550" spans="3:8">
      <c r="C1550" s="100"/>
      <c r="D1550" s="100"/>
      <c r="E1550" s="100"/>
      <c r="F1550" s="100"/>
      <c r="G1550" s="100"/>
      <c r="H1550" s="100"/>
    </row>
    <row r="1551" spans="3:8">
      <c r="C1551" s="100"/>
      <c r="D1551" s="100"/>
      <c r="E1551" s="100"/>
      <c r="F1551" s="100"/>
      <c r="G1551" s="100"/>
      <c r="H1551" s="100"/>
    </row>
    <row r="1552" spans="3:8">
      <c r="C1552" s="100"/>
      <c r="D1552" s="100"/>
      <c r="E1552" s="100"/>
      <c r="F1552" s="100"/>
      <c r="G1552" s="100"/>
      <c r="H1552" s="100"/>
    </row>
    <row r="1553" spans="3:8">
      <c r="C1553" s="100"/>
      <c r="D1553" s="100"/>
      <c r="E1553" s="100"/>
      <c r="F1553" s="100"/>
      <c r="G1553" s="100"/>
      <c r="H1553" s="100"/>
    </row>
    <row r="1554" spans="3:8">
      <c r="C1554" s="100"/>
      <c r="D1554" s="100"/>
      <c r="E1554" s="100"/>
      <c r="F1554" s="100"/>
      <c r="G1554" s="100"/>
      <c r="H1554" s="100"/>
    </row>
    <row r="1555" spans="3:8">
      <c r="C1555" s="100"/>
      <c r="D1555" s="100"/>
      <c r="E1555" s="100"/>
      <c r="F1555" s="100"/>
      <c r="G1555" s="100"/>
      <c r="H1555" s="100"/>
    </row>
    <row r="1556" spans="3:8">
      <c r="C1556" s="100"/>
      <c r="D1556" s="100"/>
      <c r="E1556" s="100"/>
      <c r="F1556" s="100"/>
      <c r="G1556" s="100"/>
      <c r="H1556" s="100"/>
    </row>
    <row r="1557" spans="3:8">
      <c r="C1557" s="100"/>
      <c r="D1557" s="100"/>
      <c r="E1557" s="100"/>
      <c r="F1557" s="100"/>
      <c r="G1557" s="100"/>
      <c r="H1557" s="100"/>
    </row>
    <row r="1558" spans="3:8">
      <c r="C1558" s="100"/>
      <c r="D1558" s="100"/>
      <c r="E1558" s="100"/>
      <c r="F1558" s="100"/>
      <c r="G1558" s="100"/>
      <c r="H1558" s="100"/>
    </row>
    <row r="1559" spans="3:8">
      <c r="C1559" s="100"/>
      <c r="D1559" s="100"/>
      <c r="E1559" s="100"/>
      <c r="F1559" s="100"/>
      <c r="G1559" s="100"/>
      <c r="H1559" s="100"/>
    </row>
    <row r="1560" spans="3:8">
      <c r="C1560" s="100"/>
      <c r="D1560" s="100"/>
      <c r="E1560" s="100"/>
      <c r="F1560" s="100"/>
      <c r="G1560" s="100"/>
      <c r="H1560" s="100"/>
    </row>
    <row r="1561" spans="3:8">
      <c r="C1561" s="100"/>
      <c r="D1561" s="100"/>
      <c r="E1561" s="100"/>
      <c r="F1561" s="100"/>
      <c r="G1561" s="100"/>
      <c r="H1561" s="100"/>
    </row>
    <row r="1562" spans="3:8">
      <c r="C1562" s="100"/>
      <c r="D1562" s="100"/>
      <c r="E1562" s="100"/>
      <c r="F1562" s="100"/>
      <c r="G1562" s="100"/>
      <c r="H1562" s="100"/>
    </row>
    <row r="1563" spans="3:8">
      <c r="C1563" s="100"/>
      <c r="D1563" s="100"/>
      <c r="E1563" s="100"/>
      <c r="F1563" s="100"/>
      <c r="G1563" s="100"/>
      <c r="H1563" s="100"/>
    </row>
    <row r="1564" spans="3:8">
      <c r="C1564" s="100"/>
      <c r="D1564" s="100"/>
      <c r="E1564" s="100"/>
      <c r="F1564" s="100"/>
      <c r="G1564" s="100"/>
      <c r="H1564" s="100"/>
    </row>
    <row r="1565" spans="3:8">
      <c r="C1565" s="100"/>
      <c r="D1565" s="100"/>
      <c r="E1565" s="100"/>
      <c r="F1565" s="100"/>
      <c r="G1565" s="100"/>
      <c r="H1565" s="100"/>
    </row>
    <row r="1566" spans="3:8">
      <c r="C1566" s="100"/>
      <c r="D1566" s="100"/>
      <c r="E1566" s="100"/>
      <c r="F1566" s="100"/>
      <c r="G1566" s="100"/>
      <c r="H1566" s="100"/>
    </row>
    <row r="1567" spans="3:8">
      <c r="C1567" s="100"/>
      <c r="D1567" s="100"/>
      <c r="E1567" s="100"/>
      <c r="F1567" s="100"/>
      <c r="G1567" s="100"/>
      <c r="H1567" s="100"/>
    </row>
    <row r="1568" spans="3:8">
      <c r="C1568" s="100"/>
      <c r="D1568" s="100"/>
      <c r="E1568" s="100"/>
      <c r="F1568" s="100"/>
      <c r="G1568" s="100"/>
      <c r="H1568" s="100"/>
    </row>
    <row r="1569" spans="3:8">
      <c r="C1569" s="100"/>
      <c r="D1569" s="100"/>
      <c r="E1569" s="100"/>
      <c r="F1569" s="100"/>
      <c r="G1569" s="100"/>
      <c r="H1569" s="100"/>
    </row>
    <row r="1570" spans="3:8">
      <c r="C1570" s="100"/>
      <c r="D1570" s="100"/>
      <c r="E1570" s="100"/>
      <c r="F1570" s="100"/>
      <c r="G1570" s="100"/>
      <c r="H1570" s="100"/>
    </row>
    <row r="1571" spans="3:8">
      <c r="C1571" s="100"/>
      <c r="D1571" s="100"/>
      <c r="E1571" s="100"/>
      <c r="F1571" s="100"/>
      <c r="G1571" s="100"/>
      <c r="H1571" s="100"/>
    </row>
    <row r="1572" spans="3:8">
      <c r="C1572" s="100"/>
      <c r="D1572" s="100"/>
      <c r="E1572" s="100"/>
      <c r="F1572" s="100"/>
      <c r="G1572" s="100"/>
      <c r="H1572" s="100"/>
    </row>
    <row r="1573" spans="3:8">
      <c r="C1573" s="100"/>
      <c r="D1573" s="100"/>
      <c r="E1573" s="100"/>
      <c r="F1573" s="100"/>
      <c r="G1573" s="100"/>
      <c r="H1573" s="100"/>
    </row>
    <row r="1574" spans="3:8">
      <c r="C1574" s="100"/>
      <c r="D1574" s="100"/>
      <c r="E1574" s="100"/>
      <c r="F1574" s="100"/>
      <c r="G1574" s="100"/>
      <c r="H1574" s="100"/>
    </row>
    <row r="1575" spans="3:8">
      <c r="C1575" s="100"/>
      <c r="D1575" s="100"/>
      <c r="E1575" s="100"/>
      <c r="F1575" s="100"/>
      <c r="G1575" s="100"/>
      <c r="H1575" s="100"/>
    </row>
    <row r="1576" spans="3:8">
      <c r="C1576" s="100"/>
      <c r="D1576" s="100"/>
      <c r="E1576" s="100"/>
      <c r="F1576" s="100"/>
      <c r="G1576" s="100"/>
      <c r="H1576" s="100"/>
    </row>
    <row r="1577" spans="3:8">
      <c r="C1577" s="100"/>
      <c r="D1577" s="100"/>
      <c r="E1577" s="100"/>
      <c r="F1577" s="100"/>
      <c r="G1577" s="100"/>
      <c r="H1577" s="100"/>
    </row>
    <row r="1578" spans="3:8">
      <c r="C1578" s="100"/>
      <c r="D1578" s="100"/>
      <c r="E1578" s="100"/>
      <c r="F1578" s="100"/>
      <c r="G1578" s="100"/>
      <c r="H1578" s="100"/>
    </row>
    <row r="1579" spans="3:8">
      <c r="C1579" s="100"/>
      <c r="D1579" s="100"/>
      <c r="E1579" s="100"/>
      <c r="F1579" s="100"/>
      <c r="G1579" s="100"/>
      <c r="H1579" s="100"/>
    </row>
    <row r="1580" spans="3:8">
      <c r="C1580" s="100"/>
      <c r="D1580" s="100"/>
      <c r="E1580" s="100"/>
      <c r="F1580" s="100"/>
      <c r="G1580" s="100"/>
      <c r="H1580" s="100"/>
    </row>
    <row r="1581" spans="3:8">
      <c r="C1581" s="100"/>
      <c r="D1581" s="100"/>
      <c r="E1581" s="100"/>
      <c r="F1581" s="100"/>
      <c r="G1581" s="100"/>
      <c r="H1581" s="100"/>
    </row>
    <row r="1582" spans="3:8">
      <c r="C1582" s="100"/>
      <c r="D1582" s="100"/>
      <c r="E1582" s="100"/>
      <c r="F1582" s="100"/>
      <c r="G1582" s="100"/>
      <c r="H1582" s="100"/>
    </row>
    <row r="1583" spans="3:8">
      <c r="C1583" s="100"/>
      <c r="D1583" s="100"/>
      <c r="E1583" s="100"/>
      <c r="F1583" s="100"/>
      <c r="G1583" s="100"/>
      <c r="H1583" s="100"/>
    </row>
    <row r="1584" spans="3:8">
      <c r="C1584" s="100"/>
      <c r="D1584" s="100"/>
      <c r="E1584" s="100"/>
      <c r="F1584" s="100"/>
      <c r="G1584" s="100"/>
      <c r="H1584" s="100"/>
    </row>
    <row r="1585" spans="3:8">
      <c r="C1585" s="100"/>
      <c r="D1585" s="100"/>
      <c r="E1585" s="100"/>
      <c r="F1585" s="100"/>
      <c r="G1585" s="100"/>
      <c r="H1585" s="100"/>
    </row>
    <row r="1586" spans="3:8">
      <c r="C1586" s="100"/>
      <c r="D1586" s="100"/>
      <c r="E1586" s="100"/>
      <c r="F1586" s="100"/>
      <c r="G1586" s="100"/>
      <c r="H1586" s="100"/>
    </row>
    <row r="1587" spans="3:8">
      <c r="C1587" s="100"/>
      <c r="D1587" s="100"/>
      <c r="E1587" s="100"/>
      <c r="F1587" s="100"/>
      <c r="G1587" s="100"/>
      <c r="H1587" s="100"/>
    </row>
    <row r="1588" spans="3:8">
      <c r="C1588" s="100"/>
      <c r="D1588" s="100"/>
      <c r="E1588" s="100"/>
      <c r="F1588" s="100"/>
      <c r="G1588" s="100"/>
      <c r="H1588" s="100"/>
    </row>
    <row r="1589" spans="3:8">
      <c r="C1589" s="100"/>
      <c r="D1589" s="100"/>
      <c r="E1589" s="100"/>
      <c r="F1589" s="100"/>
      <c r="G1589" s="100"/>
      <c r="H1589" s="100"/>
    </row>
    <row r="1590" spans="3:8">
      <c r="C1590" s="100"/>
      <c r="D1590" s="100"/>
      <c r="E1590" s="100"/>
      <c r="F1590" s="100"/>
      <c r="G1590" s="100"/>
      <c r="H1590" s="100"/>
    </row>
    <row r="1591" spans="3:8">
      <c r="C1591" s="100"/>
      <c r="D1591" s="100"/>
      <c r="E1591" s="100"/>
      <c r="F1591" s="100"/>
      <c r="G1591" s="100"/>
      <c r="H1591" s="100"/>
    </row>
    <row r="1592" spans="3:8">
      <c r="C1592" s="100"/>
      <c r="D1592" s="100"/>
      <c r="E1592" s="100"/>
      <c r="F1592" s="100"/>
      <c r="G1592" s="100"/>
      <c r="H1592" s="100"/>
    </row>
    <row r="1593" spans="3:8">
      <c r="C1593" s="100"/>
      <c r="D1593" s="100"/>
      <c r="E1593" s="100"/>
      <c r="F1593" s="100"/>
      <c r="G1593" s="100"/>
      <c r="H1593" s="100"/>
    </row>
    <row r="1594" spans="3:8">
      <c r="C1594" s="100"/>
      <c r="D1594" s="100"/>
      <c r="E1594" s="100"/>
      <c r="F1594" s="100"/>
      <c r="G1594" s="100"/>
      <c r="H1594" s="100"/>
    </row>
    <row r="1595" spans="3:8">
      <c r="C1595" s="100"/>
      <c r="D1595" s="100"/>
      <c r="E1595" s="100"/>
      <c r="F1595" s="100"/>
      <c r="G1595" s="100"/>
      <c r="H1595" s="100"/>
    </row>
    <row r="1596" spans="3:8">
      <c r="C1596" s="100"/>
      <c r="D1596" s="100"/>
      <c r="E1596" s="100"/>
      <c r="F1596" s="100"/>
      <c r="G1596" s="100"/>
      <c r="H1596" s="100"/>
    </row>
    <row r="1597" spans="3:8">
      <c r="C1597" s="100"/>
      <c r="D1597" s="100"/>
      <c r="E1597" s="100"/>
      <c r="F1597" s="100"/>
      <c r="G1597" s="100"/>
      <c r="H1597" s="100"/>
    </row>
    <row r="1598" spans="3:8">
      <c r="C1598" s="100"/>
      <c r="D1598" s="100"/>
      <c r="E1598" s="100"/>
      <c r="F1598" s="100"/>
      <c r="G1598" s="100"/>
      <c r="H1598" s="100"/>
    </row>
    <row r="1599" spans="3:8">
      <c r="C1599" s="100"/>
      <c r="D1599" s="100"/>
      <c r="E1599" s="100"/>
      <c r="F1599" s="100"/>
      <c r="G1599" s="100"/>
      <c r="H1599" s="100"/>
    </row>
    <row r="1600" spans="3:8">
      <c r="C1600" s="100"/>
      <c r="D1600" s="100"/>
      <c r="E1600" s="100"/>
      <c r="F1600" s="100"/>
      <c r="G1600" s="100"/>
      <c r="H1600" s="100"/>
    </row>
    <row r="1601" spans="3:8">
      <c r="C1601" s="100"/>
      <c r="D1601" s="100"/>
      <c r="E1601" s="100"/>
      <c r="F1601" s="100"/>
      <c r="G1601" s="100"/>
      <c r="H1601" s="100"/>
    </row>
    <row r="1602" spans="3:8">
      <c r="C1602" s="100"/>
      <c r="D1602" s="100"/>
      <c r="E1602" s="100"/>
      <c r="F1602" s="100"/>
      <c r="G1602" s="100"/>
      <c r="H1602" s="100"/>
    </row>
    <row r="1603" spans="3:8">
      <c r="C1603" s="100"/>
      <c r="D1603" s="100"/>
      <c r="E1603" s="100"/>
      <c r="F1603" s="100"/>
      <c r="G1603" s="100"/>
      <c r="H1603" s="100"/>
    </row>
    <row r="1604" spans="3:8">
      <c r="C1604" s="100"/>
      <c r="D1604" s="100"/>
      <c r="E1604" s="100"/>
      <c r="F1604" s="100"/>
      <c r="G1604" s="100"/>
      <c r="H1604" s="100"/>
    </row>
    <row r="1605" spans="3:8">
      <c r="C1605" s="100"/>
      <c r="D1605" s="100"/>
      <c r="E1605" s="100"/>
      <c r="F1605" s="100"/>
      <c r="G1605" s="100"/>
      <c r="H1605" s="100"/>
    </row>
    <row r="1606" spans="3:8">
      <c r="C1606" s="100"/>
      <c r="D1606" s="100"/>
      <c r="E1606" s="100"/>
      <c r="F1606" s="100"/>
      <c r="G1606" s="100"/>
      <c r="H1606" s="100"/>
    </row>
    <row r="1607" spans="3:8">
      <c r="C1607" s="100"/>
      <c r="D1607" s="100"/>
      <c r="E1607" s="100"/>
      <c r="F1607" s="100"/>
      <c r="G1607" s="100"/>
      <c r="H1607" s="100"/>
    </row>
    <row r="1608" spans="3:8">
      <c r="C1608" s="100"/>
      <c r="D1608" s="100"/>
      <c r="E1608" s="100"/>
      <c r="F1608" s="100"/>
      <c r="G1608" s="100"/>
      <c r="H1608" s="100"/>
    </row>
    <row r="1609" spans="3:8">
      <c r="C1609" s="100"/>
      <c r="D1609" s="100"/>
      <c r="E1609" s="100"/>
      <c r="F1609" s="100"/>
      <c r="G1609" s="100"/>
      <c r="H1609" s="100"/>
    </row>
    <row r="1610" spans="3:8">
      <c r="C1610" s="100"/>
      <c r="D1610" s="100"/>
      <c r="E1610" s="100"/>
      <c r="F1610" s="100"/>
      <c r="G1610" s="100"/>
      <c r="H1610" s="100"/>
    </row>
    <row r="1611" spans="3:8">
      <c r="C1611" s="100"/>
      <c r="D1611" s="100"/>
      <c r="E1611" s="100"/>
      <c r="F1611" s="100"/>
      <c r="G1611" s="100"/>
      <c r="H1611" s="100"/>
    </row>
    <row r="1612" spans="3:8">
      <c r="C1612" s="100"/>
      <c r="D1612" s="100"/>
      <c r="E1612" s="100"/>
      <c r="F1612" s="100"/>
      <c r="G1612" s="100"/>
      <c r="H1612" s="100"/>
    </row>
    <row r="1613" spans="3:8">
      <c r="C1613" s="100"/>
      <c r="D1613" s="100"/>
      <c r="E1613" s="100"/>
      <c r="F1613" s="100"/>
      <c r="G1613" s="100"/>
      <c r="H1613" s="100"/>
    </row>
    <row r="1614" spans="3:8">
      <c r="C1614" s="100"/>
      <c r="D1614" s="100"/>
      <c r="E1614" s="100"/>
      <c r="F1614" s="100"/>
      <c r="G1614" s="100"/>
      <c r="H1614" s="100"/>
    </row>
    <row r="1615" spans="3:8">
      <c r="C1615" s="100"/>
      <c r="D1615" s="100"/>
      <c r="E1615" s="100"/>
      <c r="F1615" s="100"/>
      <c r="G1615" s="100"/>
      <c r="H1615" s="100"/>
    </row>
    <row r="1616" spans="3:8">
      <c r="C1616" s="100"/>
      <c r="D1616" s="100"/>
      <c r="E1616" s="100"/>
      <c r="F1616" s="100"/>
      <c r="G1616" s="100"/>
      <c r="H1616" s="100"/>
    </row>
    <row r="1617" spans="3:8">
      <c r="C1617" s="100"/>
      <c r="D1617" s="100"/>
      <c r="E1617" s="100"/>
      <c r="F1617" s="100"/>
      <c r="G1617" s="100"/>
      <c r="H1617" s="100"/>
    </row>
    <row r="1618" spans="3:8">
      <c r="C1618" s="100"/>
      <c r="D1618" s="100"/>
      <c r="E1618" s="100"/>
      <c r="F1618" s="100"/>
      <c r="G1618" s="100"/>
      <c r="H1618" s="100"/>
    </row>
    <row r="1619" spans="3:8">
      <c r="C1619" s="100"/>
      <c r="D1619" s="100"/>
      <c r="E1619" s="100"/>
      <c r="F1619" s="100"/>
      <c r="G1619" s="100"/>
      <c r="H1619" s="100"/>
    </row>
    <row r="1620" spans="3:8">
      <c r="C1620" s="100"/>
      <c r="D1620" s="100"/>
      <c r="E1620" s="100"/>
      <c r="F1620" s="100"/>
      <c r="G1620" s="100"/>
      <c r="H1620" s="100"/>
    </row>
    <row r="1621" spans="3:8">
      <c r="C1621" s="100"/>
      <c r="D1621" s="100"/>
      <c r="E1621" s="100"/>
      <c r="F1621" s="100"/>
      <c r="G1621" s="100"/>
      <c r="H1621" s="100"/>
    </row>
    <row r="1622" spans="3:8">
      <c r="C1622" s="100"/>
      <c r="D1622" s="100"/>
      <c r="E1622" s="100"/>
      <c r="F1622" s="100"/>
      <c r="G1622" s="100"/>
      <c r="H1622" s="100"/>
    </row>
    <row r="1623" spans="3:8">
      <c r="C1623" s="100"/>
      <c r="D1623" s="100"/>
      <c r="E1623" s="100"/>
      <c r="F1623" s="100"/>
      <c r="G1623" s="100"/>
      <c r="H1623" s="100"/>
    </row>
    <row r="1624" spans="3:8">
      <c r="C1624" s="100"/>
      <c r="D1624" s="100"/>
      <c r="E1624" s="100"/>
      <c r="F1624" s="100"/>
      <c r="G1624" s="100"/>
      <c r="H1624" s="100"/>
    </row>
    <row r="1625" spans="3:8">
      <c r="C1625" s="100"/>
      <c r="D1625" s="100"/>
      <c r="E1625" s="100"/>
      <c r="F1625" s="100"/>
      <c r="G1625" s="100"/>
      <c r="H1625" s="100"/>
    </row>
    <row r="1626" spans="3:8">
      <c r="C1626" s="100"/>
      <c r="D1626" s="100"/>
      <c r="E1626" s="100"/>
      <c r="F1626" s="100"/>
      <c r="G1626" s="100"/>
      <c r="H1626" s="100"/>
    </row>
    <row r="1627" spans="3:8">
      <c r="C1627" s="100"/>
      <c r="D1627" s="100"/>
      <c r="E1627" s="100"/>
      <c r="F1627" s="100"/>
      <c r="G1627" s="100"/>
      <c r="H1627" s="100"/>
    </row>
    <row r="1628" spans="3:8">
      <c r="C1628" s="100"/>
      <c r="D1628" s="100"/>
      <c r="E1628" s="100"/>
      <c r="F1628" s="100"/>
      <c r="G1628" s="100"/>
      <c r="H1628" s="100"/>
    </row>
    <row r="1629" spans="3:8">
      <c r="C1629" s="100"/>
      <c r="D1629" s="100"/>
      <c r="E1629" s="100"/>
      <c r="F1629" s="100"/>
      <c r="G1629" s="100"/>
      <c r="H1629" s="100"/>
    </row>
    <row r="1630" spans="3:8">
      <c r="C1630" s="100"/>
      <c r="D1630" s="100"/>
      <c r="E1630" s="100"/>
      <c r="F1630" s="100"/>
      <c r="G1630" s="100"/>
      <c r="H1630" s="100"/>
    </row>
    <row r="1631" spans="3:8">
      <c r="C1631" s="100"/>
      <c r="D1631" s="100"/>
      <c r="E1631" s="100"/>
      <c r="F1631" s="100"/>
      <c r="G1631" s="100"/>
      <c r="H1631" s="100"/>
    </row>
    <row r="1632" spans="3:8">
      <c r="C1632" s="100"/>
      <c r="D1632" s="100"/>
      <c r="E1632" s="100"/>
      <c r="F1632" s="100"/>
      <c r="G1632" s="100"/>
      <c r="H1632" s="100"/>
    </row>
    <row r="1633" spans="3:8">
      <c r="C1633" s="100"/>
      <c r="D1633" s="100"/>
      <c r="E1633" s="100"/>
      <c r="F1633" s="100"/>
      <c r="G1633" s="100"/>
      <c r="H1633" s="100"/>
    </row>
    <row r="1634" spans="3:8">
      <c r="C1634" s="100"/>
      <c r="D1634" s="100"/>
      <c r="E1634" s="100"/>
      <c r="F1634" s="100"/>
      <c r="G1634" s="100"/>
      <c r="H1634" s="100"/>
    </row>
    <row r="1635" spans="3:8">
      <c r="C1635" s="100"/>
      <c r="D1635" s="100"/>
      <c r="E1635" s="100"/>
      <c r="F1635" s="100"/>
      <c r="G1635" s="100"/>
      <c r="H1635" s="100"/>
    </row>
    <row r="1636" spans="3:8">
      <c r="C1636" s="100"/>
      <c r="D1636" s="100"/>
      <c r="E1636" s="100"/>
      <c r="F1636" s="100"/>
      <c r="G1636" s="100"/>
      <c r="H1636" s="100"/>
    </row>
    <row r="1637" spans="3:8">
      <c r="C1637" s="100"/>
      <c r="D1637" s="100"/>
      <c r="E1637" s="100"/>
      <c r="F1637" s="100"/>
      <c r="G1637" s="100"/>
      <c r="H1637" s="100"/>
    </row>
    <row r="1638" spans="3:8">
      <c r="C1638" s="100"/>
      <c r="D1638" s="100"/>
      <c r="E1638" s="100"/>
      <c r="F1638" s="100"/>
      <c r="G1638" s="100"/>
      <c r="H1638" s="100"/>
    </row>
    <row r="1639" spans="3:8">
      <c r="C1639" s="100"/>
      <c r="D1639" s="100"/>
      <c r="E1639" s="100"/>
      <c r="F1639" s="100"/>
      <c r="G1639" s="100"/>
      <c r="H1639" s="100"/>
    </row>
    <row r="1640" spans="3:8">
      <c r="C1640" s="100"/>
      <c r="D1640" s="100"/>
      <c r="E1640" s="100"/>
      <c r="F1640" s="100"/>
      <c r="G1640" s="100"/>
      <c r="H1640" s="100"/>
    </row>
    <row r="1641" spans="3:8">
      <c r="C1641" s="100"/>
      <c r="D1641" s="100"/>
      <c r="E1641" s="100"/>
      <c r="F1641" s="100"/>
      <c r="G1641" s="100"/>
      <c r="H1641" s="100"/>
    </row>
    <row r="1642" spans="3:8">
      <c r="C1642" s="100"/>
      <c r="D1642" s="100"/>
      <c r="E1642" s="100"/>
      <c r="F1642" s="100"/>
      <c r="G1642" s="100"/>
      <c r="H1642" s="100"/>
    </row>
    <row r="1643" spans="3:8">
      <c r="C1643" s="100"/>
      <c r="D1643" s="100"/>
      <c r="E1643" s="100"/>
      <c r="F1643" s="100"/>
      <c r="G1643" s="100"/>
      <c r="H1643" s="100"/>
    </row>
    <row r="1644" spans="3:8">
      <c r="C1644" s="100"/>
      <c r="D1644" s="100"/>
      <c r="E1644" s="100"/>
      <c r="F1644" s="100"/>
      <c r="G1644" s="100"/>
      <c r="H1644" s="100"/>
    </row>
    <row r="1645" spans="3:8">
      <c r="C1645" s="100"/>
      <c r="D1645" s="100"/>
      <c r="E1645" s="100"/>
      <c r="F1645" s="100"/>
      <c r="G1645" s="100"/>
      <c r="H1645" s="100"/>
    </row>
    <row r="1646" spans="3:8">
      <c r="C1646" s="100"/>
      <c r="D1646" s="100"/>
      <c r="E1646" s="100"/>
      <c r="F1646" s="100"/>
      <c r="G1646" s="100"/>
      <c r="H1646" s="100"/>
    </row>
    <row r="1647" spans="3:8">
      <c r="C1647" s="100"/>
      <c r="D1647" s="100"/>
      <c r="E1647" s="100"/>
      <c r="F1647" s="100"/>
      <c r="G1647" s="100"/>
      <c r="H1647" s="100"/>
    </row>
    <row r="1648" spans="3:8">
      <c r="C1648" s="100"/>
      <c r="D1648" s="100"/>
      <c r="E1648" s="100"/>
      <c r="F1648" s="100"/>
      <c r="G1648" s="100"/>
      <c r="H1648" s="100"/>
    </row>
    <row r="1649" spans="3:8">
      <c r="C1649" s="100"/>
      <c r="D1649" s="100"/>
      <c r="E1649" s="100"/>
      <c r="F1649" s="100"/>
      <c r="G1649" s="100"/>
      <c r="H1649" s="100"/>
    </row>
    <row r="1650" spans="3:8">
      <c r="C1650" s="100"/>
      <c r="D1650" s="100"/>
      <c r="E1650" s="100"/>
      <c r="F1650" s="100"/>
      <c r="G1650" s="100"/>
      <c r="H1650" s="100"/>
    </row>
    <row r="1651" spans="3:8">
      <c r="C1651" s="100"/>
      <c r="D1651" s="100"/>
      <c r="E1651" s="100"/>
      <c r="F1651" s="100"/>
      <c r="G1651" s="100"/>
      <c r="H1651" s="100"/>
    </row>
    <row r="1652" spans="3:8">
      <c r="C1652" s="100"/>
      <c r="D1652" s="100"/>
      <c r="E1652" s="100"/>
      <c r="F1652" s="100"/>
      <c r="G1652" s="100"/>
      <c r="H1652" s="100"/>
    </row>
    <row r="1653" spans="3:8">
      <c r="C1653" s="100"/>
      <c r="D1653" s="100"/>
      <c r="E1653" s="100"/>
      <c r="F1653" s="100"/>
      <c r="G1653" s="100"/>
      <c r="H1653" s="100"/>
    </row>
    <row r="1654" spans="3:8">
      <c r="C1654" s="100"/>
      <c r="D1654" s="100"/>
      <c r="E1654" s="100"/>
      <c r="F1654" s="100"/>
      <c r="G1654" s="100"/>
      <c r="H1654" s="100"/>
    </row>
    <row r="1655" spans="3:8">
      <c r="C1655" s="100"/>
      <c r="D1655" s="100"/>
      <c r="E1655" s="100"/>
      <c r="F1655" s="100"/>
      <c r="G1655" s="100"/>
      <c r="H1655" s="100"/>
    </row>
    <row r="1656" spans="3:8">
      <c r="C1656" s="100"/>
      <c r="D1656" s="100"/>
      <c r="E1656" s="100"/>
      <c r="F1656" s="100"/>
      <c r="G1656" s="100"/>
      <c r="H1656" s="100"/>
    </row>
    <row r="1657" spans="3:8">
      <c r="C1657" s="100"/>
      <c r="D1657" s="100"/>
      <c r="E1657" s="100"/>
      <c r="F1657" s="100"/>
      <c r="G1657" s="100"/>
      <c r="H1657" s="100"/>
    </row>
    <row r="1658" spans="3:8">
      <c r="C1658" s="100"/>
      <c r="D1658" s="100"/>
      <c r="E1658" s="100"/>
      <c r="F1658" s="100"/>
      <c r="G1658" s="100"/>
      <c r="H1658" s="100"/>
    </row>
    <row r="1659" spans="3:8">
      <c r="C1659" s="100"/>
      <c r="D1659" s="100"/>
      <c r="E1659" s="100"/>
      <c r="F1659" s="100"/>
      <c r="G1659" s="100"/>
      <c r="H1659" s="100"/>
    </row>
    <row r="1660" spans="3:8">
      <c r="C1660" s="100"/>
      <c r="D1660" s="100"/>
      <c r="E1660" s="100"/>
      <c r="F1660" s="100"/>
      <c r="G1660" s="100"/>
      <c r="H1660" s="100"/>
    </row>
    <row r="1661" spans="3:8">
      <c r="C1661" s="100"/>
      <c r="D1661" s="100"/>
      <c r="E1661" s="100"/>
      <c r="F1661" s="100"/>
      <c r="G1661" s="100"/>
      <c r="H1661" s="100"/>
    </row>
    <row r="1662" spans="3:8">
      <c r="C1662" s="100"/>
      <c r="D1662" s="100"/>
      <c r="E1662" s="100"/>
      <c r="F1662" s="100"/>
      <c r="G1662" s="100"/>
      <c r="H1662" s="100"/>
    </row>
    <row r="1663" spans="3:8">
      <c r="C1663" s="100"/>
      <c r="D1663" s="100"/>
      <c r="E1663" s="100"/>
      <c r="F1663" s="100"/>
      <c r="G1663" s="100"/>
      <c r="H1663" s="100"/>
    </row>
    <row r="1664" spans="3:8">
      <c r="C1664" s="100"/>
      <c r="D1664" s="100"/>
      <c r="E1664" s="100"/>
      <c r="F1664" s="100"/>
      <c r="G1664" s="100"/>
      <c r="H1664" s="100"/>
    </row>
    <row r="1665" spans="3:8">
      <c r="C1665" s="100"/>
      <c r="D1665" s="100"/>
      <c r="E1665" s="100"/>
      <c r="F1665" s="100"/>
      <c r="G1665" s="100"/>
      <c r="H1665" s="100"/>
    </row>
    <row r="1666" spans="3:8">
      <c r="C1666" s="100"/>
      <c r="D1666" s="100"/>
      <c r="E1666" s="100"/>
      <c r="F1666" s="100"/>
      <c r="G1666" s="100"/>
      <c r="H1666" s="100"/>
    </row>
    <row r="1667" spans="3:8">
      <c r="C1667" s="100"/>
      <c r="D1667" s="100"/>
      <c r="E1667" s="100"/>
      <c r="F1667" s="100"/>
      <c r="G1667" s="100"/>
      <c r="H1667" s="100"/>
    </row>
    <row r="1668" spans="3:8">
      <c r="C1668" s="100"/>
      <c r="D1668" s="100"/>
      <c r="E1668" s="100"/>
      <c r="F1668" s="100"/>
      <c r="G1668" s="100"/>
      <c r="H1668" s="100"/>
    </row>
    <row r="1669" spans="3:8">
      <c r="C1669" s="100"/>
      <c r="D1669" s="100"/>
      <c r="E1669" s="100"/>
      <c r="F1669" s="100"/>
      <c r="G1669" s="100"/>
      <c r="H1669" s="100"/>
    </row>
    <row r="1670" spans="3:8">
      <c r="C1670" s="100"/>
      <c r="D1670" s="100"/>
      <c r="E1670" s="100"/>
      <c r="F1670" s="100"/>
      <c r="G1670" s="100"/>
      <c r="H1670" s="100"/>
    </row>
    <row r="1671" spans="3:8">
      <c r="C1671" s="100"/>
      <c r="D1671" s="100"/>
      <c r="E1671" s="100"/>
      <c r="F1671" s="100"/>
      <c r="G1671" s="100"/>
      <c r="H1671" s="100"/>
    </row>
    <row r="1672" spans="3:8">
      <c r="C1672" s="100"/>
      <c r="D1672" s="100"/>
      <c r="E1672" s="100"/>
      <c r="F1672" s="100"/>
      <c r="G1672" s="100"/>
      <c r="H1672" s="100"/>
    </row>
    <row r="1673" spans="3:8">
      <c r="C1673" s="100"/>
      <c r="D1673" s="100"/>
      <c r="E1673" s="100"/>
      <c r="F1673" s="100"/>
      <c r="G1673" s="100"/>
      <c r="H1673" s="100"/>
    </row>
    <row r="1674" spans="3:8">
      <c r="C1674" s="100"/>
      <c r="D1674" s="100"/>
      <c r="E1674" s="100"/>
      <c r="F1674" s="100"/>
      <c r="G1674" s="100"/>
      <c r="H1674" s="100"/>
    </row>
    <row r="1675" spans="3:8">
      <c r="C1675" s="100"/>
      <c r="D1675" s="100"/>
      <c r="E1675" s="100"/>
      <c r="F1675" s="100"/>
      <c r="G1675" s="100"/>
      <c r="H1675" s="100"/>
    </row>
    <row r="1676" spans="3:8">
      <c r="C1676" s="100"/>
      <c r="D1676" s="100"/>
      <c r="E1676" s="100"/>
      <c r="F1676" s="100"/>
      <c r="G1676" s="100"/>
      <c r="H1676" s="100"/>
    </row>
    <row r="1677" spans="3:8">
      <c r="C1677" s="100"/>
      <c r="D1677" s="100"/>
      <c r="E1677" s="100"/>
      <c r="F1677" s="100"/>
      <c r="G1677" s="100"/>
      <c r="H1677" s="100"/>
    </row>
    <row r="1678" spans="3:8">
      <c r="C1678" s="100"/>
      <c r="D1678" s="100"/>
      <c r="E1678" s="100"/>
      <c r="F1678" s="100"/>
      <c r="G1678" s="100"/>
      <c r="H1678" s="100"/>
    </row>
    <row r="1679" spans="3:8">
      <c r="C1679" s="100"/>
      <c r="D1679" s="100"/>
      <c r="E1679" s="100"/>
      <c r="F1679" s="100"/>
      <c r="G1679" s="100"/>
      <c r="H1679" s="100"/>
    </row>
    <row r="1680" spans="3:8">
      <c r="C1680" s="100"/>
      <c r="D1680" s="100"/>
      <c r="E1680" s="100"/>
      <c r="F1680" s="100"/>
      <c r="G1680" s="100"/>
      <c r="H1680" s="100"/>
    </row>
    <row r="1681" spans="3:8">
      <c r="C1681" s="100"/>
      <c r="D1681" s="100"/>
      <c r="E1681" s="100"/>
      <c r="F1681" s="100"/>
      <c r="G1681" s="100"/>
      <c r="H1681" s="100"/>
    </row>
    <row r="1682" spans="3:8">
      <c r="C1682" s="100"/>
      <c r="D1682" s="100"/>
      <c r="E1682" s="100"/>
      <c r="F1682" s="100"/>
      <c r="G1682" s="100"/>
      <c r="H1682" s="100"/>
    </row>
    <row r="1683" spans="3:8">
      <c r="C1683" s="100"/>
      <c r="D1683" s="100"/>
      <c r="E1683" s="100"/>
      <c r="F1683" s="100"/>
      <c r="G1683" s="100"/>
      <c r="H1683" s="100"/>
    </row>
    <row r="1684" spans="3:8">
      <c r="C1684" s="100"/>
      <c r="D1684" s="100"/>
      <c r="E1684" s="100"/>
      <c r="F1684" s="100"/>
      <c r="G1684" s="100"/>
      <c r="H1684" s="100"/>
    </row>
    <row r="1685" spans="3:8">
      <c r="C1685" s="100"/>
      <c r="D1685" s="100"/>
      <c r="E1685" s="100"/>
      <c r="F1685" s="100"/>
      <c r="G1685" s="100"/>
      <c r="H1685" s="100"/>
    </row>
    <row r="1686" spans="3:8">
      <c r="C1686" s="100"/>
      <c r="D1686" s="100"/>
      <c r="E1686" s="100"/>
      <c r="F1686" s="100"/>
      <c r="G1686" s="100"/>
      <c r="H1686" s="100"/>
    </row>
    <row r="1687" spans="3:8">
      <c r="C1687" s="100"/>
      <c r="D1687" s="100"/>
      <c r="E1687" s="100"/>
      <c r="F1687" s="100"/>
      <c r="G1687" s="100"/>
      <c r="H1687" s="100"/>
    </row>
    <row r="1688" spans="3:8">
      <c r="C1688" s="100"/>
      <c r="D1688" s="100"/>
      <c r="E1688" s="100"/>
      <c r="F1688" s="100"/>
      <c r="G1688" s="100"/>
      <c r="H1688" s="100"/>
    </row>
    <row r="1689" spans="3:8">
      <c r="C1689" s="100"/>
      <c r="D1689" s="100"/>
      <c r="E1689" s="100"/>
      <c r="F1689" s="100"/>
      <c r="G1689" s="100"/>
      <c r="H1689" s="100"/>
    </row>
    <row r="1690" spans="3:8">
      <c r="C1690" s="100"/>
      <c r="D1690" s="100"/>
      <c r="E1690" s="100"/>
      <c r="F1690" s="100"/>
      <c r="G1690" s="100"/>
      <c r="H1690" s="100"/>
    </row>
    <row r="1691" spans="3:8">
      <c r="C1691" s="100"/>
      <c r="D1691" s="100"/>
      <c r="E1691" s="100"/>
      <c r="F1691" s="100"/>
      <c r="G1691" s="100"/>
      <c r="H1691" s="100"/>
    </row>
    <row r="1692" spans="3:8">
      <c r="C1692" s="100"/>
      <c r="D1692" s="100"/>
      <c r="E1692" s="100"/>
      <c r="F1692" s="100"/>
      <c r="G1692" s="100"/>
      <c r="H1692" s="100"/>
    </row>
    <row r="1693" spans="3:8">
      <c r="C1693" s="100"/>
      <c r="D1693" s="100"/>
      <c r="E1693" s="100"/>
      <c r="F1693" s="100"/>
      <c r="G1693" s="100"/>
      <c r="H1693" s="100"/>
    </row>
    <row r="1694" spans="3:8">
      <c r="C1694" s="100"/>
      <c r="D1694" s="100"/>
      <c r="E1694" s="100"/>
      <c r="F1694" s="100"/>
      <c r="G1694" s="100"/>
      <c r="H1694" s="100"/>
    </row>
    <row r="1695" spans="3:8">
      <c r="C1695" s="100"/>
      <c r="D1695" s="100"/>
      <c r="E1695" s="100"/>
      <c r="F1695" s="100"/>
      <c r="G1695" s="100"/>
      <c r="H1695" s="100"/>
    </row>
    <row r="1696" spans="3:8">
      <c r="C1696" s="100"/>
      <c r="D1696" s="100"/>
      <c r="E1696" s="100"/>
      <c r="F1696" s="100"/>
      <c r="G1696" s="100"/>
      <c r="H1696" s="100"/>
    </row>
    <row r="1697" spans="3:8">
      <c r="C1697" s="100"/>
      <c r="D1697" s="100"/>
      <c r="E1697" s="100"/>
      <c r="F1697" s="100"/>
      <c r="G1697" s="100"/>
      <c r="H1697" s="100"/>
    </row>
    <row r="1698" spans="3:8">
      <c r="C1698" s="100"/>
      <c r="D1698" s="100"/>
      <c r="E1698" s="100"/>
      <c r="F1698" s="100"/>
      <c r="G1698" s="100"/>
      <c r="H1698" s="100"/>
    </row>
    <row r="1699" spans="3:8">
      <c r="C1699" s="100"/>
      <c r="D1699" s="100"/>
      <c r="E1699" s="100"/>
      <c r="F1699" s="100"/>
      <c r="G1699" s="100"/>
      <c r="H1699" s="100"/>
    </row>
    <row r="1700" spans="3:8">
      <c r="C1700" s="100"/>
      <c r="D1700" s="100"/>
      <c r="E1700" s="100"/>
      <c r="F1700" s="100"/>
      <c r="G1700" s="100"/>
      <c r="H1700" s="100"/>
    </row>
    <row r="1701" spans="3:8">
      <c r="C1701" s="100"/>
      <c r="D1701" s="100"/>
      <c r="E1701" s="100"/>
      <c r="F1701" s="100"/>
      <c r="G1701" s="100"/>
      <c r="H1701" s="100"/>
    </row>
    <row r="1702" spans="3:8">
      <c r="C1702" s="100"/>
      <c r="D1702" s="100"/>
      <c r="E1702" s="100"/>
      <c r="F1702" s="100"/>
      <c r="G1702" s="100"/>
      <c r="H1702" s="100"/>
    </row>
    <row r="1703" spans="3:8">
      <c r="C1703" s="100"/>
      <c r="D1703" s="100"/>
      <c r="E1703" s="100"/>
      <c r="F1703" s="100"/>
      <c r="G1703" s="100"/>
      <c r="H1703" s="100"/>
    </row>
    <row r="1704" spans="3:8">
      <c r="C1704" s="100"/>
      <c r="D1704" s="100"/>
      <c r="E1704" s="100"/>
      <c r="F1704" s="100"/>
      <c r="G1704" s="100"/>
      <c r="H1704" s="100"/>
    </row>
    <row r="1705" spans="3:8">
      <c r="C1705" s="100"/>
      <c r="D1705" s="100"/>
      <c r="E1705" s="100"/>
      <c r="F1705" s="100"/>
      <c r="G1705" s="100"/>
      <c r="H1705" s="100"/>
    </row>
    <row r="1706" spans="3:8">
      <c r="C1706" s="100"/>
      <c r="D1706" s="100"/>
      <c r="E1706" s="100"/>
      <c r="F1706" s="100"/>
      <c r="G1706" s="100"/>
      <c r="H1706" s="100"/>
    </row>
    <row r="1707" spans="3:8">
      <c r="C1707" s="100"/>
      <c r="D1707" s="100"/>
      <c r="E1707" s="100"/>
      <c r="F1707" s="100"/>
      <c r="G1707" s="100"/>
      <c r="H1707" s="100"/>
    </row>
    <row r="1708" spans="3:8">
      <c r="C1708" s="100"/>
      <c r="D1708" s="100"/>
      <c r="E1708" s="100"/>
      <c r="F1708" s="100"/>
      <c r="G1708" s="100"/>
      <c r="H1708" s="100"/>
    </row>
    <row r="1709" spans="3:8">
      <c r="C1709" s="100"/>
      <c r="D1709" s="100"/>
      <c r="E1709" s="100"/>
      <c r="F1709" s="100"/>
      <c r="G1709" s="100"/>
      <c r="H1709" s="100"/>
    </row>
    <row r="1710" spans="3:8">
      <c r="C1710" s="100"/>
      <c r="D1710" s="100"/>
      <c r="E1710" s="100"/>
      <c r="F1710" s="100"/>
      <c r="G1710" s="100"/>
      <c r="H1710" s="100"/>
    </row>
    <row r="1711" spans="3:8">
      <c r="C1711" s="100"/>
      <c r="D1711" s="100"/>
      <c r="E1711" s="100"/>
      <c r="F1711" s="100"/>
      <c r="G1711" s="100"/>
      <c r="H1711" s="100"/>
    </row>
    <row r="1712" spans="3:8">
      <c r="C1712" s="100"/>
      <c r="D1712" s="100"/>
      <c r="E1712" s="100"/>
      <c r="F1712" s="100"/>
      <c r="G1712" s="100"/>
      <c r="H1712" s="100"/>
    </row>
    <row r="1713" spans="3:8">
      <c r="C1713" s="100"/>
      <c r="D1713" s="100"/>
      <c r="E1713" s="100"/>
      <c r="F1713" s="100"/>
      <c r="G1713" s="100"/>
      <c r="H1713" s="100"/>
    </row>
    <row r="1714" spans="3:8">
      <c r="C1714" s="100"/>
      <c r="D1714" s="100"/>
      <c r="E1714" s="100"/>
      <c r="F1714" s="100"/>
      <c r="G1714" s="100"/>
      <c r="H1714" s="100"/>
    </row>
    <row r="1715" spans="3:8">
      <c r="C1715" s="100"/>
      <c r="D1715" s="100"/>
      <c r="E1715" s="100"/>
      <c r="F1715" s="100"/>
      <c r="G1715" s="100"/>
      <c r="H1715" s="100"/>
    </row>
    <row r="1716" spans="3:8">
      <c r="C1716" s="100"/>
      <c r="D1716" s="100"/>
      <c r="E1716" s="100"/>
      <c r="F1716" s="100"/>
      <c r="G1716" s="100"/>
      <c r="H1716" s="100"/>
    </row>
    <row r="1717" spans="3:8">
      <c r="C1717" s="100"/>
      <c r="D1717" s="100"/>
      <c r="E1717" s="100"/>
      <c r="F1717" s="100"/>
      <c r="G1717" s="100"/>
      <c r="H1717" s="100"/>
    </row>
    <row r="1718" spans="3:8">
      <c r="C1718" s="100"/>
      <c r="D1718" s="100"/>
      <c r="E1718" s="100"/>
      <c r="F1718" s="100"/>
      <c r="G1718" s="100"/>
      <c r="H1718" s="100"/>
    </row>
    <row r="1719" spans="3:8">
      <c r="C1719" s="100"/>
      <c r="D1719" s="100"/>
      <c r="E1719" s="100"/>
      <c r="F1719" s="100"/>
      <c r="G1719" s="100"/>
      <c r="H1719" s="100"/>
    </row>
    <row r="1720" spans="3:8">
      <c r="C1720" s="100"/>
      <c r="D1720" s="100"/>
      <c r="E1720" s="100"/>
      <c r="F1720" s="100"/>
      <c r="G1720" s="100"/>
      <c r="H1720" s="100"/>
    </row>
    <row r="1721" spans="3:8">
      <c r="C1721" s="100"/>
      <c r="D1721" s="100"/>
      <c r="E1721" s="100"/>
      <c r="F1721" s="100"/>
      <c r="G1721" s="100"/>
      <c r="H1721" s="100"/>
    </row>
    <row r="1722" spans="3:8">
      <c r="C1722" s="100"/>
      <c r="D1722" s="100"/>
      <c r="E1722" s="100"/>
      <c r="F1722" s="100"/>
      <c r="G1722" s="100"/>
      <c r="H1722" s="100"/>
    </row>
    <row r="1723" spans="3:8">
      <c r="C1723" s="100"/>
      <c r="D1723" s="100"/>
      <c r="E1723" s="100"/>
      <c r="F1723" s="100"/>
      <c r="G1723" s="100"/>
      <c r="H1723" s="100"/>
    </row>
    <row r="1724" spans="3:8">
      <c r="C1724" s="100"/>
      <c r="D1724" s="100"/>
      <c r="E1724" s="100"/>
      <c r="F1724" s="100"/>
      <c r="G1724" s="100"/>
      <c r="H1724" s="100"/>
    </row>
    <row r="1725" spans="3:8">
      <c r="C1725" s="100"/>
      <c r="D1725" s="100"/>
      <c r="E1725" s="100"/>
      <c r="F1725" s="100"/>
      <c r="G1725" s="100"/>
      <c r="H1725" s="100"/>
    </row>
    <row r="1726" spans="3:8">
      <c r="C1726" s="100"/>
      <c r="D1726" s="100"/>
      <c r="E1726" s="100"/>
      <c r="F1726" s="100"/>
      <c r="G1726" s="100"/>
      <c r="H1726" s="100"/>
    </row>
    <row r="1727" spans="3:8">
      <c r="C1727" s="100"/>
      <c r="D1727" s="100"/>
      <c r="E1727" s="100"/>
      <c r="F1727" s="100"/>
      <c r="G1727" s="100"/>
      <c r="H1727" s="100"/>
    </row>
    <row r="1728" spans="3:8">
      <c r="C1728" s="100"/>
      <c r="D1728" s="100"/>
      <c r="E1728" s="100"/>
      <c r="F1728" s="100"/>
      <c r="G1728" s="100"/>
      <c r="H1728" s="100"/>
    </row>
    <row r="1729" spans="3:8">
      <c r="C1729" s="100"/>
      <c r="D1729" s="100"/>
      <c r="E1729" s="100"/>
      <c r="F1729" s="100"/>
      <c r="G1729" s="100"/>
      <c r="H1729" s="100"/>
    </row>
    <row r="1730" spans="3:8">
      <c r="C1730" s="100"/>
      <c r="D1730" s="100"/>
      <c r="E1730" s="100"/>
      <c r="F1730" s="100"/>
      <c r="G1730" s="100"/>
      <c r="H1730" s="100"/>
    </row>
    <row r="1731" spans="3:8">
      <c r="C1731" s="100"/>
      <c r="D1731" s="100"/>
      <c r="E1731" s="100"/>
      <c r="F1731" s="100"/>
      <c r="G1731" s="100"/>
      <c r="H1731" s="100"/>
    </row>
    <row r="1732" spans="3:8">
      <c r="C1732" s="100"/>
      <c r="D1732" s="100"/>
      <c r="E1732" s="100"/>
      <c r="F1732" s="100"/>
      <c r="G1732" s="100"/>
      <c r="H1732" s="100"/>
    </row>
    <row r="1733" spans="3:8">
      <c r="C1733" s="100"/>
      <c r="D1733" s="100"/>
      <c r="E1733" s="100"/>
      <c r="F1733" s="100"/>
      <c r="G1733" s="100"/>
      <c r="H1733" s="100"/>
    </row>
    <row r="1734" spans="3:8">
      <c r="C1734" s="100"/>
      <c r="D1734" s="100"/>
      <c r="E1734" s="100"/>
      <c r="F1734" s="100"/>
      <c r="G1734" s="100"/>
      <c r="H1734" s="100"/>
    </row>
    <row r="1735" spans="3:8">
      <c r="C1735" s="100"/>
      <c r="D1735" s="100"/>
      <c r="E1735" s="100"/>
      <c r="F1735" s="100"/>
      <c r="G1735" s="100"/>
      <c r="H1735" s="100"/>
    </row>
    <row r="1736" spans="3:8">
      <c r="C1736" s="100"/>
      <c r="D1736" s="100"/>
      <c r="E1736" s="100"/>
      <c r="F1736" s="100"/>
      <c r="G1736" s="100"/>
      <c r="H1736" s="100"/>
    </row>
    <row r="1737" spans="3:8">
      <c r="C1737" s="100"/>
      <c r="D1737" s="100"/>
      <c r="E1737" s="100"/>
      <c r="F1737" s="100"/>
      <c r="G1737" s="100"/>
      <c r="H1737" s="100"/>
    </row>
    <row r="1738" spans="3:8">
      <c r="C1738" s="100"/>
      <c r="D1738" s="100"/>
      <c r="E1738" s="100"/>
      <c r="F1738" s="100"/>
      <c r="G1738" s="100"/>
      <c r="H1738" s="100"/>
    </row>
    <row r="1739" spans="3:8">
      <c r="C1739" s="100"/>
      <c r="D1739" s="100"/>
      <c r="E1739" s="100"/>
      <c r="F1739" s="100"/>
      <c r="G1739" s="100"/>
      <c r="H1739" s="100"/>
    </row>
    <row r="1740" spans="3:8">
      <c r="C1740" s="100"/>
      <c r="D1740" s="100"/>
      <c r="E1740" s="100"/>
      <c r="F1740" s="100"/>
      <c r="G1740" s="100"/>
      <c r="H1740" s="100"/>
    </row>
    <row r="1741" spans="3:8">
      <c r="C1741" s="100"/>
      <c r="D1741" s="100"/>
      <c r="E1741" s="100"/>
      <c r="F1741" s="100"/>
      <c r="G1741" s="100"/>
      <c r="H1741" s="100"/>
    </row>
    <row r="1742" spans="3:8">
      <c r="C1742" s="100"/>
      <c r="D1742" s="100"/>
      <c r="E1742" s="100"/>
      <c r="F1742" s="100"/>
      <c r="G1742" s="100"/>
      <c r="H1742" s="100"/>
    </row>
    <row r="1743" spans="3:8">
      <c r="C1743" s="100"/>
      <c r="D1743" s="100"/>
      <c r="E1743" s="100"/>
      <c r="F1743" s="100"/>
      <c r="G1743" s="100"/>
      <c r="H1743" s="100"/>
    </row>
    <row r="1744" spans="3:8">
      <c r="C1744" s="100"/>
      <c r="D1744" s="100"/>
      <c r="E1744" s="100"/>
      <c r="F1744" s="100"/>
      <c r="G1744" s="100"/>
      <c r="H1744" s="100"/>
    </row>
    <row r="1745" spans="3:8">
      <c r="C1745" s="100"/>
      <c r="D1745" s="100"/>
      <c r="E1745" s="100"/>
      <c r="F1745" s="100"/>
      <c r="G1745" s="100"/>
      <c r="H1745" s="100"/>
    </row>
    <row r="1746" spans="3:8">
      <c r="C1746" s="100"/>
      <c r="D1746" s="100"/>
      <c r="E1746" s="100"/>
      <c r="F1746" s="100"/>
      <c r="G1746" s="100"/>
    </row>
    <row r="1747" spans="3:8">
      <c r="C1747" s="100"/>
      <c r="D1747" s="100"/>
    </row>
    <row r="1748" spans="3:8">
      <c r="C1748" s="100"/>
      <c r="D1748" s="100"/>
    </row>
    <row r="1749" spans="3:8">
      <c r="C1749" s="100"/>
      <c r="D1749" s="100"/>
    </row>
    <row r="1750" spans="3:8">
      <c r="C1750" s="100"/>
      <c r="D1750" s="100"/>
    </row>
    <row r="1751" spans="3:8">
      <c r="C1751" s="100"/>
      <c r="D1751" s="100"/>
    </row>
    <row r="1752" spans="3:8">
      <c r="C1752" s="100"/>
      <c r="D1752" s="100"/>
    </row>
    <row r="1753" spans="3:8">
      <c r="C1753" s="100"/>
      <c r="D1753" s="100"/>
    </row>
    <row r="1754" spans="3:8">
      <c r="C1754" s="100"/>
      <c r="D1754" s="100"/>
    </row>
    <row r="1755" spans="3:8">
      <c r="C1755" s="100"/>
      <c r="D1755" s="100"/>
    </row>
    <row r="1756" spans="3:8">
      <c r="C1756" s="100"/>
      <c r="D1756" s="100"/>
    </row>
    <row r="1757" spans="3:8">
      <c r="C1757" s="100"/>
      <c r="D1757" s="100"/>
    </row>
    <row r="1758" spans="3:8">
      <c r="C1758" s="100"/>
      <c r="D1758" s="100"/>
    </row>
    <row r="1759" spans="3:8">
      <c r="C1759" s="100"/>
      <c r="D1759" s="100"/>
    </row>
    <row r="1760" spans="3:8">
      <c r="C1760" s="100"/>
      <c r="D1760" s="100"/>
    </row>
    <row r="1761" spans="3:4">
      <c r="C1761" s="100"/>
      <c r="D1761" s="100"/>
    </row>
    <row r="1762" spans="3:4">
      <c r="C1762" s="100"/>
      <c r="D1762" s="100"/>
    </row>
    <row r="1763" spans="3:4">
      <c r="C1763" s="100"/>
      <c r="D1763" s="100"/>
    </row>
    <row r="1764" spans="3:4">
      <c r="C1764" s="100"/>
      <c r="D1764" s="100"/>
    </row>
    <row r="1765" spans="3:4">
      <c r="C1765" s="100"/>
      <c r="D1765" s="100"/>
    </row>
    <row r="1766" spans="3:4">
      <c r="C1766" s="100"/>
      <c r="D1766" s="100"/>
    </row>
    <row r="1767" spans="3:4">
      <c r="C1767" s="100"/>
      <c r="D1767" s="100"/>
    </row>
    <row r="1768" spans="3:4">
      <c r="C1768" s="100"/>
      <c r="D1768" s="100"/>
    </row>
    <row r="1769" spans="3:4">
      <c r="C1769" s="100"/>
      <c r="D1769" s="100"/>
    </row>
    <row r="1770" spans="3:4">
      <c r="C1770" s="100"/>
      <c r="D1770" s="100"/>
    </row>
    <row r="1771" spans="3:4">
      <c r="C1771" s="100"/>
      <c r="D1771" s="100"/>
    </row>
    <row r="1772" spans="3:4">
      <c r="C1772" s="100"/>
      <c r="D1772" s="100"/>
    </row>
    <row r="1773" spans="3:4">
      <c r="C1773" s="100"/>
      <c r="D1773" s="100"/>
    </row>
    <row r="1774" spans="3:4">
      <c r="C1774" s="100"/>
      <c r="D1774" s="100"/>
    </row>
    <row r="1775" spans="3:4">
      <c r="C1775" s="100"/>
      <c r="D1775" s="100"/>
    </row>
    <row r="1776" spans="3:4">
      <c r="C1776" s="100"/>
      <c r="D1776" s="100"/>
    </row>
    <row r="1777" spans="3:4">
      <c r="C1777" s="100"/>
      <c r="D1777" s="100"/>
    </row>
    <row r="1778" spans="3:4">
      <c r="C1778" s="100"/>
      <c r="D1778" s="100"/>
    </row>
    <row r="1779" spans="3:4">
      <c r="C1779" s="100"/>
      <c r="D1779" s="100"/>
    </row>
    <row r="1780" spans="3:4">
      <c r="C1780" s="100"/>
      <c r="D1780" s="100"/>
    </row>
    <row r="1781" spans="3:4">
      <c r="C1781" s="100"/>
      <c r="D1781" s="100"/>
    </row>
    <row r="1782" spans="3:4">
      <c r="C1782" s="100"/>
      <c r="D1782" s="100"/>
    </row>
    <row r="1783" spans="3:4">
      <c r="C1783" s="100"/>
      <c r="D1783" s="100"/>
    </row>
    <row r="1784" spans="3:4">
      <c r="C1784" s="100"/>
      <c r="D1784" s="100"/>
    </row>
    <row r="1785" spans="3:4">
      <c r="C1785" s="100"/>
      <c r="D1785" s="100"/>
    </row>
    <row r="1786" spans="3:4">
      <c r="C1786" s="100"/>
      <c r="D1786" s="100"/>
    </row>
    <row r="1787" spans="3:4">
      <c r="C1787" s="100"/>
      <c r="D1787" s="100"/>
    </row>
    <row r="1788" spans="3:4">
      <c r="C1788" s="100"/>
      <c r="D1788" s="100"/>
    </row>
    <row r="1789" spans="3:4">
      <c r="C1789" s="100"/>
      <c r="D1789" s="100"/>
    </row>
    <row r="1790" spans="3:4">
      <c r="C1790" s="100"/>
      <c r="D1790" s="100"/>
    </row>
    <row r="1791" spans="3:4">
      <c r="C1791" s="100"/>
      <c r="D1791" s="100"/>
    </row>
    <row r="1792" spans="3:4">
      <c r="C1792" s="100"/>
      <c r="D1792" s="100"/>
    </row>
    <row r="1793" spans="3:4">
      <c r="C1793" s="100"/>
      <c r="D1793" s="100"/>
    </row>
    <row r="1794" spans="3:4">
      <c r="C1794" s="100"/>
      <c r="D1794" s="100"/>
    </row>
    <row r="1795" spans="3:4">
      <c r="C1795" s="100"/>
      <c r="D1795" s="100"/>
    </row>
    <row r="1796" spans="3:4">
      <c r="C1796" s="100"/>
      <c r="D1796" s="100"/>
    </row>
    <row r="1797" spans="3:4">
      <c r="C1797" s="100"/>
      <c r="D1797" s="100"/>
    </row>
    <row r="1798" spans="3:4">
      <c r="C1798" s="100"/>
      <c r="D1798" s="100"/>
    </row>
    <row r="1799" spans="3:4">
      <c r="C1799" s="100"/>
      <c r="D1799" s="100"/>
    </row>
    <row r="1800" spans="3:4">
      <c r="C1800" s="100"/>
      <c r="D1800" s="100"/>
    </row>
    <row r="1801" spans="3:4">
      <c r="C1801" s="100"/>
      <c r="D1801" s="100"/>
    </row>
    <row r="1802" spans="3:4">
      <c r="C1802" s="100"/>
      <c r="D1802" s="100"/>
    </row>
    <row r="1803" spans="3:4">
      <c r="C1803" s="100"/>
      <c r="D1803" s="100"/>
    </row>
    <row r="1804" spans="3:4">
      <c r="C1804" s="100"/>
      <c r="D1804" s="100"/>
    </row>
    <row r="1805" spans="3:4">
      <c r="C1805" s="100"/>
      <c r="D1805" s="100"/>
    </row>
    <row r="1806" spans="3:4">
      <c r="C1806" s="100"/>
      <c r="D1806" s="100"/>
    </row>
    <row r="1807" spans="3:4">
      <c r="C1807" s="100"/>
      <c r="D1807" s="100"/>
    </row>
    <row r="1808" spans="3:4">
      <c r="C1808" s="100"/>
      <c r="D1808" s="100"/>
    </row>
    <row r="1809" spans="3:4">
      <c r="C1809" s="100"/>
      <c r="D1809" s="100"/>
    </row>
    <row r="1810" spans="3:4">
      <c r="C1810" s="100"/>
      <c r="D1810" s="100"/>
    </row>
    <row r="1811" spans="3:4">
      <c r="C1811" s="100"/>
      <c r="D1811" s="100"/>
    </row>
    <row r="1812" spans="3:4">
      <c r="C1812" s="100"/>
      <c r="D1812" s="100"/>
    </row>
    <row r="1813" spans="3:4">
      <c r="C1813" s="100"/>
      <c r="D1813" s="100"/>
    </row>
    <row r="1814" spans="3:4">
      <c r="C1814" s="100"/>
      <c r="D1814" s="100"/>
    </row>
    <row r="1815" spans="3:4">
      <c r="C1815" s="100"/>
      <c r="D1815" s="100"/>
    </row>
    <row r="1816" spans="3:4">
      <c r="C1816" s="100"/>
      <c r="D1816" s="100"/>
    </row>
    <row r="1817" spans="3:4">
      <c r="C1817" s="100"/>
      <c r="D1817" s="100"/>
    </row>
    <row r="1818" spans="3:4">
      <c r="C1818" s="100"/>
      <c r="D1818" s="100"/>
    </row>
    <row r="1819" spans="3:4">
      <c r="C1819" s="100"/>
      <c r="D1819" s="100"/>
    </row>
    <row r="1820" spans="3:4">
      <c r="C1820" s="100"/>
      <c r="D1820" s="100"/>
    </row>
    <row r="1821" spans="3:4">
      <c r="C1821" s="100"/>
      <c r="D1821" s="100"/>
    </row>
    <row r="1822" spans="3:4">
      <c r="C1822" s="100"/>
      <c r="D1822" s="100"/>
    </row>
    <row r="1823" spans="3:4">
      <c r="C1823" s="100"/>
      <c r="D1823" s="100"/>
    </row>
    <row r="1824" spans="3:4">
      <c r="C1824" s="100"/>
      <c r="D1824" s="100"/>
    </row>
    <row r="1825" spans="3:4">
      <c r="C1825" s="100"/>
      <c r="D1825" s="100"/>
    </row>
    <row r="1826" spans="3:4">
      <c r="C1826" s="100"/>
      <c r="D1826" s="100"/>
    </row>
    <row r="1827" spans="3:4">
      <c r="C1827" s="100"/>
      <c r="D1827" s="100"/>
    </row>
    <row r="1828" spans="3:4">
      <c r="C1828" s="100"/>
      <c r="D1828" s="100"/>
    </row>
    <row r="1829" spans="3:4">
      <c r="C1829" s="100"/>
      <c r="D1829" s="100"/>
    </row>
    <row r="1830" spans="3:4">
      <c r="C1830" s="100"/>
      <c r="D1830" s="100"/>
    </row>
    <row r="1831" spans="3:4">
      <c r="C1831" s="100"/>
      <c r="D1831" s="100"/>
    </row>
    <row r="1832" spans="3:4">
      <c r="C1832" s="100"/>
      <c r="D1832" s="100"/>
    </row>
    <row r="1833" spans="3:4">
      <c r="C1833" s="100"/>
      <c r="D1833" s="100"/>
    </row>
    <row r="1834" spans="3:4">
      <c r="C1834" s="100"/>
      <c r="D1834" s="100"/>
    </row>
    <row r="1835" spans="3:4">
      <c r="C1835" s="100"/>
      <c r="D1835" s="100"/>
    </row>
    <row r="1836" spans="3:4">
      <c r="C1836" s="100"/>
      <c r="D1836" s="100"/>
    </row>
    <row r="1837" spans="3:4">
      <c r="C1837" s="100"/>
      <c r="D1837" s="100"/>
    </row>
    <row r="1838" spans="3:4">
      <c r="C1838" s="100"/>
      <c r="D1838" s="100"/>
    </row>
    <row r="1839" spans="3:4">
      <c r="C1839" s="100"/>
      <c r="D1839" s="100"/>
    </row>
    <row r="1840" spans="3:4">
      <c r="C1840" s="100"/>
      <c r="D1840" s="100"/>
    </row>
    <row r="1841" spans="3:4">
      <c r="C1841" s="100"/>
      <c r="D1841" s="100"/>
    </row>
    <row r="1842" spans="3:4">
      <c r="C1842" s="100"/>
      <c r="D1842" s="100"/>
    </row>
    <row r="1843" spans="3:4">
      <c r="C1843" s="100"/>
      <c r="D1843" s="100"/>
    </row>
    <row r="1844" spans="3:4">
      <c r="C1844" s="100"/>
      <c r="D1844" s="100"/>
    </row>
    <row r="1845" spans="3:4">
      <c r="C1845" s="100"/>
      <c r="D1845" s="100"/>
    </row>
    <row r="1846" spans="3:4">
      <c r="C1846" s="100"/>
      <c r="D1846" s="100"/>
    </row>
    <row r="1847" spans="3:4">
      <c r="C1847" s="100"/>
      <c r="D1847" s="100"/>
    </row>
    <row r="1848" spans="3:4">
      <c r="C1848" s="100"/>
      <c r="D1848" s="100"/>
    </row>
    <row r="1849" spans="3:4">
      <c r="C1849" s="100"/>
      <c r="D1849" s="100"/>
    </row>
    <row r="1850" spans="3:4">
      <c r="C1850" s="100"/>
      <c r="D1850" s="100"/>
    </row>
    <row r="1851" spans="3:4">
      <c r="C1851" s="100"/>
      <c r="D1851" s="100"/>
    </row>
    <row r="1852" spans="3:4">
      <c r="C1852" s="100"/>
      <c r="D1852" s="100"/>
    </row>
    <row r="1853" spans="3:4">
      <c r="C1853" s="100"/>
      <c r="D1853" s="100"/>
    </row>
    <row r="1854" spans="3:4">
      <c r="C1854" s="100"/>
      <c r="D1854" s="100"/>
    </row>
    <row r="1855" spans="3:4">
      <c r="C1855" s="100"/>
      <c r="D1855" s="100"/>
    </row>
    <row r="1856" spans="3:4">
      <c r="C1856" s="100"/>
      <c r="D1856" s="100"/>
    </row>
    <row r="1857" spans="3:4">
      <c r="C1857" s="100"/>
      <c r="D1857" s="100"/>
    </row>
    <row r="1858" spans="3:4">
      <c r="C1858" s="100"/>
      <c r="D1858" s="100"/>
    </row>
    <row r="1859" spans="3:4">
      <c r="C1859" s="100"/>
      <c r="D1859" s="100"/>
    </row>
    <row r="1860" spans="3:4">
      <c r="C1860" s="100"/>
      <c r="D1860" s="100"/>
    </row>
    <row r="1861" spans="3:4">
      <c r="C1861" s="100"/>
      <c r="D1861" s="100"/>
    </row>
    <row r="1862" spans="3:4">
      <c r="C1862" s="100"/>
      <c r="D1862" s="100"/>
    </row>
    <row r="1863" spans="3:4">
      <c r="C1863" s="100"/>
      <c r="D1863" s="100"/>
    </row>
    <row r="1864" spans="3:4">
      <c r="C1864" s="100"/>
      <c r="D1864" s="100"/>
    </row>
    <row r="1865" spans="3:4">
      <c r="C1865" s="100"/>
      <c r="D1865" s="100"/>
    </row>
    <row r="1866" spans="3:4">
      <c r="C1866" s="100"/>
      <c r="D1866" s="100"/>
    </row>
    <row r="1867" spans="3:4">
      <c r="C1867" s="100"/>
      <c r="D1867" s="100"/>
    </row>
    <row r="1868" spans="3:4">
      <c r="C1868" s="100"/>
      <c r="D1868" s="100"/>
    </row>
    <row r="1869" spans="3:4">
      <c r="C1869" s="100"/>
      <c r="D1869" s="100"/>
    </row>
    <row r="1870" spans="3:4">
      <c r="C1870" s="100"/>
      <c r="D1870" s="100"/>
    </row>
    <row r="1871" spans="3:4">
      <c r="C1871" s="100"/>
      <c r="D1871" s="100"/>
    </row>
    <row r="1872" spans="3:4">
      <c r="C1872" s="100"/>
      <c r="D1872" s="100"/>
    </row>
    <row r="1873" spans="3:4">
      <c r="C1873" s="100"/>
      <c r="D1873" s="100"/>
    </row>
    <row r="1874" spans="3:4">
      <c r="C1874" s="100"/>
      <c r="D1874" s="100"/>
    </row>
    <row r="1875" spans="3:4">
      <c r="C1875" s="100"/>
      <c r="D1875" s="100"/>
    </row>
    <row r="1876" spans="3:4">
      <c r="C1876" s="100"/>
      <c r="D1876" s="100"/>
    </row>
    <row r="1877" spans="3:4">
      <c r="C1877" s="100"/>
      <c r="D1877" s="100"/>
    </row>
    <row r="1878" spans="3:4">
      <c r="C1878" s="100"/>
      <c r="D1878" s="100"/>
    </row>
    <row r="1879" spans="3:4">
      <c r="C1879" s="100"/>
      <c r="D1879" s="100"/>
    </row>
    <row r="1880" spans="3:4">
      <c r="C1880" s="100"/>
      <c r="D1880" s="100"/>
    </row>
    <row r="1881" spans="3:4">
      <c r="C1881" s="100"/>
      <c r="D1881" s="100"/>
    </row>
    <row r="1882" spans="3:4">
      <c r="C1882" s="100"/>
      <c r="D1882" s="100"/>
    </row>
    <row r="1883" spans="3:4">
      <c r="C1883" s="100"/>
      <c r="D1883" s="100"/>
    </row>
    <row r="1884" spans="3:4">
      <c r="C1884" s="100"/>
      <c r="D1884" s="100"/>
    </row>
    <row r="1885" spans="3:4">
      <c r="C1885" s="100"/>
      <c r="D1885" s="100"/>
    </row>
    <row r="1886" spans="3:4">
      <c r="C1886" s="100"/>
      <c r="D1886" s="100"/>
    </row>
    <row r="1887" spans="3:4">
      <c r="C1887" s="100"/>
      <c r="D1887" s="100"/>
    </row>
    <row r="1888" spans="3:4">
      <c r="C1888" s="100"/>
      <c r="D1888" s="100"/>
    </row>
    <row r="1889" spans="3:4">
      <c r="C1889" s="100"/>
      <c r="D1889" s="100"/>
    </row>
    <row r="1890" spans="3:4">
      <c r="C1890" s="100"/>
      <c r="D1890" s="100"/>
    </row>
    <row r="1891" spans="3:4">
      <c r="C1891" s="100"/>
      <c r="D1891" s="100"/>
    </row>
    <row r="1892" spans="3:4">
      <c r="C1892" s="100"/>
      <c r="D1892" s="100"/>
    </row>
    <row r="1893" spans="3:4">
      <c r="C1893" s="100"/>
      <c r="D1893" s="100"/>
    </row>
    <row r="1894" spans="3:4">
      <c r="C1894" s="100"/>
      <c r="D1894" s="100"/>
    </row>
    <row r="1895" spans="3:4">
      <c r="C1895" s="100"/>
      <c r="D1895" s="100"/>
    </row>
    <row r="1896" spans="3:4">
      <c r="C1896" s="100"/>
      <c r="D1896" s="100"/>
    </row>
    <row r="1897" spans="3:4">
      <c r="C1897" s="100"/>
      <c r="D1897" s="100"/>
    </row>
    <row r="1898" spans="3:4">
      <c r="C1898" s="100"/>
      <c r="D1898" s="100"/>
    </row>
    <row r="1899" spans="3:4">
      <c r="C1899" s="100"/>
      <c r="D1899" s="100"/>
    </row>
    <row r="1900" spans="3:4">
      <c r="C1900" s="100"/>
      <c r="D1900" s="100"/>
    </row>
    <row r="1901" spans="3:4">
      <c r="C1901" s="100"/>
      <c r="D1901" s="100"/>
    </row>
    <row r="1902" spans="3:4">
      <c r="C1902" s="100"/>
      <c r="D1902" s="100"/>
    </row>
    <row r="1903" spans="3:4">
      <c r="C1903" s="100"/>
      <c r="D1903" s="100"/>
    </row>
    <row r="1904" spans="3:4">
      <c r="C1904" s="100"/>
      <c r="D1904" s="100"/>
    </row>
    <row r="1905" spans="3:4">
      <c r="C1905" s="100"/>
      <c r="D1905" s="100"/>
    </row>
    <row r="1906" spans="3:4">
      <c r="C1906" s="100"/>
      <c r="D1906" s="100"/>
    </row>
    <row r="1907" spans="3:4">
      <c r="C1907" s="100"/>
      <c r="D1907" s="100"/>
    </row>
    <row r="1908" spans="3:4">
      <c r="C1908" s="100"/>
      <c r="D1908" s="100"/>
    </row>
    <row r="1909" spans="3:4">
      <c r="C1909" s="100"/>
      <c r="D1909" s="100"/>
    </row>
    <row r="1910" spans="3:4">
      <c r="C1910" s="100"/>
      <c r="D1910" s="100"/>
    </row>
    <row r="1911" spans="3:4">
      <c r="C1911" s="100"/>
      <c r="D1911" s="100"/>
    </row>
    <row r="1912" spans="3:4">
      <c r="C1912" s="100"/>
      <c r="D1912" s="100"/>
    </row>
    <row r="1913" spans="3:4">
      <c r="C1913" s="100"/>
      <c r="D1913" s="100"/>
    </row>
    <row r="1914" spans="3:4">
      <c r="C1914" s="100"/>
      <c r="D1914" s="100"/>
    </row>
    <row r="1915" spans="3:4">
      <c r="C1915" s="100"/>
      <c r="D1915" s="100"/>
    </row>
    <row r="1916" spans="3:4">
      <c r="C1916" s="100"/>
      <c r="D1916" s="100"/>
    </row>
    <row r="1917" spans="3:4">
      <c r="C1917" s="100"/>
      <c r="D1917" s="100"/>
    </row>
    <row r="1918" spans="3:4">
      <c r="C1918" s="100"/>
      <c r="D1918" s="100"/>
    </row>
    <row r="1919" spans="3:4">
      <c r="C1919" s="100"/>
      <c r="D1919" s="100"/>
    </row>
    <row r="1920" spans="3:4">
      <c r="C1920" s="100"/>
      <c r="D1920" s="100"/>
    </row>
    <row r="1921" spans="3:4">
      <c r="C1921" s="100"/>
      <c r="D1921" s="100"/>
    </row>
    <row r="1922" spans="3:4">
      <c r="C1922" s="100"/>
      <c r="D1922" s="100"/>
    </row>
    <row r="1923" spans="3:4">
      <c r="C1923" s="100"/>
      <c r="D1923" s="100"/>
    </row>
    <row r="1924" spans="3:4">
      <c r="C1924" s="100"/>
      <c r="D1924" s="100"/>
    </row>
    <row r="1925" spans="3:4">
      <c r="C1925" s="100"/>
      <c r="D1925" s="100"/>
    </row>
    <row r="1926" spans="3:4">
      <c r="C1926" s="100"/>
      <c r="D1926" s="100"/>
    </row>
    <row r="1927" spans="3:4">
      <c r="C1927" s="100"/>
      <c r="D1927" s="100"/>
    </row>
    <row r="1928" spans="3:4">
      <c r="C1928" s="100"/>
      <c r="D1928" s="100"/>
    </row>
    <row r="1929" spans="3:4">
      <c r="C1929" s="100"/>
      <c r="D1929" s="100"/>
    </row>
    <row r="1930" spans="3:4">
      <c r="C1930" s="100"/>
      <c r="D1930" s="100"/>
    </row>
    <row r="1931" spans="3:4">
      <c r="C1931" s="100"/>
      <c r="D1931" s="100"/>
    </row>
    <row r="1932" spans="3:4">
      <c r="C1932" s="100"/>
      <c r="D1932" s="100"/>
    </row>
    <row r="1933" spans="3:4">
      <c r="C1933" s="100"/>
      <c r="D1933" s="100"/>
    </row>
    <row r="1934" spans="3:4">
      <c r="C1934" s="100"/>
      <c r="D1934" s="100"/>
    </row>
    <row r="1935" spans="3:4">
      <c r="C1935" s="100"/>
      <c r="D1935" s="100"/>
    </row>
    <row r="1936" spans="3:4">
      <c r="C1936" s="100"/>
      <c r="D1936" s="100"/>
    </row>
    <row r="1937" spans="3:4">
      <c r="C1937" s="100"/>
      <c r="D1937" s="100"/>
    </row>
    <row r="1938" spans="3:4">
      <c r="C1938" s="100"/>
      <c r="D1938" s="100"/>
    </row>
    <row r="1939" spans="3:4">
      <c r="C1939" s="100"/>
      <c r="D1939" s="100"/>
    </row>
    <row r="1940" spans="3:4">
      <c r="C1940" s="100"/>
      <c r="D1940" s="100"/>
    </row>
    <row r="1941" spans="3:4">
      <c r="C1941" s="100"/>
      <c r="D1941" s="100"/>
    </row>
    <row r="1942" spans="3:4">
      <c r="C1942" s="100"/>
      <c r="D1942" s="100"/>
    </row>
    <row r="1943" spans="3:4">
      <c r="C1943" s="100"/>
      <c r="D1943" s="100"/>
    </row>
    <row r="1944" spans="3:4">
      <c r="C1944" s="100"/>
      <c r="D1944" s="100"/>
    </row>
    <row r="1945" spans="3:4">
      <c r="C1945" s="100"/>
      <c r="D1945" s="100"/>
    </row>
    <row r="1946" spans="3:4">
      <c r="C1946" s="100"/>
      <c r="D1946" s="100"/>
    </row>
    <row r="1947" spans="3:4">
      <c r="C1947" s="100"/>
      <c r="D1947" s="100"/>
    </row>
    <row r="1948" spans="3:4">
      <c r="C1948" s="100"/>
      <c r="D1948" s="100"/>
    </row>
    <row r="1949" spans="3:4">
      <c r="C1949" s="100"/>
      <c r="D1949" s="100"/>
    </row>
    <row r="1950" spans="3:4">
      <c r="C1950" s="100"/>
      <c r="D1950" s="100"/>
    </row>
    <row r="1951" spans="3:4">
      <c r="C1951" s="100"/>
      <c r="D1951" s="100"/>
    </row>
    <row r="1952" spans="3:4">
      <c r="C1952" s="100"/>
      <c r="D1952" s="100"/>
    </row>
    <row r="1953" spans="3:4">
      <c r="C1953" s="100"/>
      <c r="D1953" s="100"/>
    </row>
    <row r="1954" spans="3:4">
      <c r="C1954" s="100"/>
      <c r="D1954" s="100"/>
    </row>
    <row r="1955" spans="3:4">
      <c r="C1955" s="100"/>
      <c r="D1955" s="100"/>
    </row>
    <row r="1956" spans="3:4">
      <c r="C1956" s="100"/>
      <c r="D1956" s="100"/>
    </row>
    <row r="1957" spans="3:4">
      <c r="C1957" s="100"/>
      <c r="D1957" s="100"/>
    </row>
    <row r="1958" spans="3:4">
      <c r="C1958" s="100"/>
      <c r="D1958" s="100"/>
    </row>
    <row r="1959" spans="3:4">
      <c r="C1959" s="100"/>
      <c r="D1959" s="100"/>
    </row>
    <row r="1960" spans="3:4">
      <c r="C1960" s="100"/>
      <c r="D1960" s="100"/>
    </row>
    <row r="1961" spans="3:4">
      <c r="C1961" s="100"/>
      <c r="D1961" s="100"/>
    </row>
    <row r="1962" spans="3:4">
      <c r="C1962" s="100"/>
      <c r="D1962" s="100"/>
    </row>
    <row r="1963" spans="3:4">
      <c r="C1963" s="100"/>
      <c r="D1963" s="100"/>
    </row>
    <row r="1964" spans="3:4">
      <c r="C1964" s="100"/>
      <c r="D1964" s="100"/>
    </row>
    <row r="1965" spans="3:4">
      <c r="C1965" s="100"/>
      <c r="D1965" s="100"/>
    </row>
    <row r="1966" spans="3:4">
      <c r="C1966" s="100"/>
      <c r="D1966" s="100"/>
    </row>
    <row r="1967" spans="3:4">
      <c r="C1967" s="100"/>
      <c r="D1967" s="100"/>
    </row>
    <row r="1968" spans="3:4">
      <c r="C1968" s="100"/>
      <c r="D1968" s="100"/>
    </row>
    <row r="1969" spans="3:4">
      <c r="C1969" s="100"/>
      <c r="D1969" s="100"/>
    </row>
    <row r="1970" spans="3:4">
      <c r="C1970" s="100"/>
      <c r="D1970" s="100"/>
    </row>
    <row r="1971" spans="3:4">
      <c r="C1971" s="100"/>
      <c r="D1971" s="100"/>
    </row>
    <row r="1972" spans="3:4">
      <c r="C1972" s="100"/>
      <c r="D1972" s="100"/>
    </row>
    <row r="1973" spans="3:4">
      <c r="C1973" s="100"/>
      <c r="D1973" s="100"/>
    </row>
    <row r="1974" spans="3:4">
      <c r="C1974" s="100"/>
      <c r="D1974" s="100"/>
    </row>
    <row r="1975" spans="3:4">
      <c r="C1975" s="100"/>
      <c r="D1975" s="100"/>
    </row>
    <row r="1976" spans="3:4">
      <c r="C1976" s="100"/>
      <c r="D1976" s="100"/>
    </row>
    <row r="1977" spans="3:4">
      <c r="C1977" s="100"/>
      <c r="D1977" s="100"/>
    </row>
    <row r="1978" spans="3:4">
      <c r="C1978" s="100"/>
      <c r="D1978" s="100"/>
    </row>
    <row r="1979" spans="3:4">
      <c r="C1979" s="100"/>
      <c r="D1979" s="100"/>
    </row>
    <row r="1980" spans="3:4">
      <c r="C1980" s="100"/>
      <c r="D1980" s="100"/>
    </row>
    <row r="1981" spans="3:4">
      <c r="C1981" s="100"/>
      <c r="D1981" s="100"/>
    </row>
    <row r="1982" spans="3:4">
      <c r="C1982" s="100"/>
      <c r="D1982" s="100"/>
    </row>
    <row r="1983" spans="3:4">
      <c r="C1983" s="100"/>
      <c r="D1983" s="100"/>
    </row>
    <row r="1984" spans="3:4">
      <c r="C1984" s="100"/>
      <c r="D1984" s="100"/>
    </row>
    <row r="1985" spans="3:4">
      <c r="C1985" s="100"/>
      <c r="D1985" s="100"/>
    </row>
    <row r="1986" spans="3:4">
      <c r="C1986" s="100"/>
      <c r="D1986" s="100"/>
    </row>
    <row r="1987" spans="3:4">
      <c r="C1987" s="100"/>
      <c r="D1987" s="100"/>
    </row>
    <row r="1988" spans="3:4">
      <c r="C1988" s="100"/>
      <c r="D1988" s="100"/>
    </row>
    <row r="1989" spans="3:4">
      <c r="C1989" s="100"/>
      <c r="D1989" s="100"/>
    </row>
    <row r="1990" spans="3:4">
      <c r="C1990" s="100"/>
      <c r="D1990" s="100"/>
    </row>
    <row r="1991" spans="3:4">
      <c r="C1991" s="100"/>
      <c r="D1991" s="100"/>
    </row>
    <row r="1992" spans="3:4">
      <c r="C1992" s="100"/>
      <c r="D1992" s="100"/>
    </row>
    <row r="1993" spans="3:4">
      <c r="C1993" s="100"/>
      <c r="D1993" s="100"/>
    </row>
    <row r="1994" spans="3:4">
      <c r="C1994" s="100"/>
      <c r="D1994" s="100"/>
    </row>
    <row r="1995" spans="3:4">
      <c r="C1995" s="100"/>
      <c r="D1995" s="100"/>
    </row>
    <row r="1996" spans="3:4">
      <c r="C1996" s="100"/>
      <c r="D1996" s="100"/>
    </row>
    <row r="1997" spans="3:4">
      <c r="C1997" s="100"/>
      <c r="D1997" s="100"/>
    </row>
    <row r="1998" spans="3:4">
      <c r="C1998" s="100"/>
      <c r="D1998" s="100"/>
    </row>
    <row r="1999" spans="3:4">
      <c r="C1999" s="100"/>
      <c r="D1999" s="100"/>
    </row>
    <row r="2000" spans="3:4">
      <c r="C2000" s="100"/>
      <c r="D2000" s="100"/>
    </row>
    <row r="2001" spans="3:4">
      <c r="C2001" s="100"/>
      <c r="D2001" s="100"/>
    </row>
    <row r="2002" spans="3:4">
      <c r="C2002" s="100"/>
      <c r="D2002" s="100"/>
    </row>
    <row r="2003" spans="3:4">
      <c r="C2003" s="100"/>
      <c r="D2003" s="100"/>
    </row>
    <row r="2004" spans="3:4">
      <c r="C2004" s="100"/>
      <c r="D2004" s="100"/>
    </row>
    <row r="2005" spans="3:4">
      <c r="C2005" s="100"/>
      <c r="D2005" s="100"/>
    </row>
    <row r="2006" spans="3:4">
      <c r="C2006" s="100"/>
      <c r="D2006" s="100"/>
    </row>
    <row r="2007" spans="3:4">
      <c r="C2007" s="100"/>
      <c r="D2007" s="100"/>
    </row>
    <row r="2008" spans="3:4">
      <c r="C2008" s="100"/>
      <c r="D2008" s="100"/>
    </row>
    <row r="2009" spans="3:4">
      <c r="C2009" s="100"/>
      <c r="D2009" s="100"/>
    </row>
    <row r="2010" spans="3:4">
      <c r="C2010" s="100"/>
      <c r="D2010" s="100"/>
    </row>
    <row r="2011" spans="3:4">
      <c r="C2011" s="100"/>
      <c r="D2011" s="100"/>
    </row>
    <row r="2012" spans="3:4">
      <c r="C2012" s="100"/>
      <c r="D2012" s="100"/>
    </row>
    <row r="2013" spans="3:4">
      <c r="C2013" s="100"/>
      <c r="D2013" s="100"/>
    </row>
    <row r="2014" spans="3:4">
      <c r="C2014" s="100"/>
      <c r="D2014" s="100"/>
    </row>
    <row r="2015" spans="3:4">
      <c r="C2015" s="100"/>
      <c r="D2015" s="100"/>
    </row>
    <row r="2016" spans="3:4">
      <c r="C2016" s="100"/>
      <c r="D2016" s="100"/>
    </row>
    <row r="2017" spans="3:4">
      <c r="C2017" s="100"/>
      <c r="D2017" s="100"/>
    </row>
    <row r="2018" spans="3:4">
      <c r="C2018" s="100"/>
      <c r="D2018" s="100"/>
    </row>
    <row r="2019" spans="3:4">
      <c r="C2019" s="100"/>
      <c r="D2019" s="100"/>
    </row>
    <row r="2020" spans="3:4">
      <c r="C2020" s="100"/>
      <c r="D2020" s="100"/>
    </row>
    <row r="2021" spans="3:4">
      <c r="C2021" s="100"/>
      <c r="D2021" s="100"/>
    </row>
    <row r="2022" spans="3:4">
      <c r="C2022" s="100"/>
      <c r="D2022" s="100"/>
    </row>
    <row r="2023" spans="3:4">
      <c r="C2023" s="100"/>
      <c r="D2023" s="100"/>
    </row>
    <row r="2024" spans="3:4">
      <c r="C2024" s="100"/>
      <c r="D2024" s="100"/>
    </row>
    <row r="2025" spans="3:4">
      <c r="C2025" s="100"/>
      <c r="D2025" s="100"/>
    </row>
    <row r="2026" spans="3:4">
      <c r="C2026" s="100"/>
      <c r="D2026" s="100"/>
    </row>
    <row r="2027" spans="3:4">
      <c r="C2027" s="100"/>
      <c r="D2027" s="100"/>
    </row>
    <row r="2028" spans="3:4">
      <c r="C2028" s="100"/>
      <c r="D2028" s="100"/>
    </row>
    <row r="2029" spans="3:4">
      <c r="C2029" s="100"/>
      <c r="D2029" s="100"/>
    </row>
    <row r="2030" spans="3:4">
      <c r="C2030" s="100"/>
      <c r="D2030" s="100"/>
    </row>
    <row r="2031" spans="3:4">
      <c r="C2031" s="100"/>
      <c r="D2031" s="100"/>
    </row>
    <row r="2032" spans="3:4">
      <c r="C2032" s="100"/>
      <c r="D2032" s="100"/>
    </row>
    <row r="2033" spans="3:4">
      <c r="C2033" s="100"/>
      <c r="D2033" s="100"/>
    </row>
    <row r="2034" spans="3:4">
      <c r="C2034" s="100"/>
      <c r="D2034" s="100"/>
    </row>
    <row r="2035" spans="3:4">
      <c r="C2035" s="100"/>
      <c r="D2035" s="100"/>
    </row>
    <row r="2036" spans="3:4">
      <c r="C2036" s="100"/>
      <c r="D2036" s="100"/>
    </row>
    <row r="2037" spans="3:4">
      <c r="C2037" s="100"/>
      <c r="D2037" s="100"/>
    </row>
    <row r="2038" spans="3:4">
      <c r="C2038" s="100"/>
      <c r="D2038" s="100"/>
    </row>
    <row r="2039" spans="3:4">
      <c r="C2039" s="100"/>
      <c r="D2039" s="100"/>
    </row>
    <row r="2040" spans="3:4">
      <c r="C2040" s="100"/>
      <c r="D2040" s="100"/>
    </row>
    <row r="2041" spans="3:4">
      <c r="C2041" s="100"/>
      <c r="D2041" s="100"/>
    </row>
    <row r="2042" spans="3:4">
      <c r="C2042" s="100"/>
      <c r="D2042" s="100"/>
    </row>
    <row r="2043" spans="3:4">
      <c r="C2043" s="100"/>
      <c r="D2043" s="100"/>
    </row>
    <row r="2044" spans="3:4">
      <c r="C2044" s="100"/>
      <c r="D2044" s="100"/>
    </row>
    <row r="2045" spans="3:4">
      <c r="C2045" s="100"/>
      <c r="D2045" s="100"/>
    </row>
    <row r="2046" spans="3:4">
      <c r="C2046" s="100"/>
      <c r="D2046" s="100"/>
    </row>
    <row r="2047" spans="3:4">
      <c r="C2047" s="100"/>
      <c r="D2047" s="100"/>
    </row>
    <row r="2048" spans="3:4">
      <c r="C2048" s="100"/>
      <c r="D2048" s="100"/>
    </row>
    <row r="2049" spans="3:4">
      <c r="C2049" s="100"/>
      <c r="D2049" s="100"/>
    </row>
    <row r="2050" spans="3:4">
      <c r="C2050" s="100"/>
      <c r="D2050" s="100"/>
    </row>
    <row r="2051" spans="3:4">
      <c r="C2051" s="100"/>
      <c r="D2051" s="100"/>
    </row>
    <row r="2052" spans="3:4">
      <c r="C2052" s="100"/>
      <c r="D2052" s="100"/>
    </row>
    <row r="2053" spans="3:4">
      <c r="C2053" s="100"/>
      <c r="D2053" s="100"/>
    </row>
    <row r="2054" spans="3:4">
      <c r="C2054" s="100"/>
      <c r="D2054" s="100"/>
    </row>
    <row r="2055" spans="3:4">
      <c r="C2055" s="100"/>
      <c r="D2055" s="100"/>
    </row>
    <row r="2056" spans="3:4">
      <c r="C2056" s="100"/>
      <c r="D2056" s="100"/>
    </row>
    <row r="2057" spans="3:4">
      <c r="C2057" s="100"/>
      <c r="D2057" s="100"/>
    </row>
    <row r="2058" spans="3:4">
      <c r="C2058" s="100"/>
      <c r="D2058" s="100"/>
    </row>
    <row r="2059" spans="3:4">
      <c r="C2059" s="100"/>
      <c r="D2059" s="100"/>
    </row>
    <row r="2060" spans="3:4">
      <c r="C2060" s="100"/>
      <c r="D2060" s="100"/>
    </row>
    <row r="2061" spans="3:4">
      <c r="C2061" s="100"/>
      <c r="D2061" s="100"/>
    </row>
    <row r="2062" spans="3:4">
      <c r="C2062" s="100"/>
      <c r="D2062" s="100"/>
    </row>
    <row r="2063" spans="3:4">
      <c r="C2063" s="100"/>
      <c r="D2063" s="100"/>
    </row>
    <row r="2064" spans="3:4">
      <c r="C2064" s="100"/>
      <c r="D2064" s="100"/>
    </row>
    <row r="2065" spans="3:4">
      <c r="C2065" s="100"/>
      <c r="D2065" s="100"/>
    </row>
    <row r="2066" spans="3:4">
      <c r="C2066" s="100"/>
      <c r="D2066" s="100"/>
    </row>
    <row r="2067" spans="3:4">
      <c r="C2067" s="100"/>
      <c r="D2067" s="100"/>
    </row>
    <row r="2068" spans="3:4">
      <c r="C2068" s="100"/>
      <c r="D2068" s="100"/>
    </row>
    <row r="2069" spans="3:4">
      <c r="C2069" s="100"/>
      <c r="D2069" s="100"/>
    </row>
    <row r="2070" spans="3:4">
      <c r="C2070" s="100"/>
      <c r="D2070" s="100"/>
    </row>
    <row r="2071" spans="3:4">
      <c r="C2071" s="100"/>
      <c r="D2071" s="100"/>
    </row>
    <row r="2072" spans="3:4">
      <c r="C2072" s="100"/>
      <c r="D2072" s="100"/>
    </row>
    <row r="2073" spans="3:4">
      <c r="C2073" s="100"/>
      <c r="D2073" s="100"/>
    </row>
    <row r="2074" spans="3:4">
      <c r="C2074" s="100"/>
      <c r="D2074" s="100"/>
    </row>
    <row r="2075" spans="3:4">
      <c r="C2075" s="100"/>
      <c r="D2075" s="100"/>
    </row>
    <row r="2076" spans="3:4">
      <c r="C2076" s="100"/>
      <c r="D2076" s="100"/>
    </row>
    <row r="2077" spans="3:4">
      <c r="C2077" s="100"/>
      <c r="D2077" s="100"/>
    </row>
    <row r="2078" spans="3:4">
      <c r="C2078" s="100"/>
      <c r="D2078" s="100"/>
    </row>
    <row r="2079" spans="3:4">
      <c r="C2079" s="100"/>
      <c r="D2079" s="100"/>
    </row>
    <row r="2080" spans="3:4">
      <c r="C2080" s="100"/>
      <c r="D2080" s="100"/>
    </row>
    <row r="2081" spans="3:4">
      <c r="C2081" s="100"/>
      <c r="D2081" s="100"/>
    </row>
    <row r="2082" spans="3:4">
      <c r="C2082" s="100"/>
      <c r="D2082" s="100"/>
    </row>
    <row r="2083" spans="3:4">
      <c r="C2083" s="100"/>
      <c r="D2083" s="100"/>
    </row>
    <row r="2084" spans="3:4">
      <c r="C2084" s="100"/>
      <c r="D2084" s="100"/>
    </row>
    <row r="2085" spans="3:4">
      <c r="C2085" s="100"/>
      <c r="D2085" s="100"/>
    </row>
    <row r="2086" spans="3:4">
      <c r="C2086" s="100"/>
      <c r="D2086" s="100"/>
    </row>
    <row r="2087" spans="3:4">
      <c r="C2087" s="100"/>
      <c r="D2087" s="100"/>
    </row>
    <row r="2088" spans="3:4">
      <c r="C2088" s="100"/>
      <c r="D2088" s="100"/>
    </row>
    <row r="2089" spans="3:4">
      <c r="C2089" s="100"/>
      <c r="D2089" s="100"/>
    </row>
    <row r="2090" spans="3:4">
      <c r="C2090" s="100"/>
      <c r="D2090" s="100"/>
    </row>
    <row r="2091" spans="3:4">
      <c r="C2091" s="100"/>
      <c r="D2091" s="100"/>
    </row>
    <row r="2092" spans="3:4">
      <c r="C2092" s="100"/>
      <c r="D2092" s="100"/>
    </row>
    <row r="2093" spans="3:4">
      <c r="C2093" s="100"/>
      <c r="D2093" s="100"/>
    </row>
    <row r="2094" spans="3:4">
      <c r="C2094" s="100"/>
      <c r="D2094" s="100"/>
    </row>
    <row r="2095" spans="3:4">
      <c r="C2095" s="100"/>
      <c r="D2095" s="100"/>
    </row>
    <row r="2096" spans="3:4">
      <c r="C2096" s="100"/>
      <c r="D2096" s="100"/>
    </row>
    <row r="2097" spans="3:4">
      <c r="C2097" s="100"/>
      <c r="D2097" s="100"/>
    </row>
    <row r="2098" spans="3:4">
      <c r="C2098" s="100"/>
      <c r="D2098" s="100"/>
    </row>
    <row r="2099" spans="3:4">
      <c r="C2099" s="100"/>
      <c r="D2099" s="100"/>
    </row>
    <row r="2100" spans="3:4">
      <c r="C2100" s="100"/>
      <c r="D2100" s="100"/>
    </row>
    <row r="2101" spans="3:4">
      <c r="C2101" s="100"/>
      <c r="D2101" s="100"/>
    </row>
    <row r="2102" spans="3:4">
      <c r="C2102" s="100"/>
      <c r="D2102" s="100"/>
    </row>
    <row r="2103" spans="3:4">
      <c r="C2103" s="100"/>
      <c r="D2103" s="100"/>
    </row>
    <row r="2104" spans="3:4">
      <c r="C2104" s="100"/>
      <c r="D2104" s="100"/>
    </row>
    <row r="2105" spans="3:4">
      <c r="C2105" s="100"/>
      <c r="D2105" s="100"/>
    </row>
    <row r="2106" spans="3:4">
      <c r="C2106" s="100"/>
      <c r="D2106" s="100"/>
    </row>
    <row r="2107" spans="3:4">
      <c r="C2107" s="100"/>
      <c r="D2107" s="100"/>
    </row>
    <row r="2108" spans="3:4">
      <c r="C2108" s="100"/>
      <c r="D2108" s="100"/>
    </row>
    <row r="2109" spans="3:4">
      <c r="C2109" s="100"/>
      <c r="D2109" s="100"/>
    </row>
    <row r="2110" spans="3:4">
      <c r="C2110" s="100"/>
      <c r="D2110" s="100"/>
    </row>
    <row r="2111" spans="3:4">
      <c r="C2111" s="100"/>
      <c r="D2111" s="100"/>
    </row>
    <row r="2112" spans="3:4">
      <c r="C2112" s="100"/>
      <c r="D2112" s="100"/>
    </row>
    <row r="2113" spans="3:4">
      <c r="C2113" s="100"/>
      <c r="D2113" s="100"/>
    </row>
    <row r="2114" spans="3:4">
      <c r="C2114" s="100"/>
      <c r="D2114" s="100"/>
    </row>
    <row r="2115" spans="3:4">
      <c r="C2115" s="100"/>
      <c r="D2115" s="100"/>
    </row>
    <row r="2116" spans="3:4">
      <c r="C2116" s="100"/>
      <c r="D2116" s="100"/>
    </row>
    <row r="2117" spans="3:4">
      <c r="C2117" s="100"/>
      <c r="D2117" s="100"/>
    </row>
    <row r="2118" spans="3:4">
      <c r="C2118" s="100"/>
      <c r="D2118" s="100"/>
    </row>
    <row r="2119" spans="3:4">
      <c r="C2119" s="100"/>
      <c r="D2119" s="100"/>
    </row>
    <row r="2120" spans="3:4">
      <c r="C2120" s="100"/>
      <c r="D2120" s="100"/>
    </row>
    <row r="2121" spans="3:4">
      <c r="C2121" s="100"/>
      <c r="D2121" s="100"/>
    </row>
    <row r="2122" spans="3:4">
      <c r="C2122" s="100"/>
      <c r="D2122" s="100"/>
    </row>
    <row r="2123" spans="3:4">
      <c r="C2123" s="100"/>
      <c r="D2123" s="100"/>
    </row>
    <row r="2124" spans="3:4">
      <c r="C2124" s="100"/>
      <c r="D2124" s="100"/>
    </row>
    <row r="2125" spans="3:4">
      <c r="C2125" s="100"/>
      <c r="D2125" s="100"/>
    </row>
    <row r="2126" spans="3:4">
      <c r="C2126" s="100"/>
      <c r="D2126" s="100"/>
    </row>
    <row r="2127" spans="3:4">
      <c r="C2127" s="100"/>
      <c r="D2127" s="100"/>
    </row>
    <row r="2128" spans="3:4">
      <c r="C2128" s="100"/>
      <c r="D2128" s="100"/>
    </row>
    <row r="2129" spans="3:4">
      <c r="C2129" s="100"/>
      <c r="D2129" s="100"/>
    </row>
    <row r="2130" spans="3:4">
      <c r="C2130" s="100"/>
      <c r="D2130" s="100"/>
    </row>
    <row r="2131" spans="3:4">
      <c r="C2131" s="100"/>
      <c r="D2131" s="100"/>
    </row>
    <row r="2132" spans="3:4">
      <c r="C2132" s="100"/>
      <c r="D2132" s="100"/>
    </row>
    <row r="2133" spans="3:4">
      <c r="C2133" s="100"/>
      <c r="D2133" s="100"/>
    </row>
    <row r="2134" spans="3:4">
      <c r="C2134" s="100"/>
      <c r="D2134" s="100"/>
    </row>
    <row r="2135" spans="3:4">
      <c r="C2135" s="100"/>
      <c r="D2135" s="100"/>
    </row>
    <row r="2136" spans="3:4">
      <c r="C2136" s="100"/>
      <c r="D2136" s="100"/>
    </row>
    <row r="2137" spans="3:4">
      <c r="C2137" s="100"/>
      <c r="D2137" s="100"/>
    </row>
    <row r="2138" spans="3:4">
      <c r="C2138" s="100"/>
      <c r="D2138" s="100"/>
    </row>
    <row r="2139" spans="3:4">
      <c r="C2139" s="100"/>
      <c r="D2139" s="100"/>
    </row>
    <row r="2140" spans="3:4">
      <c r="C2140" s="100"/>
      <c r="D2140" s="100"/>
    </row>
    <row r="2141" spans="3:4">
      <c r="C2141" s="100"/>
      <c r="D2141" s="100"/>
    </row>
    <row r="2142" spans="3:4">
      <c r="C2142" s="100"/>
      <c r="D2142" s="100"/>
    </row>
    <row r="2143" spans="3:4">
      <c r="C2143" s="100"/>
      <c r="D2143" s="100"/>
    </row>
    <row r="2144" spans="3:4">
      <c r="C2144" s="100"/>
      <c r="D2144" s="100"/>
    </row>
    <row r="2145" spans="3:4">
      <c r="C2145" s="100"/>
      <c r="D2145" s="100"/>
    </row>
    <row r="2146" spans="3:4">
      <c r="C2146" s="100"/>
      <c r="D2146" s="100"/>
    </row>
    <row r="2147" spans="3:4">
      <c r="C2147" s="100"/>
      <c r="D2147" s="100"/>
    </row>
    <row r="2148" spans="3:4">
      <c r="C2148" s="100"/>
      <c r="D2148" s="100"/>
    </row>
    <row r="2149" spans="3:4">
      <c r="C2149" s="100"/>
      <c r="D2149" s="100"/>
    </row>
    <row r="2150" spans="3:4">
      <c r="C2150" s="100"/>
      <c r="D2150" s="100"/>
    </row>
    <row r="2151" spans="3:4">
      <c r="C2151" s="100"/>
      <c r="D2151" s="100"/>
    </row>
    <row r="2152" spans="3:4">
      <c r="C2152" s="100"/>
      <c r="D2152" s="100"/>
    </row>
    <row r="2153" spans="3:4">
      <c r="C2153" s="100"/>
      <c r="D2153" s="100"/>
    </row>
    <row r="2154" spans="3:4">
      <c r="C2154" s="100"/>
      <c r="D2154" s="100"/>
    </row>
    <row r="2155" spans="3:4">
      <c r="C2155" s="100"/>
      <c r="D2155" s="100"/>
    </row>
    <row r="2156" spans="3:4">
      <c r="C2156" s="100"/>
      <c r="D2156" s="100"/>
    </row>
    <row r="2157" spans="3:4">
      <c r="C2157" s="100"/>
      <c r="D2157" s="100"/>
    </row>
    <row r="2158" spans="3:4">
      <c r="C2158" s="100"/>
      <c r="D2158" s="100"/>
    </row>
    <row r="2159" spans="3:4">
      <c r="C2159" s="100"/>
      <c r="D2159" s="100"/>
    </row>
    <row r="2160" spans="3:4">
      <c r="C2160" s="100"/>
      <c r="D2160" s="100"/>
    </row>
    <row r="2161" spans="3:4">
      <c r="C2161" s="100"/>
      <c r="D2161" s="100"/>
    </row>
    <row r="2162" spans="3:4">
      <c r="C2162" s="100"/>
      <c r="D2162" s="100"/>
    </row>
    <row r="2163" spans="3:4">
      <c r="C2163" s="100"/>
      <c r="D2163" s="100"/>
    </row>
    <row r="2164" spans="3:4">
      <c r="C2164" s="100"/>
      <c r="D2164" s="100"/>
    </row>
    <row r="2165" spans="3:4">
      <c r="C2165" s="100"/>
      <c r="D2165" s="100"/>
    </row>
    <row r="2166" spans="3:4">
      <c r="C2166" s="100"/>
      <c r="D2166" s="100"/>
    </row>
    <row r="2167" spans="3:4">
      <c r="C2167" s="100"/>
      <c r="D2167" s="100"/>
    </row>
    <row r="2168" spans="3:4">
      <c r="C2168" s="100"/>
      <c r="D2168" s="100"/>
    </row>
    <row r="2169" spans="3:4">
      <c r="C2169" s="100"/>
      <c r="D2169" s="100"/>
    </row>
    <row r="2170" spans="3:4">
      <c r="C2170" s="100"/>
      <c r="D2170" s="100"/>
    </row>
    <row r="2171" spans="3:4">
      <c r="C2171" s="100"/>
      <c r="D2171" s="100"/>
    </row>
    <row r="2172" spans="3:4">
      <c r="C2172" s="100"/>
      <c r="D2172" s="100"/>
    </row>
    <row r="2173" spans="3:4">
      <c r="C2173" s="100"/>
      <c r="D2173" s="100"/>
    </row>
    <row r="2174" spans="3:4">
      <c r="C2174" s="100"/>
      <c r="D2174" s="100"/>
    </row>
    <row r="2175" spans="3:4">
      <c r="C2175" s="100"/>
      <c r="D2175" s="100"/>
    </row>
    <row r="2176" spans="3:4">
      <c r="C2176" s="100"/>
      <c r="D2176" s="100"/>
    </row>
    <row r="2177" spans="3:4">
      <c r="C2177" s="100"/>
      <c r="D2177" s="100"/>
    </row>
    <row r="2178" spans="3:4">
      <c r="C2178" s="100"/>
      <c r="D2178" s="100"/>
    </row>
    <row r="2179" spans="3:4">
      <c r="C2179" s="100"/>
      <c r="D2179" s="100"/>
    </row>
    <row r="2180" spans="3:4">
      <c r="C2180" s="100"/>
      <c r="D2180" s="100"/>
    </row>
    <row r="2181" spans="3:4">
      <c r="C2181" s="100"/>
      <c r="D2181" s="100"/>
    </row>
    <row r="2182" spans="3:4">
      <c r="C2182" s="100"/>
      <c r="D2182" s="100"/>
    </row>
    <row r="2183" spans="3:4">
      <c r="C2183" s="100"/>
      <c r="D2183" s="100"/>
    </row>
    <row r="2184" spans="3:4">
      <c r="C2184" s="100"/>
      <c r="D2184" s="100"/>
    </row>
    <row r="2185" spans="3:4">
      <c r="C2185" s="100"/>
      <c r="D2185" s="100"/>
    </row>
    <row r="2186" spans="3:4">
      <c r="C2186" s="100"/>
      <c r="D2186" s="100"/>
    </row>
    <row r="2187" spans="3:4">
      <c r="C2187" s="100"/>
      <c r="D2187" s="100"/>
    </row>
    <row r="2188" spans="3:4">
      <c r="C2188" s="100"/>
      <c r="D2188" s="100"/>
    </row>
    <row r="2189" spans="3:4">
      <c r="C2189" s="100"/>
      <c r="D2189" s="100"/>
    </row>
    <row r="2190" spans="3:4">
      <c r="C2190" s="100"/>
      <c r="D2190" s="100"/>
    </row>
    <row r="2191" spans="3:4">
      <c r="C2191" s="100"/>
      <c r="D2191" s="100"/>
    </row>
    <row r="2192" spans="3:4">
      <c r="C2192" s="100"/>
      <c r="D2192" s="100"/>
    </row>
    <row r="2193" spans="3:4">
      <c r="C2193" s="100"/>
      <c r="D2193" s="100"/>
    </row>
    <row r="2194" spans="3:4">
      <c r="C2194" s="100"/>
      <c r="D2194" s="100"/>
    </row>
    <row r="2195" spans="3:4">
      <c r="C2195" s="100"/>
      <c r="D2195" s="100"/>
    </row>
    <row r="2196" spans="3:4">
      <c r="C2196" s="100"/>
      <c r="D2196" s="100"/>
    </row>
    <row r="2197" spans="3:4">
      <c r="C2197" s="100"/>
      <c r="D2197" s="100"/>
    </row>
    <row r="2198" spans="3:4">
      <c r="C2198" s="100"/>
      <c r="D2198" s="100"/>
    </row>
    <row r="2199" spans="3:4">
      <c r="C2199" s="100"/>
      <c r="D2199" s="100"/>
    </row>
    <row r="2200" spans="3:4">
      <c r="C2200" s="100"/>
      <c r="D2200" s="100"/>
    </row>
    <row r="2201" spans="3:4">
      <c r="C2201" s="100"/>
      <c r="D2201" s="100"/>
    </row>
    <row r="2202" spans="3:4">
      <c r="C2202" s="100"/>
      <c r="D2202" s="100"/>
    </row>
    <row r="2203" spans="3:4">
      <c r="C2203" s="100"/>
      <c r="D2203" s="100"/>
    </row>
    <row r="2204" spans="3:4">
      <c r="C2204" s="100"/>
      <c r="D2204" s="100"/>
    </row>
    <row r="2205" spans="3:4">
      <c r="C2205" s="100"/>
      <c r="D2205" s="100"/>
    </row>
    <row r="2206" spans="3:4">
      <c r="C2206" s="100"/>
      <c r="D2206" s="100"/>
    </row>
    <row r="2207" spans="3:4">
      <c r="C2207" s="100"/>
      <c r="D2207" s="100"/>
    </row>
    <row r="2208" spans="3:4">
      <c r="C2208" s="100"/>
      <c r="D2208" s="100"/>
    </row>
    <row r="2209" spans="3:4">
      <c r="C2209" s="100"/>
      <c r="D2209" s="100"/>
    </row>
    <row r="2210" spans="3:4">
      <c r="C2210" s="100"/>
      <c r="D2210" s="100"/>
    </row>
    <row r="2211" spans="3:4">
      <c r="C2211" s="100"/>
      <c r="D2211" s="100"/>
    </row>
    <row r="2212" spans="3:4">
      <c r="C2212" s="100"/>
      <c r="D2212" s="100"/>
    </row>
    <row r="2213" spans="3:4">
      <c r="C2213" s="100"/>
      <c r="D2213" s="100"/>
    </row>
    <row r="2214" spans="3:4">
      <c r="C2214" s="100"/>
      <c r="D2214" s="100"/>
    </row>
    <row r="2215" spans="3:4">
      <c r="C2215" s="100"/>
      <c r="D2215" s="100"/>
    </row>
    <row r="2216" spans="3:4">
      <c r="C2216" s="100"/>
      <c r="D2216" s="100"/>
    </row>
    <row r="2217" spans="3:4">
      <c r="C2217" s="100"/>
      <c r="D2217" s="100"/>
    </row>
    <row r="2218" spans="3:4">
      <c r="C2218" s="100"/>
      <c r="D2218" s="100"/>
    </row>
    <row r="2219" spans="3:4">
      <c r="C2219" s="100"/>
      <c r="D2219" s="100"/>
    </row>
    <row r="2220" spans="3:4">
      <c r="C2220" s="100"/>
      <c r="D2220" s="100"/>
    </row>
    <row r="2221" spans="3:4">
      <c r="C2221" s="100"/>
      <c r="D2221" s="100"/>
    </row>
    <row r="2222" spans="3:4">
      <c r="C2222" s="100"/>
      <c r="D2222" s="100"/>
    </row>
    <row r="2223" spans="3:4">
      <c r="C2223" s="100"/>
      <c r="D2223" s="100"/>
    </row>
    <row r="2224" spans="3:4">
      <c r="C2224" s="100"/>
      <c r="D2224" s="100"/>
    </row>
    <row r="2225" spans="3:4">
      <c r="C2225" s="100"/>
      <c r="D2225" s="100"/>
    </row>
    <row r="2226" spans="3:4">
      <c r="C2226" s="100"/>
      <c r="D2226" s="100"/>
    </row>
    <row r="2227" spans="3:4">
      <c r="C2227" s="100"/>
      <c r="D2227" s="100"/>
    </row>
    <row r="2228" spans="3:4">
      <c r="C2228" s="100"/>
      <c r="D2228" s="100"/>
    </row>
    <row r="2229" spans="3:4">
      <c r="C2229" s="100"/>
      <c r="D2229" s="100"/>
    </row>
    <row r="2230" spans="3:4">
      <c r="C2230" s="100"/>
      <c r="D2230" s="100"/>
    </row>
    <row r="2231" spans="3:4">
      <c r="C2231" s="100"/>
      <c r="D2231" s="100"/>
    </row>
    <row r="2232" spans="3:4">
      <c r="C2232" s="100"/>
      <c r="D2232" s="100"/>
    </row>
    <row r="2233" spans="3:4">
      <c r="C2233" s="100"/>
      <c r="D2233" s="100"/>
    </row>
    <row r="2234" spans="3:4">
      <c r="C2234" s="100"/>
      <c r="D2234" s="100"/>
    </row>
    <row r="2235" spans="3:4">
      <c r="C2235" s="100"/>
      <c r="D2235" s="100"/>
    </row>
    <row r="2236" spans="3:4">
      <c r="C2236" s="100"/>
      <c r="D2236" s="100"/>
    </row>
    <row r="2237" spans="3:4">
      <c r="C2237" s="100"/>
      <c r="D2237" s="100"/>
    </row>
    <row r="2238" spans="3:4">
      <c r="C2238" s="100"/>
      <c r="D2238" s="100"/>
    </row>
    <row r="2239" spans="3:4">
      <c r="C2239" s="100"/>
      <c r="D2239" s="100"/>
    </row>
    <row r="2240" spans="3:4">
      <c r="C2240" s="100"/>
      <c r="D2240" s="100"/>
    </row>
    <row r="2241" spans="3:4">
      <c r="C2241" s="100"/>
      <c r="D2241" s="100"/>
    </row>
    <row r="2242" spans="3:4">
      <c r="C2242" s="100"/>
      <c r="D2242" s="100"/>
    </row>
    <row r="2243" spans="3:4">
      <c r="C2243" s="100"/>
      <c r="D2243" s="100"/>
    </row>
    <row r="2244" spans="3:4">
      <c r="C2244" s="100"/>
      <c r="D2244" s="100"/>
    </row>
    <row r="2245" spans="3:4">
      <c r="C2245" s="100"/>
      <c r="D2245" s="100"/>
    </row>
    <row r="2246" spans="3:4">
      <c r="C2246" s="100"/>
      <c r="D2246" s="100"/>
    </row>
    <row r="2247" spans="3:4">
      <c r="C2247" s="100"/>
      <c r="D2247" s="100"/>
    </row>
    <row r="2248" spans="3:4">
      <c r="C2248" s="100"/>
      <c r="D2248" s="100"/>
    </row>
    <row r="2249" spans="3:4">
      <c r="C2249" s="100"/>
      <c r="D2249" s="100"/>
    </row>
    <row r="2250" spans="3:4">
      <c r="C2250" s="100"/>
      <c r="D2250" s="100"/>
    </row>
    <row r="2251" spans="3:4">
      <c r="C2251" s="100"/>
      <c r="D2251" s="100"/>
    </row>
    <row r="2252" spans="3:4">
      <c r="C2252" s="100"/>
      <c r="D2252" s="100"/>
    </row>
    <row r="2253" spans="3:4">
      <c r="C2253" s="100"/>
      <c r="D2253" s="100"/>
    </row>
    <row r="2254" spans="3:4">
      <c r="C2254" s="100"/>
      <c r="D2254" s="100"/>
    </row>
    <row r="2255" spans="3:4">
      <c r="C2255" s="100"/>
      <c r="D2255" s="100"/>
    </row>
    <row r="2256" spans="3:4">
      <c r="C2256" s="100"/>
      <c r="D2256" s="100"/>
    </row>
    <row r="2257" spans="3:4">
      <c r="C2257" s="100"/>
      <c r="D2257" s="100"/>
    </row>
    <row r="2258" spans="3:4">
      <c r="C2258" s="100"/>
      <c r="D2258" s="100"/>
    </row>
    <row r="2259" spans="3:4">
      <c r="C2259" s="100"/>
      <c r="D2259" s="100"/>
    </row>
    <row r="2260" spans="3:4">
      <c r="C2260" s="100"/>
      <c r="D2260" s="100"/>
    </row>
    <row r="2261" spans="3:4">
      <c r="C2261" s="100"/>
      <c r="D2261" s="100"/>
    </row>
    <row r="2262" spans="3:4">
      <c r="C2262" s="100"/>
      <c r="D2262" s="100"/>
    </row>
    <row r="2263" spans="3:4">
      <c r="C2263" s="100"/>
      <c r="D2263" s="100"/>
    </row>
    <row r="2264" spans="3:4">
      <c r="C2264" s="100"/>
      <c r="D2264" s="100"/>
    </row>
    <row r="2265" spans="3:4">
      <c r="C2265" s="100"/>
      <c r="D2265" s="100"/>
    </row>
    <row r="2266" spans="3:4">
      <c r="C2266" s="100"/>
      <c r="D2266" s="100"/>
    </row>
    <row r="2267" spans="3:4">
      <c r="C2267" s="100"/>
      <c r="D2267" s="100"/>
    </row>
    <row r="2268" spans="3:4">
      <c r="C2268" s="100"/>
      <c r="D2268" s="100"/>
    </row>
    <row r="2269" spans="3:4">
      <c r="C2269" s="100"/>
      <c r="D2269" s="100"/>
    </row>
    <row r="2270" spans="3:4">
      <c r="C2270" s="100"/>
      <c r="D2270" s="100"/>
    </row>
    <row r="2271" spans="3:4">
      <c r="C2271" s="100"/>
      <c r="D2271" s="100"/>
    </row>
    <row r="2272" spans="3:4">
      <c r="C2272" s="100"/>
      <c r="D2272" s="100"/>
    </row>
    <row r="2273" spans="3:4">
      <c r="C2273" s="100"/>
      <c r="D2273" s="100"/>
    </row>
    <row r="2274" spans="3:4">
      <c r="C2274" s="100"/>
      <c r="D2274" s="100"/>
    </row>
    <row r="2275" spans="3:4">
      <c r="C2275" s="100"/>
      <c r="D2275" s="100"/>
    </row>
    <row r="2276" spans="3:4">
      <c r="C2276" s="100"/>
      <c r="D2276" s="100"/>
    </row>
    <row r="2277" spans="3:4">
      <c r="C2277" s="100"/>
      <c r="D2277" s="100"/>
    </row>
    <row r="2278" spans="3:4">
      <c r="C2278" s="100"/>
      <c r="D2278" s="100"/>
    </row>
    <row r="2279" spans="3:4">
      <c r="C2279" s="100"/>
      <c r="D2279" s="100"/>
    </row>
    <row r="2280" spans="3:4">
      <c r="C2280" s="100"/>
      <c r="D2280" s="100"/>
    </row>
    <row r="2281" spans="3:4">
      <c r="C2281" s="100"/>
      <c r="D2281" s="100"/>
    </row>
    <row r="2282" spans="3:4">
      <c r="C2282" s="100"/>
      <c r="D2282" s="100"/>
    </row>
    <row r="2283" spans="3:4">
      <c r="C2283" s="100"/>
      <c r="D2283" s="100"/>
    </row>
    <row r="2284" spans="3:4">
      <c r="C2284" s="100"/>
      <c r="D2284" s="100"/>
    </row>
    <row r="2285" spans="3:4">
      <c r="C2285" s="100"/>
      <c r="D2285" s="100"/>
    </row>
    <row r="2286" spans="3:4">
      <c r="C2286" s="100"/>
      <c r="D2286" s="100"/>
    </row>
    <row r="2287" spans="3:4">
      <c r="C2287" s="100"/>
      <c r="D2287" s="100"/>
    </row>
    <row r="2288" spans="3:4">
      <c r="C2288" s="100"/>
      <c r="D2288" s="100"/>
    </row>
    <row r="2289" spans="3:4">
      <c r="C2289" s="100"/>
      <c r="D2289" s="100"/>
    </row>
    <row r="2290" spans="3:4">
      <c r="C2290" s="100"/>
      <c r="D2290" s="100"/>
    </row>
    <row r="2291" spans="3:4">
      <c r="C2291" s="100"/>
      <c r="D2291" s="100"/>
    </row>
    <row r="2292" spans="3:4">
      <c r="C2292" s="100"/>
      <c r="D2292" s="100"/>
    </row>
    <row r="2293" spans="3:4">
      <c r="C2293" s="100"/>
      <c r="D2293" s="100"/>
    </row>
    <row r="2294" spans="3:4">
      <c r="C2294" s="100"/>
      <c r="D2294" s="100"/>
    </row>
    <row r="2295" spans="3:4">
      <c r="C2295" s="100"/>
      <c r="D2295" s="100"/>
    </row>
    <row r="2296" spans="3:4">
      <c r="C2296" s="100"/>
      <c r="D2296" s="100"/>
    </row>
    <row r="2297" spans="3:4">
      <c r="C2297" s="100"/>
      <c r="D2297" s="100"/>
    </row>
    <row r="2298" spans="3:4">
      <c r="C2298" s="100"/>
      <c r="D2298" s="100"/>
    </row>
    <row r="2299" spans="3:4">
      <c r="C2299" s="100"/>
      <c r="D2299" s="100"/>
    </row>
    <row r="2300" spans="3:4">
      <c r="C2300" s="100"/>
      <c r="D2300" s="100"/>
    </row>
    <row r="2301" spans="3:4">
      <c r="C2301" s="100"/>
      <c r="D2301" s="100"/>
    </row>
    <row r="2302" spans="3:4">
      <c r="C2302" s="100"/>
      <c r="D2302" s="100"/>
    </row>
    <row r="2303" spans="3:4">
      <c r="C2303" s="100"/>
      <c r="D2303" s="100"/>
    </row>
    <row r="2304" spans="3:4">
      <c r="C2304" s="100"/>
      <c r="D2304" s="100"/>
    </row>
    <row r="2305" spans="3:4">
      <c r="C2305" s="100"/>
      <c r="D2305" s="100"/>
    </row>
    <row r="2306" spans="3:4">
      <c r="C2306" s="100"/>
      <c r="D2306" s="100"/>
    </row>
    <row r="2307" spans="3:4">
      <c r="C2307" s="100"/>
      <c r="D2307" s="100"/>
    </row>
    <row r="2308" spans="3:4">
      <c r="C2308" s="100"/>
      <c r="D2308" s="100"/>
    </row>
    <row r="2309" spans="3:4">
      <c r="C2309" s="100"/>
      <c r="D2309" s="100"/>
    </row>
    <row r="2310" spans="3:4">
      <c r="C2310" s="100"/>
      <c r="D2310" s="100"/>
    </row>
    <row r="2311" spans="3:4">
      <c r="C2311" s="100"/>
      <c r="D2311" s="100"/>
    </row>
    <row r="2312" spans="3:4">
      <c r="C2312" s="100"/>
      <c r="D2312" s="100"/>
    </row>
    <row r="2313" spans="3:4">
      <c r="C2313" s="100"/>
      <c r="D2313" s="100"/>
    </row>
    <row r="2314" spans="3:4">
      <c r="C2314" s="100"/>
      <c r="D2314" s="100"/>
    </row>
    <row r="2315" spans="3:4">
      <c r="C2315" s="100"/>
      <c r="D2315" s="100"/>
    </row>
    <row r="2316" spans="3:4">
      <c r="C2316" s="100"/>
      <c r="D2316" s="100"/>
    </row>
    <row r="2317" spans="3:4">
      <c r="C2317" s="100"/>
      <c r="D2317" s="100"/>
    </row>
    <row r="2318" spans="3:4">
      <c r="C2318" s="100"/>
      <c r="D2318" s="100"/>
    </row>
    <row r="2319" spans="3:4">
      <c r="C2319" s="100"/>
      <c r="D2319" s="100"/>
    </row>
    <row r="2320" spans="3:4">
      <c r="C2320" s="100"/>
      <c r="D2320" s="100"/>
    </row>
    <row r="2321" spans="3:4">
      <c r="C2321" s="100"/>
      <c r="D2321" s="100"/>
    </row>
    <row r="2322" spans="3:4">
      <c r="C2322" s="100"/>
      <c r="D2322" s="100"/>
    </row>
    <row r="2323" spans="3:4">
      <c r="C2323" s="100"/>
      <c r="D2323" s="100"/>
    </row>
    <row r="2324" spans="3:4">
      <c r="C2324" s="100"/>
      <c r="D2324" s="100"/>
    </row>
    <row r="2325" spans="3:4">
      <c r="C2325" s="100"/>
      <c r="D2325" s="100"/>
    </row>
    <row r="2326" spans="3:4">
      <c r="C2326" s="100"/>
      <c r="D2326" s="100"/>
    </row>
    <row r="2327" spans="3:4">
      <c r="C2327" s="100"/>
      <c r="D2327" s="100"/>
    </row>
    <row r="2328" spans="3:4">
      <c r="C2328" s="100"/>
      <c r="D2328" s="100"/>
    </row>
    <row r="2329" spans="3:4">
      <c r="C2329" s="100"/>
      <c r="D2329" s="100"/>
    </row>
    <row r="2330" spans="3:4">
      <c r="C2330" s="100"/>
      <c r="D2330" s="100"/>
    </row>
    <row r="2331" spans="3:4">
      <c r="C2331" s="100"/>
      <c r="D2331" s="100"/>
    </row>
    <row r="2332" spans="3:4">
      <c r="C2332" s="100"/>
      <c r="D2332" s="100"/>
    </row>
    <row r="2333" spans="3:4">
      <c r="C2333" s="100"/>
      <c r="D2333" s="100"/>
    </row>
    <row r="2334" spans="3:4">
      <c r="C2334" s="100"/>
      <c r="D2334" s="100"/>
    </row>
    <row r="2335" spans="3:4">
      <c r="C2335" s="100"/>
      <c r="D2335" s="100"/>
    </row>
    <row r="2336" spans="3:4">
      <c r="C2336" s="100"/>
      <c r="D2336" s="100"/>
    </row>
    <row r="2337" spans="3:4">
      <c r="C2337" s="100"/>
      <c r="D2337" s="100"/>
    </row>
    <row r="2338" spans="3:4">
      <c r="C2338" s="100"/>
      <c r="D2338" s="100"/>
    </row>
    <row r="2339" spans="3:4">
      <c r="C2339" s="100"/>
      <c r="D2339" s="100"/>
    </row>
    <row r="2340" spans="3:4">
      <c r="C2340" s="100"/>
      <c r="D2340" s="100"/>
    </row>
    <row r="2341" spans="3:4">
      <c r="C2341" s="100"/>
      <c r="D2341" s="100"/>
    </row>
    <row r="2342" spans="3:4">
      <c r="C2342" s="100"/>
      <c r="D2342" s="100"/>
    </row>
    <row r="2343" spans="3:4">
      <c r="C2343" s="100"/>
      <c r="D2343" s="100"/>
    </row>
    <row r="2344" spans="3:4">
      <c r="C2344" s="100"/>
      <c r="D2344" s="100"/>
    </row>
    <row r="2345" spans="3:4">
      <c r="C2345" s="100"/>
      <c r="D2345" s="100"/>
    </row>
    <row r="2346" spans="3:4">
      <c r="C2346" s="100"/>
      <c r="D2346" s="100"/>
    </row>
    <row r="2347" spans="3:4">
      <c r="C2347" s="100"/>
      <c r="D2347" s="100"/>
    </row>
    <row r="2348" spans="3:4">
      <c r="C2348" s="100"/>
      <c r="D2348" s="100"/>
    </row>
    <row r="2349" spans="3:4">
      <c r="C2349" s="100"/>
      <c r="D2349" s="100"/>
    </row>
    <row r="2350" spans="3:4">
      <c r="C2350" s="100"/>
      <c r="D2350" s="100"/>
    </row>
    <row r="2351" spans="3:4">
      <c r="C2351" s="100"/>
      <c r="D2351" s="100"/>
    </row>
    <row r="2352" spans="3:4">
      <c r="C2352" s="100"/>
      <c r="D2352" s="100"/>
    </row>
    <row r="2353" spans="3:4">
      <c r="C2353" s="100"/>
      <c r="D2353" s="100"/>
    </row>
    <row r="2354" spans="3:4">
      <c r="C2354" s="100"/>
      <c r="D2354" s="100"/>
    </row>
    <row r="2355" spans="3:4">
      <c r="C2355" s="100"/>
      <c r="D2355" s="100"/>
    </row>
    <row r="2356" spans="3:4">
      <c r="C2356" s="100"/>
      <c r="D2356" s="100"/>
    </row>
    <row r="2357" spans="3:4">
      <c r="C2357" s="100"/>
      <c r="D2357" s="100"/>
    </row>
    <row r="2358" spans="3:4">
      <c r="C2358" s="100"/>
      <c r="D2358" s="100"/>
    </row>
    <row r="2359" spans="3:4">
      <c r="C2359" s="100"/>
      <c r="D2359" s="100"/>
    </row>
    <row r="2360" spans="3:4">
      <c r="C2360" s="100"/>
      <c r="D2360" s="100"/>
    </row>
    <row r="2361" spans="3:4">
      <c r="C2361" s="100"/>
      <c r="D2361" s="100"/>
    </row>
    <row r="2362" spans="3:4">
      <c r="C2362" s="100"/>
      <c r="D2362" s="100"/>
    </row>
    <row r="2363" spans="3:4">
      <c r="C2363" s="100"/>
      <c r="D2363" s="100"/>
    </row>
    <row r="2364" spans="3:4">
      <c r="C2364" s="100"/>
      <c r="D2364" s="100"/>
    </row>
    <row r="2365" spans="3:4">
      <c r="C2365" s="100"/>
      <c r="D2365" s="100"/>
    </row>
    <row r="2366" spans="3:4">
      <c r="C2366" s="100"/>
      <c r="D2366" s="100"/>
    </row>
    <row r="2367" spans="3:4">
      <c r="C2367" s="100"/>
      <c r="D2367" s="100"/>
    </row>
    <row r="2368" spans="3:4">
      <c r="C2368" s="100"/>
      <c r="D2368" s="100"/>
    </row>
    <row r="2369" spans="3:4">
      <c r="C2369" s="100"/>
      <c r="D2369" s="100"/>
    </row>
    <row r="2370" spans="3:4">
      <c r="C2370" s="100"/>
      <c r="D2370" s="100"/>
    </row>
    <row r="2371" spans="3:4">
      <c r="C2371" s="100"/>
      <c r="D2371" s="100"/>
    </row>
    <row r="2372" spans="3:4">
      <c r="C2372" s="100"/>
      <c r="D2372" s="100"/>
    </row>
    <row r="2373" spans="3:4">
      <c r="C2373" s="100"/>
      <c r="D2373" s="100"/>
    </row>
    <row r="2374" spans="3:4">
      <c r="C2374" s="100"/>
      <c r="D2374" s="100"/>
    </row>
    <row r="2375" spans="3:4">
      <c r="C2375" s="100"/>
      <c r="D2375" s="100"/>
    </row>
    <row r="2376" spans="3:4">
      <c r="C2376" s="100"/>
      <c r="D2376" s="100"/>
    </row>
    <row r="2377" spans="3:4">
      <c r="C2377" s="100"/>
      <c r="D2377" s="100"/>
    </row>
    <row r="2378" spans="3:4">
      <c r="C2378" s="100"/>
      <c r="D2378" s="100"/>
    </row>
    <row r="2379" spans="3:4">
      <c r="C2379" s="100"/>
      <c r="D2379" s="100"/>
    </row>
    <row r="2380" spans="3:4">
      <c r="C2380" s="100"/>
      <c r="D2380" s="100"/>
    </row>
    <row r="2381" spans="3:4">
      <c r="C2381" s="100"/>
      <c r="D2381" s="100"/>
    </row>
    <row r="2382" spans="3:4">
      <c r="C2382" s="100"/>
      <c r="D2382" s="100"/>
    </row>
    <row r="2383" spans="3:4">
      <c r="C2383" s="100"/>
      <c r="D2383" s="100"/>
    </row>
    <row r="2384" spans="3:4">
      <c r="C2384" s="100"/>
      <c r="D2384" s="100"/>
    </row>
    <row r="2385" spans="3:4">
      <c r="C2385" s="100"/>
      <c r="D2385" s="100"/>
    </row>
    <row r="2386" spans="3:4">
      <c r="C2386" s="100"/>
      <c r="D2386" s="100"/>
    </row>
    <row r="2387" spans="3:4">
      <c r="C2387" s="100"/>
      <c r="D2387" s="100"/>
    </row>
    <row r="2388" spans="3:4">
      <c r="C2388" s="100"/>
      <c r="D2388" s="100"/>
    </row>
    <row r="2389" spans="3:4">
      <c r="C2389" s="100"/>
      <c r="D2389" s="100"/>
    </row>
    <row r="2390" spans="3:4">
      <c r="C2390" s="100"/>
      <c r="D2390" s="100"/>
    </row>
    <row r="2391" spans="3:4">
      <c r="C2391" s="100"/>
      <c r="D2391" s="100"/>
    </row>
    <row r="2392" spans="3:4">
      <c r="C2392" s="100"/>
      <c r="D2392" s="100"/>
    </row>
    <row r="2393" spans="3:4">
      <c r="C2393" s="100"/>
      <c r="D2393" s="100"/>
    </row>
    <row r="2394" spans="3:4">
      <c r="C2394" s="100"/>
      <c r="D2394" s="100"/>
    </row>
    <row r="2395" spans="3:4">
      <c r="C2395" s="100"/>
      <c r="D2395" s="100"/>
    </row>
    <row r="2396" spans="3:4">
      <c r="C2396" s="100"/>
      <c r="D2396" s="100"/>
    </row>
    <row r="2397" spans="3:4">
      <c r="C2397" s="100"/>
      <c r="D2397" s="100"/>
    </row>
    <row r="2398" spans="3:4">
      <c r="C2398" s="100"/>
      <c r="D2398" s="100"/>
    </row>
    <row r="2399" spans="3:4">
      <c r="C2399" s="100"/>
      <c r="D2399" s="100"/>
    </row>
    <row r="2400" spans="3:4">
      <c r="C2400" s="100"/>
      <c r="D2400" s="100"/>
    </row>
    <row r="2401" spans="3:4">
      <c r="C2401" s="100"/>
      <c r="D2401" s="100"/>
    </row>
    <row r="2402" spans="3:4">
      <c r="C2402" s="100"/>
      <c r="D2402" s="100"/>
    </row>
    <row r="2403" spans="3:4">
      <c r="C2403" s="100"/>
      <c r="D2403" s="100"/>
    </row>
    <row r="2404" spans="3:4">
      <c r="C2404" s="100"/>
      <c r="D2404" s="100"/>
    </row>
    <row r="2405" spans="3:4">
      <c r="C2405" s="100"/>
      <c r="D2405" s="100"/>
    </row>
    <row r="2406" spans="3:4">
      <c r="C2406" s="100"/>
      <c r="D2406" s="100"/>
    </row>
    <row r="2407" spans="3:4">
      <c r="C2407" s="100"/>
      <c r="D2407" s="100"/>
    </row>
    <row r="2408" spans="3:4">
      <c r="C2408" s="100"/>
      <c r="D2408" s="100"/>
    </row>
    <row r="2409" spans="3:4">
      <c r="C2409" s="100"/>
      <c r="D2409" s="100"/>
    </row>
    <row r="2410" spans="3:4">
      <c r="C2410" s="100"/>
      <c r="D2410" s="100"/>
    </row>
    <row r="2411" spans="3:4">
      <c r="C2411" s="100"/>
      <c r="D2411" s="100"/>
    </row>
    <row r="2412" spans="3:4">
      <c r="C2412" s="100"/>
      <c r="D2412" s="100"/>
    </row>
    <row r="2413" spans="3:4">
      <c r="C2413" s="100"/>
      <c r="D2413" s="100"/>
    </row>
    <row r="2414" spans="3:4">
      <c r="C2414" s="100"/>
      <c r="D2414" s="100"/>
    </row>
    <row r="2415" spans="3:4">
      <c r="C2415" s="100"/>
      <c r="D2415" s="100"/>
    </row>
    <row r="2416" spans="3:4">
      <c r="C2416" s="100"/>
      <c r="D2416" s="100"/>
    </row>
    <row r="2417" spans="3:4">
      <c r="C2417" s="100"/>
      <c r="D2417" s="100"/>
    </row>
    <row r="2418" spans="3:4">
      <c r="C2418" s="100"/>
      <c r="D2418" s="100"/>
    </row>
    <row r="2419" spans="3:4">
      <c r="C2419" s="100"/>
      <c r="D2419" s="100"/>
    </row>
    <row r="2420" spans="3:4">
      <c r="C2420" s="100"/>
      <c r="D2420" s="100"/>
    </row>
    <row r="2421" spans="3:4">
      <c r="C2421" s="100"/>
      <c r="D2421" s="100"/>
    </row>
    <row r="2422" spans="3:4">
      <c r="C2422" s="100"/>
      <c r="D2422" s="100"/>
    </row>
    <row r="2423" spans="3:4">
      <c r="C2423" s="100"/>
      <c r="D2423" s="100"/>
    </row>
    <row r="2424" spans="3:4">
      <c r="C2424" s="100"/>
      <c r="D2424" s="100"/>
    </row>
    <row r="2425" spans="3:4">
      <c r="C2425" s="100"/>
      <c r="D2425" s="100"/>
    </row>
    <row r="2426" spans="3:4">
      <c r="C2426" s="100"/>
      <c r="D2426" s="100"/>
    </row>
    <row r="2427" spans="3:4">
      <c r="C2427" s="100"/>
      <c r="D2427" s="100"/>
    </row>
    <row r="2428" spans="3:4">
      <c r="C2428" s="100"/>
      <c r="D2428" s="100"/>
    </row>
    <row r="2429" spans="3:4">
      <c r="C2429" s="100"/>
      <c r="D2429" s="100"/>
    </row>
    <row r="2430" spans="3:4">
      <c r="C2430" s="100"/>
      <c r="D2430" s="100"/>
    </row>
    <row r="2431" spans="3:4">
      <c r="C2431" s="100"/>
      <c r="D2431" s="100"/>
    </row>
    <row r="2432" spans="3:4">
      <c r="C2432" s="100"/>
      <c r="D2432" s="100"/>
    </row>
    <row r="2433" spans="3:4">
      <c r="C2433" s="100"/>
      <c r="D2433" s="100"/>
    </row>
    <row r="2434" spans="3:4">
      <c r="C2434" s="100"/>
      <c r="D2434" s="100"/>
    </row>
    <row r="2435" spans="3:4">
      <c r="C2435" s="100"/>
      <c r="D2435" s="100"/>
    </row>
    <row r="2436" spans="3:4">
      <c r="C2436" s="100"/>
      <c r="D2436" s="100"/>
    </row>
    <row r="2437" spans="3:4">
      <c r="C2437" s="100"/>
      <c r="D2437" s="100"/>
    </row>
    <row r="2438" spans="3:4">
      <c r="C2438" s="100"/>
      <c r="D2438" s="100"/>
    </row>
    <row r="2439" spans="3:4">
      <c r="C2439" s="100"/>
      <c r="D2439" s="100"/>
    </row>
    <row r="2440" spans="3:4">
      <c r="C2440" s="100"/>
      <c r="D2440" s="100"/>
    </row>
    <row r="2441" spans="3:4">
      <c r="C2441" s="100"/>
      <c r="D2441" s="100"/>
    </row>
    <row r="2442" spans="3:4">
      <c r="C2442" s="100"/>
      <c r="D2442" s="100"/>
    </row>
    <row r="2443" spans="3:4">
      <c r="C2443" s="100"/>
      <c r="D2443" s="100"/>
    </row>
    <row r="2444" spans="3:4">
      <c r="C2444" s="100"/>
      <c r="D2444" s="100"/>
    </row>
    <row r="2445" spans="3:4">
      <c r="C2445" s="100"/>
      <c r="D2445" s="100"/>
    </row>
    <row r="2446" spans="3:4">
      <c r="C2446" s="100"/>
      <c r="D2446" s="100"/>
    </row>
    <row r="2447" spans="3:4">
      <c r="C2447" s="100"/>
      <c r="D2447" s="100"/>
    </row>
    <row r="2448" spans="3:4">
      <c r="C2448" s="100"/>
      <c r="D2448" s="100"/>
    </row>
    <row r="2449" spans="3:4">
      <c r="C2449" s="100"/>
      <c r="D2449" s="100"/>
    </row>
    <row r="2450" spans="3:4">
      <c r="C2450" s="100"/>
      <c r="D2450" s="100"/>
    </row>
    <row r="2451" spans="3:4">
      <c r="C2451" s="100"/>
      <c r="D2451" s="100"/>
    </row>
    <row r="2452" spans="3:4">
      <c r="C2452" s="100"/>
      <c r="D2452" s="100"/>
    </row>
    <row r="2453" spans="3:4">
      <c r="C2453" s="100"/>
      <c r="D2453" s="100"/>
    </row>
    <row r="2454" spans="3:4">
      <c r="C2454" s="100"/>
      <c r="D2454" s="100"/>
    </row>
    <row r="2455" spans="3:4">
      <c r="C2455" s="100"/>
      <c r="D2455" s="100"/>
    </row>
    <row r="2456" spans="3:4">
      <c r="C2456" s="100"/>
      <c r="D2456" s="100"/>
    </row>
    <row r="2457" spans="3:4">
      <c r="C2457" s="100"/>
      <c r="D2457" s="100"/>
    </row>
    <row r="2458" spans="3:4">
      <c r="C2458" s="100"/>
      <c r="D2458" s="100"/>
    </row>
    <row r="2459" spans="3:4">
      <c r="C2459" s="100"/>
      <c r="D2459" s="100"/>
    </row>
    <row r="2460" spans="3:4">
      <c r="C2460" s="100"/>
      <c r="D2460" s="100"/>
    </row>
    <row r="2461" spans="3:4">
      <c r="C2461" s="100"/>
      <c r="D2461" s="100"/>
    </row>
    <row r="2462" spans="3:4">
      <c r="C2462" s="100"/>
      <c r="D2462" s="100"/>
    </row>
    <row r="2463" spans="3:4">
      <c r="C2463" s="100"/>
      <c r="D2463" s="100"/>
    </row>
    <row r="2464" spans="3:4">
      <c r="C2464" s="100"/>
      <c r="D2464" s="100"/>
    </row>
    <row r="2465" spans="3:4">
      <c r="C2465" s="100"/>
      <c r="D2465" s="100"/>
    </row>
    <row r="2466" spans="3:4">
      <c r="C2466" s="100"/>
      <c r="D2466" s="100"/>
    </row>
    <row r="2467" spans="3:4">
      <c r="C2467" s="100"/>
      <c r="D2467" s="100"/>
    </row>
    <row r="2468" spans="3:4">
      <c r="C2468" s="100"/>
      <c r="D2468" s="100"/>
    </row>
    <row r="2469" spans="3:4">
      <c r="C2469" s="100"/>
      <c r="D2469" s="100"/>
    </row>
    <row r="2470" spans="3:4">
      <c r="C2470" s="100"/>
      <c r="D2470" s="100"/>
    </row>
    <row r="2471" spans="3:4">
      <c r="C2471" s="100"/>
      <c r="D2471" s="100"/>
    </row>
    <row r="2472" spans="3:4">
      <c r="C2472" s="100"/>
      <c r="D2472" s="100"/>
    </row>
    <row r="2473" spans="3:4">
      <c r="C2473" s="100"/>
      <c r="D2473" s="100"/>
    </row>
    <row r="2474" spans="3:4">
      <c r="C2474" s="100"/>
      <c r="D2474" s="100"/>
    </row>
    <row r="2475" spans="3:4">
      <c r="C2475" s="100"/>
      <c r="D2475" s="100"/>
    </row>
    <row r="2476" spans="3:4">
      <c r="C2476" s="100"/>
      <c r="D2476" s="100"/>
    </row>
    <row r="2477" spans="3:4">
      <c r="C2477" s="100"/>
      <c r="D2477" s="100"/>
    </row>
    <row r="2478" spans="3:4">
      <c r="C2478" s="100"/>
      <c r="D2478" s="100"/>
    </row>
    <row r="2479" spans="3:4">
      <c r="C2479" s="100"/>
      <c r="D2479" s="100"/>
    </row>
    <row r="2480" spans="3:4">
      <c r="C2480" s="100"/>
      <c r="D2480" s="100"/>
    </row>
    <row r="2481" spans="3:4">
      <c r="C2481" s="100"/>
      <c r="D2481" s="100"/>
    </row>
    <row r="2482" spans="3:4">
      <c r="C2482" s="100"/>
      <c r="D2482" s="100"/>
    </row>
    <row r="2483" spans="3:4">
      <c r="C2483" s="100"/>
      <c r="D2483" s="100"/>
    </row>
    <row r="2484" spans="3:4">
      <c r="C2484" s="100"/>
      <c r="D2484" s="100"/>
    </row>
    <row r="2485" spans="3:4">
      <c r="C2485" s="100"/>
      <c r="D2485" s="100"/>
    </row>
    <row r="2486" spans="3:4">
      <c r="C2486" s="100"/>
      <c r="D2486" s="100"/>
    </row>
    <row r="2487" spans="3:4">
      <c r="C2487" s="100"/>
      <c r="D2487" s="100"/>
    </row>
    <row r="2488" spans="3:4">
      <c r="C2488" s="100"/>
      <c r="D2488" s="100"/>
    </row>
    <row r="2489" spans="3:4">
      <c r="C2489" s="100"/>
      <c r="D2489" s="100"/>
    </row>
    <row r="2490" spans="3:4">
      <c r="C2490" s="100"/>
      <c r="D2490" s="100"/>
    </row>
    <row r="2491" spans="3:4">
      <c r="C2491" s="100"/>
      <c r="D2491" s="100"/>
    </row>
    <row r="2492" spans="3:4">
      <c r="C2492" s="100"/>
      <c r="D2492" s="100"/>
    </row>
    <row r="2493" spans="3:4">
      <c r="C2493" s="100"/>
      <c r="D2493" s="100"/>
    </row>
    <row r="2494" spans="3:4">
      <c r="C2494" s="100"/>
      <c r="D2494" s="100"/>
    </row>
    <row r="2495" spans="3:4">
      <c r="C2495" s="100"/>
      <c r="D2495" s="100"/>
    </row>
    <row r="2496" spans="3:4">
      <c r="C2496" s="100"/>
      <c r="D2496" s="100"/>
    </row>
    <row r="2497" spans="3:4">
      <c r="C2497" s="100"/>
      <c r="D2497" s="100"/>
    </row>
    <row r="2498" spans="3:4">
      <c r="C2498" s="100"/>
      <c r="D2498" s="100"/>
    </row>
    <row r="2499" spans="3:4">
      <c r="C2499" s="100"/>
      <c r="D2499" s="100"/>
    </row>
    <row r="2500" spans="3:4">
      <c r="C2500" s="100"/>
      <c r="D2500" s="100"/>
    </row>
    <row r="2501" spans="3:4">
      <c r="C2501" s="100"/>
      <c r="D2501" s="100"/>
    </row>
    <row r="2502" spans="3:4">
      <c r="C2502" s="100"/>
      <c r="D2502" s="100"/>
    </row>
    <row r="2503" spans="3:4">
      <c r="C2503" s="100"/>
      <c r="D2503" s="100"/>
    </row>
    <row r="2504" spans="3:4">
      <c r="C2504" s="100"/>
      <c r="D2504" s="100"/>
    </row>
    <row r="2505" spans="3:4">
      <c r="C2505" s="100"/>
      <c r="D2505" s="100"/>
    </row>
    <row r="2506" spans="3:4">
      <c r="C2506" s="100"/>
      <c r="D2506" s="100"/>
    </row>
    <row r="2507" spans="3:4">
      <c r="C2507" s="100"/>
      <c r="D2507" s="100"/>
    </row>
    <row r="2508" spans="3:4">
      <c r="C2508" s="100"/>
      <c r="D2508" s="100"/>
    </row>
    <row r="2509" spans="3:4">
      <c r="C2509" s="100"/>
      <c r="D2509" s="100"/>
    </row>
    <row r="2510" spans="3:4">
      <c r="C2510" s="100"/>
      <c r="D2510" s="100"/>
    </row>
    <row r="2511" spans="3:4">
      <c r="C2511" s="100"/>
      <c r="D2511" s="100"/>
    </row>
    <row r="2512" spans="3:4">
      <c r="C2512" s="100"/>
      <c r="D2512" s="100"/>
    </row>
    <row r="2513" spans="3:4">
      <c r="C2513" s="100"/>
      <c r="D2513" s="100"/>
    </row>
    <row r="2514" spans="3:4">
      <c r="C2514" s="100"/>
      <c r="D2514" s="100"/>
    </row>
    <row r="2515" spans="3:4">
      <c r="C2515" s="100"/>
      <c r="D2515" s="100"/>
    </row>
    <row r="2516" spans="3:4">
      <c r="C2516" s="100"/>
      <c r="D2516" s="100"/>
    </row>
    <row r="2517" spans="3:4">
      <c r="C2517" s="100"/>
      <c r="D2517" s="100"/>
    </row>
    <row r="2518" spans="3:4">
      <c r="C2518" s="100"/>
      <c r="D2518" s="100"/>
    </row>
    <row r="2519" spans="3:4">
      <c r="C2519" s="100"/>
      <c r="D2519" s="100"/>
    </row>
    <row r="2520" spans="3:4">
      <c r="C2520" s="100"/>
      <c r="D2520" s="100"/>
    </row>
    <row r="2521" spans="3:4">
      <c r="C2521" s="100"/>
      <c r="D2521" s="100"/>
    </row>
    <row r="2522" spans="3:4">
      <c r="C2522" s="100"/>
      <c r="D2522" s="100"/>
    </row>
    <row r="2523" spans="3:4">
      <c r="C2523" s="100"/>
      <c r="D2523" s="100"/>
    </row>
    <row r="2524" spans="3:4">
      <c r="C2524" s="100"/>
      <c r="D2524" s="100"/>
    </row>
    <row r="2525" spans="3:4">
      <c r="C2525" s="100"/>
      <c r="D2525" s="100"/>
    </row>
    <row r="2526" spans="3:4">
      <c r="C2526" s="100"/>
      <c r="D2526" s="100"/>
    </row>
    <row r="2527" spans="3:4">
      <c r="C2527" s="100"/>
      <c r="D2527" s="100"/>
    </row>
    <row r="2528" spans="3:4">
      <c r="C2528" s="100"/>
      <c r="D2528" s="100"/>
    </row>
    <row r="2529" spans="3:4">
      <c r="C2529" s="100"/>
      <c r="D2529" s="100"/>
    </row>
    <row r="2530" spans="3:4">
      <c r="C2530" s="100"/>
      <c r="D2530" s="100"/>
    </row>
    <row r="2531" spans="3:4">
      <c r="C2531" s="100"/>
      <c r="D2531" s="100"/>
    </row>
    <row r="2532" spans="3:4">
      <c r="C2532" s="100"/>
      <c r="D2532" s="100"/>
    </row>
    <row r="2533" spans="3:4">
      <c r="C2533" s="100"/>
      <c r="D2533" s="100"/>
    </row>
    <row r="2534" spans="3:4">
      <c r="C2534" s="100"/>
      <c r="D2534" s="100"/>
    </row>
    <row r="2535" spans="3:4">
      <c r="C2535" s="100"/>
      <c r="D2535" s="100"/>
    </row>
    <row r="2536" spans="3:4">
      <c r="C2536" s="100"/>
      <c r="D2536" s="100"/>
    </row>
    <row r="2537" spans="3:4">
      <c r="C2537" s="100"/>
      <c r="D2537" s="100"/>
    </row>
    <row r="2538" spans="3:4">
      <c r="C2538" s="100"/>
      <c r="D2538" s="100"/>
    </row>
    <row r="2539" spans="3:4">
      <c r="C2539" s="100"/>
      <c r="D2539" s="100"/>
    </row>
    <row r="2540" spans="3:4">
      <c r="C2540" s="100"/>
      <c r="D2540" s="100"/>
    </row>
    <row r="2541" spans="3:4">
      <c r="C2541" s="100"/>
      <c r="D2541" s="100"/>
    </row>
    <row r="2542" spans="3:4">
      <c r="C2542" s="100"/>
      <c r="D2542" s="100"/>
    </row>
    <row r="2543" spans="3:4">
      <c r="C2543" s="100"/>
      <c r="D2543" s="100"/>
    </row>
    <row r="2544" spans="3:4">
      <c r="C2544" s="100"/>
      <c r="D2544" s="100"/>
    </row>
    <row r="2545" spans="3:4">
      <c r="C2545" s="100"/>
      <c r="D2545" s="100"/>
    </row>
    <row r="2546" spans="3:4">
      <c r="C2546" s="100"/>
      <c r="D2546" s="100"/>
    </row>
    <row r="2547" spans="3:4">
      <c r="C2547" s="100"/>
      <c r="D2547" s="100"/>
    </row>
    <row r="2548" spans="3:4">
      <c r="C2548" s="100"/>
      <c r="D2548" s="100"/>
    </row>
    <row r="2549" spans="3:4">
      <c r="C2549" s="100"/>
      <c r="D2549" s="100"/>
    </row>
    <row r="2550" spans="3:4">
      <c r="C2550" s="100"/>
      <c r="D2550" s="100"/>
    </row>
    <row r="2551" spans="3:4">
      <c r="C2551" s="100"/>
      <c r="D2551" s="100"/>
    </row>
    <row r="2552" spans="3:4">
      <c r="C2552" s="100"/>
      <c r="D2552" s="100"/>
    </row>
    <row r="2553" spans="3:4">
      <c r="C2553" s="100"/>
      <c r="D2553" s="100"/>
    </row>
    <row r="2554" spans="3:4">
      <c r="C2554" s="100"/>
      <c r="D2554" s="100"/>
    </row>
    <row r="2555" spans="3:4">
      <c r="C2555" s="100"/>
      <c r="D2555" s="100"/>
    </row>
    <row r="2556" spans="3:4">
      <c r="C2556" s="100"/>
      <c r="D2556" s="100"/>
    </row>
    <row r="2557" spans="3:4">
      <c r="C2557" s="100"/>
      <c r="D2557" s="100"/>
    </row>
    <row r="2558" spans="3:4">
      <c r="C2558" s="100"/>
      <c r="D2558" s="100"/>
    </row>
    <row r="2559" spans="3:4">
      <c r="C2559" s="100"/>
      <c r="D2559" s="100"/>
    </row>
    <row r="2560" spans="3:4">
      <c r="C2560" s="100"/>
      <c r="D2560" s="100"/>
    </row>
    <row r="2561" spans="3:4">
      <c r="C2561" s="100"/>
      <c r="D2561" s="100"/>
    </row>
    <row r="2562" spans="3:4">
      <c r="C2562" s="100"/>
      <c r="D2562" s="100"/>
    </row>
    <row r="2563" spans="3:4">
      <c r="C2563" s="100"/>
      <c r="D2563" s="100"/>
    </row>
    <row r="2564" spans="3:4">
      <c r="C2564" s="100"/>
      <c r="D2564" s="100"/>
    </row>
    <row r="2565" spans="3:4">
      <c r="C2565" s="100"/>
      <c r="D2565" s="100"/>
    </row>
    <row r="2566" spans="3:4">
      <c r="C2566" s="100"/>
      <c r="D2566" s="100"/>
    </row>
    <row r="2567" spans="3:4">
      <c r="C2567" s="100"/>
      <c r="D2567" s="100"/>
    </row>
    <row r="2568" spans="3:4">
      <c r="C2568" s="100"/>
      <c r="D2568" s="100"/>
    </row>
    <row r="2569" spans="3:4">
      <c r="C2569" s="100"/>
      <c r="D2569" s="100"/>
    </row>
    <row r="2570" spans="3:4">
      <c r="C2570" s="100"/>
      <c r="D2570" s="100"/>
    </row>
    <row r="2571" spans="3:4">
      <c r="C2571" s="100"/>
      <c r="D2571" s="100"/>
    </row>
    <row r="2572" spans="3:4">
      <c r="C2572" s="100"/>
      <c r="D2572" s="100"/>
    </row>
    <row r="2573" spans="3:4">
      <c r="C2573" s="100"/>
      <c r="D2573" s="100"/>
    </row>
    <row r="2574" spans="3:4">
      <c r="C2574" s="100"/>
      <c r="D2574" s="100"/>
    </row>
    <row r="2575" spans="3:4">
      <c r="C2575" s="100"/>
      <c r="D2575" s="100"/>
    </row>
    <row r="2576" spans="3:4">
      <c r="C2576" s="100"/>
      <c r="D2576" s="100"/>
    </row>
    <row r="2577" spans="3:4">
      <c r="C2577" s="100"/>
      <c r="D2577" s="100"/>
    </row>
    <row r="2578" spans="3:4">
      <c r="C2578" s="100"/>
      <c r="D2578" s="100"/>
    </row>
    <row r="2579" spans="3:4">
      <c r="C2579" s="100"/>
      <c r="D2579" s="100"/>
    </row>
    <row r="2580" spans="3:4">
      <c r="C2580" s="100"/>
      <c r="D2580" s="100"/>
    </row>
    <row r="2581" spans="3:4">
      <c r="C2581" s="100"/>
      <c r="D2581" s="100"/>
    </row>
    <row r="2582" spans="3:4">
      <c r="C2582" s="100"/>
      <c r="D2582" s="100"/>
    </row>
    <row r="2583" spans="3:4">
      <c r="C2583" s="100"/>
      <c r="D2583" s="100"/>
    </row>
    <row r="2584" spans="3:4">
      <c r="C2584" s="100"/>
      <c r="D2584" s="100"/>
    </row>
    <row r="2585" spans="3:4">
      <c r="C2585" s="100"/>
      <c r="D2585" s="100"/>
    </row>
    <row r="2586" spans="3:4">
      <c r="C2586" s="100"/>
      <c r="D2586" s="100"/>
    </row>
    <row r="2587" spans="3:4">
      <c r="C2587" s="100"/>
      <c r="D2587" s="100"/>
    </row>
    <row r="2588" spans="3:4">
      <c r="C2588" s="100"/>
      <c r="D2588" s="100"/>
    </row>
    <row r="2589" spans="3:4">
      <c r="C2589" s="100"/>
      <c r="D2589" s="100"/>
    </row>
    <row r="2590" spans="3:4">
      <c r="C2590" s="100"/>
      <c r="D2590" s="100"/>
    </row>
  </sheetData>
  <mergeCells count="2">
    <mergeCell ref="S55:T55"/>
    <mergeCell ref="W55:X55"/>
  </mergeCells>
  <phoneticPr fontId="147" type="noConversion"/>
  <conditionalFormatting pivot="1" sqref="E11:G24">
    <cfRule type="iconSet" priority="18">
      <iconSet reverse="1">
        <cfvo type="percent" val="0"/>
        <cfvo type="percent" val="0" gte="0"/>
        <cfvo type="percent" val="30"/>
      </iconSet>
    </cfRule>
  </conditionalFormatting>
  <conditionalFormatting pivot="1" sqref="L11:N19">
    <cfRule type="iconSet" priority="14">
      <iconSet reverse="1">
        <cfvo type="percent" val="0"/>
        <cfvo type="percent" val="0" gte="0"/>
        <cfvo type="percent" val="30"/>
      </iconSet>
    </cfRule>
  </conditionalFormatting>
  <conditionalFormatting pivot="1" sqref="D85:D97">
    <cfRule type="iconSet" priority="9">
      <iconSet reverse="1">
        <cfvo type="percent" val="0"/>
        <cfvo type="num" val="0" gte="0"/>
        <cfvo type="num" val="0.3"/>
      </iconSet>
    </cfRule>
  </conditionalFormatting>
  <conditionalFormatting pivot="1" sqref="D106:D113">
    <cfRule type="iconSet" priority="8">
      <iconSet reverse="1">
        <cfvo type="percent" val="0"/>
        <cfvo type="num" val="0" gte="0"/>
        <cfvo type="num" val="0.3"/>
      </iconSet>
    </cfRule>
  </conditionalFormatting>
  <conditionalFormatting pivot="1" sqref="D192:D204">
    <cfRule type="iconSet" priority="7">
      <iconSet>
        <cfvo type="percent" val="0"/>
        <cfvo type="num" val="0" gte="0"/>
        <cfvo type="num" val="0.3"/>
      </iconSet>
    </cfRule>
  </conditionalFormatting>
  <conditionalFormatting pivot="1" sqref="L193:L200">
    <cfRule type="iconSet" priority="6">
      <iconSet reverse="1">
        <cfvo type="percent" val="0"/>
        <cfvo type="num" val="0" gte="0"/>
        <cfvo type="num" val="0.3"/>
      </iconSet>
    </cfRule>
  </conditionalFormatting>
  <conditionalFormatting pivot="1" sqref="D272:D284">
    <cfRule type="iconSet" priority="5">
      <iconSet reverse="1">
        <cfvo type="percent" val="0"/>
        <cfvo type="num" val="0" gte="0"/>
        <cfvo type="num" val="0.3"/>
      </iconSet>
    </cfRule>
  </conditionalFormatting>
  <conditionalFormatting pivot="1" sqref="M271:M278">
    <cfRule type="iconSet" priority="4">
      <iconSet reverse="1">
        <cfvo type="percent" val="0"/>
        <cfvo type="num" val="0" gte="0"/>
        <cfvo type="num" val="0.3"/>
      </iconSet>
    </cfRule>
  </conditionalFormatting>
  <pageMargins left="0.7" right="0.7" top="0.75" bottom="0.75" header="0.3" footer="0.3"/>
  <pageSetup orientation="portrait" r:id="rId37"/>
  <drawing r:id="rId38"/>
  <extLst>
    <ext xmlns:x14="http://schemas.microsoft.com/office/spreadsheetml/2009/9/main" uri="{78C0D931-6437-407d-A8EE-F0AAD7539E65}">
      <x14:conditionalFormattings>
        <x14:conditionalFormatting xmlns:xm="http://schemas.microsoft.com/office/excel/2006/main">
          <x14:cfRule type="iconSet" priority="12374" id="{1A71B69E-74E6-42B2-A144-96599EED8251}">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L30:N30</xm:sqref>
        </x14:conditionalFormatting>
      </x14:conditionalFormattings>
    </ext>
    <ext xmlns:x14="http://schemas.microsoft.com/office/spreadsheetml/2009/9/main" uri="{A8765BA9-456A-4dab-B4F3-ACF838C121DE}">
      <x14:slicerList>
        <x14:slicer r:id="rId39"/>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E8935-E321-45A1-98C7-11296EEBD9D6}">
  <dimension ref="A2:I94"/>
  <sheetViews>
    <sheetView workbookViewId="0">
      <selection activeCell="C20" sqref="C7:C40"/>
      <pivotSelection pane="bottomRight" showHeader="1" axis="axisRow" dimension="2" activeRow="19" activeCol="2" previousRow="19" previousCol="2" click="1" r:id="rId1">
        <pivotArea dataOnly="0" labelOnly="1" outline="0" fieldPosition="0">
          <references count="1">
            <reference field="2" count="0"/>
          </references>
        </pivotArea>
      </pivotSelection>
    </sheetView>
  </sheetViews>
  <sheetFormatPr defaultRowHeight="15.5"/>
  <cols>
    <col min="1" max="1" width="25.58203125" customWidth="1"/>
    <col min="2" max="2" width="27.33203125" bestFit="1" customWidth="1"/>
    <col min="3" max="3" width="27.75" bestFit="1" customWidth="1"/>
    <col min="4" max="4" width="27.33203125" bestFit="1" customWidth="1"/>
    <col min="7" max="7" width="21.5" customWidth="1"/>
  </cols>
  <sheetData>
    <row r="2" spans="1:9">
      <c r="C2" s="413"/>
      <c r="D2" s="413"/>
    </row>
    <row r="3" spans="1:9">
      <c r="A3" s="419" t="s">
        <v>20</v>
      </c>
      <c r="B3" s="413" t="s">
        <v>1471</v>
      </c>
      <c r="C3" s="413"/>
      <c r="D3" s="413"/>
    </row>
    <row r="4" spans="1:9">
      <c r="A4" s="419" t="s">
        <v>34</v>
      </c>
      <c r="B4" s="413" t="s">
        <v>34</v>
      </c>
      <c r="C4" s="413"/>
      <c r="D4" s="413"/>
    </row>
    <row r="6" spans="1:9">
      <c r="A6" s="419" t="s">
        <v>21</v>
      </c>
      <c r="B6" s="419" t="s">
        <v>1759</v>
      </c>
      <c r="C6" s="419" t="s">
        <v>1761</v>
      </c>
      <c r="F6" s="162" t="s">
        <v>21</v>
      </c>
      <c r="G6" s="162" t="s">
        <v>1759</v>
      </c>
      <c r="H6" s="162" t="s">
        <v>1761</v>
      </c>
      <c r="I6" s="162" t="s">
        <v>1761</v>
      </c>
    </row>
    <row r="7" spans="1:9">
      <c r="A7" s="413" t="s">
        <v>37</v>
      </c>
      <c r="B7" s="413" t="s">
        <v>914</v>
      </c>
      <c r="C7" s="413" t="s">
        <v>141</v>
      </c>
      <c r="D7" s="986" t="s">
        <v>37</v>
      </c>
      <c r="E7" s="987" t="s">
        <v>914</v>
      </c>
      <c r="F7" s="157" t="s">
        <v>37</v>
      </c>
      <c r="G7" s="157" t="s">
        <v>914</v>
      </c>
      <c r="H7" s="413"/>
      <c r="I7" s="413"/>
    </row>
    <row r="8" spans="1:9">
      <c r="A8" s="413" t="s">
        <v>37</v>
      </c>
      <c r="B8" s="413" t="s">
        <v>141</v>
      </c>
      <c r="C8" s="413" t="s">
        <v>141</v>
      </c>
      <c r="D8" s="988" t="s">
        <v>37</v>
      </c>
      <c r="E8" s="989" t="s">
        <v>141</v>
      </c>
      <c r="F8" s="157" t="s">
        <v>37</v>
      </c>
      <c r="G8" s="157" t="s">
        <v>141</v>
      </c>
      <c r="H8" s="413"/>
      <c r="I8" s="413"/>
    </row>
    <row r="9" spans="1:9">
      <c r="A9" s="413" t="s">
        <v>37</v>
      </c>
      <c r="B9" s="413" t="s">
        <v>141</v>
      </c>
      <c r="C9" s="413" t="s">
        <v>3290</v>
      </c>
      <c r="D9" s="986" t="s">
        <v>37</v>
      </c>
      <c r="E9" s="987" t="s">
        <v>36</v>
      </c>
      <c r="F9" s="157" t="s">
        <v>37</v>
      </c>
      <c r="G9" s="157" t="s">
        <v>36</v>
      </c>
      <c r="H9" s="413"/>
      <c r="I9" s="413"/>
    </row>
    <row r="10" spans="1:9">
      <c r="A10" s="413" t="s">
        <v>37</v>
      </c>
      <c r="B10" s="413" t="s">
        <v>141</v>
      </c>
      <c r="C10" s="413" t="s">
        <v>3283</v>
      </c>
      <c r="D10" s="988" t="s">
        <v>37</v>
      </c>
      <c r="E10" s="989" t="s">
        <v>192</v>
      </c>
      <c r="F10" s="157" t="s">
        <v>37</v>
      </c>
      <c r="G10" s="157" t="s">
        <v>3141</v>
      </c>
      <c r="H10" s="413"/>
      <c r="I10" s="413"/>
    </row>
    <row r="11" spans="1:9">
      <c r="A11" s="413" t="s">
        <v>37</v>
      </c>
      <c r="B11" s="413" t="s">
        <v>141</v>
      </c>
      <c r="C11" s="413" t="s">
        <v>3331</v>
      </c>
      <c r="D11" s="986" t="s">
        <v>37</v>
      </c>
      <c r="E11" s="987" t="s">
        <v>242</v>
      </c>
      <c r="F11" s="157" t="s">
        <v>37</v>
      </c>
      <c r="G11" s="157" t="s">
        <v>3363</v>
      </c>
      <c r="H11" s="413"/>
      <c r="I11" s="413"/>
    </row>
    <row r="12" spans="1:9">
      <c r="A12" s="413" t="s">
        <v>37</v>
      </c>
      <c r="B12" s="413" t="s">
        <v>141</v>
      </c>
      <c r="C12" s="413" t="s">
        <v>3350</v>
      </c>
      <c r="D12" s="988" t="s">
        <v>37</v>
      </c>
      <c r="E12" s="989" t="s">
        <v>276</v>
      </c>
      <c r="F12" s="157" t="s">
        <v>37</v>
      </c>
      <c r="G12" s="157" t="s">
        <v>276</v>
      </c>
      <c r="H12" s="413"/>
      <c r="I12" s="413"/>
    </row>
    <row r="13" spans="1:9">
      <c r="A13" s="413" t="s">
        <v>37</v>
      </c>
      <c r="B13" s="413" t="s">
        <v>36</v>
      </c>
      <c r="C13" s="413" t="s">
        <v>36</v>
      </c>
      <c r="D13" s="986" t="s">
        <v>37</v>
      </c>
      <c r="E13" s="987" t="s">
        <v>2634</v>
      </c>
      <c r="F13" s="157" t="s">
        <v>37</v>
      </c>
      <c r="G13" s="157" t="s">
        <v>2634</v>
      </c>
      <c r="H13" s="413"/>
      <c r="I13" s="413"/>
    </row>
    <row r="14" spans="1:9">
      <c r="A14" s="413" t="s">
        <v>37</v>
      </c>
      <c r="B14" s="413" t="s">
        <v>192</v>
      </c>
      <c r="C14" s="413" t="s">
        <v>192</v>
      </c>
      <c r="D14" s="988" t="s">
        <v>37</v>
      </c>
      <c r="E14" s="989" t="s">
        <v>241</v>
      </c>
      <c r="F14" s="157" t="s">
        <v>37</v>
      </c>
      <c r="G14" s="157" t="s">
        <v>241</v>
      </c>
      <c r="H14" s="413"/>
      <c r="I14" s="413"/>
    </row>
    <row r="15" spans="1:9">
      <c r="A15" s="413" t="s">
        <v>37</v>
      </c>
      <c r="B15" s="413" t="s">
        <v>192</v>
      </c>
      <c r="C15" s="413" t="s">
        <v>3285</v>
      </c>
      <c r="D15" s="986" t="s">
        <v>37</v>
      </c>
      <c r="E15" s="987" t="s">
        <v>291</v>
      </c>
      <c r="F15" s="157" t="s">
        <v>37</v>
      </c>
      <c r="G15" s="157" t="s">
        <v>291</v>
      </c>
      <c r="H15" s="413"/>
      <c r="I15" s="413"/>
    </row>
    <row r="16" spans="1:9">
      <c r="A16" s="413" t="s">
        <v>37</v>
      </c>
      <c r="B16" s="413" t="s">
        <v>192</v>
      </c>
      <c r="C16" s="413" t="s">
        <v>3326</v>
      </c>
      <c r="D16" s="988" t="s">
        <v>515</v>
      </c>
      <c r="E16" s="989" t="s">
        <v>2154</v>
      </c>
      <c r="F16" s="157" t="s">
        <v>515</v>
      </c>
      <c r="G16" s="157" t="s">
        <v>311</v>
      </c>
      <c r="H16" s="413"/>
      <c r="I16" s="413"/>
    </row>
    <row r="17" spans="1:9">
      <c r="A17" s="413" t="s">
        <v>37</v>
      </c>
      <c r="B17" s="413" t="s">
        <v>242</v>
      </c>
      <c r="C17" s="413" t="s">
        <v>242</v>
      </c>
      <c r="D17" s="986" t="s">
        <v>515</v>
      </c>
      <c r="E17" s="987" t="s">
        <v>192</v>
      </c>
      <c r="F17" s="157" t="s">
        <v>515</v>
      </c>
      <c r="G17" s="157" t="s">
        <v>2925</v>
      </c>
      <c r="H17" s="413"/>
      <c r="I17" s="413"/>
    </row>
    <row r="18" spans="1:9">
      <c r="A18" s="413" t="s">
        <v>37</v>
      </c>
      <c r="B18" s="413" t="s">
        <v>242</v>
      </c>
      <c r="C18" s="413" t="s">
        <v>3309</v>
      </c>
      <c r="D18" s="988" t="s">
        <v>515</v>
      </c>
      <c r="E18" s="989" t="s">
        <v>2925</v>
      </c>
      <c r="F18" s="157" t="s">
        <v>515</v>
      </c>
      <c r="G18" s="157" t="s">
        <v>2154</v>
      </c>
      <c r="H18" s="413"/>
      <c r="I18" s="413"/>
    </row>
    <row r="19" spans="1:9">
      <c r="A19" s="413" t="s">
        <v>37</v>
      </c>
      <c r="B19" s="413" t="s">
        <v>276</v>
      </c>
      <c r="C19" s="413" t="s">
        <v>276</v>
      </c>
      <c r="D19" s="986" t="s">
        <v>515</v>
      </c>
      <c r="E19" s="987" t="s">
        <v>36</v>
      </c>
      <c r="F19" s="157" t="s">
        <v>515</v>
      </c>
      <c r="G19" s="157" t="s">
        <v>36</v>
      </c>
      <c r="H19" s="413"/>
      <c r="I19" s="413"/>
    </row>
    <row r="20" spans="1:9">
      <c r="A20" s="413" t="s">
        <v>37</v>
      </c>
      <c r="B20" s="413" t="s">
        <v>276</v>
      </c>
      <c r="C20" s="413" t="s">
        <v>3299</v>
      </c>
      <c r="D20" s="988" t="s">
        <v>515</v>
      </c>
      <c r="E20" s="989" t="s">
        <v>311</v>
      </c>
      <c r="F20" s="157" t="s">
        <v>515</v>
      </c>
      <c r="G20" s="413" t="s">
        <v>2672</v>
      </c>
      <c r="H20" s="413"/>
      <c r="I20" s="413"/>
    </row>
    <row r="21" spans="1:9">
      <c r="A21" s="413" t="s">
        <v>37</v>
      </c>
      <c r="B21" s="413" t="s">
        <v>2634</v>
      </c>
      <c r="C21" s="413" t="s">
        <v>2634</v>
      </c>
      <c r="D21" s="986" t="s">
        <v>515</v>
      </c>
      <c r="E21" s="987" t="s">
        <v>2793</v>
      </c>
      <c r="F21" s="157" t="s">
        <v>515</v>
      </c>
      <c r="G21" s="157" t="s">
        <v>192</v>
      </c>
      <c r="H21" s="413"/>
      <c r="I21" s="413"/>
    </row>
    <row r="22" spans="1:9">
      <c r="A22" s="413" t="s">
        <v>37</v>
      </c>
      <c r="B22" s="413" t="s">
        <v>291</v>
      </c>
      <c r="C22" s="413" t="s">
        <v>291</v>
      </c>
      <c r="F22" s="157" t="s">
        <v>515</v>
      </c>
      <c r="G22" s="157" t="s">
        <v>297</v>
      </c>
      <c r="H22" s="413"/>
      <c r="I22" s="413"/>
    </row>
    <row r="23" spans="1:9">
      <c r="A23" s="413" t="s">
        <v>37</v>
      </c>
      <c r="B23" s="413" t="s">
        <v>3133</v>
      </c>
      <c r="C23" s="413" t="s">
        <v>3133</v>
      </c>
      <c r="F23" s="157"/>
      <c r="G23" s="157"/>
      <c r="H23" s="413"/>
      <c r="I23" s="413"/>
    </row>
    <row r="24" spans="1:9">
      <c r="A24" s="413" t="s">
        <v>37</v>
      </c>
      <c r="B24" s="413" t="s">
        <v>3214</v>
      </c>
      <c r="C24" s="413" t="s">
        <v>3214</v>
      </c>
      <c r="F24" s="161"/>
      <c r="G24" s="157"/>
      <c r="H24" s="413"/>
      <c r="I24" s="413"/>
    </row>
    <row r="25" spans="1:9">
      <c r="A25" s="413" t="s">
        <v>37</v>
      </c>
      <c r="B25" s="413" t="s">
        <v>3179</v>
      </c>
      <c r="C25" s="413" t="s">
        <v>141</v>
      </c>
      <c r="F25" s="157"/>
      <c r="G25" s="157"/>
      <c r="H25" s="413"/>
      <c r="I25" s="413"/>
    </row>
    <row r="26" spans="1:9">
      <c r="A26" s="413" t="s">
        <v>37</v>
      </c>
      <c r="B26" s="413" t="s">
        <v>3180</v>
      </c>
      <c r="C26" s="413" t="s">
        <v>141</v>
      </c>
      <c r="F26" s="157"/>
      <c r="G26" s="157"/>
      <c r="H26" s="413"/>
      <c r="I26" s="413"/>
    </row>
    <row r="27" spans="1:9">
      <c r="A27" s="413" t="s">
        <v>37</v>
      </c>
      <c r="B27" s="413" t="s">
        <v>3218</v>
      </c>
      <c r="C27" s="413" t="s">
        <v>3222</v>
      </c>
      <c r="F27" s="157"/>
      <c r="G27" s="157"/>
      <c r="H27" s="413"/>
      <c r="I27" s="413"/>
    </row>
    <row r="28" spans="1:9">
      <c r="A28" s="413" t="s">
        <v>37</v>
      </c>
      <c r="B28" s="413" t="s">
        <v>3347</v>
      </c>
      <c r="C28" s="413" t="s">
        <v>3347</v>
      </c>
      <c r="F28" s="157"/>
      <c r="G28" s="157"/>
      <c r="H28" s="413"/>
      <c r="I28" s="413"/>
    </row>
    <row r="29" spans="1:9">
      <c r="A29" s="413" t="s">
        <v>37</v>
      </c>
      <c r="B29" s="413" t="s">
        <v>3347</v>
      </c>
      <c r="C29" s="413" t="s">
        <v>3349</v>
      </c>
      <c r="F29" s="157"/>
      <c r="G29" s="157"/>
      <c r="H29" s="413"/>
      <c r="I29" s="413"/>
    </row>
    <row r="30" spans="1:9">
      <c r="A30" s="413" t="s">
        <v>37</v>
      </c>
      <c r="B30" s="413" t="s">
        <v>3347</v>
      </c>
      <c r="C30" s="413" t="s">
        <v>3348</v>
      </c>
      <c r="F30" s="157"/>
      <c r="G30" s="157"/>
      <c r="H30" s="413"/>
      <c r="I30" s="413"/>
    </row>
    <row r="31" spans="1:9">
      <c r="A31" s="413" t="s">
        <v>37</v>
      </c>
      <c r="B31" s="413" t="s">
        <v>3347</v>
      </c>
      <c r="C31" s="413" t="s">
        <v>3362</v>
      </c>
      <c r="F31" s="157"/>
      <c r="G31" s="157"/>
      <c r="H31" s="413"/>
      <c r="I31" s="413"/>
    </row>
    <row r="32" spans="1:9">
      <c r="A32" s="413" t="s">
        <v>515</v>
      </c>
      <c r="B32" s="413" t="s">
        <v>311</v>
      </c>
      <c r="C32" s="413" t="s">
        <v>2793</v>
      </c>
      <c r="F32" s="157"/>
      <c r="G32" s="157"/>
      <c r="H32" s="413"/>
      <c r="I32" s="413"/>
    </row>
    <row r="33" spans="1:9">
      <c r="A33" s="413" t="s">
        <v>515</v>
      </c>
      <c r="B33" s="413" t="s">
        <v>311</v>
      </c>
      <c r="C33" s="413" t="s">
        <v>2672</v>
      </c>
      <c r="F33" s="157"/>
      <c r="G33" s="157"/>
      <c r="H33" s="413"/>
      <c r="I33" s="413"/>
    </row>
    <row r="34" spans="1:9">
      <c r="A34" s="413" t="s">
        <v>515</v>
      </c>
      <c r="B34" s="413" t="s">
        <v>2154</v>
      </c>
      <c r="C34" s="413" t="s">
        <v>2154</v>
      </c>
      <c r="F34" s="157"/>
      <c r="G34" s="157"/>
      <c r="H34" s="413"/>
      <c r="I34" s="413"/>
    </row>
    <row r="35" spans="1:9">
      <c r="A35" s="413" t="s">
        <v>515</v>
      </c>
      <c r="B35" s="413" t="s">
        <v>192</v>
      </c>
      <c r="C35" s="413" t="s">
        <v>192</v>
      </c>
      <c r="F35" s="157"/>
      <c r="G35" s="157"/>
      <c r="H35" s="413"/>
      <c r="I35" s="413"/>
    </row>
    <row r="36" spans="1:9">
      <c r="A36" s="413" t="s">
        <v>515</v>
      </c>
      <c r="B36" s="413" t="s">
        <v>192</v>
      </c>
      <c r="C36" s="413" t="s">
        <v>2341</v>
      </c>
      <c r="F36" s="157"/>
      <c r="G36" s="157"/>
      <c r="H36" s="413"/>
      <c r="I36" s="413"/>
    </row>
    <row r="37" spans="1:9">
      <c r="A37" s="413" t="s">
        <v>515</v>
      </c>
      <c r="B37" s="413" t="s">
        <v>2953</v>
      </c>
      <c r="C37" s="413" t="s">
        <v>2953</v>
      </c>
      <c r="F37" s="157"/>
      <c r="G37" s="157"/>
      <c r="H37" s="413"/>
      <c r="I37" s="413"/>
    </row>
    <row r="38" spans="1:9">
      <c r="A38" s="413" t="s">
        <v>515</v>
      </c>
      <c r="B38" s="413" t="s">
        <v>2341</v>
      </c>
      <c r="C38" s="413" t="s">
        <v>2341</v>
      </c>
      <c r="F38" s="157"/>
      <c r="G38" s="157"/>
      <c r="H38" s="413"/>
      <c r="I38" s="413"/>
    </row>
    <row r="39" spans="1:9">
      <c r="A39" s="413" t="s">
        <v>515</v>
      </c>
      <c r="B39" s="413" t="s">
        <v>309</v>
      </c>
      <c r="C39" s="413" t="s">
        <v>3315</v>
      </c>
      <c r="F39" s="157"/>
      <c r="G39" s="157"/>
      <c r="H39" s="413"/>
      <c r="I39" s="413"/>
    </row>
    <row r="40" spans="1:9">
      <c r="A40" s="413" t="s">
        <v>515</v>
      </c>
      <c r="B40" s="413" t="s">
        <v>297</v>
      </c>
      <c r="C40" s="413" t="s">
        <v>297</v>
      </c>
      <c r="F40" s="157"/>
      <c r="G40" s="157"/>
      <c r="H40" s="413"/>
      <c r="I40" s="413"/>
    </row>
    <row r="41" spans="1:9">
      <c r="F41" s="157"/>
      <c r="G41" s="157"/>
      <c r="H41" s="413"/>
      <c r="I41" s="413"/>
    </row>
    <row r="42" spans="1:9">
      <c r="F42" s="157"/>
      <c r="G42" s="157"/>
      <c r="H42" s="413"/>
      <c r="I42" s="413"/>
    </row>
    <row r="43" spans="1:9">
      <c r="F43" s="157"/>
      <c r="G43" s="157"/>
      <c r="H43" s="413"/>
      <c r="I43" s="413"/>
    </row>
    <row r="44" spans="1:9">
      <c r="F44" s="157"/>
      <c r="G44" s="157"/>
      <c r="H44" s="413"/>
      <c r="I44" s="413"/>
    </row>
    <row r="45" spans="1:9">
      <c r="F45" s="157"/>
      <c r="G45" s="157"/>
      <c r="H45" s="413"/>
      <c r="I45" s="413"/>
    </row>
    <row r="46" spans="1:9">
      <c r="F46" s="157" t="s">
        <v>37</v>
      </c>
      <c r="G46" s="157" t="s">
        <v>142</v>
      </c>
      <c r="H46" s="413" t="s">
        <v>36</v>
      </c>
      <c r="I46" s="413" t="s">
        <v>36</v>
      </c>
    </row>
    <row r="47" spans="1:9">
      <c r="F47" s="157" t="s">
        <v>37</v>
      </c>
      <c r="G47" s="157" t="s">
        <v>142</v>
      </c>
      <c r="H47" s="413" t="s">
        <v>192</v>
      </c>
      <c r="I47" s="413" t="s">
        <v>192</v>
      </c>
    </row>
    <row r="48" spans="1:9">
      <c r="F48" s="157" t="s">
        <v>37</v>
      </c>
      <c r="G48" s="157" t="s">
        <v>142</v>
      </c>
      <c r="H48" s="413" t="s">
        <v>242</v>
      </c>
      <c r="I48" s="413" t="s">
        <v>242</v>
      </c>
    </row>
    <row r="49" spans="6:9">
      <c r="F49" s="157" t="s">
        <v>37</v>
      </c>
      <c r="G49" s="157" t="s">
        <v>142</v>
      </c>
      <c r="H49" s="413" t="s">
        <v>2634</v>
      </c>
      <c r="I49" s="413" t="s">
        <v>2634</v>
      </c>
    </row>
    <row r="50" spans="6:9">
      <c r="F50" s="157" t="s">
        <v>37</v>
      </c>
      <c r="G50" s="157" t="s">
        <v>142</v>
      </c>
      <c r="H50" s="413" t="s">
        <v>3180</v>
      </c>
      <c r="I50" s="413" t="s">
        <v>141</v>
      </c>
    </row>
    <row r="51" spans="6:9">
      <c r="F51" s="157" t="s">
        <v>37</v>
      </c>
      <c r="G51" s="157" t="s">
        <v>142</v>
      </c>
      <c r="H51" s="413" t="s">
        <v>3218</v>
      </c>
      <c r="I51" s="413" t="s">
        <v>3222</v>
      </c>
    </row>
    <row r="52" spans="6:9">
      <c r="F52" s="157" t="s">
        <v>37</v>
      </c>
      <c r="G52" s="157" t="s">
        <v>142</v>
      </c>
      <c r="H52" s="413" t="s">
        <v>3347</v>
      </c>
      <c r="I52" s="413" t="s">
        <v>3347</v>
      </c>
    </row>
    <row r="53" spans="6:9">
      <c r="F53" s="157" t="s">
        <v>37</v>
      </c>
      <c r="G53" s="157" t="s">
        <v>142</v>
      </c>
      <c r="H53" s="413" t="s">
        <v>3347</v>
      </c>
      <c r="I53" s="413" t="s">
        <v>3349</v>
      </c>
    </row>
    <row r="54" spans="6:9">
      <c r="F54" s="161" t="s">
        <v>37</v>
      </c>
      <c r="G54" s="157" t="s">
        <v>142</v>
      </c>
      <c r="H54" s="413" t="s">
        <v>3347</v>
      </c>
      <c r="I54" s="413" t="s">
        <v>3362</v>
      </c>
    </row>
    <row r="55" spans="6:9">
      <c r="F55" s="157" t="s">
        <v>515</v>
      </c>
      <c r="G55" s="157" t="s">
        <v>534</v>
      </c>
      <c r="H55" s="413" t="s">
        <v>192</v>
      </c>
      <c r="I55" s="413" t="s">
        <v>192</v>
      </c>
    </row>
    <row r="56" spans="6:9">
      <c r="F56" s="157" t="s">
        <v>515</v>
      </c>
      <c r="G56" s="157" t="s">
        <v>556</v>
      </c>
      <c r="H56" s="413" t="s">
        <v>311</v>
      </c>
      <c r="I56" s="413" t="s">
        <v>2672</v>
      </c>
    </row>
    <row r="57" spans="6:9">
      <c r="F57" s="157" t="s">
        <v>515</v>
      </c>
      <c r="G57" s="157" t="s">
        <v>519</v>
      </c>
      <c r="H57" s="413" t="s">
        <v>192</v>
      </c>
      <c r="I57" s="413" t="s">
        <v>192</v>
      </c>
    </row>
    <row r="58" spans="6:9">
      <c r="F58" s="157" t="s">
        <v>515</v>
      </c>
      <c r="G58" s="157" t="s">
        <v>955</v>
      </c>
      <c r="H58" s="413" t="s">
        <v>192</v>
      </c>
      <c r="I58" s="413" t="s">
        <v>192</v>
      </c>
    </row>
    <row r="59" spans="6:9">
      <c r="F59" s="157" t="s">
        <v>515</v>
      </c>
      <c r="G59" s="157" t="s">
        <v>956</v>
      </c>
      <c r="H59" s="413" t="s">
        <v>311</v>
      </c>
      <c r="I59" s="413" t="s">
        <v>2793</v>
      </c>
    </row>
    <row r="60" spans="6:9">
      <c r="F60" s="157" t="s">
        <v>515</v>
      </c>
      <c r="G60" s="157" t="s">
        <v>956</v>
      </c>
      <c r="H60" s="413" t="s">
        <v>192</v>
      </c>
      <c r="I60" s="413" t="s">
        <v>192</v>
      </c>
    </row>
    <row r="61" spans="6:9">
      <c r="F61" s="157" t="s">
        <v>515</v>
      </c>
      <c r="G61" s="157" t="s">
        <v>958</v>
      </c>
      <c r="H61" s="413" t="s">
        <v>2154</v>
      </c>
      <c r="I61" s="413" t="s">
        <v>2154</v>
      </c>
    </row>
    <row r="62" spans="6:9">
      <c r="F62" s="157" t="s">
        <v>515</v>
      </c>
      <c r="G62" s="157" t="s">
        <v>522</v>
      </c>
      <c r="H62" s="413" t="s">
        <v>192</v>
      </c>
      <c r="I62" s="413" t="s">
        <v>192</v>
      </c>
    </row>
    <row r="63" spans="6:9">
      <c r="F63" s="157" t="s">
        <v>515</v>
      </c>
      <c r="G63" s="157" t="s">
        <v>522</v>
      </c>
      <c r="H63" s="413" t="s">
        <v>2341</v>
      </c>
      <c r="I63" s="413" t="s">
        <v>2341</v>
      </c>
    </row>
    <row r="64" spans="6:9">
      <c r="F64" s="157" t="s">
        <v>515</v>
      </c>
      <c r="G64" s="157" t="s">
        <v>525</v>
      </c>
      <c r="H64" s="413" t="s">
        <v>311</v>
      </c>
      <c r="I64" s="413" t="s">
        <v>2793</v>
      </c>
    </row>
    <row r="65" spans="6:9">
      <c r="F65" s="157" t="s">
        <v>515</v>
      </c>
      <c r="G65" s="157" t="s">
        <v>525</v>
      </c>
      <c r="H65" s="413" t="s">
        <v>311</v>
      </c>
      <c r="I65" s="413" t="s">
        <v>2672</v>
      </c>
    </row>
    <row r="66" spans="6:9">
      <c r="F66" s="157" t="s">
        <v>515</v>
      </c>
      <c r="G66" s="157" t="s">
        <v>525</v>
      </c>
      <c r="H66" s="413" t="s">
        <v>192</v>
      </c>
      <c r="I66" s="413" t="s">
        <v>192</v>
      </c>
    </row>
    <row r="67" spans="6:9">
      <c r="F67" s="157" t="s">
        <v>515</v>
      </c>
      <c r="G67" s="157" t="s">
        <v>525</v>
      </c>
      <c r="H67" s="413" t="s">
        <v>309</v>
      </c>
      <c r="I67" s="413" t="s">
        <v>3315</v>
      </c>
    </row>
    <row r="68" spans="6:9">
      <c r="F68" s="157" t="s">
        <v>515</v>
      </c>
      <c r="G68" s="157" t="s">
        <v>516</v>
      </c>
      <c r="H68" s="413" t="s">
        <v>192</v>
      </c>
      <c r="I68" s="413" t="s">
        <v>192</v>
      </c>
    </row>
    <row r="69" spans="6:9">
      <c r="F69" s="157" t="s">
        <v>515</v>
      </c>
      <c r="G69" s="157" t="s">
        <v>516</v>
      </c>
      <c r="H69" s="413" t="s">
        <v>192</v>
      </c>
      <c r="I69" s="413" t="s">
        <v>2341</v>
      </c>
    </row>
    <row r="70" spans="6:9">
      <c r="F70" s="157" t="s">
        <v>515</v>
      </c>
      <c r="G70" s="157" t="s">
        <v>516</v>
      </c>
      <c r="H70" s="413" t="s">
        <v>2341</v>
      </c>
      <c r="I70" s="413" t="s">
        <v>2341</v>
      </c>
    </row>
    <row r="71" spans="6:9">
      <c r="F71" s="157" t="s">
        <v>515</v>
      </c>
      <c r="G71" s="157" t="s">
        <v>536</v>
      </c>
      <c r="H71" s="413" t="s">
        <v>192</v>
      </c>
      <c r="I71" s="413" t="s">
        <v>192</v>
      </c>
    </row>
    <row r="72" spans="6:9">
      <c r="F72" s="157" t="s">
        <v>515</v>
      </c>
      <c r="G72" s="157" t="s">
        <v>536</v>
      </c>
      <c r="H72" s="413" t="s">
        <v>2953</v>
      </c>
      <c r="I72" s="413" t="s">
        <v>2953</v>
      </c>
    </row>
    <row r="73" spans="6:9">
      <c r="F73" s="161" t="s">
        <v>515</v>
      </c>
      <c r="G73" s="157" t="s">
        <v>979</v>
      </c>
      <c r="H73" s="413" t="s">
        <v>297</v>
      </c>
      <c r="I73" s="413" t="s">
        <v>297</v>
      </c>
    </row>
    <row r="94" spans="1:2">
      <c r="A94" s="419"/>
      <c r="B94" s="419"/>
    </row>
  </sheetData>
  <phoneticPr fontId="147" type="noConversion"/>
  <pageMargins left="0.7" right="0.7" top="0.75" bottom="0.75" header="0.3" footer="0.3"/>
  <pageSetup orientation="portrait" r:id="rId2"/>
  <drawing r:id="rId3"/>
  <tableParts count="1">
    <tablePart r:id="rId4"/>
  </tableParts>
  <extLst>
    <ext xmlns:x14="http://schemas.microsoft.com/office/spreadsheetml/2009/9/main" uri="{A8765BA9-456A-4dab-B4F3-ACF838C121DE}">
      <x14:slicerList>
        <x14:slicer r:id="rId5"/>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50BE5-0F45-4A34-9583-B71B613DD3E7}">
  <dimension ref="B1:M78"/>
  <sheetViews>
    <sheetView topLeftCell="A16" workbookViewId="0">
      <selection activeCell="C33" sqref="C33"/>
    </sheetView>
  </sheetViews>
  <sheetFormatPr defaultRowHeight="15.5"/>
  <cols>
    <col min="2" max="2" width="18.33203125" customWidth="1"/>
    <col min="3" max="3" width="18.1640625" customWidth="1"/>
    <col min="4" max="4" width="10.6640625" customWidth="1"/>
    <col min="6" max="6" width="28.6640625" bestFit="1" customWidth="1"/>
    <col min="7" max="7" width="16.33203125" bestFit="1" customWidth="1"/>
    <col min="9" max="9" width="11.9140625" bestFit="1" customWidth="1"/>
    <col min="10" max="10" width="16.33203125" bestFit="1" customWidth="1"/>
    <col min="11" max="11" width="60.58203125" bestFit="1" customWidth="1"/>
  </cols>
  <sheetData>
    <row r="1" spans="2:13">
      <c r="B1" t="s">
        <v>21</v>
      </c>
      <c r="C1" t="s">
        <v>2799</v>
      </c>
      <c r="D1" t="s">
        <v>2800</v>
      </c>
      <c r="F1" s="419" t="s">
        <v>21</v>
      </c>
      <c r="G1" s="419" t="s">
        <v>2799</v>
      </c>
      <c r="I1" s="162" t="s">
        <v>21</v>
      </c>
      <c r="J1" s="162" t="s">
        <v>2799</v>
      </c>
      <c r="K1" t="s">
        <v>3110</v>
      </c>
      <c r="L1" t="s">
        <v>2926</v>
      </c>
      <c r="M1" t="s">
        <v>2210</v>
      </c>
    </row>
    <row r="2" spans="2:13">
      <c r="B2" s="157" t="s">
        <v>37</v>
      </c>
      <c r="C2" s="413" t="s">
        <v>914</v>
      </c>
      <c r="D2" t="s">
        <v>2950</v>
      </c>
      <c r="F2" s="413" t="s">
        <v>2688</v>
      </c>
      <c r="G2" s="413" t="s">
        <v>2802</v>
      </c>
      <c r="I2" s="942" t="s">
        <v>2690</v>
      </c>
      <c r="J2" s="942" t="s">
        <v>36</v>
      </c>
      <c r="K2" s="939" t="s">
        <v>3143</v>
      </c>
      <c r="L2" s="943" t="s">
        <v>2927</v>
      </c>
      <c r="M2" t="s">
        <v>3123</v>
      </c>
    </row>
    <row r="3" spans="2:13">
      <c r="B3" s="157" t="s">
        <v>37</v>
      </c>
      <c r="C3" s="413" t="s">
        <v>141</v>
      </c>
      <c r="D3" s="413" t="s">
        <v>2950</v>
      </c>
      <c r="F3" s="413" t="s">
        <v>2688</v>
      </c>
      <c r="G3" s="413" t="s">
        <v>2918</v>
      </c>
      <c r="I3" s="944" t="s">
        <v>610</v>
      </c>
      <c r="J3" s="939" t="s">
        <v>3113</v>
      </c>
      <c r="K3" s="939" t="s">
        <v>3144</v>
      </c>
      <c r="L3" s="940" t="s">
        <v>3122</v>
      </c>
      <c r="M3" t="s">
        <v>3123</v>
      </c>
    </row>
    <row r="4" spans="2:13">
      <c r="B4" s="157" t="s">
        <v>37</v>
      </c>
      <c r="C4" s="413" t="s">
        <v>36</v>
      </c>
      <c r="D4" s="413" t="s">
        <v>2950</v>
      </c>
      <c r="F4" s="413" t="s">
        <v>610</v>
      </c>
      <c r="G4" s="413" t="s">
        <v>311</v>
      </c>
      <c r="I4" s="939" t="s">
        <v>610</v>
      </c>
      <c r="J4" s="939" t="s">
        <v>311</v>
      </c>
      <c r="K4" s="939" t="s">
        <v>3145</v>
      </c>
      <c r="L4" s="939" t="s">
        <v>2928</v>
      </c>
    </row>
    <row r="5" spans="2:13">
      <c r="B5" s="157" t="s">
        <v>37</v>
      </c>
      <c r="C5" s="413" t="s">
        <v>192</v>
      </c>
      <c r="D5" s="413" t="s">
        <v>2950</v>
      </c>
      <c r="F5" s="413" t="s">
        <v>610</v>
      </c>
      <c r="G5" s="413" t="s">
        <v>2798</v>
      </c>
      <c r="I5" s="942" t="s">
        <v>610</v>
      </c>
      <c r="J5" s="939" t="s">
        <v>2798</v>
      </c>
      <c r="K5" s="939" t="s">
        <v>3146</v>
      </c>
      <c r="L5" s="939" t="s">
        <v>2927</v>
      </c>
    </row>
    <row r="6" spans="2:13">
      <c r="B6" s="157" t="s">
        <v>37</v>
      </c>
      <c r="C6" s="413" t="s">
        <v>242</v>
      </c>
      <c r="D6" s="413" t="s">
        <v>2950</v>
      </c>
      <c r="F6" s="413" t="s">
        <v>610</v>
      </c>
      <c r="G6" s="413" t="s">
        <v>36</v>
      </c>
      <c r="I6" s="942" t="s">
        <v>610</v>
      </c>
      <c r="J6" s="939" t="s">
        <v>36</v>
      </c>
      <c r="K6" s="939" t="s">
        <v>3143</v>
      </c>
      <c r="L6" s="939" t="s">
        <v>2927</v>
      </c>
    </row>
    <row r="7" spans="2:13">
      <c r="B7" s="157" t="s">
        <v>37</v>
      </c>
      <c r="C7" s="413" t="s">
        <v>276</v>
      </c>
      <c r="D7" s="413" t="s">
        <v>2950</v>
      </c>
      <c r="F7" s="413" t="s">
        <v>610</v>
      </c>
      <c r="G7" s="413" t="s">
        <v>2795</v>
      </c>
      <c r="I7" s="942" t="s">
        <v>610</v>
      </c>
      <c r="J7" s="939" t="s">
        <v>2795</v>
      </c>
      <c r="K7" s="939" t="s">
        <v>2795</v>
      </c>
      <c r="L7" s="939" t="s">
        <v>2928</v>
      </c>
    </row>
    <row r="8" spans="2:13">
      <c r="B8" s="157" t="s">
        <v>37</v>
      </c>
      <c r="C8" s="413" t="s">
        <v>2634</v>
      </c>
      <c r="D8" s="413" t="s">
        <v>2950</v>
      </c>
      <c r="F8" s="413" t="s">
        <v>610</v>
      </c>
      <c r="G8" s="413" t="s">
        <v>2076</v>
      </c>
      <c r="I8" s="942" t="s">
        <v>610</v>
      </c>
      <c r="J8" s="939" t="s">
        <v>2076</v>
      </c>
      <c r="K8" s="939" t="s">
        <v>3147</v>
      </c>
      <c r="L8" s="939" t="s">
        <v>2928</v>
      </c>
    </row>
    <row r="9" spans="2:13">
      <c r="B9" s="161" t="s">
        <v>37</v>
      </c>
      <c r="C9" s="413" t="s">
        <v>241</v>
      </c>
      <c r="D9" s="413" t="s">
        <v>2950</v>
      </c>
      <c r="F9" s="413" t="s">
        <v>610</v>
      </c>
      <c r="G9" s="413" t="s">
        <v>297</v>
      </c>
      <c r="I9" s="942" t="s">
        <v>610</v>
      </c>
      <c r="J9" s="939" t="s">
        <v>297</v>
      </c>
      <c r="K9" s="939" t="s">
        <v>3148</v>
      </c>
      <c r="L9" s="939" t="s">
        <v>2928</v>
      </c>
    </row>
    <row r="10" spans="2:13">
      <c r="B10" s="157" t="s">
        <v>37</v>
      </c>
      <c r="C10" s="413" t="s">
        <v>291</v>
      </c>
      <c r="D10" s="413" t="s">
        <v>2950</v>
      </c>
      <c r="F10" s="413" t="s">
        <v>610</v>
      </c>
      <c r="G10" s="413" t="s">
        <v>2794</v>
      </c>
      <c r="I10" s="944" t="s">
        <v>610</v>
      </c>
      <c r="J10" s="939" t="s">
        <v>3112</v>
      </c>
      <c r="K10" s="939" t="s">
        <v>3149</v>
      </c>
      <c r="L10" s="939" t="s">
        <v>2928</v>
      </c>
    </row>
    <row r="11" spans="2:13">
      <c r="B11" s="157" t="s">
        <v>515</v>
      </c>
      <c r="C11" s="413" t="s">
        <v>2154</v>
      </c>
      <c r="D11" s="413" t="s">
        <v>2950</v>
      </c>
      <c r="F11" s="413" t="s">
        <v>37</v>
      </c>
      <c r="G11" s="413" t="s">
        <v>369</v>
      </c>
      <c r="I11" s="942" t="s">
        <v>610</v>
      </c>
      <c r="J11" s="939" t="s">
        <v>241</v>
      </c>
      <c r="K11" s="939" t="s">
        <v>3150</v>
      </c>
      <c r="L11" s="943" t="s">
        <v>2932</v>
      </c>
      <c r="M11" t="s">
        <v>3123</v>
      </c>
    </row>
    <row r="12" spans="2:13">
      <c r="B12" s="157" t="s">
        <v>515</v>
      </c>
      <c r="C12" s="413" t="s">
        <v>192</v>
      </c>
      <c r="D12" s="413" t="s">
        <v>2950</v>
      </c>
      <c r="F12" s="413" t="s">
        <v>37</v>
      </c>
      <c r="G12" s="413" t="s">
        <v>914</v>
      </c>
      <c r="I12" s="942" t="s">
        <v>37</v>
      </c>
      <c r="J12" s="939" t="s">
        <v>3116</v>
      </c>
      <c r="K12" s="939" t="s">
        <v>3116</v>
      </c>
      <c r="L12" s="939" t="s">
        <v>2927</v>
      </c>
    </row>
    <row r="13" spans="2:13">
      <c r="B13" s="161" t="s">
        <v>515</v>
      </c>
      <c r="C13" s="413" t="s">
        <v>2925</v>
      </c>
      <c r="D13" s="413" t="s">
        <v>2950</v>
      </c>
      <c r="F13" s="413" t="s">
        <v>37</v>
      </c>
      <c r="G13" s="413" t="s">
        <v>141</v>
      </c>
      <c r="I13" s="939" t="s">
        <v>37</v>
      </c>
      <c r="J13" s="939" t="s">
        <v>369</v>
      </c>
      <c r="K13" s="939" t="s">
        <v>3151</v>
      </c>
      <c r="L13" s="939" t="s">
        <v>2928</v>
      </c>
    </row>
    <row r="14" spans="2:13">
      <c r="B14" s="157" t="s">
        <v>515</v>
      </c>
      <c r="C14" s="413" t="s">
        <v>36</v>
      </c>
      <c r="D14" s="413" t="s">
        <v>2950</v>
      </c>
      <c r="F14" s="413" t="s">
        <v>37</v>
      </c>
      <c r="G14" s="413" t="s">
        <v>36</v>
      </c>
      <c r="I14" s="942" t="s">
        <v>37</v>
      </c>
      <c r="J14" s="939" t="s">
        <v>914</v>
      </c>
      <c r="K14" s="939" t="s">
        <v>3152</v>
      </c>
      <c r="L14" s="939" t="s">
        <v>2928</v>
      </c>
    </row>
    <row r="15" spans="2:13">
      <c r="B15" s="157" t="s">
        <v>515</v>
      </c>
      <c r="C15" s="413" t="s">
        <v>311</v>
      </c>
      <c r="D15" s="413" t="s">
        <v>2950</v>
      </c>
      <c r="F15" s="413" t="s">
        <v>37</v>
      </c>
      <c r="G15" s="413" t="s">
        <v>192</v>
      </c>
      <c r="I15" s="942" t="s">
        <v>37</v>
      </c>
      <c r="J15" s="939" t="s">
        <v>141</v>
      </c>
      <c r="K15" s="939" t="s">
        <v>3153</v>
      </c>
      <c r="L15" s="939" t="s">
        <v>2927</v>
      </c>
    </row>
    <row r="16" spans="2:13">
      <c r="B16" s="157" t="s">
        <v>515</v>
      </c>
      <c r="C16" s="413" t="s">
        <v>2793</v>
      </c>
      <c r="D16" s="413" t="s">
        <v>2950</v>
      </c>
      <c r="F16" s="413" t="s">
        <v>37</v>
      </c>
      <c r="G16" s="413" t="s">
        <v>242</v>
      </c>
      <c r="I16" s="942" t="s">
        <v>37</v>
      </c>
      <c r="J16" s="939" t="s">
        <v>36</v>
      </c>
      <c r="K16" s="939" t="s">
        <v>3143</v>
      </c>
      <c r="L16" s="939" t="s">
        <v>2927</v>
      </c>
    </row>
    <row r="17" spans="2:13">
      <c r="B17" s="157" t="s">
        <v>515</v>
      </c>
      <c r="C17" s="157" t="s">
        <v>297</v>
      </c>
      <c r="D17" s="413" t="s">
        <v>2950</v>
      </c>
      <c r="F17" s="413" t="s">
        <v>37</v>
      </c>
      <c r="G17" s="413" t="s">
        <v>276</v>
      </c>
      <c r="I17" s="942" t="s">
        <v>37</v>
      </c>
      <c r="J17" s="939" t="s">
        <v>3111</v>
      </c>
      <c r="K17" s="939" t="s">
        <v>3142</v>
      </c>
      <c r="L17" s="939" t="s">
        <v>2927</v>
      </c>
    </row>
    <row r="18" spans="2:13">
      <c r="B18" s="413" t="s">
        <v>304</v>
      </c>
      <c r="C18" s="413" t="s">
        <v>1751</v>
      </c>
      <c r="D18" s="413" t="s">
        <v>2950</v>
      </c>
      <c r="F18" s="413" t="s">
        <v>37</v>
      </c>
      <c r="G18" s="413" t="s">
        <v>2634</v>
      </c>
      <c r="I18" s="942" t="s">
        <v>37</v>
      </c>
      <c r="J18" s="939" t="s">
        <v>242</v>
      </c>
      <c r="K18" s="939" t="s">
        <v>3154</v>
      </c>
      <c r="L18" s="939" t="s">
        <v>2927</v>
      </c>
    </row>
    <row r="19" spans="2:13">
      <c r="B19" s="413" t="s">
        <v>304</v>
      </c>
      <c r="C19" s="413" t="s">
        <v>355</v>
      </c>
      <c r="D19" s="413" t="s">
        <v>2950</v>
      </c>
      <c r="F19" s="413" t="s">
        <v>37</v>
      </c>
      <c r="G19" s="413" t="s">
        <v>241</v>
      </c>
      <c r="I19" s="942" t="s">
        <v>37</v>
      </c>
      <c r="J19" s="939" t="s">
        <v>276</v>
      </c>
      <c r="K19" s="939" t="s">
        <v>3155</v>
      </c>
      <c r="L19" s="939" t="s">
        <v>2928</v>
      </c>
    </row>
    <row r="20" spans="2:13">
      <c r="B20" s="413" t="s">
        <v>304</v>
      </c>
      <c r="C20" s="413" t="s">
        <v>276</v>
      </c>
      <c r="D20" s="413" t="s">
        <v>2950</v>
      </c>
      <c r="F20" s="413" t="s">
        <v>37</v>
      </c>
      <c r="G20" s="413" t="s">
        <v>291</v>
      </c>
      <c r="I20" s="942" t="s">
        <v>37</v>
      </c>
      <c r="J20" s="939" t="s">
        <v>2634</v>
      </c>
      <c r="K20" s="939" t="s">
        <v>3156</v>
      </c>
      <c r="L20" s="939" t="s">
        <v>2927</v>
      </c>
    </row>
    <row r="21" spans="2:13">
      <c r="B21" s="413" t="s">
        <v>304</v>
      </c>
      <c r="C21" s="413" t="s">
        <v>358</v>
      </c>
      <c r="D21" s="413" t="s">
        <v>2950</v>
      </c>
      <c r="F21" s="413" t="s">
        <v>37</v>
      </c>
      <c r="G21" s="413" t="s">
        <v>3109</v>
      </c>
      <c r="I21" s="944" t="s">
        <v>37</v>
      </c>
      <c r="J21" s="939" t="s">
        <v>241</v>
      </c>
      <c r="K21" s="939" t="s">
        <v>3150</v>
      </c>
      <c r="L21" s="939" t="s">
        <v>2932</v>
      </c>
    </row>
    <row r="22" spans="2:13">
      <c r="B22" s="413" t="s">
        <v>304</v>
      </c>
      <c r="C22" s="413" t="s">
        <v>297</v>
      </c>
      <c r="D22" s="413" t="s">
        <v>2950</v>
      </c>
      <c r="F22" s="413" t="s">
        <v>2332</v>
      </c>
      <c r="G22" s="413" t="s">
        <v>2802</v>
      </c>
      <c r="I22" s="942" t="s">
        <v>37</v>
      </c>
      <c r="J22" s="939" t="s">
        <v>291</v>
      </c>
      <c r="K22" s="939" t="s">
        <v>3157</v>
      </c>
      <c r="L22" s="939" t="s">
        <v>2927</v>
      </c>
    </row>
    <row r="23" spans="2:13">
      <c r="B23" s="157" t="s">
        <v>304</v>
      </c>
      <c r="C23" s="157" t="s">
        <v>369</v>
      </c>
      <c r="D23" s="413" t="s">
        <v>2791</v>
      </c>
      <c r="F23" s="413" t="s">
        <v>2332</v>
      </c>
      <c r="G23" s="413" t="s">
        <v>2918</v>
      </c>
      <c r="I23" s="944" t="s">
        <v>2692</v>
      </c>
      <c r="J23" s="939" t="s">
        <v>3124</v>
      </c>
      <c r="K23" s="939" t="s">
        <v>3158</v>
      </c>
      <c r="L23" s="940" t="s">
        <v>2928</v>
      </c>
      <c r="M23" t="s">
        <v>3123</v>
      </c>
    </row>
    <row r="24" spans="2:13">
      <c r="B24" s="157" t="s">
        <v>304</v>
      </c>
      <c r="C24" s="157" t="s">
        <v>303</v>
      </c>
      <c r="D24" s="413" t="s">
        <v>2791</v>
      </c>
      <c r="F24" s="413" t="s">
        <v>2693</v>
      </c>
      <c r="G24" s="413" t="s">
        <v>36</v>
      </c>
      <c r="I24" s="939" t="s">
        <v>2692</v>
      </c>
      <c r="J24" s="939" t="s">
        <v>241</v>
      </c>
      <c r="K24" s="939" t="s">
        <v>3150</v>
      </c>
      <c r="L24" s="940" t="s">
        <v>2932</v>
      </c>
      <c r="M24" t="s">
        <v>3123</v>
      </c>
    </row>
    <row r="25" spans="2:13">
      <c r="B25" s="157" t="s">
        <v>304</v>
      </c>
      <c r="C25" s="157" t="s">
        <v>2924</v>
      </c>
      <c r="D25" s="413" t="s">
        <v>2791</v>
      </c>
      <c r="F25" s="413" t="s">
        <v>2693</v>
      </c>
      <c r="G25" s="413" t="s">
        <v>2795</v>
      </c>
      <c r="I25" s="942" t="s">
        <v>2332</v>
      </c>
      <c r="J25" s="939" t="s">
        <v>2802</v>
      </c>
      <c r="K25" s="939" t="s">
        <v>3159</v>
      </c>
      <c r="L25" s="939" t="s">
        <v>2928</v>
      </c>
    </row>
    <row r="26" spans="2:13">
      <c r="B26" s="157" t="s">
        <v>304</v>
      </c>
      <c r="C26" s="157" t="s">
        <v>2923</v>
      </c>
      <c r="D26" s="413" t="s">
        <v>2791</v>
      </c>
      <c r="F26" s="413" t="s">
        <v>2693</v>
      </c>
      <c r="G26" s="413" t="s">
        <v>3108</v>
      </c>
      <c r="I26" s="942" t="s">
        <v>2332</v>
      </c>
      <c r="J26" s="939" t="s">
        <v>2918</v>
      </c>
      <c r="K26" s="939" t="s">
        <v>3160</v>
      </c>
      <c r="L26" s="939" t="s">
        <v>3122</v>
      </c>
    </row>
    <row r="27" spans="2:13">
      <c r="B27" s="157" t="s">
        <v>304</v>
      </c>
      <c r="C27" s="157" t="s">
        <v>3106</v>
      </c>
      <c r="D27" s="413" t="s">
        <v>2791</v>
      </c>
      <c r="F27" s="413" t="s">
        <v>304</v>
      </c>
      <c r="G27" s="413" t="s">
        <v>1751</v>
      </c>
      <c r="I27" s="942" t="s">
        <v>2332</v>
      </c>
      <c r="J27" s="941" t="s">
        <v>36</v>
      </c>
      <c r="K27" s="939" t="s">
        <v>3143</v>
      </c>
      <c r="L27" s="940" t="s">
        <v>2927</v>
      </c>
      <c r="M27" t="s">
        <v>3123</v>
      </c>
    </row>
    <row r="28" spans="2:13">
      <c r="B28" s="157" t="s">
        <v>304</v>
      </c>
      <c r="C28" s="157" t="s">
        <v>3107</v>
      </c>
      <c r="D28" s="413" t="s">
        <v>2791</v>
      </c>
      <c r="F28" s="413" t="s">
        <v>304</v>
      </c>
      <c r="G28" s="413" t="s">
        <v>323</v>
      </c>
      <c r="I28" s="942" t="s">
        <v>2332</v>
      </c>
      <c r="J28" s="941" t="s">
        <v>2914</v>
      </c>
      <c r="K28" s="939" t="s">
        <v>3161</v>
      </c>
      <c r="L28" s="940" t="s">
        <v>2928</v>
      </c>
      <c r="M28" t="s">
        <v>3123</v>
      </c>
    </row>
    <row r="29" spans="2:13">
      <c r="B29" s="157" t="s">
        <v>304</v>
      </c>
      <c r="C29" s="157" t="s">
        <v>355</v>
      </c>
      <c r="D29" s="413" t="s">
        <v>2791</v>
      </c>
      <c r="F29" s="413" t="s">
        <v>304</v>
      </c>
      <c r="G29" s="413" t="s">
        <v>2796</v>
      </c>
      <c r="I29" s="942" t="s">
        <v>2332</v>
      </c>
      <c r="J29" s="939" t="s">
        <v>3124</v>
      </c>
      <c r="K29" s="939" t="s">
        <v>3158</v>
      </c>
      <c r="L29" s="943" t="s">
        <v>2928</v>
      </c>
      <c r="M29" t="s">
        <v>3123</v>
      </c>
    </row>
    <row r="30" spans="2:13">
      <c r="B30" s="157" t="s">
        <v>304</v>
      </c>
      <c r="C30" s="157" t="s">
        <v>276</v>
      </c>
      <c r="D30" s="413" t="s">
        <v>2791</v>
      </c>
      <c r="F30" s="413" t="s">
        <v>304</v>
      </c>
      <c r="G30" s="413" t="s">
        <v>369</v>
      </c>
      <c r="I30" s="939" t="s">
        <v>2332</v>
      </c>
      <c r="J30" s="939" t="s">
        <v>241</v>
      </c>
      <c r="K30" s="939" t="s">
        <v>3150</v>
      </c>
      <c r="L30" s="940" t="s">
        <v>2932</v>
      </c>
      <c r="M30" t="s">
        <v>3123</v>
      </c>
    </row>
    <row r="31" spans="2:13" s="413" customFormat="1">
      <c r="B31" s="157" t="s">
        <v>304</v>
      </c>
      <c r="C31" s="157" t="s">
        <v>297</v>
      </c>
      <c r="D31" s="413" t="s">
        <v>2791</v>
      </c>
      <c r="F31" s="413" t="s">
        <v>304</v>
      </c>
      <c r="G31" s="413" t="s">
        <v>914</v>
      </c>
      <c r="I31" s="942" t="s">
        <v>2693</v>
      </c>
      <c r="J31" s="939" t="s">
        <v>3108</v>
      </c>
      <c r="K31" s="939" t="s">
        <v>3115</v>
      </c>
      <c r="L31" s="939" t="s">
        <v>2927</v>
      </c>
    </row>
    <row r="32" spans="2:13">
      <c r="B32" s="161" t="s">
        <v>304</v>
      </c>
      <c r="C32" s="413" t="s">
        <v>2672</v>
      </c>
      <c r="D32" s="413" t="s">
        <v>2791</v>
      </c>
      <c r="F32" s="413" t="s">
        <v>304</v>
      </c>
      <c r="G32" s="413" t="s">
        <v>2797</v>
      </c>
      <c r="I32" s="939" t="s">
        <v>2693</v>
      </c>
      <c r="J32" s="939" t="s">
        <v>36</v>
      </c>
      <c r="K32" s="939" t="s">
        <v>3143</v>
      </c>
      <c r="L32" s="939" t="s">
        <v>2927</v>
      </c>
    </row>
    <row r="33" spans="2:13" s="413" customFormat="1">
      <c r="B33" s="161" t="s">
        <v>515</v>
      </c>
      <c r="C33" s="157" t="s">
        <v>311</v>
      </c>
      <c r="D33" s="413" t="s">
        <v>2791</v>
      </c>
      <c r="F33" s="413" t="s">
        <v>304</v>
      </c>
      <c r="G33" s="413" t="s">
        <v>303</v>
      </c>
      <c r="I33" s="942" t="s">
        <v>2693</v>
      </c>
      <c r="J33" s="939" t="s">
        <v>2795</v>
      </c>
      <c r="K33" s="939" t="s">
        <v>2795</v>
      </c>
      <c r="L33" s="939" t="s">
        <v>2928</v>
      </c>
    </row>
    <row r="34" spans="2:13">
      <c r="B34" s="161" t="s">
        <v>610</v>
      </c>
      <c r="C34" s="413" t="s">
        <v>36</v>
      </c>
      <c r="D34" s="413" t="s">
        <v>2792</v>
      </c>
      <c r="F34" s="413" t="s">
        <v>304</v>
      </c>
      <c r="G34" s="413" t="s">
        <v>2672</v>
      </c>
      <c r="I34" s="939" t="s">
        <v>2693</v>
      </c>
      <c r="J34" s="939" t="s">
        <v>241</v>
      </c>
      <c r="K34" s="939" t="s">
        <v>3150</v>
      </c>
      <c r="L34" s="940" t="s">
        <v>2932</v>
      </c>
      <c r="M34" t="s">
        <v>3123</v>
      </c>
    </row>
    <row r="35" spans="2:13" s="413" customFormat="1">
      <c r="B35" s="157" t="s">
        <v>610</v>
      </c>
      <c r="C35" s="157" t="s">
        <v>2795</v>
      </c>
      <c r="D35" s="413" t="s">
        <v>2792</v>
      </c>
      <c r="F35" s="413" t="s">
        <v>304</v>
      </c>
      <c r="G35" s="413" t="s">
        <v>2076</v>
      </c>
      <c r="I35" s="939" t="s">
        <v>2688</v>
      </c>
      <c r="J35" s="939" t="s">
        <v>2802</v>
      </c>
      <c r="K35" s="939" t="s">
        <v>3159</v>
      </c>
      <c r="L35" s="939" t="s">
        <v>2928</v>
      </c>
      <c r="M35"/>
    </row>
    <row r="36" spans="2:13">
      <c r="B36" s="157" t="s">
        <v>610</v>
      </c>
      <c r="C36" s="413" t="s">
        <v>311</v>
      </c>
      <c r="D36" s="413" t="s">
        <v>2792</v>
      </c>
      <c r="F36" s="413" t="s">
        <v>304</v>
      </c>
      <c r="G36" s="413" t="s">
        <v>358</v>
      </c>
      <c r="I36" s="942" t="s">
        <v>2688</v>
      </c>
      <c r="J36" s="939" t="s">
        <v>2918</v>
      </c>
      <c r="K36" s="939" t="s">
        <v>3160</v>
      </c>
      <c r="L36" s="939" t="s">
        <v>3122</v>
      </c>
      <c r="M36" s="413"/>
    </row>
    <row r="37" spans="2:13">
      <c r="B37" s="161" t="s">
        <v>610</v>
      </c>
      <c r="C37" s="413" t="s">
        <v>297</v>
      </c>
      <c r="D37" s="413" t="s">
        <v>2792</v>
      </c>
      <c r="F37" s="413" t="s">
        <v>304</v>
      </c>
      <c r="G37" s="413" t="s">
        <v>297</v>
      </c>
      <c r="I37" s="942" t="s">
        <v>304</v>
      </c>
      <c r="J37" s="939" t="s">
        <v>3106</v>
      </c>
      <c r="K37" s="941" t="s">
        <v>3120</v>
      </c>
      <c r="L37" s="939" t="s">
        <v>3122</v>
      </c>
    </row>
    <row r="38" spans="2:13" s="413" customFormat="1">
      <c r="B38" s="157" t="s">
        <v>610</v>
      </c>
      <c r="C38" s="157" t="s">
        <v>2076</v>
      </c>
      <c r="D38" s="413" t="s">
        <v>2792</v>
      </c>
      <c r="F38" s="413" t="s">
        <v>304</v>
      </c>
      <c r="G38" s="413" t="s">
        <v>276</v>
      </c>
      <c r="I38" s="939" t="s">
        <v>304</v>
      </c>
      <c r="J38" s="939" t="s">
        <v>1751</v>
      </c>
      <c r="K38" s="939" t="s">
        <v>3162</v>
      </c>
      <c r="L38" s="939" t="s">
        <v>2927</v>
      </c>
      <c r="M38"/>
    </row>
    <row r="39" spans="2:13">
      <c r="B39" s="157" t="s">
        <v>610</v>
      </c>
      <c r="C39" s="413" t="s">
        <v>2798</v>
      </c>
      <c r="D39" s="413" t="s">
        <v>2792</v>
      </c>
      <c r="F39" s="413" t="s">
        <v>304</v>
      </c>
      <c r="G39" s="413" t="s">
        <v>241</v>
      </c>
      <c r="I39" s="942" t="s">
        <v>304</v>
      </c>
      <c r="J39" s="939" t="s">
        <v>323</v>
      </c>
      <c r="K39" s="939" t="s">
        <v>3163</v>
      </c>
      <c r="L39" s="939" t="s">
        <v>2928</v>
      </c>
      <c r="M39" s="413"/>
    </row>
    <row r="40" spans="2:13">
      <c r="B40" s="157" t="s">
        <v>610</v>
      </c>
      <c r="C40" s="413" t="s">
        <v>2794</v>
      </c>
      <c r="D40" s="413" t="s">
        <v>2792</v>
      </c>
      <c r="F40" s="413" t="s">
        <v>304</v>
      </c>
      <c r="G40" s="413" t="s">
        <v>355</v>
      </c>
      <c r="I40" s="942" t="s">
        <v>304</v>
      </c>
      <c r="J40" s="939" t="s">
        <v>2796</v>
      </c>
      <c r="K40" s="939" t="s">
        <v>3164</v>
      </c>
      <c r="L40" s="939" t="s">
        <v>2928</v>
      </c>
    </row>
    <row r="41" spans="2:13" s="413" customFormat="1">
      <c r="B41" s="157" t="s">
        <v>2693</v>
      </c>
      <c r="C41" s="157" t="s">
        <v>2795</v>
      </c>
      <c r="D41" s="413" t="s">
        <v>2792</v>
      </c>
      <c r="F41" s="413" t="s">
        <v>304</v>
      </c>
      <c r="G41" s="413" t="s">
        <v>2924</v>
      </c>
      <c r="I41" s="942" t="s">
        <v>304</v>
      </c>
      <c r="J41" s="939" t="s">
        <v>369</v>
      </c>
      <c r="K41" s="939" t="s">
        <v>3151</v>
      </c>
      <c r="L41" s="939" t="s">
        <v>2928</v>
      </c>
      <c r="M41"/>
    </row>
    <row r="42" spans="2:13">
      <c r="B42" s="157" t="s">
        <v>2693</v>
      </c>
      <c r="C42" s="413" t="s">
        <v>36</v>
      </c>
      <c r="D42" s="413" t="s">
        <v>2792</v>
      </c>
      <c r="F42" s="413" t="s">
        <v>304</v>
      </c>
      <c r="G42" s="413" t="s">
        <v>2923</v>
      </c>
      <c r="I42" s="942" t="s">
        <v>304</v>
      </c>
      <c r="J42" s="939" t="s">
        <v>914</v>
      </c>
      <c r="K42" s="939" t="s">
        <v>3152</v>
      </c>
      <c r="L42" s="939" t="s">
        <v>2928</v>
      </c>
    </row>
    <row r="43" spans="2:13">
      <c r="B43" s="161" t="s">
        <v>2693</v>
      </c>
      <c r="C43" s="413" t="s">
        <v>36</v>
      </c>
      <c r="D43" s="413" t="s">
        <v>2792</v>
      </c>
      <c r="F43" s="413" t="s">
        <v>304</v>
      </c>
      <c r="G43" s="413" t="s">
        <v>3106</v>
      </c>
      <c r="I43" s="942" t="s">
        <v>304</v>
      </c>
      <c r="J43" s="939" t="s">
        <v>2797</v>
      </c>
      <c r="K43" s="939" t="s">
        <v>3165</v>
      </c>
      <c r="L43" s="939" t="s">
        <v>2928</v>
      </c>
    </row>
    <row r="44" spans="2:13">
      <c r="B44" s="161" t="s">
        <v>2693</v>
      </c>
      <c r="C44" s="157" t="s">
        <v>3108</v>
      </c>
      <c r="D44" s="413" t="s">
        <v>2792</v>
      </c>
      <c r="F44" s="413" t="s">
        <v>304</v>
      </c>
      <c r="G44" s="413" t="s">
        <v>3107</v>
      </c>
      <c r="I44" s="942" t="s">
        <v>304</v>
      </c>
      <c r="J44" s="939" t="s">
        <v>2795</v>
      </c>
      <c r="K44" s="939" t="s">
        <v>2795</v>
      </c>
      <c r="L44" s="939" t="s">
        <v>2928</v>
      </c>
      <c r="M44" s="413"/>
    </row>
    <row r="45" spans="2:13">
      <c r="B45" s="161" t="s">
        <v>2696</v>
      </c>
      <c r="C45" s="413" t="s">
        <v>319</v>
      </c>
      <c r="D45" s="413" t="s">
        <v>2792</v>
      </c>
      <c r="F45" s="413" t="s">
        <v>304</v>
      </c>
      <c r="G45" s="413" t="s">
        <v>2919</v>
      </c>
      <c r="I45" s="944" t="s">
        <v>304</v>
      </c>
      <c r="J45" s="939" t="s">
        <v>2672</v>
      </c>
      <c r="K45" s="939" t="s">
        <v>2793</v>
      </c>
      <c r="L45" s="939" t="s">
        <v>2927</v>
      </c>
    </row>
    <row r="46" spans="2:13" s="413" customFormat="1">
      <c r="B46" s="161" t="s">
        <v>2696</v>
      </c>
      <c r="C46" s="157" t="s">
        <v>2920</v>
      </c>
      <c r="D46" s="413" t="s">
        <v>2792</v>
      </c>
      <c r="F46" s="413" t="s">
        <v>304</v>
      </c>
      <c r="G46" s="413" t="s">
        <v>2124</v>
      </c>
      <c r="I46" s="942" t="s">
        <v>304</v>
      </c>
      <c r="J46" s="939" t="s">
        <v>355</v>
      </c>
      <c r="K46" s="939" t="s">
        <v>3166</v>
      </c>
      <c r="L46" s="939" t="s">
        <v>2928</v>
      </c>
      <c r="M46"/>
    </row>
    <row r="47" spans="2:13">
      <c r="B47" s="161" t="s">
        <v>2696</v>
      </c>
      <c r="C47" s="413" t="s">
        <v>36</v>
      </c>
      <c r="D47" s="413" t="s">
        <v>2792</v>
      </c>
      <c r="F47" s="413" t="s">
        <v>304</v>
      </c>
      <c r="G47" s="413" t="s">
        <v>604</v>
      </c>
      <c r="I47" s="942" t="s">
        <v>304</v>
      </c>
      <c r="J47" s="939" t="s">
        <v>2076</v>
      </c>
      <c r="K47" s="939" t="s">
        <v>3147</v>
      </c>
      <c r="L47" s="939" t="s">
        <v>2928</v>
      </c>
    </row>
    <row r="48" spans="2:13">
      <c r="B48" s="157" t="s">
        <v>2696</v>
      </c>
      <c r="C48" s="413" t="s">
        <v>319</v>
      </c>
      <c r="D48" s="413" t="s">
        <v>2792</v>
      </c>
      <c r="F48" s="413" t="s">
        <v>2696</v>
      </c>
      <c r="G48" s="413" t="s">
        <v>36</v>
      </c>
      <c r="I48" s="942" t="s">
        <v>304</v>
      </c>
      <c r="J48" s="939" t="s">
        <v>358</v>
      </c>
      <c r="K48" s="939" t="s">
        <v>3167</v>
      </c>
      <c r="L48" s="939" t="s">
        <v>2928</v>
      </c>
      <c r="M48" s="413"/>
    </row>
    <row r="49" spans="2:13">
      <c r="B49" s="161" t="s">
        <v>2696</v>
      </c>
      <c r="C49" s="413" t="s">
        <v>2949</v>
      </c>
      <c r="D49" s="413" t="s">
        <v>2792</v>
      </c>
      <c r="F49" s="413" t="s">
        <v>2696</v>
      </c>
      <c r="G49" s="413" t="s">
        <v>319</v>
      </c>
      <c r="I49" s="944" t="s">
        <v>304</v>
      </c>
      <c r="J49" s="939" t="s">
        <v>297</v>
      </c>
      <c r="K49" s="939" t="s">
        <v>3148</v>
      </c>
      <c r="L49" s="939" t="s">
        <v>2928</v>
      </c>
    </row>
    <row r="50" spans="2:13" s="413" customFormat="1">
      <c r="B50" s="157" t="s">
        <v>304</v>
      </c>
      <c r="C50" s="157" t="s">
        <v>323</v>
      </c>
      <c r="D50" s="413" t="s">
        <v>2792</v>
      </c>
      <c r="F50" s="413" t="s">
        <v>2696</v>
      </c>
      <c r="G50" s="413" t="s">
        <v>2920</v>
      </c>
      <c r="I50" s="942" t="s">
        <v>304</v>
      </c>
      <c r="J50" s="939" t="s">
        <v>2923</v>
      </c>
      <c r="K50" s="939" t="s">
        <v>3168</v>
      </c>
      <c r="L50" s="939" t="s">
        <v>3122</v>
      </c>
      <c r="M50"/>
    </row>
    <row r="51" spans="2:13">
      <c r="B51" s="157" t="s">
        <v>304</v>
      </c>
      <c r="C51" s="413" t="s">
        <v>2919</v>
      </c>
      <c r="D51" s="413" t="s">
        <v>2792</v>
      </c>
      <c r="F51" s="413" t="s">
        <v>2696</v>
      </c>
      <c r="G51" s="413" t="s">
        <v>2949</v>
      </c>
      <c r="I51" s="942" t="s">
        <v>304</v>
      </c>
      <c r="J51" s="939" t="s">
        <v>276</v>
      </c>
      <c r="K51" s="939" t="s">
        <v>3155</v>
      </c>
      <c r="L51" s="939" t="s">
        <v>2928</v>
      </c>
    </row>
    <row r="52" spans="2:13">
      <c r="B52" s="157" t="s">
        <v>304</v>
      </c>
      <c r="C52" s="413" t="s">
        <v>241</v>
      </c>
      <c r="D52" s="413" t="s">
        <v>2792</v>
      </c>
      <c r="F52" s="413" t="s">
        <v>515</v>
      </c>
      <c r="G52" s="413" t="s">
        <v>311</v>
      </c>
      <c r="I52" s="942" t="s">
        <v>304</v>
      </c>
      <c r="J52" s="939" t="s">
        <v>3107</v>
      </c>
      <c r="K52" s="941" t="s">
        <v>3121</v>
      </c>
      <c r="L52" s="939" t="s">
        <v>3122</v>
      </c>
      <c r="M52" s="413"/>
    </row>
    <row r="53" spans="2:13">
      <c r="B53" s="157" t="s">
        <v>304</v>
      </c>
      <c r="C53" s="413" t="s">
        <v>2796</v>
      </c>
      <c r="D53" s="413" t="s">
        <v>2792</v>
      </c>
      <c r="F53" s="413" t="s">
        <v>515</v>
      </c>
      <c r="G53" s="413" t="s">
        <v>2154</v>
      </c>
      <c r="I53" s="942" t="s">
        <v>304</v>
      </c>
      <c r="J53" s="939" t="s">
        <v>3112</v>
      </c>
      <c r="K53" s="939" t="s">
        <v>3149</v>
      </c>
      <c r="L53" s="939" t="s">
        <v>2928</v>
      </c>
    </row>
    <row r="54" spans="2:13" s="413" customFormat="1">
      <c r="B54" s="157" t="s">
        <v>304</v>
      </c>
      <c r="C54" s="413" t="s">
        <v>369</v>
      </c>
      <c r="D54" s="413" t="s">
        <v>2792</v>
      </c>
      <c r="F54" s="413" t="s">
        <v>515</v>
      </c>
      <c r="G54" s="413" t="s">
        <v>36</v>
      </c>
      <c r="I54" s="942" t="s">
        <v>304</v>
      </c>
      <c r="J54" s="939" t="s">
        <v>2924</v>
      </c>
      <c r="K54" s="939" t="s">
        <v>3169</v>
      </c>
      <c r="L54" s="939" t="s">
        <v>2927</v>
      </c>
      <c r="M54"/>
    </row>
    <row r="55" spans="2:13">
      <c r="B55" s="157" t="s">
        <v>304</v>
      </c>
      <c r="C55" s="413" t="s">
        <v>914</v>
      </c>
      <c r="D55" s="413" t="s">
        <v>2792</v>
      </c>
      <c r="F55" s="413" t="s">
        <v>515</v>
      </c>
      <c r="G55" s="413" t="s">
        <v>2793</v>
      </c>
      <c r="I55" s="944" t="s">
        <v>304</v>
      </c>
      <c r="J55" s="939" t="s">
        <v>604</v>
      </c>
      <c r="K55" s="939" t="s">
        <v>3170</v>
      </c>
      <c r="L55" s="939" t="s">
        <v>2932</v>
      </c>
    </row>
    <row r="56" spans="2:13">
      <c r="B56" s="157" t="s">
        <v>304</v>
      </c>
      <c r="C56" s="157" t="s">
        <v>2076</v>
      </c>
      <c r="D56" s="413" t="s">
        <v>2792</v>
      </c>
      <c r="F56" s="413" t="s">
        <v>515</v>
      </c>
      <c r="G56" s="413" t="s">
        <v>192</v>
      </c>
      <c r="I56" s="942" t="s">
        <v>304</v>
      </c>
      <c r="J56" s="939" t="s">
        <v>241</v>
      </c>
      <c r="K56" s="939" t="s">
        <v>3150</v>
      </c>
      <c r="L56" s="939" t="s">
        <v>2932</v>
      </c>
    </row>
    <row r="57" spans="2:13">
      <c r="B57" s="157" t="s">
        <v>304</v>
      </c>
      <c r="C57" s="413" t="s">
        <v>2797</v>
      </c>
      <c r="D57" s="413" t="s">
        <v>2792</v>
      </c>
      <c r="F57" s="413" t="s">
        <v>515</v>
      </c>
      <c r="G57" s="413" t="s">
        <v>297</v>
      </c>
      <c r="I57" s="942" t="s">
        <v>304</v>
      </c>
      <c r="J57" s="939" t="s">
        <v>2124</v>
      </c>
      <c r="K57" s="939" t="s">
        <v>3171</v>
      </c>
      <c r="L57" s="939" t="s">
        <v>2932</v>
      </c>
      <c r="M57" s="413"/>
    </row>
    <row r="58" spans="2:13">
      <c r="B58" s="157" t="s">
        <v>304</v>
      </c>
      <c r="C58" s="157" t="s">
        <v>2124</v>
      </c>
      <c r="D58" s="413" t="s">
        <v>2792</v>
      </c>
      <c r="F58" s="413" t="s">
        <v>515</v>
      </c>
      <c r="G58" s="413" t="s">
        <v>2925</v>
      </c>
      <c r="I58" s="942" t="s">
        <v>2696</v>
      </c>
      <c r="J58" s="939" t="s">
        <v>319</v>
      </c>
      <c r="K58" s="939" t="s">
        <v>3172</v>
      </c>
      <c r="L58" s="939" t="s">
        <v>2928</v>
      </c>
      <c r="M58" s="413"/>
    </row>
    <row r="59" spans="2:13">
      <c r="B59" s="157" t="s">
        <v>304</v>
      </c>
      <c r="C59" s="157" t="s">
        <v>604</v>
      </c>
      <c r="D59" s="413" t="s">
        <v>2792</v>
      </c>
      <c r="F59" s="413" t="s">
        <v>3105</v>
      </c>
      <c r="G59" s="413" t="s">
        <v>3105</v>
      </c>
      <c r="I59" s="942" t="s">
        <v>2696</v>
      </c>
      <c r="J59" s="939" t="s">
        <v>3113</v>
      </c>
      <c r="K59" s="939" t="s">
        <v>3144</v>
      </c>
      <c r="L59" s="939" t="s">
        <v>3122</v>
      </c>
      <c r="M59" s="413"/>
    </row>
    <row r="60" spans="2:13">
      <c r="B60" s="157" t="s">
        <v>2332</v>
      </c>
      <c r="C60" s="157" t="s">
        <v>2802</v>
      </c>
      <c r="D60" s="413" t="s">
        <v>2792</v>
      </c>
      <c r="F60" s="413" t="s">
        <v>1280</v>
      </c>
      <c r="I60" s="939" t="s">
        <v>2696</v>
      </c>
      <c r="J60" s="939" t="s">
        <v>36</v>
      </c>
      <c r="K60" s="939" t="s">
        <v>3143</v>
      </c>
      <c r="L60" s="939" t="s">
        <v>2927</v>
      </c>
      <c r="M60" s="413"/>
    </row>
    <row r="61" spans="2:13">
      <c r="B61" s="157" t="s">
        <v>2332</v>
      </c>
      <c r="C61" s="157" t="s">
        <v>2918</v>
      </c>
      <c r="D61" s="413" t="s">
        <v>2792</v>
      </c>
      <c r="I61" s="942" t="s">
        <v>2696</v>
      </c>
      <c r="J61" s="939" t="s">
        <v>3114</v>
      </c>
      <c r="K61" s="939" t="s">
        <v>2949</v>
      </c>
      <c r="L61" s="939" t="s">
        <v>2927</v>
      </c>
      <c r="M61" s="413"/>
    </row>
    <row r="62" spans="2:13">
      <c r="B62" s="157" t="s">
        <v>2688</v>
      </c>
      <c r="C62" s="157" t="s">
        <v>2802</v>
      </c>
      <c r="D62" s="413" t="s">
        <v>2792</v>
      </c>
      <c r="I62" s="939" t="s">
        <v>2696</v>
      </c>
      <c r="J62" s="939" t="s">
        <v>241</v>
      </c>
      <c r="K62" s="939" t="s">
        <v>3150</v>
      </c>
      <c r="L62" s="940" t="s">
        <v>2932</v>
      </c>
      <c r="M62" s="413" t="s">
        <v>3123</v>
      </c>
    </row>
    <row r="63" spans="2:13">
      <c r="B63" s="157" t="s">
        <v>2688</v>
      </c>
      <c r="C63" s="157" t="s">
        <v>2918</v>
      </c>
      <c r="D63" s="413" t="s">
        <v>2792</v>
      </c>
      <c r="I63" s="939" t="s">
        <v>2697</v>
      </c>
      <c r="J63" s="939" t="s">
        <v>241</v>
      </c>
      <c r="K63" s="939" t="s">
        <v>3150</v>
      </c>
      <c r="L63" s="940" t="s">
        <v>2932</v>
      </c>
      <c r="M63" s="413" t="s">
        <v>3123</v>
      </c>
    </row>
    <row r="64" spans="2:13">
      <c r="B64" s="157" t="s">
        <v>37</v>
      </c>
      <c r="C64" s="157" t="s">
        <v>369</v>
      </c>
      <c r="D64" s="413" t="s">
        <v>2792</v>
      </c>
      <c r="I64" s="939" t="s">
        <v>515</v>
      </c>
      <c r="J64" s="939" t="s">
        <v>311</v>
      </c>
      <c r="K64" s="939" t="s">
        <v>3145</v>
      </c>
      <c r="L64" s="939" t="s">
        <v>2928</v>
      </c>
      <c r="M64" s="413"/>
    </row>
    <row r="65" spans="2:13">
      <c r="B65" s="157" t="s">
        <v>37</v>
      </c>
      <c r="C65" s="157" t="s">
        <v>3109</v>
      </c>
      <c r="D65" s="413" t="s">
        <v>2792</v>
      </c>
      <c r="I65" s="942" t="s">
        <v>515</v>
      </c>
      <c r="J65" s="939" t="s">
        <v>2925</v>
      </c>
      <c r="K65" s="939" t="s">
        <v>3173</v>
      </c>
      <c r="L65" s="939" t="s">
        <v>3122</v>
      </c>
      <c r="M65" s="413"/>
    </row>
    <row r="66" spans="2:13">
      <c r="B66" s="157" t="s">
        <v>515</v>
      </c>
      <c r="C66" s="157" t="s">
        <v>311</v>
      </c>
      <c r="D66" s="413" t="s">
        <v>2792</v>
      </c>
      <c r="I66" s="942" t="s">
        <v>515</v>
      </c>
      <c r="J66" s="939" t="s">
        <v>2154</v>
      </c>
      <c r="K66" s="939" t="s">
        <v>3174</v>
      </c>
      <c r="L66" s="939" t="s">
        <v>2928</v>
      </c>
      <c r="M66" s="413"/>
    </row>
    <row r="67" spans="2:13">
      <c r="B67" s="157"/>
      <c r="C67" s="157"/>
      <c r="D67" s="413"/>
      <c r="I67" s="942" t="s">
        <v>515</v>
      </c>
      <c r="J67" s="939" t="s">
        <v>36</v>
      </c>
      <c r="K67" s="939" t="s">
        <v>3143</v>
      </c>
      <c r="L67" s="939" t="s">
        <v>2927</v>
      </c>
      <c r="M67" s="413"/>
    </row>
    <row r="68" spans="2:13">
      <c r="B68" s="157"/>
      <c r="C68" s="157"/>
      <c r="D68" s="413"/>
      <c r="I68" s="942" t="s">
        <v>515</v>
      </c>
      <c r="J68" s="939" t="s">
        <v>3111</v>
      </c>
      <c r="K68" s="939" t="s">
        <v>3142</v>
      </c>
      <c r="L68" s="939" t="s">
        <v>2927</v>
      </c>
      <c r="M68" s="413"/>
    </row>
    <row r="69" spans="2:13">
      <c r="B69" s="157"/>
      <c r="C69" s="157"/>
      <c r="D69" s="413"/>
      <c r="I69" s="942" t="s">
        <v>515</v>
      </c>
      <c r="J69" s="939" t="s">
        <v>2672</v>
      </c>
      <c r="K69" s="939" t="s">
        <v>2793</v>
      </c>
      <c r="L69" s="939" t="s">
        <v>2927</v>
      </c>
      <c r="M69" s="413"/>
    </row>
    <row r="70" spans="2:13">
      <c r="B70" s="157"/>
      <c r="C70" s="157"/>
      <c r="D70" s="413"/>
      <c r="I70" s="944" t="s">
        <v>515</v>
      </c>
      <c r="J70" s="939" t="s">
        <v>241</v>
      </c>
      <c r="K70" s="939" t="s">
        <v>3150</v>
      </c>
      <c r="L70" s="940" t="s">
        <v>2932</v>
      </c>
      <c r="M70" s="413" t="s">
        <v>3123</v>
      </c>
    </row>
    <row r="71" spans="2:13">
      <c r="B71" s="157"/>
      <c r="C71" s="157"/>
      <c r="D71" s="413"/>
      <c r="I71" s="942" t="s">
        <v>2638</v>
      </c>
      <c r="J71" s="939" t="s">
        <v>36</v>
      </c>
      <c r="K71" s="939" t="s">
        <v>3143</v>
      </c>
      <c r="L71" s="940" t="s">
        <v>2927</v>
      </c>
      <c r="M71" s="413" t="s">
        <v>3123</v>
      </c>
    </row>
    <row r="72" spans="2:13">
      <c r="B72" s="157"/>
      <c r="C72" s="157"/>
      <c r="D72" s="413"/>
      <c r="I72" s="942" t="s">
        <v>2638</v>
      </c>
      <c r="J72" s="945" t="s">
        <v>3125</v>
      </c>
      <c r="K72" s="939" t="s">
        <v>3175</v>
      </c>
      <c r="L72" s="939" t="s">
        <v>3122</v>
      </c>
      <c r="M72" s="413" t="s">
        <v>3123</v>
      </c>
    </row>
    <row r="73" spans="2:13">
      <c r="B73" s="157"/>
      <c r="C73" s="157"/>
      <c r="D73" s="413"/>
      <c r="I73" s="942" t="s">
        <v>2638</v>
      </c>
      <c r="J73" s="939" t="s">
        <v>358</v>
      </c>
      <c r="K73" s="939" t="s">
        <v>3167</v>
      </c>
      <c r="L73" s="940" t="s">
        <v>2928</v>
      </c>
      <c r="M73" s="413" t="s">
        <v>3123</v>
      </c>
    </row>
    <row r="74" spans="2:13">
      <c r="B74" s="157"/>
      <c r="C74" s="157"/>
      <c r="D74" s="413"/>
      <c r="I74" s="942" t="s">
        <v>2638</v>
      </c>
      <c r="J74" s="939" t="s">
        <v>3124</v>
      </c>
      <c r="K74" s="939" t="s">
        <v>3158</v>
      </c>
      <c r="L74" s="943" t="s">
        <v>2928</v>
      </c>
      <c r="M74" s="413" t="s">
        <v>3123</v>
      </c>
    </row>
    <row r="75" spans="2:13">
      <c r="B75" s="161"/>
      <c r="C75" s="157"/>
      <c r="D75" s="413"/>
      <c r="I75" s="942" t="s">
        <v>2638</v>
      </c>
      <c r="J75" s="939" t="s">
        <v>241</v>
      </c>
      <c r="K75" s="939" t="s">
        <v>3150</v>
      </c>
      <c r="L75" s="940" t="s">
        <v>2932</v>
      </c>
      <c r="M75" s="413" t="s">
        <v>3123</v>
      </c>
    </row>
    <row r="76" spans="2:13">
      <c r="I76" s="939" t="s">
        <v>2699</v>
      </c>
      <c r="J76" s="939" t="s">
        <v>3118</v>
      </c>
      <c r="K76" s="939" t="s">
        <v>3119</v>
      </c>
      <c r="L76" s="940" t="s">
        <v>2927</v>
      </c>
      <c r="M76" s="413" t="s">
        <v>3123</v>
      </c>
    </row>
    <row r="77" spans="2:13">
      <c r="I77" s="939" t="s">
        <v>2699</v>
      </c>
      <c r="J77" s="939" t="s">
        <v>241</v>
      </c>
      <c r="K77" s="939" t="s">
        <v>3150</v>
      </c>
      <c r="L77" s="940" t="s">
        <v>2932</v>
      </c>
      <c r="M77" s="413" t="s">
        <v>3123</v>
      </c>
    </row>
    <row r="78" spans="2:13">
      <c r="I78" s="942" t="s">
        <v>2699</v>
      </c>
      <c r="J78" s="939" t="s">
        <v>3117</v>
      </c>
      <c r="K78" s="939" t="s">
        <v>3176</v>
      </c>
      <c r="L78" s="940" t="s">
        <v>2928</v>
      </c>
      <c r="M78" s="413" t="s">
        <v>3123</v>
      </c>
    </row>
  </sheetData>
  <pageMargins left="0.7" right="0.7" top="0.75" bottom="0.75" header="0.3" footer="0.3"/>
  <tableParts count="2">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4CF94-CD14-4BF1-98B9-7FD9B11CCA42}">
  <dimension ref="A1:P108"/>
  <sheetViews>
    <sheetView workbookViewId="0">
      <selection activeCell="F99" sqref="F99"/>
    </sheetView>
  </sheetViews>
  <sheetFormatPr defaultColWidth="8.83203125" defaultRowHeight="15.5"/>
  <cols>
    <col min="1" max="1" width="8.83203125" style="413"/>
    <col min="2" max="2" width="11.9140625" style="413" bestFit="1" customWidth="1"/>
    <col min="3" max="3" width="14.1640625" style="413" bestFit="1" customWidth="1"/>
    <col min="4" max="4" width="13.33203125" style="413" customWidth="1"/>
    <col min="5" max="5" width="8.83203125" style="413"/>
    <col min="6" max="6" width="15.9140625" style="413" bestFit="1" customWidth="1"/>
    <col min="7" max="7" width="11.1640625" style="413" bestFit="1" customWidth="1"/>
    <col min="8" max="8" width="8.83203125" style="413"/>
    <col min="9" max="9" width="12.83203125" style="413" bestFit="1" customWidth="1"/>
    <col min="10" max="10" width="8.83203125" style="413"/>
    <col min="11" max="11" width="10.5" style="413" customWidth="1"/>
    <col min="12" max="12" width="22" style="413" bestFit="1" customWidth="1"/>
    <col min="13" max="13" width="8.83203125" style="413"/>
    <col min="14" max="14" width="15.83203125" style="413" bestFit="1" customWidth="1"/>
    <col min="15" max="16" width="16.58203125" style="413" bestFit="1" customWidth="1"/>
    <col min="17" max="17" width="12.9140625" style="413" bestFit="1" customWidth="1"/>
    <col min="18" max="18" width="16.58203125" style="413" bestFit="1" customWidth="1"/>
    <col min="19" max="19" width="12.9140625" style="413" bestFit="1" customWidth="1"/>
    <col min="20" max="20" width="16.58203125" style="413" bestFit="1" customWidth="1"/>
    <col min="21" max="21" width="12.9140625" style="413" bestFit="1" customWidth="1"/>
    <col min="22" max="22" width="16.58203125" style="413" bestFit="1" customWidth="1"/>
    <col min="23" max="23" width="12.9140625" style="413" bestFit="1" customWidth="1"/>
    <col min="24" max="24" width="16.58203125" style="413" bestFit="1" customWidth="1"/>
    <col min="25" max="25" width="12.9140625" style="413" bestFit="1" customWidth="1"/>
    <col min="26" max="26" width="16.58203125" style="413" bestFit="1" customWidth="1"/>
    <col min="27" max="27" width="12.9140625" style="413" bestFit="1" customWidth="1"/>
    <col min="28" max="28" width="16.58203125" style="413" bestFit="1" customWidth="1"/>
    <col min="29" max="29" width="12.9140625" style="413" bestFit="1" customWidth="1"/>
    <col min="30" max="30" width="16.58203125" style="413" bestFit="1" customWidth="1"/>
    <col min="31" max="31" width="12.9140625" style="413" bestFit="1" customWidth="1"/>
    <col min="32" max="32" width="16.58203125" style="413" bestFit="1" customWidth="1"/>
    <col min="33" max="33" width="12.9140625" style="413" bestFit="1" customWidth="1"/>
    <col min="34" max="34" width="16.58203125" style="413" bestFit="1" customWidth="1"/>
    <col min="35" max="35" width="12.9140625" style="413" bestFit="1" customWidth="1"/>
    <col min="36" max="36" width="16.58203125" style="413" bestFit="1" customWidth="1"/>
    <col min="37" max="37" width="12.9140625" style="413" bestFit="1" customWidth="1"/>
    <col min="38" max="38" width="16.58203125" style="413" bestFit="1" customWidth="1"/>
    <col min="39" max="39" width="12.9140625" style="413" bestFit="1" customWidth="1"/>
    <col min="40" max="40" width="16.58203125" style="413" bestFit="1" customWidth="1"/>
    <col min="41" max="41" width="12.9140625" style="413" bestFit="1" customWidth="1"/>
    <col min="42" max="42" width="16.58203125" style="413" bestFit="1" customWidth="1"/>
    <col min="43" max="43" width="12.9140625" style="413" bestFit="1" customWidth="1"/>
    <col min="44" max="44" width="16.58203125" style="413" bestFit="1" customWidth="1"/>
    <col min="45" max="45" width="12.9140625" style="413" bestFit="1" customWidth="1"/>
    <col min="46" max="46" width="16.58203125" style="413" bestFit="1" customWidth="1"/>
    <col min="47" max="47" width="12.9140625" style="413" bestFit="1" customWidth="1"/>
    <col min="48" max="48" width="16.58203125" style="413" bestFit="1" customWidth="1"/>
    <col min="49" max="49" width="12.9140625" style="413" bestFit="1" customWidth="1"/>
    <col min="50" max="50" width="16.58203125" style="413" bestFit="1" customWidth="1"/>
    <col min="51" max="51" width="12.9140625" style="413" bestFit="1" customWidth="1"/>
    <col min="52" max="52" width="16.58203125" style="413" bestFit="1" customWidth="1"/>
    <col min="53" max="53" width="12.9140625" style="413" bestFit="1" customWidth="1"/>
    <col min="54" max="54" width="16.58203125" style="413" bestFit="1" customWidth="1"/>
    <col min="55" max="55" width="12.9140625" style="413" bestFit="1" customWidth="1"/>
    <col min="56" max="56" width="16.58203125" style="413" bestFit="1" customWidth="1"/>
    <col min="57" max="57" width="12.9140625" style="413" bestFit="1" customWidth="1"/>
    <col min="58" max="58" width="16.58203125" style="413" bestFit="1" customWidth="1"/>
    <col min="59" max="59" width="12.9140625" style="413" bestFit="1" customWidth="1"/>
    <col min="60" max="60" width="16.58203125" style="413" bestFit="1" customWidth="1"/>
    <col min="61" max="61" width="12.9140625" style="413" bestFit="1" customWidth="1"/>
    <col min="62" max="62" width="16.58203125" style="413" bestFit="1" customWidth="1"/>
    <col min="63" max="63" width="12.9140625" style="413" bestFit="1" customWidth="1"/>
    <col min="64" max="64" width="16.58203125" style="413" bestFit="1" customWidth="1"/>
    <col min="65" max="65" width="12.9140625" style="413" bestFit="1" customWidth="1"/>
    <col min="66" max="66" width="16.58203125" style="413" bestFit="1" customWidth="1"/>
    <col min="67" max="67" width="12.9140625" style="413" bestFit="1" customWidth="1"/>
    <col min="68" max="68" width="16.58203125" style="413" bestFit="1" customWidth="1"/>
    <col min="69" max="69" width="12.9140625" style="413" bestFit="1" customWidth="1"/>
    <col min="70" max="70" width="16.58203125" style="413" bestFit="1" customWidth="1"/>
    <col min="71" max="71" width="12.9140625" style="413" bestFit="1" customWidth="1"/>
    <col min="72" max="72" width="16.58203125" style="413" bestFit="1" customWidth="1"/>
    <col min="73" max="73" width="12.9140625" style="413" bestFit="1" customWidth="1"/>
    <col min="74" max="74" width="16.58203125" style="413" bestFit="1" customWidth="1"/>
    <col min="75" max="75" width="12.9140625" style="413" bestFit="1" customWidth="1"/>
    <col min="76" max="76" width="16.58203125" style="413" bestFit="1" customWidth="1"/>
    <col min="77" max="77" width="12.9140625" style="413" bestFit="1" customWidth="1"/>
    <col min="78" max="78" width="16.58203125" style="413" bestFit="1" customWidth="1"/>
    <col min="79" max="79" width="12.9140625" style="413" bestFit="1" customWidth="1"/>
    <col min="80" max="80" width="16.58203125" style="413" bestFit="1" customWidth="1"/>
    <col min="81" max="81" width="12.9140625" style="413" bestFit="1" customWidth="1"/>
    <col min="82" max="82" width="16.58203125" style="413" bestFit="1" customWidth="1"/>
    <col min="83" max="83" width="12.9140625" style="413" bestFit="1" customWidth="1"/>
    <col min="84" max="84" width="16.58203125" style="413" bestFit="1" customWidth="1"/>
    <col min="85" max="85" width="12.9140625" style="413" bestFit="1" customWidth="1"/>
    <col min="86" max="86" width="16.58203125" style="413" bestFit="1" customWidth="1"/>
    <col min="87" max="87" width="12.9140625" style="413" bestFit="1" customWidth="1"/>
    <col min="88" max="88" width="16.58203125" style="413" bestFit="1" customWidth="1"/>
    <col min="89" max="89" width="12.9140625" style="413" bestFit="1" customWidth="1"/>
    <col min="90" max="90" width="16.58203125" style="413" bestFit="1" customWidth="1"/>
    <col min="91" max="91" width="12.9140625" style="413" bestFit="1" customWidth="1"/>
    <col min="92" max="92" width="16.58203125" style="413" bestFit="1" customWidth="1"/>
    <col min="93" max="93" width="12.9140625" style="413" bestFit="1" customWidth="1"/>
    <col min="94" max="94" width="16.58203125" style="413" bestFit="1" customWidth="1"/>
    <col min="95" max="95" width="12.9140625" style="413" bestFit="1" customWidth="1"/>
    <col min="96" max="96" width="16.58203125" style="413" bestFit="1" customWidth="1"/>
    <col min="97" max="97" width="12.9140625" style="413" bestFit="1" customWidth="1"/>
    <col min="98" max="98" width="16.58203125" style="413" bestFit="1" customWidth="1"/>
    <col min="99" max="99" width="12.9140625" style="413" bestFit="1" customWidth="1"/>
    <col min="100" max="100" width="16.58203125" style="413" bestFit="1" customWidth="1"/>
    <col min="101" max="101" width="12.9140625" style="413" bestFit="1" customWidth="1"/>
    <col min="102" max="102" width="16.58203125" style="413" bestFit="1" customWidth="1"/>
    <col min="103" max="103" width="12.9140625" style="413" bestFit="1" customWidth="1"/>
    <col min="104" max="104" width="16.58203125" style="413" bestFit="1" customWidth="1"/>
    <col min="105" max="105" width="18" style="413" bestFit="1" customWidth="1"/>
    <col min="106" max="106" width="21.6640625" style="413" bestFit="1" customWidth="1"/>
    <col min="107" max="16384" width="8.83203125" style="413"/>
  </cols>
  <sheetData>
    <row r="1" spans="1:16">
      <c r="B1" s="774" t="s">
        <v>21</v>
      </c>
      <c r="C1" s="775" t="s">
        <v>2799</v>
      </c>
      <c r="D1" s="776" t="s">
        <v>2800</v>
      </c>
    </row>
    <row r="2" spans="1:16">
      <c r="A2" s="157"/>
      <c r="B2" s="791" t="s">
        <v>2690</v>
      </c>
      <c r="C2" s="792" t="s">
        <v>2801</v>
      </c>
      <c r="D2" s="792" t="s">
        <v>2792</v>
      </c>
      <c r="F2" s="419" t="s">
        <v>21</v>
      </c>
      <c r="G2" s="419" t="s">
        <v>2799</v>
      </c>
      <c r="I2" s="419" t="s">
        <v>1278</v>
      </c>
      <c r="K2" s="772" t="s">
        <v>2799</v>
      </c>
      <c r="L2" s="772" t="s">
        <v>2926</v>
      </c>
    </row>
    <row r="3" spans="1:16">
      <c r="A3" s="157"/>
      <c r="B3" s="773" t="s">
        <v>2690</v>
      </c>
      <c r="C3" s="777" t="s">
        <v>241</v>
      </c>
      <c r="D3" s="778" t="s">
        <v>2792</v>
      </c>
      <c r="F3" s="413" t="s">
        <v>2688</v>
      </c>
      <c r="G3" s="413" t="s">
        <v>311</v>
      </c>
      <c r="I3" s="483" t="s">
        <v>319</v>
      </c>
      <c r="K3" s="779" t="s">
        <v>319</v>
      </c>
      <c r="L3" s="779" t="s">
        <v>2928</v>
      </c>
      <c r="N3"/>
      <c r="O3"/>
    </row>
    <row r="4" spans="1:16">
      <c r="A4" s="157"/>
      <c r="B4" s="792" t="s">
        <v>610</v>
      </c>
      <c r="C4" s="792" t="s">
        <v>311</v>
      </c>
      <c r="D4" s="792" t="s">
        <v>2792</v>
      </c>
      <c r="F4" s="413" t="s">
        <v>2688</v>
      </c>
      <c r="G4" s="413" t="s">
        <v>2917</v>
      </c>
      <c r="I4" s="483" t="s">
        <v>2802</v>
      </c>
      <c r="K4" s="779" t="s">
        <v>2802</v>
      </c>
      <c r="L4" s="779" t="s">
        <v>2928</v>
      </c>
      <c r="N4"/>
      <c r="O4"/>
    </row>
    <row r="5" spans="1:16">
      <c r="A5" s="157"/>
      <c r="B5" s="792" t="s">
        <v>610</v>
      </c>
      <c r="C5" s="792" t="s">
        <v>2798</v>
      </c>
      <c r="D5" s="792" t="s">
        <v>2792</v>
      </c>
      <c r="F5" s="413" t="s">
        <v>2688</v>
      </c>
      <c r="G5" s="413" t="s">
        <v>2801</v>
      </c>
      <c r="I5" s="483" t="s">
        <v>2920</v>
      </c>
      <c r="K5" s="779" t="s">
        <v>2920</v>
      </c>
      <c r="L5" s="779" t="s">
        <v>2930</v>
      </c>
      <c r="N5" s="419" t="s">
        <v>1278</v>
      </c>
      <c r="O5" t="s">
        <v>2933</v>
      </c>
      <c r="P5"/>
    </row>
    <row r="6" spans="1:16">
      <c r="A6" s="157"/>
      <c r="B6" s="792" t="s">
        <v>610</v>
      </c>
      <c r="C6" s="792" t="s">
        <v>36</v>
      </c>
      <c r="D6" s="792" t="s">
        <v>2792</v>
      </c>
      <c r="F6" s="413" t="s">
        <v>2688</v>
      </c>
      <c r="G6" s="413" t="s">
        <v>241</v>
      </c>
      <c r="I6" s="483" t="s">
        <v>311</v>
      </c>
      <c r="K6" s="779" t="s">
        <v>311</v>
      </c>
      <c r="L6" s="779" t="s">
        <v>2928</v>
      </c>
      <c r="N6" s="483" t="s">
        <v>2930</v>
      </c>
      <c r="O6" s="412">
        <v>5</v>
      </c>
      <c r="P6"/>
    </row>
    <row r="7" spans="1:16">
      <c r="A7" s="157"/>
      <c r="B7" s="792" t="s">
        <v>610</v>
      </c>
      <c r="C7" s="792" t="s">
        <v>303</v>
      </c>
      <c r="D7" s="792" t="s">
        <v>2792</v>
      </c>
      <c r="F7" s="413" t="s">
        <v>2690</v>
      </c>
      <c r="G7" s="413" t="s">
        <v>2801</v>
      </c>
      <c r="I7" s="483" t="s">
        <v>1751</v>
      </c>
      <c r="K7" s="779" t="s">
        <v>1751</v>
      </c>
      <c r="L7" s="779" t="s">
        <v>2927</v>
      </c>
      <c r="N7" s="483" t="s">
        <v>2928</v>
      </c>
      <c r="O7" s="412">
        <v>23</v>
      </c>
      <c r="P7"/>
    </row>
    <row r="8" spans="1:16">
      <c r="A8" s="157"/>
      <c r="B8" s="792" t="s">
        <v>610</v>
      </c>
      <c r="C8" s="792" t="s">
        <v>2076</v>
      </c>
      <c r="D8" s="792" t="s">
        <v>2792</v>
      </c>
      <c r="F8" s="413" t="s">
        <v>2690</v>
      </c>
      <c r="G8" s="413" t="s">
        <v>241</v>
      </c>
      <c r="I8" s="483" t="s">
        <v>323</v>
      </c>
      <c r="K8" s="779" t="s">
        <v>323</v>
      </c>
      <c r="L8" s="779" t="s">
        <v>2928</v>
      </c>
      <c r="N8" s="483" t="s">
        <v>2927</v>
      </c>
      <c r="O8" s="412">
        <v>16</v>
      </c>
      <c r="P8"/>
    </row>
    <row r="9" spans="1:16">
      <c r="A9" s="157"/>
      <c r="B9" s="793" t="s">
        <v>610</v>
      </c>
      <c r="C9" s="792" t="s">
        <v>297</v>
      </c>
      <c r="D9" s="792" t="s">
        <v>2792</v>
      </c>
      <c r="F9" s="413" t="s">
        <v>610</v>
      </c>
      <c r="G9" s="413" t="s">
        <v>311</v>
      </c>
      <c r="I9" s="483" t="s">
        <v>2796</v>
      </c>
      <c r="K9" s="779" t="s">
        <v>2796</v>
      </c>
      <c r="L9" s="779" t="s">
        <v>2928</v>
      </c>
      <c r="N9" s="483" t="s">
        <v>2931</v>
      </c>
      <c r="O9" s="412">
        <v>1</v>
      </c>
      <c r="P9"/>
    </row>
    <row r="10" spans="1:16">
      <c r="A10" s="157"/>
      <c r="B10" s="791" t="s">
        <v>610</v>
      </c>
      <c r="C10" s="792" t="s">
        <v>2794</v>
      </c>
      <c r="D10" s="792" t="s">
        <v>2792</v>
      </c>
      <c r="F10" s="413" t="s">
        <v>610</v>
      </c>
      <c r="G10" s="413" t="s">
        <v>2798</v>
      </c>
      <c r="I10" s="483" t="s">
        <v>2798</v>
      </c>
      <c r="K10" s="779" t="s">
        <v>2798</v>
      </c>
      <c r="L10" s="779" t="s">
        <v>2930</v>
      </c>
      <c r="N10" s="483" t="s">
        <v>2932</v>
      </c>
      <c r="O10" s="412">
        <v>2</v>
      </c>
      <c r="P10"/>
    </row>
    <row r="11" spans="1:16">
      <c r="A11" s="157"/>
      <c r="B11" s="791" t="s">
        <v>610</v>
      </c>
      <c r="C11" s="792" t="s">
        <v>241</v>
      </c>
      <c r="D11" s="792" t="s">
        <v>2792</v>
      </c>
      <c r="F11" s="413" t="s">
        <v>610</v>
      </c>
      <c r="G11" s="413" t="s">
        <v>36</v>
      </c>
      <c r="I11" s="483" t="s">
        <v>2918</v>
      </c>
      <c r="K11" s="779" t="s">
        <v>2918</v>
      </c>
      <c r="L11" s="779" t="s">
        <v>2930</v>
      </c>
      <c r="N11" s="483" t="s">
        <v>1280</v>
      </c>
      <c r="O11" s="412">
        <v>47</v>
      </c>
      <c r="P11"/>
    </row>
    <row r="12" spans="1:16">
      <c r="A12" s="157"/>
      <c r="B12" s="792" t="s">
        <v>37</v>
      </c>
      <c r="C12" s="792" t="s">
        <v>934</v>
      </c>
      <c r="D12" s="792" t="s">
        <v>2792</v>
      </c>
      <c r="F12" s="413" t="s">
        <v>610</v>
      </c>
      <c r="G12" s="413" t="s">
        <v>303</v>
      </c>
      <c r="I12" s="483" t="s">
        <v>369</v>
      </c>
      <c r="K12" s="779" t="s">
        <v>369</v>
      </c>
      <c r="L12" s="779" t="s">
        <v>2928</v>
      </c>
      <c r="N12"/>
      <c r="O12"/>
      <c r="P12"/>
    </row>
    <row r="13" spans="1:16">
      <c r="A13" s="161"/>
      <c r="B13" s="791" t="s">
        <v>37</v>
      </c>
      <c r="C13" s="792" t="s">
        <v>141</v>
      </c>
      <c r="D13" s="792" t="s">
        <v>2792</v>
      </c>
      <c r="F13" s="413" t="s">
        <v>610</v>
      </c>
      <c r="G13" s="413" t="s">
        <v>2076</v>
      </c>
      <c r="I13" s="483" t="s">
        <v>2925</v>
      </c>
      <c r="K13" s="779" t="s">
        <v>2925</v>
      </c>
      <c r="L13" s="779" t="s">
        <v>2927</v>
      </c>
      <c r="N13"/>
      <c r="O13"/>
      <c r="P13"/>
    </row>
    <row r="14" spans="1:16">
      <c r="A14" s="157"/>
      <c r="B14" s="792" t="s">
        <v>37</v>
      </c>
      <c r="C14" s="792" t="s">
        <v>36</v>
      </c>
      <c r="D14" s="792" t="s">
        <v>2792</v>
      </c>
      <c r="F14" s="413" t="s">
        <v>610</v>
      </c>
      <c r="G14" s="413" t="s">
        <v>297</v>
      </c>
      <c r="I14" s="483" t="s">
        <v>2154</v>
      </c>
      <c r="K14" s="779" t="s">
        <v>2154</v>
      </c>
      <c r="L14" s="779" t="s">
        <v>2928</v>
      </c>
      <c r="N14"/>
      <c r="O14"/>
      <c r="P14"/>
    </row>
    <row r="15" spans="1:16">
      <c r="A15" s="157"/>
      <c r="B15" s="792" t="s">
        <v>37</v>
      </c>
      <c r="C15" s="792" t="s">
        <v>2634</v>
      </c>
      <c r="D15" s="792" t="s">
        <v>2792</v>
      </c>
      <c r="F15" s="413" t="s">
        <v>610</v>
      </c>
      <c r="G15" s="413" t="s">
        <v>2794</v>
      </c>
      <c r="I15" s="483" t="s">
        <v>934</v>
      </c>
      <c r="K15" s="779" t="s">
        <v>934</v>
      </c>
      <c r="L15" s="779" t="s">
        <v>2931</v>
      </c>
      <c r="N15"/>
      <c r="O15"/>
      <c r="P15"/>
    </row>
    <row r="16" spans="1:16">
      <c r="A16" s="157"/>
      <c r="B16" s="791" t="s">
        <v>37</v>
      </c>
      <c r="C16" s="792" t="s">
        <v>241</v>
      </c>
      <c r="D16" s="792" t="s">
        <v>2792</v>
      </c>
      <c r="F16" s="413" t="s">
        <v>610</v>
      </c>
      <c r="G16" s="413" t="s">
        <v>241</v>
      </c>
      <c r="I16" s="483" t="s">
        <v>914</v>
      </c>
      <c r="K16" s="779" t="s">
        <v>914</v>
      </c>
      <c r="L16" s="779" t="s">
        <v>2928</v>
      </c>
      <c r="N16"/>
      <c r="O16"/>
      <c r="P16"/>
    </row>
    <row r="17" spans="1:16">
      <c r="A17" s="161"/>
      <c r="B17" s="791" t="s">
        <v>37</v>
      </c>
      <c r="C17" s="792" t="s">
        <v>2912</v>
      </c>
      <c r="D17" s="792" t="s">
        <v>2792</v>
      </c>
      <c r="F17" s="413" t="s">
        <v>37</v>
      </c>
      <c r="G17" s="413" t="s">
        <v>2154</v>
      </c>
      <c r="I17" s="483" t="s">
        <v>2790</v>
      </c>
      <c r="K17" s="779" t="s">
        <v>2790</v>
      </c>
      <c r="L17" s="779" t="s">
        <v>2928</v>
      </c>
      <c r="N17"/>
      <c r="O17"/>
      <c r="P17"/>
    </row>
    <row r="18" spans="1:16">
      <c r="B18" s="792" t="s">
        <v>2692</v>
      </c>
      <c r="C18" s="792" t="s">
        <v>311</v>
      </c>
      <c r="D18" s="792" t="s">
        <v>2792</v>
      </c>
      <c r="F18" s="413" t="s">
        <v>37</v>
      </c>
      <c r="G18" s="413" t="s">
        <v>934</v>
      </c>
      <c r="I18" s="483" t="s">
        <v>141</v>
      </c>
      <c r="K18" s="779" t="s">
        <v>141</v>
      </c>
      <c r="L18" s="779" t="s">
        <v>2927</v>
      </c>
      <c r="N18"/>
      <c r="O18"/>
      <c r="P18"/>
    </row>
    <row r="19" spans="1:16">
      <c r="B19" s="791" t="s">
        <v>2692</v>
      </c>
      <c r="C19" s="792" t="s">
        <v>36</v>
      </c>
      <c r="D19" s="792" t="s">
        <v>2792</v>
      </c>
      <c r="F19" s="413" t="s">
        <v>37</v>
      </c>
      <c r="G19" s="413" t="s">
        <v>914</v>
      </c>
      <c r="I19" s="483" t="s">
        <v>36</v>
      </c>
      <c r="K19" s="779" t="s">
        <v>36</v>
      </c>
      <c r="L19" s="779" t="s">
        <v>2927</v>
      </c>
      <c r="N19"/>
      <c r="O19"/>
      <c r="P19"/>
    </row>
    <row r="20" spans="1:16">
      <c r="B20" s="791" t="s">
        <v>2692</v>
      </c>
      <c r="C20" s="792" t="s">
        <v>2915</v>
      </c>
      <c r="D20" s="792" t="s">
        <v>2792</v>
      </c>
      <c r="F20" s="413" t="s">
        <v>37</v>
      </c>
      <c r="G20" s="413" t="s">
        <v>141</v>
      </c>
      <c r="I20" s="483" t="s">
        <v>2915</v>
      </c>
      <c r="K20" s="779" t="s">
        <v>2915</v>
      </c>
      <c r="L20" s="779" t="s">
        <v>2927</v>
      </c>
      <c r="N20"/>
      <c r="O20"/>
      <c r="P20"/>
    </row>
    <row r="21" spans="1:16">
      <c r="B21" s="791" t="s">
        <v>2692</v>
      </c>
      <c r="C21" s="792" t="s">
        <v>2914</v>
      </c>
      <c r="D21" s="792" t="s">
        <v>2792</v>
      </c>
      <c r="F21" s="413" t="s">
        <v>37</v>
      </c>
      <c r="G21" s="413" t="s">
        <v>36</v>
      </c>
      <c r="I21" s="483" t="s">
        <v>2797</v>
      </c>
      <c r="K21" s="779" t="s">
        <v>2797</v>
      </c>
      <c r="L21" s="779" t="s">
        <v>2928</v>
      </c>
      <c r="N21"/>
      <c r="O21"/>
      <c r="P21"/>
    </row>
    <row r="22" spans="1:16">
      <c r="B22" s="791" t="s">
        <v>2692</v>
      </c>
      <c r="C22" s="792" t="s">
        <v>241</v>
      </c>
      <c r="D22" s="792" t="s">
        <v>2792</v>
      </c>
      <c r="F22" s="413" t="s">
        <v>37</v>
      </c>
      <c r="G22" s="413" t="s">
        <v>192</v>
      </c>
      <c r="I22" s="483" t="s">
        <v>303</v>
      </c>
      <c r="K22" s="779" t="s">
        <v>315</v>
      </c>
      <c r="L22" s="779" t="s">
        <v>2928</v>
      </c>
      <c r="N22"/>
      <c r="O22"/>
      <c r="P22"/>
    </row>
    <row r="23" spans="1:16">
      <c r="B23" s="791" t="s">
        <v>2692</v>
      </c>
      <c r="C23" s="792" t="s">
        <v>2913</v>
      </c>
      <c r="D23" s="792" t="s">
        <v>2792</v>
      </c>
      <c r="F23" s="413" t="s">
        <v>37</v>
      </c>
      <c r="G23" s="413" t="s">
        <v>2076</v>
      </c>
      <c r="I23" s="483" t="s">
        <v>315</v>
      </c>
      <c r="K23" s="779" t="s">
        <v>2795</v>
      </c>
      <c r="L23" s="779" t="s">
        <v>2928</v>
      </c>
    </row>
    <row r="24" spans="1:16">
      <c r="B24" s="792" t="s">
        <v>2332</v>
      </c>
      <c r="C24" s="792" t="s">
        <v>2802</v>
      </c>
      <c r="D24" s="792" t="s">
        <v>2792</v>
      </c>
      <c r="F24" s="413" t="s">
        <v>37</v>
      </c>
      <c r="G24" s="413" t="s">
        <v>242</v>
      </c>
      <c r="I24" s="483" t="s">
        <v>2914</v>
      </c>
      <c r="K24" s="779" t="s">
        <v>2914</v>
      </c>
      <c r="L24" s="779" t="s">
        <v>2928</v>
      </c>
    </row>
    <row r="25" spans="1:16">
      <c r="B25" s="792" t="s">
        <v>2332</v>
      </c>
      <c r="C25" s="792" t="s">
        <v>2918</v>
      </c>
      <c r="D25" s="792" t="s">
        <v>2792</v>
      </c>
      <c r="F25" s="413" t="s">
        <v>37</v>
      </c>
      <c r="G25" s="413" t="s">
        <v>276</v>
      </c>
      <c r="I25" s="483" t="s">
        <v>192</v>
      </c>
      <c r="K25" s="779" t="s">
        <v>192</v>
      </c>
      <c r="L25" s="779" t="s">
        <v>2927</v>
      </c>
    </row>
    <row r="26" spans="1:16">
      <c r="B26" s="792" t="s">
        <v>2332</v>
      </c>
      <c r="C26" s="792" t="s">
        <v>36</v>
      </c>
      <c r="D26" s="792" t="s">
        <v>2792</v>
      </c>
      <c r="F26" s="413" t="s">
        <v>37</v>
      </c>
      <c r="G26" s="413" t="s">
        <v>2634</v>
      </c>
      <c r="I26" s="483" t="s">
        <v>2916</v>
      </c>
      <c r="K26" s="779" t="s">
        <v>2916</v>
      </c>
      <c r="L26" s="779" t="s">
        <v>2927</v>
      </c>
    </row>
    <row r="27" spans="1:16">
      <c r="B27" s="791" t="s">
        <v>2332</v>
      </c>
      <c r="C27" s="792" t="s">
        <v>2914</v>
      </c>
      <c r="D27" s="792" t="s">
        <v>2792</v>
      </c>
      <c r="F27" s="413" t="s">
        <v>37</v>
      </c>
      <c r="G27" s="413" t="s">
        <v>241</v>
      </c>
      <c r="I27" s="483" t="s">
        <v>2917</v>
      </c>
      <c r="K27" s="779" t="s">
        <v>2917</v>
      </c>
      <c r="L27" s="779" t="s">
        <v>2930</v>
      </c>
    </row>
    <row r="28" spans="1:16">
      <c r="B28" s="791" t="s">
        <v>2332</v>
      </c>
      <c r="C28" s="792" t="s">
        <v>2801</v>
      </c>
      <c r="D28" s="792" t="s">
        <v>2792</v>
      </c>
      <c r="F28" s="413" t="s">
        <v>37</v>
      </c>
      <c r="G28" s="413" t="s">
        <v>2912</v>
      </c>
      <c r="I28" s="483" t="s">
        <v>2921</v>
      </c>
      <c r="K28" s="779" t="s">
        <v>2921</v>
      </c>
      <c r="L28" s="779" t="s">
        <v>2928</v>
      </c>
    </row>
    <row r="29" spans="1:16">
      <c r="B29" s="791" t="s">
        <v>2332</v>
      </c>
      <c r="C29" s="792" t="s">
        <v>2803</v>
      </c>
      <c r="D29" s="792" t="s">
        <v>2792</v>
      </c>
      <c r="F29" s="413" t="s">
        <v>37</v>
      </c>
      <c r="G29" s="413" t="s">
        <v>291</v>
      </c>
      <c r="I29" s="483" t="s">
        <v>2076</v>
      </c>
      <c r="K29" s="779" t="s">
        <v>2076</v>
      </c>
      <c r="L29" s="779" t="s">
        <v>2928</v>
      </c>
    </row>
    <row r="30" spans="1:16">
      <c r="B30" s="792" t="s">
        <v>2332</v>
      </c>
      <c r="C30" s="792" t="s">
        <v>241</v>
      </c>
      <c r="D30" s="792" t="s">
        <v>2792</v>
      </c>
      <c r="F30" s="413" t="s">
        <v>37</v>
      </c>
      <c r="G30" s="413" t="s">
        <v>2143</v>
      </c>
      <c r="I30" s="483" t="s">
        <v>2922</v>
      </c>
      <c r="K30" s="779" t="s">
        <v>2922</v>
      </c>
      <c r="L30" s="779" t="s">
        <v>2927</v>
      </c>
    </row>
    <row r="31" spans="1:16">
      <c r="B31" s="793" t="s">
        <v>2693</v>
      </c>
      <c r="C31" s="792" t="s">
        <v>36</v>
      </c>
      <c r="D31" s="792" t="s">
        <v>2792</v>
      </c>
      <c r="F31" s="413" t="s">
        <v>2692</v>
      </c>
      <c r="G31" s="413" t="s">
        <v>311</v>
      </c>
      <c r="I31" s="483" t="s">
        <v>2801</v>
      </c>
      <c r="K31" s="779" t="s">
        <v>2801</v>
      </c>
      <c r="L31" s="779" t="s">
        <v>2928</v>
      </c>
    </row>
    <row r="32" spans="1:16">
      <c r="B32" s="793" t="s">
        <v>2693</v>
      </c>
      <c r="C32" s="792" t="s">
        <v>303</v>
      </c>
      <c r="D32" s="792" t="s">
        <v>2792</v>
      </c>
      <c r="F32" s="413" t="s">
        <v>2692</v>
      </c>
      <c r="G32" s="413" t="s">
        <v>36</v>
      </c>
      <c r="I32" s="483" t="s">
        <v>358</v>
      </c>
      <c r="K32" s="779" t="s">
        <v>358</v>
      </c>
      <c r="L32" s="779" t="s">
        <v>2928</v>
      </c>
    </row>
    <row r="33" spans="2:12">
      <c r="B33" s="792" t="s">
        <v>2688</v>
      </c>
      <c r="C33" s="792" t="s">
        <v>311</v>
      </c>
      <c r="D33" s="792" t="s">
        <v>2792</v>
      </c>
      <c r="F33" s="413" t="s">
        <v>2692</v>
      </c>
      <c r="G33" s="413" t="s">
        <v>2915</v>
      </c>
      <c r="I33" s="483" t="s">
        <v>297</v>
      </c>
      <c r="K33" s="779" t="s">
        <v>297</v>
      </c>
      <c r="L33" s="779" t="s">
        <v>2928</v>
      </c>
    </row>
    <row r="34" spans="2:12">
      <c r="B34" s="791" t="s">
        <v>2688</v>
      </c>
      <c r="C34" s="792" t="s">
        <v>2917</v>
      </c>
      <c r="D34" s="792" t="s">
        <v>2792</v>
      </c>
      <c r="F34" s="413" t="s">
        <v>2692</v>
      </c>
      <c r="G34" s="413" t="s">
        <v>2914</v>
      </c>
      <c r="I34" s="483" t="s">
        <v>2923</v>
      </c>
      <c r="K34" s="779" t="s">
        <v>2923</v>
      </c>
      <c r="L34" s="779" t="s">
        <v>2930</v>
      </c>
    </row>
    <row r="35" spans="2:12">
      <c r="B35" s="791" t="s">
        <v>2688</v>
      </c>
      <c r="C35" s="792" t="s">
        <v>2801</v>
      </c>
      <c r="D35" s="792" t="s">
        <v>2792</v>
      </c>
      <c r="F35" s="413" t="s">
        <v>2692</v>
      </c>
      <c r="G35" s="413" t="s">
        <v>241</v>
      </c>
      <c r="I35" s="483" t="s">
        <v>242</v>
      </c>
      <c r="K35" s="779" t="s">
        <v>242</v>
      </c>
      <c r="L35" s="779" t="s">
        <v>2927</v>
      </c>
    </row>
    <row r="36" spans="2:12">
      <c r="B36" s="791" t="s">
        <v>2688</v>
      </c>
      <c r="C36" s="792" t="s">
        <v>241</v>
      </c>
      <c r="D36" s="792" t="s">
        <v>2792</v>
      </c>
      <c r="F36" s="413" t="s">
        <v>2692</v>
      </c>
      <c r="G36" s="413" t="s">
        <v>2913</v>
      </c>
      <c r="I36" s="483" t="s">
        <v>276</v>
      </c>
      <c r="K36" s="779" t="s">
        <v>276</v>
      </c>
      <c r="L36" s="779" t="s">
        <v>2928</v>
      </c>
    </row>
    <row r="37" spans="2:12">
      <c r="B37" s="792" t="s">
        <v>304</v>
      </c>
      <c r="C37" s="792" t="s">
        <v>323</v>
      </c>
      <c r="D37" s="792" t="s">
        <v>2792</v>
      </c>
      <c r="F37" s="413" t="s">
        <v>2332</v>
      </c>
      <c r="G37" s="413" t="s">
        <v>2802</v>
      </c>
      <c r="I37" s="483" t="s">
        <v>2951</v>
      </c>
      <c r="K37" s="483" t="s">
        <v>2951</v>
      </c>
      <c r="L37" s="779" t="s">
        <v>2927</v>
      </c>
    </row>
    <row r="38" spans="2:12">
      <c r="B38" s="792" t="s">
        <v>304</v>
      </c>
      <c r="C38" s="792" t="s">
        <v>2796</v>
      </c>
      <c r="D38" s="792" t="s">
        <v>2792</v>
      </c>
      <c r="F38" s="413" t="s">
        <v>2332</v>
      </c>
      <c r="G38" s="413" t="s">
        <v>2918</v>
      </c>
      <c r="I38" s="483" t="s">
        <v>2634</v>
      </c>
      <c r="K38" s="779" t="s">
        <v>2634</v>
      </c>
      <c r="L38" s="779" t="s">
        <v>2927</v>
      </c>
    </row>
    <row r="39" spans="2:12">
      <c r="B39" s="793" t="s">
        <v>304</v>
      </c>
      <c r="C39" s="792" t="s">
        <v>369</v>
      </c>
      <c r="D39" s="792" t="s">
        <v>2792</v>
      </c>
      <c r="F39" s="413" t="s">
        <v>2332</v>
      </c>
      <c r="G39" s="413" t="s">
        <v>36</v>
      </c>
      <c r="I39" s="483" t="s">
        <v>2949</v>
      </c>
      <c r="K39" s="483" t="s">
        <v>2949</v>
      </c>
      <c r="L39" s="779" t="s">
        <v>2927</v>
      </c>
    </row>
    <row r="40" spans="2:12">
      <c r="B40" s="791" t="s">
        <v>304</v>
      </c>
      <c r="C40" s="792" t="s">
        <v>914</v>
      </c>
      <c r="D40" s="792" t="s">
        <v>2792</v>
      </c>
      <c r="F40" s="413" t="s">
        <v>2332</v>
      </c>
      <c r="G40" s="413" t="s">
        <v>2914</v>
      </c>
      <c r="I40" s="483" t="s">
        <v>2919</v>
      </c>
      <c r="K40" s="779" t="s">
        <v>2919</v>
      </c>
      <c r="L40" s="779" t="s">
        <v>2928</v>
      </c>
    </row>
    <row r="41" spans="2:12">
      <c r="B41" s="793" t="s">
        <v>304</v>
      </c>
      <c r="C41" s="792" t="s">
        <v>2797</v>
      </c>
      <c r="D41" s="792" t="s">
        <v>2792</v>
      </c>
      <c r="F41" s="413" t="s">
        <v>2332</v>
      </c>
      <c r="G41" s="413" t="s">
        <v>2801</v>
      </c>
      <c r="I41" s="483" t="s">
        <v>2794</v>
      </c>
      <c r="K41" s="779" t="s">
        <v>2794</v>
      </c>
      <c r="L41" s="779" t="s">
        <v>2928</v>
      </c>
    </row>
    <row r="42" spans="2:12">
      <c r="B42" s="793" t="s">
        <v>304</v>
      </c>
      <c r="C42" s="792" t="s">
        <v>2076</v>
      </c>
      <c r="D42" s="792" t="s">
        <v>2792</v>
      </c>
      <c r="F42" s="413" t="s">
        <v>2332</v>
      </c>
      <c r="G42" s="413" t="s">
        <v>2803</v>
      </c>
      <c r="I42" s="483" t="s">
        <v>2924</v>
      </c>
      <c r="K42" s="779" t="s">
        <v>2924</v>
      </c>
      <c r="L42" s="779" t="s">
        <v>2927</v>
      </c>
    </row>
    <row r="43" spans="2:12">
      <c r="B43" s="792" t="s">
        <v>304</v>
      </c>
      <c r="C43" s="792" t="s">
        <v>358</v>
      </c>
      <c r="D43" s="792" t="s">
        <v>2792</v>
      </c>
      <c r="F43" s="413" t="s">
        <v>2332</v>
      </c>
      <c r="G43" s="413" t="s">
        <v>241</v>
      </c>
      <c r="I43" s="483" t="s">
        <v>2803</v>
      </c>
      <c r="K43" s="779" t="s">
        <v>2803</v>
      </c>
      <c r="L43" s="779" t="s">
        <v>2927</v>
      </c>
    </row>
    <row r="44" spans="2:12">
      <c r="B44" s="792" t="s">
        <v>304</v>
      </c>
      <c r="C44" s="792" t="s">
        <v>276</v>
      </c>
      <c r="D44" s="792" t="s">
        <v>2792</v>
      </c>
      <c r="F44" s="413" t="s">
        <v>2693</v>
      </c>
      <c r="G44" s="413" t="s">
        <v>36</v>
      </c>
      <c r="I44" s="483" t="s">
        <v>241</v>
      </c>
      <c r="K44" s="779" t="s">
        <v>241</v>
      </c>
      <c r="L44" s="779" t="s">
        <v>2932</v>
      </c>
    </row>
    <row r="45" spans="2:12">
      <c r="B45" s="792" t="s">
        <v>304</v>
      </c>
      <c r="C45" s="792" t="s">
        <v>2919</v>
      </c>
      <c r="D45" s="792" t="s">
        <v>2792</v>
      </c>
      <c r="F45" s="413" t="s">
        <v>2693</v>
      </c>
      <c r="G45" s="413" t="s">
        <v>303</v>
      </c>
      <c r="I45" s="483" t="s">
        <v>2912</v>
      </c>
      <c r="K45" s="779" t="s">
        <v>2912</v>
      </c>
      <c r="L45" s="779" t="s">
        <v>2928</v>
      </c>
    </row>
    <row r="46" spans="2:12">
      <c r="B46" s="793" t="s">
        <v>304</v>
      </c>
      <c r="C46" s="792" t="s">
        <v>241</v>
      </c>
      <c r="D46" s="792" t="s">
        <v>2792</v>
      </c>
      <c r="F46" s="413" t="s">
        <v>304</v>
      </c>
      <c r="G46" s="413" t="s">
        <v>1751</v>
      </c>
      <c r="I46" s="483" t="s">
        <v>2913</v>
      </c>
      <c r="K46" s="779" t="s">
        <v>2913</v>
      </c>
      <c r="L46" s="779" t="s">
        <v>2927</v>
      </c>
    </row>
    <row r="47" spans="2:12">
      <c r="B47" s="793" t="s">
        <v>304</v>
      </c>
      <c r="C47" s="792" t="s">
        <v>2124</v>
      </c>
      <c r="D47" s="792" t="s">
        <v>2792</v>
      </c>
      <c r="F47" s="413" t="s">
        <v>304</v>
      </c>
      <c r="G47" s="413" t="s">
        <v>323</v>
      </c>
      <c r="I47" s="483" t="s">
        <v>2124</v>
      </c>
      <c r="K47" s="779" t="s">
        <v>2124</v>
      </c>
      <c r="L47" s="779" t="s">
        <v>2932</v>
      </c>
    </row>
    <row r="48" spans="2:12">
      <c r="B48" s="793" t="s">
        <v>2696</v>
      </c>
      <c r="C48" s="792" t="s">
        <v>319</v>
      </c>
      <c r="D48" s="792" t="s">
        <v>2792</v>
      </c>
      <c r="F48" s="413" t="s">
        <v>304</v>
      </c>
      <c r="G48" s="413" t="s">
        <v>2796</v>
      </c>
      <c r="I48" s="483" t="s">
        <v>291</v>
      </c>
      <c r="K48" s="779" t="s">
        <v>291</v>
      </c>
      <c r="L48" s="779" t="s">
        <v>2927</v>
      </c>
    </row>
    <row r="49" spans="2:12">
      <c r="B49" s="792" t="s">
        <v>2696</v>
      </c>
      <c r="C49" s="792" t="s">
        <v>2920</v>
      </c>
      <c r="D49" s="792" t="s">
        <v>2792</v>
      </c>
      <c r="F49" s="413" t="s">
        <v>304</v>
      </c>
      <c r="G49" s="413" t="s">
        <v>369</v>
      </c>
      <c r="I49" s="483" t="s">
        <v>2143</v>
      </c>
      <c r="K49" s="779" t="s">
        <v>2929</v>
      </c>
      <c r="L49" s="779" t="s">
        <v>2928</v>
      </c>
    </row>
    <row r="50" spans="2:12">
      <c r="B50" s="792" t="s">
        <v>2696</v>
      </c>
      <c r="C50" s="792" t="s">
        <v>36</v>
      </c>
      <c r="D50" s="792" t="s">
        <v>2792</v>
      </c>
      <c r="F50" s="413" t="s">
        <v>304</v>
      </c>
      <c r="G50" s="413" t="s">
        <v>914</v>
      </c>
      <c r="I50" s="483" t="s">
        <v>1280</v>
      </c>
    </row>
    <row r="51" spans="2:12">
      <c r="B51" s="793" t="s">
        <v>2696</v>
      </c>
      <c r="C51" s="792" t="s">
        <v>2949</v>
      </c>
      <c r="D51" s="792" t="s">
        <v>2792</v>
      </c>
      <c r="F51" s="413" t="s">
        <v>304</v>
      </c>
      <c r="G51" s="413" t="s">
        <v>2790</v>
      </c>
      <c r="I51"/>
    </row>
    <row r="52" spans="2:12">
      <c r="B52" s="791" t="s">
        <v>2696</v>
      </c>
      <c r="C52" s="792" t="s">
        <v>241</v>
      </c>
      <c r="D52" s="792" t="s">
        <v>2792</v>
      </c>
      <c r="F52" s="413" t="s">
        <v>304</v>
      </c>
      <c r="G52" s="413" t="s">
        <v>2797</v>
      </c>
    </row>
    <row r="53" spans="2:12">
      <c r="B53" s="792" t="s">
        <v>515</v>
      </c>
      <c r="C53" s="792" t="s">
        <v>311</v>
      </c>
      <c r="D53" s="792" t="s">
        <v>2792</v>
      </c>
      <c r="F53" s="413" t="s">
        <v>304</v>
      </c>
      <c r="G53" s="413" t="s">
        <v>303</v>
      </c>
    </row>
    <row r="54" spans="2:12">
      <c r="B54" s="792" t="s">
        <v>515</v>
      </c>
      <c r="C54" s="792" t="s">
        <v>934</v>
      </c>
      <c r="D54" s="792" t="s">
        <v>2792</v>
      </c>
      <c r="F54" s="413" t="s">
        <v>304</v>
      </c>
      <c r="G54" s="413" t="s">
        <v>315</v>
      </c>
    </row>
    <row r="55" spans="2:12">
      <c r="B55" s="791" t="s">
        <v>515</v>
      </c>
      <c r="C55" s="792" t="s">
        <v>192</v>
      </c>
      <c r="D55" s="792" t="s">
        <v>2792</v>
      </c>
      <c r="F55" s="413" t="s">
        <v>304</v>
      </c>
      <c r="G55" s="413" t="s">
        <v>2921</v>
      </c>
    </row>
    <row r="56" spans="2:12">
      <c r="B56" s="793" t="s">
        <v>515</v>
      </c>
      <c r="C56" s="792" t="s">
        <v>2916</v>
      </c>
      <c r="D56" s="792" t="s">
        <v>2792</v>
      </c>
      <c r="F56" s="413" t="s">
        <v>304</v>
      </c>
      <c r="G56" s="413" t="s">
        <v>2076</v>
      </c>
    </row>
    <row r="57" spans="2:12">
      <c r="B57" s="793" t="s">
        <v>515</v>
      </c>
      <c r="C57" s="792" t="s">
        <v>297</v>
      </c>
      <c r="D57" s="792" t="s">
        <v>2792</v>
      </c>
      <c r="F57" s="413" t="s">
        <v>304</v>
      </c>
      <c r="G57" s="413" t="s">
        <v>2922</v>
      </c>
    </row>
    <row r="58" spans="2:12">
      <c r="B58" s="791" t="s">
        <v>515</v>
      </c>
      <c r="C58" s="792" t="s">
        <v>241</v>
      </c>
      <c r="D58" s="792" t="s">
        <v>2792</v>
      </c>
      <c r="F58" s="413" t="s">
        <v>304</v>
      </c>
      <c r="G58" s="413" t="s">
        <v>358</v>
      </c>
    </row>
    <row r="59" spans="2:12">
      <c r="B59" s="792" t="s">
        <v>2638</v>
      </c>
      <c r="C59" s="792" t="s">
        <v>311</v>
      </c>
      <c r="D59" s="792" t="s">
        <v>2792</v>
      </c>
      <c r="F59" s="413" t="s">
        <v>304</v>
      </c>
      <c r="G59" s="413" t="s">
        <v>297</v>
      </c>
    </row>
    <row r="60" spans="2:12">
      <c r="B60" s="792" t="s">
        <v>2638</v>
      </c>
      <c r="C60" s="792" t="s">
        <v>2915</v>
      </c>
      <c r="D60" s="792" t="s">
        <v>2792</v>
      </c>
      <c r="F60" s="413" t="s">
        <v>304</v>
      </c>
      <c r="G60" s="413" t="s">
        <v>2923</v>
      </c>
    </row>
    <row r="61" spans="2:12">
      <c r="B61" s="792" t="s">
        <v>2638</v>
      </c>
      <c r="C61" s="792" t="s">
        <v>2914</v>
      </c>
      <c r="D61" s="792" t="s">
        <v>2792</v>
      </c>
      <c r="F61" s="413" t="s">
        <v>304</v>
      </c>
      <c r="G61" s="413" t="s">
        <v>276</v>
      </c>
    </row>
    <row r="62" spans="2:12">
      <c r="B62" s="793" t="s">
        <v>2638</v>
      </c>
      <c r="C62" s="792" t="s">
        <v>358</v>
      </c>
      <c r="D62" s="792" t="s">
        <v>2792</v>
      </c>
      <c r="F62" s="413" t="s">
        <v>304</v>
      </c>
      <c r="G62" s="413" t="s">
        <v>2919</v>
      </c>
    </row>
    <row r="63" spans="2:12">
      <c r="B63" s="793" t="s">
        <v>2638</v>
      </c>
      <c r="C63" s="792" t="s">
        <v>297</v>
      </c>
      <c r="D63" s="792" t="s">
        <v>2792</v>
      </c>
      <c r="F63" s="413" t="s">
        <v>304</v>
      </c>
      <c r="G63" s="413" t="s">
        <v>2924</v>
      </c>
    </row>
    <row r="64" spans="2:12">
      <c r="B64" s="791" t="s">
        <v>2638</v>
      </c>
      <c r="C64" s="791" t="s">
        <v>241</v>
      </c>
      <c r="D64" s="792" t="s">
        <v>2792</v>
      </c>
      <c r="F64" s="413" t="s">
        <v>304</v>
      </c>
      <c r="G64" s="413" t="s">
        <v>241</v>
      </c>
    </row>
    <row r="65" spans="2:7">
      <c r="B65" s="791" t="s">
        <v>37</v>
      </c>
      <c r="C65" s="791" t="s">
        <v>2154</v>
      </c>
      <c r="D65" s="791" t="s">
        <v>2950</v>
      </c>
      <c r="F65" s="413" t="s">
        <v>304</v>
      </c>
      <c r="G65" s="413" t="s">
        <v>2124</v>
      </c>
    </row>
    <row r="66" spans="2:7">
      <c r="B66" s="791" t="s">
        <v>37</v>
      </c>
      <c r="C66" s="791" t="s">
        <v>914</v>
      </c>
      <c r="D66" s="791" t="s">
        <v>2950</v>
      </c>
      <c r="F66" s="413" t="s">
        <v>2696</v>
      </c>
      <c r="G66" s="413" t="s">
        <v>319</v>
      </c>
    </row>
    <row r="67" spans="2:7">
      <c r="B67" s="791" t="s">
        <v>37</v>
      </c>
      <c r="C67" s="791" t="s">
        <v>141</v>
      </c>
      <c r="D67" s="791" t="s">
        <v>2950</v>
      </c>
      <c r="F67" s="413" t="s">
        <v>2696</v>
      </c>
      <c r="G67" s="413" t="s">
        <v>2920</v>
      </c>
    </row>
    <row r="68" spans="2:7">
      <c r="B68" s="791" t="s">
        <v>37</v>
      </c>
      <c r="C68" s="791" t="s">
        <v>36</v>
      </c>
      <c r="D68" s="791" t="s">
        <v>2950</v>
      </c>
      <c r="F68" s="413" t="s">
        <v>2696</v>
      </c>
      <c r="G68" s="413" t="s">
        <v>36</v>
      </c>
    </row>
    <row r="69" spans="2:7">
      <c r="B69" s="791" t="s">
        <v>37</v>
      </c>
      <c r="C69" s="791" t="s">
        <v>192</v>
      </c>
      <c r="D69" s="791" t="s">
        <v>2950</v>
      </c>
      <c r="F69" s="413" t="s">
        <v>2696</v>
      </c>
      <c r="G69" s="413" t="s">
        <v>241</v>
      </c>
    </row>
    <row r="70" spans="2:7">
      <c r="B70" s="791" t="s">
        <v>37</v>
      </c>
      <c r="C70" s="791" t="s">
        <v>2076</v>
      </c>
      <c r="D70" s="791" t="s">
        <v>2950</v>
      </c>
      <c r="F70" s="413" t="s">
        <v>2696</v>
      </c>
      <c r="G70" s="413" t="s">
        <v>2949</v>
      </c>
    </row>
    <row r="71" spans="2:7">
      <c r="B71" s="791" t="s">
        <v>37</v>
      </c>
      <c r="C71" s="791" t="s">
        <v>242</v>
      </c>
      <c r="D71" s="791" t="s">
        <v>2950</v>
      </c>
      <c r="F71" s="413" t="s">
        <v>515</v>
      </c>
      <c r="G71" s="413" t="s">
        <v>311</v>
      </c>
    </row>
    <row r="72" spans="2:7">
      <c r="B72" s="791" t="s">
        <v>37</v>
      </c>
      <c r="C72" s="791" t="s">
        <v>276</v>
      </c>
      <c r="D72" s="791" t="s">
        <v>2950</v>
      </c>
      <c r="F72" s="413" t="s">
        <v>515</v>
      </c>
      <c r="G72" s="413" t="s">
        <v>2925</v>
      </c>
    </row>
    <row r="73" spans="2:7">
      <c r="B73" s="791" t="s">
        <v>37</v>
      </c>
      <c r="C73" s="791" t="s">
        <v>2634</v>
      </c>
      <c r="D73" s="791" t="s">
        <v>2950</v>
      </c>
      <c r="F73" s="413" t="s">
        <v>515</v>
      </c>
      <c r="G73" s="413" t="s">
        <v>2154</v>
      </c>
    </row>
    <row r="74" spans="2:7">
      <c r="B74" s="791" t="s">
        <v>37</v>
      </c>
      <c r="C74" s="791" t="s">
        <v>2912</v>
      </c>
      <c r="D74" s="791" t="s">
        <v>2950</v>
      </c>
      <c r="F74" s="413" t="s">
        <v>515</v>
      </c>
      <c r="G74" s="413" t="s">
        <v>934</v>
      </c>
    </row>
    <row r="75" spans="2:7">
      <c r="B75" s="793" t="s">
        <v>37</v>
      </c>
      <c r="C75" s="791" t="s">
        <v>291</v>
      </c>
      <c r="D75" s="791" t="s">
        <v>2950</v>
      </c>
      <c r="F75" s="413" t="s">
        <v>515</v>
      </c>
      <c r="G75" s="413" t="s">
        <v>36</v>
      </c>
    </row>
    <row r="76" spans="2:7">
      <c r="B76" s="791" t="s">
        <v>304</v>
      </c>
      <c r="C76" s="792" t="s">
        <v>1751</v>
      </c>
      <c r="D76" s="791" t="s">
        <v>2950</v>
      </c>
      <c r="F76" s="413" t="s">
        <v>515</v>
      </c>
      <c r="G76" s="413" t="s">
        <v>192</v>
      </c>
    </row>
    <row r="77" spans="2:7">
      <c r="B77" s="791" t="s">
        <v>304</v>
      </c>
      <c r="C77" s="792" t="s">
        <v>2921</v>
      </c>
      <c r="D77" s="791" t="s">
        <v>2950</v>
      </c>
      <c r="F77" s="413" t="s">
        <v>515</v>
      </c>
      <c r="G77" s="413" t="s">
        <v>2916</v>
      </c>
    </row>
    <row r="78" spans="2:7">
      <c r="B78" s="791" t="s">
        <v>304</v>
      </c>
      <c r="C78" s="792" t="s">
        <v>358</v>
      </c>
      <c r="D78" s="791" t="s">
        <v>2950</v>
      </c>
      <c r="F78" s="413" t="s">
        <v>515</v>
      </c>
      <c r="G78" s="413" t="s">
        <v>297</v>
      </c>
    </row>
    <row r="79" spans="2:7">
      <c r="B79" s="791" t="s">
        <v>304</v>
      </c>
      <c r="C79" s="792" t="s">
        <v>297</v>
      </c>
      <c r="D79" s="791" t="s">
        <v>2950</v>
      </c>
      <c r="F79" s="413" t="s">
        <v>515</v>
      </c>
      <c r="G79" s="413" t="s">
        <v>241</v>
      </c>
    </row>
    <row r="80" spans="2:7">
      <c r="B80" s="791" t="s">
        <v>304</v>
      </c>
      <c r="C80" s="791" t="s">
        <v>276</v>
      </c>
      <c r="D80" s="791" t="s">
        <v>2950</v>
      </c>
      <c r="F80" s="413" t="s">
        <v>515</v>
      </c>
      <c r="G80" s="413" t="s">
        <v>2951</v>
      </c>
    </row>
    <row r="81" spans="2:7">
      <c r="B81" s="791" t="s">
        <v>515</v>
      </c>
      <c r="C81" s="791" t="s">
        <v>2154</v>
      </c>
      <c r="D81" s="791" t="s">
        <v>2950</v>
      </c>
      <c r="F81" s="413" t="s">
        <v>2638</v>
      </c>
      <c r="G81" s="413" t="s">
        <v>311</v>
      </c>
    </row>
    <row r="82" spans="2:7">
      <c r="B82" s="791" t="s">
        <v>515</v>
      </c>
      <c r="C82" s="791" t="s">
        <v>36</v>
      </c>
      <c r="D82" s="791" t="s">
        <v>2950</v>
      </c>
      <c r="F82" s="413" t="s">
        <v>2638</v>
      </c>
      <c r="G82" s="413" t="s">
        <v>2915</v>
      </c>
    </row>
    <row r="83" spans="2:7">
      <c r="B83" s="791" t="s">
        <v>515</v>
      </c>
      <c r="C83" s="791" t="s">
        <v>192</v>
      </c>
      <c r="D83" s="791" t="s">
        <v>2950</v>
      </c>
      <c r="F83" s="413" t="s">
        <v>2638</v>
      </c>
      <c r="G83" s="413" t="s">
        <v>2914</v>
      </c>
    </row>
    <row r="84" spans="2:7">
      <c r="B84" s="791" t="s">
        <v>610</v>
      </c>
      <c r="C84" s="792" t="s">
        <v>2076</v>
      </c>
      <c r="D84" s="792" t="s">
        <v>2952</v>
      </c>
      <c r="F84" s="413" t="s">
        <v>2638</v>
      </c>
      <c r="G84" s="413" t="s">
        <v>358</v>
      </c>
    </row>
    <row r="85" spans="2:7">
      <c r="B85" s="791" t="s">
        <v>37</v>
      </c>
      <c r="C85" s="792" t="s">
        <v>2154</v>
      </c>
      <c r="D85" s="792" t="s">
        <v>2952</v>
      </c>
      <c r="F85" s="413" t="s">
        <v>2638</v>
      </c>
      <c r="G85" s="413" t="s">
        <v>297</v>
      </c>
    </row>
    <row r="86" spans="2:7">
      <c r="B86" s="791" t="s">
        <v>37</v>
      </c>
      <c r="C86" s="792" t="s">
        <v>141</v>
      </c>
      <c r="D86" s="792" t="s">
        <v>2952</v>
      </c>
      <c r="F86" s="413" t="s">
        <v>2638</v>
      </c>
      <c r="G86" s="413" t="s">
        <v>241</v>
      </c>
    </row>
    <row r="87" spans="2:7">
      <c r="B87" s="791" t="s">
        <v>37</v>
      </c>
      <c r="C87" s="792" t="s">
        <v>2076</v>
      </c>
      <c r="D87" s="792" t="s">
        <v>2952</v>
      </c>
    </row>
    <row r="88" spans="2:7">
      <c r="B88" s="791" t="s">
        <v>37</v>
      </c>
      <c r="C88" s="792" t="s">
        <v>2634</v>
      </c>
      <c r="D88" s="792" t="s">
        <v>2952</v>
      </c>
    </row>
    <row r="89" spans="2:7">
      <c r="B89" s="791" t="s">
        <v>37</v>
      </c>
      <c r="C89" s="792" t="s">
        <v>2912</v>
      </c>
      <c r="D89" s="792" t="s">
        <v>2952</v>
      </c>
    </row>
    <row r="90" spans="2:7">
      <c r="B90" s="791" t="s">
        <v>37</v>
      </c>
      <c r="C90" s="792" t="s">
        <v>2143</v>
      </c>
      <c r="D90" s="792" t="s">
        <v>2952</v>
      </c>
    </row>
    <row r="91" spans="2:7">
      <c r="B91" s="791" t="s">
        <v>2692</v>
      </c>
      <c r="C91" s="792" t="s">
        <v>311</v>
      </c>
      <c r="D91" s="792" t="s">
        <v>2952</v>
      </c>
    </row>
    <row r="92" spans="2:7">
      <c r="B92" s="791" t="s">
        <v>2688</v>
      </c>
      <c r="C92" s="792" t="s">
        <v>311</v>
      </c>
      <c r="D92" s="792" t="s">
        <v>2952</v>
      </c>
    </row>
    <row r="93" spans="2:7">
      <c r="B93" s="791" t="s">
        <v>2688</v>
      </c>
      <c r="C93" s="791" t="s">
        <v>2917</v>
      </c>
      <c r="D93" s="792" t="s">
        <v>2952</v>
      </c>
    </row>
    <row r="94" spans="2:7">
      <c r="B94" s="791" t="s">
        <v>304</v>
      </c>
      <c r="C94" s="792" t="s">
        <v>369</v>
      </c>
      <c r="D94" s="792" t="s">
        <v>2952</v>
      </c>
    </row>
    <row r="95" spans="2:7">
      <c r="B95" s="791" t="s">
        <v>304</v>
      </c>
      <c r="C95" s="792" t="s">
        <v>2790</v>
      </c>
      <c r="D95" s="792" t="s">
        <v>2952</v>
      </c>
    </row>
    <row r="96" spans="2:7">
      <c r="B96" s="791" t="s">
        <v>304</v>
      </c>
      <c r="C96" s="792" t="s">
        <v>303</v>
      </c>
      <c r="D96" s="792" t="s">
        <v>2952</v>
      </c>
    </row>
    <row r="97" spans="2:4">
      <c r="B97" s="791" t="s">
        <v>304</v>
      </c>
      <c r="C97" s="792" t="s">
        <v>315</v>
      </c>
      <c r="D97" s="792" t="s">
        <v>2952</v>
      </c>
    </row>
    <row r="98" spans="2:4">
      <c r="B98" s="791" t="s">
        <v>304</v>
      </c>
      <c r="C98" s="792" t="s">
        <v>2076</v>
      </c>
      <c r="D98" s="792" t="s">
        <v>2952</v>
      </c>
    </row>
    <row r="99" spans="2:4">
      <c r="B99" s="791" t="s">
        <v>304</v>
      </c>
      <c r="C99" s="792" t="s">
        <v>2922</v>
      </c>
      <c r="D99" s="792" t="s">
        <v>2952</v>
      </c>
    </row>
    <row r="100" spans="2:4">
      <c r="B100" s="791" t="s">
        <v>304</v>
      </c>
      <c r="C100" s="792" t="s">
        <v>297</v>
      </c>
      <c r="D100" s="792" t="s">
        <v>2952</v>
      </c>
    </row>
    <row r="101" spans="2:4">
      <c r="B101" s="791" t="s">
        <v>304</v>
      </c>
      <c r="C101" s="792" t="s">
        <v>2923</v>
      </c>
      <c r="D101" s="792" t="s">
        <v>2952</v>
      </c>
    </row>
    <row r="102" spans="2:4">
      <c r="B102" s="791" t="s">
        <v>304</v>
      </c>
      <c r="C102" s="792" t="s">
        <v>276</v>
      </c>
      <c r="D102" s="792" t="s">
        <v>2952</v>
      </c>
    </row>
    <row r="103" spans="2:4">
      <c r="B103" s="791" t="s">
        <v>304</v>
      </c>
      <c r="C103" s="792" t="s">
        <v>2924</v>
      </c>
      <c r="D103" s="792" t="s">
        <v>2952</v>
      </c>
    </row>
    <row r="104" spans="2:4">
      <c r="B104" s="791" t="s">
        <v>304</v>
      </c>
      <c r="C104" s="792" t="s">
        <v>241</v>
      </c>
      <c r="D104" s="792" t="s">
        <v>2952</v>
      </c>
    </row>
    <row r="105" spans="2:4">
      <c r="B105" s="791" t="s">
        <v>515</v>
      </c>
      <c r="C105" s="792" t="s">
        <v>2925</v>
      </c>
      <c r="D105" s="792" t="s">
        <v>2952</v>
      </c>
    </row>
    <row r="106" spans="2:4">
      <c r="B106" s="791" t="s">
        <v>515</v>
      </c>
      <c r="C106" s="792" t="s">
        <v>36</v>
      </c>
      <c r="D106" s="792" t="s">
        <v>2952</v>
      </c>
    </row>
    <row r="107" spans="2:4">
      <c r="B107" s="791" t="s">
        <v>515</v>
      </c>
      <c r="C107" s="792" t="s">
        <v>2916</v>
      </c>
      <c r="D107" s="792" t="s">
        <v>2952</v>
      </c>
    </row>
    <row r="108" spans="2:4">
      <c r="B108" s="791" t="s">
        <v>515</v>
      </c>
      <c r="C108" s="792" t="s">
        <v>2951</v>
      </c>
      <c r="D108" s="792" t="s">
        <v>2952</v>
      </c>
    </row>
  </sheetData>
  <pageMargins left="0.7" right="0.7" top="0.75" bottom="0.75" header="0.3" footer="0.3"/>
  <tableParts count="2">
    <tablePart r:id="rId4"/>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1C99A-15F2-4F77-958C-75D50B74D3E1}">
  <dimension ref="B1:P106"/>
  <sheetViews>
    <sheetView topLeftCell="F1" zoomScale="90" zoomScaleNormal="90" workbookViewId="0">
      <selection activeCell="O2" sqref="O2"/>
    </sheetView>
  </sheetViews>
  <sheetFormatPr defaultColWidth="8.83203125" defaultRowHeight="15.5"/>
  <cols>
    <col min="1" max="1" width="8.83203125" style="413"/>
    <col min="2" max="2" width="18.33203125" style="413" customWidth="1"/>
    <col min="3" max="3" width="18.1640625" style="413" customWidth="1"/>
    <col min="4" max="4" width="10.6640625" style="413" customWidth="1"/>
    <col min="5" max="5" width="8.83203125" style="413"/>
    <col min="6" max="6" width="28.6640625" style="413" bestFit="1" customWidth="1"/>
    <col min="7" max="7" width="12.33203125" style="413" bestFit="1" customWidth="1"/>
    <col min="8" max="8" width="8.83203125" style="413"/>
    <col min="9" max="9" width="11.9140625" style="413" bestFit="1" customWidth="1"/>
    <col min="10" max="10" width="16.33203125" style="413" bestFit="1" customWidth="1"/>
    <col min="11" max="11" width="27.6640625" style="413" customWidth="1"/>
    <col min="12" max="12" width="16.6640625" style="413" customWidth="1"/>
    <col min="13" max="13" width="8.83203125" style="413"/>
    <col min="14" max="14" width="15.83203125" style="413" customWidth="1"/>
    <col min="15" max="16384" width="8.83203125" style="413"/>
  </cols>
  <sheetData>
    <row r="1" spans="2:16">
      <c r="B1" s="413" t="s">
        <v>21</v>
      </c>
      <c r="C1" s="413" t="s">
        <v>2799</v>
      </c>
      <c r="D1" s="413" t="s">
        <v>2800</v>
      </c>
      <c r="F1" s="419" t="s">
        <v>21</v>
      </c>
      <c r="G1" s="419" t="s">
        <v>2799</v>
      </c>
      <c r="I1" s="162" t="s">
        <v>21</v>
      </c>
      <c r="J1" s="162" t="s">
        <v>2799</v>
      </c>
      <c r="K1" s="413" t="s">
        <v>3110</v>
      </c>
      <c r="L1" s="413" t="s">
        <v>2926</v>
      </c>
      <c r="M1" s="413" t="s">
        <v>2210</v>
      </c>
      <c r="N1" s="413" t="s">
        <v>2211</v>
      </c>
      <c r="O1" s="413" t="s">
        <v>3397</v>
      </c>
      <c r="P1" s="413" t="s">
        <v>3381</v>
      </c>
    </row>
    <row r="2" spans="2:16">
      <c r="B2" s="990" t="s">
        <v>37</v>
      </c>
      <c r="C2" s="991" t="s">
        <v>914</v>
      </c>
      <c r="D2" s="991" t="s">
        <v>2950</v>
      </c>
      <c r="F2" s="413" t="s">
        <v>2688</v>
      </c>
      <c r="G2" s="413" t="s">
        <v>2802</v>
      </c>
      <c r="I2" s="942" t="s">
        <v>2690</v>
      </c>
      <c r="J2" s="942" t="s">
        <v>36</v>
      </c>
      <c r="K2" s="939" t="s">
        <v>3143</v>
      </c>
      <c r="L2" s="943" t="s">
        <v>2927</v>
      </c>
      <c r="M2" s="413" t="s">
        <v>3123</v>
      </c>
      <c r="N2" s="413" t="str">
        <f>Table413[[#This Row],[State]]&amp;Table413[[#This Row],[Acronym]]</f>
        <v>Bago (East)KMSS</v>
      </c>
      <c r="O2" s="413" t="s">
        <v>41</v>
      </c>
    </row>
    <row r="3" spans="2:16">
      <c r="B3" s="993" t="s">
        <v>37</v>
      </c>
      <c r="C3" s="991" t="s">
        <v>141</v>
      </c>
      <c r="D3" s="991" t="s">
        <v>2950</v>
      </c>
      <c r="F3" s="413" t="s">
        <v>2688</v>
      </c>
      <c r="G3" s="413" t="s">
        <v>2918</v>
      </c>
      <c r="I3" s="998" t="s">
        <v>2690</v>
      </c>
      <c r="J3" s="939" t="s">
        <v>241</v>
      </c>
      <c r="K3" s="939" t="s">
        <v>3150</v>
      </c>
      <c r="L3" s="940" t="s">
        <v>2932</v>
      </c>
      <c r="M3" s="413" t="s">
        <v>3123</v>
      </c>
      <c r="N3" s="412" t="str">
        <f>Table413[[#This Row],[State]]&amp;Table413[[#This Row],[Acronym]]</f>
        <v>Bago (East)UNICEF</v>
      </c>
      <c r="O3" s="413" t="s">
        <v>41</v>
      </c>
    </row>
    <row r="4" spans="2:16">
      <c r="B4" s="990" t="s">
        <v>37</v>
      </c>
      <c r="C4" s="991" t="s">
        <v>36</v>
      </c>
      <c r="D4" s="991" t="s">
        <v>2950</v>
      </c>
      <c r="F4" s="413" t="s">
        <v>610</v>
      </c>
      <c r="G4" s="413" t="s">
        <v>311</v>
      </c>
      <c r="I4" s="942" t="s">
        <v>610</v>
      </c>
      <c r="J4" s="939" t="s">
        <v>3113</v>
      </c>
      <c r="K4" s="939" t="s">
        <v>3144</v>
      </c>
      <c r="L4" s="940" t="s">
        <v>3122</v>
      </c>
      <c r="M4" s="413" t="s">
        <v>3123</v>
      </c>
      <c r="N4" s="413" t="str">
        <f>Table413[[#This Row],[State]]&amp;Table413[[#This Row],[Acronym]]</f>
        <v>ChinAYOSDA</v>
      </c>
      <c r="O4" s="413" t="s">
        <v>136</v>
      </c>
    </row>
    <row r="5" spans="2:16">
      <c r="B5" s="990" t="s">
        <v>37</v>
      </c>
      <c r="C5" s="991" t="s">
        <v>192</v>
      </c>
      <c r="D5" s="991" t="s">
        <v>2950</v>
      </c>
      <c r="F5" s="413" t="s">
        <v>610</v>
      </c>
      <c r="G5" s="413" t="s">
        <v>2798</v>
      </c>
      <c r="I5" s="939" t="s">
        <v>610</v>
      </c>
      <c r="J5" s="939" t="s">
        <v>311</v>
      </c>
      <c r="K5" s="939" t="s">
        <v>3145</v>
      </c>
      <c r="L5" s="939" t="s">
        <v>2928</v>
      </c>
      <c r="N5" s="413" t="str">
        <f>Table413[[#This Row],[State]]&amp;Table413[[#This Row],[Acronym]]</f>
        <v>ChinCARE</v>
      </c>
      <c r="O5" s="413" t="s">
        <v>41</v>
      </c>
    </row>
    <row r="6" spans="2:16">
      <c r="B6" s="993" t="s">
        <v>37</v>
      </c>
      <c r="C6" s="991" t="s">
        <v>242</v>
      </c>
      <c r="D6" s="991" t="s">
        <v>2950</v>
      </c>
      <c r="F6" s="413" t="s">
        <v>610</v>
      </c>
      <c r="G6" s="413" t="s">
        <v>36</v>
      </c>
      <c r="I6" s="942" t="s">
        <v>610</v>
      </c>
      <c r="J6" s="939" t="s">
        <v>2798</v>
      </c>
      <c r="K6" s="939" t="s">
        <v>3146</v>
      </c>
      <c r="L6" s="939" t="s">
        <v>2927</v>
      </c>
      <c r="N6" s="413" t="str">
        <f>Table413[[#This Row],[State]]&amp;Table413[[#This Row],[Acronym]]</f>
        <v>ChinCHRO</v>
      </c>
      <c r="O6" s="413" t="s">
        <v>41</v>
      </c>
    </row>
    <row r="7" spans="2:16">
      <c r="B7" s="990" t="s">
        <v>37</v>
      </c>
      <c r="C7" s="991" t="s">
        <v>276</v>
      </c>
      <c r="D7" s="991" t="s">
        <v>2950</v>
      </c>
      <c r="F7" s="413" t="s">
        <v>610</v>
      </c>
      <c r="G7" s="413" t="s">
        <v>2795</v>
      </c>
      <c r="I7" s="942" t="s">
        <v>610</v>
      </c>
      <c r="J7" s="939" t="s">
        <v>36</v>
      </c>
      <c r="K7" s="939" t="s">
        <v>3143</v>
      </c>
      <c r="L7" s="939" t="s">
        <v>2927</v>
      </c>
      <c r="N7" s="413" t="str">
        <f>Table413[[#This Row],[State]]&amp;Table413[[#This Row],[Acronym]]</f>
        <v>ChinKMSS</v>
      </c>
      <c r="O7" s="413" t="s">
        <v>41</v>
      </c>
    </row>
    <row r="8" spans="2:16">
      <c r="B8" s="993" t="s">
        <v>37</v>
      </c>
      <c r="C8" s="991" t="s">
        <v>2634</v>
      </c>
      <c r="D8" s="991" t="s">
        <v>2950</v>
      </c>
      <c r="F8" s="413" t="s">
        <v>610</v>
      </c>
      <c r="G8" s="413" t="s">
        <v>2076</v>
      </c>
      <c r="I8" s="942" t="s">
        <v>610</v>
      </c>
      <c r="J8" s="939" t="s">
        <v>2795</v>
      </c>
      <c r="K8" s="939" t="s">
        <v>2795</v>
      </c>
      <c r="L8" s="939" t="s">
        <v>2928</v>
      </c>
      <c r="N8" s="413" t="str">
        <f>Table413[[#This Row],[State]]&amp;Table413[[#This Row],[Acronym]]</f>
        <v>ChinMA-UK</v>
      </c>
      <c r="O8" s="413" t="s">
        <v>41</v>
      </c>
    </row>
    <row r="9" spans="2:16">
      <c r="B9" s="992" t="s">
        <v>37</v>
      </c>
      <c r="C9" s="991" t="s">
        <v>241</v>
      </c>
      <c r="D9" s="991" t="s">
        <v>2950</v>
      </c>
      <c r="F9" s="413" t="s">
        <v>610</v>
      </c>
      <c r="G9" s="413" t="s">
        <v>297</v>
      </c>
      <c r="I9" s="942" t="s">
        <v>610</v>
      </c>
      <c r="J9" s="939" t="s">
        <v>2076</v>
      </c>
      <c r="K9" s="939" t="s">
        <v>3147</v>
      </c>
      <c r="L9" s="939" t="s">
        <v>2928</v>
      </c>
      <c r="N9" s="413" t="str">
        <f>Table413[[#This Row],[State]]&amp;Table413[[#This Row],[Acronym]]</f>
        <v>ChinPIN</v>
      </c>
      <c r="O9" s="413" t="s">
        <v>41</v>
      </c>
    </row>
    <row r="10" spans="2:16">
      <c r="B10" s="993" t="s">
        <v>37</v>
      </c>
      <c r="C10" s="991" t="s">
        <v>291</v>
      </c>
      <c r="D10" s="991" t="s">
        <v>2950</v>
      </c>
      <c r="F10" s="413" t="s">
        <v>610</v>
      </c>
      <c r="G10" s="413" t="s">
        <v>2794</v>
      </c>
      <c r="I10" s="944" t="s">
        <v>610</v>
      </c>
      <c r="J10" s="939" t="s">
        <v>297</v>
      </c>
      <c r="K10" s="939" t="s">
        <v>3148</v>
      </c>
      <c r="L10" s="939" t="s">
        <v>2928</v>
      </c>
      <c r="N10" s="413" t="str">
        <f>Table413[[#This Row],[State]]&amp;Table413[[#This Row],[Acronym]]</f>
        <v>ChinSCI</v>
      </c>
      <c r="O10" s="413" t="s">
        <v>41</v>
      </c>
    </row>
    <row r="11" spans="2:16">
      <c r="B11" s="993" t="s">
        <v>515</v>
      </c>
      <c r="C11" s="991" t="s">
        <v>2154</v>
      </c>
      <c r="D11" s="991" t="s">
        <v>2950</v>
      </c>
      <c r="F11" s="413" t="s">
        <v>37</v>
      </c>
      <c r="G11" s="413" t="s">
        <v>3109</v>
      </c>
      <c r="I11" s="942" t="s">
        <v>610</v>
      </c>
      <c r="J11" s="939" t="s">
        <v>3112</v>
      </c>
      <c r="K11" s="939" t="s">
        <v>3149</v>
      </c>
      <c r="L11" s="939" t="s">
        <v>2928</v>
      </c>
      <c r="N11" s="413" t="str">
        <f>Table413[[#This Row],[State]]&amp;Table413[[#This Row],[Acronym]]</f>
        <v>ChinTGH</v>
      </c>
      <c r="O11" s="413" t="s">
        <v>41</v>
      </c>
    </row>
    <row r="12" spans="2:16">
      <c r="B12" s="993" t="s">
        <v>515</v>
      </c>
      <c r="C12" s="991" t="s">
        <v>192</v>
      </c>
      <c r="D12" s="991" t="s">
        <v>2950</v>
      </c>
      <c r="F12" s="413" t="s">
        <v>37</v>
      </c>
      <c r="G12" s="413" t="s">
        <v>369</v>
      </c>
      <c r="I12" s="942" t="s">
        <v>610</v>
      </c>
      <c r="J12" s="939" t="s">
        <v>241</v>
      </c>
      <c r="K12" s="939" t="s">
        <v>3150</v>
      </c>
      <c r="L12" s="943" t="s">
        <v>2932</v>
      </c>
      <c r="M12" s="413" t="s">
        <v>3123</v>
      </c>
      <c r="N12" s="413" t="str">
        <f>Table413[[#This Row],[State]]&amp;Table413[[#This Row],[Acronym]]</f>
        <v>ChinUNICEF</v>
      </c>
      <c r="O12" s="413" t="s">
        <v>136</v>
      </c>
    </row>
    <row r="13" spans="2:16">
      <c r="B13" s="992" t="s">
        <v>515</v>
      </c>
      <c r="C13" s="991" t="s">
        <v>2925</v>
      </c>
      <c r="D13" s="991" t="s">
        <v>2950</v>
      </c>
      <c r="F13" s="413" t="s">
        <v>37</v>
      </c>
      <c r="G13" s="413" t="s">
        <v>914</v>
      </c>
      <c r="I13" s="942" t="s">
        <v>37</v>
      </c>
      <c r="J13" s="939" t="s">
        <v>3116</v>
      </c>
      <c r="K13" s="939" t="s">
        <v>3116</v>
      </c>
      <c r="L13" s="939" t="s">
        <v>2927</v>
      </c>
      <c r="N13" s="413" t="str">
        <f>Table413[[#This Row],[State]]&amp;Table413[[#This Row],[Acronym]]</f>
        <v>KachinAlinn LDO</v>
      </c>
      <c r="O13" s="413" t="s">
        <v>41</v>
      </c>
    </row>
    <row r="14" spans="2:16">
      <c r="B14" s="993" t="s">
        <v>515</v>
      </c>
      <c r="C14" s="991" t="s">
        <v>36</v>
      </c>
      <c r="D14" s="991" t="s">
        <v>2950</v>
      </c>
      <c r="F14" s="413" t="s">
        <v>37</v>
      </c>
      <c r="G14" s="413" t="s">
        <v>141</v>
      </c>
      <c r="I14" s="939" t="s">
        <v>37</v>
      </c>
      <c r="J14" s="939" t="s">
        <v>369</v>
      </c>
      <c r="K14" s="939" t="s">
        <v>3151</v>
      </c>
      <c r="L14" s="939" t="s">
        <v>2928</v>
      </c>
      <c r="N14" s="413" t="str">
        <f>Table413[[#This Row],[State]]&amp;Table413[[#This Row],[Acronym]]</f>
        <v>KachinDRC</v>
      </c>
      <c r="O14" s="413" t="s">
        <v>41</v>
      </c>
    </row>
    <row r="15" spans="2:16">
      <c r="B15" s="990" t="s">
        <v>515</v>
      </c>
      <c r="C15" s="991" t="s">
        <v>311</v>
      </c>
      <c r="D15" s="991" t="s">
        <v>2950</v>
      </c>
      <c r="F15" s="413" t="s">
        <v>37</v>
      </c>
      <c r="G15" s="413" t="s">
        <v>36</v>
      </c>
      <c r="I15" s="942" t="s">
        <v>37</v>
      </c>
      <c r="J15" s="939" t="s">
        <v>914</v>
      </c>
      <c r="K15" s="939" t="s">
        <v>3152</v>
      </c>
      <c r="L15" s="939" t="s">
        <v>2928</v>
      </c>
      <c r="N15" s="413" t="str">
        <f>Table413[[#This Row],[State]]&amp;Table413[[#This Row],[Acronym]]</f>
        <v>KachinIRC</v>
      </c>
      <c r="O15" s="413" t="s">
        <v>41</v>
      </c>
    </row>
    <row r="16" spans="2:16">
      <c r="B16" s="990" t="s">
        <v>515</v>
      </c>
      <c r="C16" s="991" t="s">
        <v>2672</v>
      </c>
      <c r="D16" s="991" t="s">
        <v>2950</v>
      </c>
      <c r="F16" s="413" t="s">
        <v>37</v>
      </c>
      <c r="G16" s="413" t="s">
        <v>192</v>
      </c>
      <c r="I16" s="942" t="s">
        <v>37</v>
      </c>
      <c r="J16" s="939" t="s">
        <v>141</v>
      </c>
      <c r="K16" s="939" t="s">
        <v>3153</v>
      </c>
      <c r="L16" s="939" t="s">
        <v>2927</v>
      </c>
      <c r="N16" s="413" t="str">
        <f>Table413[[#This Row],[State]]&amp;Table413[[#This Row],[Acronym]]</f>
        <v>KachinKBC</v>
      </c>
      <c r="O16" s="413" t="s">
        <v>41</v>
      </c>
    </row>
    <row r="17" spans="2:16">
      <c r="B17" s="993" t="s">
        <v>515</v>
      </c>
      <c r="C17" s="990" t="s">
        <v>297</v>
      </c>
      <c r="D17" s="991" t="s">
        <v>2950</v>
      </c>
      <c r="F17" s="413" t="s">
        <v>37</v>
      </c>
      <c r="G17" s="413" t="s">
        <v>3380</v>
      </c>
      <c r="I17" s="942" t="s">
        <v>37</v>
      </c>
      <c r="J17" s="939" t="s">
        <v>36</v>
      </c>
      <c r="K17" s="939" t="s">
        <v>3143</v>
      </c>
      <c r="L17" s="939" t="s">
        <v>2927</v>
      </c>
      <c r="N17" s="413" t="str">
        <f>Table413[[#This Row],[State]]&amp;Table413[[#This Row],[Acronym]]</f>
        <v>KachinKMSS</v>
      </c>
      <c r="O17" s="413" t="s">
        <v>41</v>
      </c>
    </row>
    <row r="18" spans="2:16">
      <c r="B18" s="995" t="s">
        <v>304</v>
      </c>
      <c r="C18" s="991" t="s">
        <v>1751</v>
      </c>
      <c r="D18" s="991" t="s">
        <v>2950</v>
      </c>
      <c r="F18" s="413" t="s">
        <v>37</v>
      </c>
      <c r="G18" s="413" t="s">
        <v>242</v>
      </c>
      <c r="I18" s="942" t="s">
        <v>37</v>
      </c>
      <c r="J18" s="939" t="s">
        <v>3111</v>
      </c>
      <c r="K18" s="939" t="s">
        <v>3142</v>
      </c>
      <c r="L18" s="939" t="s">
        <v>2927</v>
      </c>
      <c r="N18" s="413" t="str">
        <f>Table413[[#This Row],[State]]&amp;Table413[[#This Row],[Acronym]]</f>
        <v>KachinMDF</v>
      </c>
      <c r="O18" s="413" t="s">
        <v>41</v>
      </c>
    </row>
    <row r="19" spans="2:16">
      <c r="B19" s="995" t="s">
        <v>304</v>
      </c>
      <c r="C19" s="991" t="s">
        <v>355</v>
      </c>
      <c r="D19" s="991" t="s">
        <v>2950</v>
      </c>
      <c r="F19" s="413" t="s">
        <v>37</v>
      </c>
      <c r="G19" s="413" t="s">
        <v>276</v>
      </c>
      <c r="I19" s="996" t="s">
        <v>37</v>
      </c>
      <c r="J19" s="996" t="s">
        <v>3380</v>
      </c>
      <c r="K19" s="996" t="str">
        <f>_xlfn.XLOOKUP(Table413[[#This Row],[Acronym]],[6]Dropdowns!$I$2:$I$313,[6]Dropdowns!$H$2:$H$313,,0)</f>
        <v>Myanmar Health Assistant Association</v>
      </c>
      <c r="L19" s="997" t="str">
        <f>_xlfn.XLOOKUP(Table413[[#This Row],[Acronym]],[6]Dropdowns!$I$2:$I$313,[6]Dropdowns!$G$2:$G$313,,0)</f>
        <v>National NGO</v>
      </c>
      <c r="N19" s="412" t="str">
        <f>Table413[[#This Row],[State]]&amp;Table413[[#This Row],[Acronym]]</f>
        <v>KachinMHAA</v>
      </c>
      <c r="O19" s="412" t="s">
        <v>41</v>
      </c>
      <c r="P19" s="413" t="s">
        <v>3382</v>
      </c>
    </row>
    <row r="20" spans="2:16">
      <c r="B20" s="991" t="s">
        <v>304</v>
      </c>
      <c r="C20" s="991" t="s">
        <v>276</v>
      </c>
      <c r="D20" s="991" t="s">
        <v>2950</v>
      </c>
      <c r="F20" s="413" t="s">
        <v>37</v>
      </c>
      <c r="G20" s="413" t="s">
        <v>2634</v>
      </c>
      <c r="I20" s="942" t="s">
        <v>37</v>
      </c>
      <c r="J20" s="939" t="s">
        <v>242</v>
      </c>
      <c r="K20" s="939" t="s">
        <v>3154</v>
      </c>
      <c r="L20" s="939" t="s">
        <v>2927</v>
      </c>
      <c r="N20" s="413" t="str">
        <f>Table413[[#This Row],[State]]&amp;Table413[[#This Row],[Acronym]]</f>
        <v>KachinShalom</v>
      </c>
      <c r="O20" s="413" t="s">
        <v>41</v>
      </c>
    </row>
    <row r="21" spans="2:16">
      <c r="B21" s="991" t="s">
        <v>304</v>
      </c>
      <c r="C21" s="991" t="s">
        <v>358</v>
      </c>
      <c r="D21" s="991" t="s">
        <v>2950</v>
      </c>
      <c r="F21" s="413" t="s">
        <v>37</v>
      </c>
      <c r="G21" s="413" t="s">
        <v>241</v>
      </c>
      <c r="I21" s="944" t="s">
        <v>37</v>
      </c>
      <c r="J21" s="939" t="s">
        <v>276</v>
      </c>
      <c r="K21" s="939" t="s">
        <v>3155</v>
      </c>
      <c r="L21" s="939" t="s">
        <v>2928</v>
      </c>
      <c r="N21" s="413" t="str">
        <f>Table413[[#This Row],[State]]&amp;Table413[[#This Row],[Acronym]]</f>
        <v>KachinSI</v>
      </c>
      <c r="O21" s="413" t="s">
        <v>41</v>
      </c>
    </row>
    <row r="22" spans="2:16">
      <c r="B22" s="995" t="s">
        <v>304</v>
      </c>
      <c r="C22" s="991" t="s">
        <v>297</v>
      </c>
      <c r="D22" s="991" t="s">
        <v>2950</v>
      </c>
      <c r="F22" s="413" t="s">
        <v>37</v>
      </c>
      <c r="G22" s="413" t="s">
        <v>291</v>
      </c>
      <c r="I22" s="942" t="s">
        <v>37</v>
      </c>
      <c r="J22" s="939" t="s">
        <v>2634</v>
      </c>
      <c r="K22" s="939" t="s">
        <v>3156</v>
      </c>
      <c r="L22" s="939" t="s">
        <v>2927</v>
      </c>
      <c r="N22" s="413" t="str">
        <f>Table413[[#This Row],[State]]&amp;Table413[[#This Row],[Acronym]]</f>
        <v>KachinSTW</v>
      </c>
      <c r="O22" s="413" t="s">
        <v>41</v>
      </c>
    </row>
    <row r="23" spans="2:16">
      <c r="B23" s="161" t="s">
        <v>610</v>
      </c>
      <c r="C23" s="413" t="s">
        <v>311</v>
      </c>
      <c r="D23" s="413" t="s">
        <v>2792</v>
      </c>
      <c r="F23" s="413" t="s">
        <v>2692</v>
      </c>
      <c r="G23" s="413" t="s">
        <v>1751</v>
      </c>
      <c r="I23" s="944" t="s">
        <v>37</v>
      </c>
      <c r="J23" s="939" t="s">
        <v>241</v>
      </c>
      <c r="K23" s="939" t="s">
        <v>3150</v>
      </c>
      <c r="L23" s="939" t="s">
        <v>2932</v>
      </c>
      <c r="N23" s="413" t="str">
        <f>Table413[[#This Row],[State]]&amp;Table413[[#This Row],[Acronym]]</f>
        <v>KachinUNICEF</v>
      </c>
      <c r="O23" s="413" t="s">
        <v>41</v>
      </c>
    </row>
    <row r="24" spans="2:16">
      <c r="B24" s="157" t="s">
        <v>610</v>
      </c>
      <c r="C24" s="413" t="s">
        <v>2798</v>
      </c>
      <c r="D24" s="413" t="s">
        <v>2792</v>
      </c>
      <c r="F24" s="413" t="s">
        <v>2692</v>
      </c>
      <c r="G24" s="413" t="s">
        <v>914</v>
      </c>
      <c r="I24" s="942" t="s">
        <v>37</v>
      </c>
      <c r="J24" s="939" t="s">
        <v>291</v>
      </c>
      <c r="K24" s="939" t="s">
        <v>3157</v>
      </c>
      <c r="L24" s="939" t="s">
        <v>2927</v>
      </c>
      <c r="N24" s="413" t="str">
        <f>Table413[[#This Row],[State]]&amp;Table413[[#This Row],[Acronym]]</f>
        <v>KachinWPN</v>
      </c>
      <c r="O24" s="413" t="s">
        <v>41</v>
      </c>
    </row>
    <row r="25" spans="2:16">
      <c r="B25" s="994" t="s">
        <v>610</v>
      </c>
      <c r="C25" s="413" t="s">
        <v>36</v>
      </c>
      <c r="D25" s="413" t="s">
        <v>2792</v>
      </c>
      <c r="F25" s="413" t="s">
        <v>2692</v>
      </c>
      <c r="G25" s="413" t="s">
        <v>3375</v>
      </c>
      <c r="I25" s="996" t="s">
        <v>2692</v>
      </c>
      <c r="J25" s="996" t="s">
        <v>1751</v>
      </c>
      <c r="K25" s="996" t="str">
        <f>_xlfn.XLOOKUP(Table413[[#This Row],[Acronym]],[6]Dropdowns!$I$2:$I$313,[6]Dropdowns!$H$2:$H$313,,0)</f>
        <v>Community Development Association</v>
      </c>
      <c r="L25" s="997" t="str">
        <f>_xlfn.XLOOKUP(Table413[[#This Row],[Acronym]],[6]Dropdowns!$I$2:$I$313,[6]Dropdowns!$G$2:$G$313,,0)</f>
        <v>National NGO</v>
      </c>
      <c r="N25" s="412" t="str">
        <f>Table413[[#This Row],[State]]&amp;Table413[[#This Row],[Acronym]]</f>
        <v>KayahCDA</v>
      </c>
      <c r="O25" s="412" t="s">
        <v>41</v>
      </c>
      <c r="P25" s="413" t="s">
        <v>3382</v>
      </c>
    </row>
    <row r="26" spans="2:16">
      <c r="B26" s="157" t="s">
        <v>610</v>
      </c>
      <c r="C26" s="157" t="s">
        <v>2795</v>
      </c>
      <c r="D26" s="413" t="s">
        <v>2792</v>
      </c>
      <c r="F26" s="413" t="s">
        <v>2692</v>
      </c>
      <c r="G26" s="413" t="s">
        <v>3374</v>
      </c>
      <c r="I26" s="996" t="s">
        <v>2692</v>
      </c>
      <c r="J26" s="996" t="s">
        <v>914</v>
      </c>
      <c r="K26" s="996" t="str">
        <f>_xlfn.XLOOKUP(Table413[[#This Row],[Acronym]],[6]Dropdowns!$I$2:$I$313,[6]Dropdowns!$H$2:$H$313,,0)</f>
        <v>International Rescue Committee</v>
      </c>
      <c r="L26" s="997" t="str">
        <f>_xlfn.XLOOKUP(Table413[[#This Row],[Acronym]],[6]Dropdowns!$I$2:$I$313,[6]Dropdowns!$G$2:$G$313,,0)</f>
        <v>International NGO</v>
      </c>
      <c r="N26" s="412" t="str">
        <f>Table413[[#This Row],[State]]&amp;Table413[[#This Row],[Acronym]]</f>
        <v>KayahIRC</v>
      </c>
      <c r="O26" s="412" t="s">
        <v>41</v>
      </c>
      <c r="P26" s="413" t="s">
        <v>3382</v>
      </c>
    </row>
    <row r="27" spans="2:16">
      <c r="B27" s="157" t="s">
        <v>610</v>
      </c>
      <c r="C27" s="157" t="s">
        <v>2076</v>
      </c>
      <c r="D27" s="413" t="s">
        <v>2792</v>
      </c>
      <c r="F27" s="413" t="s">
        <v>2692</v>
      </c>
      <c r="G27" s="413" t="s">
        <v>297</v>
      </c>
      <c r="I27" s="996" t="s">
        <v>2692</v>
      </c>
      <c r="J27" s="996" t="s">
        <v>3375</v>
      </c>
      <c r="K27" s="996" t="str">
        <f>_xlfn.XLOOKUP(Table413[[#This Row],[Acronym]],[6]Dropdowns!$I$2:$I$313,[6]Dropdowns!$H$2:$H$313,,0)</f>
        <v>Jesuit Refugee Services</v>
      </c>
      <c r="L27" s="997" t="str">
        <f>_xlfn.XLOOKUP(Table413[[#This Row],[Acronym]],[6]Dropdowns!$I$2:$I$313,[6]Dropdowns!$G$2:$G$313,,0)</f>
        <v>International NGO</v>
      </c>
      <c r="N27" s="412" t="str">
        <f>Table413[[#This Row],[State]]&amp;Table413[[#This Row],[Acronym]]</f>
        <v>KayahJRS</v>
      </c>
      <c r="O27" s="412" t="s">
        <v>41</v>
      </c>
      <c r="P27" s="413" t="s">
        <v>3382</v>
      </c>
    </row>
    <row r="28" spans="2:16">
      <c r="B28" s="161" t="s">
        <v>610</v>
      </c>
      <c r="C28" s="413" t="s">
        <v>297</v>
      </c>
      <c r="D28" s="413" t="s">
        <v>2792</v>
      </c>
      <c r="F28" s="413" t="s">
        <v>2332</v>
      </c>
      <c r="G28" s="413" t="s">
        <v>2802</v>
      </c>
      <c r="I28" s="996" t="s">
        <v>2692</v>
      </c>
      <c r="J28" s="996" t="s">
        <v>3374</v>
      </c>
      <c r="K28" s="996" t="str">
        <f>_xlfn.XLOOKUP(Table413[[#This Row],[Acronym]],[6]Dropdowns!$I$2:$I$313,[6]Dropdowns!$H$2:$H$313,,0)</f>
        <v>Religions for Peace</v>
      </c>
      <c r="L28" s="997" t="str">
        <f>_xlfn.XLOOKUP(Table413[[#This Row],[Acronym]],[6]Dropdowns!$I$2:$I$313,[6]Dropdowns!$G$2:$G$313,,0)</f>
        <v>International NGO</v>
      </c>
      <c r="N28" s="412" t="str">
        <f>Table413[[#This Row],[State]]&amp;Table413[[#This Row],[Acronym]]</f>
        <v>KayahRfP</v>
      </c>
      <c r="O28" s="412" t="s">
        <v>41</v>
      </c>
      <c r="P28" s="413" t="s">
        <v>3382</v>
      </c>
    </row>
    <row r="29" spans="2:16">
      <c r="B29" s="161" t="s">
        <v>610</v>
      </c>
      <c r="C29" s="413" t="s">
        <v>2794</v>
      </c>
      <c r="D29" s="413" t="s">
        <v>2792</v>
      </c>
      <c r="F29" s="413" t="s">
        <v>2332</v>
      </c>
      <c r="G29" s="413" t="s">
        <v>2918</v>
      </c>
      <c r="I29" s="996" t="s">
        <v>2692</v>
      </c>
      <c r="J29" s="996" t="s">
        <v>297</v>
      </c>
      <c r="K29" s="996" t="str">
        <f>_xlfn.XLOOKUP(Table413[[#This Row],[Acronym]],[6]Dropdowns!$I$2:$I$313,[6]Dropdowns!$H$2:$H$313,,0)</f>
        <v>Save the Children International</v>
      </c>
      <c r="L29" s="997" t="str">
        <f>_xlfn.XLOOKUP(Table413[[#This Row],[Acronym]],[6]Dropdowns!$I$2:$I$313,[6]Dropdowns!$G$2:$G$313,,0)</f>
        <v>International NGO</v>
      </c>
      <c r="N29" s="412" t="str">
        <f>Table413[[#This Row],[State]]&amp;Table413[[#This Row],[Acronym]]</f>
        <v>KayahSCI</v>
      </c>
      <c r="O29" s="412" t="s">
        <v>41</v>
      </c>
      <c r="P29" s="413" t="s">
        <v>3382</v>
      </c>
    </row>
    <row r="30" spans="2:16">
      <c r="B30" s="161" t="s">
        <v>37</v>
      </c>
      <c r="C30" s="157" t="s">
        <v>3109</v>
      </c>
      <c r="D30" s="413" t="s">
        <v>2792</v>
      </c>
      <c r="F30" s="413" t="s">
        <v>2693</v>
      </c>
      <c r="G30" s="413" t="s">
        <v>3108</v>
      </c>
      <c r="I30" s="942" t="s">
        <v>2692</v>
      </c>
      <c r="J30" s="939" t="s">
        <v>3124</v>
      </c>
      <c r="K30" s="939" t="s">
        <v>3158</v>
      </c>
      <c r="L30" s="940" t="s">
        <v>2928</v>
      </c>
      <c r="M30" s="413" t="s">
        <v>3123</v>
      </c>
      <c r="N30" s="413" t="str">
        <f>Table413[[#This Row],[State]]&amp;Table413[[#This Row],[Acronym]]</f>
        <v>KayahSuwannimit</v>
      </c>
      <c r="O30" s="413" t="s">
        <v>136</v>
      </c>
    </row>
    <row r="31" spans="2:16">
      <c r="B31" s="994" t="s">
        <v>37</v>
      </c>
      <c r="C31" s="157" t="s">
        <v>369</v>
      </c>
      <c r="D31" s="413" t="s">
        <v>2792</v>
      </c>
      <c r="F31" s="413" t="s">
        <v>2693</v>
      </c>
      <c r="G31" s="413" t="s">
        <v>36</v>
      </c>
      <c r="I31" s="939" t="s">
        <v>2692</v>
      </c>
      <c r="J31" s="939" t="s">
        <v>241</v>
      </c>
      <c r="K31" s="939" t="s">
        <v>3150</v>
      </c>
      <c r="L31" s="940" t="s">
        <v>2932</v>
      </c>
      <c r="M31" s="413" t="s">
        <v>3123</v>
      </c>
      <c r="N31" s="413" t="str">
        <f>Table413[[#This Row],[State]]&amp;Table413[[#This Row],[Acronym]]</f>
        <v>KayahUNICEF</v>
      </c>
      <c r="O31" s="413" t="s">
        <v>136</v>
      </c>
    </row>
    <row r="32" spans="2:16">
      <c r="B32" s="157" t="s">
        <v>37</v>
      </c>
      <c r="C32" s="157" t="s">
        <v>36</v>
      </c>
      <c r="D32" s="413" t="s">
        <v>3373</v>
      </c>
      <c r="F32" s="413" t="s">
        <v>2693</v>
      </c>
      <c r="G32" s="413" t="s">
        <v>2795</v>
      </c>
      <c r="I32" s="942" t="s">
        <v>2332</v>
      </c>
      <c r="J32" s="939" t="s">
        <v>2802</v>
      </c>
      <c r="K32" s="939" t="s">
        <v>3159</v>
      </c>
      <c r="L32" s="939" t="s">
        <v>2928</v>
      </c>
      <c r="N32" s="413" t="str">
        <f>Table413[[#This Row],[State]]&amp;Table413[[#This Row],[Acronym]]</f>
        <v>KayinADRA</v>
      </c>
      <c r="O32" s="413" t="s">
        <v>41</v>
      </c>
    </row>
    <row r="33" spans="2:16">
      <c r="B33" s="994" t="s">
        <v>37</v>
      </c>
      <c r="C33" s="157" t="s">
        <v>3380</v>
      </c>
      <c r="D33" s="413" t="s">
        <v>3373</v>
      </c>
      <c r="F33" s="413" t="s">
        <v>2693</v>
      </c>
      <c r="G33" s="413" t="s">
        <v>297</v>
      </c>
      <c r="I33" s="942" t="s">
        <v>2332</v>
      </c>
      <c r="J33" s="939" t="s">
        <v>2918</v>
      </c>
      <c r="K33" s="939" t="s">
        <v>3160</v>
      </c>
      <c r="L33" s="939" t="s">
        <v>3122</v>
      </c>
      <c r="N33" s="413" t="str">
        <f>Table413[[#This Row],[State]]&amp;Table413[[#This Row],[Acronym]]</f>
        <v>KayinCIDKP</v>
      </c>
      <c r="O33" s="413" t="s">
        <v>41</v>
      </c>
    </row>
    <row r="34" spans="2:16">
      <c r="B34" s="994" t="s">
        <v>2692</v>
      </c>
      <c r="C34" s="157" t="s">
        <v>1751</v>
      </c>
      <c r="D34" s="413" t="s">
        <v>3373</v>
      </c>
      <c r="F34" s="413" t="s">
        <v>304</v>
      </c>
      <c r="G34" s="413" t="s">
        <v>319</v>
      </c>
      <c r="I34" s="942" t="s">
        <v>2332</v>
      </c>
      <c r="J34" s="941" t="s">
        <v>36</v>
      </c>
      <c r="K34" s="939" t="s">
        <v>3143</v>
      </c>
      <c r="L34" s="940" t="s">
        <v>2927</v>
      </c>
      <c r="M34" s="413" t="s">
        <v>3123</v>
      </c>
      <c r="N34" s="413" t="str">
        <f>Table413[[#This Row],[State]]&amp;Table413[[#This Row],[Acronym]]</f>
        <v>KayinKMSS</v>
      </c>
      <c r="O34" s="413" t="s">
        <v>136</v>
      </c>
    </row>
    <row r="35" spans="2:16">
      <c r="B35" s="157" t="s">
        <v>2692</v>
      </c>
      <c r="C35" s="157" t="s">
        <v>914</v>
      </c>
      <c r="D35" s="413" t="s">
        <v>3373</v>
      </c>
      <c r="F35" s="413" t="s">
        <v>304</v>
      </c>
      <c r="G35" s="413" t="s">
        <v>3106</v>
      </c>
      <c r="I35" s="942" t="s">
        <v>2332</v>
      </c>
      <c r="J35" s="941" t="s">
        <v>2914</v>
      </c>
      <c r="K35" s="939" t="s">
        <v>3161</v>
      </c>
      <c r="L35" s="940" t="s">
        <v>2928</v>
      </c>
      <c r="M35" s="413" t="s">
        <v>3123</v>
      </c>
      <c r="N35" s="413" t="str">
        <f>Table413[[#This Row],[State]]&amp;Table413[[#This Row],[Acronym]]</f>
        <v>KayinMC</v>
      </c>
      <c r="O35" s="413" t="s">
        <v>136</v>
      </c>
    </row>
    <row r="36" spans="2:16">
      <c r="B36" s="994" t="s">
        <v>2692</v>
      </c>
      <c r="C36" s="157" t="s">
        <v>3375</v>
      </c>
      <c r="D36" s="413" t="s">
        <v>3373</v>
      </c>
      <c r="F36" s="413" t="s">
        <v>304</v>
      </c>
      <c r="G36" s="413" t="s">
        <v>3364</v>
      </c>
      <c r="I36" s="942" t="s">
        <v>2332</v>
      </c>
      <c r="J36" s="939" t="s">
        <v>3124</v>
      </c>
      <c r="K36" s="939" t="s">
        <v>3158</v>
      </c>
      <c r="L36" s="943" t="s">
        <v>2928</v>
      </c>
      <c r="M36" s="413" t="s">
        <v>3123</v>
      </c>
      <c r="N36" s="413" t="str">
        <f>Table413[[#This Row],[State]]&amp;Table413[[#This Row],[Acronym]]</f>
        <v>KayinSuwannimit</v>
      </c>
      <c r="O36" s="413" t="s">
        <v>136</v>
      </c>
    </row>
    <row r="37" spans="2:16">
      <c r="B37" s="994" t="s">
        <v>2692</v>
      </c>
      <c r="C37" s="157" t="s">
        <v>3374</v>
      </c>
      <c r="D37" s="413" t="s">
        <v>3373</v>
      </c>
      <c r="F37" s="413" t="s">
        <v>304</v>
      </c>
      <c r="G37" s="413" t="s">
        <v>1751</v>
      </c>
      <c r="I37" s="939" t="s">
        <v>2332</v>
      </c>
      <c r="J37" s="939" t="s">
        <v>241</v>
      </c>
      <c r="K37" s="939" t="s">
        <v>3150</v>
      </c>
      <c r="L37" s="940" t="s">
        <v>2932</v>
      </c>
      <c r="M37" s="413" t="s">
        <v>3123</v>
      </c>
      <c r="N37" s="413" t="str">
        <f>Table413[[#This Row],[State]]&amp;Table413[[#This Row],[Acronym]]</f>
        <v>KayinUNICEF</v>
      </c>
      <c r="O37" s="413" t="s">
        <v>136</v>
      </c>
    </row>
    <row r="38" spans="2:16">
      <c r="B38" s="994" t="s">
        <v>2692</v>
      </c>
      <c r="C38" s="157" t="s">
        <v>297</v>
      </c>
      <c r="D38" s="413" t="s">
        <v>3373</v>
      </c>
      <c r="F38" s="413" t="s">
        <v>304</v>
      </c>
      <c r="G38" s="413" t="s">
        <v>323</v>
      </c>
      <c r="I38" s="942" t="s">
        <v>2693</v>
      </c>
      <c r="J38" s="939" t="s">
        <v>3108</v>
      </c>
      <c r="K38" s="939" t="s">
        <v>3115</v>
      </c>
      <c r="L38" s="939" t="s">
        <v>2927</v>
      </c>
      <c r="N38" s="413" t="str">
        <f>Table413[[#This Row],[State]]&amp;Table413[[#This Row],[Acronym]]</f>
        <v>MagwayGN</v>
      </c>
      <c r="O38" s="413" t="s">
        <v>41</v>
      </c>
    </row>
    <row r="39" spans="2:16">
      <c r="B39" s="994" t="s">
        <v>2332</v>
      </c>
      <c r="C39" s="157" t="s">
        <v>2802</v>
      </c>
      <c r="D39" s="413" t="s">
        <v>2792</v>
      </c>
      <c r="F39" s="413" t="s">
        <v>304</v>
      </c>
      <c r="G39" s="413" t="s">
        <v>2796</v>
      </c>
      <c r="I39" s="939" t="s">
        <v>2693</v>
      </c>
      <c r="J39" s="939" t="s">
        <v>36</v>
      </c>
      <c r="K39" s="939" t="s">
        <v>3143</v>
      </c>
      <c r="L39" s="939" t="s">
        <v>2927</v>
      </c>
      <c r="N39" s="413" t="str">
        <f>Table413[[#This Row],[State]]&amp;Table413[[#This Row],[Acronym]]</f>
        <v>MagwayKMSS</v>
      </c>
      <c r="O39" s="413" t="s">
        <v>41</v>
      </c>
    </row>
    <row r="40" spans="2:16">
      <c r="B40" s="993" t="s">
        <v>37</v>
      </c>
      <c r="C40" s="157" t="s">
        <v>3109</v>
      </c>
      <c r="D40" s="991" t="s">
        <v>2791</v>
      </c>
      <c r="F40" s="413" t="s">
        <v>304</v>
      </c>
      <c r="G40" s="413" t="s">
        <v>3366</v>
      </c>
      <c r="I40" s="942" t="s">
        <v>2693</v>
      </c>
      <c r="J40" s="939" t="s">
        <v>2795</v>
      </c>
      <c r="K40" s="939" t="s">
        <v>2795</v>
      </c>
      <c r="L40" s="939" t="s">
        <v>2928</v>
      </c>
      <c r="N40" s="413" t="str">
        <f>Table413[[#This Row],[State]]&amp;Table413[[#This Row],[Acronym]]</f>
        <v>MagwayMA-UK</v>
      </c>
      <c r="O40" s="413" t="s">
        <v>41</v>
      </c>
    </row>
    <row r="41" spans="2:16">
      <c r="B41" s="992" t="s">
        <v>37</v>
      </c>
      <c r="C41" s="990" t="s">
        <v>36</v>
      </c>
      <c r="D41" s="991" t="s">
        <v>2791</v>
      </c>
      <c r="F41" s="413" t="s">
        <v>304</v>
      </c>
      <c r="G41" s="413" t="s">
        <v>369</v>
      </c>
      <c r="I41" s="996" t="s">
        <v>2693</v>
      </c>
      <c r="J41" s="996" t="s">
        <v>297</v>
      </c>
      <c r="K41" s="996" t="str">
        <f>_xlfn.XLOOKUP(Table413[[#This Row],[Acronym]],[6]Dropdowns!$I$2:$I$313,[6]Dropdowns!$H$2:$H$313,,0)</f>
        <v>Save the Children International</v>
      </c>
      <c r="L41" s="997" t="str">
        <f>_xlfn.XLOOKUP(Table413[[#This Row],[Acronym]],[6]Dropdowns!$I$2:$I$313,[6]Dropdowns!$G$2:$G$313,,0)</f>
        <v>International NGO</v>
      </c>
      <c r="N41" s="412" t="str">
        <f>Table413[[#This Row],[State]]&amp;Table413[[#This Row],[Acronym]]</f>
        <v>MagwaySCI</v>
      </c>
      <c r="O41" s="412" t="s">
        <v>41</v>
      </c>
      <c r="P41" s="413" t="s">
        <v>3382</v>
      </c>
    </row>
    <row r="42" spans="2:16">
      <c r="B42" s="992" t="s">
        <v>2692</v>
      </c>
      <c r="C42" s="990" t="s">
        <v>297</v>
      </c>
      <c r="D42" s="991" t="s">
        <v>2791</v>
      </c>
      <c r="F42" s="413" t="s">
        <v>304</v>
      </c>
      <c r="G42" s="413" t="s">
        <v>3367</v>
      </c>
      <c r="I42" s="939" t="s">
        <v>2693</v>
      </c>
      <c r="J42" s="939" t="s">
        <v>241</v>
      </c>
      <c r="K42" s="939" t="s">
        <v>3150</v>
      </c>
      <c r="L42" s="940" t="s">
        <v>2932</v>
      </c>
      <c r="M42" s="413" t="s">
        <v>3123</v>
      </c>
      <c r="N42" s="413" t="str">
        <f>Table413[[#This Row],[State]]&amp;Table413[[#This Row],[Acronym]]</f>
        <v>MagwayUNICEF</v>
      </c>
      <c r="O42" s="413" t="s">
        <v>41</v>
      </c>
    </row>
    <row r="43" spans="2:16">
      <c r="B43" s="993" t="s">
        <v>304</v>
      </c>
      <c r="C43" s="990" t="s">
        <v>319</v>
      </c>
      <c r="D43" s="991" t="s">
        <v>2791</v>
      </c>
      <c r="F43" s="413" t="s">
        <v>304</v>
      </c>
      <c r="G43" s="413" t="s">
        <v>3369</v>
      </c>
      <c r="I43" s="939" t="s">
        <v>2688</v>
      </c>
      <c r="J43" s="939" t="s">
        <v>2802</v>
      </c>
      <c r="K43" s="939" t="s">
        <v>3159</v>
      </c>
      <c r="L43" s="939" t="s">
        <v>2928</v>
      </c>
      <c r="N43" s="413" t="str">
        <f>Table413[[#This Row],[State]]&amp;Table413[[#This Row],[Acronym]]</f>
        <v>MonADRA</v>
      </c>
      <c r="O43" s="413" t="s">
        <v>41</v>
      </c>
    </row>
    <row r="44" spans="2:16">
      <c r="B44" s="990" t="s">
        <v>304</v>
      </c>
      <c r="C44" s="990" t="s">
        <v>2796</v>
      </c>
      <c r="D44" s="991" t="s">
        <v>2791</v>
      </c>
      <c r="F44" s="413" t="s">
        <v>304</v>
      </c>
      <c r="G44" s="413" t="s">
        <v>914</v>
      </c>
      <c r="I44" s="942" t="s">
        <v>2688</v>
      </c>
      <c r="J44" s="939" t="s">
        <v>2918</v>
      </c>
      <c r="K44" s="939" t="s">
        <v>3160</v>
      </c>
      <c r="L44" s="939" t="s">
        <v>3122</v>
      </c>
      <c r="N44" s="413" t="str">
        <f>Table413[[#This Row],[State]]&amp;Table413[[#This Row],[Acronym]]</f>
        <v>MonCIDKP</v>
      </c>
      <c r="O44" s="413" t="s">
        <v>41</v>
      </c>
    </row>
    <row r="45" spans="2:16">
      <c r="B45" s="990" t="s">
        <v>304</v>
      </c>
      <c r="C45" s="990" t="s">
        <v>3364</v>
      </c>
      <c r="D45" s="991" t="s">
        <v>2791</v>
      </c>
      <c r="F45" s="413" t="s">
        <v>304</v>
      </c>
      <c r="G45" s="413" t="s">
        <v>2797</v>
      </c>
      <c r="I45" s="998" t="s">
        <v>304</v>
      </c>
      <c r="J45" s="996" t="s">
        <v>319</v>
      </c>
      <c r="K45" s="996" t="str">
        <f>_xlfn.XLOOKUP(Table413[[#This Row],[Acronym]],[6]Dropdowns!$I$2:$I$313,[6]Dropdowns!$H$2:$H$313,,0)</f>
        <v>Action Contre la Faim</v>
      </c>
      <c r="L45" s="997" t="str">
        <f>_xlfn.XLOOKUP(Table413[[#This Row],[Acronym]],[6]Dropdowns!$I$2:$I$313,[6]Dropdowns!$G$2:$G$313,,0)</f>
        <v>International NGO</v>
      </c>
      <c r="N45" s="412" t="str">
        <f>Table413[[#This Row],[State]]&amp;Table413[[#This Row],[Acronym]]</f>
        <v>RakhineACF</v>
      </c>
      <c r="O45" s="412" t="s">
        <v>41</v>
      </c>
      <c r="P45" s="413" t="s">
        <v>3382</v>
      </c>
    </row>
    <row r="46" spans="2:16">
      <c r="B46" s="990" t="s">
        <v>304</v>
      </c>
      <c r="C46" s="990" t="s">
        <v>3365</v>
      </c>
      <c r="D46" s="991" t="s">
        <v>2791</v>
      </c>
      <c r="F46" s="413" t="s">
        <v>304</v>
      </c>
      <c r="G46" s="413" t="s">
        <v>303</v>
      </c>
      <c r="I46" s="942" t="s">
        <v>304</v>
      </c>
      <c r="J46" s="939" t="s">
        <v>3106</v>
      </c>
      <c r="K46" s="941" t="s">
        <v>3120</v>
      </c>
      <c r="L46" s="939" t="s">
        <v>3122</v>
      </c>
      <c r="N46" s="413" t="str">
        <f>Table413[[#This Row],[State]]&amp;Table413[[#This Row],[Acronym]]</f>
        <v>RakhineALARM</v>
      </c>
      <c r="O46" s="413" t="s">
        <v>41</v>
      </c>
    </row>
    <row r="47" spans="2:16">
      <c r="B47" s="990" t="s">
        <v>304</v>
      </c>
      <c r="C47" s="990" t="s">
        <v>3366</v>
      </c>
      <c r="D47" s="991" t="s">
        <v>2791</v>
      </c>
      <c r="F47" s="413" t="s">
        <v>304</v>
      </c>
      <c r="G47" s="413" t="s">
        <v>3368</v>
      </c>
      <c r="I47" s="942" t="s">
        <v>304</v>
      </c>
      <c r="J47" s="996" t="s">
        <v>3364</v>
      </c>
      <c r="K47" t="s">
        <v>3395</v>
      </c>
      <c r="L47" s="939" t="s">
        <v>3122</v>
      </c>
      <c r="N47" s="412" t="str">
        <f>Table413[[#This Row],[State]]&amp;Table413[[#This Row],[Acronym]]</f>
        <v>RakhineARE</v>
      </c>
      <c r="O47" s="412" t="s">
        <v>41</v>
      </c>
      <c r="P47" s="413" t="s">
        <v>3382</v>
      </c>
    </row>
    <row r="48" spans="2:16">
      <c r="B48" s="993" t="s">
        <v>304</v>
      </c>
      <c r="C48" s="990" t="s">
        <v>369</v>
      </c>
      <c r="D48" s="991" t="s">
        <v>2791</v>
      </c>
      <c r="F48" s="413" t="s">
        <v>304</v>
      </c>
      <c r="G48" s="413" t="s">
        <v>3370</v>
      </c>
      <c r="I48" s="939" t="s">
        <v>304</v>
      </c>
      <c r="J48" s="939" t="s">
        <v>1751</v>
      </c>
      <c r="K48" s="939" t="s">
        <v>3162</v>
      </c>
      <c r="L48" s="939" t="s">
        <v>2927</v>
      </c>
      <c r="N48" s="413" t="str">
        <f>Table413[[#This Row],[State]]&amp;Table413[[#This Row],[Acronym]]</f>
        <v>RakhineCDA</v>
      </c>
      <c r="O48" s="413" t="s">
        <v>41</v>
      </c>
    </row>
    <row r="49" spans="2:16">
      <c r="B49" s="990" t="s">
        <v>304</v>
      </c>
      <c r="C49" s="990" t="s">
        <v>3367</v>
      </c>
      <c r="D49" s="991" t="s">
        <v>2791</v>
      </c>
      <c r="F49" s="413" t="s">
        <v>304</v>
      </c>
      <c r="G49" s="413" t="s">
        <v>932</v>
      </c>
      <c r="I49" s="944" t="s">
        <v>304</v>
      </c>
      <c r="J49" s="939" t="s">
        <v>323</v>
      </c>
      <c r="K49" s="939" t="s">
        <v>3163</v>
      </c>
      <c r="L49" s="939" t="s">
        <v>2928</v>
      </c>
      <c r="N49" s="413" t="str">
        <f>Table413[[#This Row],[State]]&amp;Table413[[#This Row],[Acronym]]</f>
        <v>RakhineCDN</v>
      </c>
      <c r="O49" s="413" t="s">
        <v>41</v>
      </c>
    </row>
    <row r="50" spans="2:16">
      <c r="B50" s="990" t="s">
        <v>304</v>
      </c>
      <c r="C50" s="990" t="s">
        <v>3368</v>
      </c>
      <c r="D50" s="991" t="s">
        <v>2791</v>
      </c>
      <c r="F50" s="413" t="s">
        <v>304</v>
      </c>
      <c r="G50" s="413" t="s">
        <v>3371</v>
      </c>
      <c r="I50" s="942" t="s">
        <v>304</v>
      </c>
      <c r="J50" s="939" t="s">
        <v>2796</v>
      </c>
      <c r="K50" s="939" t="s">
        <v>3164</v>
      </c>
      <c r="L50" s="939" t="s">
        <v>2928</v>
      </c>
      <c r="N50" s="413" t="str">
        <f>Table413[[#This Row],[State]]&amp;Table413[[#This Row],[Acronym]]</f>
        <v>RakhineCERA</v>
      </c>
      <c r="O50" s="413" t="s">
        <v>41</v>
      </c>
    </row>
    <row r="51" spans="2:16">
      <c r="B51" s="990" t="s">
        <v>304</v>
      </c>
      <c r="C51" s="990" t="s">
        <v>3369</v>
      </c>
      <c r="D51" s="991" t="s">
        <v>2791</v>
      </c>
      <c r="F51" s="413" t="s">
        <v>304</v>
      </c>
      <c r="G51" s="413" t="s">
        <v>355</v>
      </c>
      <c r="I51" s="996" t="s">
        <v>304</v>
      </c>
      <c r="J51" s="996" t="s">
        <v>3366</v>
      </c>
      <c r="K51" s="996" t="s">
        <v>3383</v>
      </c>
      <c r="L51" s="997" t="s">
        <v>2928</v>
      </c>
      <c r="N51" s="412" t="str">
        <f>Table413[[#This Row],[State]]&amp;Table413[[#This Row],[Acronym]]</f>
        <v>RakhineCFSI</v>
      </c>
      <c r="O51" s="412" t="s">
        <v>41</v>
      </c>
      <c r="P51" s="413" t="s">
        <v>3382</v>
      </c>
    </row>
    <row r="52" spans="2:16">
      <c r="B52" s="990" t="s">
        <v>304</v>
      </c>
      <c r="C52" s="990" t="s">
        <v>303</v>
      </c>
      <c r="D52" s="991" t="s">
        <v>2791</v>
      </c>
      <c r="F52" s="413" t="s">
        <v>304</v>
      </c>
      <c r="G52" s="413" t="s">
        <v>2076</v>
      </c>
      <c r="I52" s="942" t="s">
        <v>304</v>
      </c>
      <c r="J52" s="939" t="s">
        <v>369</v>
      </c>
      <c r="K52" s="939" t="s">
        <v>3151</v>
      </c>
      <c r="L52" s="939" t="s">
        <v>2928</v>
      </c>
      <c r="N52" s="413" t="str">
        <f>Table413[[#This Row],[State]]&amp;Table413[[#This Row],[Acronym]]</f>
        <v>RakhineDRC</v>
      </c>
      <c r="O52" s="413" t="s">
        <v>41</v>
      </c>
    </row>
    <row r="53" spans="2:16">
      <c r="B53" s="993" t="s">
        <v>304</v>
      </c>
      <c r="C53" s="990" t="s">
        <v>2923</v>
      </c>
      <c r="D53" s="991" t="s">
        <v>2791</v>
      </c>
      <c r="F53" s="413" t="s">
        <v>304</v>
      </c>
      <c r="G53" s="413" t="s">
        <v>358</v>
      </c>
      <c r="I53" s="996" t="s">
        <v>304</v>
      </c>
      <c r="J53" s="485" t="s">
        <v>3369</v>
      </c>
      <c r="K53" s="996" t="s">
        <v>3388</v>
      </c>
      <c r="L53" s="997" t="s">
        <v>2928</v>
      </c>
      <c r="N53" s="412" t="str">
        <f>Table413[[#This Row],[State]]&amp;Table413[[#This Row],[Acronym]]</f>
        <v>RakhineFLER</v>
      </c>
      <c r="O53" s="412" t="s">
        <v>41</v>
      </c>
      <c r="P53" s="413" t="s">
        <v>3382</v>
      </c>
    </row>
    <row r="54" spans="2:16">
      <c r="B54" s="993" t="s">
        <v>304</v>
      </c>
      <c r="C54" s="990" t="s">
        <v>2924</v>
      </c>
      <c r="D54" s="991" t="s">
        <v>2791</v>
      </c>
      <c r="F54" s="413" t="s">
        <v>304</v>
      </c>
      <c r="G54" s="413" t="s">
        <v>297</v>
      </c>
      <c r="I54" s="942" t="s">
        <v>304</v>
      </c>
      <c r="J54" s="939" t="s">
        <v>914</v>
      </c>
      <c r="K54" s="939" t="s">
        <v>3152</v>
      </c>
      <c r="L54" s="939" t="s">
        <v>2928</v>
      </c>
      <c r="N54" s="413" t="str">
        <f>Table413[[#This Row],[State]]&amp;Table413[[#This Row],[Acronym]]</f>
        <v>RakhineIRC</v>
      </c>
      <c r="O54" s="413" t="s">
        <v>41</v>
      </c>
    </row>
    <row r="55" spans="2:16">
      <c r="B55" s="990" t="s">
        <v>304</v>
      </c>
      <c r="C55" s="990" t="s">
        <v>3106</v>
      </c>
      <c r="D55" s="991" t="s">
        <v>2791</v>
      </c>
      <c r="F55" s="413" t="s">
        <v>304</v>
      </c>
      <c r="G55" s="413" t="s">
        <v>2923</v>
      </c>
      <c r="I55" s="944" t="s">
        <v>304</v>
      </c>
      <c r="J55" s="939" t="s">
        <v>2797</v>
      </c>
      <c r="K55" s="939" t="s">
        <v>3165</v>
      </c>
      <c r="L55" s="939" t="s">
        <v>2928</v>
      </c>
      <c r="N55" s="413" t="str">
        <f>Table413[[#This Row],[State]]&amp;Table413[[#This Row],[Acronym]]</f>
        <v>RakhineLWF</v>
      </c>
      <c r="O55" s="413" t="s">
        <v>41</v>
      </c>
    </row>
    <row r="56" spans="2:16">
      <c r="B56" s="990" t="s">
        <v>304</v>
      </c>
      <c r="C56" s="990" t="s">
        <v>3107</v>
      </c>
      <c r="D56" s="991" t="s">
        <v>2791</v>
      </c>
      <c r="F56" s="413" t="s">
        <v>304</v>
      </c>
      <c r="G56" s="413" t="s">
        <v>276</v>
      </c>
      <c r="I56" s="942" t="s">
        <v>304</v>
      </c>
      <c r="J56" s="939" t="s">
        <v>2795</v>
      </c>
      <c r="K56" s="939" t="s">
        <v>2795</v>
      </c>
      <c r="L56" s="939" t="s">
        <v>2928</v>
      </c>
      <c r="N56" s="413" t="str">
        <f>Table413[[#This Row],[State]]&amp;Table413[[#This Row],[Acronym]]</f>
        <v>RakhineMA-UK</v>
      </c>
      <c r="O56" s="413" t="s">
        <v>41</v>
      </c>
    </row>
    <row r="57" spans="2:16">
      <c r="B57" s="993" t="s">
        <v>304</v>
      </c>
      <c r="C57" s="990" t="s">
        <v>3370</v>
      </c>
      <c r="D57" s="991" t="s">
        <v>2791</v>
      </c>
      <c r="F57" s="413" t="s">
        <v>304</v>
      </c>
      <c r="G57" s="413" t="s">
        <v>3107</v>
      </c>
      <c r="I57" s="942" t="s">
        <v>304</v>
      </c>
      <c r="J57" s="996" t="s">
        <v>2672</v>
      </c>
      <c r="K57" s="939" t="s">
        <v>2793</v>
      </c>
      <c r="L57" s="939" t="s">
        <v>2927</v>
      </c>
      <c r="N57" s="413" t="str">
        <f>Table413[[#This Row],[State]]&amp;Table413[[#This Row],[Acronym]]</f>
        <v>RakhineMeikswe MM</v>
      </c>
      <c r="O57" s="413" t="s">
        <v>41</v>
      </c>
    </row>
    <row r="58" spans="2:16">
      <c r="B58" s="990" t="s">
        <v>304</v>
      </c>
      <c r="C58" s="990" t="s">
        <v>932</v>
      </c>
      <c r="D58" s="991" t="s">
        <v>2791</v>
      </c>
      <c r="F58" s="413" t="s">
        <v>304</v>
      </c>
      <c r="G58" s="413" t="s">
        <v>2919</v>
      </c>
      <c r="I58" s="996" t="s">
        <v>304</v>
      </c>
      <c r="J58" s="996" t="s">
        <v>3393</v>
      </c>
      <c r="K58" s="996" t="s">
        <v>3394</v>
      </c>
      <c r="L58" s="997" t="s">
        <v>2927</v>
      </c>
      <c r="N58" s="412" t="str">
        <f>Table413[[#This Row],[State]]&amp;Table413[[#This Row],[Acronym]]</f>
        <v>RakhineMRF</v>
      </c>
      <c r="O58" s="412" t="s">
        <v>41</v>
      </c>
      <c r="P58" s="413" t="s">
        <v>3382</v>
      </c>
    </row>
    <row r="59" spans="2:16">
      <c r="B59" s="990" t="s">
        <v>304</v>
      </c>
      <c r="C59" s="990" t="s">
        <v>3371</v>
      </c>
      <c r="D59" s="991" t="s">
        <v>2791</v>
      </c>
      <c r="F59" s="413" t="s">
        <v>304</v>
      </c>
      <c r="G59" s="413" t="s">
        <v>2924</v>
      </c>
      <c r="I59" s="996" t="s">
        <v>304</v>
      </c>
      <c r="J59" s="996" t="s">
        <v>932</v>
      </c>
      <c r="K59" s="996" t="s">
        <v>3384</v>
      </c>
      <c r="L59" s="997" t="s">
        <v>2928</v>
      </c>
      <c r="N59" s="412" t="str">
        <f>Table413[[#This Row],[State]]&amp;Table413[[#This Row],[Acronym]]</f>
        <v>RakhineMSF</v>
      </c>
      <c r="O59" s="412" t="s">
        <v>41</v>
      </c>
      <c r="P59" s="413" t="s">
        <v>3382</v>
      </c>
    </row>
    <row r="60" spans="2:16">
      <c r="B60" s="993" t="s">
        <v>304</v>
      </c>
      <c r="C60" s="990" t="s">
        <v>2921</v>
      </c>
      <c r="D60" s="991" t="s">
        <v>2791</v>
      </c>
      <c r="F60" s="413" t="s">
        <v>304</v>
      </c>
      <c r="G60" s="413" t="s">
        <v>604</v>
      </c>
      <c r="I60" s="996" t="s">
        <v>304</v>
      </c>
      <c r="J60" s="996" t="s">
        <v>3371</v>
      </c>
      <c r="K60" s="996" t="s">
        <v>3385</v>
      </c>
      <c r="L60" s="997" t="s">
        <v>2928</v>
      </c>
      <c r="N60" s="412" t="str">
        <f>Table413[[#This Row],[State]]&amp;Table413[[#This Row],[Acronym]]</f>
        <v>RakhineNRC</v>
      </c>
      <c r="O60" s="412" t="s">
        <v>41</v>
      </c>
      <c r="P60" s="413" t="s">
        <v>3382</v>
      </c>
    </row>
    <row r="61" spans="2:16">
      <c r="B61" s="993" t="s">
        <v>304</v>
      </c>
      <c r="C61" s="990" t="s">
        <v>276</v>
      </c>
      <c r="D61" s="991" t="s">
        <v>2791</v>
      </c>
      <c r="F61" s="413" t="s">
        <v>304</v>
      </c>
      <c r="G61" s="413" t="s">
        <v>241</v>
      </c>
      <c r="I61" s="942" t="s">
        <v>304</v>
      </c>
      <c r="J61" s="939" t="s">
        <v>355</v>
      </c>
      <c r="K61" s="939" t="s">
        <v>3166</v>
      </c>
      <c r="L61" s="939" t="s">
        <v>2928</v>
      </c>
      <c r="N61" s="413" t="str">
        <f>Table413[[#This Row],[State]]&amp;Table413[[#This Row],[Acronym]]</f>
        <v>RakhineOxfam</v>
      </c>
      <c r="O61" s="413" t="s">
        <v>41</v>
      </c>
    </row>
    <row r="62" spans="2:16">
      <c r="B62" s="990" t="s">
        <v>304</v>
      </c>
      <c r="C62" s="990" t="s">
        <v>297</v>
      </c>
      <c r="D62" s="991" t="s">
        <v>2791</v>
      </c>
      <c r="F62" s="413" t="s">
        <v>304</v>
      </c>
      <c r="G62" s="413" t="s">
        <v>2124</v>
      </c>
      <c r="I62" s="942" t="s">
        <v>304</v>
      </c>
      <c r="J62" s="939" t="s">
        <v>2076</v>
      </c>
      <c r="K62" s="939" t="s">
        <v>3147</v>
      </c>
      <c r="L62" s="939" t="s">
        <v>2928</v>
      </c>
      <c r="N62" s="413" t="str">
        <f>Table413[[#This Row],[State]]&amp;Table413[[#This Row],[Acronym]]</f>
        <v>RakhinePIN</v>
      </c>
      <c r="O62" s="413" t="s">
        <v>41</v>
      </c>
    </row>
    <row r="63" spans="2:16">
      <c r="B63" s="992" t="s">
        <v>304</v>
      </c>
      <c r="C63" s="990" t="s">
        <v>241</v>
      </c>
      <c r="D63" s="991" t="s">
        <v>2791</v>
      </c>
      <c r="F63" s="413" t="s">
        <v>304</v>
      </c>
      <c r="G63" s="413" t="s">
        <v>3365</v>
      </c>
      <c r="I63" s="942" t="s">
        <v>304</v>
      </c>
      <c r="J63" s="939" t="s">
        <v>358</v>
      </c>
      <c r="K63" s="939" t="s">
        <v>3167</v>
      </c>
      <c r="L63" s="939" t="s">
        <v>2928</v>
      </c>
      <c r="N63" s="413" t="str">
        <f>Table413[[#This Row],[State]]&amp;Table413[[#This Row],[Acronym]]</f>
        <v>RakhineRI</v>
      </c>
      <c r="O63" s="413" t="s">
        <v>41</v>
      </c>
    </row>
    <row r="64" spans="2:16">
      <c r="B64" s="993" t="s">
        <v>515</v>
      </c>
      <c r="C64" s="990" t="s">
        <v>311</v>
      </c>
      <c r="D64" s="991" t="s">
        <v>2791</v>
      </c>
      <c r="F64" s="413" t="s">
        <v>2696</v>
      </c>
      <c r="G64" s="413" t="s">
        <v>319</v>
      </c>
      <c r="I64" s="942" t="s">
        <v>304</v>
      </c>
      <c r="J64" s="939" t="s">
        <v>297</v>
      </c>
      <c r="K64" s="939" t="s">
        <v>3148</v>
      </c>
      <c r="L64" s="939" t="s">
        <v>2928</v>
      </c>
      <c r="N64" s="413" t="str">
        <f>Table413[[#This Row],[State]]&amp;Table413[[#This Row],[Acronym]]</f>
        <v>RakhineSCI</v>
      </c>
      <c r="O64" s="413" t="s">
        <v>41</v>
      </c>
    </row>
    <row r="65" spans="2:16">
      <c r="B65" s="990" t="s">
        <v>515</v>
      </c>
      <c r="C65" s="991" t="s">
        <v>2672</v>
      </c>
      <c r="D65" s="991" t="s">
        <v>2791</v>
      </c>
      <c r="F65" s="413" t="s">
        <v>2696</v>
      </c>
      <c r="G65" s="413" t="s">
        <v>2920</v>
      </c>
      <c r="I65" s="942" t="s">
        <v>304</v>
      </c>
      <c r="J65" s="939" t="s">
        <v>2923</v>
      </c>
      <c r="K65" s="939" t="s">
        <v>3168</v>
      </c>
      <c r="L65" s="939" t="s">
        <v>3122</v>
      </c>
      <c r="N65" s="413" t="str">
        <f>Table413[[#This Row],[State]]&amp;Table413[[#This Row],[Acronym]]</f>
        <v>RakhineSDF</v>
      </c>
      <c r="O65" s="413" t="s">
        <v>41</v>
      </c>
    </row>
    <row r="66" spans="2:16">
      <c r="B66" s="993" t="s">
        <v>515</v>
      </c>
      <c r="C66" s="990" t="s">
        <v>192</v>
      </c>
      <c r="D66" s="991" t="s">
        <v>2791</v>
      </c>
      <c r="F66" s="413" t="s">
        <v>2696</v>
      </c>
      <c r="G66" s="413" t="s">
        <v>36</v>
      </c>
      <c r="I66" s="942" t="s">
        <v>304</v>
      </c>
      <c r="J66" s="939" t="s">
        <v>276</v>
      </c>
      <c r="K66" s="939" t="s">
        <v>3155</v>
      </c>
      <c r="L66" s="939" t="s">
        <v>2928</v>
      </c>
      <c r="N66" s="413" t="str">
        <f>Table413[[#This Row],[State]]&amp;Table413[[#This Row],[Acronym]]</f>
        <v>RakhineSI</v>
      </c>
      <c r="O66" s="413" t="s">
        <v>41</v>
      </c>
    </row>
    <row r="67" spans="2:16">
      <c r="B67" s="992" t="s">
        <v>515</v>
      </c>
      <c r="C67" s="990" t="s">
        <v>297</v>
      </c>
      <c r="D67" s="991" t="s">
        <v>2791</v>
      </c>
      <c r="F67" s="413" t="s">
        <v>2696</v>
      </c>
      <c r="G67" s="413" t="s">
        <v>297</v>
      </c>
      <c r="I67" s="942" t="s">
        <v>304</v>
      </c>
      <c r="J67" s="939" t="s">
        <v>3107</v>
      </c>
      <c r="K67" s="941" t="s">
        <v>3121</v>
      </c>
      <c r="L67" s="939" t="s">
        <v>3122</v>
      </c>
      <c r="N67" s="413" t="str">
        <f>Table413[[#This Row],[State]]&amp;Table413[[#This Row],[Acronym]]</f>
        <v>RakhineTEF</v>
      </c>
      <c r="O67" s="413" t="s">
        <v>41</v>
      </c>
    </row>
    <row r="68" spans="2:16">
      <c r="B68" s="990" t="s">
        <v>2638</v>
      </c>
      <c r="C68" s="990" t="s">
        <v>3372</v>
      </c>
      <c r="D68" s="991" t="s">
        <v>2791</v>
      </c>
      <c r="F68" s="413" t="s">
        <v>2696</v>
      </c>
      <c r="G68" s="413" t="s">
        <v>2949</v>
      </c>
      <c r="I68" s="942" t="s">
        <v>304</v>
      </c>
      <c r="J68" s="939" t="s">
        <v>3112</v>
      </c>
      <c r="K68" s="939" t="s">
        <v>3149</v>
      </c>
      <c r="L68" s="939" t="s">
        <v>2928</v>
      </c>
      <c r="N68" s="413" t="str">
        <f>Table413[[#This Row],[State]]&amp;Table413[[#This Row],[Acronym]]</f>
        <v>RakhineTGH</v>
      </c>
      <c r="O68" s="413" t="s">
        <v>41</v>
      </c>
    </row>
    <row r="69" spans="2:16">
      <c r="B69" s="992" t="s">
        <v>2638</v>
      </c>
      <c r="C69" s="990" t="s">
        <v>36</v>
      </c>
      <c r="D69" s="991" t="s">
        <v>2791</v>
      </c>
      <c r="F69" s="413" t="s">
        <v>515</v>
      </c>
      <c r="G69" s="413" t="s">
        <v>311</v>
      </c>
      <c r="I69" s="942" t="s">
        <v>304</v>
      </c>
      <c r="J69" s="939" t="s">
        <v>2924</v>
      </c>
      <c r="K69" s="939" t="s">
        <v>3169</v>
      </c>
      <c r="L69" s="939" t="s">
        <v>2927</v>
      </c>
      <c r="N69" s="413" t="str">
        <f>Table413[[#This Row],[State]]&amp;Table413[[#This Row],[Acronym]]</f>
        <v>RakhineTLDA</v>
      </c>
      <c r="O69" s="413" t="s">
        <v>41</v>
      </c>
    </row>
    <row r="70" spans="2:16">
      <c r="B70" s="993" t="s">
        <v>2638</v>
      </c>
      <c r="C70" s="993" t="s">
        <v>311</v>
      </c>
      <c r="D70" s="991" t="s">
        <v>2791</v>
      </c>
      <c r="F70" s="413" t="s">
        <v>515</v>
      </c>
      <c r="G70" s="413" t="s">
        <v>2925</v>
      </c>
      <c r="I70" s="944" t="s">
        <v>304</v>
      </c>
      <c r="J70" s="939" t="s">
        <v>604</v>
      </c>
      <c r="K70" s="939" t="s">
        <v>3170</v>
      </c>
      <c r="L70" s="939" t="s">
        <v>2932</v>
      </c>
      <c r="N70" s="413" t="str">
        <f>Table413[[#This Row],[State]]&amp;Table413[[#This Row],[Acronym]]</f>
        <v>RakhineUNHCR</v>
      </c>
      <c r="O70" s="413" t="s">
        <v>41</v>
      </c>
    </row>
    <row r="71" spans="2:16">
      <c r="B71" s="157" t="s">
        <v>2332</v>
      </c>
      <c r="C71" s="157" t="s">
        <v>2918</v>
      </c>
      <c r="D71" s="413" t="s">
        <v>2792</v>
      </c>
      <c r="F71" s="413" t="s">
        <v>515</v>
      </c>
      <c r="G71" s="413" t="s">
        <v>2154</v>
      </c>
      <c r="I71" s="942" t="s">
        <v>304</v>
      </c>
      <c r="J71" s="939" t="s">
        <v>241</v>
      </c>
      <c r="K71" s="939" t="s">
        <v>3150</v>
      </c>
      <c r="L71" s="939" t="s">
        <v>2932</v>
      </c>
      <c r="N71" s="413" t="str">
        <f>Table413[[#This Row],[State]]&amp;Table413[[#This Row],[Acronym]]</f>
        <v>RakhineUNICEF</v>
      </c>
      <c r="O71" s="413" t="s">
        <v>41</v>
      </c>
    </row>
    <row r="72" spans="2:16">
      <c r="B72" s="161" t="s">
        <v>2693</v>
      </c>
      <c r="C72" s="157" t="s">
        <v>3108</v>
      </c>
      <c r="D72" s="413" t="s">
        <v>2792</v>
      </c>
      <c r="F72" s="413" t="s">
        <v>515</v>
      </c>
      <c r="G72" s="413" t="s">
        <v>36</v>
      </c>
      <c r="I72" s="942" t="s">
        <v>304</v>
      </c>
      <c r="J72" s="939" t="s">
        <v>2124</v>
      </c>
      <c r="K72" s="939" t="s">
        <v>3171</v>
      </c>
      <c r="L72" s="939" t="s">
        <v>2932</v>
      </c>
      <c r="N72" s="413" t="str">
        <f>Table413[[#This Row],[State]]&amp;Table413[[#This Row],[Acronym]]</f>
        <v>RakhineWFP</v>
      </c>
      <c r="O72" s="413" t="s">
        <v>41</v>
      </c>
    </row>
    <row r="73" spans="2:16">
      <c r="B73" s="157" t="s">
        <v>2693</v>
      </c>
      <c r="C73" s="413" t="s">
        <v>36</v>
      </c>
      <c r="D73" s="413" t="s">
        <v>2792</v>
      </c>
      <c r="F73" s="413" t="s">
        <v>515</v>
      </c>
      <c r="G73" s="413" t="s">
        <v>2672</v>
      </c>
      <c r="I73" s="942" t="s">
        <v>304</v>
      </c>
      <c r="J73" s="996" t="s">
        <v>3365</v>
      </c>
      <c r="K73" t="s">
        <v>3396</v>
      </c>
      <c r="L73" s="997" t="s">
        <v>3392</v>
      </c>
      <c r="N73" s="412" t="str">
        <f>Table413[[#This Row],[State]]&amp;Table413[[#This Row],[Acronym]]</f>
        <v>RakhineYCIBO</v>
      </c>
      <c r="O73" s="413" t="s">
        <v>41</v>
      </c>
    </row>
    <row r="74" spans="2:16">
      <c r="B74" s="157" t="s">
        <v>2693</v>
      </c>
      <c r="C74" s="157" t="s">
        <v>2795</v>
      </c>
      <c r="D74" s="413" t="s">
        <v>2792</v>
      </c>
      <c r="F74" s="413" t="s">
        <v>515</v>
      </c>
      <c r="G74" s="413" t="s">
        <v>192</v>
      </c>
      <c r="I74" s="942" t="s">
        <v>2696</v>
      </c>
      <c r="J74" s="939" t="s">
        <v>319</v>
      </c>
      <c r="K74" s="939" t="s">
        <v>3172</v>
      </c>
      <c r="L74" s="939" t="s">
        <v>2928</v>
      </c>
      <c r="N74" s="413" t="str">
        <f>Table413[[#This Row],[State]]&amp;Table413[[#This Row],[Acronym]]</f>
        <v>SagaingACF</v>
      </c>
      <c r="O74" s="413" t="s">
        <v>41</v>
      </c>
    </row>
    <row r="75" spans="2:16">
      <c r="B75" s="157" t="s">
        <v>2693</v>
      </c>
      <c r="C75" s="157" t="s">
        <v>297</v>
      </c>
      <c r="D75" s="413" t="s">
        <v>3373</v>
      </c>
      <c r="F75" s="413" t="s">
        <v>515</v>
      </c>
      <c r="G75" s="413" t="s">
        <v>297</v>
      </c>
      <c r="I75" s="942" t="s">
        <v>2696</v>
      </c>
      <c r="J75" s="939" t="s">
        <v>3113</v>
      </c>
      <c r="K75" s="939" t="s">
        <v>3144</v>
      </c>
      <c r="L75" s="939" t="s">
        <v>3122</v>
      </c>
      <c r="N75" s="413" t="str">
        <f>Table413[[#This Row],[State]]&amp;Table413[[#This Row],[Acronym]]</f>
        <v>SagaingAYOSDA</v>
      </c>
      <c r="O75" s="413" t="s">
        <v>41</v>
      </c>
    </row>
    <row r="76" spans="2:16">
      <c r="B76" s="157" t="s">
        <v>2688</v>
      </c>
      <c r="C76" s="157" t="s">
        <v>2802</v>
      </c>
      <c r="D76" s="413" t="s">
        <v>2792</v>
      </c>
      <c r="F76" s="413" t="s">
        <v>2638</v>
      </c>
      <c r="G76" s="413" t="s">
        <v>2802</v>
      </c>
      <c r="I76" s="939" t="s">
        <v>2696</v>
      </c>
      <c r="J76" s="939" t="s">
        <v>36</v>
      </c>
      <c r="K76" s="939" t="s">
        <v>3143</v>
      </c>
      <c r="L76" s="939" t="s">
        <v>2927</v>
      </c>
      <c r="N76" s="413" t="str">
        <f>Table413[[#This Row],[State]]&amp;Table413[[#This Row],[Acronym]]</f>
        <v>SagaingKMSS</v>
      </c>
      <c r="O76" s="413" t="s">
        <v>41</v>
      </c>
    </row>
    <row r="77" spans="2:16">
      <c r="B77" s="157" t="s">
        <v>2688</v>
      </c>
      <c r="C77" s="157" t="s">
        <v>2918</v>
      </c>
      <c r="D77" s="413" t="s">
        <v>2792</v>
      </c>
      <c r="F77" s="413" t="s">
        <v>2638</v>
      </c>
      <c r="G77" s="413" t="s">
        <v>311</v>
      </c>
      <c r="I77" s="996" t="s">
        <v>2696</v>
      </c>
      <c r="J77" s="996" t="s">
        <v>297</v>
      </c>
      <c r="K77" s="996" t="s">
        <v>3148</v>
      </c>
      <c r="L77" s="997" t="s">
        <v>2928</v>
      </c>
      <c r="N77" s="412" t="str">
        <f>Table413[[#This Row],[State]]&amp;Table413[[#This Row],[Acronym]]</f>
        <v>SagaingSCI</v>
      </c>
      <c r="O77" s="412" t="s">
        <v>41</v>
      </c>
      <c r="P77" s="413" t="s">
        <v>3382</v>
      </c>
    </row>
    <row r="78" spans="2:16">
      <c r="B78" s="994" t="s">
        <v>304</v>
      </c>
      <c r="C78" s="157" t="s">
        <v>1751</v>
      </c>
      <c r="D78" s="413" t="s">
        <v>3373</v>
      </c>
      <c r="F78" s="413" t="s">
        <v>2638</v>
      </c>
      <c r="G78" s="413" t="s">
        <v>1751</v>
      </c>
      <c r="I78" s="942" t="s">
        <v>2696</v>
      </c>
      <c r="J78" s="939" t="s">
        <v>3114</v>
      </c>
      <c r="K78" s="939" t="s">
        <v>2949</v>
      </c>
      <c r="L78" s="939" t="s">
        <v>2927</v>
      </c>
      <c r="N78" s="413" t="str">
        <f>Table413[[#This Row],[State]]&amp;Table413[[#This Row],[Acronym]]</f>
        <v>SagaingSTH</v>
      </c>
      <c r="O78" s="413" t="s">
        <v>41</v>
      </c>
    </row>
    <row r="79" spans="2:16">
      <c r="B79" s="157" t="s">
        <v>304</v>
      </c>
      <c r="C79" s="157" t="s">
        <v>323</v>
      </c>
      <c r="D79" s="413" t="s">
        <v>2792</v>
      </c>
      <c r="F79" s="413" t="s">
        <v>2638</v>
      </c>
      <c r="G79" s="413" t="s">
        <v>3372</v>
      </c>
      <c r="I79" s="939" t="s">
        <v>2696</v>
      </c>
      <c r="J79" s="939" t="s">
        <v>241</v>
      </c>
      <c r="K79" s="939" t="s">
        <v>3150</v>
      </c>
      <c r="L79" s="940" t="s">
        <v>2932</v>
      </c>
      <c r="M79" s="413" t="s">
        <v>3123</v>
      </c>
      <c r="N79" s="413" t="str">
        <f>Table413[[#This Row],[State]]&amp;Table413[[#This Row],[Acronym]]</f>
        <v>SagaingUNICEF</v>
      </c>
      <c r="O79" s="413" t="s">
        <v>41</v>
      </c>
    </row>
    <row r="80" spans="2:16">
      <c r="B80" s="994" t="s">
        <v>304</v>
      </c>
      <c r="C80" s="413" t="s">
        <v>2796</v>
      </c>
      <c r="D80" s="413" t="s">
        <v>2792</v>
      </c>
      <c r="F80" s="413" t="s">
        <v>2638</v>
      </c>
      <c r="G80" s="413" t="s">
        <v>36</v>
      </c>
      <c r="I80" s="939" t="s">
        <v>2697</v>
      </c>
      <c r="J80" s="939" t="s">
        <v>241</v>
      </c>
      <c r="K80" s="939" t="s">
        <v>3150</v>
      </c>
      <c r="L80" s="940" t="s">
        <v>2932</v>
      </c>
      <c r="M80" s="413" t="s">
        <v>3123</v>
      </c>
      <c r="N80" s="413" t="str">
        <f>Table413[[#This Row],[State]]&amp;Table413[[#This Row],[Acronym]]</f>
        <v>Shan (East)UNICEF</v>
      </c>
      <c r="O80" s="413" t="s">
        <v>41</v>
      </c>
    </row>
    <row r="81" spans="2:16">
      <c r="B81" s="994" t="s">
        <v>304</v>
      </c>
      <c r="C81" s="413" t="s">
        <v>369</v>
      </c>
      <c r="D81" s="413" t="s">
        <v>2792</v>
      </c>
      <c r="F81" s="413" t="s">
        <v>2638</v>
      </c>
      <c r="G81" s="413" t="s">
        <v>355</v>
      </c>
      <c r="I81" s="939" t="s">
        <v>515</v>
      </c>
      <c r="J81" s="939" t="s">
        <v>311</v>
      </c>
      <c r="K81" s="939" t="s">
        <v>3145</v>
      </c>
      <c r="L81" s="939" t="s">
        <v>2928</v>
      </c>
      <c r="N81" s="413" t="str">
        <f>Table413[[#This Row],[State]]&amp;Table413[[#This Row],[Acronym]]</f>
        <v>Shan (North)CARE</v>
      </c>
      <c r="O81" s="413" t="s">
        <v>41</v>
      </c>
    </row>
    <row r="82" spans="2:16">
      <c r="B82" s="157" t="s">
        <v>304</v>
      </c>
      <c r="C82" s="157" t="s">
        <v>3367</v>
      </c>
      <c r="D82" s="413" t="s">
        <v>3373</v>
      </c>
      <c r="F82" s="413" t="s">
        <v>2638</v>
      </c>
      <c r="G82" s="413" t="s">
        <v>3377</v>
      </c>
      <c r="I82" s="942" t="s">
        <v>515</v>
      </c>
      <c r="J82" s="939" t="s">
        <v>2925</v>
      </c>
      <c r="K82" s="939" t="s">
        <v>3173</v>
      </c>
      <c r="L82" s="939" t="s">
        <v>3122</v>
      </c>
      <c r="N82" s="413" t="str">
        <f>Table413[[#This Row],[State]]&amp;Table413[[#This Row],[Acronym]]</f>
        <v>Shan (North)GLAD</v>
      </c>
      <c r="O82" s="413" t="s">
        <v>41</v>
      </c>
    </row>
    <row r="83" spans="2:16">
      <c r="B83" s="994" t="s">
        <v>304</v>
      </c>
      <c r="C83" s="413" t="s">
        <v>914</v>
      </c>
      <c r="D83" s="413" t="s">
        <v>2792</v>
      </c>
      <c r="F83" s="413" t="s">
        <v>2638</v>
      </c>
      <c r="G83" s="413" t="s">
        <v>358</v>
      </c>
      <c r="I83" s="942" t="s">
        <v>515</v>
      </c>
      <c r="J83" s="939" t="s">
        <v>2154</v>
      </c>
      <c r="K83" s="939" t="s">
        <v>3174</v>
      </c>
      <c r="L83" s="939" t="s">
        <v>2928</v>
      </c>
      <c r="N83" s="413" t="str">
        <f>Table413[[#This Row],[State]]&amp;Table413[[#This Row],[Acronym]]</f>
        <v>Shan (North)HPA</v>
      </c>
      <c r="O83" s="413" t="s">
        <v>136</v>
      </c>
    </row>
    <row r="84" spans="2:16">
      <c r="B84" s="161" t="s">
        <v>304</v>
      </c>
      <c r="C84" s="413" t="s">
        <v>2797</v>
      </c>
      <c r="D84" s="413" t="s">
        <v>2792</v>
      </c>
      <c r="F84" s="413" t="s">
        <v>2638</v>
      </c>
      <c r="G84" s="413" t="s">
        <v>3376</v>
      </c>
      <c r="I84" s="942" t="s">
        <v>515</v>
      </c>
      <c r="J84" s="939" t="s">
        <v>36</v>
      </c>
      <c r="K84" s="939" t="s">
        <v>3143</v>
      </c>
      <c r="L84" s="939" t="s">
        <v>2927</v>
      </c>
      <c r="N84" s="413" t="str">
        <f>Table413[[#This Row],[State]]&amp;Table413[[#This Row],[Acronym]]</f>
        <v>Shan (North)KMSS</v>
      </c>
      <c r="O84" s="413" t="s">
        <v>41</v>
      </c>
    </row>
    <row r="85" spans="2:16">
      <c r="B85" s="161" t="s">
        <v>304</v>
      </c>
      <c r="C85" s="157" t="s">
        <v>2076</v>
      </c>
      <c r="D85" s="413" t="s">
        <v>2792</v>
      </c>
      <c r="F85" s="413" t="s">
        <v>2638</v>
      </c>
      <c r="G85" s="413" t="s">
        <v>3379</v>
      </c>
      <c r="I85" s="942" t="s">
        <v>515</v>
      </c>
      <c r="J85" s="939" t="s">
        <v>3111</v>
      </c>
      <c r="K85" s="939" t="s">
        <v>3142</v>
      </c>
      <c r="L85" s="939" t="s">
        <v>2927</v>
      </c>
      <c r="N85" s="413" t="str">
        <f>Table413[[#This Row],[State]]&amp;Table413[[#This Row],[Acronym]]</f>
        <v>Shan (North)MDF</v>
      </c>
      <c r="O85" s="413" t="s">
        <v>41</v>
      </c>
    </row>
    <row r="86" spans="2:16">
      <c r="B86" s="161" t="s">
        <v>304</v>
      </c>
      <c r="C86" s="413" t="s">
        <v>2919</v>
      </c>
      <c r="D86" s="413" t="s">
        <v>2792</v>
      </c>
      <c r="F86" s="413" t="s">
        <v>2638</v>
      </c>
      <c r="G86" s="413" t="s">
        <v>241</v>
      </c>
      <c r="I86" s="942" t="s">
        <v>515</v>
      </c>
      <c r="J86" s="939" t="s">
        <v>2672</v>
      </c>
      <c r="K86" s="939" t="s">
        <v>2793</v>
      </c>
      <c r="L86" s="939" t="s">
        <v>2927</v>
      </c>
      <c r="N86" s="413" t="str">
        <f>Table413[[#This Row],[State]]&amp;Table413[[#This Row],[Acronym]]</f>
        <v>Shan (North)Meikswe MM</v>
      </c>
      <c r="O86" s="413" t="s">
        <v>41</v>
      </c>
    </row>
    <row r="87" spans="2:16">
      <c r="B87" s="157" t="s">
        <v>304</v>
      </c>
      <c r="C87" s="157" t="s">
        <v>604</v>
      </c>
      <c r="D87" s="413" t="s">
        <v>2792</v>
      </c>
      <c r="F87" s="413" t="s">
        <v>2638</v>
      </c>
      <c r="G87" s="413" t="s">
        <v>3378</v>
      </c>
      <c r="I87" s="942" t="s">
        <v>515</v>
      </c>
      <c r="J87" s="996" t="s">
        <v>297</v>
      </c>
      <c r="K87" s="996" t="s">
        <v>3148</v>
      </c>
      <c r="L87" s="939" t="s">
        <v>2928</v>
      </c>
      <c r="N87" s="412" t="str">
        <f>Table413[[#This Row],[State]]&amp;Table413[[#This Row],[Acronym]]</f>
        <v>Shan (North)SCI</v>
      </c>
      <c r="O87" s="413" t="s">
        <v>41</v>
      </c>
    </row>
    <row r="88" spans="2:16">
      <c r="B88" s="157" t="s">
        <v>304</v>
      </c>
      <c r="C88" s="413" t="s">
        <v>241</v>
      </c>
      <c r="D88" s="413" t="s">
        <v>2792</v>
      </c>
      <c r="F88" s="413" t="s">
        <v>3105</v>
      </c>
      <c r="G88" s="413" t="s">
        <v>3105</v>
      </c>
      <c r="I88" s="942" t="s">
        <v>515</v>
      </c>
      <c r="J88" s="939" t="s">
        <v>241</v>
      </c>
      <c r="K88" s="939" t="s">
        <v>3150</v>
      </c>
      <c r="L88" s="940" t="s">
        <v>2932</v>
      </c>
      <c r="M88" s="413" t="s">
        <v>3123</v>
      </c>
      <c r="N88" s="413" t="str">
        <f>Table413[[#This Row],[State]]&amp;Table413[[#This Row],[Acronym]]</f>
        <v>Shan (North)UNICEF</v>
      </c>
      <c r="O88" s="413" t="s">
        <v>136</v>
      </c>
    </row>
    <row r="89" spans="2:16">
      <c r="B89" s="157" t="s">
        <v>304</v>
      </c>
      <c r="C89" s="157" t="s">
        <v>2124</v>
      </c>
      <c r="D89" s="413" t="s">
        <v>2792</v>
      </c>
      <c r="F89" s="413" t="s">
        <v>1280</v>
      </c>
      <c r="G89"/>
      <c r="I89" s="996" t="s">
        <v>2638</v>
      </c>
      <c r="J89" s="996" t="s">
        <v>2802</v>
      </c>
      <c r="K89" s="996" t="s">
        <v>3159</v>
      </c>
      <c r="L89" s="997" t="s">
        <v>2928</v>
      </c>
      <c r="N89" s="412" t="str">
        <f>Table413[[#This Row],[State]]&amp;Table413[[#This Row],[Acronym]]</f>
        <v>Shan (South)ADRA</v>
      </c>
      <c r="O89" s="412" t="s">
        <v>41</v>
      </c>
      <c r="P89" s="413" t="s">
        <v>3382</v>
      </c>
    </row>
    <row r="90" spans="2:16">
      <c r="B90" s="161" t="s">
        <v>2696</v>
      </c>
      <c r="C90" s="413" t="s">
        <v>319</v>
      </c>
      <c r="D90" s="413" t="s">
        <v>2792</v>
      </c>
      <c r="F90"/>
      <c r="G90"/>
      <c r="I90" s="996" t="s">
        <v>2638</v>
      </c>
      <c r="J90" s="996" t="s">
        <v>311</v>
      </c>
      <c r="K90" s="996" t="s">
        <v>3145</v>
      </c>
      <c r="L90" s="997" t="s">
        <v>2928</v>
      </c>
      <c r="N90" s="412" t="str">
        <f>Table413[[#This Row],[State]]&amp;Table413[[#This Row],[Acronym]]</f>
        <v>Shan (South)CARE</v>
      </c>
      <c r="O90" s="412" t="s">
        <v>41</v>
      </c>
      <c r="P90" s="413" t="s">
        <v>3382</v>
      </c>
    </row>
    <row r="91" spans="2:16">
      <c r="B91" s="161" t="s">
        <v>2696</v>
      </c>
      <c r="C91" s="157" t="s">
        <v>2920</v>
      </c>
      <c r="D91" s="413" t="s">
        <v>2792</v>
      </c>
      <c r="F91"/>
      <c r="G91"/>
      <c r="I91" s="996" t="s">
        <v>2638</v>
      </c>
      <c r="J91" s="996" t="s">
        <v>1751</v>
      </c>
      <c r="K91" s="996" t="s">
        <v>3162</v>
      </c>
      <c r="L91" s="997" t="s">
        <v>2927</v>
      </c>
      <c r="N91" s="412" t="str">
        <f>Table413[[#This Row],[State]]&amp;Table413[[#This Row],[Acronym]]</f>
        <v>Shan (South)CDA</v>
      </c>
      <c r="O91" s="412" t="s">
        <v>41</v>
      </c>
      <c r="P91" s="413" t="s">
        <v>3382</v>
      </c>
    </row>
    <row r="92" spans="2:16">
      <c r="B92" s="994" t="s">
        <v>2696</v>
      </c>
      <c r="C92" s="413" t="s">
        <v>36</v>
      </c>
      <c r="D92" s="413" t="s">
        <v>2792</v>
      </c>
      <c r="I92" s="996" t="s">
        <v>2638</v>
      </c>
      <c r="J92" s="996" t="s">
        <v>3389</v>
      </c>
      <c r="K92" s="996" t="s">
        <v>3390</v>
      </c>
      <c r="L92" s="997" t="s">
        <v>2927</v>
      </c>
      <c r="N92" s="412" t="str">
        <f>Table413[[#This Row],[State]]&amp;Table413[[#This Row],[Acronym]]</f>
        <v>Shan (South)GSMF</v>
      </c>
      <c r="O92" s="412" t="s">
        <v>41</v>
      </c>
      <c r="P92" s="413" t="s">
        <v>3382</v>
      </c>
    </row>
    <row r="93" spans="2:16">
      <c r="B93" s="157" t="s">
        <v>2696</v>
      </c>
      <c r="C93" s="157" t="s">
        <v>297</v>
      </c>
      <c r="D93" s="413" t="s">
        <v>3373</v>
      </c>
      <c r="I93" s="942" t="s">
        <v>2638</v>
      </c>
      <c r="J93" s="939" t="s">
        <v>36</v>
      </c>
      <c r="K93" s="939" t="s">
        <v>3143</v>
      </c>
      <c r="L93" s="940" t="s">
        <v>2927</v>
      </c>
      <c r="M93" s="413" t="s">
        <v>3123</v>
      </c>
      <c r="N93" s="413" t="str">
        <f>Table413[[#This Row],[State]]&amp;Table413[[#This Row],[Acronym]]</f>
        <v>Shan (South)KMSS</v>
      </c>
      <c r="O93" s="413" t="s">
        <v>136</v>
      </c>
    </row>
    <row r="94" spans="2:16">
      <c r="B94" s="994" t="s">
        <v>2696</v>
      </c>
      <c r="C94" s="413" t="s">
        <v>2949</v>
      </c>
      <c r="D94" s="413" t="s">
        <v>2792</v>
      </c>
      <c r="I94" s="942" t="s">
        <v>2638</v>
      </c>
      <c r="J94" s="939" t="s">
        <v>3125</v>
      </c>
      <c r="K94" s="939" t="s">
        <v>3175</v>
      </c>
      <c r="L94" s="939" t="s">
        <v>3122</v>
      </c>
      <c r="M94" s="413" t="s">
        <v>3123</v>
      </c>
      <c r="N94" s="413" t="str">
        <f>Table413[[#This Row],[State]]&amp;Table413[[#This Row],[Acronym]]</f>
        <v>Shan (South)MKLDO</v>
      </c>
      <c r="O94" s="413" t="s">
        <v>136</v>
      </c>
    </row>
    <row r="95" spans="2:16">
      <c r="B95" s="157" t="s">
        <v>515</v>
      </c>
      <c r="C95" s="157" t="s">
        <v>311</v>
      </c>
      <c r="D95" s="413" t="s">
        <v>2792</v>
      </c>
      <c r="I95" s="996" t="s">
        <v>2638</v>
      </c>
      <c r="J95" s="996" t="s">
        <v>355</v>
      </c>
      <c r="K95" s="996" t="s">
        <v>3166</v>
      </c>
      <c r="L95" s="997" t="s">
        <v>2928</v>
      </c>
      <c r="N95" s="412" t="str">
        <f>Table413[[#This Row],[State]]&amp;Table413[[#This Row],[Acronym]]</f>
        <v>Shan (South)Oxfam</v>
      </c>
      <c r="O95" s="412" t="s">
        <v>41</v>
      </c>
      <c r="P95" s="413" t="s">
        <v>3382</v>
      </c>
    </row>
    <row r="96" spans="2:16">
      <c r="B96" s="157" t="s">
        <v>2638</v>
      </c>
      <c r="C96" s="157" t="s">
        <v>2802</v>
      </c>
      <c r="D96" s="413" t="s">
        <v>3373</v>
      </c>
      <c r="I96" s="996" t="s">
        <v>2638</v>
      </c>
      <c r="J96" s="996" t="s">
        <v>3377</v>
      </c>
      <c r="K96" s="996" t="s">
        <v>3386</v>
      </c>
      <c r="L96" s="997" t="s">
        <v>3122</v>
      </c>
      <c r="N96" s="412" t="str">
        <f>Table413[[#This Row],[State]]&amp;Table413[[#This Row],[Acronym]]</f>
        <v>Shan (South)PDN</v>
      </c>
      <c r="O96" s="412" t="s">
        <v>41</v>
      </c>
      <c r="P96" s="413" t="s">
        <v>3382</v>
      </c>
    </row>
    <row r="97" spans="2:16">
      <c r="B97" s="157" t="s">
        <v>2638</v>
      </c>
      <c r="C97" s="157" t="s">
        <v>1751</v>
      </c>
      <c r="D97" s="413" t="s">
        <v>3373</v>
      </c>
      <c r="I97" s="942" t="s">
        <v>2638</v>
      </c>
      <c r="J97" s="939" t="s">
        <v>358</v>
      </c>
      <c r="K97" s="939" t="s">
        <v>3167</v>
      </c>
      <c r="L97" s="940" t="s">
        <v>2928</v>
      </c>
      <c r="M97" s="413" t="s">
        <v>3123</v>
      </c>
      <c r="N97" s="413" t="str">
        <f>Table413[[#This Row],[State]]&amp;Table413[[#This Row],[Acronym]]</f>
        <v>Shan (South)RI</v>
      </c>
      <c r="O97" s="413" t="s">
        <v>136</v>
      </c>
    </row>
    <row r="98" spans="2:16">
      <c r="B98" s="157" t="s">
        <v>2638</v>
      </c>
      <c r="C98" s="157" t="s">
        <v>3372</v>
      </c>
      <c r="D98" s="413" t="s">
        <v>3373</v>
      </c>
      <c r="I98" s="996" t="s">
        <v>2638</v>
      </c>
      <c r="J98" s="996" t="s">
        <v>3376</v>
      </c>
      <c r="K98" s="996" t="s">
        <v>3376</v>
      </c>
      <c r="L98" s="997" t="s">
        <v>2927</v>
      </c>
      <c r="N98" s="412" t="str">
        <f>Table413[[#This Row],[State]]&amp;Table413[[#This Row],[Acronym]]</f>
        <v>Shan (South)Shwe Inn Thu</v>
      </c>
      <c r="O98" s="412" t="s">
        <v>41</v>
      </c>
      <c r="P98" s="413" t="s">
        <v>3382</v>
      </c>
    </row>
    <row r="99" spans="2:16">
      <c r="B99" s="157" t="s">
        <v>2638</v>
      </c>
      <c r="C99" s="157" t="s">
        <v>355</v>
      </c>
      <c r="D99" s="413" t="s">
        <v>3373</v>
      </c>
      <c r="I99" s="996" t="s">
        <v>2638</v>
      </c>
      <c r="J99" s="996" t="s">
        <v>3379</v>
      </c>
      <c r="K99" s="996" t="s">
        <v>3387</v>
      </c>
      <c r="L99" s="997" t="s">
        <v>2927</v>
      </c>
      <c r="N99" s="412" t="str">
        <f>Table413[[#This Row],[State]]&amp;Table413[[#This Row],[Acronym]]</f>
        <v>Shan (South)SKSHG</v>
      </c>
      <c r="O99" s="412" t="s">
        <v>41</v>
      </c>
      <c r="P99" s="413" t="s">
        <v>3382</v>
      </c>
    </row>
    <row r="100" spans="2:16">
      <c r="B100" s="994" t="s">
        <v>2638</v>
      </c>
      <c r="C100" s="157" t="s">
        <v>3377</v>
      </c>
      <c r="D100" s="413" t="s">
        <v>3373</v>
      </c>
      <c r="I100" s="942" t="s">
        <v>2638</v>
      </c>
      <c r="J100" s="939" t="s">
        <v>3124</v>
      </c>
      <c r="K100" s="939" t="s">
        <v>3158</v>
      </c>
      <c r="L100" s="943" t="s">
        <v>2928</v>
      </c>
      <c r="M100" s="413" t="s">
        <v>3123</v>
      </c>
      <c r="N100" s="413" t="str">
        <f>Table413[[#This Row],[State]]&amp;Table413[[#This Row],[Acronym]]</f>
        <v>Shan (South)Suwannimit</v>
      </c>
      <c r="O100" s="413" t="s">
        <v>136</v>
      </c>
    </row>
    <row r="101" spans="2:16">
      <c r="B101" s="161" t="s">
        <v>2638</v>
      </c>
      <c r="C101" s="157" t="s">
        <v>358</v>
      </c>
      <c r="D101" s="413" t="s">
        <v>3373</v>
      </c>
      <c r="I101" s="942" t="s">
        <v>2638</v>
      </c>
      <c r="J101" s="939" t="s">
        <v>241</v>
      </c>
      <c r="K101" s="939" t="s">
        <v>3150</v>
      </c>
      <c r="L101" s="940" t="s">
        <v>2932</v>
      </c>
      <c r="M101" s="413" t="s">
        <v>3123</v>
      </c>
      <c r="N101" s="413" t="str">
        <f>Table413[[#This Row],[State]]&amp;Table413[[#This Row],[Acronym]]</f>
        <v>Shan (South)UNICEF</v>
      </c>
      <c r="O101" s="413" t="s">
        <v>136</v>
      </c>
    </row>
    <row r="102" spans="2:16">
      <c r="B102" s="994" t="s">
        <v>2638</v>
      </c>
      <c r="C102" s="157" t="s">
        <v>3376</v>
      </c>
      <c r="D102" s="413" t="s">
        <v>3373</v>
      </c>
      <c r="I102" s="996" t="s">
        <v>2638</v>
      </c>
      <c r="J102" s="996" t="s">
        <v>3378</v>
      </c>
      <c r="K102" s="996" t="s">
        <v>3391</v>
      </c>
      <c r="L102" s="997" t="s">
        <v>3392</v>
      </c>
      <c r="N102" s="412" t="str">
        <f>Table413[[#This Row],[State]]&amp;Table413[[#This Row],[Acronym]]</f>
        <v>Shan (South)YVO</v>
      </c>
      <c r="O102" s="412" t="s">
        <v>41</v>
      </c>
      <c r="P102" s="413" t="s">
        <v>3382</v>
      </c>
    </row>
    <row r="103" spans="2:16">
      <c r="B103" s="994" t="s">
        <v>2638</v>
      </c>
      <c r="C103" s="157" t="s">
        <v>3379</v>
      </c>
      <c r="D103" s="413" t="s">
        <v>3373</v>
      </c>
      <c r="I103" s="939" t="s">
        <v>2699</v>
      </c>
      <c r="J103" s="939" t="s">
        <v>3118</v>
      </c>
      <c r="K103" s="939" t="s">
        <v>3119</v>
      </c>
      <c r="L103" s="940" t="s">
        <v>2927</v>
      </c>
      <c r="M103" s="413" t="s">
        <v>3123</v>
      </c>
      <c r="N103" s="413" t="str">
        <f>Table413[[#This Row],[State]]&amp;Table413[[#This Row],[Acronym]]</f>
        <v>YangonMARC</v>
      </c>
      <c r="O103" s="413" t="s">
        <v>41</v>
      </c>
    </row>
    <row r="104" spans="2:16">
      <c r="B104" s="994" t="s">
        <v>2638</v>
      </c>
      <c r="C104" s="157" t="s">
        <v>241</v>
      </c>
      <c r="D104" s="413" t="s">
        <v>3373</v>
      </c>
      <c r="I104" s="939" t="s">
        <v>2699</v>
      </c>
      <c r="J104" s="939" t="s">
        <v>241</v>
      </c>
      <c r="K104" s="939" t="s">
        <v>3150</v>
      </c>
      <c r="L104" s="940" t="s">
        <v>2932</v>
      </c>
      <c r="M104" s="413" t="s">
        <v>3123</v>
      </c>
      <c r="N104" s="413" t="str">
        <f>Table413[[#This Row],[State]]&amp;Table413[[#This Row],[Acronym]]</f>
        <v>YangonUNICEF</v>
      </c>
      <c r="O104" s="413" t="s">
        <v>41</v>
      </c>
    </row>
    <row r="105" spans="2:16">
      <c r="B105" s="157" t="s">
        <v>2638</v>
      </c>
      <c r="C105" s="157" t="s">
        <v>3378</v>
      </c>
      <c r="D105" s="413" t="s">
        <v>3373</v>
      </c>
      <c r="I105" s="942" t="s">
        <v>2699</v>
      </c>
      <c r="J105" s="939" t="s">
        <v>3117</v>
      </c>
      <c r="K105" s="939" t="s">
        <v>3176</v>
      </c>
      <c r="L105" s="940" t="s">
        <v>2928</v>
      </c>
      <c r="M105" s="413" t="s">
        <v>3123</v>
      </c>
      <c r="N105" s="413" t="str">
        <f>Table413[[#This Row],[State]]&amp;Table413[[#This Row],[Acronym]]</f>
        <v>YangonWAMM</v>
      </c>
      <c r="O105" s="413" t="s">
        <v>41</v>
      </c>
    </row>
    <row r="106" spans="2:16">
      <c r="B106" s="157"/>
      <c r="C106" s="157"/>
    </row>
  </sheetData>
  <phoneticPr fontId="147" type="noConversion"/>
  <conditionalFormatting sqref="J13:J24">
    <cfRule type="duplicateValues" dxfId="111" priority="4"/>
  </conditionalFormatting>
  <conditionalFormatting sqref="J25:J31">
    <cfRule type="duplicateValues" dxfId="110" priority="3"/>
  </conditionalFormatting>
  <conditionalFormatting sqref="J32:J37">
    <cfRule type="duplicateValues" dxfId="109" priority="2"/>
  </conditionalFormatting>
  <conditionalFormatting sqref="J45:J73">
    <cfRule type="duplicateValues" dxfId="108" priority="13723"/>
  </conditionalFormatting>
  <pageMargins left="0.7" right="0.7" top="0.75" bottom="0.75" header="0.3" footer="0.3"/>
  <pageSetup orientation="portrait" r:id="rId2"/>
  <tableParts count="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F168"/>
  <sheetViews>
    <sheetView showGridLines="0" tabSelected="1" view="pageBreakPreview" topLeftCell="A55" zoomScale="70" zoomScaleNormal="60" zoomScaleSheetLayoutView="70" workbookViewId="0">
      <selection activeCell="Z92" sqref="Z92"/>
    </sheetView>
  </sheetViews>
  <sheetFormatPr defaultColWidth="9" defaultRowHeight="13"/>
  <cols>
    <col min="1" max="1" width="1.1640625" style="17" customWidth="1"/>
    <col min="2" max="2" width="11.6640625" style="17" customWidth="1"/>
    <col min="3" max="3" width="24.6640625" style="17" customWidth="1"/>
    <col min="4" max="4" width="9.08203125" style="17" customWidth="1"/>
    <col min="5" max="5" width="13.08203125" style="17" customWidth="1"/>
    <col min="6" max="6" width="11.33203125" style="17" customWidth="1"/>
    <col min="7" max="7" width="12.08203125" style="17" customWidth="1"/>
    <col min="8" max="8" width="12.83203125" style="17" customWidth="1"/>
    <col min="9" max="11" width="9" style="17"/>
    <col min="12" max="12" width="8" style="17" customWidth="1"/>
    <col min="13" max="13" width="11.58203125" style="17" customWidth="1"/>
    <col min="14" max="14" width="8" style="17" customWidth="1"/>
    <col min="15" max="15" width="14.08203125" style="17" customWidth="1"/>
    <col min="16" max="16" width="22.6640625" style="17" customWidth="1"/>
    <col min="17" max="17" width="8" style="17" customWidth="1"/>
    <col min="18" max="19" width="9" style="17"/>
    <col min="20" max="20" width="5" style="17" customWidth="1"/>
    <col min="21" max="21" width="1.6640625" style="17" customWidth="1"/>
    <col min="22" max="26" width="8.08203125" style="17" customWidth="1"/>
    <col min="27" max="27" width="16.08203125" style="17" bestFit="1" customWidth="1"/>
    <col min="28" max="28" width="9" style="17"/>
    <col min="29" max="29" width="21.6640625" style="17" bestFit="1" customWidth="1"/>
    <col min="30" max="30" width="7.1640625" style="17" customWidth="1"/>
    <col min="31" max="16384" width="9" style="17"/>
  </cols>
  <sheetData>
    <row r="1" spans="2:32" ht="42.75" customHeight="1">
      <c r="B1" s="1200" t="s">
        <v>3400</v>
      </c>
      <c r="C1" s="1200"/>
      <c r="D1" s="1200"/>
      <c r="E1" s="1200"/>
      <c r="F1" s="1200"/>
      <c r="G1" s="1200"/>
      <c r="H1" s="1200"/>
      <c r="I1" s="1200"/>
      <c r="J1" s="1200"/>
      <c r="K1" s="1200"/>
      <c r="L1" s="1200"/>
      <c r="M1" s="1200"/>
      <c r="N1" s="1200"/>
      <c r="O1" s="1200"/>
      <c r="P1" s="1200"/>
      <c r="Q1" s="1200"/>
      <c r="R1" s="1200"/>
      <c r="S1" s="1200"/>
      <c r="T1" s="1200"/>
      <c r="U1" s="155"/>
      <c r="V1" s="155"/>
      <c r="W1" s="155"/>
      <c r="X1" s="155"/>
      <c r="Y1" s="155"/>
      <c r="Z1" s="155"/>
      <c r="AA1" s="155"/>
      <c r="AB1" s="155"/>
      <c r="AC1" s="155"/>
      <c r="AD1" s="155"/>
      <c r="AE1" s="155"/>
      <c r="AF1" s="155"/>
    </row>
    <row r="26" ht="20.25" customHeight="1"/>
    <row r="29" ht="20.25" customHeight="1"/>
    <row r="31" ht="29.25" customHeight="1"/>
    <row r="34" spans="1:25" ht="58">
      <c r="B34" s="672" t="s">
        <v>2342</v>
      </c>
      <c r="C34" s="673" t="s">
        <v>1492</v>
      </c>
      <c r="D34" s="672" t="s">
        <v>2556</v>
      </c>
      <c r="E34" s="673" t="s">
        <v>1482</v>
      </c>
      <c r="F34" s="672" t="s">
        <v>1493</v>
      </c>
      <c r="G34" s="673" t="s">
        <v>1494</v>
      </c>
      <c r="H34" s="672" t="s">
        <v>1495</v>
      </c>
    </row>
    <row r="35" spans="1:25" ht="14.5">
      <c r="B35" s="1017" t="s">
        <v>195</v>
      </c>
      <c r="C35" s="1018" t="s">
        <v>3225</v>
      </c>
      <c r="D35" s="1019">
        <v>8</v>
      </c>
      <c r="E35" s="1020">
        <v>6206</v>
      </c>
      <c r="F35" s="1021">
        <v>5.2207541089268394E-2</v>
      </c>
      <c r="G35" s="1021">
        <v>0.18530454398968743</v>
      </c>
      <c r="H35" s="1022">
        <v>4.7051240734772848E-2</v>
      </c>
    </row>
    <row r="36" spans="1:25" ht="14.5">
      <c r="B36" s="1017" t="s">
        <v>146</v>
      </c>
      <c r="C36" s="1018" t="s">
        <v>3226</v>
      </c>
      <c r="D36" s="1019">
        <v>3</v>
      </c>
      <c r="E36" s="1020">
        <v>2678</v>
      </c>
      <c r="F36" s="1021">
        <v>0.35685835200398297</v>
      </c>
      <c r="G36" s="1021">
        <v>0.26474981329350267</v>
      </c>
      <c r="H36" s="1022">
        <v>0.29611650485436891</v>
      </c>
    </row>
    <row r="37" spans="1:25" ht="14.5">
      <c r="B37" s="1017" t="s">
        <v>148</v>
      </c>
      <c r="C37" s="1018" t="s">
        <v>3227</v>
      </c>
      <c r="D37" s="1019">
        <v>14</v>
      </c>
      <c r="E37" s="1020">
        <v>3504</v>
      </c>
      <c r="F37" s="1021">
        <v>0</v>
      </c>
      <c r="G37" s="1021">
        <v>0.2057648401826484</v>
      </c>
      <c r="H37" s="1022">
        <v>2.9965753424657571E-2</v>
      </c>
    </row>
    <row r="38" spans="1:25" ht="14.5">
      <c r="B38" s="1017" t="s">
        <v>586</v>
      </c>
      <c r="C38" s="1017" t="s">
        <v>2634</v>
      </c>
      <c r="D38" s="1023">
        <v>1</v>
      </c>
      <c r="E38" s="1024">
        <v>591</v>
      </c>
      <c r="F38" s="1025">
        <v>0</v>
      </c>
      <c r="G38" s="1025">
        <v>0</v>
      </c>
      <c r="H38" s="1026">
        <v>0</v>
      </c>
    </row>
    <row r="39" spans="1:25" ht="14.5">
      <c r="B39" s="1017" t="s">
        <v>38</v>
      </c>
      <c r="C39" s="1018" t="s">
        <v>3181</v>
      </c>
      <c r="D39" s="1023">
        <v>10</v>
      </c>
      <c r="E39" s="1020">
        <v>12952</v>
      </c>
      <c r="F39" s="1021">
        <v>0.11411365040148236</v>
      </c>
      <c r="G39" s="1021">
        <v>7.0877084620135866E-2</v>
      </c>
      <c r="H39" s="1022">
        <v>0.49891908585546629</v>
      </c>
    </row>
    <row r="40" spans="1:25" ht="14.5">
      <c r="B40" s="1017" t="s">
        <v>152</v>
      </c>
      <c r="C40" s="1018" t="s">
        <v>3178</v>
      </c>
      <c r="D40" s="1019">
        <v>7</v>
      </c>
      <c r="E40" s="1020">
        <v>1382</v>
      </c>
      <c r="F40" s="1021">
        <v>0</v>
      </c>
      <c r="G40" s="1021">
        <v>0.11794500723588996</v>
      </c>
      <c r="H40" s="1022">
        <v>0</v>
      </c>
    </row>
    <row r="41" spans="1:25" ht="14.5">
      <c r="B41" s="1017" t="s">
        <v>157</v>
      </c>
      <c r="C41" s="1018" t="s">
        <v>3127</v>
      </c>
      <c r="D41" s="1019">
        <v>1</v>
      </c>
      <c r="E41" s="1020">
        <v>58</v>
      </c>
      <c r="F41" s="1021">
        <v>0</v>
      </c>
      <c r="G41" s="1021">
        <v>0</v>
      </c>
      <c r="H41" s="1022">
        <v>0</v>
      </c>
    </row>
    <row r="42" spans="1:25" ht="14.5">
      <c r="B42" s="1017" t="s">
        <v>205</v>
      </c>
      <c r="C42" s="1018" t="s">
        <v>3182</v>
      </c>
      <c r="D42" s="1019">
        <v>21</v>
      </c>
      <c r="E42" s="1020">
        <v>25025</v>
      </c>
      <c r="F42" s="1021">
        <v>0.50263070263070264</v>
      </c>
      <c r="G42" s="1021">
        <v>0.17394605394605389</v>
      </c>
      <c r="H42" s="1022">
        <v>0.36819180819180819</v>
      </c>
    </row>
    <row r="43" spans="1:25" ht="29">
      <c r="B43" s="1017" t="s">
        <v>159</v>
      </c>
      <c r="C43" s="1018" t="s">
        <v>3228</v>
      </c>
      <c r="D43" s="1019">
        <v>24</v>
      </c>
      <c r="E43" s="1020">
        <v>9008</v>
      </c>
      <c r="F43" s="1021">
        <v>0</v>
      </c>
      <c r="G43" s="1021">
        <v>0.18383658969804617</v>
      </c>
      <c r="H43" s="1022">
        <v>0.17162522202486674</v>
      </c>
    </row>
    <row r="44" spans="1:25" ht="14.5">
      <c r="B44" s="1017" t="s">
        <v>214</v>
      </c>
      <c r="C44" s="1018" t="s">
        <v>3183</v>
      </c>
      <c r="D44" s="1019">
        <v>2</v>
      </c>
      <c r="E44" s="1020">
        <v>482</v>
      </c>
      <c r="F44" s="1021">
        <v>0</v>
      </c>
      <c r="G44" s="1021">
        <v>0</v>
      </c>
      <c r="H44" s="1022">
        <v>0.18049792531120334</v>
      </c>
    </row>
    <row r="45" spans="1:25" ht="14.5">
      <c r="B45" s="1017" t="s">
        <v>184</v>
      </c>
      <c r="C45" s="1018" t="s">
        <v>3127</v>
      </c>
      <c r="D45" s="1019">
        <v>2</v>
      </c>
      <c r="E45" s="1020">
        <v>926</v>
      </c>
      <c r="F45" s="1021">
        <v>0</v>
      </c>
      <c r="G45" s="1021">
        <v>0</v>
      </c>
      <c r="H45" s="1022">
        <v>0</v>
      </c>
    </row>
    <row r="46" spans="1:25" ht="15.5">
      <c r="B46" s="1017" t="s">
        <v>858</v>
      </c>
      <c r="C46" s="1018" t="s">
        <v>3177</v>
      </c>
      <c r="D46" s="1019">
        <v>3</v>
      </c>
      <c r="E46" s="1020">
        <v>1077</v>
      </c>
      <c r="F46" s="1021">
        <v>0</v>
      </c>
      <c r="G46" s="1021">
        <v>0.74001857010213556</v>
      </c>
      <c r="H46" s="1022">
        <v>0.11884865366759512</v>
      </c>
      <c r="V46" s="413"/>
      <c r="W46" s="413"/>
      <c r="X46" s="413"/>
      <c r="Y46" s="413"/>
    </row>
    <row r="47" spans="1:25" ht="29.5" thickBot="1">
      <c r="B47" s="1017" t="s">
        <v>142</v>
      </c>
      <c r="C47" s="1018" t="s">
        <v>3229</v>
      </c>
      <c r="D47" s="1019">
        <v>23</v>
      </c>
      <c r="E47" s="1020">
        <v>26645</v>
      </c>
      <c r="F47" s="1021">
        <v>0.62813522097815588</v>
      </c>
      <c r="G47" s="1021">
        <v>0.30227059485832242</v>
      </c>
      <c r="H47" s="1022">
        <v>0.27978982923625451</v>
      </c>
      <c r="V47" s="413"/>
      <c r="W47" s="413"/>
      <c r="X47" s="413"/>
      <c r="Y47" s="413"/>
    </row>
    <row r="48" spans="1:25" ht="18.75" customHeight="1" thickTop="1">
      <c r="A48" s="623"/>
      <c r="B48" s="1007"/>
      <c r="C48" s="1008" t="s">
        <v>1483</v>
      </c>
      <c r="D48" s="1009">
        <v>119</v>
      </c>
      <c r="E48" s="1009">
        <v>90534</v>
      </c>
      <c r="F48" s="1010">
        <v>0.34957764997639518</v>
      </c>
      <c r="G48" s="1010">
        <v>0.2095234939359798</v>
      </c>
      <c r="H48" s="1011">
        <v>0.28809066207170786</v>
      </c>
      <c r="Y48" s="413"/>
    </row>
    <row r="49" spans="1:27" ht="32" customHeight="1" thickBot="1">
      <c r="A49" s="624"/>
      <c r="Y49" s="413"/>
    </row>
    <row r="50" spans="1:27" ht="58.5" thickTop="1">
      <c r="A50" s="928"/>
      <c r="B50" s="672" t="s">
        <v>2344</v>
      </c>
      <c r="C50" s="671" t="s">
        <v>1492</v>
      </c>
      <c r="D50" s="1041" t="s">
        <v>2557</v>
      </c>
      <c r="E50" s="671" t="s">
        <v>1482</v>
      </c>
      <c r="F50" s="672" t="s">
        <v>1493</v>
      </c>
      <c r="G50" s="671" t="s">
        <v>1494</v>
      </c>
      <c r="H50" s="672" t="s">
        <v>1495</v>
      </c>
      <c r="Y50" s="413"/>
    </row>
    <row r="51" spans="1:27" ht="18.75" customHeight="1">
      <c r="A51" s="929"/>
      <c r="B51" s="1027" t="s">
        <v>195</v>
      </c>
      <c r="C51" s="1027" t="s">
        <v>36</v>
      </c>
      <c r="D51" s="1028">
        <v>1</v>
      </c>
      <c r="E51" s="1029">
        <v>134</v>
      </c>
      <c r="F51" s="1033">
        <v>0</v>
      </c>
      <c r="G51" s="1033">
        <v>1</v>
      </c>
      <c r="H51" s="1033">
        <v>0.9925373134328358</v>
      </c>
      <c r="Y51" s="413"/>
    </row>
    <row r="52" spans="1:27" ht="18.75" customHeight="1" thickBot="1">
      <c r="A52" s="929"/>
      <c r="B52" s="1030" t="s">
        <v>38</v>
      </c>
      <c r="C52" s="1030" t="s">
        <v>3403</v>
      </c>
      <c r="D52" s="1031">
        <v>7</v>
      </c>
      <c r="E52" s="1032">
        <v>1088</v>
      </c>
      <c r="F52" s="1034">
        <v>0.27849264705882348</v>
      </c>
      <c r="G52" s="1034">
        <v>0.74356617647058831</v>
      </c>
      <c r="H52" s="1034">
        <v>0.74816176470588236</v>
      </c>
      <c r="Y52" s="413"/>
    </row>
    <row r="53" spans="1:27" ht="18.75" customHeight="1" thickTop="1">
      <c r="A53" s="929"/>
      <c r="B53" s="1012" t="s">
        <v>1280</v>
      </c>
      <c r="C53" s="1013"/>
      <c r="D53" s="1014">
        <v>8</v>
      </c>
      <c r="E53" s="1014">
        <v>1222</v>
      </c>
      <c r="F53" s="1015">
        <v>0.24795417348608839</v>
      </c>
      <c r="G53" s="1015">
        <v>0.77168576104746323</v>
      </c>
      <c r="H53" s="1016">
        <v>0.77495908346972175</v>
      </c>
      <c r="Y53" s="413"/>
    </row>
    <row r="54" spans="1:27" ht="18.75" customHeight="1">
      <c r="A54" s="929"/>
      <c r="Y54" s="413"/>
    </row>
    <row r="55" spans="1:27" ht="15.5">
      <c r="A55" s="623"/>
      <c r="Y55" s="413"/>
    </row>
    <row r="56" spans="1:27" ht="25.75" customHeight="1">
      <c r="A56" s="624"/>
      <c r="Y56" s="413"/>
    </row>
    <row r="57" spans="1:27" ht="15.5">
      <c r="A57" s="624"/>
      <c r="Y57" s="413"/>
    </row>
    <row r="58" spans="1:27" ht="18.75" customHeight="1">
      <c r="A58" s="623"/>
      <c r="Y58" s="413"/>
    </row>
    <row r="59" spans="1:27" ht="18.75" customHeight="1">
      <c r="A59" s="625"/>
      <c r="Y59" s="413"/>
    </row>
    <row r="60" spans="1:27" ht="31" customHeight="1">
      <c r="A60" s="624"/>
      <c r="Y60" s="413"/>
    </row>
    <row r="61" spans="1:27" ht="28.5" customHeight="1">
      <c r="A61" s="623"/>
      <c r="Y61" s="413"/>
    </row>
    <row r="62" spans="1:27" ht="11" customHeight="1">
      <c r="V62" s="413"/>
      <c r="W62" s="413"/>
      <c r="X62" s="413"/>
      <c r="Y62" s="413"/>
    </row>
    <row r="63" spans="1:27" ht="40.5" customHeight="1">
      <c r="Y63"/>
      <c r="Z63"/>
      <c r="AA63"/>
    </row>
    <row r="64" spans="1:27" ht="15.5">
      <c r="Y64" s="413"/>
      <c r="Z64" s="413"/>
      <c r="AA64" s="413"/>
    </row>
    <row r="65" spans="2:27" ht="15.5">
      <c r="Y65" s="413"/>
      <c r="Z65" s="413"/>
      <c r="AA65" s="413"/>
    </row>
    <row r="66" spans="2:27" ht="15.5">
      <c r="Y66"/>
      <c r="Z66"/>
      <c r="AA66"/>
    </row>
    <row r="67" spans="2:27" ht="15.5">
      <c r="Y67"/>
      <c r="Z67"/>
      <c r="AA67"/>
    </row>
    <row r="68" spans="2:27" ht="15.5">
      <c r="B68"/>
      <c r="C68"/>
      <c r="Y68"/>
      <c r="Z68"/>
      <c r="AA68"/>
    </row>
    <row r="69" spans="2:27" ht="15.5">
      <c r="B69"/>
      <c r="C69"/>
      <c r="Y69"/>
      <c r="Z69"/>
      <c r="AA69"/>
    </row>
    <row r="70" spans="2:27" ht="15.5">
      <c r="B70"/>
      <c r="C70"/>
      <c r="Y70"/>
      <c r="Z70"/>
      <c r="AA70"/>
    </row>
    <row r="71" spans="2:27" ht="15.5">
      <c r="B71"/>
      <c r="C71"/>
      <c r="Y71"/>
      <c r="Z71"/>
      <c r="AA71"/>
    </row>
    <row r="72" spans="2:27" ht="15.5">
      <c r="B72"/>
      <c r="C72"/>
      <c r="Y72"/>
      <c r="Z72"/>
      <c r="AA72"/>
    </row>
    <row r="73" spans="2:27" ht="15.5">
      <c r="B73"/>
      <c r="C73"/>
      <c r="Y73"/>
      <c r="Z73"/>
      <c r="AA73"/>
    </row>
    <row r="74" spans="2:27" ht="15.5">
      <c r="B74"/>
      <c r="C74"/>
      <c r="Y74"/>
      <c r="Z74"/>
      <c r="AA74"/>
    </row>
    <row r="75" spans="2:27" ht="15.5">
      <c r="B75"/>
      <c r="C75"/>
      <c r="Y75"/>
      <c r="Z75"/>
      <c r="AA75"/>
    </row>
    <row r="76" spans="2:27" ht="23.5" customHeight="1">
      <c r="B76"/>
      <c r="C76"/>
      <c r="Y76"/>
      <c r="Z76"/>
      <c r="AA76"/>
    </row>
    <row r="77" spans="2:27" ht="15.5">
      <c r="Y77"/>
      <c r="Z77"/>
      <c r="AA77"/>
    </row>
    <row r="78" spans="2:27" ht="15.5">
      <c r="Y78"/>
      <c r="Z78"/>
      <c r="AA78"/>
    </row>
    <row r="79" spans="2:27" ht="15.5">
      <c r="Y79"/>
      <c r="Z79"/>
      <c r="AA79"/>
    </row>
    <row r="80" spans="2:27" ht="15.5">
      <c r="Y80"/>
      <c r="Z80"/>
      <c r="AA80"/>
    </row>
    <row r="81" spans="22:27" ht="15.5">
      <c r="V81" s="747"/>
      <c r="Y81"/>
      <c r="Z81"/>
      <c r="AA81"/>
    </row>
    <row r="82" spans="22:27" ht="15.5">
      <c r="Y82"/>
      <c r="Z82"/>
      <c r="AA82"/>
    </row>
    <row r="83" spans="22:27" ht="15.5">
      <c r="Y83"/>
      <c r="Z83"/>
      <c r="AA83"/>
    </row>
    <row r="84" spans="22:27" ht="24.5" customHeight="1">
      <c r="Y84"/>
      <c r="Z84"/>
      <c r="AA84"/>
    </row>
    <row r="85" spans="22:27" ht="15.5">
      <c r="Y85"/>
      <c r="Z85"/>
      <c r="AA85"/>
    </row>
    <row r="86" spans="22:27" ht="15.5">
      <c r="Y86"/>
      <c r="Z86"/>
      <c r="AA86"/>
    </row>
    <row r="87" spans="22:27" ht="15.5">
      <c r="Y87"/>
      <c r="Z87"/>
      <c r="AA87"/>
    </row>
    <row r="88" spans="22:27" ht="15.5">
      <c r="Y88"/>
      <c r="Z88"/>
      <c r="AA88"/>
    </row>
    <row r="89" spans="22:27" ht="15.5">
      <c r="Y89"/>
      <c r="Z89"/>
      <c r="AA89"/>
    </row>
    <row r="90" spans="22:27" ht="15.5">
      <c r="Y90"/>
      <c r="Z90"/>
      <c r="AA90"/>
    </row>
    <row r="91" spans="22:27" ht="15.5">
      <c r="Y91"/>
      <c r="Z91"/>
      <c r="AA91"/>
    </row>
    <row r="92" spans="22:27" ht="15.5">
      <c r="Y92"/>
      <c r="Z92"/>
      <c r="AA92"/>
    </row>
    <row r="93" spans="22:27" ht="15.5">
      <c r="Y93"/>
      <c r="Z93"/>
      <c r="AA93"/>
    </row>
    <row r="94" spans="22:27" ht="15.5">
      <c r="Y94"/>
      <c r="Z94"/>
      <c r="AA94"/>
    </row>
    <row r="95" spans="22:27" ht="15.5">
      <c r="Y95"/>
      <c r="Z95"/>
      <c r="AA95"/>
    </row>
    <row r="96" spans="22:27" ht="15.5">
      <c r="Y96"/>
      <c r="Z96"/>
      <c r="AA96"/>
    </row>
    <row r="97" spans="25:27" ht="15.5">
      <c r="Y97"/>
      <c r="Z97"/>
      <c r="AA97"/>
    </row>
    <row r="98" spans="25:27" ht="15.5">
      <c r="Y98"/>
      <c r="Z98"/>
      <c r="AA98"/>
    </row>
    <row r="99" spans="25:27" ht="15.5">
      <c r="Y99"/>
      <c r="Z99"/>
      <c r="AA99"/>
    </row>
    <row r="100" spans="25:27" ht="15.5">
      <c r="Y100"/>
      <c r="Z100"/>
      <c r="AA100"/>
    </row>
    <row r="101" spans="25:27" ht="15.5">
      <c r="Y101"/>
      <c r="Z101"/>
      <c r="AA101"/>
    </row>
    <row r="102" spans="25:27" ht="15.5">
      <c r="Y102"/>
      <c r="Z102"/>
      <c r="AA102"/>
    </row>
    <row r="103" spans="25:27" ht="15.5">
      <c r="Y103"/>
      <c r="Z103"/>
      <c r="AA103"/>
    </row>
    <row r="104" spans="25:27" ht="15.5">
      <c r="Y104"/>
      <c r="Z104"/>
      <c r="AA104"/>
    </row>
    <row r="105" spans="25:27" ht="15.5">
      <c r="Y105"/>
      <c r="Z105"/>
      <c r="AA105"/>
    </row>
    <row r="106" spans="25:27" ht="15.5">
      <c r="Y106"/>
      <c r="Z106"/>
      <c r="AA106"/>
    </row>
    <row r="107" spans="25:27" ht="26.5" customHeight="1">
      <c r="Y107"/>
      <c r="Z107"/>
      <c r="AA107"/>
    </row>
    <row r="108" spans="25:27" ht="15.5">
      <c r="Y108"/>
      <c r="Z108"/>
      <c r="AA108"/>
    </row>
    <row r="109" spans="25:27" ht="15.5">
      <c r="Y109"/>
      <c r="Z109"/>
      <c r="AA109"/>
    </row>
    <row r="110" spans="25:27" ht="15.5">
      <c r="Y110"/>
      <c r="Z110"/>
      <c r="AA110"/>
    </row>
    <row r="111" spans="25:27" ht="15.5">
      <c r="Y111"/>
      <c r="Z111"/>
      <c r="AA111"/>
    </row>
    <row r="112" spans="25:27" ht="15.5">
      <c r="Y112"/>
      <c r="Z112"/>
      <c r="AA112"/>
    </row>
    <row r="113" spans="25:27" ht="15.5">
      <c r="Y113"/>
      <c r="Z113"/>
      <c r="AA113"/>
    </row>
    <row r="114" spans="25:27" ht="15.5">
      <c r="Y114"/>
      <c r="Z114"/>
      <c r="AA114"/>
    </row>
    <row r="115" spans="25:27" ht="15.5">
      <c r="Y115"/>
      <c r="Z115"/>
      <c r="AA115"/>
    </row>
    <row r="116" spans="25:27" ht="15.5">
      <c r="Y116"/>
      <c r="Z116"/>
      <c r="AA116"/>
    </row>
    <row r="117" spans="25:27" ht="15.5">
      <c r="Y117"/>
      <c r="Z117"/>
      <c r="AA117"/>
    </row>
    <row r="118" spans="25:27" ht="15.5">
      <c r="Y118"/>
      <c r="Z118"/>
      <c r="AA118"/>
    </row>
    <row r="119" spans="25:27" ht="15.5">
      <c r="Y119"/>
      <c r="Z119"/>
      <c r="AA119"/>
    </row>
    <row r="120" spans="25:27" ht="15.5">
      <c r="Y120"/>
      <c r="Z120"/>
      <c r="AA120"/>
    </row>
    <row r="121" spans="25:27" ht="15.5">
      <c r="Y121"/>
      <c r="Z121"/>
      <c r="AA121"/>
    </row>
    <row r="122" spans="25:27" ht="15.5">
      <c r="Y122"/>
      <c r="Z122"/>
      <c r="AA122"/>
    </row>
    <row r="123" spans="25:27" ht="15.5">
      <c r="Y123"/>
      <c r="Z123"/>
      <c r="AA123"/>
    </row>
    <row r="124" spans="25:27" ht="15.5">
      <c r="Y124"/>
      <c r="Z124"/>
      <c r="AA124"/>
    </row>
    <row r="125" spans="25:27" ht="15.5">
      <c r="Y125"/>
      <c r="Z125"/>
      <c r="AA125"/>
    </row>
    <row r="126" spans="25:27" ht="15.5">
      <c r="Y126"/>
      <c r="Z126"/>
      <c r="AA126"/>
    </row>
    <row r="127" spans="25:27" ht="15.5">
      <c r="Y127"/>
      <c r="Z127"/>
      <c r="AA127"/>
    </row>
    <row r="128" spans="25:27" ht="15.5">
      <c r="Y128"/>
      <c r="Z128"/>
      <c r="AA128"/>
    </row>
    <row r="129" spans="25:27" ht="15.5">
      <c r="Y129"/>
      <c r="Z129"/>
      <c r="AA129"/>
    </row>
    <row r="130" spans="25:27" ht="15.5">
      <c r="Y130"/>
      <c r="Z130"/>
      <c r="AA130"/>
    </row>
    <row r="131" spans="25:27" ht="15.5">
      <c r="Y131"/>
      <c r="Z131"/>
      <c r="AA131"/>
    </row>
    <row r="132" spans="25:27" ht="15.5">
      <c r="Y132"/>
      <c r="Z132"/>
      <c r="AA132"/>
    </row>
    <row r="133" spans="25:27" ht="15.5">
      <c r="Y133"/>
      <c r="Z133"/>
      <c r="AA133"/>
    </row>
    <row r="134" spans="25:27" ht="15.5">
      <c r="Y134"/>
      <c r="Z134"/>
    </row>
    <row r="135" spans="25:27" ht="15.5">
      <c r="Y135"/>
      <c r="Z135"/>
    </row>
    <row r="136" spans="25:27" ht="15.5">
      <c r="Y136"/>
      <c r="Z136"/>
    </row>
    <row r="137" spans="25:27" ht="15.5">
      <c r="Y137"/>
      <c r="Z137"/>
    </row>
    <row r="138" spans="25:27" ht="15.5">
      <c r="Y138"/>
      <c r="Z138"/>
    </row>
    <row r="139" spans="25:27" ht="15.5">
      <c r="Y139"/>
      <c r="Z139"/>
    </row>
    <row r="140" spans="25:27" ht="15.5">
      <c r="Y140"/>
      <c r="Z140"/>
    </row>
    <row r="141" spans="25:27" ht="15.5">
      <c r="Y141"/>
      <c r="Z141"/>
    </row>
    <row r="142" spans="25:27" ht="15.5">
      <c r="Y142"/>
      <c r="Z142"/>
    </row>
    <row r="143" spans="25:27" ht="15.5">
      <c r="Y143"/>
      <c r="Z143"/>
    </row>
    <row r="144" spans="25:27" ht="15.5">
      <c r="Y144"/>
      <c r="Z144"/>
    </row>
    <row r="145" spans="25:26" ht="15.5">
      <c r="Y145"/>
      <c r="Z145"/>
    </row>
    <row r="146" spans="25:26" ht="15.5">
      <c r="Y146"/>
      <c r="Z146"/>
    </row>
    <row r="147" spans="25:26" ht="15.5">
      <c r="Y147"/>
      <c r="Z147"/>
    </row>
    <row r="148" spans="25:26" ht="15.5">
      <c r="Y148"/>
      <c r="Z148"/>
    </row>
    <row r="149" spans="25:26" ht="15.5">
      <c r="Y149"/>
      <c r="Z149"/>
    </row>
    <row r="150" spans="25:26" ht="15.5">
      <c r="Y150"/>
      <c r="Z150"/>
    </row>
    <row r="151" spans="25:26" ht="15.5">
      <c r="Y151"/>
      <c r="Z151"/>
    </row>
    <row r="152" spans="25:26" ht="15.5">
      <c r="Y152"/>
      <c r="Z152"/>
    </row>
    <row r="153" spans="25:26" ht="15.5">
      <c r="Y153"/>
      <c r="Z153"/>
    </row>
    <row r="154" spans="25:26" ht="15.5">
      <c r="Y154"/>
      <c r="Z154"/>
    </row>
    <row r="155" spans="25:26" ht="15.5">
      <c r="Y155"/>
      <c r="Z155"/>
    </row>
    <row r="156" spans="25:26" ht="15.5">
      <c r="Y156"/>
      <c r="Z156"/>
    </row>
    <row r="157" spans="25:26" ht="15.5">
      <c r="Y157"/>
      <c r="Z157"/>
    </row>
    <row r="158" spans="25:26" ht="15.5">
      <c r="Y158"/>
      <c r="Z158"/>
    </row>
    <row r="159" spans="25:26" ht="15.5">
      <c r="Y159"/>
      <c r="Z159"/>
    </row>
    <row r="160" spans="25:26" ht="15.5">
      <c r="Y160"/>
      <c r="Z160"/>
    </row>
    <row r="161" spans="25:26" ht="15.5">
      <c r="Y161"/>
      <c r="Z161"/>
    </row>
    <row r="162" spans="25:26" ht="15.5">
      <c r="Y162"/>
      <c r="Z162"/>
    </row>
    <row r="163" spans="25:26" ht="15.5">
      <c r="Y163"/>
      <c r="Z163"/>
    </row>
    <row r="164" spans="25:26" ht="15.5">
      <c r="Y164"/>
      <c r="Z164"/>
    </row>
    <row r="165" spans="25:26" ht="15.5">
      <c r="Y165"/>
      <c r="Z165"/>
    </row>
    <row r="166" spans="25:26" ht="15.5">
      <c r="Y166"/>
      <c r="Z166"/>
    </row>
    <row r="167" spans="25:26" ht="15.5">
      <c r="Y167"/>
      <c r="Z167"/>
    </row>
    <row r="168" spans="25:26" ht="15.5">
      <c r="Y168"/>
      <c r="Z168"/>
    </row>
  </sheetData>
  <mergeCells count="1">
    <mergeCell ref="B1:T1"/>
  </mergeCells>
  <phoneticPr fontId="147" type="noConversion"/>
  <conditionalFormatting sqref="G51:G52">
    <cfRule type="iconSet" priority="4">
      <iconSet reverse="1">
        <cfvo type="percent" val="0"/>
        <cfvo type="num" val="0" gte="0"/>
        <cfvo type="num" val="0.3"/>
      </iconSet>
    </cfRule>
  </conditionalFormatting>
  <conditionalFormatting sqref="F51:F52">
    <cfRule type="iconSet" priority="2">
      <iconSet reverse="1">
        <cfvo type="percent" val="0"/>
        <cfvo type="num" val="0" gte="0"/>
        <cfvo type="num" val="0.3"/>
      </iconSet>
    </cfRule>
  </conditionalFormatting>
  <conditionalFormatting sqref="H51:H52">
    <cfRule type="iconSet" priority="1">
      <iconSet reverse="1">
        <cfvo type="percent" val="0"/>
        <cfvo type="num" val="0" gte="0"/>
        <cfvo type="num" val="0.3"/>
      </iconSet>
    </cfRule>
  </conditionalFormatting>
  <printOptions horizontalCentered="1" verticalCentered="1"/>
  <pageMargins left="0" right="0" top="0" bottom="0" header="0.3" footer="0.3"/>
  <pageSetup paperSize="9" scale="43" orientation="portrait" r:id="rId1"/>
  <colBreaks count="2" manualBreakCount="2">
    <brk id="13" max="107" man="1"/>
    <brk id="17" max="107" man="1"/>
  </colBreak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iconSet" priority="13444" id="{1298082F-3ACC-473C-BD90-67E4A5022813}">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F35:H48</xm:sqref>
        </x14:conditionalFormatting>
        <x14:conditionalFormatting xmlns:xm="http://schemas.microsoft.com/office/excel/2006/main">
          <x14:cfRule type="iconSet" priority="3" id="{40FF3BA7-85D0-47CE-8AFE-EAC0223D46F3}">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F53:H53</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F163"/>
  <sheetViews>
    <sheetView showGridLines="0" view="pageBreakPreview" topLeftCell="A58" zoomScale="80" zoomScaleNormal="87" zoomScaleSheetLayoutView="80" workbookViewId="0">
      <selection activeCell="B29" sqref="B29:H51"/>
    </sheetView>
  </sheetViews>
  <sheetFormatPr defaultColWidth="9" defaultRowHeight="13"/>
  <cols>
    <col min="1" max="1" width="1.08203125" style="17" customWidth="1"/>
    <col min="2" max="2" width="19.5" style="17" customWidth="1"/>
    <col min="3" max="3" width="20.1640625" style="17" customWidth="1"/>
    <col min="4" max="4" width="8.4140625" style="17" customWidth="1"/>
    <col min="5" max="5" width="11.5" style="17" customWidth="1"/>
    <col min="6" max="6" width="13" style="17" customWidth="1"/>
    <col min="7" max="7" width="11" style="17" customWidth="1"/>
    <col min="8" max="8" width="12.5" style="17" customWidth="1"/>
    <col min="9" max="9" width="1.1640625" style="17" customWidth="1"/>
    <col min="10" max="11" width="9" style="17"/>
    <col min="12" max="12" width="10.6640625" style="17" customWidth="1"/>
    <col min="13" max="13" width="11.6640625" style="17" customWidth="1"/>
    <col min="14" max="14" width="10.1640625" style="17" customWidth="1"/>
    <col min="15" max="15" width="25.1640625" style="17" customWidth="1"/>
    <col min="16" max="16" width="13" style="17" customWidth="1"/>
    <col min="17" max="17" width="10.1640625" style="17" customWidth="1"/>
    <col min="18" max="18" width="9.5" style="17" customWidth="1"/>
    <col min="19" max="19" width="8.08203125" style="17" customWidth="1"/>
    <col min="20" max="20" width="6.6640625" style="17" customWidth="1"/>
    <col min="21" max="23" width="8.08203125" style="17" customWidth="1"/>
    <col min="24" max="24" width="16.08203125" style="17" customWidth="1"/>
    <col min="25" max="25" width="9" style="17"/>
    <col min="26" max="26" width="21.6640625" style="17" customWidth="1"/>
    <col min="27" max="27" width="17.5" style="17" customWidth="1"/>
    <col min="28" max="28" width="9.58203125" style="17" customWidth="1"/>
    <col min="29" max="29" width="1.6640625" style="17" customWidth="1"/>
    <col min="30" max="16384" width="9" style="17"/>
  </cols>
  <sheetData>
    <row r="1" spans="2:32" ht="35.25" customHeight="1">
      <c r="B1" s="1200" t="s">
        <v>3401</v>
      </c>
      <c r="C1" s="1200"/>
      <c r="D1" s="1200"/>
      <c r="E1" s="1200"/>
      <c r="F1" s="1200"/>
      <c r="G1" s="1200"/>
      <c r="H1" s="1200"/>
      <c r="I1" s="1200"/>
      <c r="J1" s="1200"/>
      <c r="K1" s="1200"/>
      <c r="L1" s="1200"/>
      <c r="M1" s="1200"/>
      <c r="N1" s="1200"/>
      <c r="O1" s="1200"/>
      <c r="P1" s="1200"/>
      <c r="Q1" s="1200"/>
      <c r="R1" s="1200"/>
      <c r="S1" s="1200"/>
      <c r="T1" s="155"/>
      <c r="U1" s="155"/>
      <c r="V1" s="155"/>
      <c r="W1" s="155"/>
      <c r="X1" s="155"/>
      <c r="Y1" s="155"/>
      <c r="Z1" s="155"/>
      <c r="AA1" s="155"/>
      <c r="AB1" s="155"/>
      <c r="AC1" s="155"/>
      <c r="AD1" s="155"/>
      <c r="AE1" s="155"/>
      <c r="AF1" s="155"/>
    </row>
    <row r="9" spans="2:32" ht="18" customHeight="1"/>
    <row r="10" spans="2:32" ht="20.25" customHeight="1"/>
    <row r="27" spans="2:8" ht="18" customHeight="1"/>
    <row r="28" spans="2:8" ht="21.75" customHeight="1" thickBot="1"/>
    <row r="29" spans="2:8" ht="44" thickTop="1">
      <c r="B29" s="801" t="s">
        <v>2342</v>
      </c>
      <c r="C29" s="802" t="s">
        <v>1492</v>
      </c>
      <c r="D29" s="803" t="s">
        <v>2556</v>
      </c>
      <c r="E29" s="803" t="s">
        <v>1482</v>
      </c>
      <c r="F29" s="803" t="s">
        <v>1493</v>
      </c>
      <c r="G29" s="803" t="s">
        <v>1494</v>
      </c>
      <c r="H29" s="804" t="s">
        <v>1495</v>
      </c>
    </row>
    <row r="30" spans="2:8" ht="18" customHeight="1">
      <c r="B30" s="1042" t="s">
        <v>534</v>
      </c>
      <c r="C30" s="1043" t="s">
        <v>192</v>
      </c>
      <c r="D30" s="1044">
        <v>2</v>
      </c>
      <c r="E30" s="1045">
        <v>401</v>
      </c>
      <c r="F30" s="1046">
        <v>0</v>
      </c>
      <c r="G30" s="1046">
        <v>0</v>
      </c>
      <c r="H30" s="1047">
        <v>0</v>
      </c>
    </row>
    <row r="31" spans="2:8" ht="18" customHeight="1">
      <c r="B31" s="1048" t="s">
        <v>556</v>
      </c>
      <c r="C31" s="1043" t="s">
        <v>192</v>
      </c>
      <c r="D31" s="1049">
        <v>1</v>
      </c>
      <c r="E31" s="1050">
        <v>120</v>
      </c>
      <c r="F31" s="1051">
        <v>1</v>
      </c>
      <c r="G31" s="1051">
        <v>1</v>
      </c>
      <c r="H31" s="1052">
        <v>0.625</v>
      </c>
    </row>
    <row r="32" spans="2:8" ht="14.5">
      <c r="B32" s="1042" t="s">
        <v>519</v>
      </c>
      <c r="C32" s="1043" t="s">
        <v>192</v>
      </c>
      <c r="D32" s="1044">
        <v>14</v>
      </c>
      <c r="E32" s="1045">
        <v>4610</v>
      </c>
      <c r="F32" s="1046">
        <v>6.3485177151120675E-2</v>
      </c>
      <c r="G32" s="1046">
        <v>3.1019522776572717E-2</v>
      </c>
      <c r="H32" s="1047">
        <v>0.20151843817787418</v>
      </c>
    </row>
    <row r="33" spans="1:13" ht="14.5">
      <c r="A33" s="74"/>
      <c r="B33" s="1042" t="s">
        <v>956</v>
      </c>
      <c r="C33" s="1043" t="s">
        <v>192</v>
      </c>
      <c r="D33" s="1044">
        <v>1</v>
      </c>
      <c r="E33" s="1045">
        <v>469</v>
      </c>
      <c r="F33" s="1046">
        <v>0.85785358919687282</v>
      </c>
      <c r="G33" s="1046">
        <v>1</v>
      </c>
      <c r="H33" s="1047">
        <v>1</v>
      </c>
    </row>
    <row r="34" spans="1:13" ht="18.75" customHeight="1">
      <c r="A34" s="74"/>
      <c r="B34" s="1042" t="s">
        <v>958</v>
      </c>
      <c r="C34" s="1043" t="s">
        <v>2154</v>
      </c>
      <c r="D34" s="1044">
        <v>1</v>
      </c>
      <c r="E34" s="1045">
        <v>1674</v>
      </c>
      <c r="F34" s="1046">
        <v>4.4205495818399054E-2</v>
      </c>
      <c r="G34" s="1046">
        <v>0.64157706093189959</v>
      </c>
      <c r="H34" s="1047">
        <v>1</v>
      </c>
    </row>
    <row r="35" spans="1:13" ht="14.5">
      <c r="A35" s="74"/>
      <c r="B35" s="1042" t="s">
        <v>525</v>
      </c>
      <c r="C35" s="1043" t="s">
        <v>192</v>
      </c>
      <c r="D35" s="1044">
        <v>5</v>
      </c>
      <c r="E35" s="1045">
        <v>2076</v>
      </c>
      <c r="F35" s="1046">
        <v>0.40414258188824659</v>
      </c>
      <c r="G35" s="1046">
        <v>1</v>
      </c>
      <c r="H35" s="1047">
        <v>1</v>
      </c>
    </row>
    <row r="36" spans="1:13" ht="14.5">
      <c r="A36" s="74"/>
      <c r="B36" s="1042" t="s">
        <v>516</v>
      </c>
      <c r="C36" s="1043" t="s">
        <v>2341</v>
      </c>
      <c r="D36" s="1044">
        <v>3</v>
      </c>
      <c r="E36" s="1045">
        <v>932</v>
      </c>
      <c r="F36" s="1046">
        <v>0</v>
      </c>
      <c r="G36" s="1046">
        <v>0.13197424892703857</v>
      </c>
      <c r="H36" s="1047">
        <v>0.34656652360515017</v>
      </c>
      <c r="M36" s="74"/>
    </row>
    <row r="37" spans="1:13" ht="15" thickBot="1">
      <c r="B37" s="1053" t="s">
        <v>979</v>
      </c>
      <c r="C37" s="1054" t="s">
        <v>192</v>
      </c>
      <c r="D37" s="1055">
        <v>1</v>
      </c>
      <c r="E37" s="1056">
        <v>157</v>
      </c>
      <c r="F37" s="1057">
        <v>1</v>
      </c>
      <c r="G37" s="1057">
        <v>1</v>
      </c>
      <c r="H37" s="1058">
        <v>1</v>
      </c>
    </row>
    <row r="38" spans="1:13" ht="26.25" customHeight="1" thickTop="1" thickBot="1">
      <c r="B38" s="1012"/>
      <c r="C38" s="1013" t="s">
        <v>1483</v>
      </c>
      <c r="D38" s="1014">
        <v>28</v>
      </c>
      <c r="E38" s="1014">
        <v>10439</v>
      </c>
      <c r="F38" s="1015">
        <v>0.18057285180572846</v>
      </c>
      <c r="G38" s="1015">
        <v>0.39869719321774111</v>
      </c>
      <c r="H38" s="1016">
        <v>0.54631669700162844</v>
      </c>
    </row>
    <row r="39" spans="1:13" ht="33.5" customHeight="1" thickTop="1">
      <c r="B39" s="1035"/>
      <c r="C39" s="1036"/>
      <c r="D39" s="1037"/>
      <c r="E39" s="1038"/>
      <c r="F39" s="1039"/>
      <c r="G39" s="1039"/>
      <c r="H39" s="1040"/>
    </row>
    <row r="40" spans="1:13" ht="39">
      <c r="B40" s="796" t="s">
        <v>2344</v>
      </c>
      <c r="C40" s="797" t="s">
        <v>1492</v>
      </c>
      <c r="D40" s="798" t="s">
        <v>2557</v>
      </c>
      <c r="E40" s="799" t="s">
        <v>1482</v>
      </c>
      <c r="F40" s="798" t="s">
        <v>2560</v>
      </c>
      <c r="G40" s="798" t="s">
        <v>2559</v>
      </c>
      <c r="H40" s="800" t="s">
        <v>2558</v>
      </c>
    </row>
    <row r="41" spans="1:13" ht="19" customHeight="1">
      <c r="B41" s="1059" t="s">
        <v>556</v>
      </c>
      <c r="C41" s="1060" t="s">
        <v>3405</v>
      </c>
      <c r="D41" s="1061">
        <v>4</v>
      </c>
      <c r="E41" s="1062">
        <v>411</v>
      </c>
      <c r="F41" s="1046">
        <v>1</v>
      </c>
      <c r="G41" s="1046">
        <v>0.94160583941605835</v>
      </c>
      <c r="H41" s="1063">
        <v>1</v>
      </c>
    </row>
    <row r="42" spans="1:13" ht="19" customHeight="1">
      <c r="B42" s="1059" t="s">
        <v>519</v>
      </c>
      <c r="C42" s="1060" t="s">
        <v>3406</v>
      </c>
      <c r="D42" s="1061">
        <v>3</v>
      </c>
      <c r="E42" s="1062">
        <v>349</v>
      </c>
      <c r="F42" s="1046">
        <v>1</v>
      </c>
      <c r="G42" s="1046">
        <v>1</v>
      </c>
      <c r="H42" s="1063">
        <v>1</v>
      </c>
    </row>
    <row r="43" spans="1:13" ht="19" customHeight="1">
      <c r="B43" s="1059" t="s">
        <v>955</v>
      </c>
      <c r="C43" s="1060" t="s">
        <v>3405</v>
      </c>
      <c r="D43" s="1061">
        <v>7</v>
      </c>
      <c r="E43" s="1064">
        <v>1160</v>
      </c>
      <c r="F43" s="1046">
        <v>1</v>
      </c>
      <c r="G43" s="1046">
        <v>1</v>
      </c>
      <c r="H43" s="1063">
        <v>1</v>
      </c>
    </row>
    <row r="44" spans="1:13" ht="19" customHeight="1">
      <c r="B44" s="1059" t="s">
        <v>956</v>
      </c>
      <c r="C44" s="1060" t="s">
        <v>3406</v>
      </c>
      <c r="D44" s="1061">
        <v>2</v>
      </c>
      <c r="E44" s="1064">
        <v>147</v>
      </c>
      <c r="F44" s="1046">
        <v>1</v>
      </c>
      <c r="G44" s="1046">
        <v>1</v>
      </c>
      <c r="H44" s="1063">
        <v>1</v>
      </c>
    </row>
    <row r="45" spans="1:13" ht="19" customHeight="1">
      <c r="B45" s="1059" t="s">
        <v>522</v>
      </c>
      <c r="C45" s="1060" t="s">
        <v>3406</v>
      </c>
      <c r="D45" s="1061">
        <v>2</v>
      </c>
      <c r="E45" s="1064">
        <v>211</v>
      </c>
      <c r="F45" s="1046">
        <v>1</v>
      </c>
      <c r="G45" s="1046">
        <v>1</v>
      </c>
      <c r="H45" s="1063">
        <v>1</v>
      </c>
    </row>
    <row r="46" spans="1:13" ht="19" customHeight="1">
      <c r="B46" s="1059" t="s">
        <v>3404</v>
      </c>
      <c r="C46" s="1060" t="s">
        <v>297</v>
      </c>
      <c r="D46" s="1061">
        <v>1</v>
      </c>
      <c r="E46" s="1064">
        <v>171</v>
      </c>
      <c r="F46" s="1046">
        <v>0</v>
      </c>
      <c r="G46" s="1046">
        <v>1</v>
      </c>
      <c r="H46" s="1063">
        <v>1</v>
      </c>
    </row>
    <row r="47" spans="1:13" ht="19" customHeight="1">
      <c r="B47" s="1059" t="s">
        <v>516</v>
      </c>
      <c r="C47" s="1060" t="s">
        <v>192</v>
      </c>
      <c r="D47" s="1061">
        <v>1</v>
      </c>
      <c r="E47" s="1064">
        <v>31</v>
      </c>
      <c r="F47" s="1046">
        <v>1</v>
      </c>
      <c r="G47" s="1046">
        <v>1</v>
      </c>
      <c r="H47" s="1063">
        <v>1</v>
      </c>
    </row>
    <row r="48" spans="1:13" ht="19" customHeight="1">
      <c r="B48" s="1059" t="s">
        <v>969</v>
      </c>
      <c r="C48" s="1060" t="s">
        <v>297</v>
      </c>
      <c r="D48" s="1061">
        <v>3</v>
      </c>
      <c r="E48" s="1064">
        <v>532</v>
      </c>
      <c r="F48" s="1046">
        <v>1</v>
      </c>
      <c r="G48" s="1046">
        <v>1</v>
      </c>
      <c r="H48" s="1063">
        <v>0.12593984962406013</v>
      </c>
    </row>
    <row r="49" spans="2:25" ht="19" customHeight="1">
      <c r="B49" s="1059" t="s">
        <v>536</v>
      </c>
      <c r="C49" s="1060" t="s">
        <v>3406</v>
      </c>
      <c r="D49" s="1061">
        <v>7</v>
      </c>
      <c r="E49" s="1064">
        <v>942</v>
      </c>
      <c r="F49" s="1046">
        <v>1</v>
      </c>
      <c r="G49" s="1046">
        <v>1</v>
      </c>
      <c r="H49" s="1063">
        <v>1</v>
      </c>
    </row>
    <row r="50" spans="2:25" ht="19" customHeight="1" thickBot="1">
      <c r="B50" s="1059" t="s">
        <v>979</v>
      </c>
      <c r="C50" s="1060" t="s">
        <v>297</v>
      </c>
      <c r="D50" s="1061">
        <v>1</v>
      </c>
      <c r="E50" s="1064">
        <v>220</v>
      </c>
      <c r="F50" s="1046">
        <v>0</v>
      </c>
      <c r="G50" s="1046">
        <v>1</v>
      </c>
      <c r="H50" s="1063">
        <v>0</v>
      </c>
    </row>
    <row r="51" spans="2:25" ht="25.5" customHeight="1" thickTop="1">
      <c r="B51" s="1012"/>
      <c r="C51" s="1013" t="s">
        <v>1483</v>
      </c>
      <c r="D51" s="1014">
        <v>31</v>
      </c>
      <c r="E51" s="1014">
        <v>4174</v>
      </c>
      <c r="F51" s="1015">
        <v>0.90632486823191183</v>
      </c>
      <c r="G51" s="1015">
        <v>0.99425011978917111</v>
      </c>
      <c r="H51" s="1016">
        <v>0.83588883564925731</v>
      </c>
      <c r="U51" s="157"/>
      <c r="V51" s="413"/>
      <c r="W51" s="413"/>
      <c r="X51"/>
      <c r="Y51"/>
    </row>
    <row r="52" spans="2:25" ht="15.5">
      <c r="U52" s="157"/>
      <c r="V52" s="413"/>
      <c r="W52" s="413"/>
      <c r="X52"/>
      <c r="Y52"/>
    </row>
    <row r="53" spans="2:25" ht="15.5">
      <c r="U53" s="157"/>
      <c r="V53" s="413"/>
      <c r="W53" s="413"/>
      <c r="X53" s="413"/>
      <c r="Y53" s="413"/>
    </row>
    <row r="54" spans="2:25" ht="15.5">
      <c r="U54" s="157"/>
      <c r="V54" s="413"/>
      <c r="W54" s="413"/>
      <c r="X54"/>
      <c r="Y54"/>
    </row>
    <row r="55" spans="2:25" ht="15.5">
      <c r="U55" s="157"/>
      <c r="V55" s="413"/>
      <c r="W55" s="413"/>
      <c r="X55" s="413"/>
      <c r="Y55" s="413"/>
    </row>
    <row r="56" spans="2:25" ht="15.5">
      <c r="U56" s="157"/>
      <c r="V56" s="413"/>
      <c r="W56" s="413"/>
      <c r="X56" s="413"/>
      <c r="Y56" s="413"/>
    </row>
    <row r="57" spans="2:25" ht="15.5">
      <c r="U57" s="157"/>
      <c r="V57" s="413"/>
      <c r="W57" s="413"/>
      <c r="X57" s="413"/>
      <c r="Y57" s="413"/>
    </row>
    <row r="58" spans="2:25" ht="15.5">
      <c r="U58" s="157"/>
      <c r="V58" s="413"/>
      <c r="W58" s="413"/>
      <c r="X58" s="413"/>
      <c r="Y58" s="413"/>
    </row>
    <row r="59" spans="2:25" ht="15.5">
      <c r="U59" s="157"/>
      <c r="V59" s="413"/>
      <c r="W59" s="413"/>
      <c r="X59"/>
      <c r="Y59"/>
    </row>
    <row r="60" spans="2:25" ht="24" customHeight="1">
      <c r="U60" s="157"/>
      <c r="V60" s="413"/>
      <c r="W60" s="413"/>
    </row>
    <row r="61" spans="2:25" ht="6.65" customHeight="1">
      <c r="U61" s="157"/>
      <c r="V61" s="413"/>
      <c r="W61" s="413"/>
    </row>
    <row r="62" spans="2:25" ht="49.5" customHeight="1">
      <c r="U62" s="157"/>
      <c r="V62" s="413"/>
      <c r="W62"/>
      <c r="X62"/>
    </row>
    <row r="63" spans="2:25" ht="15.5">
      <c r="U63" s="157"/>
      <c r="V63" s="413"/>
      <c r="W63" s="413"/>
      <c r="X63" s="413"/>
    </row>
    <row r="64" spans="2:25" ht="15.5">
      <c r="U64" s="157"/>
      <c r="V64" s="413"/>
      <c r="W64" s="413"/>
      <c r="X64" s="413"/>
    </row>
    <row r="65" spans="21:24" ht="15.5">
      <c r="U65" s="157"/>
      <c r="V65" s="413"/>
      <c r="W65" s="413"/>
      <c r="X65" s="413"/>
    </row>
    <row r="66" spans="21:24" ht="15.5">
      <c r="U66" s="157"/>
      <c r="V66" s="413"/>
      <c r="W66" s="413"/>
      <c r="X66" s="413"/>
    </row>
    <row r="67" spans="21:24" ht="15.5">
      <c r="U67" s="157"/>
      <c r="V67" s="413"/>
      <c r="W67" s="413"/>
      <c r="X67" s="413"/>
    </row>
    <row r="68" spans="21:24" ht="15.5">
      <c r="U68" s="157"/>
      <c r="V68" s="413"/>
      <c r="W68" s="413"/>
      <c r="X68" s="413"/>
    </row>
    <row r="69" spans="21:24" s="631" customFormat="1" ht="25" customHeight="1">
      <c r="V69" s="157"/>
      <c r="W69" s="157"/>
      <c r="X69" s="157"/>
    </row>
    <row r="70" spans="21:24" ht="15.5">
      <c r="V70"/>
      <c r="W70"/>
      <c r="X70"/>
    </row>
    <row r="71" spans="21:24" ht="15.5">
      <c r="V71"/>
      <c r="W71"/>
      <c r="X71"/>
    </row>
    <row r="72" spans="21:24" ht="15.5">
      <c r="V72"/>
      <c r="W72"/>
      <c r="X72"/>
    </row>
    <row r="73" spans="21:24" ht="15.5">
      <c r="V73"/>
      <c r="W73"/>
      <c r="X73"/>
    </row>
    <row r="74" spans="21:24" ht="15.5">
      <c r="V74"/>
      <c r="W74"/>
      <c r="X74"/>
    </row>
    <row r="75" spans="21:24" ht="15.5">
      <c r="V75"/>
      <c r="W75"/>
      <c r="X75"/>
    </row>
    <row r="76" spans="21:24" ht="15.5">
      <c r="V76"/>
      <c r="W76"/>
      <c r="X76"/>
    </row>
    <row r="77" spans="21:24" ht="15.5">
      <c r="V77"/>
      <c r="W77"/>
      <c r="X77"/>
    </row>
    <row r="78" spans="21:24" ht="15.5">
      <c r="V78"/>
      <c r="W78"/>
      <c r="X78"/>
    </row>
    <row r="79" spans="21:24" ht="15.5">
      <c r="V79"/>
      <c r="W79"/>
      <c r="X79"/>
    </row>
    <row r="80" spans="21:24" ht="15.5">
      <c r="V80"/>
      <c r="W80"/>
      <c r="X80"/>
    </row>
    <row r="81" spans="22:24" ht="15.5">
      <c r="V81"/>
      <c r="W81"/>
      <c r="X81"/>
    </row>
    <row r="82" spans="22:24" ht="15.5">
      <c r="V82"/>
      <c r="W82"/>
      <c r="X82"/>
    </row>
    <row r="83" spans="22:24" ht="15.5">
      <c r="V83"/>
      <c r="W83"/>
      <c r="X83"/>
    </row>
    <row r="84" spans="22:24" ht="15.5">
      <c r="V84"/>
      <c r="W84"/>
      <c r="X84"/>
    </row>
    <row r="85" spans="22:24" ht="15.5">
      <c r="V85"/>
      <c r="W85"/>
      <c r="X85"/>
    </row>
    <row r="86" spans="22:24" ht="15.5">
      <c r="V86"/>
      <c r="W86"/>
      <c r="X86"/>
    </row>
    <row r="87" spans="22:24" ht="15.5">
      <c r="V87"/>
      <c r="W87"/>
      <c r="X87"/>
    </row>
    <row r="88" spans="22:24" ht="15.5">
      <c r="V88"/>
      <c r="W88"/>
      <c r="X88"/>
    </row>
    <row r="89" spans="22:24" ht="15.5">
      <c r="V89"/>
      <c r="W89"/>
      <c r="X89"/>
    </row>
    <row r="90" spans="22:24" ht="15.5">
      <c r="V90"/>
      <c r="W90"/>
      <c r="X90"/>
    </row>
    <row r="91" spans="22:24" ht="15.5">
      <c r="V91"/>
      <c r="W91"/>
      <c r="X91"/>
    </row>
    <row r="92" spans="22:24" ht="15.5">
      <c r="V92"/>
      <c r="W92"/>
      <c r="X92"/>
    </row>
    <row r="93" spans="22:24" ht="15.5">
      <c r="V93"/>
      <c r="W93"/>
      <c r="X93"/>
    </row>
    <row r="94" spans="22:24" ht="15.5">
      <c r="V94"/>
      <c r="W94"/>
      <c r="X94"/>
    </row>
    <row r="95" spans="22:24" ht="15.5">
      <c r="V95"/>
      <c r="W95"/>
      <c r="X95"/>
    </row>
    <row r="96" spans="22:24" ht="15.5">
      <c r="V96"/>
      <c r="W96"/>
      <c r="X96"/>
    </row>
    <row r="97" spans="22:24" ht="15.5">
      <c r="V97"/>
      <c r="W97"/>
      <c r="X97"/>
    </row>
    <row r="98" spans="22:24" ht="15.5">
      <c r="V98"/>
      <c r="W98"/>
      <c r="X98"/>
    </row>
    <row r="99" spans="22:24" ht="15.5">
      <c r="V99"/>
      <c r="W99"/>
      <c r="X99"/>
    </row>
    <row r="100" spans="22:24" ht="15.5">
      <c r="V100"/>
      <c r="W100"/>
      <c r="X100"/>
    </row>
    <row r="101" spans="22:24" ht="15.5">
      <c r="V101"/>
      <c r="W101"/>
      <c r="X101"/>
    </row>
    <row r="102" spans="22:24" ht="15.5">
      <c r="V102"/>
      <c r="W102"/>
      <c r="X102"/>
    </row>
    <row r="103" spans="22:24" ht="15.5">
      <c r="V103"/>
      <c r="W103"/>
      <c r="X103"/>
    </row>
    <row r="104" spans="22:24" ht="15.5">
      <c r="V104"/>
      <c r="W104"/>
      <c r="X104"/>
    </row>
    <row r="105" spans="22:24" ht="15.5">
      <c r="V105"/>
      <c r="W105"/>
      <c r="X105"/>
    </row>
    <row r="106" spans="22:24" ht="15.5">
      <c r="V106"/>
      <c r="W106"/>
      <c r="X106"/>
    </row>
    <row r="107" spans="22:24" ht="15.5">
      <c r="V107"/>
      <c r="W107"/>
      <c r="X107"/>
    </row>
    <row r="108" spans="22:24" ht="15.5">
      <c r="V108"/>
      <c r="W108"/>
      <c r="X108"/>
    </row>
    <row r="109" spans="22:24" ht="15.5">
      <c r="V109"/>
      <c r="W109"/>
      <c r="X109"/>
    </row>
    <row r="110" spans="22:24" ht="15.5">
      <c r="V110"/>
      <c r="W110"/>
      <c r="X110"/>
    </row>
    <row r="111" spans="22:24" ht="15.5">
      <c r="V111"/>
      <c r="W111"/>
      <c r="X111"/>
    </row>
    <row r="112" spans="22:24" ht="15.5">
      <c r="V112"/>
      <c r="W112"/>
      <c r="X112"/>
    </row>
    <row r="113" spans="22:24" ht="15.5">
      <c r="V113"/>
      <c r="W113"/>
      <c r="X113"/>
    </row>
    <row r="114" spans="22:24" ht="15.5">
      <c r="V114"/>
      <c r="W114"/>
      <c r="X114"/>
    </row>
    <row r="115" spans="22:24" ht="15.5">
      <c r="V115"/>
      <c r="W115"/>
      <c r="X115"/>
    </row>
    <row r="116" spans="22:24" ht="15.5">
      <c r="V116"/>
      <c r="W116"/>
      <c r="X116"/>
    </row>
    <row r="117" spans="22:24" ht="15.5">
      <c r="V117"/>
      <c r="W117"/>
      <c r="X117"/>
    </row>
    <row r="118" spans="22:24" ht="15.5">
      <c r="V118"/>
      <c r="W118"/>
      <c r="X118"/>
    </row>
    <row r="119" spans="22:24" ht="15.5">
      <c r="V119"/>
      <c r="W119"/>
      <c r="X119"/>
    </row>
    <row r="120" spans="22:24" ht="15.5">
      <c r="V120"/>
      <c r="W120"/>
      <c r="X120"/>
    </row>
    <row r="121" spans="22:24" ht="15.5">
      <c r="V121"/>
      <c r="W121"/>
      <c r="X121"/>
    </row>
    <row r="122" spans="22:24" ht="15.5">
      <c r="V122"/>
      <c r="W122"/>
      <c r="X122"/>
    </row>
    <row r="123" spans="22:24" ht="15.5">
      <c r="V123"/>
      <c r="W123"/>
      <c r="X123"/>
    </row>
    <row r="124" spans="22:24" ht="15.5">
      <c r="V124"/>
      <c r="W124"/>
      <c r="X124"/>
    </row>
    <row r="125" spans="22:24" ht="15.5">
      <c r="V125"/>
      <c r="W125"/>
      <c r="X125"/>
    </row>
    <row r="126" spans="22:24" ht="15.5">
      <c r="V126"/>
      <c r="W126"/>
      <c r="X126"/>
    </row>
    <row r="127" spans="22:24" ht="15.5">
      <c r="V127"/>
      <c r="W127"/>
      <c r="X127"/>
    </row>
    <row r="128" spans="22:24" ht="15.5">
      <c r="V128"/>
      <c r="W128"/>
      <c r="X128"/>
    </row>
    <row r="129" spans="22:23" ht="15.5">
      <c r="V129"/>
      <c r="W129"/>
    </row>
    <row r="130" spans="22:23" ht="15.5">
      <c r="V130"/>
      <c r="W130"/>
    </row>
    <row r="131" spans="22:23" ht="15.5">
      <c r="V131"/>
      <c r="W131"/>
    </row>
    <row r="132" spans="22:23" ht="15.5">
      <c r="V132"/>
      <c r="W132"/>
    </row>
    <row r="133" spans="22:23" ht="15.5">
      <c r="V133"/>
      <c r="W133"/>
    </row>
    <row r="134" spans="22:23" ht="15.5">
      <c r="V134"/>
      <c r="W134"/>
    </row>
    <row r="135" spans="22:23" ht="15.5">
      <c r="V135"/>
      <c r="W135"/>
    </row>
    <row r="136" spans="22:23" ht="15.5">
      <c r="V136"/>
      <c r="W136"/>
    </row>
    <row r="137" spans="22:23" ht="15.5">
      <c r="V137"/>
      <c r="W137"/>
    </row>
    <row r="138" spans="22:23" ht="15.5">
      <c r="V138"/>
      <c r="W138"/>
    </row>
    <row r="139" spans="22:23" ht="15.5">
      <c r="V139"/>
      <c r="W139"/>
    </row>
    <row r="140" spans="22:23" ht="15.5">
      <c r="V140"/>
      <c r="W140"/>
    </row>
    <row r="141" spans="22:23" ht="15.5">
      <c r="V141"/>
      <c r="W141"/>
    </row>
    <row r="142" spans="22:23" ht="15.5">
      <c r="V142"/>
      <c r="W142"/>
    </row>
    <row r="143" spans="22:23" ht="15.5">
      <c r="V143"/>
      <c r="W143"/>
    </row>
    <row r="144" spans="22:23" ht="15.5">
      <c r="V144"/>
      <c r="W144"/>
    </row>
    <row r="145" spans="22:23" ht="15.5">
      <c r="V145"/>
      <c r="W145"/>
    </row>
    <row r="146" spans="22:23" ht="15.5">
      <c r="V146"/>
      <c r="W146"/>
    </row>
    <row r="147" spans="22:23" ht="15.5">
      <c r="V147"/>
      <c r="W147"/>
    </row>
    <row r="148" spans="22:23" ht="15.5">
      <c r="V148"/>
      <c r="W148"/>
    </row>
    <row r="149" spans="22:23" ht="15.5">
      <c r="V149"/>
      <c r="W149"/>
    </row>
    <row r="150" spans="22:23" ht="15.5">
      <c r="V150"/>
      <c r="W150"/>
    </row>
    <row r="151" spans="22:23" ht="15.5">
      <c r="V151"/>
      <c r="W151"/>
    </row>
    <row r="152" spans="22:23" ht="15.5">
      <c r="V152"/>
      <c r="W152"/>
    </row>
    <row r="153" spans="22:23" ht="15.5">
      <c r="V153"/>
      <c r="W153"/>
    </row>
    <row r="154" spans="22:23" ht="15.5">
      <c r="V154"/>
      <c r="W154"/>
    </row>
    <row r="155" spans="22:23" ht="15.5">
      <c r="V155"/>
      <c r="W155"/>
    </row>
    <row r="156" spans="22:23" ht="15.5">
      <c r="V156"/>
      <c r="W156"/>
    </row>
    <row r="157" spans="22:23" ht="15.5">
      <c r="V157"/>
      <c r="W157"/>
    </row>
    <row r="158" spans="22:23" ht="15.5">
      <c r="V158"/>
      <c r="W158"/>
    </row>
    <row r="159" spans="22:23" ht="15.5">
      <c r="V159"/>
      <c r="W159"/>
    </row>
    <row r="160" spans="22:23" ht="15.5">
      <c r="V160"/>
      <c r="W160"/>
    </row>
    <row r="161" spans="22:23" ht="15.5">
      <c r="V161"/>
      <c r="W161"/>
    </row>
    <row r="162" spans="22:23" ht="15.5">
      <c r="V162"/>
      <c r="W162"/>
    </row>
    <row r="163" spans="22:23" ht="15.5">
      <c r="V163"/>
      <c r="W163"/>
    </row>
  </sheetData>
  <mergeCells count="1">
    <mergeCell ref="B1:S1"/>
  </mergeCells>
  <conditionalFormatting sqref="F41:H50">
    <cfRule type="iconSet" priority="13728">
      <iconSet reverse="1">
        <cfvo type="percent" val="0"/>
        <cfvo type="num" val="0" gte="0"/>
        <cfvo type="num" val="0.3"/>
      </iconSet>
    </cfRule>
  </conditionalFormatting>
  <printOptions horizontalCentered="1" verticalCentered="1"/>
  <pageMargins left="0" right="0" top="0" bottom="0" header="0.3" footer="0.3"/>
  <pageSetup paperSize="9" scale="42" orientation="portrait" r:id="rId1"/>
  <drawing r:id="rId2"/>
  <tableParts count="2">
    <tablePart r:id="rId3"/>
    <tablePart r:id="rId4"/>
  </tableParts>
  <extLst>
    <ext xmlns:x14="http://schemas.microsoft.com/office/spreadsheetml/2009/9/main" uri="{78C0D931-6437-407d-A8EE-F0AAD7539E65}">
      <x14:conditionalFormattings>
        <x14:conditionalFormatting xmlns:xm="http://schemas.microsoft.com/office/excel/2006/main">
          <x14:cfRule type="iconSet" priority="13727" id="{7D9693B4-B3E3-42A4-A63E-3EB735747E54}">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F30:H37</xm:sqref>
        </x14:conditionalFormatting>
        <x14:conditionalFormatting xmlns:xm="http://schemas.microsoft.com/office/excel/2006/main">
          <x14:cfRule type="iconSet" priority="2" id="{C6C807DC-DDD4-46C6-B2BC-5BEBA481398D}">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F51:H51</xm:sqref>
        </x14:conditionalFormatting>
        <x14:conditionalFormatting xmlns:xm="http://schemas.microsoft.com/office/excel/2006/main">
          <x14:cfRule type="iconSet" priority="1" id="{00FB214C-37E4-46AF-84D4-A01D70F8673B}">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F38:H38</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81262-7B96-44AF-83AA-6BD27C0C4660}">
  <dimension ref="A2:B56"/>
  <sheetViews>
    <sheetView showGridLines="0" topLeftCell="A37" workbookViewId="0">
      <selection activeCell="B58" sqref="B58"/>
    </sheetView>
  </sheetViews>
  <sheetFormatPr defaultColWidth="9" defaultRowHeight="15.5"/>
  <cols>
    <col min="1" max="1" width="15.08203125" style="459" customWidth="1"/>
    <col min="2" max="2" width="114" style="459" customWidth="1"/>
    <col min="3" max="16384" width="9" style="459"/>
  </cols>
  <sheetData>
    <row r="2" spans="1:2" ht="18.5">
      <c r="A2" s="1201" t="s">
        <v>2352</v>
      </c>
      <c r="B2" s="1201"/>
    </row>
    <row r="3" spans="1:2">
      <c r="A3" s="465" t="s">
        <v>21</v>
      </c>
      <c r="B3" s="466" t="s">
        <v>2157</v>
      </c>
    </row>
    <row r="4" spans="1:2">
      <c r="A4" s="497" t="s">
        <v>37</v>
      </c>
      <c r="B4" s="467" t="s">
        <v>2353</v>
      </c>
    </row>
    <row r="5" spans="1:2" ht="31">
      <c r="A5" s="613"/>
      <c r="B5" s="467" t="s">
        <v>2354</v>
      </c>
    </row>
    <row r="6" spans="1:2">
      <c r="A6" s="613"/>
      <c r="B6" s="467" t="s">
        <v>2355</v>
      </c>
    </row>
    <row r="7" spans="1:2" ht="31">
      <c r="A7" s="613"/>
      <c r="B7" s="467" t="s">
        <v>2356</v>
      </c>
    </row>
    <row r="8" spans="1:2">
      <c r="A8" s="613"/>
      <c r="B8" s="467" t="s">
        <v>2357</v>
      </c>
    </row>
    <row r="9" spans="1:2">
      <c r="A9" s="613"/>
      <c r="B9" s="467" t="s">
        <v>2358</v>
      </c>
    </row>
    <row r="10" spans="1:2" ht="31">
      <c r="A10" s="613"/>
      <c r="B10" s="467" t="s">
        <v>2359</v>
      </c>
    </row>
    <row r="11" spans="1:2" ht="31">
      <c r="A11" s="613"/>
      <c r="B11" s="467" t="s">
        <v>2360</v>
      </c>
    </row>
    <row r="12" spans="1:2">
      <c r="A12" s="613"/>
      <c r="B12" s="467" t="s">
        <v>2361</v>
      </c>
    </row>
    <row r="13" spans="1:2" ht="31">
      <c r="A13" s="613"/>
      <c r="B13" s="467" t="s">
        <v>2362</v>
      </c>
    </row>
    <row r="14" spans="1:2">
      <c r="A14" s="613"/>
      <c r="B14" s="467" t="s">
        <v>2363</v>
      </c>
    </row>
    <row r="15" spans="1:2">
      <c r="A15" s="613"/>
      <c r="B15" s="467" t="s">
        <v>2364</v>
      </c>
    </row>
    <row r="16" spans="1:2" ht="46.5">
      <c r="A16" s="498"/>
      <c r="B16" s="467" t="s">
        <v>2365</v>
      </c>
    </row>
    <row r="17" spans="1:2" ht="31">
      <c r="A17" s="498"/>
      <c r="B17" s="467" t="s">
        <v>2366</v>
      </c>
    </row>
    <row r="18" spans="1:2" ht="31">
      <c r="A18" s="498"/>
      <c r="B18" s="467" t="s">
        <v>2367</v>
      </c>
    </row>
    <row r="19" spans="1:2" ht="46.5">
      <c r="A19" s="498"/>
      <c r="B19" s="467" t="s">
        <v>2368</v>
      </c>
    </row>
    <row r="20" spans="1:2" ht="31">
      <c r="A20" s="498"/>
      <c r="B20" s="467" t="s">
        <v>2369</v>
      </c>
    </row>
    <row r="21" spans="1:2">
      <c r="A21" s="493" t="s">
        <v>2158</v>
      </c>
      <c r="B21" s="468" t="s">
        <v>2159</v>
      </c>
    </row>
    <row r="22" spans="1:2">
      <c r="A22" s="491" t="s">
        <v>37</v>
      </c>
      <c r="B22" s="469" t="s">
        <v>2370</v>
      </c>
    </row>
    <row r="23" spans="1:2" ht="31">
      <c r="A23" s="614"/>
      <c r="B23" s="469" t="s">
        <v>2371</v>
      </c>
    </row>
    <row r="24" spans="1:2" ht="31">
      <c r="A24" s="614"/>
      <c r="B24" s="469" t="s">
        <v>2372</v>
      </c>
    </row>
    <row r="25" spans="1:2">
      <c r="A25" s="614"/>
      <c r="B25" s="469" t="s">
        <v>2373</v>
      </c>
    </row>
    <row r="26" spans="1:2">
      <c r="A26" s="614"/>
      <c r="B26" s="469" t="s">
        <v>2374</v>
      </c>
    </row>
    <row r="27" spans="1:2">
      <c r="A27" s="614"/>
      <c r="B27" s="469" t="s">
        <v>2375</v>
      </c>
    </row>
    <row r="28" spans="1:2" ht="31">
      <c r="A28" s="614"/>
      <c r="B28" s="469" t="s">
        <v>2376</v>
      </c>
    </row>
    <row r="29" spans="1:2">
      <c r="A29" s="614"/>
      <c r="B29" s="469" t="s">
        <v>2377</v>
      </c>
    </row>
    <row r="30" spans="1:2">
      <c r="A30" s="614"/>
      <c r="B30" s="469" t="s">
        <v>2378</v>
      </c>
    </row>
    <row r="31" spans="1:2">
      <c r="A31" s="614"/>
      <c r="B31" s="469" t="s">
        <v>2379</v>
      </c>
    </row>
    <row r="32" spans="1:2">
      <c r="A32" s="614"/>
      <c r="B32" s="469" t="s">
        <v>2380</v>
      </c>
    </row>
    <row r="33" spans="1:2">
      <c r="A33" s="492"/>
      <c r="B33" s="469" t="s">
        <v>2381</v>
      </c>
    </row>
    <row r="34" spans="1:2">
      <c r="A34" s="492"/>
      <c r="B34" s="469" t="s">
        <v>2382</v>
      </c>
    </row>
    <row r="35" spans="1:2">
      <c r="A35" s="492"/>
      <c r="B35" s="469" t="s">
        <v>2383</v>
      </c>
    </row>
    <row r="36" spans="1:2">
      <c r="A36" s="492"/>
      <c r="B36" s="469" t="s">
        <v>2384</v>
      </c>
    </row>
    <row r="37" spans="1:2" ht="31">
      <c r="A37" s="492"/>
      <c r="B37" s="469" t="s">
        <v>2385</v>
      </c>
    </row>
    <row r="38" spans="1:2">
      <c r="A38" s="492"/>
      <c r="B38" s="469" t="s">
        <v>2386</v>
      </c>
    </row>
    <row r="39" spans="1:2">
      <c r="A39" s="470" t="s">
        <v>2158</v>
      </c>
      <c r="B39" s="470" t="s">
        <v>2160</v>
      </c>
    </row>
    <row r="40" spans="1:2" ht="31">
      <c r="A40" s="471" t="s">
        <v>37</v>
      </c>
      <c r="B40" s="472" t="s">
        <v>2387</v>
      </c>
    </row>
    <row r="41" spans="1:2">
      <c r="A41" s="471"/>
      <c r="B41" s="472" t="s">
        <v>2388</v>
      </c>
    </row>
    <row r="42" spans="1:2">
      <c r="A42" s="471"/>
      <c r="B42" s="472" t="s">
        <v>2389</v>
      </c>
    </row>
    <row r="43" spans="1:2">
      <c r="A43" s="471"/>
      <c r="B43" s="472" t="s">
        <v>2390</v>
      </c>
    </row>
    <row r="44" spans="1:2">
      <c r="A44" s="471"/>
      <c r="B44" s="472" t="s">
        <v>2391</v>
      </c>
    </row>
    <row r="45" spans="1:2">
      <c r="A45" s="471"/>
      <c r="B45" s="472" t="s">
        <v>2392</v>
      </c>
    </row>
    <row r="46" spans="1:2">
      <c r="A46" s="471"/>
      <c r="B46" s="472" t="s">
        <v>2393</v>
      </c>
    </row>
    <row r="47" spans="1:2">
      <c r="A47" s="471"/>
      <c r="B47" s="472" t="s">
        <v>2394</v>
      </c>
    </row>
    <row r="48" spans="1:2">
      <c r="A48" s="471"/>
      <c r="B48" s="472" t="s">
        <v>2395</v>
      </c>
    </row>
    <row r="49" spans="1:2">
      <c r="A49" s="471"/>
      <c r="B49" s="472" t="s">
        <v>2396</v>
      </c>
    </row>
    <row r="50" spans="1:2">
      <c r="A50" s="471"/>
      <c r="B50" s="472" t="s">
        <v>2397</v>
      </c>
    </row>
    <row r="51" spans="1:2">
      <c r="A51" s="471"/>
      <c r="B51" s="472" t="s">
        <v>2398</v>
      </c>
    </row>
    <row r="52" spans="1:2" ht="31">
      <c r="A52" s="471"/>
      <c r="B52" s="472" t="s">
        <v>2399</v>
      </c>
    </row>
    <row r="53" spans="1:2" ht="31">
      <c r="A53" s="471"/>
      <c r="B53" s="472" t="s">
        <v>2400</v>
      </c>
    </row>
    <row r="54" spans="1:2">
      <c r="A54" s="471"/>
      <c r="B54" s="472" t="s">
        <v>2401</v>
      </c>
    </row>
    <row r="55" spans="1:2">
      <c r="A55" s="471"/>
      <c r="B55" s="472" t="s">
        <v>2402</v>
      </c>
    </row>
    <row r="56" spans="1:2">
      <c r="A56" s="471"/>
      <c r="B56" s="472" t="s">
        <v>2403</v>
      </c>
    </row>
  </sheetData>
  <mergeCells count="1">
    <mergeCell ref="A2:B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7:G193"/>
  <sheetViews>
    <sheetView showGridLines="0" zoomScale="80" zoomScaleNormal="80" workbookViewId="0">
      <selection activeCell="G93" sqref="G93"/>
    </sheetView>
  </sheetViews>
  <sheetFormatPr defaultColWidth="9" defaultRowHeight="15.5"/>
  <cols>
    <col min="1" max="1" width="31.6640625" style="58" bestFit="1" customWidth="1"/>
    <col min="2" max="2" width="20.33203125" style="58" bestFit="1" customWidth="1"/>
    <col min="3" max="3" width="9.9140625" style="58" bestFit="1" customWidth="1"/>
    <col min="4" max="4" width="65.6640625" style="58" hidden="1" customWidth="1"/>
    <col min="5" max="5" width="73.6640625" style="58" hidden="1" customWidth="1"/>
    <col min="6" max="6" width="86" style="58" hidden="1" customWidth="1"/>
    <col min="7" max="7" width="11" style="58" customWidth="1"/>
    <col min="8" max="16384" width="9" style="58"/>
  </cols>
  <sheetData>
    <row r="27" spans="1:7" hidden="1">
      <c r="A27" s="366" t="s">
        <v>20</v>
      </c>
      <c r="B27" s="58" t="s">
        <v>1471</v>
      </c>
    </row>
    <row r="28" spans="1:7" hidden="1"/>
    <row r="29" spans="1:7" s="87" customFormat="1" ht="31" hidden="1">
      <c r="A29" s="1108" t="s">
        <v>21</v>
      </c>
      <c r="B29" s="1108" t="s">
        <v>22</v>
      </c>
      <c r="C29" s="1073" t="s">
        <v>1522</v>
      </c>
      <c r="D29" s="58" t="s">
        <v>2123</v>
      </c>
      <c r="E29" s="58" t="s">
        <v>2122</v>
      </c>
      <c r="F29" s="58" t="s">
        <v>2121</v>
      </c>
      <c r="G29"/>
    </row>
    <row r="30" spans="1:7" hidden="1">
      <c r="A30" s="58" t="s">
        <v>37</v>
      </c>
      <c r="B30" s="58" t="s">
        <v>195</v>
      </c>
      <c r="C30" s="1068">
        <v>14497</v>
      </c>
      <c r="D30" s="1068">
        <v>10826</v>
      </c>
      <c r="E30" s="1068">
        <v>10586</v>
      </c>
      <c r="F30" s="1068">
        <v>11977</v>
      </c>
      <c r="G30"/>
    </row>
    <row r="31" spans="1:7" hidden="1">
      <c r="B31" s="58" t="s">
        <v>146</v>
      </c>
      <c r="C31" s="1068">
        <v>5342</v>
      </c>
      <c r="D31" s="1068">
        <v>4270</v>
      </c>
      <c r="E31" s="1068">
        <v>3489</v>
      </c>
      <c r="F31" s="1068">
        <v>3311.3333333333335</v>
      </c>
      <c r="G31"/>
    </row>
    <row r="32" spans="1:7" hidden="1">
      <c r="B32" s="58" t="s">
        <v>148</v>
      </c>
      <c r="C32" s="1068">
        <v>8006</v>
      </c>
      <c r="D32" s="1068">
        <v>6809</v>
      </c>
      <c r="E32" s="1068">
        <v>5854</v>
      </c>
      <c r="F32" s="1068">
        <v>7342</v>
      </c>
      <c r="G32"/>
    </row>
    <row r="33" spans="1:7" hidden="1">
      <c r="B33" s="58" t="s">
        <v>38</v>
      </c>
      <c r="C33" s="1068">
        <v>26699</v>
      </c>
      <c r="D33" s="1068">
        <v>15379</v>
      </c>
      <c r="E33" s="1068">
        <v>23426</v>
      </c>
      <c r="F33" s="1068">
        <v>21447.666666666668</v>
      </c>
      <c r="G33"/>
    </row>
    <row r="34" spans="1:7" hidden="1">
      <c r="B34" s="58" t="s">
        <v>152</v>
      </c>
      <c r="C34" s="1068">
        <v>3100</v>
      </c>
      <c r="D34" s="1068">
        <v>2694</v>
      </c>
      <c r="E34" s="1068">
        <v>2532</v>
      </c>
      <c r="F34" s="1068">
        <v>3068</v>
      </c>
      <c r="G34"/>
    </row>
    <row r="35" spans="1:7" hidden="1">
      <c r="B35" s="58" t="s">
        <v>157</v>
      </c>
      <c r="C35" s="1068">
        <v>6335</v>
      </c>
      <c r="D35" s="1068">
        <v>58</v>
      </c>
      <c r="E35" s="1068">
        <v>158</v>
      </c>
      <c r="F35" s="1068">
        <v>185</v>
      </c>
      <c r="G35"/>
    </row>
    <row r="36" spans="1:7" hidden="1">
      <c r="B36" s="58" t="s">
        <v>205</v>
      </c>
      <c r="C36" s="1068">
        <v>54322</v>
      </c>
      <c r="D36" s="1068">
        <v>36539</v>
      </c>
      <c r="E36" s="1068">
        <v>42740</v>
      </c>
      <c r="F36" s="1068">
        <v>26408</v>
      </c>
      <c r="G36"/>
    </row>
    <row r="37" spans="1:7" hidden="1">
      <c r="B37" s="58" t="s">
        <v>159</v>
      </c>
      <c r="C37" s="1068">
        <v>20027</v>
      </c>
      <c r="D37" s="1068">
        <v>13249</v>
      </c>
      <c r="E37" s="1068">
        <v>15230</v>
      </c>
      <c r="F37" s="1068">
        <v>20027</v>
      </c>
      <c r="G37"/>
    </row>
    <row r="38" spans="1:7" hidden="1">
      <c r="B38" s="58" t="s">
        <v>214</v>
      </c>
      <c r="C38" s="1068">
        <v>3758</v>
      </c>
      <c r="D38" s="1068">
        <v>695</v>
      </c>
      <c r="E38" s="1068">
        <v>1112</v>
      </c>
      <c r="F38" s="1068">
        <v>3758</v>
      </c>
      <c r="G38"/>
    </row>
    <row r="39" spans="1:7" hidden="1">
      <c r="B39" s="58" t="s">
        <v>184</v>
      </c>
      <c r="C39" s="1068">
        <v>2132</v>
      </c>
      <c r="D39" s="1068">
        <v>1426</v>
      </c>
      <c r="E39" s="1068">
        <v>1961</v>
      </c>
      <c r="F39" s="1068">
        <v>1961</v>
      </c>
      <c r="G39"/>
    </row>
    <row r="40" spans="1:7" hidden="1">
      <c r="B40" s="58" t="s">
        <v>858</v>
      </c>
      <c r="C40" s="1068">
        <v>2292</v>
      </c>
      <c r="D40" s="1068">
        <v>1623</v>
      </c>
      <c r="E40" s="1068">
        <v>753</v>
      </c>
      <c r="F40" s="1068">
        <v>2292</v>
      </c>
      <c r="G40"/>
    </row>
    <row r="41" spans="1:7" hidden="1">
      <c r="B41" s="58" t="s">
        <v>142</v>
      </c>
      <c r="C41" s="1068">
        <v>59737</v>
      </c>
      <c r="D41" s="1068">
        <v>34230</v>
      </c>
      <c r="E41" s="1068">
        <v>37760</v>
      </c>
      <c r="F41" s="1068">
        <v>24080.670370370372</v>
      </c>
      <c r="G41"/>
    </row>
    <row r="42" spans="1:7" hidden="1">
      <c r="B42" s="58" t="s">
        <v>586</v>
      </c>
      <c r="C42" s="1068">
        <v>1406</v>
      </c>
      <c r="D42" s="1068">
        <v>1182</v>
      </c>
      <c r="E42" s="1068">
        <v>1182</v>
      </c>
      <c r="F42" s="1068">
        <v>1182</v>
      </c>
      <c r="G42"/>
    </row>
    <row r="43" spans="1:7" hidden="1">
      <c r="A43" s="58" t="s">
        <v>1484</v>
      </c>
      <c r="C43" s="1068">
        <v>207653</v>
      </c>
      <c r="D43" s="1068">
        <v>128980</v>
      </c>
      <c r="E43" s="1068">
        <v>146783</v>
      </c>
      <c r="F43" s="1068">
        <v>127039.67037037037</v>
      </c>
      <c r="G43"/>
    </row>
    <row r="44" spans="1:7" hidden="1">
      <c r="A44" s="58" t="s">
        <v>515</v>
      </c>
      <c r="B44" s="58" t="s">
        <v>534</v>
      </c>
      <c r="C44" s="1068">
        <v>802</v>
      </c>
      <c r="D44" s="1068">
        <v>802</v>
      </c>
      <c r="E44" s="1068">
        <v>802</v>
      </c>
      <c r="F44" s="1068">
        <v>802</v>
      </c>
      <c r="G44"/>
    </row>
    <row r="45" spans="1:7" hidden="1">
      <c r="B45" s="58" t="s">
        <v>556</v>
      </c>
      <c r="C45" s="1068">
        <v>240</v>
      </c>
      <c r="D45" s="1068">
        <v>90</v>
      </c>
      <c r="E45" s="1068">
        <v>0</v>
      </c>
      <c r="F45" s="1068">
        <v>0</v>
      </c>
      <c r="G45"/>
    </row>
    <row r="46" spans="1:7" hidden="1">
      <c r="B46" s="58" t="s">
        <v>519</v>
      </c>
      <c r="C46" s="1068">
        <v>9324</v>
      </c>
      <c r="D46" s="1068">
        <v>7362</v>
      </c>
      <c r="E46" s="1068">
        <v>9014</v>
      </c>
      <c r="F46" s="1068">
        <v>8738.6666666666679</v>
      </c>
      <c r="G46"/>
    </row>
    <row r="47" spans="1:7" hidden="1">
      <c r="B47" s="58" t="s">
        <v>956</v>
      </c>
      <c r="C47" s="1068">
        <v>2634</v>
      </c>
      <c r="D47" s="1068">
        <v>0</v>
      </c>
      <c r="E47" s="1068">
        <v>103</v>
      </c>
      <c r="F47" s="1068">
        <v>236.33333333333337</v>
      </c>
      <c r="G47"/>
    </row>
    <row r="48" spans="1:7" hidden="1">
      <c r="B48" s="58" t="s">
        <v>522</v>
      </c>
      <c r="C48" s="1068">
        <v>282</v>
      </c>
      <c r="D48" s="1068">
        <v>282</v>
      </c>
      <c r="E48" s="1068">
        <v>282</v>
      </c>
      <c r="F48" s="1068">
        <v>282</v>
      </c>
      <c r="G48"/>
    </row>
    <row r="49" spans="1:7" hidden="1">
      <c r="B49" s="58" t="s">
        <v>525</v>
      </c>
      <c r="C49" s="1068">
        <v>4287</v>
      </c>
      <c r="D49" s="1068">
        <v>0</v>
      </c>
      <c r="E49" s="1068">
        <v>0</v>
      </c>
      <c r="F49" s="1068">
        <v>2474</v>
      </c>
      <c r="G49"/>
    </row>
    <row r="50" spans="1:7" hidden="1">
      <c r="B50" s="58" t="s">
        <v>516</v>
      </c>
      <c r="C50" s="1068">
        <v>1895</v>
      </c>
      <c r="D50" s="1068">
        <v>1249</v>
      </c>
      <c r="E50" s="1068">
        <v>1649</v>
      </c>
      <c r="F50" s="1068">
        <v>1895</v>
      </c>
      <c r="G50"/>
    </row>
    <row r="51" spans="1:7" hidden="1">
      <c r="B51" s="58" t="s">
        <v>536</v>
      </c>
      <c r="C51" s="1068">
        <v>615</v>
      </c>
      <c r="D51" s="1068">
        <v>538</v>
      </c>
      <c r="E51" s="1068">
        <v>615</v>
      </c>
      <c r="F51" s="1068">
        <v>615</v>
      </c>
      <c r="G51"/>
    </row>
    <row r="52" spans="1:7" hidden="1">
      <c r="B52" s="58" t="s">
        <v>958</v>
      </c>
      <c r="C52" s="1068">
        <v>10566</v>
      </c>
      <c r="D52" s="1068">
        <v>0</v>
      </c>
      <c r="E52" s="1068">
        <v>1200</v>
      </c>
      <c r="F52" s="1068">
        <v>3200</v>
      </c>
      <c r="G52"/>
    </row>
    <row r="53" spans="1:7" hidden="1">
      <c r="B53" s="58" t="s">
        <v>955</v>
      </c>
      <c r="C53" s="1068">
        <v>1437</v>
      </c>
      <c r="D53" s="1068">
        <v>0</v>
      </c>
      <c r="E53" s="1068">
        <v>429</v>
      </c>
      <c r="F53" s="1068">
        <v>231</v>
      </c>
      <c r="G53"/>
    </row>
    <row r="54" spans="1:7" hidden="1">
      <c r="B54" s="58" t="s">
        <v>2971</v>
      </c>
      <c r="C54" s="1068">
        <v>157</v>
      </c>
      <c r="D54" s="1068">
        <v>0</v>
      </c>
      <c r="E54" s="1068">
        <v>0</v>
      </c>
      <c r="F54" s="1068">
        <v>0</v>
      </c>
      <c r="G54"/>
    </row>
    <row r="55" spans="1:7" hidden="1">
      <c r="B55" s="58" t="s">
        <v>979</v>
      </c>
      <c r="C55" s="1068">
        <v>157</v>
      </c>
      <c r="D55" s="1068">
        <v>0</v>
      </c>
      <c r="E55" s="1068">
        <v>0</v>
      </c>
      <c r="F55" s="1068">
        <v>0</v>
      </c>
      <c r="G55"/>
    </row>
    <row r="56" spans="1:7" hidden="1">
      <c r="A56" s="58" t="s">
        <v>2081</v>
      </c>
      <c r="C56" s="1068">
        <v>32396</v>
      </c>
      <c r="D56" s="1068">
        <v>10323</v>
      </c>
      <c r="E56" s="1068">
        <v>14094</v>
      </c>
      <c r="F56" s="1068">
        <v>18474</v>
      </c>
      <c r="G56"/>
    </row>
    <row r="57" spans="1:7" hidden="1">
      <c r="A57" s="58" t="s">
        <v>1280</v>
      </c>
      <c r="C57" s="1068">
        <v>240049</v>
      </c>
      <c r="D57" s="1068">
        <v>139303</v>
      </c>
      <c r="E57" s="1068">
        <v>160877</v>
      </c>
      <c r="F57" s="1068">
        <v>145513.67037037038</v>
      </c>
      <c r="G57"/>
    </row>
    <row r="58" spans="1:7" hidden="1">
      <c r="A58"/>
      <c r="B58"/>
      <c r="C58"/>
      <c r="D58"/>
      <c r="E58"/>
      <c r="F58"/>
      <c r="G58"/>
    </row>
    <row r="59" spans="1:7" hidden="1">
      <c r="A59"/>
      <c r="B59"/>
      <c r="C59"/>
      <c r="D59"/>
      <c r="E59"/>
      <c r="F59"/>
      <c r="G59"/>
    </row>
    <row r="60" spans="1:7" hidden="1">
      <c r="A60"/>
      <c r="B60"/>
      <c r="C60"/>
      <c r="D60"/>
      <c r="E60"/>
      <c r="F60"/>
      <c r="G60"/>
    </row>
    <row r="61" spans="1:7" hidden="1">
      <c r="A61"/>
      <c r="B61"/>
      <c r="C61"/>
      <c r="D61"/>
      <c r="E61"/>
      <c r="F61"/>
      <c r="G61"/>
    </row>
    <row r="62" spans="1:7" hidden="1">
      <c r="A62"/>
      <c r="B62"/>
      <c r="C62"/>
      <c r="D62"/>
      <c r="E62"/>
      <c r="F62"/>
      <c r="G62"/>
    </row>
    <row r="63" spans="1:7" hidden="1">
      <c r="A63"/>
      <c r="B63"/>
      <c r="C63"/>
      <c r="D63"/>
      <c r="E63"/>
      <c r="F63"/>
      <c r="G63"/>
    </row>
    <row r="64" spans="1:7" hidden="1">
      <c r="A64"/>
      <c r="B64"/>
      <c r="C64"/>
      <c r="D64"/>
      <c r="E64"/>
      <c r="F64"/>
      <c r="G64"/>
    </row>
    <row r="65" spans="1:7" hidden="1">
      <c r="A65"/>
      <c r="B65"/>
      <c r="C65"/>
      <c r="D65"/>
      <c r="E65"/>
      <c r="F65"/>
      <c r="G65"/>
    </row>
    <row r="66" spans="1:7" hidden="1">
      <c r="A66"/>
      <c r="B66"/>
      <c r="C66"/>
      <c r="D66"/>
      <c r="E66"/>
      <c r="F66"/>
      <c r="G66"/>
    </row>
    <row r="67" spans="1:7" hidden="1">
      <c r="A67"/>
      <c r="B67"/>
      <c r="C67"/>
      <c r="D67"/>
      <c r="E67"/>
      <c r="F67"/>
      <c r="G67"/>
    </row>
    <row r="68" spans="1:7" hidden="1">
      <c r="A68"/>
      <c r="B68"/>
      <c r="C68"/>
      <c r="D68"/>
      <c r="E68"/>
      <c r="F68"/>
      <c r="G68"/>
    </row>
    <row r="69" spans="1:7" hidden="1">
      <c r="A69"/>
      <c r="B69"/>
      <c r="C69"/>
      <c r="D69"/>
      <c r="E69"/>
      <c r="F69"/>
      <c r="G69"/>
    </row>
    <row r="70" spans="1:7" hidden="1">
      <c r="A70"/>
      <c r="B70"/>
      <c r="C70"/>
      <c r="D70"/>
      <c r="E70"/>
      <c r="F70"/>
      <c r="G70"/>
    </row>
    <row r="71" spans="1:7" hidden="1">
      <c r="A71"/>
      <c r="B71"/>
      <c r="C71"/>
      <c r="D71"/>
      <c r="E71"/>
      <c r="F71"/>
      <c r="G71"/>
    </row>
    <row r="72" spans="1:7" hidden="1">
      <c r="A72"/>
      <c r="B72"/>
      <c r="C72"/>
      <c r="D72"/>
      <c r="E72"/>
      <c r="F72"/>
      <c r="G72"/>
    </row>
    <row r="73" spans="1:7" hidden="1">
      <c r="A73"/>
      <c r="B73"/>
      <c r="C73"/>
      <c r="D73"/>
      <c r="E73"/>
      <c r="F73"/>
      <c r="G73"/>
    </row>
    <row r="74" spans="1:7" hidden="1">
      <c r="A74"/>
      <c r="B74"/>
      <c r="C74"/>
      <c r="D74"/>
      <c r="E74"/>
      <c r="F74"/>
      <c r="G74"/>
    </row>
    <row r="75" spans="1:7" hidden="1">
      <c r="A75"/>
      <c r="B75"/>
      <c r="C75"/>
      <c r="D75"/>
      <c r="E75"/>
      <c r="F75"/>
      <c r="G75"/>
    </row>
    <row r="76" spans="1:7" hidden="1">
      <c r="A76"/>
      <c r="B76"/>
      <c r="C76"/>
      <c r="D76"/>
      <c r="E76"/>
      <c r="F76"/>
      <c r="G76"/>
    </row>
    <row r="77" spans="1:7" hidden="1">
      <c r="A77"/>
      <c r="B77"/>
      <c r="C77"/>
      <c r="D77"/>
      <c r="E77"/>
      <c r="F77"/>
      <c r="G77"/>
    </row>
    <row r="78" spans="1:7" hidden="1">
      <c r="A78"/>
      <c r="B78"/>
      <c r="C78"/>
      <c r="D78"/>
      <c r="E78"/>
      <c r="F78"/>
      <c r="G78"/>
    </row>
    <row r="79" spans="1:7" hidden="1">
      <c r="A79"/>
      <c r="B79"/>
      <c r="C79"/>
      <c r="D79"/>
      <c r="E79"/>
      <c r="F79"/>
      <c r="G79"/>
    </row>
    <row r="80" spans="1:7" hidden="1">
      <c r="A80"/>
      <c r="B80"/>
      <c r="C80"/>
      <c r="D80"/>
      <c r="E80"/>
      <c r="F80"/>
      <c r="G80"/>
    </row>
    <row r="81" spans="1:7" hidden="1">
      <c r="A81"/>
      <c r="B81"/>
      <c r="C81"/>
      <c r="D81"/>
      <c r="E81"/>
      <c r="F81"/>
      <c r="G81"/>
    </row>
    <row r="82" spans="1:7" hidden="1">
      <c r="A82"/>
      <c r="B82"/>
      <c r="C82"/>
      <c r="D82"/>
      <c r="E82"/>
      <c r="F82"/>
      <c r="G82"/>
    </row>
    <row r="83" spans="1:7" hidden="1">
      <c r="A83"/>
      <c r="B83"/>
      <c r="C83"/>
      <c r="D83"/>
      <c r="E83"/>
      <c r="F83"/>
      <c r="G83"/>
    </row>
    <row r="84" spans="1:7" hidden="1">
      <c r="A84"/>
      <c r="B84"/>
      <c r="C84"/>
      <c r="D84"/>
      <c r="E84"/>
      <c r="F84"/>
      <c r="G84"/>
    </row>
    <row r="85" spans="1:7" hidden="1">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hidden="1">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c r="F172"/>
      <c r="G172"/>
    </row>
    <row r="173" spans="1:7">
      <c r="A173"/>
      <c r="B173"/>
      <c r="C173"/>
      <c r="D173"/>
      <c r="E173"/>
      <c r="F173"/>
      <c r="G173"/>
    </row>
    <row r="174" spans="1:7">
      <c r="A174"/>
      <c r="B174"/>
      <c r="C174"/>
      <c r="D174"/>
      <c r="E174"/>
      <c r="F174"/>
      <c r="G174"/>
    </row>
    <row r="175" spans="1:7">
      <c r="A175"/>
      <c r="B175"/>
      <c r="C175"/>
      <c r="D175"/>
      <c r="E175"/>
      <c r="F175"/>
      <c r="G175"/>
    </row>
    <row r="176" spans="1:7">
      <c r="A176"/>
      <c r="B176"/>
      <c r="C176"/>
      <c r="D176"/>
      <c r="E176"/>
      <c r="F176"/>
      <c r="G176"/>
    </row>
    <row r="177" spans="1:7">
      <c r="A177"/>
      <c r="B177"/>
      <c r="C177"/>
      <c r="D177"/>
      <c r="E177"/>
      <c r="F177"/>
      <c r="G177"/>
    </row>
    <row r="178" spans="1:7">
      <c r="A178"/>
      <c r="B178"/>
      <c r="C178"/>
      <c r="D178"/>
      <c r="E178"/>
      <c r="F178"/>
      <c r="G178"/>
    </row>
    <row r="179" spans="1:7">
      <c r="A179"/>
      <c r="B179"/>
      <c r="C179"/>
      <c r="D179"/>
      <c r="E179"/>
      <c r="F179"/>
      <c r="G179"/>
    </row>
    <row r="180" spans="1:7">
      <c r="A180"/>
      <c r="B180"/>
      <c r="C180"/>
      <c r="D180"/>
      <c r="E180"/>
      <c r="F180"/>
      <c r="G180"/>
    </row>
    <row r="181" spans="1:7">
      <c r="A181"/>
      <c r="B181"/>
      <c r="C181"/>
      <c r="D181"/>
      <c r="E181"/>
      <c r="F181"/>
      <c r="G181"/>
    </row>
    <row r="182" spans="1:7">
      <c r="A182"/>
      <c r="B182"/>
      <c r="C182"/>
      <c r="D182"/>
      <c r="E182"/>
      <c r="F182"/>
      <c r="G182"/>
    </row>
    <row r="183" spans="1:7">
      <c r="A183"/>
      <c r="B183"/>
      <c r="C183"/>
      <c r="D183"/>
      <c r="E183"/>
      <c r="F183"/>
      <c r="G183"/>
    </row>
    <row r="184" spans="1:7">
      <c r="A184"/>
      <c r="B184"/>
      <c r="C184"/>
      <c r="D184"/>
      <c r="E184"/>
      <c r="F184"/>
      <c r="G184"/>
    </row>
    <row r="185" spans="1:7">
      <c r="A185"/>
      <c r="B185"/>
      <c r="C185"/>
      <c r="D185"/>
      <c r="E185"/>
      <c r="F185"/>
      <c r="G185"/>
    </row>
    <row r="186" spans="1:7">
      <c r="A186"/>
      <c r="B186"/>
      <c r="C186"/>
      <c r="D186"/>
      <c r="E186"/>
      <c r="F186"/>
      <c r="G186"/>
    </row>
    <row r="187" spans="1:7">
      <c r="A187"/>
      <c r="B187"/>
      <c r="C187"/>
      <c r="D187"/>
      <c r="E187"/>
      <c r="F187"/>
      <c r="G187"/>
    </row>
    <row r="188" spans="1:7">
      <c r="A188"/>
      <c r="B188"/>
      <c r="C188"/>
      <c r="D188"/>
      <c r="E188"/>
      <c r="F188"/>
      <c r="G188"/>
    </row>
    <row r="189" spans="1:7">
      <c r="A189"/>
      <c r="B189"/>
      <c r="C189"/>
      <c r="D189"/>
      <c r="E189"/>
      <c r="F189"/>
      <c r="G189"/>
    </row>
    <row r="190" spans="1:7">
      <c r="A190"/>
      <c r="B190"/>
      <c r="C190"/>
      <c r="D190"/>
      <c r="E190"/>
      <c r="F190"/>
      <c r="G190"/>
    </row>
    <row r="191" spans="1:7">
      <c r="A191"/>
      <c r="B191"/>
      <c r="C191"/>
      <c r="D191"/>
      <c r="E191"/>
      <c r="F191"/>
      <c r="G191"/>
    </row>
    <row r="192" spans="1:7">
      <c r="A192"/>
      <c r="B192"/>
      <c r="C192"/>
      <c r="D192"/>
      <c r="E192"/>
      <c r="F192"/>
      <c r="G192"/>
    </row>
    <row r="193" spans="1:7">
      <c r="A193"/>
      <c r="B193"/>
      <c r="C193"/>
      <c r="D193"/>
      <c r="E193"/>
      <c r="F193"/>
      <c r="G193"/>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47B20-6E5D-47A1-BC22-DBAC78E3C667}">
  <dimension ref="A1:B4"/>
  <sheetViews>
    <sheetView workbookViewId="0">
      <selection activeCell="B22" sqref="B22"/>
    </sheetView>
  </sheetViews>
  <sheetFormatPr defaultRowHeight="15.5"/>
  <cols>
    <col min="1" max="1" width="14.5" bestFit="1" customWidth="1"/>
    <col min="2" max="3" width="59" bestFit="1" customWidth="1"/>
  </cols>
  <sheetData>
    <row r="1" spans="1:2">
      <c r="A1" s="419" t="s">
        <v>20</v>
      </c>
      <c r="B1" s="413" t="s">
        <v>1279</v>
      </c>
    </row>
    <row r="3" spans="1:2">
      <c r="A3" s="419" t="s">
        <v>1278</v>
      </c>
      <c r="B3" t="s">
        <v>2591</v>
      </c>
    </row>
    <row r="4" spans="1:2">
      <c r="A4" s="483" t="s">
        <v>1280</v>
      </c>
      <c r="B4" s="412"/>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573"/>
  <sheetViews>
    <sheetView showGridLines="0" topLeftCell="H1" zoomScale="86" zoomScaleNormal="86" workbookViewId="0">
      <selection activeCell="P20" sqref="P20"/>
    </sheetView>
  </sheetViews>
  <sheetFormatPr defaultColWidth="9" defaultRowHeight="15.5"/>
  <cols>
    <col min="1" max="1" width="44.9140625" style="58" hidden="1" customWidth="1"/>
    <col min="2" max="2" width="14.5" style="58" hidden="1" customWidth="1"/>
    <col min="3" max="3" width="58.08203125" style="58" hidden="1" customWidth="1"/>
    <col min="4" max="4" width="46.1640625" style="58" hidden="1" customWidth="1"/>
    <col min="5" max="5" width="73.5" style="58" hidden="1" customWidth="1"/>
    <col min="6" max="6" width="37.1640625" style="58" hidden="1" customWidth="1"/>
    <col min="7" max="7" width="59.1640625" style="58" hidden="1" customWidth="1"/>
    <col min="8" max="8" width="9" style="58" customWidth="1"/>
    <col min="9" max="16384" width="9" style="58"/>
  </cols>
  <sheetData>
    <row r="1" spans="1:20" ht="26">
      <c r="A1" s="1202" t="s">
        <v>3402</v>
      </c>
      <c r="B1" s="1202"/>
      <c r="C1" s="1202"/>
      <c r="D1" s="1202"/>
      <c r="E1" s="1202"/>
      <c r="F1" s="1202"/>
      <c r="G1" s="1202"/>
      <c r="H1" s="1202"/>
      <c r="I1" s="1202"/>
      <c r="J1" s="1202"/>
      <c r="K1" s="1202"/>
      <c r="L1" s="1202"/>
      <c r="M1" s="1202"/>
      <c r="N1" s="1202"/>
      <c r="O1" s="1202"/>
      <c r="P1" s="1202"/>
      <c r="Q1" s="1202"/>
      <c r="R1" s="1202"/>
      <c r="S1" s="1202"/>
      <c r="T1" s="1202"/>
    </row>
    <row r="33" spans="1:7">
      <c r="A33"/>
      <c r="B33"/>
    </row>
    <row r="34" spans="1:7">
      <c r="A34" s="366" t="s">
        <v>20</v>
      </c>
      <c r="B34" s="58" t="s">
        <v>2962</v>
      </c>
    </row>
    <row r="35" spans="1:7">
      <c r="A35" s="1108" t="s">
        <v>22</v>
      </c>
      <c r="B35" s="58" t="s">
        <v>1471</v>
      </c>
    </row>
    <row r="36" spans="1:7">
      <c r="A36" s="1108" t="s">
        <v>21</v>
      </c>
      <c r="B36" s="58" t="s">
        <v>1471</v>
      </c>
    </row>
    <row r="37" spans="1:7">
      <c r="C37" s="162"/>
      <c r="D37" s="162"/>
      <c r="E37" s="162"/>
    </row>
    <row r="38" spans="1:7" s="87" customFormat="1" ht="31">
      <c r="A38" s="366" t="s">
        <v>23</v>
      </c>
      <c r="B38" s="1073" t="s">
        <v>1522</v>
      </c>
      <c r="C38" s="58" t="s">
        <v>2125</v>
      </c>
      <c r="D38" s="58" t="s">
        <v>2126</v>
      </c>
      <c r="E38" s="58" t="s">
        <v>2127</v>
      </c>
      <c r="F38"/>
      <c r="G38"/>
    </row>
    <row r="39" spans="1:7">
      <c r="A39" s="58" t="s">
        <v>277</v>
      </c>
      <c r="B39" s="1068">
        <v>715</v>
      </c>
      <c r="C39" s="1068">
        <v>715</v>
      </c>
      <c r="D39" s="1068">
        <v>715</v>
      </c>
      <c r="E39" s="1068">
        <v>715</v>
      </c>
      <c r="F39"/>
      <c r="G39"/>
    </row>
    <row r="40" spans="1:7">
      <c r="A40" s="58" t="s">
        <v>248</v>
      </c>
      <c r="B40" s="1068">
        <v>446</v>
      </c>
      <c r="C40" s="1068">
        <v>446</v>
      </c>
      <c r="D40" s="1068">
        <v>368</v>
      </c>
      <c r="E40" s="1068">
        <v>446</v>
      </c>
      <c r="F40"/>
      <c r="G40"/>
    </row>
    <row r="41" spans="1:7">
      <c r="A41" s="58" t="s">
        <v>249</v>
      </c>
      <c r="B41" s="1068">
        <v>70</v>
      </c>
      <c r="C41" s="1068">
        <v>70</v>
      </c>
      <c r="D41" s="1068">
        <v>60</v>
      </c>
      <c r="E41" s="1068">
        <v>70</v>
      </c>
      <c r="F41"/>
      <c r="G41"/>
    </row>
    <row r="42" spans="1:7">
      <c r="A42" s="58" t="s">
        <v>206</v>
      </c>
      <c r="B42" s="1068">
        <v>502</v>
      </c>
      <c r="C42" s="1068">
        <v>0</v>
      </c>
      <c r="D42" s="1068">
        <v>502</v>
      </c>
      <c r="E42" s="1068">
        <v>502</v>
      </c>
      <c r="F42"/>
      <c r="G42"/>
    </row>
    <row r="43" spans="1:7">
      <c r="A43" s="58" t="s">
        <v>196</v>
      </c>
      <c r="B43" s="1068">
        <v>222</v>
      </c>
      <c r="C43" s="1068">
        <v>0</v>
      </c>
      <c r="D43" s="1068">
        <v>40</v>
      </c>
      <c r="E43" s="1068">
        <v>222</v>
      </c>
      <c r="F43"/>
      <c r="G43"/>
    </row>
    <row r="44" spans="1:7">
      <c r="A44" s="58" t="s">
        <v>250</v>
      </c>
      <c r="B44" s="1068">
        <v>249</v>
      </c>
      <c r="C44" s="1068">
        <v>249</v>
      </c>
      <c r="D44" s="1068">
        <v>200</v>
      </c>
      <c r="E44" s="1068">
        <v>249</v>
      </c>
      <c r="F44"/>
      <c r="G44"/>
    </row>
    <row r="45" spans="1:7">
      <c r="A45" s="58" t="s">
        <v>236</v>
      </c>
      <c r="B45" s="1068">
        <v>258</v>
      </c>
      <c r="C45" s="1068">
        <v>258</v>
      </c>
      <c r="D45" s="1068">
        <v>258</v>
      </c>
      <c r="E45" s="1068">
        <v>258</v>
      </c>
      <c r="F45"/>
      <c r="G45"/>
    </row>
    <row r="46" spans="1:7">
      <c r="A46" s="58" t="s">
        <v>1485</v>
      </c>
      <c r="B46" s="1068">
        <v>1900</v>
      </c>
      <c r="C46" s="1068">
        <v>1900</v>
      </c>
      <c r="D46" s="1068">
        <v>1900</v>
      </c>
      <c r="E46" s="1068">
        <v>1900</v>
      </c>
      <c r="F46"/>
      <c r="G46"/>
    </row>
    <row r="47" spans="1:7">
      <c r="A47" s="58" t="s">
        <v>245</v>
      </c>
      <c r="B47" s="1068">
        <v>704</v>
      </c>
      <c r="C47" s="1068">
        <v>500</v>
      </c>
      <c r="D47" s="1068">
        <v>280</v>
      </c>
      <c r="E47" s="1068">
        <v>704</v>
      </c>
      <c r="F47"/>
      <c r="G47"/>
    </row>
    <row r="48" spans="1:7">
      <c r="A48" s="58" t="s">
        <v>252</v>
      </c>
      <c r="B48" s="1068">
        <v>451</v>
      </c>
      <c r="C48" s="1068">
        <v>451</v>
      </c>
      <c r="D48" s="1068">
        <v>443</v>
      </c>
      <c r="E48" s="1068">
        <v>451</v>
      </c>
      <c r="F48"/>
      <c r="G48"/>
    </row>
    <row r="49" spans="1:7">
      <c r="A49" s="58" t="s">
        <v>232</v>
      </c>
      <c r="B49" s="1068">
        <v>404</v>
      </c>
      <c r="C49" s="1068">
        <v>404</v>
      </c>
      <c r="D49" s="1068">
        <v>400</v>
      </c>
      <c r="E49" s="1068">
        <v>404</v>
      </c>
      <c r="F49"/>
      <c r="G49"/>
    </row>
    <row r="50" spans="1:7">
      <c r="A50" s="58" t="s">
        <v>768</v>
      </c>
      <c r="B50" s="1068">
        <v>381</v>
      </c>
      <c r="C50" s="1068">
        <v>381</v>
      </c>
      <c r="D50" s="1068">
        <v>164</v>
      </c>
      <c r="E50" s="1068">
        <v>381</v>
      </c>
      <c r="F50"/>
      <c r="G50"/>
    </row>
    <row r="51" spans="1:7">
      <c r="A51" s="58" t="s">
        <v>268</v>
      </c>
      <c r="B51" s="1068">
        <v>298</v>
      </c>
      <c r="C51" s="1068">
        <v>298</v>
      </c>
      <c r="D51" s="1068">
        <v>40</v>
      </c>
      <c r="E51" s="1068">
        <v>0</v>
      </c>
      <c r="F51"/>
      <c r="G51"/>
    </row>
    <row r="52" spans="1:7">
      <c r="A52" s="58" t="s">
        <v>175</v>
      </c>
      <c r="B52" s="1068">
        <v>896</v>
      </c>
      <c r="C52" s="1068">
        <v>896</v>
      </c>
      <c r="D52" s="1068">
        <v>896</v>
      </c>
      <c r="E52" s="1068">
        <v>66.666666666666671</v>
      </c>
      <c r="F52"/>
      <c r="G52"/>
    </row>
    <row r="53" spans="1:7">
      <c r="A53" s="58" t="s">
        <v>149</v>
      </c>
      <c r="B53" s="1068">
        <v>126</v>
      </c>
      <c r="C53" s="1068">
        <v>126</v>
      </c>
      <c r="D53" s="1068">
        <v>80</v>
      </c>
      <c r="E53" s="1068">
        <v>126</v>
      </c>
      <c r="F53"/>
      <c r="G53"/>
    </row>
    <row r="54" spans="1:7">
      <c r="A54" s="58" t="s">
        <v>555</v>
      </c>
      <c r="B54" s="1068">
        <v>1414</v>
      </c>
      <c r="C54" s="1068">
        <v>0</v>
      </c>
      <c r="D54" s="1068">
        <v>0</v>
      </c>
      <c r="E54" s="1068">
        <v>1200</v>
      </c>
      <c r="F54"/>
      <c r="G54"/>
    </row>
    <row r="55" spans="1:7">
      <c r="A55" s="58" t="s">
        <v>254</v>
      </c>
      <c r="B55" s="1068">
        <v>471</v>
      </c>
      <c r="C55" s="1068">
        <v>471</v>
      </c>
      <c r="D55" s="1068">
        <v>280</v>
      </c>
      <c r="E55" s="1068">
        <v>471</v>
      </c>
      <c r="F55"/>
      <c r="G55"/>
    </row>
    <row r="56" spans="1:7">
      <c r="A56" s="58" t="s">
        <v>147</v>
      </c>
      <c r="B56" s="1068">
        <v>1089</v>
      </c>
      <c r="C56" s="1068">
        <v>500</v>
      </c>
      <c r="D56" s="1068">
        <v>1089</v>
      </c>
      <c r="E56" s="1068">
        <v>133.33333333333334</v>
      </c>
      <c r="F56"/>
      <c r="G56"/>
    </row>
    <row r="57" spans="1:7">
      <c r="A57" s="58" t="s">
        <v>217</v>
      </c>
      <c r="B57" s="1068">
        <v>3545</v>
      </c>
      <c r="C57" s="1068">
        <v>0</v>
      </c>
      <c r="D57" s="1068">
        <v>3545</v>
      </c>
      <c r="E57" s="1068">
        <v>1933.3333333333335</v>
      </c>
      <c r="F57"/>
      <c r="G57"/>
    </row>
    <row r="58" spans="1:7">
      <c r="A58" s="58" t="s">
        <v>198</v>
      </c>
      <c r="B58" s="1068">
        <v>226</v>
      </c>
      <c r="C58" s="1068">
        <v>200</v>
      </c>
      <c r="D58" s="1068">
        <v>220</v>
      </c>
      <c r="E58" s="1068">
        <v>226</v>
      </c>
      <c r="F58"/>
      <c r="G58"/>
    </row>
    <row r="59" spans="1:7">
      <c r="A59" s="58" t="s">
        <v>224</v>
      </c>
      <c r="B59" s="1068">
        <v>2322</v>
      </c>
      <c r="C59" s="1068">
        <v>0</v>
      </c>
      <c r="D59" s="1068">
        <v>2200</v>
      </c>
      <c r="E59" s="1068">
        <v>533.33333333333337</v>
      </c>
      <c r="F59"/>
      <c r="G59"/>
    </row>
    <row r="60" spans="1:7">
      <c r="A60" s="58" t="s">
        <v>161</v>
      </c>
      <c r="B60" s="1068">
        <v>742</v>
      </c>
      <c r="C60" s="1068">
        <v>742</v>
      </c>
      <c r="D60" s="1068">
        <v>742</v>
      </c>
      <c r="E60" s="1068">
        <v>742</v>
      </c>
      <c r="F60"/>
      <c r="G60"/>
    </row>
    <row r="61" spans="1:7">
      <c r="A61" s="58" t="s">
        <v>233</v>
      </c>
      <c r="B61" s="1068">
        <v>278</v>
      </c>
      <c r="C61" s="1068">
        <v>278</v>
      </c>
      <c r="D61" s="1068">
        <v>278</v>
      </c>
      <c r="E61" s="1068">
        <v>278</v>
      </c>
      <c r="F61"/>
      <c r="G61"/>
    </row>
    <row r="62" spans="1:7">
      <c r="A62" s="58" t="s">
        <v>290</v>
      </c>
      <c r="B62" s="1068">
        <v>8225</v>
      </c>
      <c r="C62" s="1068">
        <v>7000</v>
      </c>
      <c r="D62" s="1068">
        <v>8225</v>
      </c>
      <c r="E62" s="1068">
        <v>2883.3333333333335</v>
      </c>
      <c r="F62"/>
      <c r="G62"/>
    </row>
    <row r="63" spans="1:7">
      <c r="A63" s="58" t="s">
        <v>207</v>
      </c>
      <c r="B63" s="1068">
        <v>57</v>
      </c>
      <c r="C63" s="1068">
        <v>0</v>
      </c>
      <c r="D63" s="1068">
        <v>57</v>
      </c>
      <c r="E63" s="1068">
        <v>57</v>
      </c>
      <c r="F63"/>
      <c r="G63"/>
    </row>
    <row r="64" spans="1:7">
      <c r="A64" s="58" t="s">
        <v>209</v>
      </c>
      <c r="B64" s="1068">
        <v>263</v>
      </c>
      <c r="C64" s="1068">
        <v>0</v>
      </c>
      <c r="D64" s="1068">
        <v>100</v>
      </c>
      <c r="E64" s="1068">
        <v>263</v>
      </c>
      <c r="F64"/>
      <c r="G64"/>
    </row>
    <row r="65" spans="1:7">
      <c r="A65" s="58" t="s">
        <v>541</v>
      </c>
      <c r="B65" s="1068">
        <v>244</v>
      </c>
      <c r="C65" s="1068">
        <v>244</v>
      </c>
      <c r="D65" s="1068">
        <v>240</v>
      </c>
      <c r="E65" s="1068">
        <v>244</v>
      </c>
      <c r="F65"/>
      <c r="G65"/>
    </row>
    <row r="66" spans="1:7">
      <c r="A66" s="58" t="s">
        <v>546</v>
      </c>
      <c r="B66" s="1068">
        <v>180</v>
      </c>
      <c r="C66" s="1068">
        <v>180</v>
      </c>
      <c r="D66" s="1068">
        <v>180</v>
      </c>
      <c r="E66" s="1068">
        <v>180</v>
      </c>
      <c r="F66"/>
      <c r="G66"/>
    </row>
    <row r="67" spans="1:7">
      <c r="A67" s="58" t="s">
        <v>153</v>
      </c>
      <c r="B67" s="1068">
        <v>77</v>
      </c>
      <c r="C67" s="1068">
        <v>77</v>
      </c>
      <c r="D67" s="1068">
        <v>77</v>
      </c>
      <c r="E67" s="1068">
        <v>77</v>
      </c>
      <c r="F67"/>
      <c r="G67"/>
    </row>
    <row r="68" spans="1:7">
      <c r="A68" s="58" t="s">
        <v>289</v>
      </c>
      <c r="B68" s="1068">
        <v>2199</v>
      </c>
      <c r="C68" s="1068">
        <v>0</v>
      </c>
      <c r="D68" s="1068">
        <v>0</v>
      </c>
      <c r="E68" s="1068">
        <v>500</v>
      </c>
      <c r="F68"/>
      <c r="G68"/>
    </row>
    <row r="69" spans="1:7">
      <c r="A69" s="58" t="s">
        <v>294</v>
      </c>
      <c r="B69" s="1068">
        <v>2503</v>
      </c>
      <c r="C69" s="1068">
        <v>2503</v>
      </c>
      <c r="D69" s="1068">
        <v>2503</v>
      </c>
      <c r="E69" s="1068">
        <v>1850</v>
      </c>
      <c r="F69"/>
      <c r="G69"/>
    </row>
    <row r="70" spans="1:7">
      <c r="A70" s="58" t="s">
        <v>243</v>
      </c>
      <c r="B70" s="1068">
        <v>634</v>
      </c>
      <c r="C70" s="1068">
        <v>634</v>
      </c>
      <c r="D70" s="1068">
        <v>586</v>
      </c>
      <c r="E70" s="1068">
        <v>634</v>
      </c>
      <c r="F70"/>
      <c r="G70"/>
    </row>
    <row r="71" spans="1:7">
      <c r="A71" s="58" t="s">
        <v>163</v>
      </c>
      <c r="B71" s="1068">
        <v>564</v>
      </c>
      <c r="C71" s="1068">
        <v>564</v>
      </c>
      <c r="D71" s="1068">
        <v>280</v>
      </c>
      <c r="E71" s="1068">
        <v>564</v>
      </c>
      <c r="F71"/>
      <c r="G71"/>
    </row>
    <row r="72" spans="1:7">
      <c r="A72" s="58" t="s">
        <v>164</v>
      </c>
      <c r="B72" s="1068">
        <v>572</v>
      </c>
      <c r="C72" s="1068">
        <v>572</v>
      </c>
      <c r="D72" s="1068">
        <v>560</v>
      </c>
      <c r="E72" s="1068">
        <v>572</v>
      </c>
      <c r="F72"/>
      <c r="G72"/>
    </row>
    <row r="73" spans="1:7">
      <c r="A73" s="58" t="s">
        <v>247</v>
      </c>
      <c r="B73" s="1068">
        <v>885</v>
      </c>
      <c r="C73" s="1068">
        <v>885</v>
      </c>
      <c r="D73" s="1068">
        <v>600</v>
      </c>
      <c r="E73" s="1068">
        <v>885</v>
      </c>
      <c r="F73"/>
      <c r="G73"/>
    </row>
    <row r="74" spans="1:7">
      <c r="A74" s="58" t="s">
        <v>255</v>
      </c>
      <c r="B74" s="1068">
        <v>107</v>
      </c>
      <c r="C74" s="1068">
        <v>107</v>
      </c>
      <c r="D74" s="1068">
        <v>107</v>
      </c>
      <c r="E74" s="1068">
        <v>107</v>
      </c>
      <c r="F74"/>
      <c r="G74"/>
    </row>
    <row r="75" spans="1:7">
      <c r="A75" s="58" t="s">
        <v>256</v>
      </c>
      <c r="B75" s="1068">
        <v>56</v>
      </c>
      <c r="C75" s="1068">
        <v>56</v>
      </c>
      <c r="D75" s="1068">
        <v>40</v>
      </c>
      <c r="E75" s="1068">
        <v>56</v>
      </c>
      <c r="F75"/>
      <c r="G75"/>
    </row>
    <row r="76" spans="1:7">
      <c r="A76" s="58" t="s">
        <v>200</v>
      </c>
      <c r="B76" s="1068">
        <v>774</v>
      </c>
      <c r="C76" s="1068">
        <v>774</v>
      </c>
      <c r="D76" s="1068">
        <v>460</v>
      </c>
      <c r="E76" s="1068">
        <v>774</v>
      </c>
      <c r="F76"/>
      <c r="G76"/>
    </row>
    <row r="77" spans="1:7">
      <c r="A77" s="58" t="s">
        <v>281</v>
      </c>
      <c r="B77" s="1068">
        <v>255</v>
      </c>
      <c r="C77" s="1068">
        <v>255</v>
      </c>
      <c r="D77" s="1068">
        <v>182</v>
      </c>
      <c r="E77" s="1068">
        <v>255</v>
      </c>
      <c r="F77"/>
      <c r="G77"/>
    </row>
    <row r="78" spans="1:7">
      <c r="A78" s="58" t="s">
        <v>282</v>
      </c>
      <c r="B78" s="1068">
        <v>426</v>
      </c>
      <c r="C78" s="1068">
        <v>426</v>
      </c>
      <c r="D78" s="1068">
        <v>126</v>
      </c>
      <c r="E78" s="1068">
        <v>426</v>
      </c>
      <c r="F78"/>
      <c r="G78"/>
    </row>
    <row r="79" spans="1:7">
      <c r="A79" s="58" t="s">
        <v>283</v>
      </c>
      <c r="B79" s="1068">
        <v>1422</v>
      </c>
      <c r="C79" s="1068">
        <v>1422</v>
      </c>
      <c r="D79" s="1068">
        <v>803</v>
      </c>
      <c r="E79" s="1068">
        <v>1422</v>
      </c>
      <c r="F79"/>
      <c r="G79"/>
    </row>
    <row r="80" spans="1:7">
      <c r="A80" s="58" t="s">
        <v>176</v>
      </c>
      <c r="B80" s="1068">
        <v>114</v>
      </c>
      <c r="C80" s="1068">
        <v>114</v>
      </c>
      <c r="D80" s="1068">
        <v>60</v>
      </c>
      <c r="E80" s="1068">
        <v>114</v>
      </c>
      <c r="F80"/>
      <c r="G80"/>
    </row>
    <row r="81" spans="1:7">
      <c r="A81" s="58" t="s">
        <v>177</v>
      </c>
      <c r="B81" s="1068">
        <v>1442</v>
      </c>
      <c r="C81" s="1068">
        <v>1442</v>
      </c>
      <c r="D81" s="1068">
        <v>1442</v>
      </c>
      <c r="E81" s="1068">
        <v>533.33333333333337</v>
      </c>
      <c r="F81"/>
      <c r="G81"/>
    </row>
    <row r="82" spans="1:7">
      <c r="A82" s="58" t="s">
        <v>269</v>
      </c>
      <c r="B82" s="1068">
        <v>2139</v>
      </c>
      <c r="C82" s="1068">
        <v>500</v>
      </c>
      <c r="D82" s="1068">
        <v>560</v>
      </c>
      <c r="E82" s="1068">
        <v>1900</v>
      </c>
      <c r="F82"/>
      <c r="G82"/>
    </row>
    <row r="83" spans="1:7">
      <c r="A83" s="58" t="s">
        <v>237</v>
      </c>
      <c r="B83" s="1068">
        <v>1235</v>
      </c>
      <c r="C83" s="1068">
        <v>1000</v>
      </c>
      <c r="D83" s="1068">
        <v>1235</v>
      </c>
      <c r="E83" s="1068">
        <v>1235</v>
      </c>
      <c r="F83"/>
      <c r="G83"/>
    </row>
    <row r="84" spans="1:7">
      <c r="A84" s="58" t="s">
        <v>178</v>
      </c>
      <c r="B84" s="1068">
        <v>1702</v>
      </c>
      <c r="C84" s="1068">
        <v>1702</v>
      </c>
      <c r="D84" s="1068">
        <v>1702</v>
      </c>
      <c r="E84" s="1068">
        <v>1702</v>
      </c>
      <c r="F84"/>
      <c r="G84"/>
    </row>
    <row r="85" spans="1:7">
      <c r="A85" s="58" t="s">
        <v>179</v>
      </c>
      <c r="B85" s="1068">
        <v>215</v>
      </c>
      <c r="C85" s="1068">
        <v>215</v>
      </c>
      <c r="D85" s="1068">
        <v>100</v>
      </c>
      <c r="E85" s="1068">
        <v>215</v>
      </c>
      <c r="F85"/>
      <c r="G85"/>
    </row>
    <row r="86" spans="1:7">
      <c r="A86" s="58" t="s">
        <v>183</v>
      </c>
      <c r="B86" s="1068">
        <v>1517</v>
      </c>
      <c r="C86" s="1068">
        <v>1517</v>
      </c>
      <c r="D86" s="1068">
        <v>1517</v>
      </c>
      <c r="E86" s="1068">
        <v>899.99999999999989</v>
      </c>
      <c r="F86"/>
      <c r="G86"/>
    </row>
    <row r="87" spans="1:7">
      <c r="A87" s="58" t="s">
        <v>39</v>
      </c>
      <c r="B87" s="1068">
        <v>791</v>
      </c>
      <c r="C87" s="1068">
        <v>0</v>
      </c>
      <c r="D87" s="1068">
        <v>791</v>
      </c>
      <c r="E87" s="1068">
        <v>791</v>
      </c>
      <c r="F87"/>
      <c r="G87"/>
    </row>
    <row r="88" spans="1:7">
      <c r="A88" s="58" t="s">
        <v>165</v>
      </c>
      <c r="B88" s="1068">
        <v>166</v>
      </c>
      <c r="C88" s="1068">
        <v>166</v>
      </c>
      <c r="D88" s="1068">
        <v>80</v>
      </c>
      <c r="E88" s="1068">
        <v>166</v>
      </c>
      <c r="F88"/>
      <c r="G88"/>
    </row>
    <row r="89" spans="1:7">
      <c r="A89" s="58" t="s">
        <v>210</v>
      </c>
      <c r="B89" s="1068">
        <v>741</v>
      </c>
      <c r="C89" s="1068">
        <v>0</v>
      </c>
      <c r="D89" s="1068">
        <v>741</v>
      </c>
      <c r="E89" s="1068">
        <v>741</v>
      </c>
      <c r="F89"/>
      <c r="G89"/>
    </row>
    <row r="90" spans="1:7">
      <c r="A90" s="58" t="s">
        <v>287</v>
      </c>
      <c r="B90" s="1068">
        <v>512</v>
      </c>
      <c r="C90" s="1068">
        <v>512</v>
      </c>
      <c r="D90" s="1068">
        <v>512</v>
      </c>
      <c r="E90" s="1068">
        <v>512</v>
      </c>
      <c r="F90"/>
      <c r="G90"/>
    </row>
    <row r="91" spans="1:7">
      <c r="A91" s="58" t="s">
        <v>166</v>
      </c>
      <c r="B91" s="1068">
        <v>328</v>
      </c>
      <c r="C91" s="1068">
        <v>328</v>
      </c>
      <c r="D91" s="1068">
        <v>328</v>
      </c>
      <c r="E91" s="1068">
        <v>328</v>
      </c>
      <c r="F91"/>
      <c r="G91"/>
    </row>
    <row r="92" spans="1:7">
      <c r="A92" s="58" t="s">
        <v>557</v>
      </c>
      <c r="B92" s="1068">
        <v>120</v>
      </c>
      <c r="C92" s="1068">
        <v>45</v>
      </c>
      <c r="D92" s="1068">
        <v>0</v>
      </c>
      <c r="E92" s="1068">
        <v>0</v>
      </c>
      <c r="F92"/>
      <c r="G92"/>
    </row>
    <row r="93" spans="1:7">
      <c r="A93" s="58" t="s">
        <v>298</v>
      </c>
      <c r="B93" s="1068">
        <v>708</v>
      </c>
      <c r="C93" s="1068">
        <v>0</v>
      </c>
      <c r="D93" s="1068">
        <v>366</v>
      </c>
      <c r="E93" s="1068">
        <v>500.00000000000006</v>
      </c>
      <c r="F93"/>
      <c r="G93"/>
    </row>
    <row r="94" spans="1:7">
      <c r="A94" s="58" t="s">
        <v>300</v>
      </c>
      <c r="B94" s="1068">
        <v>618</v>
      </c>
      <c r="C94" s="1068">
        <v>0</v>
      </c>
      <c r="D94" s="1068">
        <v>586</v>
      </c>
      <c r="E94" s="1068">
        <v>618</v>
      </c>
      <c r="F94"/>
      <c r="G94"/>
    </row>
    <row r="95" spans="1:7">
      <c r="A95" s="58" t="s">
        <v>301</v>
      </c>
      <c r="B95" s="1068">
        <v>2725</v>
      </c>
      <c r="C95" s="1068">
        <v>0</v>
      </c>
      <c r="D95" s="1068">
        <v>2725</v>
      </c>
      <c r="E95" s="1068">
        <v>2725</v>
      </c>
      <c r="F95"/>
      <c r="G95"/>
    </row>
    <row r="96" spans="1:7">
      <c r="A96" s="58" t="s">
        <v>302</v>
      </c>
      <c r="B96" s="1068">
        <v>857</v>
      </c>
      <c r="C96" s="1068">
        <v>0</v>
      </c>
      <c r="D96" s="1068">
        <v>857</v>
      </c>
      <c r="E96" s="1068">
        <v>857</v>
      </c>
      <c r="F96"/>
      <c r="G96"/>
    </row>
    <row r="97" spans="1:7">
      <c r="A97" s="58" t="s">
        <v>193</v>
      </c>
      <c r="B97" s="1068">
        <v>789</v>
      </c>
      <c r="C97" s="1068">
        <v>570</v>
      </c>
      <c r="D97" s="1068">
        <v>789</v>
      </c>
      <c r="E97" s="1068">
        <v>789</v>
      </c>
      <c r="F97"/>
      <c r="G97"/>
    </row>
    <row r="98" spans="1:7">
      <c r="A98" s="58" t="s">
        <v>263</v>
      </c>
      <c r="B98" s="1068">
        <v>82</v>
      </c>
      <c r="C98" s="1068">
        <v>82</v>
      </c>
      <c r="D98" s="1068">
        <v>82</v>
      </c>
      <c r="E98" s="1068">
        <v>82</v>
      </c>
      <c r="F98"/>
      <c r="G98"/>
    </row>
    <row r="99" spans="1:7">
      <c r="A99" s="58" t="s">
        <v>264</v>
      </c>
      <c r="B99" s="1068">
        <v>78</v>
      </c>
      <c r="C99" s="1068">
        <v>78</v>
      </c>
      <c r="D99" s="1068">
        <v>78</v>
      </c>
      <c r="E99" s="1068">
        <v>78</v>
      </c>
      <c r="F99"/>
      <c r="G99"/>
    </row>
    <row r="100" spans="1:7">
      <c r="A100" s="58" t="s">
        <v>257</v>
      </c>
      <c r="B100" s="1068">
        <v>15</v>
      </c>
      <c r="C100" s="1068">
        <v>0</v>
      </c>
      <c r="D100" s="1068">
        <v>0</v>
      </c>
      <c r="E100" s="1068">
        <v>15</v>
      </c>
      <c r="F100"/>
      <c r="G100"/>
    </row>
    <row r="101" spans="1:7">
      <c r="A101" s="58" t="s">
        <v>213</v>
      </c>
      <c r="B101" s="1068">
        <v>424</v>
      </c>
      <c r="C101" s="1068">
        <v>424</v>
      </c>
      <c r="D101" s="1068">
        <v>80</v>
      </c>
      <c r="E101" s="1068">
        <v>424</v>
      </c>
      <c r="F101"/>
      <c r="G101"/>
    </row>
    <row r="102" spans="1:7">
      <c r="A102" s="58" t="s">
        <v>545</v>
      </c>
      <c r="B102" s="1068">
        <v>176</v>
      </c>
      <c r="C102" s="1068">
        <v>176</v>
      </c>
      <c r="D102" s="1068">
        <v>176</v>
      </c>
      <c r="E102" s="1068">
        <v>176</v>
      </c>
      <c r="F102"/>
      <c r="G102"/>
    </row>
    <row r="103" spans="1:7">
      <c r="A103" s="58" t="s">
        <v>190</v>
      </c>
      <c r="B103" s="1068">
        <v>105</v>
      </c>
      <c r="C103" s="1068">
        <v>0</v>
      </c>
      <c r="D103" s="1068">
        <v>0</v>
      </c>
      <c r="E103" s="1068">
        <v>105</v>
      </c>
      <c r="F103"/>
      <c r="G103"/>
    </row>
    <row r="104" spans="1:7">
      <c r="A104" s="58" t="s">
        <v>527</v>
      </c>
      <c r="B104" s="1068">
        <v>396</v>
      </c>
      <c r="C104" s="1068">
        <v>396</v>
      </c>
      <c r="D104" s="1068">
        <v>396</v>
      </c>
      <c r="E104" s="1068">
        <v>396</v>
      </c>
      <c r="F104"/>
      <c r="G104"/>
    </row>
    <row r="105" spans="1:7">
      <c r="A105" s="58" t="s">
        <v>562</v>
      </c>
      <c r="B105" s="1068">
        <v>323</v>
      </c>
      <c r="C105" s="1068">
        <v>0</v>
      </c>
      <c r="D105" s="1068">
        <v>200</v>
      </c>
      <c r="E105" s="1068">
        <v>323</v>
      </c>
      <c r="F105"/>
      <c r="G105"/>
    </row>
    <row r="106" spans="1:7">
      <c r="A106" s="58" t="s">
        <v>517</v>
      </c>
      <c r="B106" s="1068">
        <v>213</v>
      </c>
      <c r="C106" s="1068">
        <v>213</v>
      </c>
      <c r="D106" s="1068">
        <v>213</v>
      </c>
      <c r="E106" s="1068">
        <v>213</v>
      </c>
      <c r="F106"/>
      <c r="G106"/>
    </row>
    <row r="107" spans="1:7">
      <c r="A107" s="58" t="s">
        <v>531</v>
      </c>
      <c r="B107" s="1068">
        <v>250</v>
      </c>
      <c r="C107" s="1068">
        <v>250</v>
      </c>
      <c r="D107" s="1068">
        <v>250</v>
      </c>
      <c r="E107" s="1068">
        <v>250</v>
      </c>
      <c r="F107"/>
      <c r="G107"/>
    </row>
    <row r="108" spans="1:7">
      <c r="A108" s="58" t="s">
        <v>258</v>
      </c>
      <c r="B108" s="1068">
        <v>24</v>
      </c>
      <c r="C108" s="1068">
        <v>24</v>
      </c>
      <c r="D108" s="1068">
        <v>24</v>
      </c>
      <c r="E108" s="1068">
        <v>24</v>
      </c>
      <c r="F108"/>
      <c r="G108"/>
    </row>
    <row r="109" spans="1:7">
      <c r="A109" s="58" t="s">
        <v>535</v>
      </c>
      <c r="B109" s="1068">
        <v>206</v>
      </c>
      <c r="C109" s="1068">
        <v>206</v>
      </c>
      <c r="D109" s="1068">
        <v>206</v>
      </c>
      <c r="E109" s="1068">
        <v>206</v>
      </c>
      <c r="F109"/>
      <c r="G109"/>
    </row>
    <row r="110" spans="1:7">
      <c r="A110" s="58" t="s">
        <v>234</v>
      </c>
      <c r="B110" s="1068">
        <v>274</v>
      </c>
      <c r="C110" s="1068">
        <v>274</v>
      </c>
      <c r="D110" s="1068">
        <v>274</v>
      </c>
      <c r="E110" s="1068">
        <v>274</v>
      </c>
      <c r="F110"/>
      <c r="G110"/>
    </row>
    <row r="111" spans="1:7">
      <c r="A111" s="58" t="s">
        <v>231</v>
      </c>
      <c r="B111" s="1068">
        <v>227</v>
      </c>
      <c r="C111" s="1068">
        <v>227</v>
      </c>
      <c r="D111" s="1068">
        <v>227</v>
      </c>
      <c r="E111" s="1068">
        <v>227</v>
      </c>
      <c r="F111"/>
      <c r="G111"/>
    </row>
    <row r="112" spans="1:7">
      <c r="A112" s="58" t="s">
        <v>155</v>
      </c>
      <c r="B112" s="1068">
        <v>49</v>
      </c>
      <c r="C112" s="1068">
        <v>49</v>
      </c>
      <c r="D112" s="1068">
        <v>40</v>
      </c>
      <c r="E112" s="1068">
        <v>49</v>
      </c>
      <c r="F112"/>
      <c r="G112"/>
    </row>
    <row r="113" spans="1:7">
      <c r="A113" s="58" t="s">
        <v>158</v>
      </c>
      <c r="B113" s="1068">
        <v>58</v>
      </c>
      <c r="C113" s="1068">
        <v>58</v>
      </c>
      <c r="D113" s="1068">
        <v>58</v>
      </c>
      <c r="E113" s="1068">
        <v>58</v>
      </c>
      <c r="F113"/>
      <c r="G113"/>
    </row>
    <row r="114" spans="1:7">
      <c r="A114" s="58" t="s">
        <v>185</v>
      </c>
      <c r="B114" s="1068">
        <v>584</v>
      </c>
      <c r="C114" s="1068">
        <v>584</v>
      </c>
      <c r="D114" s="1068">
        <v>584</v>
      </c>
      <c r="E114" s="1068">
        <v>584</v>
      </c>
      <c r="F114"/>
      <c r="G114"/>
    </row>
    <row r="115" spans="1:7">
      <c r="A115" s="58" t="s">
        <v>542</v>
      </c>
      <c r="B115" s="1068">
        <v>664</v>
      </c>
      <c r="C115" s="1068">
        <v>500</v>
      </c>
      <c r="D115" s="1068">
        <v>525</v>
      </c>
      <c r="E115" s="1068">
        <v>533.33333333333337</v>
      </c>
      <c r="F115"/>
      <c r="G115"/>
    </row>
    <row r="116" spans="1:7">
      <c r="A116" s="58" t="s">
        <v>295</v>
      </c>
      <c r="B116" s="1068">
        <v>1570</v>
      </c>
      <c r="C116" s="1068">
        <v>1570</v>
      </c>
      <c r="D116" s="1068">
        <v>1570</v>
      </c>
      <c r="E116" s="1068">
        <v>1500</v>
      </c>
      <c r="F116"/>
      <c r="G116"/>
    </row>
    <row r="117" spans="1:7">
      <c r="A117" s="58" t="s">
        <v>167</v>
      </c>
      <c r="B117" s="1068">
        <v>320</v>
      </c>
      <c r="C117" s="1068">
        <v>320</v>
      </c>
      <c r="D117" s="1068">
        <v>300</v>
      </c>
      <c r="E117" s="1068">
        <v>320</v>
      </c>
      <c r="F117"/>
      <c r="G117"/>
    </row>
    <row r="118" spans="1:7">
      <c r="A118" s="58" t="s">
        <v>284</v>
      </c>
      <c r="B118" s="1068">
        <v>297</v>
      </c>
      <c r="C118" s="1068">
        <v>297</v>
      </c>
      <c r="D118" s="1068">
        <v>263</v>
      </c>
      <c r="E118" s="1068">
        <v>297</v>
      </c>
      <c r="F118"/>
      <c r="G118"/>
    </row>
    <row r="119" spans="1:7">
      <c r="A119" s="58" t="s">
        <v>235</v>
      </c>
      <c r="B119" s="1068">
        <v>959</v>
      </c>
      <c r="C119" s="1068">
        <v>959</v>
      </c>
      <c r="D119" s="1068">
        <v>660</v>
      </c>
      <c r="E119" s="1068">
        <v>959</v>
      </c>
      <c r="F119"/>
      <c r="G119"/>
    </row>
    <row r="120" spans="1:7">
      <c r="A120" s="58" t="s">
        <v>296</v>
      </c>
      <c r="B120" s="1068">
        <v>3682</v>
      </c>
      <c r="C120" s="1068">
        <v>3000</v>
      </c>
      <c r="D120" s="1068">
        <v>3040</v>
      </c>
      <c r="E120" s="1068">
        <v>250</v>
      </c>
      <c r="F120"/>
      <c r="G120"/>
    </row>
    <row r="121" spans="1:7">
      <c r="A121" s="58" t="s">
        <v>180</v>
      </c>
      <c r="B121" s="1068">
        <v>973</v>
      </c>
      <c r="C121" s="1068">
        <v>973</v>
      </c>
      <c r="D121" s="1068">
        <v>750</v>
      </c>
      <c r="E121" s="1068">
        <v>133.33333333333334</v>
      </c>
      <c r="F121"/>
      <c r="G121"/>
    </row>
    <row r="122" spans="1:7">
      <c r="A122" s="58" t="s">
        <v>561</v>
      </c>
      <c r="B122" s="1068">
        <v>221</v>
      </c>
      <c r="C122" s="1068">
        <v>221</v>
      </c>
      <c r="D122" s="1068">
        <v>221</v>
      </c>
      <c r="E122" s="1068">
        <v>221</v>
      </c>
      <c r="F122"/>
      <c r="G122"/>
    </row>
    <row r="123" spans="1:7">
      <c r="A123" s="58" t="s">
        <v>279</v>
      </c>
      <c r="B123" s="1068">
        <v>334</v>
      </c>
      <c r="C123" s="1068">
        <v>290</v>
      </c>
      <c r="D123" s="1068">
        <v>334</v>
      </c>
      <c r="E123" s="1068">
        <v>334</v>
      </c>
      <c r="F123"/>
      <c r="G123"/>
    </row>
    <row r="124" spans="1:7">
      <c r="A124" s="58" t="s">
        <v>271</v>
      </c>
      <c r="B124" s="1068">
        <v>298</v>
      </c>
      <c r="C124" s="1068">
        <v>298</v>
      </c>
      <c r="D124" s="1068">
        <v>298</v>
      </c>
      <c r="E124" s="1068">
        <v>298</v>
      </c>
      <c r="F124"/>
      <c r="G124"/>
    </row>
    <row r="125" spans="1:7">
      <c r="A125" s="58" t="s">
        <v>181</v>
      </c>
      <c r="B125" s="1068">
        <v>279</v>
      </c>
      <c r="C125" s="1068">
        <v>279</v>
      </c>
      <c r="D125" s="1068">
        <v>279</v>
      </c>
      <c r="E125" s="1068">
        <v>279</v>
      </c>
      <c r="F125"/>
      <c r="G125"/>
    </row>
    <row r="126" spans="1:7">
      <c r="A126" s="58" t="s">
        <v>259</v>
      </c>
      <c r="B126" s="1068">
        <v>72</v>
      </c>
      <c r="C126" s="1068">
        <v>72</v>
      </c>
      <c r="D126" s="1068">
        <v>40</v>
      </c>
      <c r="E126" s="1068">
        <v>72</v>
      </c>
      <c r="F126"/>
      <c r="G126"/>
    </row>
    <row r="127" spans="1:7">
      <c r="A127" s="58" t="s">
        <v>280</v>
      </c>
      <c r="B127" s="1068">
        <v>3451</v>
      </c>
      <c r="C127" s="1068">
        <v>3451</v>
      </c>
      <c r="D127" s="1068">
        <v>2983</v>
      </c>
      <c r="E127" s="1068">
        <v>3451</v>
      </c>
      <c r="F127"/>
      <c r="G127"/>
    </row>
    <row r="128" spans="1:7">
      <c r="A128" s="58" t="s">
        <v>187</v>
      </c>
      <c r="B128" s="1068">
        <v>342</v>
      </c>
      <c r="C128" s="1068">
        <v>342</v>
      </c>
      <c r="D128" s="1068">
        <v>342</v>
      </c>
      <c r="E128" s="1068">
        <v>342</v>
      </c>
      <c r="F128"/>
      <c r="G128"/>
    </row>
    <row r="129" spans="1:7">
      <c r="A129" s="58" t="s">
        <v>156</v>
      </c>
      <c r="B129" s="1068">
        <v>141</v>
      </c>
      <c r="C129" s="1068">
        <v>141</v>
      </c>
      <c r="D129" s="1068">
        <v>141</v>
      </c>
      <c r="E129" s="1068">
        <v>141</v>
      </c>
      <c r="F129"/>
      <c r="G129"/>
    </row>
    <row r="130" spans="1:7">
      <c r="A130" s="58" t="s">
        <v>286</v>
      </c>
      <c r="B130" s="1068">
        <v>266</v>
      </c>
      <c r="C130" s="1068">
        <v>266</v>
      </c>
      <c r="D130" s="1068">
        <v>266</v>
      </c>
      <c r="E130" s="1068">
        <v>266</v>
      </c>
      <c r="F130"/>
      <c r="G130"/>
    </row>
    <row r="131" spans="1:7">
      <c r="A131" s="58" t="s">
        <v>143</v>
      </c>
      <c r="B131" s="1068">
        <v>1463</v>
      </c>
      <c r="C131" s="1068">
        <v>1463</v>
      </c>
      <c r="D131" s="1068">
        <v>1463</v>
      </c>
      <c r="E131" s="1068">
        <v>266.67037037037039</v>
      </c>
      <c r="F131"/>
      <c r="G131"/>
    </row>
    <row r="132" spans="1:7">
      <c r="A132" s="58" t="s">
        <v>168</v>
      </c>
      <c r="B132" s="1068">
        <v>120</v>
      </c>
      <c r="C132" s="1068">
        <v>120</v>
      </c>
      <c r="D132" s="1068">
        <v>120</v>
      </c>
      <c r="E132" s="1068">
        <v>120</v>
      </c>
      <c r="F132"/>
      <c r="G132"/>
    </row>
    <row r="133" spans="1:7">
      <c r="A133" s="58" t="s">
        <v>265</v>
      </c>
      <c r="B133" s="1068">
        <v>101</v>
      </c>
      <c r="C133" s="1068">
        <v>101</v>
      </c>
      <c r="D133" s="1068">
        <v>100</v>
      </c>
      <c r="E133" s="1068">
        <v>101</v>
      </c>
      <c r="F133"/>
      <c r="G133"/>
    </row>
    <row r="134" spans="1:7">
      <c r="A134" s="58" t="s">
        <v>182</v>
      </c>
      <c r="B134" s="1068">
        <v>984</v>
      </c>
      <c r="C134" s="1068">
        <v>984</v>
      </c>
      <c r="D134" s="1068">
        <v>984</v>
      </c>
      <c r="E134" s="1068">
        <v>200</v>
      </c>
      <c r="F134"/>
      <c r="G134"/>
    </row>
    <row r="135" spans="1:7">
      <c r="A135" s="58" t="s">
        <v>215</v>
      </c>
      <c r="B135" s="1068">
        <v>300</v>
      </c>
      <c r="C135" s="1068">
        <v>230</v>
      </c>
      <c r="D135" s="1068">
        <v>264</v>
      </c>
      <c r="E135" s="1068">
        <v>300</v>
      </c>
      <c r="F135"/>
      <c r="G135"/>
    </row>
    <row r="136" spans="1:7">
      <c r="A136" s="58" t="s">
        <v>216</v>
      </c>
      <c r="B136" s="1068">
        <v>182</v>
      </c>
      <c r="C136" s="1068">
        <v>165</v>
      </c>
      <c r="D136" s="1068">
        <v>182</v>
      </c>
      <c r="E136" s="1068">
        <v>182</v>
      </c>
      <c r="F136"/>
      <c r="G136"/>
    </row>
    <row r="137" spans="1:7">
      <c r="A137" s="58" t="s">
        <v>169</v>
      </c>
      <c r="B137" s="1068">
        <v>432</v>
      </c>
      <c r="C137" s="1068">
        <v>432</v>
      </c>
      <c r="D137" s="1068">
        <v>200</v>
      </c>
      <c r="E137" s="1068">
        <v>432</v>
      </c>
      <c r="F137"/>
      <c r="G137"/>
    </row>
    <row r="138" spans="1:7">
      <c r="A138" s="58" t="s">
        <v>860</v>
      </c>
      <c r="B138" s="1068">
        <v>174</v>
      </c>
      <c r="C138" s="1068">
        <v>174</v>
      </c>
      <c r="D138" s="1068">
        <v>40</v>
      </c>
      <c r="E138" s="1068">
        <v>174</v>
      </c>
      <c r="F138"/>
      <c r="G138"/>
    </row>
    <row r="139" spans="1:7">
      <c r="A139" s="58" t="s">
        <v>170</v>
      </c>
      <c r="B139" s="1068">
        <v>207</v>
      </c>
      <c r="C139" s="1068">
        <v>207</v>
      </c>
      <c r="D139" s="1068">
        <v>207</v>
      </c>
      <c r="E139" s="1068">
        <v>207</v>
      </c>
      <c r="F139"/>
      <c r="G139"/>
    </row>
    <row r="140" spans="1:7">
      <c r="A140" s="58" t="s">
        <v>266</v>
      </c>
      <c r="B140" s="1068">
        <v>268</v>
      </c>
      <c r="C140" s="1068">
        <v>268</v>
      </c>
      <c r="D140" s="1068">
        <v>268</v>
      </c>
      <c r="E140" s="1068">
        <v>268</v>
      </c>
      <c r="F140"/>
      <c r="G140"/>
    </row>
    <row r="141" spans="1:7">
      <c r="A141" s="58" t="s">
        <v>171</v>
      </c>
      <c r="B141" s="1068">
        <v>121</v>
      </c>
      <c r="C141" s="1068">
        <v>0</v>
      </c>
      <c r="D141" s="1068">
        <v>100</v>
      </c>
      <c r="E141" s="1068">
        <v>121</v>
      </c>
      <c r="F141"/>
      <c r="G141"/>
    </row>
    <row r="142" spans="1:7">
      <c r="A142" s="58" t="s">
        <v>172</v>
      </c>
      <c r="B142" s="1068">
        <v>62</v>
      </c>
      <c r="C142" s="1068">
        <v>0</v>
      </c>
      <c r="D142" s="1068">
        <v>62</v>
      </c>
      <c r="E142" s="1068">
        <v>62</v>
      </c>
      <c r="F142"/>
      <c r="G142"/>
    </row>
    <row r="143" spans="1:7">
      <c r="A143" s="58" t="s">
        <v>274</v>
      </c>
      <c r="B143" s="1068">
        <v>186</v>
      </c>
      <c r="C143" s="1068">
        <v>186</v>
      </c>
      <c r="D143" s="1068">
        <v>120</v>
      </c>
      <c r="E143" s="1068">
        <v>186</v>
      </c>
      <c r="F143"/>
      <c r="G143"/>
    </row>
    <row r="144" spans="1:7">
      <c r="A144" s="58" t="s">
        <v>563</v>
      </c>
      <c r="B144" s="1068">
        <v>195</v>
      </c>
      <c r="C144" s="1068">
        <v>195</v>
      </c>
      <c r="D144" s="1068">
        <v>195</v>
      </c>
      <c r="E144" s="1068">
        <v>195</v>
      </c>
      <c r="F144"/>
      <c r="G144"/>
    </row>
    <row r="145" spans="1:7">
      <c r="A145" s="58" t="s">
        <v>275</v>
      </c>
      <c r="B145" s="1068">
        <v>319</v>
      </c>
      <c r="C145" s="1068">
        <v>319</v>
      </c>
      <c r="D145" s="1068">
        <v>180</v>
      </c>
      <c r="E145" s="1068">
        <v>319</v>
      </c>
      <c r="F145"/>
      <c r="G145"/>
    </row>
    <row r="146" spans="1:7">
      <c r="A146" s="58" t="s">
        <v>221</v>
      </c>
      <c r="B146" s="1068">
        <v>7394</v>
      </c>
      <c r="C146" s="1068">
        <v>7394</v>
      </c>
      <c r="D146" s="1068">
        <v>5340</v>
      </c>
      <c r="E146" s="1068">
        <v>733.33333333333337</v>
      </c>
      <c r="F146"/>
      <c r="G146"/>
    </row>
    <row r="147" spans="1:7">
      <c r="A147" s="58" t="s">
        <v>223</v>
      </c>
      <c r="B147" s="1068">
        <v>709</v>
      </c>
      <c r="C147" s="1068">
        <v>0</v>
      </c>
      <c r="D147" s="1068">
        <v>0</v>
      </c>
      <c r="E147" s="1068">
        <v>66.666666666666671</v>
      </c>
      <c r="F147"/>
      <c r="G147"/>
    </row>
    <row r="148" spans="1:7">
      <c r="A148" s="58" t="s">
        <v>222</v>
      </c>
      <c r="B148" s="1068">
        <v>2550</v>
      </c>
      <c r="C148" s="1068">
        <v>0</v>
      </c>
      <c r="D148" s="1068">
        <v>0</v>
      </c>
      <c r="E148" s="1068">
        <v>0</v>
      </c>
      <c r="F148"/>
      <c r="G148"/>
    </row>
    <row r="149" spans="1:7">
      <c r="A149" s="58" t="s">
        <v>538</v>
      </c>
      <c r="B149" s="1068">
        <v>1101</v>
      </c>
      <c r="C149" s="1068">
        <v>500</v>
      </c>
      <c r="D149" s="1068">
        <v>1101</v>
      </c>
      <c r="E149" s="1068">
        <v>1101</v>
      </c>
      <c r="F149"/>
      <c r="G149"/>
    </row>
    <row r="150" spans="1:7">
      <c r="A150" s="58" t="s">
        <v>775</v>
      </c>
      <c r="B150" s="1068">
        <v>247</v>
      </c>
      <c r="C150" s="1068">
        <v>0</v>
      </c>
      <c r="D150" s="1068">
        <v>0</v>
      </c>
      <c r="E150" s="1068">
        <v>0</v>
      </c>
      <c r="F150"/>
      <c r="G150"/>
    </row>
    <row r="151" spans="1:7">
      <c r="A151" s="58" t="s">
        <v>823</v>
      </c>
      <c r="B151" s="1068">
        <v>64</v>
      </c>
      <c r="C151" s="1068">
        <v>64</v>
      </c>
      <c r="D151" s="1068">
        <v>64</v>
      </c>
      <c r="E151" s="1068">
        <v>64</v>
      </c>
      <c r="F151"/>
      <c r="G151"/>
    </row>
    <row r="152" spans="1:7">
      <c r="A152" s="58" t="s">
        <v>1585</v>
      </c>
      <c r="B152" s="1068">
        <v>1397</v>
      </c>
      <c r="C152" s="1068">
        <v>0</v>
      </c>
      <c r="D152" s="1068">
        <v>100</v>
      </c>
      <c r="E152" s="1068">
        <v>1397</v>
      </c>
      <c r="F152"/>
      <c r="G152"/>
    </row>
    <row r="153" spans="1:7">
      <c r="A153" s="58" t="s">
        <v>1608</v>
      </c>
      <c r="B153" s="1068">
        <v>74</v>
      </c>
      <c r="C153" s="1068">
        <v>74</v>
      </c>
      <c r="D153" s="1068">
        <v>60</v>
      </c>
      <c r="E153" s="1068">
        <v>74</v>
      </c>
      <c r="F153"/>
      <c r="G153"/>
    </row>
    <row r="154" spans="1:7">
      <c r="A154" s="58" t="s">
        <v>1610</v>
      </c>
      <c r="B154" s="1068">
        <v>275</v>
      </c>
      <c r="C154" s="1068">
        <v>275</v>
      </c>
      <c r="D154" s="1068">
        <v>220</v>
      </c>
      <c r="E154" s="1068">
        <v>275</v>
      </c>
      <c r="F154"/>
      <c r="G154"/>
    </row>
    <row r="155" spans="1:7">
      <c r="A155" s="58" t="s">
        <v>1613</v>
      </c>
      <c r="B155" s="1068">
        <v>158</v>
      </c>
      <c r="C155" s="1068">
        <v>158</v>
      </c>
      <c r="D155" s="1068">
        <v>158</v>
      </c>
      <c r="E155" s="1068">
        <v>158</v>
      </c>
      <c r="F155"/>
      <c r="G155"/>
    </row>
    <row r="156" spans="1:7">
      <c r="A156" s="58" t="s">
        <v>1611</v>
      </c>
      <c r="B156" s="1068">
        <v>502</v>
      </c>
      <c r="C156" s="1068">
        <v>500</v>
      </c>
      <c r="D156" s="1068">
        <v>502</v>
      </c>
      <c r="E156" s="1068">
        <v>502</v>
      </c>
      <c r="F156"/>
      <c r="G156"/>
    </row>
    <row r="157" spans="1:7">
      <c r="A157" s="58" t="s">
        <v>1612</v>
      </c>
      <c r="B157" s="1068">
        <v>251</v>
      </c>
      <c r="C157" s="1068">
        <v>251</v>
      </c>
      <c r="D157" s="1068">
        <v>251</v>
      </c>
      <c r="E157" s="1068">
        <v>251</v>
      </c>
      <c r="F157"/>
      <c r="G157"/>
    </row>
    <row r="158" spans="1:7">
      <c r="A158" s="58" t="s">
        <v>1607</v>
      </c>
      <c r="B158" s="1068">
        <v>325</v>
      </c>
      <c r="C158" s="1068">
        <v>325</v>
      </c>
      <c r="D158" s="1068">
        <v>325</v>
      </c>
      <c r="E158" s="1068">
        <v>325</v>
      </c>
      <c r="F158"/>
      <c r="G158"/>
    </row>
    <row r="159" spans="1:7">
      <c r="A159" s="58" t="s">
        <v>1609</v>
      </c>
      <c r="B159" s="1068">
        <v>1148</v>
      </c>
      <c r="C159" s="1068">
        <v>500</v>
      </c>
      <c r="D159" s="1068">
        <v>560</v>
      </c>
      <c r="E159" s="1068">
        <v>1148</v>
      </c>
      <c r="F159"/>
      <c r="G159"/>
    </row>
    <row r="160" spans="1:7">
      <c r="A160" s="58" t="s">
        <v>1599</v>
      </c>
      <c r="B160" s="1068">
        <v>686</v>
      </c>
      <c r="C160" s="1068">
        <v>686</v>
      </c>
      <c r="D160" s="1068">
        <v>560</v>
      </c>
      <c r="E160" s="1068">
        <v>686</v>
      </c>
      <c r="F160"/>
      <c r="G160"/>
    </row>
    <row r="161" spans="1:7">
      <c r="A161" s="58" t="s">
        <v>1606</v>
      </c>
      <c r="B161" s="1068">
        <v>267</v>
      </c>
      <c r="C161" s="1068">
        <v>267</v>
      </c>
      <c r="D161" s="1068">
        <v>160</v>
      </c>
      <c r="E161" s="1068">
        <v>267</v>
      </c>
      <c r="F161"/>
      <c r="G161"/>
    </row>
    <row r="162" spans="1:7">
      <c r="A162" s="58" t="s">
        <v>1600</v>
      </c>
      <c r="B162" s="1068">
        <v>1215</v>
      </c>
      <c r="C162" s="1068">
        <v>500</v>
      </c>
      <c r="D162" s="1068">
        <v>1215</v>
      </c>
      <c r="E162" s="1068">
        <v>1215</v>
      </c>
      <c r="F162"/>
      <c r="G162"/>
    </row>
    <row r="163" spans="1:7">
      <c r="A163" s="58" t="s">
        <v>1712</v>
      </c>
      <c r="B163" s="1068">
        <v>628</v>
      </c>
      <c r="C163" s="1068">
        <v>500</v>
      </c>
      <c r="D163" s="1068">
        <v>20</v>
      </c>
      <c r="E163" s="1068">
        <v>628</v>
      </c>
      <c r="F163"/>
      <c r="G163"/>
    </row>
    <row r="164" spans="1:7">
      <c r="A164" s="58" t="s">
        <v>1715</v>
      </c>
      <c r="B164" s="1068">
        <v>439</v>
      </c>
      <c r="C164" s="1068">
        <v>439</v>
      </c>
      <c r="D164" s="1068">
        <v>439</v>
      </c>
      <c r="E164" s="1068">
        <v>439</v>
      </c>
      <c r="F164"/>
      <c r="G164"/>
    </row>
    <row r="165" spans="1:7">
      <c r="A165" s="58" t="s">
        <v>1721</v>
      </c>
      <c r="B165" s="1068">
        <v>130</v>
      </c>
      <c r="C165" s="1068">
        <v>130</v>
      </c>
      <c r="D165" s="1068">
        <v>130</v>
      </c>
      <c r="E165" s="1068">
        <v>130</v>
      </c>
      <c r="F165"/>
      <c r="G165"/>
    </row>
    <row r="166" spans="1:7">
      <c r="A166" s="58" t="s">
        <v>2153</v>
      </c>
      <c r="B166" s="1068">
        <v>32</v>
      </c>
      <c r="C166" s="1068">
        <v>32</v>
      </c>
      <c r="D166" s="1068">
        <v>32</v>
      </c>
      <c r="E166" s="1068">
        <v>32</v>
      </c>
      <c r="F166"/>
      <c r="G166"/>
    </row>
    <row r="167" spans="1:7">
      <c r="A167" s="58" t="s">
        <v>2222</v>
      </c>
      <c r="B167" s="1068">
        <v>203</v>
      </c>
      <c r="C167" s="1068">
        <v>203</v>
      </c>
      <c r="D167" s="1068">
        <v>144</v>
      </c>
      <c r="E167" s="1068">
        <v>203</v>
      </c>
      <c r="F167"/>
      <c r="G167"/>
    </row>
    <row r="168" spans="1:7">
      <c r="A168" s="58" t="s">
        <v>2224</v>
      </c>
      <c r="B168" s="1068">
        <v>127</v>
      </c>
      <c r="C168" s="1068">
        <v>127</v>
      </c>
      <c r="D168" s="1068">
        <v>120</v>
      </c>
      <c r="E168" s="1068">
        <v>127</v>
      </c>
      <c r="F168"/>
      <c r="G168"/>
    </row>
    <row r="169" spans="1:7">
      <c r="A169" s="58" t="s">
        <v>2570</v>
      </c>
      <c r="B169" s="1068">
        <v>1674</v>
      </c>
      <c r="C169" s="1068">
        <v>0</v>
      </c>
      <c r="D169" s="1068">
        <v>600</v>
      </c>
      <c r="E169" s="1068">
        <v>1600</v>
      </c>
      <c r="F169"/>
      <c r="G169"/>
    </row>
    <row r="170" spans="1:7">
      <c r="A170" s="58" t="s">
        <v>2571</v>
      </c>
      <c r="B170" s="1068">
        <v>170</v>
      </c>
      <c r="C170" s="1068">
        <v>0</v>
      </c>
      <c r="D170" s="1068">
        <v>0</v>
      </c>
      <c r="E170" s="1068">
        <v>0</v>
      </c>
      <c r="F170"/>
      <c r="G170"/>
    </row>
    <row r="171" spans="1:7">
      <c r="A171" s="58" t="s">
        <v>2643</v>
      </c>
      <c r="B171" s="1068">
        <v>591</v>
      </c>
      <c r="C171" s="1068">
        <v>591</v>
      </c>
      <c r="D171" s="1068">
        <v>591</v>
      </c>
      <c r="E171" s="1068">
        <v>591</v>
      </c>
      <c r="F171"/>
      <c r="G171"/>
    </row>
    <row r="172" spans="1:7">
      <c r="A172" s="58" t="s">
        <v>2646</v>
      </c>
      <c r="B172" s="1068">
        <v>504</v>
      </c>
      <c r="C172" s="1068">
        <v>0</v>
      </c>
      <c r="D172" s="1068">
        <v>0</v>
      </c>
      <c r="E172" s="1068">
        <v>0</v>
      </c>
    </row>
    <row r="173" spans="1:7">
      <c r="A173" s="58" t="s">
        <v>2703</v>
      </c>
      <c r="B173" s="1068">
        <v>160</v>
      </c>
      <c r="C173" s="1068">
        <v>160</v>
      </c>
      <c r="D173" s="1068">
        <v>160</v>
      </c>
      <c r="E173" s="1068">
        <v>160</v>
      </c>
    </row>
    <row r="174" spans="1:7">
      <c r="A174" s="58" t="s">
        <v>2704</v>
      </c>
      <c r="B174" s="1068">
        <v>80</v>
      </c>
      <c r="C174" s="1068">
        <v>0</v>
      </c>
      <c r="D174" s="1068">
        <v>0</v>
      </c>
      <c r="E174" s="1068">
        <v>0</v>
      </c>
    </row>
    <row r="175" spans="1:7">
      <c r="A175" s="58" t="s">
        <v>2705</v>
      </c>
      <c r="B175" s="1068">
        <v>139</v>
      </c>
      <c r="C175" s="1068">
        <v>0</v>
      </c>
      <c r="D175" s="1068">
        <v>0</v>
      </c>
      <c r="E175" s="1068">
        <v>0</v>
      </c>
    </row>
    <row r="176" spans="1:7">
      <c r="A176" s="58" t="s">
        <v>2708</v>
      </c>
      <c r="B176" s="1068">
        <v>294</v>
      </c>
      <c r="C176" s="1068">
        <v>0</v>
      </c>
      <c r="D176" s="1068">
        <v>0</v>
      </c>
      <c r="E176" s="1068">
        <v>0</v>
      </c>
    </row>
    <row r="177" spans="1:5">
      <c r="A177" s="58" t="s">
        <v>2711</v>
      </c>
      <c r="B177" s="1068">
        <v>240</v>
      </c>
      <c r="C177" s="1068">
        <v>0</v>
      </c>
      <c r="D177" s="1068">
        <v>0</v>
      </c>
      <c r="E177" s="1068">
        <v>0</v>
      </c>
    </row>
    <row r="178" spans="1:5">
      <c r="A178" s="58" t="s">
        <v>2712</v>
      </c>
      <c r="B178" s="1068">
        <v>189</v>
      </c>
      <c r="C178" s="1068">
        <v>0</v>
      </c>
      <c r="D178" s="1068">
        <v>0</v>
      </c>
      <c r="E178" s="1068">
        <v>0</v>
      </c>
    </row>
    <row r="179" spans="1:5">
      <c r="A179" s="58" t="s">
        <v>2569</v>
      </c>
      <c r="B179" s="1068">
        <v>450</v>
      </c>
      <c r="C179" s="1068">
        <v>0</v>
      </c>
      <c r="D179" s="1068">
        <v>0</v>
      </c>
      <c r="E179" s="1068">
        <v>0</v>
      </c>
    </row>
    <row r="180" spans="1:5">
      <c r="A180" s="58" t="s">
        <v>2574</v>
      </c>
      <c r="B180" s="1068">
        <v>653</v>
      </c>
      <c r="C180" s="1068">
        <v>0</v>
      </c>
      <c r="D180" s="1068">
        <v>0</v>
      </c>
      <c r="E180" s="1068">
        <v>0</v>
      </c>
    </row>
    <row r="181" spans="1:5">
      <c r="A181" s="58" t="s">
        <v>2573</v>
      </c>
      <c r="B181" s="1068">
        <v>2786</v>
      </c>
      <c r="C181" s="1068">
        <v>0</v>
      </c>
      <c r="D181" s="1068">
        <v>0</v>
      </c>
      <c r="E181" s="1068">
        <v>0</v>
      </c>
    </row>
    <row r="182" spans="1:5">
      <c r="A182" s="58" t="s">
        <v>2878</v>
      </c>
      <c r="B182" s="1068">
        <v>276</v>
      </c>
      <c r="C182" s="1068">
        <v>276</v>
      </c>
      <c r="D182" s="1068">
        <v>276</v>
      </c>
      <c r="E182" s="1068">
        <v>276</v>
      </c>
    </row>
    <row r="183" spans="1:5">
      <c r="A183" s="58" t="s">
        <v>2879</v>
      </c>
      <c r="B183" s="1068">
        <v>440</v>
      </c>
      <c r="C183" s="1068">
        <v>440</v>
      </c>
      <c r="D183" s="1068">
        <v>280</v>
      </c>
      <c r="E183" s="1068">
        <v>440</v>
      </c>
    </row>
    <row r="184" spans="1:5">
      <c r="A184" s="58" t="s">
        <v>2881</v>
      </c>
      <c r="B184" s="1068">
        <v>162</v>
      </c>
      <c r="C184" s="1068">
        <v>0</v>
      </c>
      <c r="D184" s="1068">
        <v>162</v>
      </c>
      <c r="E184" s="1068">
        <v>0</v>
      </c>
    </row>
    <row r="185" spans="1:5">
      <c r="A185" s="58" t="s">
        <v>2882</v>
      </c>
      <c r="B185" s="1068">
        <v>132</v>
      </c>
      <c r="C185" s="1068">
        <v>132</v>
      </c>
      <c r="D185" s="1068">
        <v>132</v>
      </c>
      <c r="E185" s="1068">
        <v>132</v>
      </c>
    </row>
    <row r="186" spans="1:5">
      <c r="A186" s="58" t="s">
        <v>2874</v>
      </c>
      <c r="B186" s="1068">
        <v>544</v>
      </c>
      <c r="C186" s="1068">
        <v>0</v>
      </c>
      <c r="D186" s="1068">
        <v>0</v>
      </c>
      <c r="E186" s="1068">
        <v>544</v>
      </c>
    </row>
    <row r="187" spans="1:5">
      <c r="A187" s="58" t="s">
        <v>2880</v>
      </c>
      <c r="B187" s="1068">
        <v>324</v>
      </c>
      <c r="C187" s="1068">
        <v>324</v>
      </c>
      <c r="D187" s="1068">
        <v>144</v>
      </c>
      <c r="E187" s="1068">
        <v>0</v>
      </c>
    </row>
    <row r="188" spans="1:5">
      <c r="A188" s="58" t="s">
        <v>2870</v>
      </c>
      <c r="B188" s="1068">
        <v>906</v>
      </c>
      <c r="C188" s="1068">
        <v>0</v>
      </c>
      <c r="D188" s="1068">
        <v>0</v>
      </c>
      <c r="E188" s="1068">
        <v>0</v>
      </c>
    </row>
    <row r="189" spans="1:5">
      <c r="A189" s="58" t="s">
        <v>2871</v>
      </c>
      <c r="B189" s="1068">
        <v>466</v>
      </c>
      <c r="C189" s="1068">
        <v>466</v>
      </c>
      <c r="D189" s="1068">
        <v>240</v>
      </c>
      <c r="E189" s="1068">
        <v>466</v>
      </c>
    </row>
    <row r="190" spans="1:5">
      <c r="A190" s="58" t="s">
        <v>2875</v>
      </c>
      <c r="B190" s="1068">
        <v>308</v>
      </c>
      <c r="C190" s="1068">
        <v>0</v>
      </c>
      <c r="D190" s="1068">
        <v>0</v>
      </c>
      <c r="E190" s="1068">
        <v>0</v>
      </c>
    </row>
    <row r="191" spans="1:5">
      <c r="A191" s="58" t="s">
        <v>2876</v>
      </c>
      <c r="B191" s="1068">
        <v>126</v>
      </c>
      <c r="C191" s="1068">
        <v>0</v>
      </c>
      <c r="D191" s="1068">
        <v>0</v>
      </c>
      <c r="E191" s="1068">
        <v>0</v>
      </c>
    </row>
    <row r="192" spans="1:5">
      <c r="A192" s="58" t="s">
        <v>2877</v>
      </c>
      <c r="B192" s="1068">
        <v>71</v>
      </c>
      <c r="C192" s="1068">
        <v>0</v>
      </c>
      <c r="D192" s="1068">
        <v>0</v>
      </c>
      <c r="E192" s="1068">
        <v>0</v>
      </c>
    </row>
    <row r="193" spans="1:5">
      <c r="A193" s="58" t="s">
        <v>2872</v>
      </c>
      <c r="B193" s="1068">
        <v>1067</v>
      </c>
      <c r="C193" s="1068">
        <v>0</v>
      </c>
      <c r="D193" s="1068">
        <v>0</v>
      </c>
      <c r="E193" s="1068">
        <v>0</v>
      </c>
    </row>
    <row r="194" spans="1:5">
      <c r="A194" s="58" t="s">
        <v>2869</v>
      </c>
      <c r="B194" s="1068">
        <v>101</v>
      </c>
      <c r="C194" s="1068">
        <v>0</v>
      </c>
      <c r="D194" s="1068">
        <v>0</v>
      </c>
      <c r="E194" s="1068">
        <v>0</v>
      </c>
    </row>
    <row r="195" spans="1:5">
      <c r="A195" s="58" t="s">
        <v>2868</v>
      </c>
      <c r="B195" s="1068">
        <v>94</v>
      </c>
      <c r="C195" s="1068">
        <v>94</v>
      </c>
      <c r="D195" s="1068">
        <v>94</v>
      </c>
      <c r="E195" s="1068">
        <v>94</v>
      </c>
    </row>
    <row r="196" spans="1:5">
      <c r="A196" s="58" t="s">
        <v>2842</v>
      </c>
      <c r="B196" s="1068">
        <v>40</v>
      </c>
      <c r="C196" s="1068">
        <v>0</v>
      </c>
      <c r="D196" s="1068">
        <v>40</v>
      </c>
      <c r="E196" s="1068">
        <v>0</v>
      </c>
    </row>
    <row r="197" spans="1:5">
      <c r="A197" s="58" t="s">
        <v>2843</v>
      </c>
      <c r="B197" s="1068">
        <v>28</v>
      </c>
      <c r="C197" s="1068">
        <v>0</v>
      </c>
      <c r="D197" s="1068">
        <v>28</v>
      </c>
      <c r="E197" s="1068">
        <v>0</v>
      </c>
    </row>
    <row r="198" spans="1:5">
      <c r="A198" s="58" t="s">
        <v>2844</v>
      </c>
      <c r="B198" s="1068">
        <v>31</v>
      </c>
      <c r="C198" s="1068">
        <v>0</v>
      </c>
      <c r="D198" s="1068">
        <v>31</v>
      </c>
      <c r="E198" s="1068">
        <v>0</v>
      </c>
    </row>
    <row r="199" spans="1:5">
      <c r="A199" s="58" t="s">
        <v>2846</v>
      </c>
      <c r="B199" s="1068">
        <v>26</v>
      </c>
      <c r="C199" s="1068">
        <v>0</v>
      </c>
      <c r="D199" s="1068">
        <v>26</v>
      </c>
      <c r="E199" s="1068">
        <v>26</v>
      </c>
    </row>
    <row r="200" spans="1:5">
      <c r="A200" s="58" t="s">
        <v>2861</v>
      </c>
      <c r="B200" s="1068">
        <v>221</v>
      </c>
      <c r="C200" s="1068">
        <v>221</v>
      </c>
      <c r="D200" s="1068">
        <v>160</v>
      </c>
      <c r="E200" s="1068">
        <v>221</v>
      </c>
    </row>
    <row r="201" spans="1:5">
      <c r="A201" s="58" t="s">
        <v>2988</v>
      </c>
      <c r="B201" s="1068">
        <v>115</v>
      </c>
      <c r="C201" s="1068">
        <v>0</v>
      </c>
      <c r="D201" s="1068">
        <v>0</v>
      </c>
      <c r="E201" s="1068">
        <v>0</v>
      </c>
    </row>
    <row r="202" spans="1:5">
      <c r="A202" s="58" t="s">
        <v>2991</v>
      </c>
      <c r="B202" s="1068">
        <v>130</v>
      </c>
      <c r="C202" s="1068">
        <v>0</v>
      </c>
      <c r="D202" s="1068">
        <v>0</v>
      </c>
      <c r="E202" s="1068">
        <v>0</v>
      </c>
    </row>
    <row r="203" spans="1:5">
      <c r="A203" s="58" t="s">
        <v>2979</v>
      </c>
      <c r="B203" s="1068">
        <v>112</v>
      </c>
      <c r="C203" s="1068">
        <v>0</v>
      </c>
      <c r="D203" s="1068">
        <v>0</v>
      </c>
      <c r="E203" s="1068">
        <v>0</v>
      </c>
    </row>
    <row r="204" spans="1:5">
      <c r="A204" s="58" t="s">
        <v>2986</v>
      </c>
      <c r="B204" s="1068">
        <v>54</v>
      </c>
      <c r="C204" s="1068">
        <v>0</v>
      </c>
      <c r="D204" s="1068">
        <v>0</v>
      </c>
      <c r="E204" s="1068">
        <v>0</v>
      </c>
    </row>
    <row r="205" spans="1:5">
      <c r="A205" s="58" t="s">
        <v>2987</v>
      </c>
      <c r="B205" s="1068">
        <v>479</v>
      </c>
      <c r="C205" s="1068">
        <v>0</v>
      </c>
      <c r="D205" s="1068">
        <v>0</v>
      </c>
      <c r="E205" s="1068">
        <v>0</v>
      </c>
    </row>
    <row r="206" spans="1:5">
      <c r="A206" s="58" t="s">
        <v>2993</v>
      </c>
      <c r="B206" s="1068">
        <v>318</v>
      </c>
      <c r="C206" s="1068">
        <v>0</v>
      </c>
      <c r="D206" s="1068">
        <v>0</v>
      </c>
      <c r="E206" s="1068">
        <v>0</v>
      </c>
    </row>
    <row r="207" spans="1:5">
      <c r="A207" s="58" t="s">
        <v>2990</v>
      </c>
      <c r="B207" s="1068">
        <v>178</v>
      </c>
      <c r="C207" s="1068">
        <v>0</v>
      </c>
      <c r="D207" s="1068">
        <v>0</v>
      </c>
      <c r="E207" s="1068">
        <v>0</v>
      </c>
    </row>
    <row r="208" spans="1:5">
      <c r="A208" s="58" t="s">
        <v>2978</v>
      </c>
      <c r="B208" s="1068">
        <v>157</v>
      </c>
      <c r="C208" s="1068">
        <v>0</v>
      </c>
      <c r="D208" s="1068">
        <v>0</v>
      </c>
      <c r="E208" s="1068">
        <v>0</v>
      </c>
    </row>
    <row r="209" spans="1:5">
      <c r="A209" s="58" t="s">
        <v>2992</v>
      </c>
      <c r="B209" s="1068">
        <v>2399</v>
      </c>
      <c r="C209" s="1068">
        <v>0</v>
      </c>
      <c r="D209" s="1068">
        <v>0</v>
      </c>
      <c r="E209" s="1068">
        <v>0</v>
      </c>
    </row>
    <row r="210" spans="1:5">
      <c r="A210" s="58" t="s">
        <v>2973</v>
      </c>
      <c r="B210" s="1068">
        <v>82</v>
      </c>
      <c r="C210" s="1068">
        <v>0</v>
      </c>
      <c r="D210" s="1068">
        <v>0</v>
      </c>
      <c r="E210" s="1068">
        <v>0</v>
      </c>
    </row>
    <row r="211" spans="1:5">
      <c r="A211" s="58" t="s">
        <v>2974</v>
      </c>
      <c r="B211" s="1068">
        <v>135</v>
      </c>
      <c r="C211" s="1068">
        <v>0</v>
      </c>
      <c r="D211" s="1068">
        <v>0</v>
      </c>
      <c r="E211" s="1068">
        <v>0</v>
      </c>
    </row>
    <row r="212" spans="1:5">
      <c r="A212" s="58" t="s">
        <v>2975</v>
      </c>
      <c r="B212" s="1068">
        <v>123</v>
      </c>
      <c r="C212" s="1068">
        <v>0</v>
      </c>
      <c r="D212" s="1068">
        <v>0</v>
      </c>
      <c r="E212" s="1068">
        <v>0</v>
      </c>
    </row>
    <row r="213" spans="1:5">
      <c r="A213" s="58" t="s">
        <v>2976</v>
      </c>
      <c r="B213" s="1068">
        <v>37</v>
      </c>
      <c r="C213" s="1068">
        <v>0</v>
      </c>
      <c r="D213" s="1068">
        <v>0</v>
      </c>
      <c r="E213" s="1068">
        <v>37</v>
      </c>
    </row>
    <row r="214" spans="1:5">
      <c r="A214" s="58" t="s">
        <v>2980</v>
      </c>
      <c r="B214" s="1068">
        <v>144</v>
      </c>
      <c r="C214" s="1068">
        <v>0</v>
      </c>
      <c r="D214" s="1068">
        <v>0</v>
      </c>
      <c r="E214" s="1068">
        <v>0</v>
      </c>
    </row>
    <row r="215" spans="1:5">
      <c r="A215" s="58" t="s">
        <v>2981</v>
      </c>
      <c r="B215" s="1068">
        <v>61</v>
      </c>
      <c r="C215" s="1068">
        <v>0</v>
      </c>
      <c r="D215" s="1068">
        <v>0</v>
      </c>
      <c r="E215" s="1068">
        <v>0</v>
      </c>
    </row>
    <row r="216" spans="1:5">
      <c r="A216" s="58" t="s">
        <v>2982</v>
      </c>
      <c r="B216" s="1068">
        <v>469</v>
      </c>
      <c r="C216" s="1068">
        <v>0</v>
      </c>
      <c r="D216" s="1068">
        <v>0</v>
      </c>
      <c r="E216" s="1068">
        <v>66.666666666666671</v>
      </c>
    </row>
    <row r="217" spans="1:5">
      <c r="A217" s="58" t="s">
        <v>2983</v>
      </c>
      <c r="B217" s="1068">
        <v>157</v>
      </c>
      <c r="C217" s="1068">
        <v>0</v>
      </c>
      <c r="D217" s="1068">
        <v>0</v>
      </c>
      <c r="E217" s="1068">
        <v>0</v>
      </c>
    </row>
    <row r="218" spans="1:5">
      <c r="A218" s="58" t="s">
        <v>2984</v>
      </c>
      <c r="B218" s="1068">
        <v>92</v>
      </c>
      <c r="C218" s="1068">
        <v>0</v>
      </c>
      <c r="D218" s="1068">
        <v>0</v>
      </c>
      <c r="E218" s="1068">
        <v>0</v>
      </c>
    </row>
    <row r="219" spans="1:5">
      <c r="A219" s="58" t="s">
        <v>2985</v>
      </c>
      <c r="B219" s="1068">
        <v>30</v>
      </c>
      <c r="C219" s="1068">
        <v>0</v>
      </c>
      <c r="D219" s="1068">
        <v>0</v>
      </c>
      <c r="E219" s="1068">
        <v>0</v>
      </c>
    </row>
    <row r="220" spans="1:5">
      <c r="A220" s="58" t="s">
        <v>3258</v>
      </c>
      <c r="B220" s="1068"/>
      <c r="C220" s="1068">
        <v>0</v>
      </c>
      <c r="D220" s="1068">
        <v>0</v>
      </c>
      <c r="E220" s="1068">
        <v>0</v>
      </c>
    </row>
    <row r="221" spans="1:5">
      <c r="A221" s="58" t="s">
        <v>3236</v>
      </c>
      <c r="B221" s="1068">
        <v>145</v>
      </c>
      <c r="C221" s="1068">
        <v>0</v>
      </c>
      <c r="D221" s="1068">
        <v>0</v>
      </c>
      <c r="E221" s="1068">
        <v>0</v>
      </c>
    </row>
    <row r="222" spans="1:5">
      <c r="A222" s="58" t="s">
        <v>3237</v>
      </c>
      <c r="B222" s="1068">
        <v>114</v>
      </c>
      <c r="C222" s="1068">
        <v>0</v>
      </c>
      <c r="D222" s="1068">
        <v>0</v>
      </c>
      <c r="E222" s="1068">
        <v>0</v>
      </c>
    </row>
    <row r="223" spans="1:5">
      <c r="A223" s="58" t="s">
        <v>3238</v>
      </c>
      <c r="B223" s="1068">
        <v>127</v>
      </c>
      <c r="C223" s="1068">
        <v>0</v>
      </c>
      <c r="D223" s="1068">
        <v>0</v>
      </c>
      <c r="E223" s="1068">
        <v>0</v>
      </c>
    </row>
    <row r="224" spans="1:5">
      <c r="A224" s="58" t="s">
        <v>3239</v>
      </c>
      <c r="B224" s="1068">
        <v>136</v>
      </c>
      <c r="C224" s="1068">
        <v>0</v>
      </c>
      <c r="D224" s="1068">
        <v>0</v>
      </c>
      <c r="E224" s="1068">
        <v>0</v>
      </c>
    </row>
    <row r="225" spans="1:5">
      <c r="A225" s="58" t="s">
        <v>3240</v>
      </c>
      <c r="B225" s="1068">
        <v>362</v>
      </c>
      <c r="C225" s="1068">
        <v>0</v>
      </c>
      <c r="D225" s="1068">
        <v>0</v>
      </c>
      <c r="E225" s="1068">
        <v>0</v>
      </c>
    </row>
    <row r="226" spans="1:5">
      <c r="A226" s="58" t="s">
        <v>3259</v>
      </c>
      <c r="B226" s="1068"/>
      <c r="C226" s="1068">
        <v>0</v>
      </c>
      <c r="D226" s="1068">
        <v>0</v>
      </c>
      <c r="E226" s="1068">
        <v>0</v>
      </c>
    </row>
    <row r="227" spans="1:5">
      <c r="A227" s="58" t="s">
        <v>1280</v>
      </c>
      <c r="B227" s="1068">
        <v>115709</v>
      </c>
      <c r="C227" s="1068">
        <v>69188</v>
      </c>
      <c r="D227" s="1068">
        <v>78067</v>
      </c>
      <c r="E227" s="1068">
        <v>68877.337037037039</v>
      </c>
    </row>
    <row r="228" spans="1:5">
      <c r="A228"/>
      <c r="B228"/>
      <c r="C228"/>
      <c r="D228"/>
      <c r="E228"/>
    </row>
    <row r="229" spans="1:5">
      <c r="A229"/>
      <c r="B229"/>
      <c r="C229"/>
      <c r="D229"/>
      <c r="E229"/>
    </row>
    <row r="230" spans="1:5">
      <c r="A230"/>
      <c r="B230"/>
      <c r="C230"/>
      <c r="D230"/>
      <c r="E230"/>
    </row>
    <row r="231" spans="1:5">
      <c r="A231"/>
      <c r="B231"/>
      <c r="C231"/>
      <c r="D231"/>
      <c r="E231"/>
    </row>
    <row r="232" spans="1:5">
      <c r="A232"/>
      <c r="B232"/>
      <c r="C232"/>
      <c r="D232"/>
      <c r="E232"/>
    </row>
    <row r="233" spans="1:5">
      <c r="A233"/>
      <c r="B233"/>
      <c r="C233"/>
      <c r="D233"/>
      <c r="E233"/>
    </row>
    <row r="234" spans="1:5">
      <c r="A234"/>
      <c r="B234"/>
      <c r="C234"/>
      <c r="D234"/>
      <c r="E234"/>
    </row>
    <row r="235" spans="1:5">
      <c r="A235"/>
      <c r="B235"/>
      <c r="C235"/>
      <c r="D235"/>
      <c r="E235"/>
    </row>
    <row r="236" spans="1:5">
      <c r="A236"/>
      <c r="B236"/>
      <c r="C236"/>
      <c r="D236"/>
      <c r="E236"/>
    </row>
    <row r="237" spans="1:5">
      <c r="A237"/>
      <c r="B237"/>
      <c r="C237"/>
      <c r="D237"/>
      <c r="E237"/>
    </row>
    <row r="238" spans="1:5">
      <c r="A238"/>
      <c r="B238"/>
      <c r="C238"/>
      <c r="D238"/>
      <c r="E238"/>
    </row>
    <row r="239" spans="1:5">
      <c r="A239"/>
      <c r="B239"/>
      <c r="C239"/>
      <c r="D239"/>
      <c r="E239"/>
    </row>
    <row r="240" spans="1:5">
      <c r="A240"/>
      <c r="B240"/>
      <c r="C240"/>
      <c r="D240"/>
      <c r="E240"/>
    </row>
    <row r="241" spans="1:5">
      <c r="A241"/>
      <c r="B241"/>
      <c r="C241"/>
      <c r="D241"/>
      <c r="E241"/>
    </row>
    <row r="242" spans="1:5">
      <c r="A242"/>
      <c r="B242"/>
      <c r="C242"/>
      <c r="D242"/>
      <c r="E242"/>
    </row>
    <row r="243" spans="1:5">
      <c r="A243"/>
      <c r="B243"/>
      <c r="C243"/>
      <c r="D243"/>
      <c r="E243"/>
    </row>
    <row r="244" spans="1:5">
      <c r="A244"/>
      <c r="B244"/>
      <c r="C244"/>
      <c r="D244"/>
      <c r="E244"/>
    </row>
    <row r="245" spans="1:5">
      <c r="A245"/>
      <c r="B245"/>
      <c r="C245"/>
      <c r="D245"/>
      <c r="E245"/>
    </row>
    <row r="246" spans="1:5">
      <c r="A246"/>
      <c r="B246"/>
      <c r="C246"/>
      <c r="D246"/>
      <c r="E246"/>
    </row>
    <row r="247" spans="1:5">
      <c r="A247"/>
      <c r="B247"/>
      <c r="C247"/>
      <c r="D247"/>
      <c r="E247"/>
    </row>
    <row r="248" spans="1:5">
      <c r="A248"/>
      <c r="B248"/>
      <c r="C248"/>
      <c r="D248"/>
      <c r="E248"/>
    </row>
    <row r="249" spans="1:5">
      <c r="A249"/>
      <c r="B249"/>
      <c r="C249"/>
      <c r="D249"/>
      <c r="E249"/>
    </row>
    <row r="250" spans="1:5">
      <c r="A250"/>
      <c r="B250"/>
      <c r="C250"/>
      <c r="D250"/>
      <c r="E250"/>
    </row>
    <row r="251" spans="1:5">
      <c r="A251"/>
      <c r="B251"/>
      <c r="C251"/>
      <c r="D251"/>
      <c r="E251"/>
    </row>
    <row r="252" spans="1:5">
      <c r="A252"/>
      <c r="B252"/>
      <c r="C252"/>
      <c r="D252"/>
      <c r="E252"/>
    </row>
    <row r="253" spans="1:5">
      <c r="A253"/>
      <c r="B253"/>
      <c r="C253"/>
      <c r="D253"/>
      <c r="E253"/>
    </row>
    <row r="254" spans="1:5">
      <c r="A254"/>
      <c r="B254"/>
      <c r="C254"/>
      <c r="D254"/>
      <c r="E254"/>
    </row>
    <row r="255" spans="1:5">
      <c r="A255"/>
      <c r="B255"/>
      <c r="C255"/>
      <c r="D255"/>
      <c r="E255"/>
    </row>
    <row r="256" spans="1:5">
      <c r="A256"/>
      <c r="B256"/>
      <c r="C256"/>
      <c r="D256"/>
      <c r="E256"/>
    </row>
    <row r="257" spans="1:5">
      <c r="A257"/>
      <c r="B257"/>
      <c r="C257"/>
      <c r="D257"/>
      <c r="E257"/>
    </row>
    <row r="258" spans="1:5">
      <c r="A258"/>
      <c r="B258"/>
      <c r="C258"/>
      <c r="D258"/>
      <c r="E258"/>
    </row>
    <row r="259" spans="1:5">
      <c r="A259"/>
      <c r="B259"/>
      <c r="C259"/>
      <c r="D259"/>
      <c r="E259"/>
    </row>
    <row r="260" spans="1:5">
      <c r="A260"/>
      <c r="B260"/>
      <c r="C260"/>
      <c r="D260"/>
      <c r="E260"/>
    </row>
    <row r="261" spans="1:5">
      <c r="A261"/>
      <c r="B261"/>
      <c r="C261"/>
      <c r="D261"/>
      <c r="E261"/>
    </row>
    <row r="262" spans="1:5">
      <c r="A262"/>
      <c r="B262"/>
      <c r="C262"/>
      <c r="D262"/>
      <c r="E262"/>
    </row>
    <row r="263" spans="1:5">
      <c r="A263"/>
      <c r="B263"/>
      <c r="C263"/>
      <c r="D263"/>
      <c r="E263"/>
    </row>
    <row r="264" spans="1:5">
      <c r="A264"/>
      <c r="B264"/>
      <c r="C264"/>
      <c r="D264"/>
      <c r="E264"/>
    </row>
    <row r="265" spans="1:5">
      <c r="A265"/>
      <c r="B265"/>
      <c r="C265"/>
      <c r="D265"/>
      <c r="E265"/>
    </row>
    <row r="266" spans="1:5">
      <c r="A266"/>
      <c r="B266"/>
      <c r="C266"/>
      <c r="D266"/>
      <c r="E266"/>
    </row>
    <row r="267" spans="1:5">
      <c r="A267"/>
      <c r="B267"/>
      <c r="C267"/>
      <c r="D267"/>
      <c r="E267"/>
    </row>
    <row r="268" spans="1:5">
      <c r="A268"/>
      <c r="B268"/>
      <c r="C268"/>
      <c r="D268"/>
      <c r="E268"/>
    </row>
    <row r="269" spans="1:5">
      <c r="A269"/>
      <c r="B269"/>
      <c r="C269"/>
      <c r="D269"/>
      <c r="E269"/>
    </row>
    <row r="270" spans="1:5">
      <c r="A270"/>
      <c r="B270"/>
      <c r="C270"/>
      <c r="D270"/>
      <c r="E270"/>
    </row>
    <row r="271" spans="1:5">
      <c r="A271"/>
      <c r="B271"/>
      <c r="C271"/>
      <c r="D271"/>
      <c r="E271"/>
    </row>
    <row r="272" spans="1:5">
      <c r="A272"/>
      <c r="B272"/>
      <c r="C272"/>
      <c r="D272"/>
      <c r="E272"/>
    </row>
    <row r="273" spans="1:5">
      <c r="A273"/>
      <c r="B273"/>
      <c r="C273"/>
      <c r="D273"/>
      <c r="E273"/>
    </row>
    <row r="274" spans="1:5">
      <c r="A274"/>
      <c r="B274"/>
      <c r="C274"/>
      <c r="D274"/>
      <c r="E274"/>
    </row>
    <row r="275" spans="1:5">
      <c r="A275"/>
      <c r="B275"/>
      <c r="C275"/>
      <c r="D275"/>
      <c r="E275"/>
    </row>
    <row r="276" spans="1:5">
      <c r="A276"/>
      <c r="B276"/>
      <c r="C276"/>
      <c r="D276"/>
      <c r="E276"/>
    </row>
    <row r="277" spans="1:5">
      <c r="A277"/>
      <c r="B277"/>
      <c r="C277"/>
      <c r="D277"/>
      <c r="E277"/>
    </row>
    <row r="278" spans="1:5">
      <c r="A278"/>
      <c r="B278"/>
      <c r="C278"/>
      <c r="D278"/>
      <c r="E278"/>
    </row>
    <row r="279" spans="1:5">
      <c r="A279"/>
      <c r="B279"/>
      <c r="C279"/>
      <c r="D279"/>
      <c r="E279"/>
    </row>
    <row r="280" spans="1:5">
      <c r="A280"/>
      <c r="B280"/>
      <c r="C280"/>
      <c r="D280"/>
      <c r="E280"/>
    </row>
    <row r="281" spans="1:5">
      <c r="A281"/>
      <c r="B281"/>
      <c r="C281"/>
      <c r="D281"/>
      <c r="E281"/>
    </row>
    <row r="282" spans="1:5">
      <c r="A282"/>
      <c r="B282"/>
      <c r="C282"/>
      <c r="D282"/>
      <c r="E282"/>
    </row>
    <row r="283" spans="1:5">
      <c r="A283"/>
      <c r="B283"/>
      <c r="C283"/>
      <c r="D283"/>
      <c r="E283"/>
    </row>
    <row r="284" spans="1:5">
      <c r="A284"/>
      <c r="B284"/>
      <c r="C284"/>
      <c r="D284"/>
      <c r="E284"/>
    </row>
    <row r="285" spans="1:5">
      <c r="A285"/>
      <c r="B285"/>
      <c r="C285"/>
      <c r="D285"/>
      <c r="E285"/>
    </row>
    <row r="286" spans="1:5">
      <c r="A286"/>
      <c r="B286"/>
      <c r="C286"/>
      <c r="D286"/>
      <c r="E286"/>
    </row>
    <row r="287" spans="1:5">
      <c r="A287"/>
      <c r="B287"/>
      <c r="C287"/>
      <c r="D287"/>
      <c r="E287"/>
    </row>
    <row r="288" spans="1:5">
      <c r="A288"/>
      <c r="B288"/>
      <c r="C288"/>
      <c r="D288"/>
      <c r="E288"/>
    </row>
    <row r="289" spans="1:5">
      <c r="A289"/>
      <c r="B289"/>
      <c r="C289"/>
      <c r="D289"/>
      <c r="E289"/>
    </row>
    <row r="290" spans="1:5">
      <c r="A290"/>
      <c r="B290"/>
      <c r="C290"/>
      <c r="D290"/>
      <c r="E290"/>
    </row>
    <row r="291" spans="1:5">
      <c r="A291"/>
      <c r="B291"/>
      <c r="C291"/>
      <c r="D291"/>
      <c r="E291"/>
    </row>
    <row r="292" spans="1:5">
      <c r="A292"/>
      <c r="B292"/>
      <c r="C292"/>
      <c r="D292"/>
      <c r="E292"/>
    </row>
    <row r="293" spans="1:5">
      <c r="A293"/>
      <c r="B293"/>
      <c r="C293"/>
      <c r="D293"/>
      <c r="E293"/>
    </row>
    <row r="294" spans="1:5">
      <c r="A294"/>
      <c r="B294"/>
      <c r="C294"/>
      <c r="D294"/>
      <c r="E294"/>
    </row>
    <row r="295" spans="1:5">
      <c r="A295"/>
      <c r="B295"/>
      <c r="C295"/>
      <c r="D295"/>
      <c r="E295"/>
    </row>
    <row r="296" spans="1:5">
      <c r="A296"/>
      <c r="B296"/>
      <c r="C296"/>
      <c r="D296"/>
      <c r="E296"/>
    </row>
    <row r="297" spans="1:5">
      <c r="A297"/>
      <c r="B297"/>
      <c r="C297"/>
      <c r="D297"/>
      <c r="E297"/>
    </row>
    <row r="298" spans="1:5">
      <c r="A298"/>
      <c r="B298"/>
      <c r="C298"/>
      <c r="D298"/>
      <c r="E298"/>
    </row>
    <row r="299" spans="1:5">
      <c r="A299"/>
      <c r="B299"/>
      <c r="C299"/>
      <c r="D299"/>
      <c r="E299"/>
    </row>
    <row r="300" spans="1:5">
      <c r="A300"/>
      <c r="B300"/>
      <c r="C300"/>
      <c r="D300"/>
      <c r="E300"/>
    </row>
    <row r="301" spans="1:5">
      <c r="A301"/>
      <c r="B301"/>
      <c r="C301"/>
      <c r="D301"/>
      <c r="E301"/>
    </row>
    <row r="302" spans="1:5">
      <c r="A302"/>
      <c r="B302"/>
      <c r="C302"/>
      <c r="D302"/>
      <c r="E302"/>
    </row>
    <row r="303" spans="1:5">
      <c r="A303"/>
      <c r="B303"/>
      <c r="C303"/>
      <c r="D303"/>
      <c r="E303"/>
    </row>
    <row r="304" spans="1:5">
      <c r="A304"/>
      <c r="B304"/>
      <c r="C304"/>
      <c r="D304"/>
      <c r="E304"/>
    </row>
    <row r="305" spans="1:5">
      <c r="A305"/>
      <c r="B305"/>
      <c r="C305"/>
      <c r="D305"/>
      <c r="E305"/>
    </row>
    <row r="306" spans="1:5">
      <c r="A306"/>
      <c r="B306"/>
      <c r="C306"/>
      <c r="D306"/>
      <c r="E306"/>
    </row>
    <row r="307" spans="1:5">
      <c r="A307"/>
      <c r="B307"/>
      <c r="C307"/>
      <c r="D307"/>
      <c r="E307"/>
    </row>
    <row r="308" spans="1:5">
      <c r="A308"/>
      <c r="B308"/>
      <c r="C308"/>
      <c r="D308"/>
      <c r="E308"/>
    </row>
    <row r="309" spans="1:5">
      <c r="A309"/>
      <c r="B309"/>
      <c r="C309"/>
      <c r="D309"/>
      <c r="E309"/>
    </row>
    <row r="310" spans="1:5">
      <c r="A310"/>
      <c r="B310"/>
      <c r="C310"/>
      <c r="D310"/>
      <c r="E310"/>
    </row>
    <row r="311" spans="1:5">
      <c r="A311"/>
      <c r="B311"/>
      <c r="C311"/>
      <c r="D311"/>
      <c r="E311"/>
    </row>
    <row r="312" spans="1:5">
      <c r="A312"/>
      <c r="B312"/>
      <c r="C312"/>
      <c r="D312"/>
      <c r="E312"/>
    </row>
    <row r="313" spans="1:5">
      <c r="A313"/>
      <c r="B313"/>
      <c r="C313"/>
      <c r="D313"/>
      <c r="E313"/>
    </row>
    <row r="314" spans="1:5">
      <c r="A314"/>
      <c r="B314"/>
      <c r="C314"/>
      <c r="D314"/>
      <c r="E314"/>
    </row>
    <row r="315" spans="1:5">
      <c r="A315"/>
      <c r="B315"/>
      <c r="C315"/>
      <c r="D315"/>
      <c r="E315"/>
    </row>
    <row r="316" spans="1:5">
      <c r="A316"/>
      <c r="B316"/>
      <c r="C316"/>
      <c r="D316"/>
      <c r="E316"/>
    </row>
    <row r="317" spans="1:5">
      <c r="A317"/>
      <c r="B317"/>
      <c r="C317"/>
      <c r="D317"/>
      <c r="E317"/>
    </row>
    <row r="318" spans="1:5">
      <c r="A318"/>
      <c r="B318"/>
      <c r="C318"/>
      <c r="D318"/>
      <c r="E318"/>
    </row>
    <row r="319" spans="1:5">
      <c r="A319"/>
      <c r="B319"/>
      <c r="C319"/>
      <c r="D319"/>
      <c r="E319"/>
    </row>
    <row r="320" spans="1:5">
      <c r="A320"/>
      <c r="B320"/>
      <c r="C320"/>
      <c r="D320"/>
      <c r="E320"/>
    </row>
    <row r="321" spans="1:5">
      <c r="A321"/>
      <c r="B321"/>
      <c r="C321"/>
      <c r="D321"/>
      <c r="E321"/>
    </row>
    <row r="322" spans="1:5">
      <c r="A322"/>
      <c r="B322"/>
      <c r="C322"/>
      <c r="D322"/>
      <c r="E322"/>
    </row>
    <row r="323" spans="1:5">
      <c r="A323"/>
      <c r="B323"/>
      <c r="C323"/>
      <c r="D323"/>
      <c r="E323"/>
    </row>
    <row r="324" spans="1:5">
      <c r="A324"/>
      <c r="B324"/>
      <c r="C324"/>
      <c r="D324"/>
      <c r="E324"/>
    </row>
    <row r="325" spans="1:5">
      <c r="A325"/>
      <c r="B325"/>
      <c r="C325"/>
      <c r="D325"/>
      <c r="E325"/>
    </row>
    <row r="326" spans="1:5">
      <c r="A326"/>
      <c r="B326"/>
      <c r="C326"/>
      <c r="D326"/>
      <c r="E326"/>
    </row>
    <row r="327" spans="1:5">
      <c r="A327"/>
      <c r="B327"/>
      <c r="C327"/>
      <c r="D327"/>
      <c r="E327"/>
    </row>
    <row r="328" spans="1:5">
      <c r="A328"/>
      <c r="B328"/>
      <c r="C328"/>
      <c r="D328"/>
      <c r="E328"/>
    </row>
    <row r="329" spans="1:5">
      <c r="A329"/>
      <c r="B329"/>
      <c r="C329"/>
      <c r="D329"/>
      <c r="E329"/>
    </row>
    <row r="330" spans="1:5">
      <c r="A330"/>
      <c r="B330"/>
      <c r="C330"/>
      <c r="D330"/>
      <c r="E330"/>
    </row>
    <row r="331" spans="1:5">
      <c r="A331"/>
      <c r="B331"/>
      <c r="C331"/>
      <c r="D331"/>
      <c r="E331"/>
    </row>
    <row r="332" spans="1:5">
      <c r="A332"/>
      <c r="B332"/>
      <c r="C332"/>
      <c r="D332"/>
      <c r="E332"/>
    </row>
    <row r="333" spans="1:5">
      <c r="A333"/>
      <c r="B333"/>
      <c r="C333"/>
      <c r="D333"/>
      <c r="E333"/>
    </row>
    <row r="334" spans="1:5">
      <c r="A334"/>
      <c r="B334"/>
      <c r="C334"/>
      <c r="D334"/>
      <c r="E334"/>
    </row>
    <row r="335" spans="1:5">
      <c r="A335"/>
      <c r="B335"/>
      <c r="C335"/>
      <c r="D335"/>
      <c r="E335"/>
    </row>
    <row r="336" spans="1:5">
      <c r="A336"/>
      <c r="B336"/>
      <c r="C336"/>
      <c r="D336"/>
      <c r="E336"/>
    </row>
    <row r="337" spans="1:5">
      <c r="A337"/>
      <c r="B337"/>
      <c r="C337"/>
      <c r="D337"/>
      <c r="E337"/>
    </row>
    <row r="338" spans="1:5">
      <c r="A338"/>
      <c r="B338"/>
      <c r="C338"/>
      <c r="D338"/>
      <c r="E338"/>
    </row>
    <row r="339" spans="1:5">
      <c r="A339"/>
      <c r="B339"/>
      <c r="C339"/>
      <c r="D339"/>
      <c r="E339"/>
    </row>
    <row r="340" spans="1:5">
      <c r="A340"/>
      <c r="B340"/>
      <c r="C340"/>
      <c r="D340"/>
      <c r="E340"/>
    </row>
    <row r="341" spans="1:5">
      <c r="A341"/>
      <c r="B341"/>
      <c r="C341"/>
      <c r="D341"/>
      <c r="E341"/>
    </row>
    <row r="342" spans="1:5">
      <c r="A342"/>
      <c r="B342"/>
      <c r="C342"/>
      <c r="D342"/>
      <c r="E342"/>
    </row>
    <row r="343" spans="1:5">
      <c r="A343"/>
      <c r="B343"/>
      <c r="C343"/>
      <c r="D343"/>
      <c r="E343"/>
    </row>
    <row r="344" spans="1:5">
      <c r="A344"/>
      <c r="B344"/>
      <c r="C344"/>
      <c r="D344"/>
      <c r="E344"/>
    </row>
    <row r="345" spans="1:5">
      <c r="A345"/>
      <c r="B345"/>
      <c r="C345"/>
      <c r="D345"/>
      <c r="E345"/>
    </row>
    <row r="346" spans="1:5">
      <c r="A346"/>
      <c r="B346"/>
      <c r="C346"/>
      <c r="D346"/>
      <c r="E346"/>
    </row>
    <row r="347" spans="1:5">
      <c r="A347"/>
      <c r="B347"/>
      <c r="C347"/>
      <c r="D347"/>
      <c r="E347"/>
    </row>
    <row r="348" spans="1:5">
      <c r="A348"/>
      <c r="B348"/>
      <c r="C348"/>
      <c r="D348"/>
      <c r="E348"/>
    </row>
    <row r="349" spans="1:5">
      <c r="A349"/>
      <c r="B349"/>
      <c r="C349"/>
      <c r="D349"/>
      <c r="E349"/>
    </row>
    <row r="350" spans="1:5">
      <c r="A350"/>
      <c r="B350"/>
      <c r="C350"/>
      <c r="D350"/>
      <c r="E350"/>
    </row>
    <row r="351" spans="1:5">
      <c r="A351"/>
      <c r="B351"/>
      <c r="C351"/>
      <c r="D351"/>
      <c r="E351"/>
    </row>
    <row r="352" spans="1:5">
      <c r="A352"/>
      <c r="B352"/>
      <c r="C352"/>
      <c r="D352"/>
      <c r="E352"/>
    </row>
    <row r="353" spans="1:5">
      <c r="A353"/>
      <c r="B353"/>
      <c r="C353"/>
      <c r="D353"/>
      <c r="E353"/>
    </row>
    <row r="354" spans="1:5">
      <c r="A354"/>
      <c r="B354"/>
      <c r="C354"/>
      <c r="D354"/>
      <c r="E354"/>
    </row>
    <row r="355" spans="1:5">
      <c r="A355"/>
      <c r="B355"/>
      <c r="C355"/>
      <c r="D355"/>
      <c r="E355"/>
    </row>
    <row r="356" spans="1:5">
      <c r="A356"/>
      <c r="B356"/>
      <c r="C356"/>
      <c r="D356"/>
      <c r="E356"/>
    </row>
    <row r="357" spans="1:5">
      <c r="A357"/>
      <c r="B357"/>
      <c r="C357"/>
      <c r="D357"/>
      <c r="E357"/>
    </row>
    <row r="358" spans="1:5">
      <c r="A358"/>
      <c r="B358"/>
      <c r="C358"/>
      <c r="D358"/>
      <c r="E358"/>
    </row>
    <row r="359" spans="1:5">
      <c r="A359"/>
      <c r="B359"/>
      <c r="C359"/>
      <c r="D359"/>
      <c r="E359"/>
    </row>
    <row r="360" spans="1:5">
      <c r="A360"/>
      <c r="B360"/>
      <c r="C360"/>
      <c r="D360"/>
      <c r="E360"/>
    </row>
    <row r="361" spans="1:5">
      <c r="A361"/>
      <c r="B361"/>
      <c r="C361"/>
      <c r="D361"/>
      <c r="E361"/>
    </row>
    <row r="362" spans="1:5">
      <c r="A362"/>
      <c r="B362"/>
      <c r="C362"/>
      <c r="D362"/>
      <c r="E362"/>
    </row>
    <row r="363" spans="1:5">
      <c r="A363"/>
      <c r="B363"/>
      <c r="C363"/>
      <c r="D363"/>
      <c r="E363"/>
    </row>
    <row r="364" spans="1:5">
      <c r="A364"/>
      <c r="B364"/>
      <c r="C364"/>
      <c r="D364"/>
      <c r="E364"/>
    </row>
    <row r="365" spans="1:5">
      <c r="A365"/>
      <c r="B365"/>
      <c r="C365"/>
      <c r="D365"/>
      <c r="E365"/>
    </row>
    <row r="366" spans="1:5">
      <c r="A366"/>
      <c r="B366"/>
      <c r="C366"/>
      <c r="D366"/>
      <c r="E366"/>
    </row>
    <row r="367" spans="1:5">
      <c r="A367"/>
      <c r="B367"/>
      <c r="C367"/>
      <c r="D367"/>
      <c r="E367"/>
    </row>
    <row r="368" spans="1:5">
      <c r="A368"/>
      <c r="B368"/>
      <c r="C368"/>
      <c r="D368"/>
      <c r="E368"/>
    </row>
    <row r="369" spans="1:5">
      <c r="A369"/>
      <c r="B369"/>
      <c r="C369"/>
      <c r="D369"/>
      <c r="E369"/>
    </row>
    <row r="370" spans="1:5">
      <c r="A370"/>
      <c r="B370"/>
      <c r="C370"/>
      <c r="D370"/>
      <c r="E370"/>
    </row>
    <row r="371" spans="1:5">
      <c r="A371"/>
      <c r="B371"/>
      <c r="C371"/>
      <c r="D371"/>
      <c r="E371"/>
    </row>
    <row r="372" spans="1:5">
      <c r="A372"/>
      <c r="B372"/>
      <c r="C372"/>
      <c r="D372"/>
      <c r="E372"/>
    </row>
    <row r="373" spans="1:5">
      <c r="A373"/>
      <c r="B373"/>
      <c r="C373"/>
      <c r="D373"/>
      <c r="E373"/>
    </row>
    <row r="374" spans="1:5">
      <c r="A374"/>
      <c r="B374"/>
      <c r="C374"/>
      <c r="D374"/>
      <c r="E374"/>
    </row>
    <row r="375" spans="1:5">
      <c r="A375"/>
      <c r="B375"/>
      <c r="C375"/>
      <c r="D375"/>
      <c r="E375"/>
    </row>
    <row r="376" spans="1:5">
      <c r="A376"/>
      <c r="B376"/>
      <c r="C376"/>
      <c r="D376"/>
      <c r="E376"/>
    </row>
    <row r="377" spans="1:5">
      <c r="A377"/>
      <c r="B377"/>
      <c r="C377"/>
      <c r="D377"/>
      <c r="E377"/>
    </row>
    <row r="378" spans="1:5">
      <c r="A378"/>
      <c r="B378"/>
      <c r="C378"/>
      <c r="D378"/>
      <c r="E378"/>
    </row>
    <row r="379" spans="1:5">
      <c r="A379"/>
      <c r="B379"/>
      <c r="C379"/>
      <c r="D379"/>
      <c r="E379"/>
    </row>
    <row r="380" spans="1:5">
      <c r="A380"/>
      <c r="B380"/>
      <c r="C380"/>
      <c r="D380"/>
      <c r="E380"/>
    </row>
    <row r="381" spans="1:5">
      <c r="A381"/>
      <c r="B381"/>
      <c r="C381"/>
      <c r="D381"/>
      <c r="E381"/>
    </row>
    <row r="382" spans="1:5">
      <c r="A382"/>
      <c r="B382"/>
      <c r="C382"/>
      <c r="D382"/>
      <c r="E382"/>
    </row>
    <row r="383" spans="1:5">
      <c r="A383"/>
      <c r="B383"/>
      <c r="C383"/>
      <c r="D383"/>
      <c r="E383"/>
    </row>
    <row r="384" spans="1:5">
      <c r="A384"/>
      <c r="B384"/>
      <c r="C384"/>
      <c r="D384"/>
      <c r="E384"/>
    </row>
    <row r="385" spans="1:5">
      <c r="A385"/>
      <c r="B385"/>
      <c r="C385"/>
      <c r="D385"/>
      <c r="E385"/>
    </row>
    <row r="386" spans="1:5">
      <c r="A386"/>
      <c r="B386"/>
      <c r="C386"/>
      <c r="D386"/>
      <c r="E386"/>
    </row>
    <row r="387" spans="1:5">
      <c r="A387"/>
      <c r="B387"/>
      <c r="C387"/>
      <c r="D387"/>
      <c r="E387"/>
    </row>
    <row r="388" spans="1:5">
      <c r="A388"/>
      <c r="B388"/>
      <c r="C388"/>
      <c r="D388"/>
      <c r="E388"/>
    </row>
    <row r="389" spans="1:5">
      <c r="A389"/>
      <c r="B389"/>
      <c r="C389"/>
      <c r="D389"/>
      <c r="E389"/>
    </row>
    <row r="390" spans="1:5">
      <c r="A390"/>
      <c r="B390"/>
      <c r="C390"/>
      <c r="D390"/>
      <c r="E390"/>
    </row>
    <row r="391" spans="1:5">
      <c r="A391"/>
      <c r="B391"/>
      <c r="C391"/>
      <c r="D391"/>
      <c r="E391"/>
    </row>
    <row r="392" spans="1:5">
      <c r="A392"/>
      <c r="B392"/>
      <c r="C392"/>
      <c r="D392"/>
      <c r="E392"/>
    </row>
    <row r="393" spans="1:5">
      <c r="A393"/>
      <c r="B393"/>
      <c r="C393"/>
      <c r="D393"/>
      <c r="E393"/>
    </row>
    <row r="394" spans="1:5">
      <c r="A394"/>
      <c r="B394"/>
      <c r="C394"/>
      <c r="D394"/>
      <c r="E394"/>
    </row>
    <row r="395" spans="1:5">
      <c r="A395"/>
      <c r="B395"/>
      <c r="C395"/>
      <c r="D395"/>
      <c r="E395"/>
    </row>
    <row r="396" spans="1:5">
      <c r="A396"/>
      <c r="B396"/>
      <c r="C396"/>
      <c r="D396"/>
      <c r="E396"/>
    </row>
    <row r="397" spans="1:5">
      <c r="A397"/>
      <c r="B397"/>
      <c r="C397"/>
      <c r="D397"/>
      <c r="E397"/>
    </row>
    <row r="398" spans="1:5">
      <c r="A398"/>
      <c r="B398"/>
      <c r="C398"/>
      <c r="D398"/>
      <c r="E398"/>
    </row>
    <row r="399" spans="1:5">
      <c r="A399"/>
      <c r="B399"/>
      <c r="C399"/>
      <c r="D399"/>
      <c r="E399"/>
    </row>
    <row r="400" spans="1:5">
      <c r="A400"/>
      <c r="B400"/>
      <c r="C400"/>
      <c r="D400"/>
      <c r="E400"/>
    </row>
    <row r="401" spans="1:5">
      <c r="A401"/>
      <c r="B401"/>
      <c r="C401"/>
      <c r="D401"/>
      <c r="E401"/>
    </row>
    <row r="402" spans="1:5">
      <c r="A402"/>
      <c r="B402"/>
      <c r="C402"/>
      <c r="D402"/>
      <c r="E402"/>
    </row>
    <row r="403" spans="1:5">
      <c r="A403"/>
      <c r="B403"/>
      <c r="C403"/>
      <c r="D403"/>
      <c r="E403"/>
    </row>
    <row r="404" spans="1:5">
      <c r="A404"/>
      <c r="B404"/>
      <c r="C404"/>
      <c r="D404"/>
      <c r="E404"/>
    </row>
    <row r="405" spans="1:5">
      <c r="A405"/>
      <c r="B405"/>
      <c r="C405"/>
      <c r="D405"/>
      <c r="E405"/>
    </row>
    <row r="406" spans="1:5">
      <c r="A406"/>
      <c r="B406"/>
      <c r="C406"/>
      <c r="D406"/>
      <c r="E406"/>
    </row>
    <row r="407" spans="1:5">
      <c r="A407"/>
      <c r="B407"/>
      <c r="C407"/>
      <c r="D407"/>
      <c r="E407"/>
    </row>
    <row r="408" spans="1:5">
      <c r="A408"/>
      <c r="B408"/>
      <c r="C408"/>
      <c r="D408"/>
      <c r="E408"/>
    </row>
    <row r="409" spans="1:5">
      <c r="A409"/>
      <c r="B409"/>
      <c r="C409"/>
      <c r="D409"/>
      <c r="E409"/>
    </row>
    <row r="410" spans="1:5">
      <c r="A410"/>
      <c r="B410"/>
      <c r="C410"/>
      <c r="D410"/>
      <c r="E410"/>
    </row>
    <row r="411" spans="1:5">
      <c r="A411"/>
      <c r="B411"/>
      <c r="C411"/>
      <c r="D411"/>
      <c r="E411"/>
    </row>
    <row r="412" spans="1:5">
      <c r="A412"/>
      <c r="B412"/>
      <c r="C412"/>
      <c r="D412"/>
      <c r="E412"/>
    </row>
    <row r="413" spans="1:5">
      <c r="A413"/>
      <c r="B413"/>
      <c r="C413"/>
      <c r="D413"/>
      <c r="E413"/>
    </row>
    <row r="414" spans="1:5">
      <c r="A414"/>
      <c r="B414"/>
      <c r="C414"/>
      <c r="D414"/>
      <c r="E414"/>
    </row>
    <row r="415" spans="1:5">
      <c r="A415"/>
      <c r="B415"/>
      <c r="C415"/>
      <c r="D415"/>
      <c r="E415"/>
    </row>
    <row r="416" spans="1:5">
      <c r="A416"/>
      <c r="B416"/>
      <c r="C416"/>
      <c r="D416"/>
      <c r="E416"/>
    </row>
    <row r="417" spans="1:5">
      <c r="A417"/>
      <c r="B417"/>
      <c r="C417"/>
      <c r="D417"/>
      <c r="E417"/>
    </row>
    <row r="418" spans="1:5">
      <c r="A418"/>
      <c r="B418"/>
      <c r="C418"/>
      <c r="D418"/>
      <c r="E418"/>
    </row>
    <row r="419" spans="1:5">
      <c r="A419"/>
      <c r="B419"/>
      <c r="C419"/>
      <c r="D419"/>
      <c r="E419"/>
    </row>
    <row r="420" spans="1:5">
      <c r="A420"/>
      <c r="B420"/>
      <c r="C420"/>
      <c r="D420"/>
      <c r="E420"/>
    </row>
    <row r="421" spans="1:5">
      <c r="A421"/>
      <c r="B421"/>
      <c r="C421"/>
      <c r="D421"/>
      <c r="E421"/>
    </row>
    <row r="422" spans="1:5">
      <c r="A422"/>
      <c r="B422"/>
      <c r="C422"/>
      <c r="D422"/>
      <c r="E422"/>
    </row>
    <row r="423" spans="1:5">
      <c r="A423"/>
      <c r="B423"/>
      <c r="C423"/>
      <c r="D423"/>
      <c r="E423"/>
    </row>
    <row r="424" spans="1:5">
      <c r="A424"/>
      <c r="B424"/>
      <c r="C424"/>
      <c r="D424"/>
      <c r="E424"/>
    </row>
    <row r="425" spans="1:5">
      <c r="A425"/>
      <c r="B425"/>
      <c r="C425"/>
      <c r="D425"/>
      <c r="E425"/>
    </row>
    <row r="426" spans="1:5">
      <c r="A426"/>
      <c r="B426"/>
      <c r="C426"/>
      <c r="D426"/>
      <c r="E426"/>
    </row>
    <row r="427" spans="1:5">
      <c r="A427"/>
      <c r="B427"/>
      <c r="C427"/>
      <c r="D427"/>
      <c r="E427"/>
    </row>
    <row r="428" spans="1:5">
      <c r="A428"/>
      <c r="B428"/>
      <c r="C428"/>
      <c r="D428"/>
      <c r="E428"/>
    </row>
    <row r="429" spans="1:5">
      <c r="A429"/>
      <c r="B429"/>
      <c r="C429"/>
      <c r="D429"/>
      <c r="E429"/>
    </row>
    <row r="430" spans="1:5">
      <c r="A430"/>
      <c r="B430"/>
      <c r="C430"/>
      <c r="D430"/>
      <c r="E430"/>
    </row>
    <row r="431" spans="1:5">
      <c r="A431"/>
      <c r="B431"/>
      <c r="C431"/>
      <c r="D431"/>
      <c r="E431"/>
    </row>
    <row r="432" spans="1:5">
      <c r="A432"/>
      <c r="B432"/>
      <c r="C432"/>
      <c r="D432"/>
      <c r="E432"/>
    </row>
    <row r="433" spans="1:5">
      <c r="A433"/>
      <c r="B433"/>
      <c r="C433"/>
      <c r="D433"/>
      <c r="E433"/>
    </row>
    <row r="434" spans="1:5">
      <c r="A434"/>
      <c r="B434"/>
      <c r="C434"/>
      <c r="D434"/>
      <c r="E434"/>
    </row>
    <row r="435" spans="1:5">
      <c r="A435"/>
      <c r="B435"/>
      <c r="C435"/>
      <c r="D435"/>
      <c r="E435"/>
    </row>
    <row r="436" spans="1:5">
      <c r="A436"/>
      <c r="B436"/>
      <c r="C436"/>
      <c r="D436"/>
      <c r="E436"/>
    </row>
    <row r="437" spans="1:5">
      <c r="A437"/>
      <c r="B437"/>
      <c r="C437"/>
      <c r="D437"/>
      <c r="E437"/>
    </row>
    <row r="438" spans="1:5">
      <c r="A438"/>
      <c r="B438"/>
      <c r="C438"/>
      <c r="D438"/>
      <c r="E438"/>
    </row>
    <row r="439" spans="1:5">
      <c r="A439"/>
      <c r="B439"/>
      <c r="C439"/>
      <c r="D439"/>
      <c r="E439"/>
    </row>
    <row r="440" spans="1:5">
      <c r="A440"/>
      <c r="B440"/>
      <c r="C440"/>
      <c r="D440"/>
      <c r="E440"/>
    </row>
    <row r="441" spans="1:5">
      <c r="A441"/>
      <c r="B441"/>
      <c r="C441"/>
      <c r="D441"/>
      <c r="E441"/>
    </row>
    <row r="442" spans="1:5">
      <c r="A442"/>
      <c r="B442"/>
      <c r="C442"/>
      <c r="D442"/>
      <c r="E442"/>
    </row>
    <row r="443" spans="1:5">
      <c r="A443"/>
      <c r="B443"/>
      <c r="C443"/>
      <c r="D443"/>
      <c r="E443"/>
    </row>
    <row r="444" spans="1:5">
      <c r="A444"/>
      <c r="B444"/>
      <c r="C444"/>
      <c r="D444"/>
      <c r="E444"/>
    </row>
    <row r="445" spans="1:5">
      <c r="A445"/>
      <c r="B445"/>
      <c r="C445"/>
      <c r="D445"/>
      <c r="E445"/>
    </row>
    <row r="446" spans="1:5">
      <c r="A446"/>
      <c r="B446"/>
      <c r="C446"/>
      <c r="D446"/>
      <c r="E446"/>
    </row>
    <row r="447" spans="1:5">
      <c r="A447"/>
      <c r="B447"/>
      <c r="C447"/>
      <c r="D447"/>
      <c r="E447"/>
    </row>
    <row r="448" spans="1:5">
      <c r="A448"/>
      <c r="B448"/>
      <c r="C448"/>
      <c r="D448"/>
      <c r="E448"/>
    </row>
    <row r="449" spans="1:5">
      <c r="A449"/>
      <c r="B449"/>
      <c r="C449"/>
      <c r="D449"/>
      <c r="E449"/>
    </row>
    <row r="450" spans="1:5">
      <c r="A450"/>
      <c r="B450"/>
      <c r="C450"/>
      <c r="D450"/>
      <c r="E450"/>
    </row>
    <row r="451" spans="1:5">
      <c r="A451"/>
      <c r="B451"/>
      <c r="C451"/>
      <c r="D451"/>
      <c r="E451"/>
    </row>
    <row r="452" spans="1:5">
      <c r="A452"/>
      <c r="B452"/>
      <c r="C452"/>
      <c r="D452"/>
      <c r="E452"/>
    </row>
    <row r="453" spans="1:5">
      <c r="A453"/>
      <c r="B453"/>
      <c r="C453"/>
      <c r="D453"/>
      <c r="E453"/>
    </row>
    <row r="454" spans="1:5">
      <c r="A454"/>
      <c r="B454"/>
      <c r="C454"/>
      <c r="D454"/>
      <c r="E454"/>
    </row>
    <row r="455" spans="1:5">
      <c r="A455"/>
      <c r="B455"/>
      <c r="C455"/>
      <c r="D455"/>
      <c r="E455"/>
    </row>
    <row r="456" spans="1:5">
      <c r="A456"/>
      <c r="B456"/>
      <c r="C456"/>
      <c r="D456"/>
      <c r="E456"/>
    </row>
    <row r="457" spans="1:5">
      <c r="A457"/>
      <c r="B457"/>
      <c r="C457"/>
      <c r="D457"/>
      <c r="E457"/>
    </row>
    <row r="458" spans="1:5">
      <c r="A458"/>
      <c r="B458"/>
      <c r="C458"/>
      <c r="D458"/>
      <c r="E458"/>
    </row>
    <row r="459" spans="1:5">
      <c r="A459"/>
      <c r="B459"/>
      <c r="C459"/>
      <c r="D459"/>
      <c r="E459"/>
    </row>
    <row r="460" spans="1:5">
      <c r="A460"/>
      <c r="B460"/>
      <c r="C460"/>
      <c r="D460"/>
      <c r="E460"/>
    </row>
    <row r="461" spans="1:5">
      <c r="A461"/>
      <c r="B461"/>
      <c r="C461"/>
      <c r="D461"/>
      <c r="E461"/>
    </row>
    <row r="462" spans="1:5">
      <c r="A462"/>
      <c r="B462"/>
      <c r="C462"/>
      <c r="D462"/>
      <c r="E462"/>
    </row>
    <row r="463" spans="1:5">
      <c r="A463"/>
      <c r="B463"/>
      <c r="C463"/>
      <c r="D463"/>
      <c r="E463"/>
    </row>
    <row r="464" spans="1:5">
      <c r="A464"/>
      <c r="B464"/>
      <c r="C464"/>
      <c r="D464"/>
      <c r="E464"/>
    </row>
    <row r="465" spans="1:5">
      <c r="A465"/>
      <c r="B465"/>
      <c r="C465"/>
      <c r="D465"/>
      <c r="E465"/>
    </row>
    <row r="466" spans="1:5">
      <c r="A466"/>
      <c r="B466"/>
      <c r="C466"/>
      <c r="D466"/>
      <c r="E466"/>
    </row>
    <row r="467" spans="1:5">
      <c r="A467"/>
      <c r="B467"/>
      <c r="C467"/>
      <c r="D467"/>
      <c r="E467"/>
    </row>
    <row r="468" spans="1:5">
      <c r="A468"/>
      <c r="B468"/>
      <c r="C468"/>
      <c r="D468"/>
      <c r="E468"/>
    </row>
    <row r="469" spans="1:5">
      <c r="A469"/>
      <c r="B469"/>
      <c r="C469"/>
      <c r="D469"/>
      <c r="E469"/>
    </row>
    <row r="470" spans="1:5">
      <c r="A470"/>
      <c r="B470"/>
      <c r="C470"/>
      <c r="D470"/>
      <c r="E470"/>
    </row>
    <row r="471" spans="1:5">
      <c r="A471"/>
      <c r="B471"/>
      <c r="C471"/>
      <c r="D471"/>
      <c r="E471"/>
    </row>
    <row r="472" spans="1:5">
      <c r="A472"/>
      <c r="B472"/>
      <c r="C472"/>
      <c r="D472"/>
      <c r="E472"/>
    </row>
    <row r="473" spans="1:5">
      <c r="A473"/>
      <c r="B473"/>
      <c r="C473"/>
      <c r="D473"/>
      <c r="E473"/>
    </row>
    <row r="474" spans="1:5">
      <c r="A474"/>
      <c r="B474"/>
      <c r="C474"/>
      <c r="D474"/>
      <c r="E474"/>
    </row>
    <row r="475" spans="1:5">
      <c r="A475"/>
      <c r="B475"/>
      <c r="C475"/>
      <c r="D475"/>
      <c r="E475"/>
    </row>
    <row r="476" spans="1:5">
      <c r="A476"/>
      <c r="B476"/>
      <c r="C476"/>
      <c r="D476"/>
      <c r="E476"/>
    </row>
    <row r="477" spans="1:5">
      <c r="A477"/>
      <c r="B477"/>
      <c r="C477"/>
      <c r="D477"/>
      <c r="E477"/>
    </row>
    <row r="478" spans="1:5">
      <c r="A478"/>
      <c r="B478"/>
      <c r="C478"/>
      <c r="D478"/>
      <c r="E478"/>
    </row>
    <row r="479" spans="1:5">
      <c r="A479"/>
      <c r="B479"/>
      <c r="C479"/>
      <c r="D479"/>
      <c r="E479"/>
    </row>
    <row r="480" spans="1:5">
      <c r="A480"/>
      <c r="B480"/>
      <c r="C480"/>
      <c r="D480"/>
      <c r="E480"/>
    </row>
    <row r="481" spans="1:5">
      <c r="A481"/>
      <c r="B481"/>
      <c r="C481"/>
      <c r="D481"/>
      <c r="E481"/>
    </row>
    <row r="482" spans="1:5">
      <c r="A482"/>
      <c r="B482"/>
      <c r="C482"/>
      <c r="D482"/>
      <c r="E482"/>
    </row>
    <row r="483" spans="1:5">
      <c r="A483"/>
      <c r="B483"/>
      <c r="C483"/>
      <c r="D483"/>
      <c r="E483"/>
    </row>
    <row r="484" spans="1:5">
      <c r="A484"/>
      <c r="B484"/>
      <c r="C484"/>
      <c r="D484"/>
      <c r="E484"/>
    </row>
    <row r="485" spans="1:5">
      <c r="A485"/>
      <c r="B485"/>
      <c r="C485"/>
      <c r="D485"/>
      <c r="E485"/>
    </row>
    <row r="486" spans="1:5">
      <c r="A486"/>
      <c r="B486"/>
      <c r="C486"/>
      <c r="D486"/>
      <c r="E486"/>
    </row>
    <row r="487" spans="1:5">
      <c r="A487"/>
      <c r="B487"/>
      <c r="C487"/>
      <c r="D487"/>
      <c r="E487"/>
    </row>
    <row r="488" spans="1:5">
      <c r="A488"/>
      <c r="B488"/>
      <c r="C488"/>
      <c r="D488"/>
      <c r="E488"/>
    </row>
    <row r="489" spans="1:5">
      <c r="A489"/>
      <c r="B489"/>
      <c r="C489"/>
      <c r="D489"/>
      <c r="E489"/>
    </row>
    <row r="490" spans="1:5">
      <c r="A490"/>
      <c r="B490"/>
      <c r="C490"/>
      <c r="D490"/>
      <c r="E490"/>
    </row>
    <row r="491" spans="1:5">
      <c r="A491"/>
      <c r="B491"/>
      <c r="C491"/>
      <c r="D491"/>
      <c r="E491"/>
    </row>
    <row r="492" spans="1:5">
      <c r="A492"/>
      <c r="B492"/>
      <c r="C492"/>
      <c r="D492"/>
      <c r="E492"/>
    </row>
    <row r="493" spans="1:5">
      <c r="A493"/>
      <c r="B493"/>
      <c r="C493"/>
      <c r="D493"/>
      <c r="E493"/>
    </row>
    <row r="494" spans="1:5">
      <c r="A494"/>
      <c r="B494"/>
      <c r="C494"/>
      <c r="D494"/>
      <c r="E494"/>
    </row>
    <row r="495" spans="1:5">
      <c r="A495"/>
      <c r="B495"/>
      <c r="C495"/>
      <c r="D495"/>
      <c r="E495"/>
    </row>
    <row r="496" spans="1:5">
      <c r="A496"/>
      <c r="B496"/>
      <c r="C496"/>
      <c r="D496"/>
      <c r="E496"/>
    </row>
    <row r="497" spans="1:5">
      <c r="A497"/>
      <c r="B497"/>
      <c r="C497"/>
      <c r="D497"/>
      <c r="E497"/>
    </row>
    <row r="498" spans="1:5">
      <c r="A498"/>
      <c r="B498"/>
      <c r="C498"/>
      <c r="D498"/>
      <c r="E498"/>
    </row>
    <row r="499" spans="1:5">
      <c r="A499"/>
      <c r="B499"/>
      <c r="C499"/>
      <c r="D499"/>
      <c r="E499"/>
    </row>
    <row r="500" spans="1:5">
      <c r="A500"/>
      <c r="B500"/>
      <c r="C500"/>
      <c r="D500"/>
      <c r="E500"/>
    </row>
    <row r="501" spans="1:5">
      <c r="A501"/>
      <c r="B501"/>
      <c r="C501"/>
      <c r="D501"/>
      <c r="E501"/>
    </row>
    <row r="502" spans="1:5">
      <c r="A502"/>
      <c r="B502"/>
      <c r="C502"/>
      <c r="D502"/>
      <c r="E502"/>
    </row>
    <row r="503" spans="1:5">
      <c r="A503"/>
      <c r="B503"/>
      <c r="C503"/>
      <c r="D503"/>
      <c r="E503"/>
    </row>
    <row r="504" spans="1:5">
      <c r="A504"/>
      <c r="B504"/>
      <c r="C504"/>
      <c r="D504"/>
      <c r="E504"/>
    </row>
    <row r="505" spans="1:5">
      <c r="A505"/>
      <c r="B505"/>
      <c r="C505"/>
      <c r="D505"/>
      <c r="E505"/>
    </row>
    <row r="506" spans="1:5">
      <c r="A506"/>
      <c r="B506"/>
      <c r="C506"/>
      <c r="D506"/>
      <c r="E506"/>
    </row>
    <row r="507" spans="1:5">
      <c r="A507"/>
      <c r="B507"/>
      <c r="C507"/>
      <c r="D507"/>
      <c r="E507"/>
    </row>
    <row r="508" spans="1:5">
      <c r="A508"/>
      <c r="B508"/>
      <c r="C508"/>
      <c r="D508"/>
      <c r="E508"/>
    </row>
    <row r="509" spans="1:5">
      <c r="A509"/>
      <c r="B509"/>
      <c r="C509"/>
      <c r="D509"/>
      <c r="E509"/>
    </row>
    <row r="510" spans="1:5">
      <c r="A510"/>
      <c r="B510"/>
      <c r="C510"/>
      <c r="D510"/>
      <c r="E510"/>
    </row>
    <row r="511" spans="1:5">
      <c r="A511"/>
      <c r="B511"/>
      <c r="C511"/>
      <c r="D511"/>
      <c r="E511"/>
    </row>
    <row r="512" spans="1:5">
      <c r="A512"/>
      <c r="B512"/>
      <c r="C512"/>
      <c r="D512"/>
      <c r="E512"/>
    </row>
    <row r="513" spans="1:5">
      <c r="A513"/>
      <c r="B513"/>
      <c r="C513"/>
      <c r="D513"/>
      <c r="E513"/>
    </row>
    <row r="514" spans="1:5">
      <c r="A514"/>
      <c r="B514"/>
      <c r="C514"/>
      <c r="D514"/>
      <c r="E514"/>
    </row>
    <row r="515" spans="1:5">
      <c r="A515"/>
      <c r="B515"/>
      <c r="C515"/>
      <c r="D515"/>
      <c r="E515"/>
    </row>
    <row r="516" spans="1:5">
      <c r="A516"/>
      <c r="B516"/>
      <c r="C516"/>
      <c r="D516"/>
      <c r="E516"/>
    </row>
    <row r="517" spans="1:5">
      <c r="A517"/>
      <c r="B517"/>
      <c r="C517"/>
      <c r="D517"/>
      <c r="E517"/>
    </row>
    <row r="518" spans="1:5">
      <c r="A518"/>
      <c r="B518"/>
      <c r="C518"/>
      <c r="D518"/>
      <c r="E518"/>
    </row>
    <row r="519" spans="1:5">
      <c r="A519"/>
      <c r="B519"/>
      <c r="C519"/>
      <c r="D519"/>
      <c r="E519"/>
    </row>
    <row r="520" spans="1:5">
      <c r="A520"/>
      <c r="B520"/>
      <c r="C520"/>
      <c r="D520"/>
      <c r="E520"/>
    </row>
    <row r="521" spans="1:5">
      <c r="A521"/>
      <c r="B521"/>
      <c r="C521"/>
      <c r="D521"/>
      <c r="E521"/>
    </row>
    <row r="522" spans="1:5">
      <c r="A522"/>
      <c r="B522"/>
      <c r="C522"/>
      <c r="D522"/>
      <c r="E522"/>
    </row>
    <row r="523" spans="1:5">
      <c r="A523"/>
      <c r="B523"/>
      <c r="C523"/>
      <c r="D523"/>
      <c r="E523"/>
    </row>
    <row r="524" spans="1:5">
      <c r="A524"/>
      <c r="B524"/>
      <c r="C524"/>
      <c r="D524"/>
      <c r="E524"/>
    </row>
    <row r="525" spans="1:5">
      <c r="A525"/>
      <c r="B525"/>
      <c r="C525"/>
      <c r="D525"/>
      <c r="E525"/>
    </row>
    <row r="526" spans="1:5">
      <c r="A526"/>
      <c r="B526"/>
      <c r="C526"/>
      <c r="D526"/>
      <c r="E526"/>
    </row>
    <row r="527" spans="1:5">
      <c r="A527"/>
      <c r="B527"/>
      <c r="C527"/>
      <c r="D527"/>
      <c r="E527"/>
    </row>
    <row r="528" spans="1:5">
      <c r="A528"/>
      <c r="B528"/>
      <c r="C528"/>
      <c r="D528"/>
      <c r="E528"/>
    </row>
    <row r="529" spans="1:5">
      <c r="A529"/>
      <c r="B529"/>
      <c r="C529"/>
      <c r="D529"/>
      <c r="E529"/>
    </row>
    <row r="530" spans="1:5">
      <c r="A530"/>
      <c r="B530"/>
      <c r="C530"/>
      <c r="D530"/>
      <c r="E530"/>
    </row>
    <row r="531" spans="1:5">
      <c r="A531"/>
      <c r="B531"/>
      <c r="C531"/>
      <c r="D531"/>
      <c r="E531"/>
    </row>
    <row r="532" spans="1:5">
      <c r="A532"/>
      <c r="B532"/>
      <c r="C532"/>
      <c r="D532"/>
      <c r="E532"/>
    </row>
    <row r="533" spans="1:5">
      <c r="A533"/>
      <c r="B533"/>
      <c r="C533"/>
      <c r="D533"/>
      <c r="E533"/>
    </row>
    <row r="534" spans="1:5">
      <c r="A534"/>
      <c r="B534"/>
      <c r="C534"/>
      <c r="D534"/>
      <c r="E534"/>
    </row>
    <row r="535" spans="1:5">
      <c r="A535"/>
      <c r="B535"/>
      <c r="C535"/>
      <c r="D535"/>
      <c r="E535"/>
    </row>
    <row r="536" spans="1:5">
      <c r="A536"/>
      <c r="B536"/>
      <c r="C536"/>
      <c r="D536"/>
      <c r="E536"/>
    </row>
    <row r="537" spans="1:5">
      <c r="A537"/>
      <c r="B537"/>
      <c r="C537"/>
      <c r="D537"/>
      <c r="E537"/>
    </row>
    <row r="538" spans="1:5">
      <c r="A538"/>
      <c r="B538"/>
      <c r="C538"/>
      <c r="D538"/>
      <c r="E538"/>
    </row>
    <row r="539" spans="1:5">
      <c r="A539"/>
      <c r="B539"/>
      <c r="C539"/>
      <c r="D539"/>
      <c r="E539"/>
    </row>
    <row r="540" spans="1:5">
      <c r="A540"/>
      <c r="B540"/>
      <c r="C540"/>
      <c r="D540"/>
      <c r="E540"/>
    </row>
    <row r="541" spans="1:5">
      <c r="A541"/>
      <c r="B541"/>
      <c r="C541"/>
      <c r="D541"/>
      <c r="E541"/>
    </row>
    <row r="542" spans="1:5">
      <c r="A542"/>
      <c r="B542"/>
      <c r="C542"/>
      <c r="D542"/>
      <c r="E542"/>
    </row>
    <row r="543" spans="1:5">
      <c r="A543"/>
      <c r="B543"/>
      <c r="C543"/>
      <c r="D543"/>
      <c r="E543"/>
    </row>
    <row r="544" spans="1:5">
      <c r="A544"/>
      <c r="B544"/>
      <c r="C544"/>
      <c r="D544"/>
      <c r="E544"/>
    </row>
    <row r="545" spans="1:5">
      <c r="A545"/>
      <c r="B545"/>
      <c r="C545"/>
      <c r="D545"/>
      <c r="E545"/>
    </row>
    <row r="546" spans="1:5">
      <c r="A546"/>
      <c r="B546"/>
      <c r="C546"/>
      <c r="D546"/>
      <c r="E546"/>
    </row>
    <row r="547" spans="1:5">
      <c r="A547"/>
      <c r="B547"/>
      <c r="C547"/>
      <c r="D547"/>
      <c r="E547"/>
    </row>
    <row r="548" spans="1:5">
      <c r="A548"/>
      <c r="B548"/>
      <c r="C548"/>
      <c r="D548"/>
      <c r="E548"/>
    </row>
    <row r="549" spans="1:5">
      <c r="A549"/>
      <c r="B549"/>
      <c r="C549"/>
      <c r="D549"/>
      <c r="E549"/>
    </row>
    <row r="550" spans="1:5">
      <c r="A550"/>
      <c r="B550"/>
      <c r="C550"/>
      <c r="D550"/>
      <c r="E550"/>
    </row>
    <row r="551" spans="1:5">
      <c r="A551"/>
      <c r="B551"/>
      <c r="C551"/>
      <c r="D551"/>
      <c r="E551"/>
    </row>
    <row r="552" spans="1:5">
      <c r="A552"/>
      <c r="B552"/>
      <c r="C552"/>
      <c r="D552"/>
      <c r="E552"/>
    </row>
    <row r="553" spans="1:5">
      <c r="A553"/>
      <c r="B553"/>
      <c r="C553"/>
      <c r="D553"/>
      <c r="E553"/>
    </row>
    <row r="554" spans="1:5">
      <c r="A554"/>
      <c r="B554"/>
      <c r="C554"/>
      <c r="D554"/>
      <c r="E554"/>
    </row>
    <row r="555" spans="1:5">
      <c r="A555"/>
      <c r="B555"/>
      <c r="C555"/>
      <c r="D555"/>
      <c r="E555"/>
    </row>
    <row r="556" spans="1:5">
      <c r="A556"/>
      <c r="B556"/>
      <c r="C556"/>
      <c r="D556"/>
      <c r="E556"/>
    </row>
    <row r="557" spans="1:5">
      <c r="A557"/>
      <c r="B557"/>
      <c r="C557"/>
      <c r="D557"/>
      <c r="E557"/>
    </row>
    <row r="558" spans="1:5">
      <c r="A558"/>
      <c r="B558"/>
      <c r="C558"/>
      <c r="D558"/>
      <c r="E558"/>
    </row>
    <row r="559" spans="1:5">
      <c r="A559"/>
      <c r="B559"/>
      <c r="C559"/>
      <c r="D559"/>
      <c r="E559"/>
    </row>
    <row r="560" spans="1:5">
      <c r="A560"/>
      <c r="B560"/>
      <c r="C560"/>
      <c r="D560"/>
      <c r="E560"/>
    </row>
    <row r="561" spans="1:5">
      <c r="A561"/>
      <c r="B561"/>
      <c r="C561"/>
      <c r="D561"/>
      <c r="E561"/>
    </row>
    <row r="562" spans="1:5">
      <c r="A562"/>
      <c r="B562"/>
      <c r="C562"/>
      <c r="D562"/>
      <c r="E562"/>
    </row>
    <row r="563" spans="1:5">
      <c r="A563"/>
      <c r="B563"/>
      <c r="C563"/>
      <c r="D563"/>
      <c r="E563"/>
    </row>
    <row r="564" spans="1:5">
      <c r="A564"/>
      <c r="B564"/>
      <c r="C564"/>
      <c r="D564"/>
      <c r="E564"/>
    </row>
    <row r="565" spans="1:5">
      <c r="A565"/>
      <c r="B565"/>
      <c r="C565"/>
      <c r="D565"/>
      <c r="E565"/>
    </row>
    <row r="566" spans="1:5">
      <c r="A566"/>
      <c r="B566"/>
      <c r="C566"/>
      <c r="D566"/>
      <c r="E566"/>
    </row>
    <row r="567" spans="1:5">
      <c r="A567"/>
      <c r="B567"/>
      <c r="C567"/>
      <c r="D567"/>
      <c r="E567"/>
    </row>
    <row r="568" spans="1:5">
      <c r="A568"/>
      <c r="B568"/>
      <c r="C568"/>
      <c r="D568"/>
      <c r="E568"/>
    </row>
    <row r="569" spans="1:5">
      <c r="A569"/>
      <c r="B569"/>
      <c r="C569"/>
      <c r="D569"/>
      <c r="E569"/>
    </row>
    <row r="570" spans="1:5">
      <c r="A570"/>
      <c r="B570"/>
      <c r="C570"/>
      <c r="D570"/>
      <c r="E570"/>
    </row>
    <row r="571" spans="1:5">
      <c r="A571"/>
      <c r="B571"/>
      <c r="C571"/>
      <c r="D571"/>
      <c r="E571"/>
    </row>
    <row r="572" spans="1:5">
      <c r="A572"/>
      <c r="B572"/>
      <c r="C572"/>
      <c r="D572"/>
      <c r="E572"/>
    </row>
    <row r="573" spans="1:5">
      <c r="A573"/>
      <c r="B573"/>
      <c r="C573"/>
      <c r="D573"/>
      <c r="E573"/>
    </row>
  </sheetData>
  <mergeCells count="1">
    <mergeCell ref="A1:T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L2:P626"/>
  <sheetViews>
    <sheetView showGridLines="0" workbookViewId="0">
      <selection activeCell="J25" sqref="J25"/>
    </sheetView>
  </sheetViews>
  <sheetFormatPr defaultColWidth="14" defaultRowHeight="15.5"/>
  <cols>
    <col min="9" max="9" width="22.58203125" customWidth="1"/>
    <col min="10" max="10" width="24.6640625" customWidth="1"/>
    <col min="11" max="11" width="42.5" customWidth="1"/>
    <col min="12" max="12" width="14" hidden="1" customWidth="1"/>
    <col min="13" max="13" width="17.1640625" hidden="1" customWidth="1"/>
    <col min="14" max="14" width="57" hidden="1" customWidth="1"/>
    <col min="15" max="15" width="45.1640625" hidden="1" customWidth="1"/>
    <col min="16" max="16" width="71.6640625" hidden="1" customWidth="1"/>
  </cols>
  <sheetData>
    <row r="2" spans="12:16">
      <c r="L2" s="419" t="s">
        <v>34</v>
      </c>
      <c r="M2" s="413" t="s">
        <v>1471</v>
      </c>
    </row>
    <row r="3" spans="12:16">
      <c r="N3" s="360"/>
      <c r="O3" s="360"/>
      <c r="P3" s="360"/>
    </row>
    <row r="4" spans="12:16">
      <c r="L4" s="419" t="s">
        <v>23</v>
      </c>
      <c r="M4" s="419" t="s">
        <v>20</v>
      </c>
      <c r="N4" s="413" t="s">
        <v>2125</v>
      </c>
      <c r="O4" s="413" t="s">
        <v>2126</v>
      </c>
      <c r="P4" s="413" t="s">
        <v>2127</v>
      </c>
    </row>
    <row r="5" spans="12:16">
      <c r="L5" s="413" t="s">
        <v>277</v>
      </c>
      <c r="M5" s="413" t="s">
        <v>2961</v>
      </c>
      <c r="N5" s="412">
        <v>715</v>
      </c>
      <c r="O5" s="412">
        <v>715</v>
      </c>
      <c r="P5" s="412">
        <v>715</v>
      </c>
    </row>
    <row r="6" spans="12:16">
      <c r="M6" s="413" t="s">
        <v>2962</v>
      </c>
      <c r="N6" s="412">
        <v>715</v>
      </c>
      <c r="O6" s="412">
        <v>715</v>
      </c>
      <c r="P6" s="412">
        <v>715</v>
      </c>
    </row>
    <row r="7" spans="12:16">
      <c r="L7" s="413" t="s">
        <v>2444</v>
      </c>
      <c r="M7" s="413"/>
      <c r="N7" s="412">
        <v>1430</v>
      </c>
      <c r="O7" s="412">
        <v>1430</v>
      </c>
      <c r="P7" s="412">
        <v>1430</v>
      </c>
    </row>
    <row r="8" spans="12:16">
      <c r="L8" s="413" t="s">
        <v>248</v>
      </c>
      <c r="M8" s="413" t="s">
        <v>2961</v>
      </c>
      <c r="N8" s="412">
        <v>446</v>
      </c>
      <c r="O8" s="412">
        <v>368</v>
      </c>
      <c r="P8" s="412">
        <v>446</v>
      </c>
    </row>
    <row r="9" spans="12:16">
      <c r="M9" s="413" t="s">
        <v>2962</v>
      </c>
      <c r="N9" s="412">
        <v>446</v>
      </c>
      <c r="O9" s="412">
        <v>368</v>
      </c>
      <c r="P9" s="412">
        <v>446</v>
      </c>
    </row>
    <row r="10" spans="12:16">
      <c r="L10" s="413" t="s">
        <v>2445</v>
      </c>
      <c r="M10" s="413"/>
      <c r="N10" s="412">
        <v>892</v>
      </c>
      <c r="O10" s="412">
        <v>736</v>
      </c>
      <c r="P10" s="412">
        <v>892</v>
      </c>
    </row>
    <row r="11" spans="12:16">
      <c r="L11" s="413" t="s">
        <v>249</v>
      </c>
      <c r="M11" s="413" t="s">
        <v>2961</v>
      </c>
      <c r="N11" s="412">
        <v>70</v>
      </c>
      <c r="O11" s="412">
        <v>60</v>
      </c>
      <c r="P11" s="412">
        <v>70</v>
      </c>
    </row>
    <row r="12" spans="12:16">
      <c r="M12" s="413" t="s">
        <v>2962</v>
      </c>
      <c r="N12" s="412">
        <v>70</v>
      </c>
      <c r="O12" s="412">
        <v>60</v>
      </c>
      <c r="P12" s="412">
        <v>70</v>
      </c>
    </row>
    <row r="13" spans="12:16">
      <c r="L13" s="413" t="s">
        <v>2446</v>
      </c>
      <c r="M13" s="413"/>
      <c r="N13" s="412">
        <v>140</v>
      </c>
      <c r="O13" s="412">
        <v>120</v>
      </c>
      <c r="P13" s="412">
        <v>140</v>
      </c>
    </row>
    <row r="14" spans="12:16">
      <c r="L14" s="413" t="s">
        <v>206</v>
      </c>
      <c r="M14" s="413" t="s">
        <v>2961</v>
      </c>
      <c r="N14" s="412">
        <v>0</v>
      </c>
      <c r="O14" s="412">
        <v>502</v>
      </c>
      <c r="P14" s="412">
        <v>502</v>
      </c>
    </row>
    <row r="15" spans="12:16">
      <c r="M15" s="413" t="s">
        <v>2962</v>
      </c>
      <c r="N15" s="412">
        <v>0</v>
      </c>
      <c r="O15" s="412">
        <v>502</v>
      </c>
      <c r="P15" s="412">
        <v>502</v>
      </c>
    </row>
    <row r="16" spans="12:16">
      <c r="L16" s="413" t="s">
        <v>2447</v>
      </c>
      <c r="M16" s="413"/>
      <c r="N16" s="412">
        <v>0</v>
      </c>
      <c r="O16" s="412">
        <v>1004</v>
      </c>
      <c r="P16" s="412">
        <v>1004</v>
      </c>
    </row>
    <row r="17" spans="12:16">
      <c r="L17" s="413" t="s">
        <v>196</v>
      </c>
      <c r="M17" s="413" t="s">
        <v>2961</v>
      </c>
      <c r="N17" s="412">
        <v>0</v>
      </c>
      <c r="O17" s="412">
        <v>40</v>
      </c>
      <c r="P17" s="412">
        <v>222</v>
      </c>
    </row>
    <row r="18" spans="12:16">
      <c r="M18" s="413" t="s">
        <v>2962</v>
      </c>
      <c r="N18" s="412">
        <v>0</v>
      </c>
      <c r="O18" s="412">
        <v>40</v>
      </c>
      <c r="P18" s="412">
        <v>222</v>
      </c>
    </row>
    <row r="19" spans="12:16">
      <c r="L19" s="413" t="s">
        <v>2448</v>
      </c>
      <c r="M19" s="413"/>
      <c r="N19" s="412">
        <v>0</v>
      </c>
      <c r="O19" s="412">
        <v>80</v>
      </c>
      <c r="P19" s="412">
        <v>444</v>
      </c>
    </row>
    <row r="20" spans="12:16">
      <c r="L20" s="413" t="s">
        <v>250</v>
      </c>
      <c r="M20" s="413" t="s">
        <v>2961</v>
      </c>
      <c r="N20" s="412">
        <v>249</v>
      </c>
      <c r="O20" s="412">
        <v>200</v>
      </c>
      <c r="P20" s="412">
        <v>249</v>
      </c>
    </row>
    <row r="21" spans="12:16">
      <c r="M21" s="413" t="s">
        <v>2962</v>
      </c>
      <c r="N21" s="412">
        <v>249</v>
      </c>
      <c r="O21" s="412">
        <v>200</v>
      </c>
      <c r="P21" s="412">
        <v>249</v>
      </c>
    </row>
    <row r="22" spans="12:16">
      <c r="L22" s="413" t="s">
        <v>2449</v>
      </c>
      <c r="M22" s="413"/>
      <c r="N22" s="412">
        <v>498</v>
      </c>
      <c r="O22" s="412">
        <v>400</v>
      </c>
      <c r="P22" s="412">
        <v>498</v>
      </c>
    </row>
    <row r="23" spans="12:16">
      <c r="L23" s="413" t="s">
        <v>236</v>
      </c>
      <c r="M23" s="413" t="s">
        <v>2961</v>
      </c>
      <c r="N23" s="412">
        <v>405</v>
      </c>
      <c r="O23" s="412">
        <v>405</v>
      </c>
      <c r="P23" s="412">
        <v>405</v>
      </c>
    </row>
    <row r="24" spans="12:16">
      <c r="M24" s="413" t="s">
        <v>2962</v>
      </c>
      <c r="N24" s="412">
        <v>258</v>
      </c>
      <c r="O24" s="412">
        <v>258</v>
      </c>
      <c r="P24" s="412">
        <v>258</v>
      </c>
    </row>
    <row r="25" spans="12:16">
      <c r="L25" s="413" t="s">
        <v>2450</v>
      </c>
      <c r="M25" s="413"/>
      <c r="N25" s="412">
        <v>663</v>
      </c>
      <c r="O25" s="412">
        <v>663</v>
      </c>
      <c r="P25" s="412">
        <v>663</v>
      </c>
    </row>
    <row r="26" spans="12:16">
      <c r="L26" s="413" t="s">
        <v>1485</v>
      </c>
      <c r="M26" s="413" t="s">
        <v>2961</v>
      </c>
      <c r="N26" s="412">
        <v>1900</v>
      </c>
      <c r="O26" s="412">
        <v>1900</v>
      </c>
      <c r="P26" s="412">
        <v>1900</v>
      </c>
    </row>
    <row r="27" spans="12:16">
      <c r="M27" s="413" t="s">
        <v>2962</v>
      </c>
      <c r="N27" s="412">
        <v>1900</v>
      </c>
      <c r="O27" s="412">
        <v>1900</v>
      </c>
      <c r="P27" s="412">
        <v>1900</v>
      </c>
    </row>
    <row r="28" spans="12:16">
      <c r="L28" s="413" t="s">
        <v>2451</v>
      </c>
      <c r="M28" s="413"/>
      <c r="N28" s="412">
        <v>3800</v>
      </c>
      <c r="O28" s="412">
        <v>3800</v>
      </c>
      <c r="P28" s="412">
        <v>3800</v>
      </c>
    </row>
    <row r="29" spans="12:16">
      <c r="L29" s="413" t="s">
        <v>251</v>
      </c>
      <c r="M29" s="413" t="s">
        <v>2961</v>
      </c>
      <c r="N29" s="412">
        <v>24</v>
      </c>
      <c r="O29" s="412">
        <v>24</v>
      </c>
      <c r="P29" s="412">
        <v>0</v>
      </c>
    </row>
    <row r="30" spans="12:16">
      <c r="L30" s="413" t="s">
        <v>2452</v>
      </c>
      <c r="M30" s="413"/>
      <c r="N30" s="412">
        <v>24</v>
      </c>
      <c r="O30" s="412">
        <v>24</v>
      </c>
      <c r="P30" s="412">
        <v>0</v>
      </c>
    </row>
    <row r="31" spans="12:16">
      <c r="L31" s="413" t="s">
        <v>245</v>
      </c>
      <c r="M31" s="413" t="s">
        <v>2961</v>
      </c>
      <c r="N31" s="412">
        <v>500</v>
      </c>
      <c r="O31" s="412">
        <v>280</v>
      </c>
      <c r="P31" s="412">
        <v>704</v>
      </c>
    </row>
    <row r="32" spans="12:16">
      <c r="M32" s="413" t="s">
        <v>2962</v>
      </c>
      <c r="N32" s="412">
        <v>500</v>
      </c>
      <c r="O32" s="412">
        <v>280</v>
      </c>
      <c r="P32" s="412">
        <v>704</v>
      </c>
    </row>
    <row r="33" spans="12:16">
      <c r="L33" s="413" t="s">
        <v>2453</v>
      </c>
      <c r="M33" s="413"/>
      <c r="N33" s="412">
        <v>1000</v>
      </c>
      <c r="O33" s="412">
        <v>560</v>
      </c>
      <c r="P33" s="412">
        <v>1408</v>
      </c>
    </row>
    <row r="34" spans="12:16">
      <c r="L34" s="413" t="s">
        <v>252</v>
      </c>
      <c r="M34" s="413" t="s">
        <v>2961</v>
      </c>
      <c r="N34" s="412">
        <v>451</v>
      </c>
      <c r="O34" s="412">
        <v>451</v>
      </c>
      <c r="P34" s="412">
        <v>451</v>
      </c>
    </row>
    <row r="35" spans="12:16">
      <c r="M35" s="413" t="s">
        <v>2962</v>
      </c>
      <c r="N35" s="412">
        <v>451</v>
      </c>
      <c r="O35" s="412">
        <v>443</v>
      </c>
      <c r="P35" s="412">
        <v>451</v>
      </c>
    </row>
    <row r="36" spans="12:16">
      <c r="L36" s="413" t="s">
        <v>2454</v>
      </c>
      <c r="M36" s="413"/>
      <c r="N36" s="412">
        <v>902</v>
      </c>
      <c r="O36" s="412">
        <v>894</v>
      </c>
      <c r="P36" s="412">
        <v>902</v>
      </c>
    </row>
    <row r="37" spans="12:16">
      <c r="L37" s="413" t="s">
        <v>160</v>
      </c>
      <c r="M37" s="413" t="s">
        <v>2961</v>
      </c>
      <c r="N37" s="412">
        <v>198</v>
      </c>
      <c r="O37" s="412">
        <v>120</v>
      </c>
      <c r="P37" s="412">
        <v>198</v>
      </c>
    </row>
    <row r="38" spans="12:16">
      <c r="L38" s="413" t="s">
        <v>2407</v>
      </c>
      <c r="M38" s="413"/>
      <c r="N38" s="412">
        <v>198</v>
      </c>
      <c r="O38" s="412">
        <v>120</v>
      </c>
      <c r="P38" s="412">
        <v>198</v>
      </c>
    </row>
    <row r="39" spans="12:16">
      <c r="L39" s="413" t="s">
        <v>232</v>
      </c>
      <c r="M39" s="413" t="s">
        <v>2961</v>
      </c>
      <c r="N39" s="412">
        <v>404</v>
      </c>
      <c r="O39" s="412">
        <v>404</v>
      </c>
      <c r="P39" s="412">
        <v>404</v>
      </c>
    </row>
    <row r="40" spans="12:16">
      <c r="M40" s="413" t="s">
        <v>2962</v>
      </c>
      <c r="N40" s="412">
        <v>404</v>
      </c>
      <c r="O40" s="412">
        <v>400</v>
      </c>
      <c r="P40" s="412">
        <v>404</v>
      </c>
    </row>
    <row r="41" spans="12:16">
      <c r="L41" s="413" t="s">
        <v>2455</v>
      </c>
      <c r="M41" s="413"/>
      <c r="N41" s="412">
        <v>808</v>
      </c>
      <c r="O41" s="412">
        <v>804</v>
      </c>
      <c r="P41" s="412">
        <v>808</v>
      </c>
    </row>
    <row r="42" spans="12:16">
      <c r="L42" s="413" t="s">
        <v>1541</v>
      </c>
      <c r="M42" s="413" t="s">
        <v>2961</v>
      </c>
      <c r="N42" s="412">
        <v>0</v>
      </c>
      <c r="O42" s="412">
        <v>0</v>
      </c>
      <c r="P42" s="412">
        <v>0</v>
      </c>
    </row>
    <row r="43" spans="12:16">
      <c r="L43" s="413" t="s">
        <v>2456</v>
      </c>
      <c r="M43" s="413"/>
      <c r="N43" s="412">
        <v>0</v>
      </c>
      <c r="O43" s="412">
        <v>0</v>
      </c>
      <c r="P43" s="412">
        <v>0</v>
      </c>
    </row>
    <row r="44" spans="12:16">
      <c r="L44" s="413" t="s">
        <v>1715</v>
      </c>
      <c r="M44" s="413" t="s">
        <v>2961</v>
      </c>
      <c r="N44" s="412">
        <v>439</v>
      </c>
      <c r="O44" s="412">
        <v>439</v>
      </c>
      <c r="P44" s="412">
        <v>439</v>
      </c>
    </row>
    <row r="45" spans="12:16">
      <c r="M45" s="413" t="s">
        <v>2962</v>
      </c>
      <c r="N45" s="412">
        <v>439</v>
      </c>
      <c r="O45" s="412">
        <v>439</v>
      </c>
      <c r="P45" s="412">
        <v>439</v>
      </c>
    </row>
    <row r="46" spans="12:16">
      <c r="L46" s="413" t="s">
        <v>2457</v>
      </c>
      <c r="M46" s="413"/>
      <c r="N46" s="412">
        <v>878</v>
      </c>
      <c r="O46" s="412">
        <v>878</v>
      </c>
      <c r="P46" s="412">
        <v>878</v>
      </c>
    </row>
    <row r="47" spans="12:16">
      <c r="L47" s="413" t="s">
        <v>768</v>
      </c>
      <c r="M47" s="413" t="s">
        <v>2961</v>
      </c>
      <c r="N47" s="412">
        <v>381</v>
      </c>
      <c r="O47" s="412">
        <v>164</v>
      </c>
      <c r="P47" s="412">
        <v>381</v>
      </c>
    </row>
    <row r="48" spans="12:16">
      <c r="M48" s="413" t="s">
        <v>2962</v>
      </c>
      <c r="N48" s="412">
        <v>381</v>
      </c>
      <c r="O48" s="412">
        <v>164</v>
      </c>
      <c r="P48" s="412">
        <v>381</v>
      </c>
    </row>
    <row r="49" spans="12:16">
      <c r="L49" s="413" t="s">
        <v>2458</v>
      </c>
      <c r="M49" s="413"/>
      <c r="N49" s="412">
        <v>762</v>
      </c>
      <c r="O49" s="412">
        <v>328</v>
      </c>
      <c r="P49" s="412">
        <v>762</v>
      </c>
    </row>
    <row r="50" spans="12:16">
      <c r="L50" s="413" t="s">
        <v>268</v>
      </c>
      <c r="M50" s="413" t="s">
        <v>2961</v>
      </c>
      <c r="N50" s="412">
        <v>298</v>
      </c>
      <c r="O50" s="412">
        <v>40</v>
      </c>
      <c r="P50" s="412">
        <v>0</v>
      </c>
    </row>
    <row r="51" spans="12:16">
      <c r="M51" s="413" t="s">
        <v>2962</v>
      </c>
      <c r="N51" s="412">
        <v>298</v>
      </c>
      <c r="O51" s="412">
        <v>40</v>
      </c>
      <c r="P51" s="412">
        <v>0</v>
      </c>
    </row>
    <row r="52" spans="12:16">
      <c r="L52" s="413" t="s">
        <v>2459</v>
      </c>
      <c r="M52" s="413"/>
      <c r="N52" s="412">
        <v>596</v>
      </c>
      <c r="O52" s="412">
        <v>80</v>
      </c>
      <c r="P52" s="412">
        <v>0</v>
      </c>
    </row>
    <row r="53" spans="12:16">
      <c r="L53" s="413" t="s">
        <v>175</v>
      </c>
      <c r="M53" s="413" t="s">
        <v>2961</v>
      </c>
      <c r="N53" s="412">
        <v>856</v>
      </c>
      <c r="O53" s="412">
        <v>856</v>
      </c>
      <c r="P53" s="412">
        <v>856</v>
      </c>
    </row>
    <row r="54" spans="12:16">
      <c r="M54" s="413" t="s">
        <v>2962</v>
      </c>
      <c r="N54" s="412">
        <v>896</v>
      </c>
      <c r="O54" s="412">
        <v>896</v>
      </c>
      <c r="P54" s="412">
        <v>66.666666666666671</v>
      </c>
    </row>
    <row r="55" spans="12:16">
      <c r="L55" s="413" t="s">
        <v>2408</v>
      </c>
      <c r="M55" s="413"/>
      <c r="N55" s="412">
        <v>1752</v>
      </c>
      <c r="O55" s="412">
        <v>1752</v>
      </c>
      <c r="P55" s="412">
        <v>922.66666666666663</v>
      </c>
    </row>
    <row r="56" spans="12:16">
      <c r="L56" s="413" t="s">
        <v>149</v>
      </c>
      <c r="M56" s="413" t="s">
        <v>2961</v>
      </c>
      <c r="N56" s="412">
        <v>0</v>
      </c>
      <c r="O56" s="412">
        <v>80</v>
      </c>
      <c r="P56" s="412">
        <v>128</v>
      </c>
    </row>
    <row r="57" spans="12:16">
      <c r="M57" s="413" t="s">
        <v>2962</v>
      </c>
      <c r="N57" s="412">
        <v>126</v>
      </c>
      <c r="O57" s="412">
        <v>80</v>
      </c>
      <c r="P57" s="412">
        <v>126</v>
      </c>
    </row>
    <row r="58" spans="12:16">
      <c r="L58" s="413" t="s">
        <v>2409</v>
      </c>
      <c r="M58" s="413"/>
      <c r="N58" s="412">
        <v>126</v>
      </c>
      <c r="O58" s="412">
        <v>160</v>
      </c>
      <c r="P58" s="412">
        <v>254</v>
      </c>
    </row>
    <row r="59" spans="12:16">
      <c r="L59" s="413" t="s">
        <v>555</v>
      </c>
      <c r="M59" s="413" t="s">
        <v>2961</v>
      </c>
      <c r="N59" s="412">
        <v>0</v>
      </c>
      <c r="O59" s="412">
        <v>0</v>
      </c>
      <c r="P59" s="412">
        <v>1200</v>
      </c>
    </row>
    <row r="60" spans="12:16">
      <c r="M60" s="413" t="s">
        <v>2962</v>
      </c>
      <c r="N60" s="412">
        <v>0</v>
      </c>
      <c r="O60" s="412">
        <v>0</v>
      </c>
      <c r="P60" s="412">
        <v>1200</v>
      </c>
    </row>
    <row r="61" spans="12:16">
      <c r="L61" s="413" t="s">
        <v>2460</v>
      </c>
      <c r="M61" s="413"/>
      <c r="N61" s="412">
        <v>0</v>
      </c>
      <c r="O61" s="412">
        <v>0</v>
      </c>
      <c r="P61" s="412">
        <v>2400</v>
      </c>
    </row>
    <row r="62" spans="12:16">
      <c r="L62" s="413" t="s">
        <v>254</v>
      </c>
      <c r="M62" s="413" t="s">
        <v>2961</v>
      </c>
      <c r="N62" s="412">
        <v>471</v>
      </c>
      <c r="O62" s="412">
        <v>280</v>
      </c>
      <c r="P62" s="412">
        <v>471</v>
      </c>
    </row>
    <row r="63" spans="12:16">
      <c r="M63" s="413" t="s">
        <v>2962</v>
      </c>
      <c r="N63" s="412">
        <v>471</v>
      </c>
      <c r="O63" s="412">
        <v>280</v>
      </c>
      <c r="P63" s="412">
        <v>471</v>
      </c>
    </row>
    <row r="64" spans="12:16">
      <c r="L64" s="413" t="s">
        <v>2461</v>
      </c>
      <c r="M64" s="413"/>
      <c r="N64" s="412">
        <v>942</v>
      </c>
      <c r="O64" s="412">
        <v>560</v>
      </c>
      <c r="P64" s="412">
        <v>942</v>
      </c>
    </row>
    <row r="65" spans="12:16">
      <c r="L65" s="413" t="s">
        <v>147</v>
      </c>
      <c r="M65" s="413" t="s">
        <v>2961</v>
      </c>
      <c r="N65" s="412">
        <v>1000</v>
      </c>
      <c r="O65" s="412">
        <v>640</v>
      </c>
      <c r="P65" s="412">
        <v>0</v>
      </c>
    </row>
    <row r="66" spans="12:16">
      <c r="M66" s="413" t="s">
        <v>2962</v>
      </c>
      <c r="N66" s="412">
        <v>500</v>
      </c>
      <c r="O66" s="412">
        <v>1089</v>
      </c>
      <c r="P66" s="412">
        <v>133.33333333333334</v>
      </c>
    </row>
    <row r="67" spans="12:16">
      <c r="L67" s="413" t="s">
        <v>2410</v>
      </c>
      <c r="M67" s="413"/>
      <c r="N67" s="412">
        <v>1500</v>
      </c>
      <c r="O67" s="412">
        <v>1729</v>
      </c>
      <c r="P67" s="412">
        <v>133.33333333333334</v>
      </c>
    </row>
    <row r="68" spans="12:16">
      <c r="L68" s="413" t="s">
        <v>217</v>
      </c>
      <c r="M68" s="413" t="s">
        <v>2961</v>
      </c>
      <c r="N68" s="412">
        <v>3405</v>
      </c>
      <c r="O68" s="412">
        <v>3545</v>
      </c>
      <c r="P68" s="412">
        <v>1933.3333333333335</v>
      </c>
    </row>
    <row r="69" spans="12:16">
      <c r="M69" s="413" t="s">
        <v>2962</v>
      </c>
      <c r="N69" s="412">
        <v>0</v>
      </c>
      <c r="O69" s="412">
        <v>3545</v>
      </c>
      <c r="P69" s="412">
        <v>1933.3333333333335</v>
      </c>
    </row>
    <row r="70" spans="12:16">
      <c r="L70" s="413" t="s">
        <v>2462</v>
      </c>
      <c r="M70" s="413"/>
      <c r="N70" s="412">
        <v>3405</v>
      </c>
      <c r="O70" s="412">
        <v>7090</v>
      </c>
      <c r="P70" s="412">
        <v>3866.666666666667</v>
      </c>
    </row>
    <row r="71" spans="12:16">
      <c r="L71" s="413" t="s">
        <v>198</v>
      </c>
      <c r="M71" s="413" t="s">
        <v>2961</v>
      </c>
      <c r="N71" s="412">
        <v>0</v>
      </c>
      <c r="O71" s="412">
        <v>220</v>
      </c>
      <c r="P71" s="412">
        <v>226</v>
      </c>
    </row>
    <row r="72" spans="12:16">
      <c r="M72" s="413" t="s">
        <v>2962</v>
      </c>
      <c r="N72" s="412">
        <v>200</v>
      </c>
      <c r="O72" s="412">
        <v>220</v>
      </c>
      <c r="P72" s="412">
        <v>226</v>
      </c>
    </row>
    <row r="73" spans="12:16">
      <c r="L73" s="413" t="s">
        <v>2463</v>
      </c>
      <c r="M73" s="413"/>
      <c r="N73" s="412">
        <v>200</v>
      </c>
      <c r="O73" s="412">
        <v>440</v>
      </c>
      <c r="P73" s="412">
        <v>452</v>
      </c>
    </row>
    <row r="74" spans="12:16">
      <c r="L74" s="413" t="s">
        <v>1721</v>
      </c>
      <c r="M74" s="413" t="s">
        <v>2961</v>
      </c>
      <c r="N74" s="412">
        <v>130</v>
      </c>
      <c r="O74" s="412">
        <v>130</v>
      </c>
      <c r="P74" s="412">
        <v>130</v>
      </c>
    </row>
    <row r="75" spans="12:16">
      <c r="M75" s="413" t="s">
        <v>2962</v>
      </c>
      <c r="N75" s="412">
        <v>130</v>
      </c>
      <c r="O75" s="412">
        <v>130</v>
      </c>
      <c r="P75" s="412">
        <v>130</v>
      </c>
    </row>
    <row r="76" spans="12:16">
      <c r="L76" s="413" t="s">
        <v>2464</v>
      </c>
      <c r="M76" s="413"/>
      <c r="N76" s="412">
        <v>260</v>
      </c>
      <c r="O76" s="412">
        <v>260</v>
      </c>
      <c r="P76" s="412">
        <v>260</v>
      </c>
    </row>
    <row r="77" spans="12:16">
      <c r="L77" s="413" t="s">
        <v>224</v>
      </c>
      <c r="M77" s="413" t="s">
        <v>2961</v>
      </c>
      <c r="N77" s="412">
        <v>0</v>
      </c>
      <c r="O77" s="412">
        <v>2000</v>
      </c>
      <c r="P77" s="412">
        <v>533.33333333333337</v>
      </c>
    </row>
    <row r="78" spans="12:16">
      <c r="M78" s="413" t="s">
        <v>2962</v>
      </c>
      <c r="N78" s="412">
        <v>0</v>
      </c>
      <c r="O78" s="412">
        <v>2200</v>
      </c>
      <c r="P78" s="412">
        <v>533.33333333333337</v>
      </c>
    </row>
    <row r="79" spans="12:16">
      <c r="L79" s="413" t="s">
        <v>2465</v>
      </c>
      <c r="M79" s="413"/>
      <c r="N79" s="412">
        <v>0</v>
      </c>
      <c r="O79" s="412">
        <v>4200</v>
      </c>
      <c r="P79" s="412">
        <v>1066.6666666666667</v>
      </c>
    </row>
    <row r="80" spans="12:16">
      <c r="L80" s="413" t="s">
        <v>161</v>
      </c>
      <c r="M80" s="413" t="s">
        <v>2961</v>
      </c>
      <c r="N80" s="412">
        <v>500</v>
      </c>
      <c r="O80" s="412">
        <v>742</v>
      </c>
      <c r="P80" s="412">
        <v>742</v>
      </c>
    </row>
    <row r="81" spans="12:16">
      <c r="M81" s="413" t="s">
        <v>2962</v>
      </c>
      <c r="N81" s="412">
        <v>742</v>
      </c>
      <c r="O81" s="412">
        <v>742</v>
      </c>
      <c r="P81" s="412">
        <v>742</v>
      </c>
    </row>
    <row r="82" spans="12:16">
      <c r="L82" s="413" t="s">
        <v>2411</v>
      </c>
      <c r="M82" s="413"/>
      <c r="N82" s="412">
        <v>1242</v>
      </c>
      <c r="O82" s="412">
        <v>1484</v>
      </c>
      <c r="P82" s="412">
        <v>1484</v>
      </c>
    </row>
    <row r="83" spans="12:16">
      <c r="L83" s="413" t="s">
        <v>233</v>
      </c>
      <c r="M83" s="413" t="s">
        <v>2961</v>
      </c>
      <c r="N83" s="412">
        <v>278</v>
      </c>
      <c r="O83" s="412">
        <v>278</v>
      </c>
      <c r="P83" s="412">
        <v>278</v>
      </c>
    </row>
    <row r="84" spans="12:16">
      <c r="M84" s="413" t="s">
        <v>2962</v>
      </c>
      <c r="N84" s="412">
        <v>278</v>
      </c>
      <c r="O84" s="412">
        <v>278</v>
      </c>
      <c r="P84" s="412">
        <v>278</v>
      </c>
    </row>
    <row r="85" spans="12:16">
      <c r="L85" s="413" t="s">
        <v>2466</v>
      </c>
      <c r="M85" s="413"/>
      <c r="N85" s="412">
        <v>556</v>
      </c>
      <c r="O85" s="412">
        <v>556</v>
      </c>
      <c r="P85" s="412">
        <v>556</v>
      </c>
    </row>
    <row r="86" spans="12:16">
      <c r="L86" s="413" t="s">
        <v>1599</v>
      </c>
      <c r="M86" s="413" t="s">
        <v>2961</v>
      </c>
      <c r="N86" s="412">
        <v>500</v>
      </c>
      <c r="O86" s="412">
        <v>320</v>
      </c>
      <c r="P86" s="412">
        <v>661</v>
      </c>
    </row>
    <row r="87" spans="12:16">
      <c r="M87" s="413" t="s">
        <v>2962</v>
      </c>
      <c r="N87" s="412">
        <v>686</v>
      </c>
      <c r="O87" s="412">
        <v>560</v>
      </c>
      <c r="P87" s="412">
        <v>686</v>
      </c>
    </row>
    <row r="88" spans="12:16">
      <c r="L88" s="413" t="s">
        <v>2412</v>
      </c>
      <c r="M88" s="413"/>
      <c r="N88" s="412">
        <v>1186</v>
      </c>
      <c r="O88" s="412">
        <v>880</v>
      </c>
      <c r="P88" s="412">
        <v>1347</v>
      </c>
    </row>
    <row r="89" spans="12:16">
      <c r="L89" s="413" t="s">
        <v>290</v>
      </c>
      <c r="M89" s="413" t="s">
        <v>2961</v>
      </c>
      <c r="N89" s="412">
        <v>7000</v>
      </c>
      <c r="O89" s="412">
        <v>8225</v>
      </c>
      <c r="P89" s="412">
        <v>2750</v>
      </c>
    </row>
    <row r="90" spans="12:16">
      <c r="M90" s="413" t="s">
        <v>2962</v>
      </c>
      <c r="N90" s="412">
        <v>7000</v>
      </c>
      <c r="O90" s="412">
        <v>8225</v>
      </c>
      <c r="P90" s="412">
        <v>2883.3333333333335</v>
      </c>
    </row>
    <row r="91" spans="12:16">
      <c r="L91" s="413" t="s">
        <v>2467</v>
      </c>
      <c r="M91" s="413"/>
      <c r="N91" s="412">
        <v>14000</v>
      </c>
      <c r="O91" s="412">
        <v>16450</v>
      </c>
      <c r="P91" s="412">
        <v>5633.3333333333339</v>
      </c>
    </row>
    <row r="92" spans="12:16">
      <c r="L92" s="413" t="s">
        <v>823</v>
      </c>
      <c r="M92" s="413" t="s">
        <v>2961</v>
      </c>
      <c r="N92" s="412">
        <v>62</v>
      </c>
      <c r="O92" s="412">
        <v>62</v>
      </c>
      <c r="P92" s="412">
        <v>62</v>
      </c>
    </row>
    <row r="93" spans="12:16">
      <c r="M93" s="413" t="s">
        <v>2962</v>
      </c>
      <c r="N93" s="412">
        <v>64</v>
      </c>
      <c r="O93" s="412">
        <v>64</v>
      </c>
      <c r="P93" s="412">
        <v>64</v>
      </c>
    </row>
    <row r="94" spans="12:16">
      <c r="L94" s="413" t="s">
        <v>2468</v>
      </c>
      <c r="M94" s="413"/>
      <c r="N94" s="412">
        <v>126</v>
      </c>
      <c r="O94" s="412">
        <v>126</v>
      </c>
      <c r="P94" s="412">
        <v>126</v>
      </c>
    </row>
    <row r="95" spans="12:16">
      <c r="L95" s="413" t="s">
        <v>207</v>
      </c>
      <c r="M95" s="413" t="s">
        <v>2961</v>
      </c>
      <c r="N95" s="412">
        <v>0</v>
      </c>
      <c r="O95" s="412">
        <v>57</v>
      </c>
      <c r="P95" s="412">
        <v>57</v>
      </c>
    </row>
    <row r="96" spans="12:16">
      <c r="M96" s="413" t="s">
        <v>2962</v>
      </c>
      <c r="N96" s="412">
        <v>0</v>
      </c>
      <c r="O96" s="412">
        <v>57</v>
      </c>
      <c r="P96" s="412">
        <v>57</v>
      </c>
    </row>
    <row r="97" spans="12:16">
      <c r="L97" s="413" t="s">
        <v>2469</v>
      </c>
      <c r="M97" s="413"/>
      <c r="N97" s="412">
        <v>0</v>
      </c>
      <c r="O97" s="412">
        <v>114</v>
      </c>
      <c r="P97" s="412">
        <v>114</v>
      </c>
    </row>
    <row r="98" spans="12:16">
      <c r="L98" s="413" t="s">
        <v>1558</v>
      </c>
      <c r="M98" s="413" t="s">
        <v>2961</v>
      </c>
      <c r="N98" s="412">
        <v>52</v>
      </c>
      <c r="O98" s="412">
        <v>52</v>
      </c>
      <c r="P98" s="412">
        <v>52</v>
      </c>
    </row>
    <row r="99" spans="12:16">
      <c r="L99" s="413" t="s">
        <v>2470</v>
      </c>
      <c r="M99" s="413"/>
      <c r="N99" s="412">
        <v>52</v>
      </c>
      <c r="O99" s="412">
        <v>52</v>
      </c>
      <c r="P99" s="412">
        <v>52</v>
      </c>
    </row>
    <row r="100" spans="12:16">
      <c r="L100" s="413" t="s">
        <v>209</v>
      </c>
      <c r="M100" s="413" t="s">
        <v>2961</v>
      </c>
      <c r="N100" s="412">
        <v>0</v>
      </c>
      <c r="O100" s="412">
        <v>100</v>
      </c>
      <c r="P100" s="412">
        <v>263</v>
      </c>
    </row>
    <row r="101" spans="12:16">
      <c r="M101" s="413" t="s">
        <v>2962</v>
      </c>
      <c r="N101" s="412">
        <v>0</v>
      </c>
      <c r="O101" s="412">
        <v>100</v>
      </c>
      <c r="P101" s="412">
        <v>263</v>
      </c>
    </row>
    <row r="102" spans="12:16">
      <c r="L102" s="413" t="s">
        <v>2471</v>
      </c>
      <c r="M102" s="413"/>
      <c r="N102" s="412">
        <v>0</v>
      </c>
      <c r="O102" s="412">
        <v>200</v>
      </c>
      <c r="P102" s="412">
        <v>526</v>
      </c>
    </row>
    <row r="103" spans="12:16">
      <c r="L103" s="413" t="s">
        <v>541</v>
      </c>
      <c r="M103" s="413" t="s">
        <v>2961</v>
      </c>
      <c r="N103" s="412">
        <v>244</v>
      </c>
      <c r="O103" s="412">
        <v>240</v>
      </c>
      <c r="P103" s="412">
        <v>244</v>
      </c>
    </row>
    <row r="104" spans="12:16">
      <c r="M104" s="413" t="s">
        <v>2962</v>
      </c>
      <c r="N104" s="412">
        <v>244</v>
      </c>
      <c r="O104" s="412">
        <v>240</v>
      </c>
      <c r="P104" s="412">
        <v>244</v>
      </c>
    </row>
    <row r="105" spans="12:16">
      <c r="L105" s="413" t="s">
        <v>2472</v>
      </c>
      <c r="M105" s="413"/>
      <c r="N105" s="412">
        <v>488</v>
      </c>
      <c r="O105" s="412">
        <v>480</v>
      </c>
      <c r="P105" s="412">
        <v>488</v>
      </c>
    </row>
    <row r="106" spans="12:16">
      <c r="L106" s="413" t="s">
        <v>546</v>
      </c>
      <c r="M106" s="413" t="s">
        <v>2961</v>
      </c>
      <c r="N106" s="412">
        <v>180</v>
      </c>
      <c r="O106" s="412">
        <v>180</v>
      </c>
      <c r="P106" s="412">
        <v>180</v>
      </c>
    </row>
    <row r="107" spans="12:16">
      <c r="M107" s="413" t="s">
        <v>2962</v>
      </c>
      <c r="N107" s="412">
        <v>180</v>
      </c>
      <c r="O107" s="412">
        <v>180</v>
      </c>
      <c r="P107" s="412">
        <v>180</v>
      </c>
    </row>
    <row r="108" spans="12:16">
      <c r="L108" s="413" t="s">
        <v>2473</v>
      </c>
      <c r="M108" s="413"/>
      <c r="N108" s="412">
        <v>360</v>
      </c>
      <c r="O108" s="412">
        <v>360</v>
      </c>
      <c r="P108" s="412">
        <v>360</v>
      </c>
    </row>
    <row r="109" spans="12:16">
      <c r="L109" s="413" t="s">
        <v>543</v>
      </c>
      <c r="M109" s="413" t="s">
        <v>2961</v>
      </c>
      <c r="N109" s="412">
        <v>270</v>
      </c>
      <c r="O109" s="412">
        <v>270</v>
      </c>
      <c r="P109" s="412">
        <v>270</v>
      </c>
    </row>
    <row r="110" spans="12:16">
      <c r="L110" s="413" t="s">
        <v>2474</v>
      </c>
      <c r="M110" s="413"/>
      <c r="N110" s="412">
        <v>270</v>
      </c>
      <c r="O110" s="412">
        <v>270</v>
      </c>
      <c r="P110" s="412">
        <v>270</v>
      </c>
    </row>
    <row r="111" spans="12:16">
      <c r="L111" s="413" t="s">
        <v>153</v>
      </c>
      <c r="M111" s="413" t="s">
        <v>2961</v>
      </c>
      <c r="N111" s="412">
        <v>0</v>
      </c>
      <c r="O111" s="412">
        <v>74</v>
      </c>
      <c r="P111" s="412">
        <v>74</v>
      </c>
    </row>
    <row r="112" spans="12:16">
      <c r="M112" s="413" t="s">
        <v>2962</v>
      </c>
      <c r="N112" s="412">
        <v>77</v>
      </c>
      <c r="O112" s="412">
        <v>77</v>
      </c>
      <c r="P112" s="412">
        <v>77</v>
      </c>
    </row>
    <row r="113" spans="12:16">
      <c r="L113" s="413" t="s">
        <v>2413</v>
      </c>
      <c r="M113" s="413"/>
      <c r="N113" s="412">
        <v>77</v>
      </c>
      <c r="O113" s="412">
        <v>151</v>
      </c>
      <c r="P113" s="412">
        <v>151</v>
      </c>
    </row>
    <row r="114" spans="12:16">
      <c r="L114" s="413" t="s">
        <v>289</v>
      </c>
      <c r="M114" s="413" t="s">
        <v>2961</v>
      </c>
      <c r="N114" s="412">
        <v>0</v>
      </c>
      <c r="O114" s="412">
        <v>0</v>
      </c>
      <c r="P114" s="412">
        <v>500</v>
      </c>
    </row>
    <row r="115" spans="12:16">
      <c r="M115" s="413" t="s">
        <v>2962</v>
      </c>
      <c r="N115" s="412">
        <v>0</v>
      </c>
      <c r="O115" s="412">
        <v>0</v>
      </c>
      <c r="P115" s="412">
        <v>500</v>
      </c>
    </row>
    <row r="116" spans="12:16">
      <c r="L116" s="413" t="s">
        <v>2414</v>
      </c>
      <c r="M116" s="413"/>
      <c r="N116" s="412">
        <v>0</v>
      </c>
      <c r="O116" s="412">
        <v>0</v>
      </c>
      <c r="P116" s="412">
        <v>1000</v>
      </c>
    </row>
    <row r="117" spans="12:16">
      <c r="L117" s="413" t="s">
        <v>294</v>
      </c>
      <c r="M117" s="413" t="s">
        <v>2961</v>
      </c>
      <c r="N117" s="412">
        <v>2503</v>
      </c>
      <c r="O117" s="412">
        <v>2503</v>
      </c>
      <c r="P117" s="412">
        <v>1850</v>
      </c>
    </row>
    <row r="118" spans="12:16">
      <c r="M118" s="413" t="s">
        <v>2962</v>
      </c>
      <c r="N118" s="412">
        <v>2503</v>
      </c>
      <c r="O118" s="412">
        <v>2503</v>
      </c>
      <c r="P118" s="412">
        <v>1850</v>
      </c>
    </row>
    <row r="119" spans="12:16">
      <c r="L119" s="413" t="s">
        <v>2475</v>
      </c>
      <c r="M119" s="413"/>
      <c r="N119" s="412">
        <v>5006</v>
      </c>
      <c r="O119" s="412">
        <v>5006</v>
      </c>
      <c r="P119" s="412">
        <v>3700</v>
      </c>
    </row>
    <row r="120" spans="12:16">
      <c r="L120" s="413" t="s">
        <v>243</v>
      </c>
      <c r="M120" s="413" t="s">
        <v>2961</v>
      </c>
      <c r="N120" s="412">
        <v>634</v>
      </c>
      <c r="O120" s="412">
        <v>606</v>
      </c>
      <c r="P120" s="412">
        <v>634</v>
      </c>
    </row>
    <row r="121" spans="12:16">
      <c r="M121" s="413" t="s">
        <v>2962</v>
      </c>
      <c r="N121" s="412">
        <v>634</v>
      </c>
      <c r="O121" s="412">
        <v>586</v>
      </c>
      <c r="P121" s="412">
        <v>634</v>
      </c>
    </row>
    <row r="122" spans="12:16">
      <c r="L122" s="413" t="s">
        <v>2476</v>
      </c>
      <c r="M122" s="413"/>
      <c r="N122" s="412">
        <v>1268</v>
      </c>
      <c r="O122" s="412">
        <v>1192</v>
      </c>
      <c r="P122" s="412">
        <v>1268</v>
      </c>
    </row>
    <row r="123" spans="12:16">
      <c r="L123" s="413" t="s">
        <v>163</v>
      </c>
      <c r="M123" s="413" t="s">
        <v>2961</v>
      </c>
      <c r="N123" s="412">
        <v>0</v>
      </c>
      <c r="O123" s="412">
        <v>160</v>
      </c>
      <c r="P123" s="412">
        <v>678</v>
      </c>
    </row>
    <row r="124" spans="12:16">
      <c r="M124" s="413" t="s">
        <v>2962</v>
      </c>
      <c r="N124" s="412">
        <v>564</v>
      </c>
      <c r="O124" s="412">
        <v>280</v>
      </c>
      <c r="P124" s="412">
        <v>564</v>
      </c>
    </row>
    <row r="125" spans="12:16">
      <c r="L125" s="413" t="s">
        <v>2415</v>
      </c>
      <c r="M125" s="413"/>
      <c r="N125" s="412">
        <v>564</v>
      </c>
      <c r="O125" s="412">
        <v>440</v>
      </c>
      <c r="P125" s="412">
        <v>1242</v>
      </c>
    </row>
    <row r="126" spans="12:16">
      <c r="L126" s="413" t="s">
        <v>164</v>
      </c>
      <c r="M126" s="413" t="s">
        <v>2961</v>
      </c>
      <c r="N126" s="412">
        <v>0</v>
      </c>
      <c r="O126" s="412">
        <v>640</v>
      </c>
      <c r="P126" s="412">
        <v>640</v>
      </c>
    </row>
    <row r="127" spans="12:16">
      <c r="M127" s="413" t="s">
        <v>2962</v>
      </c>
      <c r="N127" s="412">
        <v>572</v>
      </c>
      <c r="O127" s="412">
        <v>560</v>
      </c>
      <c r="P127" s="412">
        <v>572</v>
      </c>
    </row>
    <row r="128" spans="12:16">
      <c r="L128" s="413" t="s">
        <v>2416</v>
      </c>
      <c r="M128" s="413"/>
      <c r="N128" s="412">
        <v>572</v>
      </c>
      <c r="O128" s="412">
        <v>1200</v>
      </c>
      <c r="P128" s="412">
        <v>1212</v>
      </c>
    </row>
    <row r="129" spans="12:16">
      <c r="L129" s="413" t="s">
        <v>247</v>
      </c>
      <c r="M129" s="413" t="s">
        <v>2961</v>
      </c>
      <c r="N129" s="412">
        <v>885</v>
      </c>
      <c r="O129" s="412">
        <v>600</v>
      </c>
      <c r="P129" s="412">
        <v>885</v>
      </c>
    </row>
    <row r="130" spans="12:16">
      <c r="M130" s="413" t="s">
        <v>2962</v>
      </c>
      <c r="N130" s="412">
        <v>885</v>
      </c>
      <c r="O130" s="412">
        <v>600</v>
      </c>
      <c r="P130" s="412">
        <v>885</v>
      </c>
    </row>
    <row r="131" spans="12:16">
      <c r="L131" s="413" t="s">
        <v>2477</v>
      </c>
      <c r="M131" s="413"/>
      <c r="N131" s="412">
        <v>1770</v>
      </c>
      <c r="O131" s="412">
        <v>1200</v>
      </c>
      <c r="P131" s="412">
        <v>1770</v>
      </c>
    </row>
    <row r="132" spans="12:16">
      <c r="L132" s="413" t="s">
        <v>255</v>
      </c>
      <c r="M132" s="413" t="s">
        <v>2961</v>
      </c>
      <c r="N132" s="412">
        <v>107</v>
      </c>
      <c r="O132" s="412">
        <v>107</v>
      </c>
      <c r="P132" s="412">
        <v>107</v>
      </c>
    </row>
    <row r="133" spans="12:16">
      <c r="M133" s="413" t="s">
        <v>2962</v>
      </c>
      <c r="N133" s="412">
        <v>107</v>
      </c>
      <c r="O133" s="412">
        <v>107</v>
      </c>
      <c r="P133" s="412">
        <v>107</v>
      </c>
    </row>
    <row r="134" spans="12:16">
      <c r="L134" s="413" t="s">
        <v>2478</v>
      </c>
      <c r="M134" s="413"/>
      <c r="N134" s="412">
        <v>214</v>
      </c>
      <c r="O134" s="412">
        <v>214</v>
      </c>
      <c r="P134" s="412">
        <v>214</v>
      </c>
    </row>
    <row r="135" spans="12:16">
      <c r="L135" s="413" t="s">
        <v>256</v>
      </c>
      <c r="M135" s="413" t="s">
        <v>2961</v>
      </c>
      <c r="N135" s="412">
        <v>56</v>
      </c>
      <c r="O135" s="412">
        <v>40</v>
      </c>
      <c r="P135" s="412">
        <v>56</v>
      </c>
    </row>
    <row r="136" spans="12:16">
      <c r="M136" s="413" t="s">
        <v>2962</v>
      </c>
      <c r="N136" s="412">
        <v>56</v>
      </c>
      <c r="O136" s="412">
        <v>40</v>
      </c>
      <c r="P136" s="412">
        <v>56</v>
      </c>
    </row>
    <row r="137" spans="12:16">
      <c r="L137" s="413" t="s">
        <v>2479</v>
      </c>
      <c r="M137" s="413"/>
      <c r="N137" s="412">
        <v>112</v>
      </c>
      <c r="O137" s="412">
        <v>80</v>
      </c>
      <c r="P137" s="412">
        <v>112</v>
      </c>
    </row>
    <row r="138" spans="12:16">
      <c r="L138" s="413" t="s">
        <v>200</v>
      </c>
      <c r="M138" s="413" t="s">
        <v>2961</v>
      </c>
      <c r="N138" s="412">
        <v>500</v>
      </c>
      <c r="O138" s="412">
        <v>774</v>
      </c>
      <c r="P138" s="412">
        <v>774</v>
      </c>
    </row>
    <row r="139" spans="12:16">
      <c r="M139" s="413" t="s">
        <v>2962</v>
      </c>
      <c r="N139" s="412">
        <v>774</v>
      </c>
      <c r="O139" s="412">
        <v>460</v>
      </c>
      <c r="P139" s="412">
        <v>774</v>
      </c>
    </row>
    <row r="140" spans="12:16">
      <c r="L140" s="413" t="s">
        <v>2480</v>
      </c>
      <c r="M140" s="413"/>
      <c r="N140" s="412">
        <v>1274</v>
      </c>
      <c r="O140" s="412">
        <v>1234</v>
      </c>
      <c r="P140" s="412">
        <v>1548</v>
      </c>
    </row>
    <row r="141" spans="12:16">
      <c r="L141" s="413" t="s">
        <v>544</v>
      </c>
      <c r="M141" s="413" t="s">
        <v>2961</v>
      </c>
      <c r="N141" s="412">
        <v>127</v>
      </c>
      <c r="O141" s="412">
        <v>127</v>
      </c>
      <c r="P141" s="412">
        <v>127</v>
      </c>
    </row>
    <row r="142" spans="12:16">
      <c r="L142" s="413" t="s">
        <v>2481</v>
      </c>
      <c r="M142" s="413"/>
      <c r="N142" s="412">
        <v>127</v>
      </c>
      <c r="O142" s="412">
        <v>127</v>
      </c>
      <c r="P142" s="412">
        <v>127</v>
      </c>
    </row>
    <row r="143" spans="12:16">
      <c r="L143" s="413" t="s">
        <v>281</v>
      </c>
      <c r="M143" s="413" t="s">
        <v>2961</v>
      </c>
      <c r="N143" s="412">
        <v>255</v>
      </c>
      <c r="O143" s="412">
        <v>182</v>
      </c>
      <c r="P143" s="412">
        <v>255</v>
      </c>
    </row>
    <row r="144" spans="12:16">
      <c r="M144" s="413" t="s">
        <v>2962</v>
      </c>
      <c r="N144" s="412">
        <v>255</v>
      </c>
      <c r="O144" s="412">
        <v>182</v>
      </c>
      <c r="P144" s="412">
        <v>255</v>
      </c>
    </row>
    <row r="145" spans="12:16">
      <c r="L145" s="413" t="s">
        <v>2482</v>
      </c>
      <c r="M145" s="413"/>
      <c r="N145" s="412">
        <v>510</v>
      </c>
      <c r="O145" s="412">
        <v>364</v>
      </c>
      <c r="P145" s="412">
        <v>510</v>
      </c>
    </row>
    <row r="146" spans="12:16">
      <c r="L146" s="413" t="s">
        <v>282</v>
      </c>
      <c r="M146" s="413" t="s">
        <v>2961</v>
      </c>
      <c r="N146" s="412">
        <v>426</v>
      </c>
      <c r="O146" s="412">
        <v>126</v>
      </c>
      <c r="P146" s="412">
        <v>426</v>
      </c>
    </row>
    <row r="147" spans="12:16">
      <c r="M147" s="413" t="s">
        <v>2962</v>
      </c>
      <c r="N147" s="412">
        <v>426</v>
      </c>
      <c r="O147" s="412">
        <v>126</v>
      </c>
      <c r="P147" s="412">
        <v>426</v>
      </c>
    </row>
    <row r="148" spans="12:16">
      <c r="L148" s="413" t="s">
        <v>2483</v>
      </c>
      <c r="M148" s="413"/>
      <c r="N148" s="412">
        <v>852</v>
      </c>
      <c r="O148" s="412">
        <v>252</v>
      </c>
      <c r="P148" s="412">
        <v>852</v>
      </c>
    </row>
    <row r="149" spans="12:16">
      <c r="L149" s="413" t="s">
        <v>283</v>
      </c>
      <c r="M149" s="413" t="s">
        <v>2961</v>
      </c>
      <c r="N149" s="412">
        <v>1422</v>
      </c>
      <c r="O149" s="412">
        <v>803</v>
      </c>
      <c r="P149" s="412">
        <v>1422</v>
      </c>
    </row>
    <row r="150" spans="12:16">
      <c r="M150" s="413" t="s">
        <v>2962</v>
      </c>
      <c r="N150" s="412">
        <v>1422</v>
      </c>
      <c r="O150" s="412">
        <v>803</v>
      </c>
      <c r="P150" s="412">
        <v>1422</v>
      </c>
    </row>
    <row r="151" spans="12:16">
      <c r="L151" s="413" t="s">
        <v>2484</v>
      </c>
      <c r="M151" s="413"/>
      <c r="N151" s="412">
        <v>2844</v>
      </c>
      <c r="O151" s="412">
        <v>1606</v>
      </c>
      <c r="P151" s="412">
        <v>2844</v>
      </c>
    </row>
    <row r="152" spans="12:16">
      <c r="L152" s="413" t="s">
        <v>1586</v>
      </c>
      <c r="M152" s="413" t="s">
        <v>2961</v>
      </c>
      <c r="N152" s="412">
        <v>460</v>
      </c>
      <c r="O152" s="412">
        <v>300</v>
      </c>
      <c r="P152" s="412">
        <v>400</v>
      </c>
    </row>
    <row r="153" spans="12:16">
      <c r="L153" s="413" t="s">
        <v>2485</v>
      </c>
      <c r="M153" s="413"/>
      <c r="N153" s="412">
        <v>460</v>
      </c>
      <c r="O153" s="412">
        <v>300</v>
      </c>
      <c r="P153" s="412">
        <v>400</v>
      </c>
    </row>
    <row r="154" spans="12:16">
      <c r="L154" s="413" t="s">
        <v>1608</v>
      </c>
      <c r="M154" s="413" t="s">
        <v>2961</v>
      </c>
      <c r="N154" s="412">
        <v>0</v>
      </c>
      <c r="O154" s="412">
        <v>60</v>
      </c>
      <c r="P154" s="412">
        <v>76</v>
      </c>
    </row>
    <row r="155" spans="12:16">
      <c r="M155" s="413" t="s">
        <v>2962</v>
      </c>
      <c r="N155" s="412">
        <v>74</v>
      </c>
      <c r="O155" s="412">
        <v>60</v>
      </c>
      <c r="P155" s="412">
        <v>74</v>
      </c>
    </row>
    <row r="156" spans="12:16">
      <c r="L156" s="413" t="s">
        <v>2417</v>
      </c>
      <c r="M156" s="413"/>
      <c r="N156" s="412">
        <v>74</v>
      </c>
      <c r="O156" s="412">
        <v>120</v>
      </c>
      <c r="P156" s="412">
        <v>150</v>
      </c>
    </row>
    <row r="157" spans="12:16">
      <c r="L157" s="413" t="s">
        <v>176</v>
      </c>
      <c r="M157" s="413" t="s">
        <v>2961</v>
      </c>
      <c r="N157" s="412">
        <v>140</v>
      </c>
      <c r="O157" s="412">
        <v>120</v>
      </c>
      <c r="P157" s="412">
        <v>140</v>
      </c>
    </row>
    <row r="158" spans="12:16">
      <c r="M158" s="413" t="s">
        <v>2962</v>
      </c>
      <c r="N158" s="412">
        <v>114</v>
      </c>
      <c r="O158" s="412">
        <v>60</v>
      </c>
      <c r="P158" s="412">
        <v>114</v>
      </c>
    </row>
    <row r="159" spans="12:16">
      <c r="L159" s="413" t="s">
        <v>2418</v>
      </c>
      <c r="M159" s="413"/>
      <c r="N159" s="412">
        <v>254</v>
      </c>
      <c r="O159" s="412">
        <v>180</v>
      </c>
      <c r="P159" s="412">
        <v>254</v>
      </c>
    </row>
    <row r="160" spans="12:16">
      <c r="L160" s="413" t="s">
        <v>177</v>
      </c>
      <c r="M160" s="413" t="s">
        <v>2961</v>
      </c>
      <c r="N160" s="412">
        <v>1342</v>
      </c>
      <c r="O160" s="412">
        <v>1342</v>
      </c>
      <c r="P160" s="412">
        <v>400</v>
      </c>
    </row>
    <row r="161" spans="12:16">
      <c r="M161" s="413" t="s">
        <v>2962</v>
      </c>
      <c r="N161" s="412">
        <v>1442</v>
      </c>
      <c r="O161" s="412">
        <v>1442</v>
      </c>
      <c r="P161" s="412">
        <v>533.33333333333337</v>
      </c>
    </row>
    <row r="162" spans="12:16">
      <c r="L162" s="413" t="s">
        <v>2486</v>
      </c>
      <c r="M162" s="413"/>
      <c r="N162" s="412">
        <v>2784</v>
      </c>
      <c r="O162" s="412">
        <v>2784</v>
      </c>
      <c r="P162" s="412">
        <v>933.33333333333337</v>
      </c>
    </row>
    <row r="163" spans="12:16">
      <c r="L163" s="413" t="s">
        <v>1611</v>
      </c>
      <c r="M163" s="413" t="s">
        <v>2961</v>
      </c>
      <c r="N163" s="412">
        <v>500</v>
      </c>
      <c r="O163" s="412">
        <v>502</v>
      </c>
      <c r="P163" s="412">
        <v>502</v>
      </c>
    </row>
    <row r="164" spans="12:16">
      <c r="M164" s="413" t="s">
        <v>2962</v>
      </c>
      <c r="N164" s="412">
        <v>500</v>
      </c>
      <c r="O164" s="412">
        <v>502</v>
      </c>
      <c r="P164" s="412">
        <v>502</v>
      </c>
    </row>
    <row r="165" spans="12:16">
      <c r="L165" s="413" t="s">
        <v>2487</v>
      </c>
      <c r="M165" s="413"/>
      <c r="N165" s="412">
        <v>1000</v>
      </c>
      <c r="O165" s="412">
        <v>1004</v>
      </c>
      <c r="P165" s="412">
        <v>1004</v>
      </c>
    </row>
    <row r="166" spans="12:16">
      <c r="L166" s="413" t="s">
        <v>269</v>
      </c>
      <c r="M166" s="413" t="s">
        <v>2961</v>
      </c>
      <c r="N166" s="412">
        <v>500</v>
      </c>
      <c r="O166" s="412">
        <v>560</v>
      </c>
      <c r="P166" s="412">
        <v>1900</v>
      </c>
    </row>
    <row r="167" spans="12:16">
      <c r="M167" s="413" t="s">
        <v>2962</v>
      </c>
      <c r="N167" s="412">
        <v>500</v>
      </c>
      <c r="O167" s="412">
        <v>560</v>
      </c>
      <c r="P167" s="412">
        <v>1900</v>
      </c>
    </row>
    <row r="168" spans="12:16">
      <c r="L168" s="413" t="s">
        <v>2488</v>
      </c>
      <c r="M168" s="413"/>
      <c r="N168" s="412">
        <v>1000</v>
      </c>
      <c r="O168" s="412">
        <v>1120</v>
      </c>
      <c r="P168" s="412">
        <v>3800</v>
      </c>
    </row>
    <row r="169" spans="12:16">
      <c r="L169" s="413" t="s">
        <v>237</v>
      </c>
      <c r="M169" s="413" t="s">
        <v>2961</v>
      </c>
      <c r="N169" s="412">
        <v>1000</v>
      </c>
      <c r="O169" s="412">
        <v>1189</v>
      </c>
      <c r="P169" s="412">
        <v>1189</v>
      </c>
    </row>
    <row r="170" spans="12:16">
      <c r="M170" s="413" t="s">
        <v>2962</v>
      </c>
      <c r="N170" s="412">
        <v>1000</v>
      </c>
      <c r="O170" s="412">
        <v>1235</v>
      </c>
      <c r="P170" s="412">
        <v>1235</v>
      </c>
    </row>
    <row r="171" spans="12:16">
      <c r="L171" s="413" t="s">
        <v>2489</v>
      </c>
      <c r="M171" s="413"/>
      <c r="N171" s="412">
        <v>2000</v>
      </c>
      <c r="O171" s="412">
        <v>2424</v>
      </c>
      <c r="P171" s="412">
        <v>2424</v>
      </c>
    </row>
    <row r="172" spans="12:16">
      <c r="L172" s="413" t="s">
        <v>178</v>
      </c>
      <c r="M172" s="413" t="s">
        <v>2961</v>
      </c>
      <c r="N172" s="412">
        <v>2973</v>
      </c>
      <c r="O172" s="412">
        <v>2600</v>
      </c>
      <c r="P172" s="412">
        <v>2973</v>
      </c>
    </row>
    <row r="173" spans="12:16">
      <c r="M173" s="413" t="s">
        <v>2962</v>
      </c>
      <c r="N173" s="412">
        <v>1702</v>
      </c>
      <c r="O173" s="412">
        <v>1702</v>
      </c>
      <c r="P173" s="412">
        <v>1702</v>
      </c>
    </row>
    <row r="174" spans="12:16">
      <c r="L174" s="413" t="s">
        <v>2419</v>
      </c>
      <c r="M174" s="413"/>
      <c r="N174" s="412">
        <v>4675</v>
      </c>
      <c r="O174" s="412">
        <v>4302</v>
      </c>
      <c r="P174" s="412">
        <v>4675</v>
      </c>
    </row>
    <row r="175" spans="12:16">
      <c r="L175" s="413" t="s">
        <v>179</v>
      </c>
      <c r="M175" s="413" t="s">
        <v>2961</v>
      </c>
      <c r="N175" s="412">
        <v>198</v>
      </c>
      <c r="O175" s="412">
        <v>198</v>
      </c>
      <c r="P175" s="412">
        <v>198</v>
      </c>
    </row>
    <row r="176" spans="12:16">
      <c r="M176" s="413" t="s">
        <v>2962</v>
      </c>
      <c r="N176" s="412">
        <v>215</v>
      </c>
      <c r="O176" s="412">
        <v>100</v>
      </c>
      <c r="P176" s="412">
        <v>215</v>
      </c>
    </row>
    <row r="177" spans="12:16">
      <c r="L177" s="413" t="s">
        <v>2420</v>
      </c>
      <c r="M177" s="413"/>
      <c r="N177" s="412">
        <v>413</v>
      </c>
      <c r="O177" s="412">
        <v>298</v>
      </c>
      <c r="P177" s="412">
        <v>413</v>
      </c>
    </row>
    <row r="178" spans="12:16">
      <c r="L178" s="413" t="s">
        <v>183</v>
      </c>
      <c r="M178" s="413" t="s">
        <v>2961</v>
      </c>
      <c r="N178" s="412">
        <v>1517</v>
      </c>
      <c r="O178" s="412">
        <v>1517</v>
      </c>
      <c r="P178" s="412">
        <v>899.99999999999989</v>
      </c>
    </row>
    <row r="179" spans="12:16">
      <c r="M179" s="413" t="s">
        <v>2962</v>
      </c>
      <c r="N179" s="412">
        <v>1517</v>
      </c>
      <c r="O179" s="412">
        <v>1517</v>
      </c>
      <c r="P179" s="412">
        <v>899.99999999999989</v>
      </c>
    </row>
    <row r="180" spans="12:16">
      <c r="L180" s="413" t="s">
        <v>2421</v>
      </c>
      <c r="M180" s="413"/>
      <c r="N180" s="412">
        <v>3034</v>
      </c>
      <c r="O180" s="412">
        <v>3034</v>
      </c>
      <c r="P180" s="412">
        <v>1799.9999999999998</v>
      </c>
    </row>
    <row r="181" spans="12:16">
      <c r="L181" s="413" t="s">
        <v>39</v>
      </c>
      <c r="M181" s="413" t="s">
        <v>2961</v>
      </c>
      <c r="N181" s="412">
        <v>694</v>
      </c>
      <c r="O181" s="412">
        <v>694</v>
      </c>
      <c r="P181" s="412">
        <v>694</v>
      </c>
    </row>
    <row r="182" spans="12:16">
      <c r="M182" s="413" t="s">
        <v>2962</v>
      </c>
      <c r="N182" s="412">
        <v>0</v>
      </c>
      <c r="O182" s="412">
        <v>791</v>
      </c>
      <c r="P182" s="412">
        <v>791</v>
      </c>
    </row>
    <row r="183" spans="12:16">
      <c r="L183" s="413" t="s">
        <v>2490</v>
      </c>
      <c r="M183" s="413"/>
      <c r="N183" s="412">
        <v>694</v>
      </c>
      <c r="O183" s="412">
        <v>1485</v>
      </c>
      <c r="P183" s="412">
        <v>1485</v>
      </c>
    </row>
    <row r="184" spans="12:16">
      <c r="L184" s="413" t="s">
        <v>165</v>
      </c>
      <c r="M184" s="413" t="s">
        <v>2961</v>
      </c>
      <c r="N184" s="412">
        <v>0</v>
      </c>
      <c r="O184" s="412">
        <v>140</v>
      </c>
      <c r="P184" s="412">
        <v>322</v>
      </c>
    </row>
    <row r="185" spans="12:16">
      <c r="M185" s="413" t="s">
        <v>2962</v>
      </c>
      <c r="N185" s="412">
        <v>166</v>
      </c>
      <c r="O185" s="412">
        <v>80</v>
      </c>
      <c r="P185" s="412">
        <v>166</v>
      </c>
    </row>
    <row r="186" spans="12:16">
      <c r="L186" s="413" t="s">
        <v>2422</v>
      </c>
      <c r="M186" s="413"/>
      <c r="N186" s="412">
        <v>166</v>
      </c>
      <c r="O186" s="412">
        <v>220</v>
      </c>
      <c r="P186" s="412">
        <v>488</v>
      </c>
    </row>
    <row r="187" spans="12:16">
      <c r="L187" s="413" t="s">
        <v>210</v>
      </c>
      <c r="M187" s="413" t="s">
        <v>2961</v>
      </c>
      <c r="N187" s="412">
        <v>0</v>
      </c>
      <c r="O187" s="412">
        <v>741</v>
      </c>
      <c r="P187" s="412">
        <v>741</v>
      </c>
    </row>
    <row r="188" spans="12:16">
      <c r="M188" s="413" t="s">
        <v>2962</v>
      </c>
      <c r="N188" s="412">
        <v>0</v>
      </c>
      <c r="O188" s="412">
        <v>741</v>
      </c>
      <c r="P188" s="412">
        <v>741</v>
      </c>
    </row>
    <row r="189" spans="12:16">
      <c r="L189" s="413" t="s">
        <v>2491</v>
      </c>
      <c r="M189" s="413"/>
      <c r="N189" s="412">
        <v>0</v>
      </c>
      <c r="O189" s="412">
        <v>1482</v>
      </c>
      <c r="P189" s="412">
        <v>1482</v>
      </c>
    </row>
    <row r="190" spans="12:16">
      <c r="L190" s="413" t="s">
        <v>287</v>
      </c>
      <c r="M190" s="413" t="s">
        <v>2961</v>
      </c>
      <c r="N190" s="412">
        <v>512</v>
      </c>
      <c r="O190" s="412">
        <v>512</v>
      </c>
      <c r="P190" s="412">
        <v>512</v>
      </c>
    </row>
    <row r="191" spans="12:16">
      <c r="M191" s="413" t="s">
        <v>2962</v>
      </c>
      <c r="N191" s="412">
        <v>512</v>
      </c>
      <c r="O191" s="412">
        <v>512</v>
      </c>
      <c r="P191" s="412">
        <v>512</v>
      </c>
    </row>
    <row r="192" spans="12:16">
      <c r="L192" s="413" t="s">
        <v>2492</v>
      </c>
      <c r="M192" s="413"/>
      <c r="N192" s="412">
        <v>1024</v>
      </c>
      <c r="O192" s="412">
        <v>1024</v>
      </c>
      <c r="P192" s="412">
        <v>1024</v>
      </c>
    </row>
    <row r="193" spans="12:16">
      <c r="L193" s="413" t="s">
        <v>166</v>
      </c>
      <c r="M193" s="413" t="s">
        <v>2961</v>
      </c>
      <c r="N193" s="412">
        <v>0</v>
      </c>
      <c r="O193" s="412">
        <v>506</v>
      </c>
      <c r="P193" s="412">
        <v>506</v>
      </c>
    </row>
    <row r="194" spans="12:16">
      <c r="M194" s="413" t="s">
        <v>2962</v>
      </c>
      <c r="N194" s="412">
        <v>328</v>
      </c>
      <c r="O194" s="412">
        <v>328</v>
      </c>
      <c r="P194" s="412">
        <v>328</v>
      </c>
    </row>
    <row r="195" spans="12:16">
      <c r="L195" s="413" t="s">
        <v>2423</v>
      </c>
      <c r="M195" s="413"/>
      <c r="N195" s="412">
        <v>328</v>
      </c>
      <c r="O195" s="412">
        <v>834</v>
      </c>
      <c r="P195" s="412">
        <v>834</v>
      </c>
    </row>
    <row r="196" spans="12:16">
      <c r="L196" s="413" t="s">
        <v>557</v>
      </c>
      <c r="M196" s="413" t="s">
        <v>2961</v>
      </c>
      <c r="N196" s="412">
        <v>45</v>
      </c>
      <c r="O196" s="412">
        <v>0</v>
      </c>
      <c r="P196" s="412">
        <v>0</v>
      </c>
    </row>
    <row r="197" spans="12:16">
      <c r="M197" s="413" t="s">
        <v>2962</v>
      </c>
      <c r="N197" s="412">
        <v>45</v>
      </c>
      <c r="O197" s="412">
        <v>0</v>
      </c>
      <c r="P197" s="412">
        <v>0</v>
      </c>
    </row>
    <row r="198" spans="12:16">
      <c r="L198" s="413" t="s">
        <v>2493</v>
      </c>
      <c r="M198" s="413"/>
      <c r="N198" s="412">
        <v>90</v>
      </c>
      <c r="O198" s="412">
        <v>0</v>
      </c>
      <c r="P198" s="412">
        <v>0</v>
      </c>
    </row>
    <row r="199" spans="12:16">
      <c r="L199" s="413" t="s">
        <v>554</v>
      </c>
      <c r="M199" s="413" t="s">
        <v>2961</v>
      </c>
      <c r="N199" s="412">
        <v>0</v>
      </c>
      <c r="O199" s="412">
        <v>80</v>
      </c>
      <c r="P199" s="412">
        <v>104</v>
      </c>
    </row>
    <row r="200" spans="12:16">
      <c r="L200" s="413" t="s">
        <v>2494</v>
      </c>
      <c r="M200" s="413"/>
      <c r="N200" s="412">
        <v>0</v>
      </c>
      <c r="O200" s="412">
        <v>80</v>
      </c>
      <c r="P200" s="412">
        <v>104</v>
      </c>
    </row>
    <row r="201" spans="12:16">
      <c r="L201" s="413" t="s">
        <v>298</v>
      </c>
      <c r="M201" s="413" t="s">
        <v>2961</v>
      </c>
      <c r="N201" s="412">
        <v>500</v>
      </c>
      <c r="O201" s="412">
        <v>360</v>
      </c>
      <c r="P201" s="412">
        <v>655</v>
      </c>
    </row>
    <row r="202" spans="12:16">
      <c r="M202" s="413" t="s">
        <v>2962</v>
      </c>
      <c r="N202" s="412">
        <v>0</v>
      </c>
      <c r="O202" s="412">
        <v>366</v>
      </c>
      <c r="P202" s="412">
        <v>500.00000000000006</v>
      </c>
    </row>
    <row r="203" spans="12:16">
      <c r="L203" s="413" t="s">
        <v>2495</v>
      </c>
      <c r="M203" s="413"/>
      <c r="N203" s="412">
        <v>500</v>
      </c>
      <c r="O203" s="412">
        <v>726</v>
      </c>
      <c r="P203" s="412">
        <v>1155</v>
      </c>
    </row>
    <row r="204" spans="12:16">
      <c r="L204" s="413" t="s">
        <v>300</v>
      </c>
      <c r="M204" s="413" t="s">
        <v>2961</v>
      </c>
      <c r="N204" s="412">
        <v>538</v>
      </c>
      <c r="O204" s="412">
        <v>538</v>
      </c>
      <c r="P204" s="412">
        <v>538</v>
      </c>
    </row>
    <row r="205" spans="12:16">
      <c r="M205" s="413" t="s">
        <v>2962</v>
      </c>
      <c r="N205" s="412">
        <v>0</v>
      </c>
      <c r="O205" s="412">
        <v>586</v>
      </c>
      <c r="P205" s="412">
        <v>618</v>
      </c>
    </row>
    <row r="206" spans="12:16">
      <c r="L206" s="413" t="s">
        <v>2496</v>
      </c>
      <c r="M206" s="413"/>
      <c r="N206" s="412">
        <v>538</v>
      </c>
      <c r="O206" s="412">
        <v>1124</v>
      </c>
      <c r="P206" s="412">
        <v>1156</v>
      </c>
    </row>
    <row r="207" spans="12:16">
      <c r="L207" s="413" t="s">
        <v>301</v>
      </c>
      <c r="M207" s="413" t="s">
        <v>2961</v>
      </c>
      <c r="N207" s="412">
        <v>500</v>
      </c>
      <c r="O207" s="412">
        <v>2354</v>
      </c>
      <c r="P207" s="412">
        <v>1366.6666666666667</v>
      </c>
    </row>
    <row r="208" spans="12:16">
      <c r="M208" s="413" t="s">
        <v>2962</v>
      </c>
      <c r="N208" s="412">
        <v>0</v>
      </c>
      <c r="O208" s="412">
        <v>2725</v>
      </c>
      <c r="P208" s="412">
        <v>2725</v>
      </c>
    </row>
    <row r="209" spans="12:16">
      <c r="L209" s="413" t="s">
        <v>2497</v>
      </c>
      <c r="M209" s="413"/>
      <c r="N209" s="412">
        <v>500</v>
      </c>
      <c r="O209" s="412">
        <v>5079</v>
      </c>
      <c r="P209" s="412">
        <v>4091.666666666667</v>
      </c>
    </row>
    <row r="210" spans="12:16">
      <c r="L210" s="413" t="s">
        <v>302</v>
      </c>
      <c r="M210" s="413" t="s">
        <v>2961</v>
      </c>
      <c r="N210" s="412">
        <v>737</v>
      </c>
      <c r="O210" s="412">
        <v>737</v>
      </c>
      <c r="P210" s="412">
        <v>737</v>
      </c>
    </row>
    <row r="211" spans="12:16">
      <c r="M211" s="413" t="s">
        <v>2962</v>
      </c>
      <c r="N211" s="412">
        <v>0</v>
      </c>
      <c r="O211" s="412">
        <v>857</v>
      </c>
      <c r="P211" s="412">
        <v>857</v>
      </c>
    </row>
    <row r="212" spans="12:16">
      <c r="L212" s="413" t="s">
        <v>2498</v>
      </c>
      <c r="M212" s="413"/>
      <c r="N212" s="412">
        <v>737</v>
      </c>
      <c r="O212" s="412">
        <v>1594</v>
      </c>
      <c r="P212" s="412">
        <v>1594</v>
      </c>
    </row>
    <row r="213" spans="12:16">
      <c r="L213" s="413" t="s">
        <v>548</v>
      </c>
      <c r="M213" s="413" t="s">
        <v>2961</v>
      </c>
      <c r="N213" s="412">
        <v>125</v>
      </c>
      <c r="O213" s="412">
        <v>125</v>
      </c>
      <c r="P213" s="412">
        <v>125</v>
      </c>
    </row>
    <row r="214" spans="12:16">
      <c r="L214" s="413" t="s">
        <v>2499</v>
      </c>
      <c r="M214" s="413"/>
      <c r="N214" s="412">
        <v>125</v>
      </c>
      <c r="O214" s="412">
        <v>125</v>
      </c>
      <c r="P214" s="412">
        <v>125</v>
      </c>
    </row>
    <row r="215" spans="12:16">
      <c r="L215" s="413" t="s">
        <v>523</v>
      </c>
      <c r="M215" s="413" t="s">
        <v>2961</v>
      </c>
      <c r="N215" s="412">
        <v>157</v>
      </c>
      <c r="O215" s="412">
        <v>157</v>
      </c>
      <c r="P215" s="412">
        <v>157</v>
      </c>
    </row>
    <row r="216" spans="12:16">
      <c r="L216" s="413" t="s">
        <v>2500</v>
      </c>
      <c r="M216" s="413"/>
      <c r="N216" s="412">
        <v>157</v>
      </c>
      <c r="O216" s="412">
        <v>157</v>
      </c>
      <c r="P216" s="412">
        <v>157</v>
      </c>
    </row>
    <row r="217" spans="12:16">
      <c r="L217" s="413" t="s">
        <v>193</v>
      </c>
      <c r="M217" s="413" t="s">
        <v>2961</v>
      </c>
      <c r="N217" s="412">
        <v>0</v>
      </c>
      <c r="O217" s="412">
        <v>789</v>
      </c>
      <c r="P217" s="412">
        <v>789</v>
      </c>
    </row>
    <row r="218" spans="12:16">
      <c r="M218" s="413" t="s">
        <v>2962</v>
      </c>
      <c r="N218" s="412">
        <v>570</v>
      </c>
      <c r="O218" s="412">
        <v>789</v>
      </c>
      <c r="P218" s="412">
        <v>789</v>
      </c>
    </row>
    <row r="219" spans="12:16">
      <c r="L219" s="413" t="s">
        <v>2501</v>
      </c>
      <c r="M219" s="413"/>
      <c r="N219" s="412">
        <v>570</v>
      </c>
      <c r="O219" s="412">
        <v>1578</v>
      </c>
      <c r="P219" s="412">
        <v>1578</v>
      </c>
    </row>
    <row r="220" spans="12:16">
      <c r="L220" s="413" t="s">
        <v>263</v>
      </c>
      <c r="M220" s="413" t="s">
        <v>2961</v>
      </c>
      <c r="N220" s="412">
        <v>82</v>
      </c>
      <c r="O220" s="412">
        <v>82</v>
      </c>
      <c r="P220" s="412">
        <v>82</v>
      </c>
    </row>
    <row r="221" spans="12:16">
      <c r="M221" s="413" t="s">
        <v>2962</v>
      </c>
      <c r="N221" s="412">
        <v>82</v>
      </c>
      <c r="O221" s="412">
        <v>82</v>
      </c>
      <c r="P221" s="412">
        <v>82</v>
      </c>
    </row>
    <row r="222" spans="12:16">
      <c r="L222" s="413" t="s">
        <v>2502</v>
      </c>
      <c r="M222" s="413"/>
      <c r="N222" s="412">
        <v>164</v>
      </c>
      <c r="O222" s="412">
        <v>164</v>
      </c>
      <c r="P222" s="412">
        <v>164</v>
      </c>
    </row>
    <row r="223" spans="12:16">
      <c r="L223" s="413" t="s">
        <v>264</v>
      </c>
      <c r="M223" s="413" t="s">
        <v>2961</v>
      </c>
      <c r="N223" s="412">
        <v>78</v>
      </c>
      <c r="O223" s="412">
        <v>78</v>
      </c>
      <c r="P223" s="412">
        <v>78</v>
      </c>
    </row>
    <row r="224" spans="12:16">
      <c r="M224" s="413" t="s">
        <v>2962</v>
      </c>
      <c r="N224" s="412">
        <v>78</v>
      </c>
      <c r="O224" s="412">
        <v>78</v>
      </c>
      <c r="P224" s="412">
        <v>78</v>
      </c>
    </row>
    <row r="225" spans="12:16">
      <c r="L225" s="413" t="s">
        <v>2503</v>
      </c>
      <c r="M225" s="413"/>
      <c r="N225" s="412">
        <v>156</v>
      </c>
      <c r="O225" s="412">
        <v>156</v>
      </c>
      <c r="P225" s="412">
        <v>156</v>
      </c>
    </row>
    <row r="226" spans="12:16">
      <c r="L226" s="413" t="s">
        <v>257</v>
      </c>
      <c r="M226" s="413" t="s">
        <v>2961</v>
      </c>
      <c r="N226" s="412">
        <v>0</v>
      </c>
      <c r="O226" s="412">
        <v>0</v>
      </c>
      <c r="P226" s="412">
        <v>15</v>
      </c>
    </row>
    <row r="227" spans="12:16">
      <c r="M227" s="413" t="s">
        <v>2962</v>
      </c>
      <c r="N227" s="412">
        <v>0</v>
      </c>
      <c r="O227" s="412">
        <v>0</v>
      </c>
      <c r="P227" s="412">
        <v>15</v>
      </c>
    </row>
    <row r="228" spans="12:16">
      <c r="L228" s="413" t="s">
        <v>2504</v>
      </c>
      <c r="M228" s="413"/>
      <c r="N228" s="412">
        <v>0</v>
      </c>
      <c r="O228" s="412">
        <v>0</v>
      </c>
      <c r="P228" s="412">
        <v>30</v>
      </c>
    </row>
    <row r="229" spans="12:16">
      <c r="L229" s="413" t="s">
        <v>1612</v>
      </c>
      <c r="M229" s="413" t="s">
        <v>2961</v>
      </c>
      <c r="N229" s="412">
        <v>251</v>
      </c>
      <c r="O229" s="412">
        <v>251</v>
      </c>
      <c r="P229" s="412">
        <v>251</v>
      </c>
    </row>
    <row r="230" spans="12:16">
      <c r="M230" s="413" t="s">
        <v>2962</v>
      </c>
      <c r="N230" s="412">
        <v>251</v>
      </c>
      <c r="O230" s="412">
        <v>251</v>
      </c>
      <c r="P230" s="412">
        <v>251</v>
      </c>
    </row>
    <row r="231" spans="12:16">
      <c r="L231" s="413" t="s">
        <v>2505</v>
      </c>
      <c r="M231" s="413"/>
      <c r="N231" s="412">
        <v>502</v>
      </c>
      <c r="O231" s="412">
        <v>502</v>
      </c>
      <c r="P231" s="412">
        <v>502</v>
      </c>
    </row>
    <row r="232" spans="12:16">
      <c r="L232" s="413" t="s">
        <v>213</v>
      </c>
      <c r="M232" s="413" t="s">
        <v>2961</v>
      </c>
      <c r="N232" s="412">
        <v>0</v>
      </c>
      <c r="O232" s="412">
        <v>120</v>
      </c>
      <c r="P232" s="412">
        <v>424</v>
      </c>
    </row>
    <row r="233" spans="12:16">
      <c r="M233" s="413" t="s">
        <v>2962</v>
      </c>
      <c r="N233" s="412">
        <v>424</v>
      </c>
      <c r="O233" s="412">
        <v>80</v>
      </c>
      <c r="P233" s="412">
        <v>424</v>
      </c>
    </row>
    <row r="234" spans="12:16">
      <c r="L234" s="413" t="s">
        <v>2506</v>
      </c>
      <c r="M234" s="413"/>
      <c r="N234" s="412">
        <v>424</v>
      </c>
      <c r="O234" s="412">
        <v>200</v>
      </c>
      <c r="P234" s="412">
        <v>848</v>
      </c>
    </row>
    <row r="235" spans="12:16">
      <c r="L235" s="413" t="s">
        <v>545</v>
      </c>
      <c r="M235" s="413" t="s">
        <v>2961</v>
      </c>
      <c r="N235" s="412">
        <v>176</v>
      </c>
      <c r="O235" s="412">
        <v>176</v>
      </c>
      <c r="P235" s="412">
        <v>176</v>
      </c>
    </row>
    <row r="236" spans="12:16">
      <c r="M236" s="413" t="s">
        <v>2962</v>
      </c>
      <c r="N236" s="412">
        <v>176</v>
      </c>
      <c r="O236" s="412">
        <v>176</v>
      </c>
      <c r="P236" s="412">
        <v>176</v>
      </c>
    </row>
    <row r="237" spans="12:16">
      <c r="L237" s="413" t="s">
        <v>2507</v>
      </c>
      <c r="M237" s="413"/>
      <c r="N237" s="412">
        <v>352</v>
      </c>
      <c r="O237" s="412">
        <v>352</v>
      </c>
      <c r="P237" s="412">
        <v>352</v>
      </c>
    </row>
    <row r="238" spans="12:16">
      <c r="L238" s="413" t="s">
        <v>190</v>
      </c>
      <c r="M238" s="413" t="s">
        <v>2961</v>
      </c>
      <c r="N238" s="412">
        <v>0</v>
      </c>
      <c r="O238" s="412">
        <v>0</v>
      </c>
      <c r="P238" s="412">
        <v>105</v>
      </c>
    </row>
    <row r="239" spans="12:16">
      <c r="M239" s="413" t="s">
        <v>2962</v>
      </c>
      <c r="N239" s="412">
        <v>0</v>
      </c>
      <c r="O239" s="412">
        <v>0</v>
      </c>
      <c r="P239" s="412">
        <v>105</v>
      </c>
    </row>
    <row r="240" spans="12:16">
      <c r="L240" s="413" t="s">
        <v>2508</v>
      </c>
      <c r="M240" s="413"/>
      <c r="N240" s="412">
        <v>0</v>
      </c>
      <c r="O240" s="412">
        <v>0</v>
      </c>
      <c r="P240" s="412">
        <v>210</v>
      </c>
    </row>
    <row r="241" spans="12:16">
      <c r="L241" s="413" t="s">
        <v>527</v>
      </c>
      <c r="M241" s="413" t="s">
        <v>2961</v>
      </c>
      <c r="N241" s="412">
        <v>396</v>
      </c>
      <c r="O241" s="412">
        <v>396</v>
      </c>
      <c r="P241" s="412">
        <v>396</v>
      </c>
    </row>
    <row r="242" spans="12:16">
      <c r="M242" s="413" t="s">
        <v>2962</v>
      </c>
      <c r="N242" s="412">
        <v>396</v>
      </c>
      <c r="O242" s="412">
        <v>396</v>
      </c>
      <c r="P242" s="412">
        <v>396</v>
      </c>
    </row>
    <row r="243" spans="12:16">
      <c r="L243" s="413" t="s">
        <v>2509</v>
      </c>
      <c r="M243" s="413"/>
      <c r="N243" s="412">
        <v>792</v>
      </c>
      <c r="O243" s="412">
        <v>792</v>
      </c>
      <c r="P243" s="412">
        <v>792</v>
      </c>
    </row>
    <row r="244" spans="12:16">
      <c r="L244" s="413" t="s">
        <v>562</v>
      </c>
      <c r="M244" s="413" t="s">
        <v>2961</v>
      </c>
      <c r="N244" s="412">
        <v>0</v>
      </c>
      <c r="O244" s="412">
        <v>200</v>
      </c>
      <c r="P244" s="412">
        <v>323</v>
      </c>
    </row>
    <row r="245" spans="12:16">
      <c r="M245" s="413" t="s">
        <v>2962</v>
      </c>
      <c r="N245" s="412">
        <v>0</v>
      </c>
      <c r="O245" s="412">
        <v>200</v>
      </c>
      <c r="P245" s="412">
        <v>323</v>
      </c>
    </row>
    <row r="246" spans="12:16">
      <c r="L246" s="413" t="s">
        <v>2510</v>
      </c>
      <c r="M246" s="413"/>
      <c r="N246" s="412">
        <v>0</v>
      </c>
      <c r="O246" s="412">
        <v>400</v>
      </c>
      <c r="P246" s="412">
        <v>646</v>
      </c>
    </row>
    <row r="247" spans="12:16">
      <c r="L247" s="413" t="s">
        <v>551</v>
      </c>
      <c r="M247" s="413" t="s">
        <v>2961</v>
      </c>
      <c r="N247" s="412">
        <v>31</v>
      </c>
      <c r="O247" s="412">
        <v>31</v>
      </c>
      <c r="P247" s="412">
        <v>31</v>
      </c>
    </row>
    <row r="248" spans="12:16">
      <c r="L248" s="413" t="s">
        <v>2511</v>
      </c>
      <c r="M248" s="413"/>
      <c r="N248" s="412">
        <v>31</v>
      </c>
      <c r="O248" s="412">
        <v>31</v>
      </c>
      <c r="P248" s="412">
        <v>31</v>
      </c>
    </row>
    <row r="249" spans="12:16">
      <c r="L249" s="413" t="s">
        <v>517</v>
      </c>
      <c r="M249" s="413" t="s">
        <v>2961</v>
      </c>
      <c r="N249" s="412">
        <v>213</v>
      </c>
      <c r="O249" s="412">
        <v>213</v>
      </c>
      <c r="P249" s="412">
        <v>213</v>
      </c>
    </row>
    <row r="250" spans="12:16">
      <c r="M250" s="413" t="s">
        <v>2962</v>
      </c>
      <c r="N250" s="412">
        <v>213</v>
      </c>
      <c r="O250" s="412">
        <v>213</v>
      </c>
      <c r="P250" s="412">
        <v>213</v>
      </c>
    </row>
    <row r="251" spans="12:16">
      <c r="L251" s="413" t="s">
        <v>2512</v>
      </c>
      <c r="M251" s="413"/>
      <c r="N251" s="412">
        <v>426</v>
      </c>
      <c r="O251" s="412">
        <v>426</v>
      </c>
      <c r="P251" s="412">
        <v>426</v>
      </c>
    </row>
    <row r="252" spans="12:16">
      <c r="L252" s="413" t="s">
        <v>531</v>
      </c>
      <c r="M252" s="413" t="s">
        <v>2961</v>
      </c>
      <c r="N252" s="412">
        <v>250</v>
      </c>
      <c r="O252" s="412">
        <v>250</v>
      </c>
      <c r="P252" s="412">
        <v>250</v>
      </c>
    </row>
    <row r="253" spans="12:16">
      <c r="M253" s="413" t="s">
        <v>2962</v>
      </c>
      <c r="N253" s="412">
        <v>250</v>
      </c>
      <c r="O253" s="412">
        <v>250</v>
      </c>
      <c r="P253" s="412">
        <v>250</v>
      </c>
    </row>
    <row r="254" spans="12:16">
      <c r="L254" s="413" t="s">
        <v>2513</v>
      </c>
      <c r="M254" s="413"/>
      <c r="N254" s="412">
        <v>500</v>
      </c>
      <c r="O254" s="412">
        <v>500</v>
      </c>
      <c r="P254" s="412">
        <v>500</v>
      </c>
    </row>
    <row r="255" spans="12:16">
      <c r="L255" s="413" t="s">
        <v>1613</v>
      </c>
      <c r="M255" s="413" t="s">
        <v>2961</v>
      </c>
      <c r="N255" s="412">
        <v>158</v>
      </c>
      <c r="O255" s="412">
        <v>158</v>
      </c>
      <c r="P255" s="412">
        <v>158</v>
      </c>
    </row>
    <row r="256" spans="12:16">
      <c r="M256" s="413" t="s">
        <v>2962</v>
      </c>
      <c r="N256" s="412">
        <v>158</v>
      </c>
      <c r="O256" s="412">
        <v>158</v>
      </c>
      <c r="P256" s="412">
        <v>158</v>
      </c>
    </row>
    <row r="257" spans="12:16">
      <c r="L257" s="413" t="s">
        <v>2514</v>
      </c>
      <c r="M257" s="413"/>
      <c r="N257" s="412">
        <v>316</v>
      </c>
      <c r="O257" s="412">
        <v>316</v>
      </c>
      <c r="P257" s="412">
        <v>316</v>
      </c>
    </row>
    <row r="258" spans="12:16">
      <c r="L258" s="413" t="s">
        <v>258</v>
      </c>
      <c r="M258" s="413" t="s">
        <v>2961</v>
      </c>
      <c r="N258" s="412">
        <v>24</v>
      </c>
      <c r="O258" s="412">
        <v>24</v>
      </c>
      <c r="P258" s="412">
        <v>24</v>
      </c>
    </row>
    <row r="259" spans="12:16">
      <c r="M259" s="413" t="s">
        <v>2962</v>
      </c>
      <c r="N259" s="412">
        <v>24</v>
      </c>
      <c r="O259" s="412">
        <v>24</v>
      </c>
      <c r="P259" s="412">
        <v>24</v>
      </c>
    </row>
    <row r="260" spans="12:16">
      <c r="L260" s="413" t="s">
        <v>2515</v>
      </c>
      <c r="M260" s="413"/>
      <c r="N260" s="412">
        <v>48</v>
      </c>
      <c r="O260" s="412">
        <v>48</v>
      </c>
      <c r="P260" s="412">
        <v>48</v>
      </c>
    </row>
    <row r="261" spans="12:16">
      <c r="L261" s="413" t="s">
        <v>535</v>
      </c>
      <c r="M261" s="413" t="s">
        <v>2961</v>
      </c>
      <c r="N261" s="412">
        <v>206</v>
      </c>
      <c r="O261" s="412">
        <v>206</v>
      </c>
      <c r="P261" s="412">
        <v>206</v>
      </c>
    </row>
    <row r="262" spans="12:16">
      <c r="M262" s="413" t="s">
        <v>2962</v>
      </c>
      <c r="N262" s="412">
        <v>206</v>
      </c>
      <c r="O262" s="412">
        <v>206</v>
      </c>
      <c r="P262" s="412">
        <v>206</v>
      </c>
    </row>
    <row r="263" spans="12:16">
      <c r="L263" s="413" t="s">
        <v>2516</v>
      </c>
      <c r="M263" s="413"/>
      <c r="N263" s="412">
        <v>412</v>
      </c>
      <c r="O263" s="412">
        <v>412</v>
      </c>
      <c r="P263" s="412">
        <v>412</v>
      </c>
    </row>
    <row r="264" spans="12:16">
      <c r="L264" s="413" t="s">
        <v>547</v>
      </c>
      <c r="M264" s="413" t="s">
        <v>2961</v>
      </c>
      <c r="N264" s="412">
        <v>141</v>
      </c>
      <c r="O264" s="412">
        <v>141</v>
      </c>
      <c r="P264" s="412">
        <v>141</v>
      </c>
    </row>
    <row r="265" spans="12:16">
      <c r="L265" s="413" t="s">
        <v>2517</v>
      </c>
      <c r="M265" s="413"/>
      <c r="N265" s="412">
        <v>141</v>
      </c>
      <c r="O265" s="412">
        <v>141</v>
      </c>
      <c r="P265" s="412">
        <v>141</v>
      </c>
    </row>
    <row r="266" spans="12:16">
      <c r="L266" s="413" t="s">
        <v>1607</v>
      </c>
      <c r="M266" s="413" t="s">
        <v>2961</v>
      </c>
      <c r="N266" s="412">
        <v>607</v>
      </c>
      <c r="O266" s="412">
        <v>400</v>
      </c>
      <c r="P266" s="412">
        <v>607</v>
      </c>
    </row>
    <row r="267" spans="12:16">
      <c r="M267" s="413" t="s">
        <v>2962</v>
      </c>
      <c r="N267" s="412">
        <v>325</v>
      </c>
      <c r="O267" s="412">
        <v>325</v>
      </c>
      <c r="P267" s="412">
        <v>325</v>
      </c>
    </row>
    <row r="268" spans="12:16">
      <c r="L268" s="413" t="s">
        <v>2424</v>
      </c>
      <c r="M268" s="413"/>
      <c r="N268" s="412">
        <v>932</v>
      </c>
      <c r="O268" s="412">
        <v>725</v>
      </c>
      <c r="P268" s="412">
        <v>932</v>
      </c>
    </row>
    <row r="269" spans="12:16">
      <c r="L269" s="413" t="s">
        <v>234</v>
      </c>
      <c r="M269" s="413" t="s">
        <v>2961</v>
      </c>
      <c r="N269" s="412">
        <v>274</v>
      </c>
      <c r="O269" s="412">
        <v>274</v>
      </c>
      <c r="P269" s="412">
        <v>274</v>
      </c>
    </row>
    <row r="270" spans="12:16">
      <c r="M270" s="413" t="s">
        <v>2962</v>
      </c>
      <c r="N270" s="412">
        <v>274</v>
      </c>
      <c r="O270" s="412">
        <v>274</v>
      </c>
      <c r="P270" s="412">
        <v>274</v>
      </c>
    </row>
    <row r="271" spans="12:16">
      <c r="L271" s="413" t="s">
        <v>2518</v>
      </c>
      <c r="M271" s="413"/>
      <c r="N271" s="412">
        <v>548</v>
      </c>
      <c r="O271" s="412">
        <v>548</v>
      </c>
      <c r="P271" s="412">
        <v>548</v>
      </c>
    </row>
    <row r="272" spans="12:16">
      <c r="L272" s="413" t="s">
        <v>231</v>
      </c>
      <c r="M272" s="413" t="s">
        <v>2961</v>
      </c>
      <c r="N272" s="412">
        <v>228</v>
      </c>
      <c r="O272" s="412">
        <v>228</v>
      </c>
      <c r="P272" s="412">
        <v>228</v>
      </c>
    </row>
    <row r="273" spans="12:16">
      <c r="M273" s="413" t="s">
        <v>2962</v>
      </c>
      <c r="N273" s="412">
        <v>227</v>
      </c>
      <c r="O273" s="412">
        <v>227</v>
      </c>
      <c r="P273" s="412">
        <v>227</v>
      </c>
    </row>
    <row r="274" spans="12:16">
      <c r="L274" s="413" t="s">
        <v>2519</v>
      </c>
      <c r="M274" s="413"/>
      <c r="N274" s="412">
        <v>455</v>
      </c>
      <c r="O274" s="412">
        <v>455</v>
      </c>
      <c r="P274" s="412">
        <v>455</v>
      </c>
    </row>
    <row r="275" spans="12:16">
      <c r="L275" s="413" t="s">
        <v>155</v>
      </c>
      <c r="M275" s="413" t="s">
        <v>2961</v>
      </c>
      <c r="N275" s="412">
        <v>0</v>
      </c>
      <c r="O275" s="412">
        <v>51</v>
      </c>
      <c r="P275" s="412">
        <v>51</v>
      </c>
    </row>
    <row r="276" spans="12:16">
      <c r="M276" s="413" t="s">
        <v>2962</v>
      </c>
      <c r="N276" s="412">
        <v>49</v>
      </c>
      <c r="O276" s="412">
        <v>40</v>
      </c>
      <c r="P276" s="412">
        <v>49</v>
      </c>
    </row>
    <row r="277" spans="12:16">
      <c r="L277" s="413" t="s">
        <v>2425</v>
      </c>
      <c r="M277" s="413"/>
      <c r="N277" s="412">
        <v>49</v>
      </c>
      <c r="O277" s="412">
        <v>91</v>
      </c>
      <c r="P277" s="412">
        <v>100</v>
      </c>
    </row>
    <row r="278" spans="12:16">
      <c r="L278" s="413" t="s">
        <v>270</v>
      </c>
      <c r="M278" s="413" t="s">
        <v>2961</v>
      </c>
      <c r="N278" s="412">
        <v>86</v>
      </c>
      <c r="O278" s="412">
        <v>81</v>
      </c>
      <c r="P278" s="412">
        <v>86</v>
      </c>
    </row>
    <row r="279" spans="12:16">
      <c r="L279" s="413" t="s">
        <v>2520</v>
      </c>
      <c r="M279" s="413"/>
      <c r="N279" s="412">
        <v>86</v>
      </c>
      <c r="O279" s="412">
        <v>81</v>
      </c>
      <c r="P279" s="412">
        <v>86</v>
      </c>
    </row>
    <row r="280" spans="12:16">
      <c r="L280" s="413" t="s">
        <v>158</v>
      </c>
      <c r="M280" s="413" t="s">
        <v>2961</v>
      </c>
      <c r="N280" s="412">
        <v>0</v>
      </c>
      <c r="O280" s="412">
        <v>100</v>
      </c>
      <c r="P280" s="412">
        <v>127</v>
      </c>
    </row>
    <row r="281" spans="12:16">
      <c r="M281" s="413" t="s">
        <v>2962</v>
      </c>
      <c r="N281" s="412">
        <v>58</v>
      </c>
      <c r="O281" s="412">
        <v>58</v>
      </c>
      <c r="P281" s="412">
        <v>58</v>
      </c>
    </row>
    <row r="282" spans="12:16">
      <c r="L282" s="413" t="s">
        <v>2426</v>
      </c>
      <c r="M282" s="413"/>
      <c r="N282" s="412">
        <v>58</v>
      </c>
      <c r="O282" s="412">
        <v>158</v>
      </c>
      <c r="P282" s="412">
        <v>185</v>
      </c>
    </row>
    <row r="283" spans="12:16">
      <c r="L283" s="413" t="s">
        <v>185</v>
      </c>
      <c r="M283" s="413" t="s">
        <v>2961</v>
      </c>
      <c r="N283" s="412">
        <v>500</v>
      </c>
      <c r="O283" s="412">
        <v>673</v>
      </c>
      <c r="P283" s="412">
        <v>673</v>
      </c>
    </row>
    <row r="284" spans="12:16">
      <c r="M284" s="413" t="s">
        <v>2962</v>
      </c>
      <c r="N284" s="412">
        <v>584</v>
      </c>
      <c r="O284" s="412">
        <v>584</v>
      </c>
      <c r="P284" s="412">
        <v>584</v>
      </c>
    </row>
    <row r="285" spans="12:16">
      <c r="L285" s="413" t="s">
        <v>2427</v>
      </c>
      <c r="M285" s="413"/>
      <c r="N285" s="412">
        <v>1084</v>
      </c>
      <c r="O285" s="412">
        <v>1257</v>
      </c>
      <c r="P285" s="412">
        <v>1257</v>
      </c>
    </row>
    <row r="286" spans="12:16">
      <c r="L286" s="413" t="s">
        <v>542</v>
      </c>
      <c r="M286" s="413" t="s">
        <v>2961</v>
      </c>
      <c r="N286" s="412">
        <v>500</v>
      </c>
      <c r="O286" s="412">
        <v>525</v>
      </c>
      <c r="P286" s="412">
        <v>533.33333333333337</v>
      </c>
    </row>
    <row r="287" spans="12:16">
      <c r="M287" s="413" t="s">
        <v>2962</v>
      </c>
      <c r="N287" s="412">
        <v>500</v>
      </c>
      <c r="O287" s="412">
        <v>525</v>
      </c>
      <c r="P287" s="412">
        <v>533.33333333333337</v>
      </c>
    </row>
    <row r="288" spans="12:16">
      <c r="L288" s="413" t="s">
        <v>2521</v>
      </c>
      <c r="M288" s="413"/>
      <c r="N288" s="412">
        <v>1000</v>
      </c>
      <c r="O288" s="412">
        <v>1050</v>
      </c>
      <c r="P288" s="412">
        <v>1066.6666666666667</v>
      </c>
    </row>
    <row r="289" spans="12:16">
      <c r="L289" s="413" t="s">
        <v>295</v>
      </c>
      <c r="M289" s="413" t="s">
        <v>2961</v>
      </c>
      <c r="N289" s="412">
        <v>1570</v>
      </c>
      <c r="O289" s="412">
        <v>1570</v>
      </c>
      <c r="P289" s="412">
        <v>1500</v>
      </c>
    </row>
    <row r="290" spans="12:16">
      <c r="M290" s="413" t="s">
        <v>2962</v>
      </c>
      <c r="N290" s="412">
        <v>1570</v>
      </c>
      <c r="O290" s="412">
        <v>1570</v>
      </c>
      <c r="P290" s="412">
        <v>1500</v>
      </c>
    </row>
    <row r="291" spans="12:16">
      <c r="L291" s="413" t="s">
        <v>2522</v>
      </c>
      <c r="M291" s="413"/>
      <c r="N291" s="412">
        <v>3140</v>
      </c>
      <c r="O291" s="412">
        <v>3140</v>
      </c>
      <c r="P291" s="412">
        <v>3000</v>
      </c>
    </row>
    <row r="292" spans="12:16">
      <c r="L292" s="413" t="s">
        <v>167</v>
      </c>
      <c r="M292" s="413" t="s">
        <v>2961</v>
      </c>
      <c r="N292" s="412">
        <v>0</v>
      </c>
      <c r="O292" s="412">
        <v>300</v>
      </c>
      <c r="P292" s="412">
        <v>320</v>
      </c>
    </row>
    <row r="293" spans="12:16">
      <c r="M293" s="413" t="s">
        <v>2962</v>
      </c>
      <c r="N293" s="412">
        <v>320</v>
      </c>
      <c r="O293" s="412">
        <v>300</v>
      </c>
      <c r="P293" s="412">
        <v>320</v>
      </c>
    </row>
    <row r="294" spans="12:16">
      <c r="L294" s="413" t="s">
        <v>2428</v>
      </c>
      <c r="M294" s="413"/>
      <c r="N294" s="412">
        <v>320</v>
      </c>
      <c r="O294" s="412">
        <v>600</v>
      </c>
      <c r="P294" s="412">
        <v>640</v>
      </c>
    </row>
    <row r="295" spans="12:16">
      <c r="L295" s="413" t="s">
        <v>284</v>
      </c>
      <c r="M295" s="413" t="s">
        <v>2961</v>
      </c>
      <c r="N295" s="412">
        <v>297</v>
      </c>
      <c r="O295" s="412">
        <v>263</v>
      </c>
      <c r="P295" s="412">
        <v>297</v>
      </c>
    </row>
    <row r="296" spans="12:16">
      <c r="M296" s="413" t="s">
        <v>2962</v>
      </c>
      <c r="N296" s="412">
        <v>297</v>
      </c>
      <c r="O296" s="412">
        <v>263</v>
      </c>
      <c r="P296" s="412">
        <v>297</v>
      </c>
    </row>
    <row r="297" spans="12:16">
      <c r="L297" s="413" t="s">
        <v>2523</v>
      </c>
      <c r="M297" s="413"/>
      <c r="N297" s="412">
        <v>594</v>
      </c>
      <c r="O297" s="412">
        <v>526</v>
      </c>
      <c r="P297" s="412">
        <v>594</v>
      </c>
    </row>
    <row r="298" spans="12:16">
      <c r="L298" s="413" t="s">
        <v>235</v>
      </c>
      <c r="M298" s="413" t="s">
        <v>2961</v>
      </c>
      <c r="N298" s="412">
        <v>948</v>
      </c>
      <c r="O298" s="412">
        <v>680</v>
      </c>
      <c r="P298" s="412">
        <v>948</v>
      </c>
    </row>
    <row r="299" spans="12:16">
      <c r="M299" s="413" t="s">
        <v>2962</v>
      </c>
      <c r="N299" s="412">
        <v>959</v>
      </c>
      <c r="O299" s="412">
        <v>660</v>
      </c>
      <c r="P299" s="412">
        <v>959</v>
      </c>
    </row>
    <row r="300" spans="12:16">
      <c r="L300" s="413" t="s">
        <v>2524</v>
      </c>
      <c r="M300" s="413"/>
      <c r="N300" s="412">
        <v>1907</v>
      </c>
      <c r="O300" s="412">
        <v>1340</v>
      </c>
      <c r="P300" s="412">
        <v>1907</v>
      </c>
    </row>
    <row r="301" spans="12:16">
      <c r="L301" s="413" t="s">
        <v>1600</v>
      </c>
      <c r="M301" s="413" t="s">
        <v>2961</v>
      </c>
      <c r="N301" s="412">
        <v>500</v>
      </c>
      <c r="O301" s="412">
        <v>1213</v>
      </c>
      <c r="P301" s="412">
        <v>1213</v>
      </c>
    </row>
    <row r="302" spans="12:16">
      <c r="M302" s="413" t="s">
        <v>2962</v>
      </c>
      <c r="N302" s="412">
        <v>500</v>
      </c>
      <c r="O302" s="412">
        <v>1215</v>
      </c>
      <c r="P302" s="412">
        <v>1215</v>
      </c>
    </row>
    <row r="303" spans="12:16">
      <c r="L303" s="413" t="s">
        <v>2525</v>
      </c>
      <c r="M303" s="413"/>
      <c r="N303" s="412">
        <v>1000</v>
      </c>
      <c r="O303" s="412">
        <v>2428</v>
      </c>
      <c r="P303" s="412">
        <v>2428</v>
      </c>
    </row>
    <row r="304" spans="12:16">
      <c r="L304" s="413" t="s">
        <v>296</v>
      </c>
      <c r="M304" s="413" t="s">
        <v>2961</v>
      </c>
      <c r="N304" s="412">
        <v>3000</v>
      </c>
      <c r="O304" s="412">
        <v>3120</v>
      </c>
      <c r="P304" s="412">
        <v>250</v>
      </c>
    </row>
    <row r="305" spans="12:16">
      <c r="M305" s="413" t="s">
        <v>2962</v>
      </c>
      <c r="N305" s="412">
        <v>3000</v>
      </c>
      <c r="O305" s="412">
        <v>3040</v>
      </c>
      <c r="P305" s="412">
        <v>250</v>
      </c>
    </row>
    <row r="306" spans="12:16">
      <c r="L306" s="413" t="s">
        <v>2526</v>
      </c>
      <c r="M306" s="413"/>
      <c r="N306" s="412">
        <v>6000</v>
      </c>
      <c r="O306" s="412">
        <v>6160</v>
      </c>
      <c r="P306" s="412">
        <v>500</v>
      </c>
    </row>
    <row r="307" spans="12:16">
      <c r="L307" s="413" t="s">
        <v>180</v>
      </c>
      <c r="M307" s="413" t="s">
        <v>2961</v>
      </c>
      <c r="N307" s="412">
        <v>1059</v>
      </c>
      <c r="O307" s="412">
        <v>850</v>
      </c>
      <c r="P307" s="412">
        <v>1059</v>
      </c>
    </row>
    <row r="308" spans="12:16">
      <c r="M308" s="413" t="s">
        <v>2962</v>
      </c>
      <c r="N308" s="412">
        <v>973</v>
      </c>
      <c r="O308" s="412">
        <v>750</v>
      </c>
      <c r="P308" s="412">
        <v>133.33333333333334</v>
      </c>
    </row>
    <row r="309" spans="12:16">
      <c r="L309" s="413" t="s">
        <v>2429</v>
      </c>
      <c r="M309" s="413"/>
      <c r="N309" s="412">
        <v>2032</v>
      </c>
      <c r="O309" s="412">
        <v>1600</v>
      </c>
      <c r="P309" s="412">
        <v>1192.3333333333333</v>
      </c>
    </row>
    <row r="310" spans="12:16">
      <c r="L310" s="413" t="s">
        <v>561</v>
      </c>
      <c r="M310" s="413" t="s">
        <v>2961</v>
      </c>
      <c r="N310" s="412">
        <v>221</v>
      </c>
      <c r="O310" s="412">
        <v>221</v>
      </c>
      <c r="P310" s="412">
        <v>221</v>
      </c>
    </row>
    <row r="311" spans="12:16">
      <c r="M311" s="413" t="s">
        <v>2962</v>
      </c>
      <c r="N311" s="412">
        <v>221</v>
      </c>
      <c r="O311" s="412">
        <v>221</v>
      </c>
      <c r="P311" s="412">
        <v>221</v>
      </c>
    </row>
    <row r="312" spans="12:16">
      <c r="L312" s="413" t="s">
        <v>2527</v>
      </c>
      <c r="M312" s="413"/>
      <c r="N312" s="412">
        <v>442</v>
      </c>
      <c r="O312" s="412">
        <v>442</v>
      </c>
      <c r="P312" s="412">
        <v>442</v>
      </c>
    </row>
    <row r="313" spans="12:16">
      <c r="L313" s="413" t="s">
        <v>1585</v>
      </c>
      <c r="M313" s="413" t="s">
        <v>2961</v>
      </c>
      <c r="N313" s="412">
        <v>0</v>
      </c>
      <c r="O313" s="412">
        <v>100</v>
      </c>
      <c r="P313" s="412">
        <v>1397</v>
      </c>
    </row>
    <row r="314" spans="12:16">
      <c r="M314" s="413" t="s">
        <v>2962</v>
      </c>
      <c r="N314" s="412">
        <v>0</v>
      </c>
      <c r="O314" s="412">
        <v>100</v>
      </c>
      <c r="P314" s="412">
        <v>1397</v>
      </c>
    </row>
    <row r="315" spans="12:16">
      <c r="L315" s="413" t="s">
        <v>2430</v>
      </c>
      <c r="M315" s="413"/>
      <c r="N315" s="412">
        <v>0</v>
      </c>
      <c r="O315" s="412">
        <v>200</v>
      </c>
      <c r="P315" s="412">
        <v>2794</v>
      </c>
    </row>
    <row r="316" spans="12:16">
      <c r="L316" s="413" t="s">
        <v>279</v>
      </c>
      <c r="M316" s="413" t="s">
        <v>2961</v>
      </c>
      <c r="N316" s="412">
        <v>0</v>
      </c>
      <c r="O316" s="412">
        <v>334</v>
      </c>
      <c r="P316" s="412">
        <v>334</v>
      </c>
    </row>
    <row r="317" spans="12:16">
      <c r="M317" s="413" t="s">
        <v>2962</v>
      </c>
      <c r="N317" s="412">
        <v>290</v>
      </c>
      <c r="O317" s="412">
        <v>334</v>
      </c>
      <c r="P317" s="412">
        <v>334</v>
      </c>
    </row>
    <row r="318" spans="12:16">
      <c r="L318" s="413" t="s">
        <v>2528</v>
      </c>
      <c r="M318" s="413"/>
      <c r="N318" s="412">
        <v>290</v>
      </c>
      <c r="O318" s="412">
        <v>668</v>
      </c>
      <c r="P318" s="412">
        <v>668</v>
      </c>
    </row>
    <row r="319" spans="12:16">
      <c r="L319" s="413" t="s">
        <v>271</v>
      </c>
      <c r="M319" s="413" t="s">
        <v>2961</v>
      </c>
      <c r="N319" s="412">
        <v>298</v>
      </c>
      <c r="O319" s="412">
        <v>298</v>
      </c>
      <c r="P319" s="412">
        <v>298</v>
      </c>
    </row>
    <row r="320" spans="12:16">
      <c r="M320" s="413" t="s">
        <v>2962</v>
      </c>
      <c r="N320" s="412">
        <v>298</v>
      </c>
      <c r="O320" s="412">
        <v>298</v>
      </c>
      <c r="P320" s="412">
        <v>298</v>
      </c>
    </row>
    <row r="321" spans="12:16">
      <c r="L321" s="413" t="s">
        <v>2529</v>
      </c>
      <c r="M321" s="413"/>
      <c r="N321" s="412">
        <v>596</v>
      </c>
      <c r="O321" s="412">
        <v>596</v>
      </c>
      <c r="P321" s="412">
        <v>596</v>
      </c>
    </row>
    <row r="322" spans="12:16">
      <c r="L322" s="413" t="s">
        <v>181</v>
      </c>
      <c r="M322" s="413" t="s">
        <v>2961</v>
      </c>
      <c r="N322" s="412">
        <v>193</v>
      </c>
      <c r="O322" s="412">
        <v>193</v>
      </c>
      <c r="P322" s="412">
        <v>193</v>
      </c>
    </row>
    <row r="323" spans="12:16">
      <c r="M323" s="413" t="s">
        <v>2962</v>
      </c>
      <c r="N323" s="412">
        <v>279</v>
      </c>
      <c r="O323" s="412">
        <v>279</v>
      </c>
      <c r="P323" s="412">
        <v>279</v>
      </c>
    </row>
    <row r="324" spans="12:16">
      <c r="L324" s="413" t="s">
        <v>2431</v>
      </c>
      <c r="M324" s="413"/>
      <c r="N324" s="412">
        <v>472</v>
      </c>
      <c r="O324" s="412">
        <v>472</v>
      </c>
      <c r="P324" s="412">
        <v>472</v>
      </c>
    </row>
    <row r="325" spans="12:16">
      <c r="L325" s="413" t="s">
        <v>259</v>
      </c>
      <c r="M325" s="413" t="s">
        <v>2961</v>
      </c>
      <c r="N325" s="412">
        <v>72</v>
      </c>
      <c r="O325" s="412">
        <v>40</v>
      </c>
      <c r="P325" s="412">
        <v>72</v>
      </c>
    </row>
    <row r="326" spans="12:16">
      <c r="M326" s="413" t="s">
        <v>2962</v>
      </c>
      <c r="N326" s="412">
        <v>72</v>
      </c>
      <c r="O326" s="412">
        <v>40</v>
      </c>
      <c r="P326" s="412">
        <v>72</v>
      </c>
    </row>
    <row r="327" spans="12:16">
      <c r="L327" s="413" t="s">
        <v>2530</v>
      </c>
      <c r="M327" s="413"/>
      <c r="N327" s="412">
        <v>144</v>
      </c>
      <c r="O327" s="412">
        <v>80</v>
      </c>
      <c r="P327" s="412">
        <v>144</v>
      </c>
    </row>
    <row r="328" spans="12:16">
      <c r="L328" s="413" t="s">
        <v>280</v>
      </c>
      <c r="M328" s="413" t="s">
        <v>2961</v>
      </c>
      <c r="N328" s="412">
        <v>3000</v>
      </c>
      <c r="O328" s="412">
        <v>2983</v>
      </c>
      <c r="P328" s="412">
        <v>3451</v>
      </c>
    </row>
    <row r="329" spans="12:16">
      <c r="M329" s="413" t="s">
        <v>2962</v>
      </c>
      <c r="N329" s="412">
        <v>3451</v>
      </c>
      <c r="O329" s="412">
        <v>2983</v>
      </c>
      <c r="P329" s="412">
        <v>3451</v>
      </c>
    </row>
    <row r="330" spans="12:16">
      <c r="L330" s="413" t="s">
        <v>2531</v>
      </c>
      <c r="M330" s="413"/>
      <c r="N330" s="412">
        <v>6451</v>
      </c>
      <c r="O330" s="412">
        <v>5966</v>
      </c>
      <c r="P330" s="412">
        <v>6902</v>
      </c>
    </row>
    <row r="331" spans="12:16">
      <c r="L331" s="413" t="s">
        <v>775</v>
      </c>
      <c r="M331" s="413" t="s">
        <v>2961</v>
      </c>
      <c r="N331" s="412">
        <v>0</v>
      </c>
      <c r="O331" s="412">
        <v>0</v>
      </c>
      <c r="P331" s="412">
        <v>0</v>
      </c>
    </row>
    <row r="332" spans="12:16">
      <c r="M332" s="413" t="s">
        <v>2962</v>
      </c>
      <c r="N332" s="412">
        <v>0</v>
      </c>
      <c r="O332" s="412">
        <v>0</v>
      </c>
      <c r="P332" s="412">
        <v>0</v>
      </c>
    </row>
    <row r="333" spans="12:16">
      <c r="L333" s="413" t="s">
        <v>2532</v>
      </c>
      <c r="M333" s="413"/>
      <c r="N333" s="412">
        <v>0</v>
      </c>
      <c r="O333" s="412">
        <v>0</v>
      </c>
      <c r="P333" s="412">
        <v>0</v>
      </c>
    </row>
    <row r="334" spans="12:16">
      <c r="L334" s="413" t="s">
        <v>187</v>
      </c>
      <c r="M334" s="413" t="s">
        <v>2961</v>
      </c>
      <c r="N334" s="412">
        <v>0</v>
      </c>
      <c r="O334" s="412">
        <v>362</v>
      </c>
      <c r="P334" s="412">
        <v>362</v>
      </c>
    </row>
    <row r="335" spans="12:16">
      <c r="M335" s="413" t="s">
        <v>2962</v>
      </c>
      <c r="N335" s="412">
        <v>342</v>
      </c>
      <c r="O335" s="412">
        <v>342</v>
      </c>
      <c r="P335" s="412">
        <v>342</v>
      </c>
    </row>
    <row r="336" spans="12:16">
      <c r="L336" s="413" t="s">
        <v>2432</v>
      </c>
      <c r="M336" s="413"/>
      <c r="N336" s="412">
        <v>342</v>
      </c>
      <c r="O336" s="412">
        <v>704</v>
      </c>
      <c r="P336" s="412">
        <v>704</v>
      </c>
    </row>
    <row r="337" spans="12:16">
      <c r="L337" s="413" t="s">
        <v>156</v>
      </c>
      <c r="M337" s="413" t="s">
        <v>2961</v>
      </c>
      <c r="N337" s="412">
        <v>0</v>
      </c>
      <c r="O337" s="412">
        <v>141</v>
      </c>
      <c r="P337" s="412">
        <v>141</v>
      </c>
    </row>
    <row r="338" spans="12:16">
      <c r="M338" s="413" t="s">
        <v>2962</v>
      </c>
      <c r="N338" s="412">
        <v>141</v>
      </c>
      <c r="O338" s="412">
        <v>141</v>
      </c>
      <c r="P338" s="412">
        <v>141</v>
      </c>
    </row>
    <row r="339" spans="12:16">
      <c r="L339" s="413" t="s">
        <v>2433</v>
      </c>
      <c r="M339" s="413"/>
      <c r="N339" s="412">
        <v>141</v>
      </c>
      <c r="O339" s="412">
        <v>282</v>
      </c>
      <c r="P339" s="412">
        <v>282</v>
      </c>
    </row>
    <row r="340" spans="12:16">
      <c r="L340" s="413" t="s">
        <v>286</v>
      </c>
      <c r="M340" s="413" t="s">
        <v>2961</v>
      </c>
      <c r="N340" s="412">
        <v>266</v>
      </c>
      <c r="O340" s="412">
        <v>266</v>
      </c>
      <c r="P340" s="412">
        <v>266</v>
      </c>
    </row>
    <row r="341" spans="12:16">
      <c r="M341" s="413" t="s">
        <v>2962</v>
      </c>
      <c r="N341" s="412">
        <v>266</v>
      </c>
      <c r="O341" s="412">
        <v>266</v>
      </c>
      <c r="P341" s="412">
        <v>266</v>
      </c>
    </row>
    <row r="342" spans="12:16">
      <c r="L342" s="413" t="s">
        <v>2533</v>
      </c>
      <c r="M342" s="413"/>
      <c r="N342" s="412">
        <v>532</v>
      </c>
      <c r="O342" s="412">
        <v>532</v>
      </c>
      <c r="P342" s="412">
        <v>532</v>
      </c>
    </row>
    <row r="343" spans="12:16">
      <c r="L343" s="413" t="s">
        <v>143</v>
      </c>
      <c r="M343" s="413" t="s">
        <v>2961</v>
      </c>
      <c r="N343" s="412">
        <v>1438</v>
      </c>
      <c r="O343" s="412">
        <v>1438</v>
      </c>
      <c r="P343" s="412">
        <v>1438</v>
      </c>
    </row>
    <row r="344" spans="12:16">
      <c r="M344" s="413" t="s">
        <v>2962</v>
      </c>
      <c r="N344" s="412">
        <v>1463</v>
      </c>
      <c r="O344" s="412">
        <v>1463</v>
      </c>
      <c r="P344" s="412">
        <v>266.67037037037039</v>
      </c>
    </row>
    <row r="345" spans="12:16">
      <c r="L345" s="413" t="s">
        <v>2434</v>
      </c>
      <c r="M345" s="413"/>
      <c r="N345" s="412">
        <v>2901</v>
      </c>
      <c r="O345" s="412">
        <v>2901</v>
      </c>
      <c r="P345" s="412">
        <v>1704.6703703703704</v>
      </c>
    </row>
    <row r="346" spans="12:16">
      <c r="L346" s="413" t="s">
        <v>188</v>
      </c>
      <c r="M346" s="413" t="s">
        <v>2961</v>
      </c>
      <c r="N346" s="412">
        <v>0</v>
      </c>
      <c r="O346" s="412">
        <v>100</v>
      </c>
      <c r="P346" s="412">
        <v>116</v>
      </c>
    </row>
    <row r="347" spans="12:16">
      <c r="L347" s="413" t="s">
        <v>2435</v>
      </c>
      <c r="M347" s="413"/>
      <c r="N347" s="412">
        <v>0</v>
      </c>
      <c r="O347" s="412">
        <v>100</v>
      </c>
      <c r="P347" s="412">
        <v>116</v>
      </c>
    </row>
    <row r="348" spans="12:16">
      <c r="L348" s="413" t="s">
        <v>168</v>
      </c>
      <c r="M348" s="413" t="s">
        <v>2961</v>
      </c>
      <c r="N348" s="412">
        <v>500</v>
      </c>
      <c r="O348" s="412">
        <v>260</v>
      </c>
      <c r="P348" s="412">
        <v>595</v>
      </c>
    </row>
    <row r="349" spans="12:16">
      <c r="M349" s="413" t="s">
        <v>2962</v>
      </c>
      <c r="N349" s="412">
        <v>120</v>
      </c>
      <c r="O349" s="412">
        <v>120</v>
      </c>
      <c r="P349" s="412">
        <v>120</v>
      </c>
    </row>
    <row r="350" spans="12:16">
      <c r="L350" s="413" t="s">
        <v>2436</v>
      </c>
      <c r="M350" s="413"/>
      <c r="N350" s="412">
        <v>620</v>
      </c>
      <c r="O350" s="412">
        <v>380</v>
      </c>
      <c r="P350" s="412">
        <v>715</v>
      </c>
    </row>
    <row r="351" spans="12:16">
      <c r="L351" s="413" t="s">
        <v>265</v>
      </c>
      <c r="M351" s="413" t="s">
        <v>2961</v>
      </c>
      <c r="N351" s="412">
        <v>101</v>
      </c>
      <c r="O351" s="412">
        <v>100</v>
      </c>
      <c r="P351" s="412">
        <v>101</v>
      </c>
    </row>
    <row r="352" spans="12:16">
      <c r="M352" s="413" t="s">
        <v>2962</v>
      </c>
      <c r="N352" s="412">
        <v>101</v>
      </c>
      <c r="O352" s="412">
        <v>100</v>
      </c>
      <c r="P352" s="412">
        <v>101</v>
      </c>
    </row>
    <row r="353" spans="12:16">
      <c r="L353" s="413" t="s">
        <v>2534</v>
      </c>
      <c r="M353" s="413"/>
      <c r="N353" s="412">
        <v>202</v>
      </c>
      <c r="O353" s="412">
        <v>200</v>
      </c>
      <c r="P353" s="412">
        <v>202</v>
      </c>
    </row>
    <row r="354" spans="12:16">
      <c r="L354" s="413" t="s">
        <v>182</v>
      </c>
      <c r="M354" s="413" t="s">
        <v>2961</v>
      </c>
      <c r="N354" s="412">
        <v>1050</v>
      </c>
      <c r="O354" s="412">
        <v>1050</v>
      </c>
      <c r="P354" s="412">
        <v>0</v>
      </c>
    </row>
    <row r="355" spans="12:16">
      <c r="M355" s="413" t="s">
        <v>2962</v>
      </c>
      <c r="N355" s="412">
        <v>984</v>
      </c>
      <c r="O355" s="412">
        <v>984</v>
      </c>
      <c r="P355" s="412">
        <v>200</v>
      </c>
    </row>
    <row r="356" spans="12:16">
      <c r="L356" s="413" t="s">
        <v>2437</v>
      </c>
      <c r="M356" s="413"/>
      <c r="N356" s="412">
        <v>2034</v>
      </c>
      <c r="O356" s="412">
        <v>2034</v>
      </c>
      <c r="P356" s="412">
        <v>200</v>
      </c>
    </row>
    <row r="357" spans="12:16">
      <c r="L357" s="413" t="s">
        <v>215</v>
      </c>
      <c r="M357" s="413" t="s">
        <v>2961</v>
      </c>
      <c r="N357" s="412">
        <v>300</v>
      </c>
      <c r="O357" s="412">
        <v>284</v>
      </c>
      <c r="P357" s="412">
        <v>300</v>
      </c>
    </row>
    <row r="358" spans="12:16">
      <c r="M358" s="413" t="s">
        <v>2962</v>
      </c>
      <c r="N358" s="412">
        <v>230</v>
      </c>
      <c r="O358" s="412">
        <v>264</v>
      </c>
      <c r="P358" s="412">
        <v>300</v>
      </c>
    </row>
    <row r="359" spans="12:16">
      <c r="L359" s="413" t="s">
        <v>2535</v>
      </c>
      <c r="M359" s="413"/>
      <c r="N359" s="412">
        <v>530</v>
      </c>
      <c r="O359" s="412">
        <v>548</v>
      </c>
      <c r="P359" s="412">
        <v>600</v>
      </c>
    </row>
    <row r="360" spans="12:16">
      <c r="L360" s="413" t="s">
        <v>216</v>
      </c>
      <c r="M360" s="413" t="s">
        <v>2961</v>
      </c>
      <c r="N360" s="412">
        <v>0</v>
      </c>
      <c r="O360" s="412">
        <v>182</v>
      </c>
      <c r="P360" s="412">
        <v>182</v>
      </c>
    </row>
    <row r="361" spans="12:16">
      <c r="M361" s="413" t="s">
        <v>2962</v>
      </c>
      <c r="N361" s="412">
        <v>165</v>
      </c>
      <c r="O361" s="412">
        <v>182</v>
      </c>
      <c r="P361" s="412">
        <v>182</v>
      </c>
    </row>
    <row r="362" spans="12:16">
      <c r="L362" s="413" t="s">
        <v>2536</v>
      </c>
      <c r="M362" s="413"/>
      <c r="N362" s="412">
        <v>165</v>
      </c>
      <c r="O362" s="412">
        <v>364</v>
      </c>
      <c r="P362" s="412">
        <v>364</v>
      </c>
    </row>
    <row r="363" spans="12:16">
      <c r="L363" s="413" t="s">
        <v>169</v>
      </c>
      <c r="M363" s="413" t="s">
        <v>2961</v>
      </c>
      <c r="N363" s="412">
        <v>0</v>
      </c>
      <c r="O363" s="412">
        <v>340</v>
      </c>
      <c r="P363" s="412">
        <v>629</v>
      </c>
    </row>
    <row r="364" spans="12:16">
      <c r="M364" s="413" t="s">
        <v>2962</v>
      </c>
      <c r="N364" s="412">
        <v>432</v>
      </c>
      <c r="O364" s="412">
        <v>200</v>
      </c>
      <c r="P364" s="412">
        <v>432</v>
      </c>
    </row>
    <row r="365" spans="12:16">
      <c r="L365" s="413" t="s">
        <v>2438</v>
      </c>
      <c r="M365" s="413"/>
      <c r="N365" s="412">
        <v>432</v>
      </c>
      <c r="O365" s="412">
        <v>540</v>
      </c>
      <c r="P365" s="412">
        <v>1061</v>
      </c>
    </row>
    <row r="366" spans="12:16">
      <c r="L366" s="413" t="s">
        <v>1712</v>
      </c>
      <c r="M366" s="413" t="s">
        <v>2961</v>
      </c>
      <c r="N366" s="412">
        <v>500</v>
      </c>
      <c r="O366" s="412">
        <v>20</v>
      </c>
      <c r="P366" s="412">
        <v>628</v>
      </c>
    </row>
    <row r="367" spans="12:16">
      <c r="M367" s="413" t="s">
        <v>2962</v>
      </c>
      <c r="N367" s="412">
        <v>500</v>
      </c>
      <c r="O367" s="412">
        <v>20</v>
      </c>
      <c r="P367" s="412">
        <v>628</v>
      </c>
    </row>
    <row r="368" spans="12:16">
      <c r="L368" s="413" t="s">
        <v>2537</v>
      </c>
      <c r="M368" s="413"/>
      <c r="N368" s="412">
        <v>1000</v>
      </c>
      <c r="O368" s="412">
        <v>40</v>
      </c>
      <c r="P368" s="412">
        <v>1256</v>
      </c>
    </row>
    <row r="369" spans="12:16">
      <c r="L369" s="413" t="s">
        <v>860</v>
      </c>
      <c r="M369" s="413" t="s">
        <v>2961</v>
      </c>
      <c r="N369" s="412">
        <v>174</v>
      </c>
      <c r="O369" s="412">
        <v>40</v>
      </c>
      <c r="P369" s="412">
        <v>174</v>
      </c>
    </row>
    <row r="370" spans="12:16">
      <c r="M370" s="413" t="s">
        <v>2962</v>
      </c>
      <c r="N370" s="412">
        <v>174</v>
      </c>
      <c r="O370" s="412">
        <v>40</v>
      </c>
      <c r="P370" s="412">
        <v>174</v>
      </c>
    </row>
    <row r="371" spans="12:16">
      <c r="L371" s="413" t="s">
        <v>2538</v>
      </c>
      <c r="M371" s="413"/>
      <c r="N371" s="412">
        <v>348</v>
      </c>
      <c r="O371" s="412">
        <v>80</v>
      </c>
      <c r="P371" s="412">
        <v>348</v>
      </c>
    </row>
    <row r="372" spans="12:16">
      <c r="L372" s="413" t="s">
        <v>1610</v>
      </c>
      <c r="M372" s="413" t="s">
        <v>2961</v>
      </c>
      <c r="N372" s="412">
        <v>0</v>
      </c>
      <c r="O372" s="412">
        <v>413</v>
      </c>
      <c r="P372" s="412">
        <v>413</v>
      </c>
    </row>
    <row r="373" spans="12:16">
      <c r="M373" s="413" t="s">
        <v>2962</v>
      </c>
      <c r="N373" s="412">
        <v>275</v>
      </c>
      <c r="O373" s="412">
        <v>220</v>
      </c>
      <c r="P373" s="412">
        <v>275</v>
      </c>
    </row>
    <row r="374" spans="12:16">
      <c r="L374" s="413" t="s">
        <v>2539</v>
      </c>
      <c r="M374" s="413"/>
      <c r="N374" s="412">
        <v>275</v>
      </c>
      <c r="O374" s="412">
        <v>633</v>
      </c>
      <c r="P374" s="412">
        <v>688</v>
      </c>
    </row>
    <row r="375" spans="12:16">
      <c r="L375" s="413" t="s">
        <v>170</v>
      </c>
      <c r="M375" s="413" t="s">
        <v>2961</v>
      </c>
      <c r="N375" s="412">
        <v>500</v>
      </c>
      <c r="O375" s="412">
        <v>220</v>
      </c>
      <c r="P375" s="412">
        <v>543</v>
      </c>
    </row>
    <row r="376" spans="12:16">
      <c r="M376" s="413" t="s">
        <v>2962</v>
      </c>
      <c r="N376" s="412">
        <v>207</v>
      </c>
      <c r="O376" s="412">
        <v>207</v>
      </c>
      <c r="P376" s="412">
        <v>207</v>
      </c>
    </row>
    <row r="377" spans="12:16">
      <c r="L377" s="413" t="s">
        <v>2439</v>
      </c>
      <c r="M377" s="413"/>
      <c r="N377" s="412">
        <v>707</v>
      </c>
      <c r="O377" s="412">
        <v>427</v>
      </c>
      <c r="P377" s="412">
        <v>750</v>
      </c>
    </row>
    <row r="378" spans="12:16">
      <c r="L378" s="413" t="s">
        <v>266</v>
      </c>
      <c r="M378" s="413" t="s">
        <v>2961</v>
      </c>
      <c r="N378" s="412">
        <v>268</v>
      </c>
      <c r="O378" s="412">
        <v>268</v>
      </c>
      <c r="P378" s="412">
        <v>268</v>
      </c>
    </row>
    <row r="379" spans="12:16">
      <c r="M379" s="413" t="s">
        <v>2962</v>
      </c>
      <c r="N379" s="412">
        <v>268</v>
      </c>
      <c r="O379" s="412">
        <v>268</v>
      </c>
      <c r="P379" s="412">
        <v>268</v>
      </c>
    </row>
    <row r="380" spans="12:16">
      <c r="L380" s="413" t="s">
        <v>2540</v>
      </c>
      <c r="M380" s="413"/>
      <c r="N380" s="412">
        <v>536</v>
      </c>
      <c r="O380" s="412">
        <v>536</v>
      </c>
      <c r="P380" s="412">
        <v>536</v>
      </c>
    </row>
    <row r="381" spans="12:16">
      <c r="L381" s="413" t="s">
        <v>171</v>
      </c>
      <c r="M381" s="413" t="s">
        <v>2961</v>
      </c>
      <c r="N381" s="412">
        <v>0</v>
      </c>
      <c r="O381" s="412">
        <v>100</v>
      </c>
      <c r="P381" s="412">
        <v>169</v>
      </c>
    </row>
    <row r="382" spans="12:16">
      <c r="M382" s="413" t="s">
        <v>2962</v>
      </c>
      <c r="N382" s="412">
        <v>0</v>
      </c>
      <c r="O382" s="412">
        <v>100</v>
      </c>
      <c r="P382" s="412">
        <v>121</v>
      </c>
    </row>
    <row r="383" spans="12:16">
      <c r="L383" s="413" t="s">
        <v>2440</v>
      </c>
      <c r="M383" s="413"/>
      <c r="N383" s="412">
        <v>0</v>
      </c>
      <c r="O383" s="412">
        <v>200</v>
      </c>
      <c r="P383" s="412">
        <v>290</v>
      </c>
    </row>
    <row r="384" spans="12:16">
      <c r="L384" s="413" t="s">
        <v>172</v>
      </c>
      <c r="M384" s="413" t="s">
        <v>2961</v>
      </c>
      <c r="N384" s="412">
        <v>0</v>
      </c>
      <c r="O384" s="412">
        <v>241</v>
      </c>
      <c r="P384" s="412">
        <v>241</v>
      </c>
    </row>
    <row r="385" spans="12:16">
      <c r="M385" s="413" t="s">
        <v>2962</v>
      </c>
      <c r="N385" s="412">
        <v>0</v>
      </c>
      <c r="O385" s="412">
        <v>62</v>
      </c>
      <c r="P385" s="412">
        <v>62</v>
      </c>
    </row>
    <row r="386" spans="12:16">
      <c r="L386" s="413" t="s">
        <v>2441</v>
      </c>
      <c r="M386" s="413"/>
      <c r="N386" s="412">
        <v>0</v>
      </c>
      <c r="O386" s="412">
        <v>303</v>
      </c>
      <c r="P386" s="412">
        <v>303</v>
      </c>
    </row>
    <row r="387" spans="12:16">
      <c r="L387" s="413" t="s">
        <v>274</v>
      </c>
      <c r="M387" s="413" t="s">
        <v>2961</v>
      </c>
      <c r="N387" s="412">
        <v>186</v>
      </c>
      <c r="O387" s="412">
        <v>120</v>
      </c>
      <c r="P387" s="412">
        <v>186</v>
      </c>
    </row>
    <row r="388" spans="12:16">
      <c r="M388" s="413" t="s">
        <v>2962</v>
      </c>
      <c r="N388" s="412">
        <v>186</v>
      </c>
      <c r="O388" s="412">
        <v>120</v>
      </c>
      <c r="P388" s="412">
        <v>186</v>
      </c>
    </row>
    <row r="389" spans="12:16">
      <c r="L389" s="413" t="s">
        <v>2541</v>
      </c>
      <c r="M389" s="413"/>
      <c r="N389" s="412">
        <v>372</v>
      </c>
      <c r="O389" s="412">
        <v>240</v>
      </c>
      <c r="P389" s="412">
        <v>372</v>
      </c>
    </row>
    <row r="390" spans="12:16">
      <c r="L390" s="413" t="s">
        <v>1609</v>
      </c>
      <c r="M390" s="413" t="s">
        <v>2961</v>
      </c>
      <c r="N390" s="412">
        <v>500</v>
      </c>
      <c r="O390" s="412">
        <v>560</v>
      </c>
      <c r="P390" s="412">
        <v>973</v>
      </c>
    </row>
    <row r="391" spans="12:16">
      <c r="M391" s="413" t="s">
        <v>2962</v>
      </c>
      <c r="N391" s="412">
        <v>500</v>
      </c>
      <c r="O391" s="412">
        <v>560</v>
      </c>
      <c r="P391" s="412">
        <v>1148</v>
      </c>
    </row>
    <row r="392" spans="12:16">
      <c r="L392" s="413" t="s">
        <v>2442</v>
      </c>
      <c r="M392" s="413"/>
      <c r="N392" s="412">
        <v>1000</v>
      </c>
      <c r="O392" s="412">
        <v>1120</v>
      </c>
      <c r="P392" s="412">
        <v>2121</v>
      </c>
    </row>
    <row r="393" spans="12:16">
      <c r="L393" s="413" t="s">
        <v>563</v>
      </c>
      <c r="M393" s="413" t="s">
        <v>2961</v>
      </c>
      <c r="N393" s="412">
        <v>195</v>
      </c>
      <c r="O393" s="412">
        <v>195</v>
      </c>
      <c r="P393" s="412">
        <v>195</v>
      </c>
    </row>
    <row r="394" spans="12:16">
      <c r="M394" s="413" t="s">
        <v>2962</v>
      </c>
      <c r="N394" s="412">
        <v>195</v>
      </c>
      <c r="O394" s="412">
        <v>195</v>
      </c>
      <c r="P394" s="412">
        <v>195</v>
      </c>
    </row>
    <row r="395" spans="12:16">
      <c r="L395" s="413" t="s">
        <v>2542</v>
      </c>
      <c r="M395" s="413"/>
      <c r="N395" s="412">
        <v>390</v>
      </c>
      <c r="O395" s="412">
        <v>390</v>
      </c>
      <c r="P395" s="412">
        <v>390</v>
      </c>
    </row>
    <row r="396" spans="12:16">
      <c r="L396" s="413" t="s">
        <v>1606</v>
      </c>
      <c r="M396" s="413" t="s">
        <v>2961</v>
      </c>
      <c r="N396" s="412">
        <v>253</v>
      </c>
      <c r="O396" s="412">
        <v>161</v>
      </c>
      <c r="P396" s="412">
        <v>253</v>
      </c>
    </row>
    <row r="397" spans="12:16">
      <c r="M397" s="413" t="s">
        <v>2962</v>
      </c>
      <c r="N397" s="412">
        <v>267</v>
      </c>
      <c r="O397" s="412">
        <v>160</v>
      </c>
      <c r="P397" s="412">
        <v>267</v>
      </c>
    </row>
    <row r="398" spans="12:16">
      <c r="L398" s="413" t="s">
        <v>2443</v>
      </c>
      <c r="M398" s="413"/>
      <c r="N398" s="412">
        <v>520</v>
      </c>
      <c r="O398" s="412">
        <v>321</v>
      </c>
      <c r="P398" s="412">
        <v>520</v>
      </c>
    </row>
    <row r="399" spans="12:16">
      <c r="L399" s="413" t="s">
        <v>275</v>
      </c>
      <c r="M399" s="413" t="s">
        <v>2961</v>
      </c>
      <c r="N399" s="412">
        <v>319</v>
      </c>
      <c r="O399" s="412">
        <v>180</v>
      </c>
      <c r="P399" s="412">
        <v>319</v>
      </c>
    </row>
    <row r="400" spans="12:16">
      <c r="M400" s="413" t="s">
        <v>2962</v>
      </c>
      <c r="N400" s="412">
        <v>319</v>
      </c>
      <c r="O400" s="412">
        <v>180</v>
      </c>
      <c r="P400" s="412">
        <v>319</v>
      </c>
    </row>
    <row r="401" spans="12:16">
      <c r="L401" s="413" t="s">
        <v>2543</v>
      </c>
      <c r="M401" s="413"/>
      <c r="N401" s="412">
        <v>638</v>
      </c>
      <c r="O401" s="412">
        <v>360</v>
      </c>
      <c r="P401" s="412">
        <v>638</v>
      </c>
    </row>
    <row r="402" spans="12:16">
      <c r="L402" s="413" t="s">
        <v>261</v>
      </c>
      <c r="M402" s="413" t="s">
        <v>2961</v>
      </c>
      <c r="N402" s="412">
        <v>0</v>
      </c>
      <c r="O402" s="412">
        <v>133</v>
      </c>
      <c r="P402" s="412">
        <v>133</v>
      </c>
    </row>
    <row r="403" spans="12:16">
      <c r="L403" s="413" t="s">
        <v>2544</v>
      </c>
      <c r="M403" s="413"/>
      <c r="N403" s="412">
        <v>0</v>
      </c>
      <c r="O403" s="412">
        <v>133</v>
      </c>
      <c r="P403" s="412">
        <v>133</v>
      </c>
    </row>
    <row r="404" spans="12:16">
      <c r="L404" s="413" t="s">
        <v>221</v>
      </c>
      <c r="M404" s="413" t="s">
        <v>2961</v>
      </c>
      <c r="N404" s="412">
        <v>1500</v>
      </c>
      <c r="O404" s="412">
        <v>5020</v>
      </c>
      <c r="P404" s="412">
        <v>733.33333333333337</v>
      </c>
    </row>
    <row r="405" spans="12:16">
      <c r="M405" s="413" t="s">
        <v>2962</v>
      </c>
      <c r="N405" s="412">
        <v>7394</v>
      </c>
      <c r="O405" s="412">
        <v>5340</v>
      </c>
      <c r="P405" s="412">
        <v>733.33333333333337</v>
      </c>
    </row>
    <row r="406" spans="12:16">
      <c r="L406" s="413" t="s">
        <v>2545</v>
      </c>
      <c r="M406" s="413"/>
      <c r="N406" s="412">
        <v>8894</v>
      </c>
      <c r="O406" s="412">
        <v>10360</v>
      </c>
      <c r="P406" s="412">
        <v>1466.6666666666667</v>
      </c>
    </row>
    <row r="407" spans="12:16">
      <c r="L407" s="413" t="s">
        <v>223</v>
      </c>
      <c r="M407" s="413" t="s">
        <v>2961</v>
      </c>
      <c r="N407" s="412">
        <v>0</v>
      </c>
      <c r="O407" s="412">
        <v>0</v>
      </c>
      <c r="P407" s="412">
        <v>66.666666666666671</v>
      </c>
    </row>
    <row r="408" spans="12:16">
      <c r="M408" s="413" t="s">
        <v>2962</v>
      </c>
      <c r="N408" s="412">
        <v>0</v>
      </c>
      <c r="O408" s="412">
        <v>0</v>
      </c>
      <c r="P408" s="412">
        <v>66.666666666666671</v>
      </c>
    </row>
    <row r="409" spans="12:16">
      <c r="L409" s="413" t="s">
        <v>2546</v>
      </c>
      <c r="M409" s="413"/>
      <c r="N409" s="412">
        <v>0</v>
      </c>
      <c r="O409" s="412">
        <v>0</v>
      </c>
      <c r="P409" s="412">
        <v>133.33333333333334</v>
      </c>
    </row>
    <row r="410" spans="12:16">
      <c r="L410" s="413" t="s">
        <v>222</v>
      </c>
      <c r="M410" s="413" t="s">
        <v>2961</v>
      </c>
      <c r="N410" s="412">
        <v>0</v>
      </c>
      <c r="O410" s="412">
        <v>0</v>
      </c>
      <c r="P410" s="412">
        <v>0</v>
      </c>
    </row>
    <row r="411" spans="12:16">
      <c r="M411" s="413" t="s">
        <v>2962</v>
      </c>
      <c r="N411" s="412">
        <v>0</v>
      </c>
      <c r="O411" s="412">
        <v>0</v>
      </c>
      <c r="P411" s="412">
        <v>0</v>
      </c>
    </row>
    <row r="412" spans="12:16">
      <c r="L412" s="413" t="s">
        <v>2547</v>
      </c>
      <c r="M412" s="413"/>
      <c r="N412" s="412">
        <v>0</v>
      </c>
      <c r="O412" s="412">
        <v>0</v>
      </c>
      <c r="P412" s="412">
        <v>0</v>
      </c>
    </row>
    <row r="413" spans="12:16">
      <c r="L413" s="413" t="s">
        <v>262</v>
      </c>
      <c r="M413" s="413" t="s">
        <v>2961</v>
      </c>
      <c r="N413" s="412">
        <v>66</v>
      </c>
      <c r="O413" s="412">
        <v>66</v>
      </c>
      <c r="P413" s="412">
        <v>66</v>
      </c>
    </row>
    <row r="414" spans="12:16">
      <c r="L414" s="413" t="s">
        <v>2548</v>
      </c>
      <c r="M414" s="413"/>
      <c r="N414" s="412">
        <v>66</v>
      </c>
      <c r="O414" s="412">
        <v>66</v>
      </c>
      <c r="P414" s="412">
        <v>66</v>
      </c>
    </row>
    <row r="415" spans="12:16">
      <c r="L415" s="413" t="s">
        <v>538</v>
      </c>
      <c r="M415" s="413" t="s">
        <v>2961</v>
      </c>
      <c r="N415" s="412">
        <v>500</v>
      </c>
      <c r="O415" s="412">
        <v>1101</v>
      </c>
      <c r="P415" s="412">
        <v>1101</v>
      </c>
    </row>
    <row r="416" spans="12:16">
      <c r="M416" s="413" t="s">
        <v>2962</v>
      </c>
      <c r="N416" s="412">
        <v>500</v>
      </c>
      <c r="O416" s="412">
        <v>1101</v>
      </c>
      <c r="P416" s="412">
        <v>1101</v>
      </c>
    </row>
    <row r="417" spans="12:16">
      <c r="L417" s="413" t="s">
        <v>2549</v>
      </c>
      <c r="M417" s="413"/>
      <c r="N417" s="412">
        <v>1000</v>
      </c>
      <c r="O417" s="412">
        <v>2202</v>
      </c>
      <c r="P417" s="412">
        <v>2202</v>
      </c>
    </row>
    <row r="418" spans="12:16">
      <c r="L418" s="413" t="s">
        <v>2109</v>
      </c>
      <c r="M418" s="413" t="s">
        <v>2961</v>
      </c>
      <c r="N418" s="412">
        <v>0</v>
      </c>
      <c r="O418" s="412">
        <v>0</v>
      </c>
      <c r="P418" s="412">
        <v>0</v>
      </c>
    </row>
    <row r="419" spans="12:16">
      <c r="L419" s="413" t="s">
        <v>2550</v>
      </c>
      <c r="M419" s="413"/>
      <c r="N419" s="412">
        <v>0</v>
      </c>
      <c r="O419" s="412">
        <v>0</v>
      </c>
      <c r="P419" s="412">
        <v>0</v>
      </c>
    </row>
    <row r="420" spans="12:16">
      <c r="L420" s="413" t="s">
        <v>2153</v>
      </c>
      <c r="M420" s="413" t="s">
        <v>2961</v>
      </c>
      <c r="N420" s="412">
        <v>32</v>
      </c>
      <c r="O420" s="412">
        <v>32</v>
      </c>
      <c r="P420" s="412">
        <v>32</v>
      </c>
    </row>
    <row r="421" spans="12:16">
      <c r="M421" s="413" t="s">
        <v>2962</v>
      </c>
      <c r="N421" s="412">
        <v>32</v>
      </c>
      <c r="O421" s="412">
        <v>32</v>
      </c>
      <c r="P421" s="412">
        <v>32</v>
      </c>
    </row>
    <row r="422" spans="12:16">
      <c r="L422" s="413" t="s">
        <v>2551</v>
      </c>
      <c r="M422" s="413"/>
      <c r="N422" s="412">
        <v>64</v>
      </c>
      <c r="O422" s="412">
        <v>64</v>
      </c>
      <c r="P422" s="412">
        <v>64</v>
      </c>
    </row>
    <row r="423" spans="12:16">
      <c r="L423" s="413" t="s">
        <v>2152</v>
      </c>
      <c r="M423" s="413" t="s">
        <v>2961</v>
      </c>
      <c r="N423" s="412">
        <v>0</v>
      </c>
      <c r="O423" s="412">
        <v>103</v>
      </c>
      <c r="P423" s="412">
        <v>103</v>
      </c>
    </row>
    <row r="424" spans="12:16">
      <c r="L424" s="413" t="s">
        <v>2552</v>
      </c>
      <c r="M424" s="413"/>
      <c r="N424" s="412">
        <v>0</v>
      </c>
      <c r="O424" s="412">
        <v>103</v>
      </c>
      <c r="P424" s="412">
        <v>103</v>
      </c>
    </row>
    <row r="425" spans="12:16">
      <c r="L425" s="413" t="s">
        <v>2222</v>
      </c>
      <c r="M425" s="413" t="s">
        <v>2961</v>
      </c>
      <c r="N425" s="412">
        <v>203</v>
      </c>
      <c r="O425" s="412">
        <v>144</v>
      </c>
      <c r="P425" s="412">
        <v>203</v>
      </c>
    </row>
    <row r="426" spans="12:16">
      <c r="M426" s="413" t="s">
        <v>2962</v>
      </c>
      <c r="N426" s="412">
        <v>203</v>
      </c>
      <c r="O426" s="412">
        <v>144</v>
      </c>
      <c r="P426" s="412">
        <v>203</v>
      </c>
    </row>
    <row r="427" spans="12:16">
      <c r="L427" s="413" t="s">
        <v>2229</v>
      </c>
      <c r="M427" s="413"/>
      <c r="N427" s="412">
        <v>406</v>
      </c>
      <c r="O427" s="412">
        <v>288</v>
      </c>
      <c r="P427" s="412">
        <v>406</v>
      </c>
    </row>
    <row r="428" spans="12:16">
      <c r="L428" s="413" t="s">
        <v>2224</v>
      </c>
      <c r="M428" s="413" t="s">
        <v>2961</v>
      </c>
      <c r="N428" s="412">
        <v>404</v>
      </c>
      <c r="O428" s="412">
        <v>120</v>
      </c>
      <c r="P428" s="412">
        <v>404</v>
      </c>
    </row>
    <row r="429" spans="12:16">
      <c r="M429" s="413" t="s">
        <v>2962</v>
      </c>
      <c r="N429" s="412">
        <v>127</v>
      </c>
      <c r="O429" s="412">
        <v>120</v>
      </c>
      <c r="P429" s="412">
        <v>127</v>
      </c>
    </row>
    <row r="430" spans="12:16">
      <c r="L430" s="413" t="s">
        <v>2553</v>
      </c>
      <c r="M430" s="413"/>
      <c r="N430" s="412">
        <v>531</v>
      </c>
      <c r="O430" s="412">
        <v>240</v>
      </c>
      <c r="P430" s="412">
        <v>531</v>
      </c>
    </row>
    <row r="431" spans="12:16">
      <c r="L431" s="413" t="s">
        <v>2592</v>
      </c>
      <c r="M431" s="413" t="s">
        <v>2961</v>
      </c>
      <c r="N431" s="412">
        <v>0</v>
      </c>
      <c r="O431" s="412">
        <v>32</v>
      </c>
      <c r="P431" s="412">
        <v>32</v>
      </c>
    </row>
    <row r="432" spans="12:16">
      <c r="L432" s="413" t="s">
        <v>2593</v>
      </c>
      <c r="M432" s="413"/>
      <c r="N432" s="412">
        <v>0</v>
      </c>
      <c r="O432" s="412">
        <v>32</v>
      </c>
      <c r="P432" s="412">
        <v>32</v>
      </c>
    </row>
    <row r="433" spans="12:16">
      <c r="L433" s="413" t="s">
        <v>2570</v>
      </c>
      <c r="M433" s="413" t="s">
        <v>2961</v>
      </c>
      <c r="N433" s="412">
        <v>0</v>
      </c>
      <c r="O433" s="412">
        <v>600</v>
      </c>
      <c r="P433" s="412">
        <v>1600</v>
      </c>
    </row>
    <row r="434" spans="12:16">
      <c r="M434" s="413" t="s">
        <v>2962</v>
      </c>
      <c r="N434" s="412">
        <v>0</v>
      </c>
      <c r="O434" s="412">
        <v>600</v>
      </c>
      <c r="P434" s="412">
        <v>1600</v>
      </c>
    </row>
    <row r="435" spans="12:16">
      <c r="L435" s="413" t="s">
        <v>2628</v>
      </c>
      <c r="M435" s="413"/>
      <c r="N435" s="412">
        <v>0</v>
      </c>
      <c r="O435" s="412">
        <v>1200</v>
      </c>
      <c r="P435" s="412">
        <v>3200</v>
      </c>
    </row>
    <row r="436" spans="12:16">
      <c r="L436" s="413" t="s">
        <v>2571</v>
      </c>
      <c r="M436" s="413" t="s">
        <v>2961</v>
      </c>
      <c r="N436" s="412">
        <v>0</v>
      </c>
      <c r="O436" s="412">
        <v>0</v>
      </c>
      <c r="P436" s="412">
        <v>0</v>
      </c>
    </row>
    <row r="437" spans="12:16">
      <c r="M437" s="413" t="s">
        <v>2962</v>
      </c>
      <c r="N437" s="412">
        <v>0</v>
      </c>
      <c r="O437" s="412">
        <v>0</v>
      </c>
      <c r="P437" s="412">
        <v>0</v>
      </c>
    </row>
    <row r="438" spans="12:16">
      <c r="L438" s="413" t="s">
        <v>2629</v>
      </c>
      <c r="M438" s="413"/>
      <c r="N438" s="412">
        <v>0</v>
      </c>
      <c r="O438" s="412">
        <v>0</v>
      </c>
      <c r="P438" s="412">
        <v>0</v>
      </c>
    </row>
    <row r="439" spans="12:16">
      <c r="L439" s="413" t="s">
        <v>2643</v>
      </c>
      <c r="M439" s="413" t="s">
        <v>2961</v>
      </c>
      <c r="N439" s="412">
        <v>591</v>
      </c>
      <c r="O439" s="412">
        <v>591</v>
      </c>
      <c r="P439" s="412">
        <v>591</v>
      </c>
    </row>
    <row r="440" spans="12:16">
      <c r="M440" s="413" t="s">
        <v>2962</v>
      </c>
      <c r="N440" s="412">
        <v>591</v>
      </c>
      <c r="O440" s="412">
        <v>591</v>
      </c>
      <c r="P440" s="412">
        <v>591</v>
      </c>
    </row>
    <row r="441" spans="12:16">
      <c r="L441" s="413" t="s">
        <v>2669</v>
      </c>
      <c r="M441" s="413"/>
      <c r="N441" s="412">
        <v>1182</v>
      </c>
      <c r="O441" s="412">
        <v>1182</v>
      </c>
      <c r="P441" s="412">
        <v>1182</v>
      </c>
    </row>
    <row r="442" spans="12:16">
      <c r="L442" s="413" t="s">
        <v>2644</v>
      </c>
      <c r="M442" s="413" t="s">
        <v>2961</v>
      </c>
      <c r="N442" s="412">
        <v>0</v>
      </c>
      <c r="O442" s="412">
        <v>0</v>
      </c>
      <c r="P442" s="412">
        <v>0</v>
      </c>
    </row>
    <row r="443" spans="12:16">
      <c r="L443" s="413" t="s">
        <v>2670</v>
      </c>
      <c r="M443" s="413"/>
      <c r="N443" s="412">
        <v>0</v>
      </c>
      <c r="O443" s="412">
        <v>0</v>
      </c>
      <c r="P443" s="412">
        <v>0</v>
      </c>
    </row>
    <row r="444" spans="12:16">
      <c r="L444" s="413" t="s">
        <v>2646</v>
      </c>
      <c r="M444" s="413" t="s">
        <v>2961</v>
      </c>
      <c r="N444" s="412">
        <v>0</v>
      </c>
      <c r="O444" s="412">
        <v>0</v>
      </c>
      <c r="P444" s="412">
        <v>0</v>
      </c>
    </row>
    <row r="445" spans="12:16">
      <c r="M445" s="413" t="s">
        <v>2962</v>
      </c>
      <c r="N445" s="412">
        <v>0</v>
      </c>
      <c r="O445" s="412">
        <v>0</v>
      </c>
      <c r="P445" s="412">
        <v>0</v>
      </c>
    </row>
    <row r="446" spans="12:16">
      <c r="L446" s="413" t="s">
        <v>2671</v>
      </c>
      <c r="M446" s="413"/>
      <c r="N446" s="412">
        <v>0</v>
      </c>
      <c r="O446" s="412">
        <v>0</v>
      </c>
      <c r="P446" s="412">
        <v>0</v>
      </c>
    </row>
    <row r="447" spans="12:16">
      <c r="L447" s="413" t="s">
        <v>2703</v>
      </c>
      <c r="M447" s="413" t="s">
        <v>2961</v>
      </c>
      <c r="N447" s="412">
        <v>160</v>
      </c>
      <c r="O447" s="412">
        <v>160</v>
      </c>
      <c r="P447" s="412">
        <v>160</v>
      </c>
    </row>
    <row r="448" spans="12:16">
      <c r="M448" s="413" t="s">
        <v>2962</v>
      </c>
      <c r="N448" s="412">
        <v>160</v>
      </c>
      <c r="O448" s="412">
        <v>160</v>
      </c>
      <c r="P448" s="412">
        <v>160</v>
      </c>
    </row>
    <row r="449" spans="12:16">
      <c r="L449" s="413" t="s">
        <v>2736</v>
      </c>
      <c r="M449" s="413"/>
      <c r="N449" s="412">
        <v>320</v>
      </c>
      <c r="O449" s="412">
        <v>320</v>
      </c>
      <c r="P449" s="412">
        <v>320</v>
      </c>
    </row>
    <row r="450" spans="12:16">
      <c r="L450" s="413" t="s">
        <v>2704</v>
      </c>
      <c r="M450" s="413" t="s">
        <v>2961</v>
      </c>
      <c r="N450" s="412">
        <v>0</v>
      </c>
      <c r="O450" s="412">
        <v>0</v>
      </c>
      <c r="P450" s="412">
        <v>0</v>
      </c>
    </row>
    <row r="451" spans="12:16">
      <c r="M451" s="413" t="s">
        <v>2962</v>
      </c>
      <c r="N451" s="412">
        <v>0</v>
      </c>
      <c r="O451" s="412">
        <v>0</v>
      </c>
      <c r="P451" s="412">
        <v>0</v>
      </c>
    </row>
    <row r="452" spans="12:16">
      <c r="L452" s="413" t="s">
        <v>2737</v>
      </c>
      <c r="M452" s="413"/>
      <c r="N452" s="412">
        <v>0</v>
      </c>
      <c r="O452" s="412">
        <v>0</v>
      </c>
      <c r="P452" s="412">
        <v>0</v>
      </c>
    </row>
    <row r="453" spans="12:16">
      <c r="L453" s="413" t="s">
        <v>2705</v>
      </c>
      <c r="M453" s="413" t="s">
        <v>2961</v>
      </c>
      <c r="N453" s="412">
        <v>0</v>
      </c>
      <c r="O453" s="412">
        <v>0</v>
      </c>
      <c r="P453" s="412">
        <v>0</v>
      </c>
    </row>
    <row r="454" spans="12:16">
      <c r="M454" s="413" t="s">
        <v>2962</v>
      </c>
      <c r="N454" s="412">
        <v>0</v>
      </c>
      <c r="O454" s="412">
        <v>0</v>
      </c>
      <c r="P454" s="412">
        <v>0</v>
      </c>
    </row>
    <row r="455" spans="12:16">
      <c r="L455" s="413" t="s">
        <v>2738</v>
      </c>
      <c r="M455" s="413"/>
      <c r="N455" s="412">
        <v>0</v>
      </c>
      <c r="O455" s="412">
        <v>0</v>
      </c>
      <c r="P455" s="412">
        <v>0</v>
      </c>
    </row>
    <row r="456" spans="12:16">
      <c r="L456" s="413" t="s">
        <v>2708</v>
      </c>
      <c r="M456" s="413" t="s">
        <v>2961</v>
      </c>
      <c r="N456" s="412">
        <v>0</v>
      </c>
      <c r="O456" s="412">
        <v>0</v>
      </c>
      <c r="P456" s="412">
        <v>0</v>
      </c>
    </row>
    <row r="457" spans="12:16">
      <c r="M457" s="413" t="s">
        <v>2962</v>
      </c>
      <c r="N457" s="412">
        <v>0</v>
      </c>
      <c r="O457" s="412">
        <v>0</v>
      </c>
      <c r="P457" s="412">
        <v>0</v>
      </c>
    </row>
    <row r="458" spans="12:16">
      <c r="L458" s="413" t="s">
        <v>3065</v>
      </c>
      <c r="M458" s="413"/>
      <c r="N458" s="412">
        <v>0</v>
      </c>
      <c r="O458" s="412">
        <v>0</v>
      </c>
      <c r="P458" s="412">
        <v>0</v>
      </c>
    </row>
    <row r="459" spans="12:16">
      <c r="L459" s="413" t="s">
        <v>2711</v>
      </c>
      <c r="M459" s="413" t="s">
        <v>2961</v>
      </c>
      <c r="N459" s="412">
        <v>0</v>
      </c>
      <c r="O459" s="412">
        <v>0</v>
      </c>
      <c r="P459" s="412">
        <v>0</v>
      </c>
    </row>
    <row r="460" spans="12:16">
      <c r="M460" s="413" t="s">
        <v>2962</v>
      </c>
      <c r="N460" s="412">
        <v>0</v>
      </c>
      <c r="O460" s="412">
        <v>0</v>
      </c>
      <c r="P460" s="412">
        <v>0</v>
      </c>
    </row>
    <row r="461" spans="12:16">
      <c r="L461" s="413" t="s">
        <v>2739</v>
      </c>
      <c r="M461" s="413"/>
      <c r="N461" s="412">
        <v>0</v>
      </c>
      <c r="O461" s="412">
        <v>0</v>
      </c>
      <c r="P461" s="412">
        <v>0</v>
      </c>
    </row>
    <row r="462" spans="12:16">
      <c r="L462" s="413" t="s">
        <v>2712</v>
      </c>
      <c r="M462" s="413" t="s">
        <v>2961</v>
      </c>
      <c r="N462" s="412">
        <v>0</v>
      </c>
      <c r="O462" s="412">
        <v>0</v>
      </c>
      <c r="P462" s="412">
        <v>0</v>
      </c>
    </row>
    <row r="463" spans="12:16">
      <c r="M463" s="413" t="s">
        <v>2962</v>
      </c>
      <c r="N463" s="412">
        <v>0</v>
      </c>
      <c r="O463" s="412">
        <v>0</v>
      </c>
      <c r="P463" s="412">
        <v>0</v>
      </c>
    </row>
    <row r="464" spans="12:16">
      <c r="L464" s="413" t="s">
        <v>2740</v>
      </c>
      <c r="M464" s="413"/>
      <c r="N464" s="412">
        <v>0</v>
      </c>
      <c r="O464" s="412">
        <v>0</v>
      </c>
      <c r="P464" s="412">
        <v>0</v>
      </c>
    </row>
    <row r="465" spans="12:16">
      <c r="L465" s="413" t="s">
        <v>2569</v>
      </c>
      <c r="M465" s="413" t="s">
        <v>2961</v>
      </c>
      <c r="N465" s="412">
        <v>0</v>
      </c>
      <c r="O465" s="412">
        <v>0</v>
      </c>
      <c r="P465" s="412">
        <v>0</v>
      </c>
    </row>
    <row r="466" spans="12:16">
      <c r="M466" s="413" t="s">
        <v>2962</v>
      </c>
      <c r="N466" s="412">
        <v>0</v>
      </c>
      <c r="O466" s="412">
        <v>0</v>
      </c>
      <c r="P466" s="412">
        <v>0</v>
      </c>
    </row>
    <row r="467" spans="12:16">
      <c r="L467" s="413" t="s">
        <v>3066</v>
      </c>
      <c r="M467" s="413"/>
      <c r="N467" s="412">
        <v>0</v>
      </c>
      <c r="O467" s="412">
        <v>0</v>
      </c>
      <c r="P467" s="412">
        <v>0</v>
      </c>
    </row>
    <row r="468" spans="12:16">
      <c r="L468" s="413" t="s">
        <v>2568</v>
      </c>
      <c r="M468" s="413" t="s">
        <v>2961</v>
      </c>
      <c r="N468" s="412">
        <v>0</v>
      </c>
      <c r="O468" s="412">
        <v>0</v>
      </c>
      <c r="P468" s="412">
        <v>0</v>
      </c>
    </row>
    <row r="469" spans="12:16">
      <c r="L469" s="413" t="s">
        <v>3067</v>
      </c>
      <c r="M469" s="413"/>
      <c r="N469" s="412">
        <v>0</v>
      </c>
      <c r="O469" s="412">
        <v>0</v>
      </c>
      <c r="P469" s="412">
        <v>0</v>
      </c>
    </row>
    <row r="470" spans="12:16">
      <c r="L470" s="413" t="s">
        <v>2574</v>
      </c>
      <c r="M470" s="413" t="s">
        <v>2961</v>
      </c>
      <c r="N470" s="412">
        <v>0</v>
      </c>
      <c r="O470" s="412">
        <v>0</v>
      </c>
      <c r="P470" s="412">
        <v>0</v>
      </c>
    </row>
    <row r="471" spans="12:16">
      <c r="M471" s="413" t="s">
        <v>2962</v>
      </c>
      <c r="N471" s="412">
        <v>0</v>
      </c>
      <c r="O471" s="412">
        <v>0</v>
      </c>
      <c r="P471" s="412">
        <v>0</v>
      </c>
    </row>
    <row r="472" spans="12:16">
      <c r="L472" s="413" t="s">
        <v>2887</v>
      </c>
      <c r="M472" s="413"/>
      <c r="N472" s="412">
        <v>0</v>
      </c>
      <c r="O472" s="412">
        <v>0</v>
      </c>
      <c r="P472" s="412">
        <v>0</v>
      </c>
    </row>
    <row r="473" spans="12:16">
      <c r="L473" s="413" t="s">
        <v>2573</v>
      </c>
      <c r="M473" s="413" t="s">
        <v>2961</v>
      </c>
      <c r="N473" s="412">
        <v>0</v>
      </c>
      <c r="O473" s="412">
        <v>0</v>
      </c>
      <c r="P473" s="412">
        <v>0</v>
      </c>
    </row>
    <row r="474" spans="12:16">
      <c r="M474" s="413" t="s">
        <v>2962</v>
      </c>
      <c r="N474" s="412">
        <v>0</v>
      </c>
      <c r="O474" s="412">
        <v>0</v>
      </c>
      <c r="P474" s="412">
        <v>0</v>
      </c>
    </row>
    <row r="475" spans="12:16">
      <c r="L475" s="413" t="s">
        <v>2888</v>
      </c>
      <c r="M475" s="413"/>
      <c r="N475" s="412">
        <v>0</v>
      </c>
      <c r="O475" s="412">
        <v>0</v>
      </c>
      <c r="P475" s="412">
        <v>0</v>
      </c>
    </row>
    <row r="476" spans="12:16">
      <c r="L476" s="413" t="s">
        <v>1529</v>
      </c>
      <c r="M476" s="413" t="s">
        <v>2961</v>
      </c>
      <c r="N476" s="412">
        <v>1936</v>
      </c>
      <c r="O476" s="412">
        <v>1440</v>
      </c>
      <c r="P476" s="412">
        <v>800</v>
      </c>
    </row>
    <row r="477" spans="12:16">
      <c r="L477" s="413" t="s">
        <v>2741</v>
      </c>
      <c r="M477" s="413"/>
      <c r="N477" s="412">
        <v>1936</v>
      </c>
      <c r="O477" s="412">
        <v>1440</v>
      </c>
      <c r="P477" s="412">
        <v>800</v>
      </c>
    </row>
    <row r="478" spans="12:16">
      <c r="L478" s="413" t="s">
        <v>2878</v>
      </c>
      <c r="M478" s="413" t="s">
        <v>2961</v>
      </c>
      <c r="N478" s="412">
        <v>275</v>
      </c>
      <c r="O478" s="412">
        <v>275</v>
      </c>
      <c r="P478" s="412">
        <v>275</v>
      </c>
    </row>
    <row r="479" spans="12:16">
      <c r="M479" s="413" t="s">
        <v>2962</v>
      </c>
      <c r="N479" s="412">
        <v>276</v>
      </c>
      <c r="O479" s="412">
        <v>276</v>
      </c>
      <c r="P479" s="412">
        <v>276</v>
      </c>
    </row>
    <row r="480" spans="12:16">
      <c r="L480" s="413" t="s">
        <v>2889</v>
      </c>
      <c r="M480" s="413"/>
      <c r="N480" s="412">
        <v>551</v>
      </c>
      <c r="O480" s="412">
        <v>551</v>
      </c>
      <c r="P480" s="412">
        <v>551</v>
      </c>
    </row>
    <row r="481" spans="12:16">
      <c r="L481" s="413" t="s">
        <v>2879</v>
      </c>
      <c r="M481" s="413" t="s">
        <v>2961</v>
      </c>
      <c r="N481" s="412">
        <v>430</v>
      </c>
      <c r="O481" s="412">
        <v>300</v>
      </c>
      <c r="P481" s="412">
        <v>430</v>
      </c>
    </row>
    <row r="482" spans="12:16">
      <c r="M482" s="413" t="s">
        <v>2962</v>
      </c>
      <c r="N482" s="412">
        <v>440</v>
      </c>
      <c r="O482" s="412">
        <v>280</v>
      </c>
      <c r="P482" s="412">
        <v>440</v>
      </c>
    </row>
    <row r="483" spans="12:16">
      <c r="L483" s="413" t="s">
        <v>2890</v>
      </c>
      <c r="M483" s="413"/>
      <c r="N483" s="412">
        <v>870</v>
      </c>
      <c r="O483" s="412">
        <v>580</v>
      </c>
      <c r="P483" s="412">
        <v>870</v>
      </c>
    </row>
    <row r="484" spans="12:16">
      <c r="L484" s="413" t="s">
        <v>2881</v>
      </c>
      <c r="M484" s="413" t="s">
        <v>2961</v>
      </c>
      <c r="N484" s="412">
        <v>0</v>
      </c>
      <c r="O484" s="412">
        <v>162</v>
      </c>
      <c r="P484" s="412">
        <v>0</v>
      </c>
    </row>
    <row r="485" spans="12:16">
      <c r="M485" s="413" t="s">
        <v>2962</v>
      </c>
      <c r="N485" s="412">
        <v>0</v>
      </c>
      <c r="O485" s="412">
        <v>162</v>
      </c>
      <c r="P485" s="412">
        <v>0</v>
      </c>
    </row>
    <row r="486" spans="12:16">
      <c r="L486" s="413" t="s">
        <v>2891</v>
      </c>
      <c r="M486" s="413"/>
      <c r="N486" s="412">
        <v>0</v>
      </c>
      <c r="O486" s="412">
        <v>324</v>
      </c>
      <c r="P486" s="412">
        <v>0</v>
      </c>
    </row>
    <row r="487" spans="12:16">
      <c r="L487" s="413" t="s">
        <v>2882</v>
      </c>
      <c r="M487" s="413" t="s">
        <v>2961</v>
      </c>
      <c r="N487" s="412">
        <v>132</v>
      </c>
      <c r="O487" s="412">
        <v>132</v>
      </c>
      <c r="P487" s="412">
        <v>132</v>
      </c>
    </row>
    <row r="488" spans="12:16">
      <c r="M488" s="413" t="s">
        <v>2962</v>
      </c>
      <c r="N488" s="412">
        <v>132</v>
      </c>
      <c r="O488" s="412">
        <v>132</v>
      </c>
      <c r="P488" s="412">
        <v>132</v>
      </c>
    </row>
    <row r="489" spans="12:16">
      <c r="L489" s="413" t="s">
        <v>2892</v>
      </c>
      <c r="M489" s="413"/>
      <c r="N489" s="412">
        <v>264</v>
      </c>
      <c r="O489" s="412">
        <v>264</v>
      </c>
      <c r="P489" s="412">
        <v>264</v>
      </c>
    </row>
    <row r="490" spans="12:16">
      <c r="L490" s="413" t="s">
        <v>2874</v>
      </c>
      <c r="M490" s="413" t="s">
        <v>2961</v>
      </c>
      <c r="N490" s="412">
        <v>0</v>
      </c>
      <c r="O490" s="412">
        <v>0</v>
      </c>
      <c r="P490" s="412">
        <v>544</v>
      </c>
    </row>
    <row r="491" spans="12:16">
      <c r="M491" s="413" t="s">
        <v>2962</v>
      </c>
      <c r="N491" s="412">
        <v>0</v>
      </c>
      <c r="O491" s="412">
        <v>0</v>
      </c>
      <c r="P491" s="412">
        <v>544</v>
      </c>
    </row>
    <row r="492" spans="12:16">
      <c r="L492" s="413" t="s">
        <v>2893</v>
      </c>
      <c r="M492" s="413"/>
      <c r="N492" s="412">
        <v>0</v>
      </c>
      <c r="O492" s="412">
        <v>0</v>
      </c>
      <c r="P492" s="412">
        <v>1088</v>
      </c>
    </row>
    <row r="493" spans="12:16">
      <c r="L493" s="413" t="s">
        <v>2880</v>
      </c>
      <c r="M493" s="413" t="s">
        <v>2961</v>
      </c>
      <c r="N493" s="412">
        <v>0</v>
      </c>
      <c r="O493" s="412">
        <v>0</v>
      </c>
      <c r="P493" s="412">
        <v>0</v>
      </c>
    </row>
    <row r="494" spans="12:16">
      <c r="M494" s="413" t="s">
        <v>2962</v>
      </c>
      <c r="N494" s="412">
        <v>324</v>
      </c>
      <c r="O494" s="412">
        <v>144</v>
      </c>
      <c r="P494" s="412">
        <v>0</v>
      </c>
    </row>
    <row r="495" spans="12:16">
      <c r="L495" s="413" t="s">
        <v>2894</v>
      </c>
      <c r="M495" s="413"/>
      <c r="N495" s="412">
        <v>324</v>
      </c>
      <c r="O495" s="412">
        <v>144</v>
      </c>
      <c r="P495" s="412">
        <v>0</v>
      </c>
    </row>
    <row r="496" spans="12:16">
      <c r="L496" s="413" t="s">
        <v>2870</v>
      </c>
      <c r="M496" s="413" t="s">
        <v>2961</v>
      </c>
      <c r="N496" s="412">
        <v>0</v>
      </c>
      <c r="O496" s="412">
        <v>0</v>
      </c>
      <c r="P496" s="412">
        <v>0</v>
      </c>
    </row>
    <row r="497" spans="12:16">
      <c r="M497" s="413" t="s">
        <v>2962</v>
      </c>
      <c r="N497" s="412">
        <v>0</v>
      </c>
      <c r="O497" s="412">
        <v>0</v>
      </c>
      <c r="P497" s="412">
        <v>0</v>
      </c>
    </row>
    <row r="498" spans="12:16">
      <c r="L498" s="413" t="s">
        <v>2895</v>
      </c>
      <c r="M498" s="413"/>
      <c r="N498" s="412">
        <v>0</v>
      </c>
      <c r="O498" s="412">
        <v>0</v>
      </c>
      <c r="P498" s="412">
        <v>0</v>
      </c>
    </row>
    <row r="499" spans="12:16">
      <c r="L499" s="413" t="s">
        <v>2871</v>
      </c>
      <c r="M499" s="413" t="s">
        <v>2961</v>
      </c>
      <c r="N499" s="412">
        <v>0</v>
      </c>
      <c r="O499" s="412">
        <v>0</v>
      </c>
      <c r="P499" s="412">
        <v>0</v>
      </c>
    </row>
    <row r="500" spans="12:16">
      <c r="M500" s="413" t="s">
        <v>2962</v>
      </c>
      <c r="N500" s="412">
        <v>466</v>
      </c>
      <c r="O500" s="412">
        <v>240</v>
      </c>
      <c r="P500" s="412">
        <v>466</v>
      </c>
    </row>
    <row r="501" spans="12:16">
      <c r="L501" s="413" t="s">
        <v>2896</v>
      </c>
      <c r="M501" s="413"/>
      <c r="N501" s="412">
        <v>466</v>
      </c>
      <c r="O501" s="412">
        <v>240</v>
      </c>
      <c r="P501" s="412">
        <v>466</v>
      </c>
    </row>
    <row r="502" spans="12:16">
      <c r="L502" s="413" t="s">
        <v>2875</v>
      </c>
      <c r="M502" s="413" t="s">
        <v>2961</v>
      </c>
      <c r="N502" s="412">
        <v>0</v>
      </c>
      <c r="O502" s="412">
        <v>0</v>
      </c>
      <c r="P502" s="412">
        <v>0</v>
      </c>
    </row>
    <row r="503" spans="12:16">
      <c r="M503" s="413" t="s">
        <v>2962</v>
      </c>
      <c r="N503" s="412">
        <v>0</v>
      </c>
      <c r="O503" s="412">
        <v>0</v>
      </c>
      <c r="P503" s="412">
        <v>0</v>
      </c>
    </row>
    <row r="504" spans="12:16">
      <c r="L504" s="413" t="s">
        <v>2897</v>
      </c>
      <c r="M504" s="413"/>
      <c r="N504" s="412">
        <v>0</v>
      </c>
      <c r="O504" s="412">
        <v>0</v>
      </c>
      <c r="P504" s="412">
        <v>0</v>
      </c>
    </row>
    <row r="505" spans="12:16">
      <c r="L505" s="413" t="s">
        <v>2876</v>
      </c>
      <c r="M505" s="413" t="s">
        <v>2961</v>
      </c>
      <c r="N505" s="412">
        <v>0</v>
      </c>
      <c r="O505" s="412">
        <v>0</v>
      </c>
      <c r="P505" s="412">
        <v>0</v>
      </c>
    </row>
    <row r="506" spans="12:16">
      <c r="M506" s="413" t="s">
        <v>2962</v>
      </c>
      <c r="N506" s="412">
        <v>0</v>
      </c>
      <c r="O506" s="412">
        <v>0</v>
      </c>
      <c r="P506" s="412">
        <v>0</v>
      </c>
    </row>
    <row r="507" spans="12:16">
      <c r="L507" s="413" t="s">
        <v>2898</v>
      </c>
      <c r="M507" s="413"/>
      <c r="N507" s="412">
        <v>0</v>
      </c>
      <c r="O507" s="412">
        <v>0</v>
      </c>
      <c r="P507" s="412">
        <v>0</v>
      </c>
    </row>
    <row r="508" spans="12:16">
      <c r="L508" s="413" t="s">
        <v>2877</v>
      </c>
      <c r="M508" s="413" t="s">
        <v>2961</v>
      </c>
      <c r="N508" s="412">
        <v>0</v>
      </c>
      <c r="O508" s="412">
        <v>0</v>
      </c>
      <c r="P508" s="412">
        <v>0</v>
      </c>
    </row>
    <row r="509" spans="12:16">
      <c r="M509" s="413" t="s">
        <v>2962</v>
      </c>
      <c r="N509" s="412">
        <v>0</v>
      </c>
      <c r="O509" s="412">
        <v>0</v>
      </c>
      <c r="P509" s="412">
        <v>0</v>
      </c>
    </row>
    <row r="510" spans="12:16">
      <c r="L510" s="413" t="s">
        <v>2899</v>
      </c>
      <c r="M510" s="413"/>
      <c r="N510" s="412">
        <v>0</v>
      </c>
      <c r="O510" s="412">
        <v>0</v>
      </c>
      <c r="P510" s="412">
        <v>0</v>
      </c>
    </row>
    <row r="511" spans="12:16">
      <c r="L511" s="413" t="s">
        <v>2872</v>
      </c>
      <c r="M511" s="413" t="s">
        <v>2961</v>
      </c>
      <c r="N511" s="412">
        <v>0</v>
      </c>
      <c r="O511" s="412">
        <v>0</v>
      </c>
      <c r="P511" s="412">
        <v>0</v>
      </c>
    </row>
    <row r="512" spans="12:16">
      <c r="M512" s="413" t="s">
        <v>2962</v>
      </c>
      <c r="N512" s="412">
        <v>0</v>
      </c>
      <c r="O512" s="412">
        <v>0</v>
      </c>
      <c r="P512" s="412">
        <v>0</v>
      </c>
    </row>
    <row r="513" spans="12:16">
      <c r="L513" s="413" t="s">
        <v>2900</v>
      </c>
      <c r="M513" s="413"/>
      <c r="N513" s="412">
        <v>0</v>
      </c>
      <c r="O513" s="412">
        <v>0</v>
      </c>
      <c r="P513" s="412">
        <v>0</v>
      </c>
    </row>
    <row r="514" spans="12:16">
      <c r="L514" s="413" t="s">
        <v>2869</v>
      </c>
      <c r="M514" s="413" t="s">
        <v>2961</v>
      </c>
      <c r="N514" s="412">
        <v>0</v>
      </c>
      <c r="O514" s="412">
        <v>0</v>
      </c>
      <c r="P514" s="412">
        <v>0</v>
      </c>
    </row>
    <row r="515" spans="12:16">
      <c r="M515" s="413" t="s">
        <v>2962</v>
      </c>
      <c r="N515" s="412">
        <v>0</v>
      </c>
      <c r="O515" s="412">
        <v>0</v>
      </c>
      <c r="P515" s="412">
        <v>0</v>
      </c>
    </row>
    <row r="516" spans="12:16">
      <c r="L516" s="413" t="s">
        <v>2901</v>
      </c>
      <c r="M516" s="413"/>
      <c r="N516" s="412">
        <v>0</v>
      </c>
      <c r="O516" s="412">
        <v>0</v>
      </c>
      <c r="P516" s="412">
        <v>0</v>
      </c>
    </row>
    <row r="517" spans="12:16">
      <c r="L517" s="413" t="s">
        <v>2868</v>
      </c>
      <c r="M517" s="413" t="s">
        <v>2961</v>
      </c>
      <c r="N517" s="412">
        <v>94</v>
      </c>
      <c r="O517" s="412">
        <v>94</v>
      </c>
      <c r="P517" s="412">
        <v>94</v>
      </c>
    </row>
    <row r="518" spans="12:16">
      <c r="M518" s="413" t="s">
        <v>2962</v>
      </c>
      <c r="N518" s="412">
        <v>94</v>
      </c>
      <c r="O518" s="412">
        <v>94</v>
      </c>
      <c r="P518" s="412">
        <v>94</v>
      </c>
    </row>
    <row r="519" spans="12:16">
      <c r="L519" s="413" t="s">
        <v>2902</v>
      </c>
      <c r="M519" s="413"/>
      <c r="N519" s="412">
        <v>188</v>
      </c>
      <c r="O519" s="412">
        <v>188</v>
      </c>
      <c r="P519" s="412">
        <v>188</v>
      </c>
    </row>
    <row r="520" spans="12:16">
      <c r="L520" s="413" t="s">
        <v>2860</v>
      </c>
      <c r="M520" s="413" t="s">
        <v>2961</v>
      </c>
      <c r="N520" s="412">
        <v>344</v>
      </c>
      <c r="O520" s="412">
        <v>344</v>
      </c>
      <c r="P520" s="412">
        <v>344</v>
      </c>
    </row>
    <row r="521" spans="12:16">
      <c r="L521" s="413" t="s">
        <v>2903</v>
      </c>
      <c r="M521" s="413"/>
      <c r="N521" s="412">
        <v>344</v>
      </c>
      <c r="O521" s="412">
        <v>344</v>
      </c>
      <c r="P521" s="412">
        <v>344</v>
      </c>
    </row>
    <row r="522" spans="12:16">
      <c r="L522" s="413" t="s">
        <v>2842</v>
      </c>
      <c r="M522" s="413" t="s">
        <v>2961</v>
      </c>
      <c r="N522" s="412">
        <v>0</v>
      </c>
      <c r="O522" s="412">
        <v>40</v>
      </c>
      <c r="P522" s="412">
        <v>0</v>
      </c>
    </row>
    <row r="523" spans="12:16">
      <c r="M523" s="413" t="s">
        <v>2962</v>
      </c>
      <c r="N523" s="412">
        <v>0</v>
      </c>
      <c r="O523" s="412">
        <v>40</v>
      </c>
      <c r="P523" s="412">
        <v>0</v>
      </c>
    </row>
    <row r="524" spans="12:16">
      <c r="L524" s="413" t="s">
        <v>2904</v>
      </c>
      <c r="M524" s="413"/>
      <c r="N524" s="412">
        <v>0</v>
      </c>
      <c r="O524" s="412">
        <v>80</v>
      </c>
      <c r="P524" s="412">
        <v>0</v>
      </c>
    </row>
    <row r="525" spans="12:16">
      <c r="L525" s="413" t="s">
        <v>2843</v>
      </c>
      <c r="M525" s="413" t="s">
        <v>2961</v>
      </c>
      <c r="N525" s="412">
        <v>0</v>
      </c>
      <c r="O525" s="412">
        <v>28</v>
      </c>
      <c r="P525" s="412">
        <v>0</v>
      </c>
    </row>
    <row r="526" spans="12:16">
      <c r="M526" s="413" t="s">
        <v>2962</v>
      </c>
      <c r="N526" s="412">
        <v>0</v>
      </c>
      <c r="O526" s="412">
        <v>28</v>
      </c>
      <c r="P526" s="412">
        <v>0</v>
      </c>
    </row>
    <row r="527" spans="12:16">
      <c r="L527" s="413" t="s">
        <v>2905</v>
      </c>
      <c r="M527" s="413"/>
      <c r="N527" s="412">
        <v>0</v>
      </c>
      <c r="O527" s="412">
        <v>56</v>
      </c>
      <c r="P527" s="412">
        <v>0</v>
      </c>
    </row>
    <row r="528" spans="12:16">
      <c r="L528" s="413" t="s">
        <v>2844</v>
      </c>
      <c r="M528" s="413" t="s">
        <v>2961</v>
      </c>
      <c r="N528" s="412">
        <v>0</v>
      </c>
      <c r="O528" s="412">
        <v>31</v>
      </c>
      <c r="P528" s="412">
        <v>0</v>
      </c>
    </row>
    <row r="529" spans="12:16">
      <c r="M529" s="413" t="s">
        <v>2962</v>
      </c>
      <c r="N529" s="412">
        <v>0</v>
      </c>
      <c r="O529" s="412">
        <v>31</v>
      </c>
      <c r="P529" s="412">
        <v>0</v>
      </c>
    </row>
    <row r="530" spans="12:16">
      <c r="L530" s="413" t="s">
        <v>2906</v>
      </c>
      <c r="M530" s="413"/>
      <c r="N530" s="412">
        <v>0</v>
      </c>
      <c r="O530" s="412">
        <v>62</v>
      </c>
      <c r="P530" s="412">
        <v>0</v>
      </c>
    </row>
    <row r="531" spans="12:16">
      <c r="L531" s="413" t="s">
        <v>2845</v>
      </c>
      <c r="M531" s="413" t="s">
        <v>2961</v>
      </c>
      <c r="N531" s="412">
        <v>0</v>
      </c>
      <c r="O531" s="412">
        <v>179</v>
      </c>
      <c r="P531" s="412">
        <v>179</v>
      </c>
    </row>
    <row r="532" spans="12:16">
      <c r="L532" s="413" t="s">
        <v>2907</v>
      </c>
      <c r="M532" s="413"/>
      <c r="N532" s="412">
        <v>0</v>
      </c>
      <c r="O532" s="412">
        <v>179</v>
      </c>
      <c r="P532" s="412">
        <v>179</v>
      </c>
    </row>
    <row r="533" spans="12:16">
      <c r="L533" s="413" t="s">
        <v>2846</v>
      </c>
      <c r="M533" s="413" t="s">
        <v>2961</v>
      </c>
      <c r="N533" s="412">
        <v>0</v>
      </c>
      <c r="O533" s="412">
        <v>26</v>
      </c>
      <c r="P533" s="412">
        <v>26</v>
      </c>
    </row>
    <row r="534" spans="12:16">
      <c r="M534" s="413" t="s">
        <v>2962</v>
      </c>
      <c r="N534" s="412">
        <v>0</v>
      </c>
      <c r="O534" s="412">
        <v>26</v>
      </c>
      <c r="P534" s="412">
        <v>26</v>
      </c>
    </row>
    <row r="535" spans="12:16">
      <c r="L535" s="413" t="s">
        <v>2908</v>
      </c>
      <c r="M535" s="413"/>
      <c r="N535" s="412">
        <v>0</v>
      </c>
      <c r="O535" s="412">
        <v>52</v>
      </c>
      <c r="P535" s="412">
        <v>52</v>
      </c>
    </row>
    <row r="536" spans="12:16">
      <c r="L536" s="413" t="s">
        <v>2847</v>
      </c>
      <c r="M536" s="413" t="s">
        <v>2961</v>
      </c>
      <c r="N536" s="412">
        <v>0</v>
      </c>
      <c r="O536" s="412">
        <v>0</v>
      </c>
      <c r="P536" s="412">
        <v>0</v>
      </c>
    </row>
    <row r="537" spans="12:16">
      <c r="L537" s="413" t="s">
        <v>2909</v>
      </c>
      <c r="M537" s="413"/>
      <c r="N537" s="412">
        <v>0</v>
      </c>
      <c r="O537" s="412">
        <v>0</v>
      </c>
      <c r="P537" s="412">
        <v>0</v>
      </c>
    </row>
    <row r="538" spans="12:16">
      <c r="L538" s="413" t="s">
        <v>2814</v>
      </c>
      <c r="M538" s="413" t="s">
        <v>2961</v>
      </c>
      <c r="N538" s="412">
        <v>0</v>
      </c>
      <c r="O538" s="412">
        <v>77</v>
      </c>
      <c r="P538" s="412">
        <v>77</v>
      </c>
    </row>
    <row r="539" spans="12:16">
      <c r="L539" s="413" t="s">
        <v>2910</v>
      </c>
      <c r="M539" s="413"/>
      <c r="N539" s="412">
        <v>0</v>
      </c>
      <c r="O539" s="412">
        <v>77</v>
      </c>
      <c r="P539" s="412">
        <v>77</v>
      </c>
    </row>
    <row r="540" spans="12:16">
      <c r="L540" s="413" t="s">
        <v>2861</v>
      </c>
      <c r="M540" s="413" t="s">
        <v>2961</v>
      </c>
      <c r="N540" s="412">
        <v>221</v>
      </c>
      <c r="O540" s="412">
        <v>160</v>
      </c>
      <c r="P540" s="412">
        <v>221</v>
      </c>
    </row>
    <row r="541" spans="12:16">
      <c r="M541" s="413" t="s">
        <v>2962</v>
      </c>
      <c r="N541" s="412">
        <v>221</v>
      </c>
      <c r="O541" s="412">
        <v>160</v>
      </c>
      <c r="P541" s="412">
        <v>221</v>
      </c>
    </row>
    <row r="542" spans="12:16">
      <c r="L542" s="413" t="s">
        <v>2911</v>
      </c>
      <c r="M542" s="413"/>
      <c r="N542" s="412">
        <v>442</v>
      </c>
      <c r="O542" s="412">
        <v>320</v>
      </c>
      <c r="P542" s="412">
        <v>442</v>
      </c>
    </row>
    <row r="543" spans="12:16">
      <c r="L543" s="413" t="s">
        <v>2988</v>
      </c>
      <c r="M543" s="413" t="s">
        <v>2961</v>
      </c>
      <c r="N543" s="412">
        <v>0</v>
      </c>
      <c r="O543" s="412">
        <v>0</v>
      </c>
      <c r="P543" s="412">
        <v>0</v>
      </c>
    </row>
    <row r="544" spans="12:16">
      <c r="M544" s="413" t="s">
        <v>2962</v>
      </c>
      <c r="N544" s="412">
        <v>0</v>
      </c>
      <c r="O544" s="412">
        <v>0</v>
      </c>
      <c r="P544" s="412">
        <v>0</v>
      </c>
    </row>
    <row r="545" spans="12:16">
      <c r="L545" s="413" t="s">
        <v>3068</v>
      </c>
      <c r="M545" s="413"/>
      <c r="N545" s="412">
        <v>0</v>
      </c>
      <c r="O545" s="412">
        <v>0</v>
      </c>
      <c r="P545" s="412">
        <v>0</v>
      </c>
    </row>
    <row r="546" spans="12:16">
      <c r="L546" s="413" t="s">
        <v>2991</v>
      </c>
      <c r="M546" s="413" t="s">
        <v>2961</v>
      </c>
      <c r="N546" s="412">
        <v>0</v>
      </c>
      <c r="O546" s="412">
        <v>0</v>
      </c>
      <c r="P546" s="412">
        <v>0</v>
      </c>
    </row>
    <row r="547" spans="12:16">
      <c r="M547" s="413" t="s">
        <v>2962</v>
      </c>
      <c r="N547" s="412">
        <v>0</v>
      </c>
      <c r="O547" s="412">
        <v>0</v>
      </c>
      <c r="P547" s="412">
        <v>0</v>
      </c>
    </row>
    <row r="548" spans="12:16">
      <c r="L548" s="413" t="s">
        <v>3069</v>
      </c>
      <c r="M548" s="413"/>
      <c r="N548" s="412">
        <v>0</v>
      </c>
      <c r="O548" s="412">
        <v>0</v>
      </c>
      <c r="P548" s="412">
        <v>0</v>
      </c>
    </row>
    <row r="549" spans="12:16">
      <c r="L549" s="413" t="s">
        <v>2979</v>
      </c>
      <c r="M549" s="413" t="s">
        <v>2961</v>
      </c>
      <c r="N549" s="412">
        <v>0</v>
      </c>
      <c r="O549" s="412">
        <v>0</v>
      </c>
      <c r="P549" s="412">
        <v>0</v>
      </c>
    </row>
    <row r="550" spans="12:16">
      <c r="M550" s="413" t="s">
        <v>2962</v>
      </c>
      <c r="N550" s="412">
        <v>0</v>
      </c>
      <c r="O550" s="412">
        <v>0</v>
      </c>
      <c r="P550" s="412">
        <v>0</v>
      </c>
    </row>
    <row r="551" spans="12:16">
      <c r="L551" s="413" t="s">
        <v>3070</v>
      </c>
      <c r="M551" s="413"/>
      <c r="N551" s="412">
        <v>0</v>
      </c>
      <c r="O551" s="412">
        <v>0</v>
      </c>
      <c r="P551" s="412">
        <v>0</v>
      </c>
    </row>
    <row r="552" spans="12:16">
      <c r="L552" s="413" t="s">
        <v>2986</v>
      </c>
      <c r="M552" s="413" t="s">
        <v>2961</v>
      </c>
      <c r="N552" s="412">
        <v>0</v>
      </c>
      <c r="O552" s="412">
        <v>0</v>
      </c>
      <c r="P552" s="412">
        <v>0</v>
      </c>
    </row>
    <row r="553" spans="12:16">
      <c r="M553" s="413" t="s">
        <v>2962</v>
      </c>
      <c r="N553" s="412">
        <v>0</v>
      </c>
      <c r="O553" s="412">
        <v>0</v>
      </c>
      <c r="P553" s="412">
        <v>0</v>
      </c>
    </row>
    <row r="554" spans="12:16">
      <c r="L554" s="413" t="s">
        <v>3071</v>
      </c>
      <c r="M554" s="413"/>
      <c r="N554" s="412">
        <v>0</v>
      </c>
      <c r="O554" s="412">
        <v>0</v>
      </c>
      <c r="P554" s="412">
        <v>0</v>
      </c>
    </row>
    <row r="555" spans="12:16">
      <c r="L555" s="413" t="s">
        <v>2987</v>
      </c>
      <c r="M555" s="413" t="s">
        <v>2961</v>
      </c>
      <c r="N555" s="412">
        <v>0</v>
      </c>
      <c r="O555" s="412">
        <v>0</v>
      </c>
      <c r="P555" s="412">
        <v>0</v>
      </c>
    </row>
    <row r="556" spans="12:16">
      <c r="M556" s="413" t="s">
        <v>2962</v>
      </c>
      <c r="N556" s="412">
        <v>0</v>
      </c>
      <c r="O556" s="412">
        <v>0</v>
      </c>
      <c r="P556" s="412">
        <v>0</v>
      </c>
    </row>
    <row r="557" spans="12:16">
      <c r="L557" s="413" t="s">
        <v>3072</v>
      </c>
      <c r="M557" s="413"/>
      <c r="N557" s="412">
        <v>0</v>
      </c>
      <c r="O557" s="412">
        <v>0</v>
      </c>
      <c r="P557" s="412">
        <v>0</v>
      </c>
    </row>
    <row r="558" spans="12:16">
      <c r="L558" s="413" t="s">
        <v>2993</v>
      </c>
      <c r="M558" s="413" t="s">
        <v>2961</v>
      </c>
      <c r="N558" s="412">
        <v>0</v>
      </c>
      <c r="O558" s="412">
        <v>0</v>
      </c>
      <c r="P558" s="412">
        <v>0</v>
      </c>
    </row>
    <row r="559" spans="12:16">
      <c r="M559" s="413" t="s">
        <v>2962</v>
      </c>
      <c r="N559" s="412">
        <v>0</v>
      </c>
      <c r="O559" s="412">
        <v>0</v>
      </c>
      <c r="P559" s="412">
        <v>0</v>
      </c>
    </row>
    <row r="560" spans="12:16">
      <c r="L560" s="413" t="s">
        <v>3073</v>
      </c>
      <c r="M560" s="413"/>
      <c r="N560" s="412">
        <v>0</v>
      </c>
      <c r="O560" s="412">
        <v>0</v>
      </c>
      <c r="P560" s="412">
        <v>0</v>
      </c>
    </row>
    <row r="561" spans="12:16">
      <c r="L561" s="413" t="s">
        <v>2990</v>
      </c>
      <c r="M561" s="413" t="s">
        <v>2961</v>
      </c>
      <c r="N561" s="412">
        <v>0</v>
      </c>
      <c r="O561" s="412">
        <v>0</v>
      </c>
      <c r="P561" s="412">
        <v>0</v>
      </c>
    </row>
    <row r="562" spans="12:16">
      <c r="M562" s="413" t="s">
        <v>2962</v>
      </c>
      <c r="N562" s="412">
        <v>0</v>
      </c>
      <c r="O562" s="412">
        <v>0</v>
      </c>
      <c r="P562" s="412">
        <v>0</v>
      </c>
    </row>
    <row r="563" spans="12:16">
      <c r="L563" s="413" t="s">
        <v>3074</v>
      </c>
      <c r="M563" s="413"/>
      <c r="N563" s="412">
        <v>0</v>
      </c>
      <c r="O563" s="412">
        <v>0</v>
      </c>
      <c r="P563" s="412">
        <v>0</v>
      </c>
    </row>
    <row r="564" spans="12:16">
      <c r="L564" s="413" t="s">
        <v>2978</v>
      </c>
      <c r="M564" s="413" t="s">
        <v>2961</v>
      </c>
      <c r="N564" s="412">
        <v>0</v>
      </c>
      <c r="O564" s="412">
        <v>0</v>
      </c>
      <c r="P564" s="412">
        <v>0</v>
      </c>
    </row>
    <row r="565" spans="12:16">
      <c r="M565" s="413" t="s">
        <v>2962</v>
      </c>
      <c r="N565" s="412">
        <v>0</v>
      </c>
      <c r="O565" s="412">
        <v>0</v>
      </c>
      <c r="P565" s="412">
        <v>0</v>
      </c>
    </row>
    <row r="566" spans="12:16">
      <c r="L566" s="413" t="s">
        <v>3075</v>
      </c>
      <c r="M566" s="413"/>
      <c r="N566" s="412">
        <v>0</v>
      </c>
      <c r="O566" s="412">
        <v>0</v>
      </c>
      <c r="P566" s="412">
        <v>0</v>
      </c>
    </row>
    <row r="567" spans="12:16">
      <c r="L567" s="413" t="s">
        <v>2992</v>
      </c>
      <c r="M567" s="413" t="s">
        <v>2961</v>
      </c>
      <c r="N567" s="412">
        <v>0</v>
      </c>
      <c r="O567" s="412">
        <v>0</v>
      </c>
      <c r="P567" s="412">
        <v>0</v>
      </c>
    </row>
    <row r="568" spans="12:16">
      <c r="M568" s="413" t="s">
        <v>2962</v>
      </c>
      <c r="N568" s="412">
        <v>0</v>
      </c>
      <c r="O568" s="412">
        <v>0</v>
      </c>
      <c r="P568" s="412">
        <v>0</v>
      </c>
    </row>
    <row r="569" spans="12:16">
      <c r="L569" s="413" t="s">
        <v>3076</v>
      </c>
      <c r="M569" s="413"/>
      <c r="N569" s="412">
        <v>0</v>
      </c>
      <c r="O569" s="412">
        <v>0</v>
      </c>
      <c r="P569" s="412">
        <v>0</v>
      </c>
    </row>
    <row r="570" spans="12:16">
      <c r="L570" s="413" t="s">
        <v>2989</v>
      </c>
      <c r="M570" s="413" t="s">
        <v>2961</v>
      </c>
      <c r="N570" s="412">
        <v>0</v>
      </c>
      <c r="O570" s="412">
        <v>0</v>
      </c>
      <c r="P570" s="412">
        <v>0</v>
      </c>
    </row>
    <row r="571" spans="12:16">
      <c r="L571" s="413" t="s">
        <v>3077</v>
      </c>
      <c r="M571" s="413"/>
      <c r="N571" s="412">
        <v>0</v>
      </c>
      <c r="O571" s="412">
        <v>0</v>
      </c>
      <c r="P571" s="412">
        <v>0</v>
      </c>
    </row>
    <row r="572" spans="12:16">
      <c r="L572" s="413" t="s">
        <v>2972</v>
      </c>
      <c r="M572" s="413" t="s">
        <v>2961</v>
      </c>
      <c r="N572" s="412">
        <v>0</v>
      </c>
      <c r="O572" s="412">
        <v>0</v>
      </c>
      <c r="P572" s="412">
        <v>0</v>
      </c>
    </row>
    <row r="573" spans="12:16">
      <c r="L573" s="413" t="s">
        <v>3078</v>
      </c>
      <c r="M573" s="413"/>
      <c r="N573" s="412">
        <v>0</v>
      </c>
      <c r="O573" s="412">
        <v>0</v>
      </c>
      <c r="P573" s="412">
        <v>0</v>
      </c>
    </row>
    <row r="574" spans="12:16">
      <c r="L574" s="413" t="s">
        <v>2973</v>
      </c>
      <c r="M574" s="413" t="s">
        <v>2961</v>
      </c>
      <c r="N574" s="412">
        <v>0</v>
      </c>
      <c r="O574" s="412">
        <v>0</v>
      </c>
      <c r="P574" s="412">
        <v>0</v>
      </c>
    </row>
    <row r="575" spans="12:16">
      <c r="M575" s="413" t="s">
        <v>2962</v>
      </c>
      <c r="N575" s="412">
        <v>0</v>
      </c>
      <c r="O575" s="412">
        <v>0</v>
      </c>
      <c r="P575" s="412">
        <v>0</v>
      </c>
    </row>
    <row r="576" spans="12:16">
      <c r="L576" s="413" t="s">
        <v>3079</v>
      </c>
      <c r="M576" s="413"/>
      <c r="N576" s="412">
        <v>0</v>
      </c>
      <c r="O576" s="412">
        <v>0</v>
      </c>
      <c r="P576" s="412">
        <v>0</v>
      </c>
    </row>
    <row r="577" spans="12:16">
      <c r="L577" s="413" t="s">
        <v>2974</v>
      </c>
      <c r="M577" s="413" t="s">
        <v>2961</v>
      </c>
      <c r="N577" s="412">
        <v>0</v>
      </c>
      <c r="O577" s="412">
        <v>0</v>
      </c>
      <c r="P577" s="412">
        <v>0</v>
      </c>
    </row>
    <row r="578" spans="12:16">
      <c r="M578" s="413" t="s">
        <v>2962</v>
      </c>
      <c r="N578" s="412">
        <v>0</v>
      </c>
      <c r="O578" s="412">
        <v>0</v>
      </c>
      <c r="P578" s="412">
        <v>0</v>
      </c>
    </row>
    <row r="579" spans="12:16">
      <c r="L579" s="413" t="s">
        <v>3080</v>
      </c>
      <c r="M579" s="413"/>
      <c r="N579" s="412">
        <v>0</v>
      </c>
      <c r="O579" s="412">
        <v>0</v>
      </c>
      <c r="P579" s="412">
        <v>0</v>
      </c>
    </row>
    <row r="580" spans="12:16">
      <c r="L580" s="413" t="s">
        <v>2975</v>
      </c>
      <c r="M580" s="413" t="s">
        <v>2961</v>
      </c>
      <c r="N580" s="412">
        <v>0</v>
      </c>
      <c r="O580" s="412">
        <v>0</v>
      </c>
      <c r="P580" s="412">
        <v>0</v>
      </c>
    </row>
    <row r="581" spans="12:16">
      <c r="M581" s="413" t="s">
        <v>2962</v>
      </c>
      <c r="N581" s="412">
        <v>0</v>
      </c>
      <c r="O581" s="412">
        <v>0</v>
      </c>
      <c r="P581" s="412">
        <v>0</v>
      </c>
    </row>
    <row r="582" spans="12:16">
      <c r="L582" s="413" t="s">
        <v>3081</v>
      </c>
      <c r="M582" s="413"/>
      <c r="N582" s="412">
        <v>0</v>
      </c>
      <c r="O582" s="412">
        <v>0</v>
      </c>
      <c r="P582" s="412">
        <v>0</v>
      </c>
    </row>
    <row r="583" spans="12:16">
      <c r="L583" s="413" t="s">
        <v>2976</v>
      </c>
      <c r="M583" s="413" t="s">
        <v>2961</v>
      </c>
      <c r="N583" s="412">
        <v>0</v>
      </c>
      <c r="O583" s="412">
        <v>0</v>
      </c>
      <c r="P583" s="412">
        <v>37</v>
      </c>
    </row>
    <row r="584" spans="12:16">
      <c r="M584" s="413" t="s">
        <v>2962</v>
      </c>
      <c r="N584" s="412">
        <v>0</v>
      </c>
      <c r="O584" s="412">
        <v>0</v>
      </c>
      <c r="P584" s="412">
        <v>37</v>
      </c>
    </row>
    <row r="585" spans="12:16">
      <c r="L585" s="413" t="s">
        <v>3082</v>
      </c>
      <c r="M585" s="413"/>
      <c r="N585" s="412">
        <v>0</v>
      </c>
      <c r="O585" s="412">
        <v>0</v>
      </c>
      <c r="P585" s="412">
        <v>74</v>
      </c>
    </row>
    <row r="586" spans="12:16">
      <c r="L586" s="413" t="s">
        <v>2977</v>
      </c>
      <c r="M586" s="413" t="s">
        <v>2961</v>
      </c>
      <c r="N586" s="412">
        <v>0</v>
      </c>
      <c r="O586" s="412">
        <v>0</v>
      </c>
      <c r="P586" s="412">
        <v>0</v>
      </c>
    </row>
    <row r="587" spans="12:16">
      <c r="L587" s="413" t="s">
        <v>3083</v>
      </c>
      <c r="M587" s="413"/>
      <c r="N587" s="412">
        <v>0</v>
      </c>
      <c r="O587" s="412">
        <v>0</v>
      </c>
      <c r="P587" s="412">
        <v>0</v>
      </c>
    </row>
    <row r="588" spans="12:16">
      <c r="L588" s="413" t="s">
        <v>2980</v>
      </c>
      <c r="M588" s="413" t="s">
        <v>2961</v>
      </c>
      <c r="N588" s="412">
        <v>0</v>
      </c>
      <c r="O588" s="412">
        <v>0</v>
      </c>
      <c r="P588" s="412">
        <v>0</v>
      </c>
    </row>
    <row r="589" spans="12:16">
      <c r="M589" s="413" t="s">
        <v>2962</v>
      </c>
      <c r="N589" s="412">
        <v>0</v>
      </c>
      <c r="O589" s="412">
        <v>0</v>
      </c>
      <c r="P589" s="412">
        <v>0</v>
      </c>
    </row>
    <row r="590" spans="12:16">
      <c r="L590" s="413" t="s">
        <v>3084</v>
      </c>
      <c r="M590" s="413"/>
      <c r="N590" s="412">
        <v>0</v>
      </c>
      <c r="O590" s="412">
        <v>0</v>
      </c>
      <c r="P590" s="412">
        <v>0</v>
      </c>
    </row>
    <row r="591" spans="12:16">
      <c r="L591" s="413" t="s">
        <v>2981</v>
      </c>
      <c r="M591" s="413" t="s">
        <v>2961</v>
      </c>
      <c r="N591" s="412">
        <v>0</v>
      </c>
      <c r="O591" s="412">
        <v>0</v>
      </c>
      <c r="P591" s="412">
        <v>0</v>
      </c>
    </row>
    <row r="592" spans="12:16">
      <c r="M592" s="413" t="s">
        <v>2962</v>
      </c>
      <c r="N592" s="412">
        <v>0</v>
      </c>
      <c r="O592" s="412">
        <v>0</v>
      </c>
      <c r="P592" s="412">
        <v>0</v>
      </c>
    </row>
    <row r="593" spans="12:16">
      <c r="L593" s="413" t="s">
        <v>3085</v>
      </c>
      <c r="M593" s="413"/>
      <c r="N593" s="412">
        <v>0</v>
      </c>
      <c r="O593" s="412">
        <v>0</v>
      </c>
      <c r="P593" s="412">
        <v>0</v>
      </c>
    </row>
    <row r="594" spans="12:16">
      <c r="L594" s="413" t="s">
        <v>2982</v>
      </c>
      <c r="M594" s="413" t="s">
        <v>2961</v>
      </c>
      <c r="N594" s="412">
        <v>0</v>
      </c>
      <c r="O594" s="412">
        <v>0</v>
      </c>
      <c r="P594" s="412">
        <v>66.666666666666671</v>
      </c>
    </row>
    <row r="595" spans="12:16">
      <c r="M595" s="413" t="s">
        <v>2962</v>
      </c>
      <c r="N595" s="412">
        <v>0</v>
      </c>
      <c r="O595" s="412">
        <v>0</v>
      </c>
      <c r="P595" s="412">
        <v>66.666666666666671</v>
      </c>
    </row>
    <row r="596" spans="12:16">
      <c r="L596" s="413" t="s">
        <v>3086</v>
      </c>
      <c r="M596" s="413"/>
      <c r="N596" s="412">
        <v>0</v>
      </c>
      <c r="O596" s="412">
        <v>0</v>
      </c>
      <c r="P596" s="412">
        <v>133.33333333333334</v>
      </c>
    </row>
    <row r="597" spans="12:16">
      <c r="L597" s="413" t="s">
        <v>2983</v>
      </c>
      <c r="M597" s="413" t="s">
        <v>2961</v>
      </c>
      <c r="N597" s="412">
        <v>0</v>
      </c>
      <c r="O597" s="412">
        <v>0</v>
      </c>
      <c r="P597" s="412">
        <v>0</v>
      </c>
    </row>
    <row r="598" spans="12:16">
      <c r="M598" s="413" t="s">
        <v>2962</v>
      </c>
      <c r="N598" s="412">
        <v>0</v>
      </c>
      <c r="O598" s="412">
        <v>0</v>
      </c>
      <c r="P598" s="412">
        <v>0</v>
      </c>
    </row>
    <row r="599" spans="12:16">
      <c r="L599" s="413" t="s">
        <v>3087</v>
      </c>
      <c r="M599" s="413"/>
      <c r="N599" s="412">
        <v>0</v>
      </c>
      <c r="O599" s="412">
        <v>0</v>
      </c>
      <c r="P599" s="412">
        <v>0</v>
      </c>
    </row>
    <row r="600" spans="12:16">
      <c r="L600" s="413" t="s">
        <v>2984</v>
      </c>
      <c r="M600" s="413" t="s">
        <v>2961</v>
      </c>
      <c r="N600" s="412">
        <v>0</v>
      </c>
      <c r="O600" s="412">
        <v>0</v>
      </c>
      <c r="P600" s="412">
        <v>0</v>
      </c>
    </row>
    <row r="601" spans="12:16">
      <c r="M601" s="413" t="s">
        <v>2962</v>
      </c>
      <c r="N601" s="412">
        <v>0</v>
      </c>
      <c r="O601" s="412">
        <v>0</v>
      </c>
      <c r="P601" s="412">
        <v>0</v>
      </c>
    </row>
    <row r="602" spans="12:16">
      <c r="L602" s="413" t="s">
        <v>3088</v>
      </c>
      <c r="M602" s="413"/>
      <c r="N602" s="412">
        <v>0</v>
      </c>
      <c r="O602" s="412">
        <v>0</v>
      </c>
      <c r="P602" s="412">
        <v>0</v>
      </c>
    </row>
    <row r="603" spans="12:16">
      <c r="L603" s="413" t="s">
        <v>2985</v>
      </c>
      <c r="M603" s="413" t="s">
        <v>2961</v>
      </c>
      <c r="N603" s="412">
        <v>0</v>
      </c>
      <c r="O603" s="412">
        <v>0</v>
      </c>
      <c r="P603" s="412">
        <v>0</v>
      </c>
    </row>
    <row r="604" spans="12:16">
      <c r="M604" s="413" t="s">
        <v>2962</v>
      </c>
      <c r="N604" s="412">
        <v>0</v>
      </c>
      <c r="O604" s="412">
        <v>0</v>
      </c>
      <c r="P604" s="412">
        <v>0</v>
      </c>
    </row>
    <row r="605" spans="12:16">
      <c r="L605" s="413" t="s">
        <v>3089</v>
      </c>
      <c r="M605" s="413"/>
      <c r="N605" s="412">
        <v>0</v>
      </c>
      <c r="O605" s="412">
        <v>0</v>
      </c>
      <c r="P605" s="412">
        <v>0</v>
      </c>
    </row>
    <row r="606" spans="12:16">
      <c r="L606" s="413" t="s">
        <v>3061</v>
      </c>
      <c r="M606" s="413" t="s">
        <v>2961</v>
      </c>
      <c r="N606" s="412">
        <v>0</v>
      </c>
      <c r="O606" s="412">
        <v>0</v>
      </c>
      <c r="P606" s="412">
        <v>0</v>
      </c>
    </row>
    <row r="607" spans="12:16">
      <c r="L607" s="413" t="s">
        <v>3090</v>
      </c>
      <c r="M607" s="413"/>
      <c r="N607" s="412">
        <v>0</v>
      </c>
      <c r="O607" s="412">
        <v>0</v>
      </c>
      <c r="P607" s="412">
        <v>0</v>
      </c>
    </row>
    <row r="608" spans="12:16">
      <c r="L608" s="413" t="s">
        <v>3187</v>
      </c>
      <c r="M608" s="413" t="s">
        <v>2961</v>
      </c>
      <c r="N608" s="412">
        <v>213</v>
      </c>
      <c r="O608" s="412">
        <v>160</v>
      </c>
      <c r="P608" s="412">
        <v>213</v>
      </c>
    </row>
    <row r="609" spans="12:16">
      <c r="L609" s="413" t="s">
        <v>3223</v>
      </c>
      <c r="M609" s="413"/>
      <c r="N609" s="412">
        <v>213</v>
      </c>
      <c r="O609" s="412">
        <v>160</v>
      </c>
      <c r="P609" s="412">
        <v>213</v>
      </c>
    </row>
    <row r="610" spans="12:16">
      <c r="L610" s="413" t="s">
        <v>3186</v>
      </c>
      <c r="M610" s="413" t="s">
        <v>2961</v>
      </c>
      <c r="N610" s="412">
        <v>324</v>
      </c>
      <c r="O610" s="412">
        <v>144</v>
      </c>
      <c r="P610" s="412">
        <v>0</v>
      </c>
    </row>
    <row r="611" spans="12:16">
      <c r="L611" s="413" t="s">
        <v>3224</v>
      </c>
      <c r="M611" s="413"/>
      <c r="N611" s="412">
        <v>324</v>
      </c>
      <c r="O611" s="412">
        <v>144</v>
      </c>
      <c r="P611" s="412">
        <v>0</v>
      </c>
    </row>
    <row r="612" spans="12:16">
      <c r="L612" s="413" t="s">
        <v>3258</v>
      </c>
      <c r="M612" s="413" t="s">
        <v>2962</v>
      </c>
      <c r="N612" s="412">
        <v>0</v>
      </c>
      <c r="O612" s="412">
        <v>0</v>
      </c>
      <c r="P612" s="412">
        <v>0</v>
      </c>
    </row>
    <row r="613" spans="12:16">
      <c r="L613" s="413" t="s">
        <v>3292</v>
      </c>
      <c r="M613" s="413"/>
      <c r="N613" s="412">
        <v>0</v>
      </c>
      <c r="O613" s="412">
        <v>0</v>
      </c>
      <c r="P613" s="412">
        <v>0</v>
      </c>
    </row>
    <row r="614" spans="12:16">
      <c r="L614" s="413" t="s">
        <v>3236</v>
      </c>
      <c r="M614" s="413" t="s">
        <v>2962</v>
      </c>
      <c r="N614" s="412">
        <v>0</v>
      </c>
      <c r="O614" s="412">
        <v>0</v>
      </c>
      <c r="P614" s="412">
        <v>0</v>
      </c>
    </row>
    <row r="615" spans="12:16">
      <c r="L615" s="413" t="s">
        <v>3293</v>
      </c>
      <c r="M615" s="413"/>
      <c r="N615" s="412">
        <v>0</v>
      </c>
      <c r="O615" s="412">
        <v>0</v>
      </c>
      <c r="P615" s="412">
        <v>0</v>
      </c>
    </row>
    <row r="616" spans="12:16">
      <c r="L616" s="413" t="s">
        <v>3237</v>
      </c>
      <c r="M616" s="413" t="s">
        <v>2962</v>
      </c>
      <c r="N616" s="412">
        <v>0</v>
      </c>
      <c r="O616" s="412">
        <v>0</v>
      </c>
      <c r="P616" s="412">
        <v>0</v>
      </c>
    </row>
    <row r="617" spans="12:16">
      <c r="L617" s="413" t="s">
        <v>3294</v>
      </c>
      <c r="M617" s="413"/>
      <c r="N617" s="412">
        <v>0</v>
      </c>
      <c r="O617" s="412">
        <v>0</v>
      </c>
      <c r="P617" s="412">
        <v>0</v>
      </c>
    </row>
    <row r="618" spans="12:16">
      <c r="L618" s="413" t="s">
        <v>3238</v>
      </c>
      <c r="M618" s="413" t="s">
        <v>2962</v>
      </c>
      <c r="N618" s="412">
        <v>0</v>
      </c>
      <c r="O618" s="412">
        <v>0</v>
      </c>
      <c r="P618" s="412">
        <v>0</v>
      </c>
    </row>
    <row r="619" spans="12:16">
      <c r="L619" s="413" t="s">
        <v>3295</v>
      </c>
      <c r="M619" s="413"/>
      <c r="N619" s="412">
        <v>0</v>
      </c>
      <c r="O619" s="412">
        <v>0</v>
      </c>
      <c r="P619" s="412">
        <v>0</v>
      </c>
    </row>
    <row r="620" spans="12:16">
      <c r="L620" s="413" t="s">
        <v>3239</v>
      </c>
      <c r="M620" s="413" t="s">
        <v>2962</v>
      </c>
      <c r="N620" s="412">
        <v>0</v>
      </c>
      <c r="O620" s="412">
        <v>0</v>
      </c>
      <c r="P620" s="412">
        <v>0</v>
      </c>
    </row>
    <row r="621" spans="12:16">
      <c r="L621" s="413" t="s">
        <v>3296</v>
      </c>
      <c r="M621" s="413"/>
      <c r="N621" s="412">
        <v>0</v>
      </c>
      <c r="O621" s="412">
        <v>0</v>
      </c>
      <c r="P621" s="412">
        <v>0</v>
      </c>
    </row>
    <row r="622" spans="12:16">
      <c r="L622" s="413" t="s">
        <v>3240</v>
      </c>
      <c r="M622" s="413" t="s">
        <v>2962</v>
      </c>
      <c r="N622" s="412">
        <v>0</v>
      </c>
      <c r="O622" s="412">
        <v>0</v>
      </c>
      <c r="P622" s="412">
        <v>0</v>
      </c>
    </row>
    <row r="623" spans="12:16">
      <c r="L623" s="413" t="s">
        <v>3297</v>
      </c>
      <c r="M623" s="413"/>
      <c r="N623" s="412">
        <v>0</v>
      </c>
      <c r="O623" s="412">
        <v>0</v>
      </c>
      <c r="P623" s="412">
        <v>0</v>
      </c>
    </row>
    <row r="624" spans="12:16">
      <c r="L624" s="413" t="s">
        <v>3259</v>
      </c>
      <c r="M624" s="413" t="s">
        <v>2962</v>
      </c>
      <c r="N624" s="412">
        <v>0</v>
      </c>
      <c r="O624" s="412">
        <v>0</v>
      </c>
      <c r="P624" s="412">
        <v>0</v>
      </c>
    </row>
    <row r="625" spans="12:16">
      <c r="L625" s="413" t="s">
        <v>3298</v>
      </c>
      <c r="M625" s="413"/>
      <c r="N625" s="412">
        <v>0</v>
      </c>
      <c r="O625" s="412">
        <v>0</v>
      </c>
      <c r="P625" s="412">
        <v>0</v>
      </c>
    </row>
    <row r="626" spans="12:16">
      <c r="L626" s="413" t="s">
        <v>1280</v>
      </c>
      <c r="N626" s="412">
        <v>139303</v>
      </c>
      <c r="O626" s="412">
        <v>160877</v>
      </c>
      <c r="P626" s="412">
        <v>145513.67037037032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3330"/>
  <sheetViews>
    <sheetView topLeftCell="A2" workbookViewId="0">
      <selection activeCell="A8" sqref="A8"/>
    </sheetView>
  </sheetViews>
  <sheetFormatPr defaultColWidth="9" defaultRowHeight="13"/>
  <cols>
    <col min="1" max="3" width="9" style="18"/>
    <col min="4" max="4" width="9" style="66"/>
    <col min="5" max="5" width="15.6640625" style="65" customWidth="1"/>
    <col min="6" max="14" width="9" style="18"/>
    <col min="15" max="15" width="15.6640625" style="18" customWidth="1"/>
    <col min="16" max="27" width="9" style="18"/>
    <col min="28" max="28" width="13" style="61" customWidth="1"/>
    <col min="29" max="29" width="16.6640625" style="61" customWidth="1"/>
    <col min="30" max="16384" width="9" style="18"/>
  </cols>
  <sheetData>
    <row r="1" spans="1:29" ht="14" thickTop="1" thickBot="1">
      <c r="A1" s="1" t="s">
        <v>0</v>
      </c>
      <c r="B1" s="1" t="s">
        <v>1</v>
      </c>
      <c r="C1" s="1" t="s">
        <v>2</v>
      </c>
      <c r="D1" s="49" t="s">
        <v>3</v>
      </c>
      <c r="E1" s="49" t="s">
        <v>4</v>
      </c>
      <c r="F1" s="1" t="s">
        <v>869</v>
      </c>
      <c r="G1" s="1" t="s">
        <v>5</v>
      </c>
      <c r="H1" s="1" t="s">
        <v>6</v>
      </c>
      <c r="I1" s="1" t="s">
        <v>47</v>
      </c>
      <c r="J1" s="1" t="s">
        <v>48</v>
      </c>
      <c r="K1" s="1" t="s">
        <v>51</v>
      </c>
      <c r="L1" s="2" t="s">
        <v>53</v>
      </c>
      <c r="M1" s="2" t="s">
        <v>54</v>
      </c>
      <c r="N1" s="2" t="s">
        <v>115</v>
      </c>
      <c r="O1" s="2" t="s">
        <v>116</v>
      </c>
      <c r="P1" s="2" t="s">
        <v>59</v>
      </c>
      <c r="Q1" s="2" t="s">
        <v>57</v>
      </c>
      <c r="R1" s="3" t="s">
        <v>61</v>
      </c>
      <c r="S1" s="3" t="s">
        <v>870</v>
      </c>
      <c r="T1" s="4" t="s">
        <v>62</v>
      </c>
      <c r="U1" s="3" t="s">
        <v>63</v>
      </c>
      <c r="V1" s="3" t="s">
        <v>64</v>
      </c>
      <c r="W1" s="5" t="s">
        <v>66</v>
      </c>
      <c r="X1" s="5"/>
      <c r="Y1" s="5" t="s">
        <v>871</v>
      </c>
      <c r="Z1" s="5" t="s">
        <v>67</v>
      </c>
      <c r="AA1" s="47" t="s">
        <v>68</v>
      </c>
      <c r="AB1" s="61" t="s">
        <v>872</v>
      </c>
    </row>
    <row r="2" spans="1:29" ht="13.5" thickBot="1">
      <c r="A2" s="11" t="s">
        <v>16</v>
      </c>
      <c r="B2" s="12" t="s">
        <v>16</v>
      </c>
      <c r="C2" s="11" t="s">
        <v>16</v>
      </c>
      <c r="D2" s="53" t="s">
        <v>16</v>
      </c>
      <c r="E2" s="50" t="s">
        <v>16</v>
      </c>
      <c r="F2" s="12" t="s">
        <v>17</v>
      </c>
      <c r="G2" s="11" t="s">
        <v>17</v>
      </c>
      <c r="H2" s="12" t="s">
        <v>50</v>
      </c>
      <c r="I2" s="11" t="s">
        <v>16</v>
      </c>
      <c r="J2" s="12" t="s">
        <v>19</v>
      </c>
      <c r="K2" s="11" t="s">
        <v>52</v>
      </c>
      <c r="L2" s="12" t="s">
        <v>17</v>
      </c>
      <c r="M2" s="11" t="s">
        <v>17</v>
      </c>
      <c r="N2" s="12" t="s">
        <v>17</v>
      </c>
      <c r="O2" s="11" t="s">
        <v>17</v>
      </c>
      <c r="P2" s="12" t="s">
        <v>52</v>
      </c>
      <c r="Q2" s="11" t="s">
        <v>17</v>
      </c>
      <c r="R2" s="12" t="s">
        <v>17</v>
      </c>
      <c r="S2" s="11" t="s">
        <v>17</v>
      </c>
      <c r="T2" s="12" t="s">
        <v>17</v>
      </c>
      <c r="U2" s="11" t="s">
        <v>873</v>
      </c>
      <c r="V2" s="12" t="s">
        <v>873</v>
      </c>
      <c r="W2" s="11" t="s">
        <v>17</v>
      </c>
      <c r="X2" s="11"/>
      <c r="Y2" s="12" t="s">
        <v>17</v>
      </c>
      <c r="Z2" s="11" t="s">
        <v>17</v>
      </c>
      <c r="AA2" s="48" t="s">
        <v>17</v>
      </c>
    </row>
    <row r="3" spans="1:29" ht="118" thickTop="1" thickBot="1">
      <c r="A3" s="14" t="s">
        <v>20</v>
      </c>
      <c r="B3" s="13" t="s">
        <v>874</v>
      </c>
      <c r="C3" s="14" t="s">
        <v>21</v>
      </c>
      <c r="D3" s="54" t="s">
        <v>22</v>
      </c>
      <c r="E3" s="51" t="s">
        <v>23</v>
      </c>
      <c r="F3" s="13" t="s">
        <v>25</v>
      </c>
      <c r="G3" s="14" t="s">
        <v>875</v>
      </c>
      <c r="H3" s="13" t="s">
        <v>876</v>
      </c>
      <c r="I3" s="14" t="s">
        <v>877</v>
      </c>
      <c r="J3" s="13" t="s">
        <v>878</v>
      </c>
      <c r="K3" s="14" t="s">
        <v>879</v>
      </c>
      <c r="L3" s="13" t="s">
        <v>880</v>
      </c>
      <c r="M3" s="14" t="s">
        <v>881</v>
      </c>
      <c r="N3" s="13" t="s">
        <v>882</v>
      </c>
      <c r="O3" s="14" t="s">
        <v>883</v>
      </c>
      <c r="P3" s="13" t="s">
        <v>884</v>
      </c>
      <c r="Q3" s="14" t="s">
        <v>885</v>
      </c>
      <c r="R3" s="13" t="s">
        <v>886</v>
      </c>
      <c r="S3" s="14" t="s">
        <v>887</v>
      </c>
      <c r="T3" s="13" t="s">
        <v>888</v>
      </c>
      <c r="U3" s="14" t="s">
        <v>889</v>
      </c>
      <c r="V3" s="13" t="s">
        <v>890</v>
      </c>
      <c r="W3" s="16" t="s">
        <v>891</v>
      </c>
      <c r="X3" s="16" t="s">
        <v>892</v>
      </c>
      <c r="Y3" s="13" t="s">
        <v>893</v>
      </c>
      <c r="Z3" s="14" t="s">
        <v>894</v>
      </c>
      <c r="AA3" s="56" t="s">
        <v>895</v>
      </c>
      <c r="AB3" s="62" t="s">
        <v>896</v>
      </c>
      <c r="AC3" s="62" t="s">
        <v>897</v>
      </c>
    </row>
    <row r="4" spans="1:29" ht="14" thickTop="1" thickBot="1">
      <c r="A4" s="42" t="s">
        <v>2961</v>
      </c>
      <c r="B4" s="10" t="s">
        <v>898</v>
      </c>
      <c r="C4" s="8" t="s">
        <v>37</v>
      </c>
      <c r="D4" s="52" t="s">
        <v>327</v>
      </c>
      <c r="E4" s="52" t="s">
        <v>487</v>
      </c>
      <c r="F4" s="7"/>
      <c r="G4" s="8"/>
      <c r="H4" s="7" t="s">
        <v>41</v>
      </c>
      <c r="I4" s="41" t="s">
        <v>317</v>
      </c>
      <c r="J4" s="7"/>
      <c r="K4" s="15">
        <v>0</v>
      </c>
      <c r="L4" s="7"/>
      <c r="M4" s="8"/>
      <c r="N4" s="7"/>
      <c r="O4" s="8"/>
      <c r="P4" s="7"/>
      <c r="Q4" s="7"/>
      <c r="R4" s="8"/>
      <c r="S4" s="7"/>
      <c r="T4" s="9"/>
      <c r="U4" s="7" t="s">
        <v>137</v>
      </c>
      <c r="V4" s="7" t="s">
        <v>137</v>
      </c>
      <c r="W4" s="7"/>
      <c r="X4" s="7" t="s">
        <v>138</v>
      </c>
      <c r="Y4" s="8"/>
      <c r="Z4" s="7"/>
      <c r="AA4" s="57"/>
      <c r="AB4" s="61" t="s">
        <v>2088</v>
      </c>
      <c r="AC4" s="61" t="s">
        <v>346</v>
      </c>
    </row>
    <row r="5" spans="1:29" ht="14" thickTop="1" thickBot="1">
      <c r="A5" s="42" t="s">
        <v>2962</v>
      </c>
      <c r="B5" s="10" t="s">
        <v>319</v>
      </c>
      <c r="C5" s="8" t="s">
        <v>304</v>
      </c>
      <c r="D5" s="52" t="s">
        <v>195</v>
      </c>
      <c r="E5" s="52" t="s">
        <v>431</v>
      </c>
      <c r="F5" s="7"/>
      <c r="G5" s="8"/>
      <c r="H5" s="7" t="s">
        <v>136</v>
      </c>
      <c r="I5" s="41" t="s">
        <v>150</v>
      </c>
      <c r="J5" s="7"/>
      <c r="K5" s="15">
        <v>0.1</v>
      </c>
      <c r="L5" s="7"/>
      <c r="M5" s="8"/>
      <c r="N5" s="7"/>
      <c r="O5" s="8"/>
      <c r="P5" s="7"/>
      <c r="Q5" s="7"/>
      <c r="R5" s="8"/>
      <c r="S5" s="7"/>
      <c r="T5" s="9"/>
      <c r="U5" s="7" t="s">
        <v>899</v>
      </c>
      <c r="V5" s="7" t="s">
        <v>151</v>
      </c>
      <c r="W5" s="7"/>
      <c r="X5" s="7" t="s">
        <v>229</v>
      </c>
      <c r="Y5" s="8"/>
      <c r="Z5" s="7"/>
      <c r="AA5" s="57"/>
      <c r="AB5" s="61" t="s">
        <v>2088</v>
      </c>
      <c r="AC5" s="61" t="s">
        <v>310</v>
      </c>
    </row>
    <row r="6" spans="1:29" ht="14" thickTop="1" thickBot="1">
      <c r="A6" s="42" t="s">
        <v>2963</v>
      </c>
      <c r="B6" s="10" t="s">
        <v>900</v>
      </c>
      <c r="C6" s="8" t="s">
        <v>515</v>
      </c>
      <c r="D6" s="52" t="s">
        <v>324</v>
      </c>
      <c r="E6" s="52" t="s">
        <v>503</v>
      </c>
      <c r="F6" s="7"/>
      <c r="G6" s="8"/>
      <c r="H6" s="7" t="s">
        <v>293</v>
      </c>
      <c r="I6" s="6" t="s">
        <v>901</v>
      </c>
      <c r="J6" s="7"/>
      <c r="K6" s="15">
        <v>0.2</v>
      </c>
      <c r="L6" s="7"/>
      <c r="M6" s="8"/>
      <c r="N6" s="7"/>
      <c r="O6" s="8"/>
      <c r="P6" s="7"/>
      <c r="Q6" s="7"/>
      <c r="R6" s="8"/>
      <c r="S6" s="7"/>
      <c r="T6" s="9"/>
      <c r="U6" s="7" t="s">
        <v>186</v>
      </c>
      <c r="V6" s="7" t="s">
        <v>186</v>
      </c>
      <c r="W6" s="7"/>
      <c r="X6" s="7" t="s">
        <v>145</v>
      </c>
      <c r="Y6" s="8"/>
      <c r="Z6" s="7"/>
      <c r="AA6" s="57"/>
      <c r="AB6" s="61" t="s">
        <v>2088</v>
      </c>
      <c r="AC6" s="61" t="s">
        <v>318</v>
      </c>
    </row>
    <row r="7" spans="1:29" ht="14" thickTop="1" thickBot="1">
      <c r="A7" s="42" t="s">
        <v>2964</v>
      </c>
      <c r="B7" s="10" t="s">
        <v>902</v>
      </c>
      <c r="D7" s="52" t="s">
        <v>146</v>
      </c>
      <c r="E7" s="52" t="s">
        <v>457</v>
      </c>
      <c r="F7" s="7"/>
      <c r="G7" s="8"/>
      <c r="H7" s="7"/>
      <c r="I7" s="41" t="s">
        <v>328</v>
      </c>
      <c r="J7" s="7"/>
      <c r="K7" s="15">
        <v>0.3</v>
      </c>
      <c r="L7" s="7"/>
      <c r="M7" s="8"/>
      <c r="N7" s="7"/>
      <c r="O7" s="8"/>
      <c r="P7" s="7"/>
      <c r="Q7" s="7"/>
      <c r="R7" s="8"/>
      <c r="S7" s="7"/>
      <c r="T7" s="9"/>
      <c r="U7" s="7" t="s">
        <v>140</v>
      </c>
      <c r="V7" s="7" t="s">
        <v>140</v>
      </c>
      <c r="W7" s="7"/>
      <c r="X7" s="7"/>
      <c r="Y7" s="8"/>
      <c r="Z7" s="7"/>
      <c r="AA7" s="57"/>
      <c r="AB7" s="61" t="s">
        <v>2088</v>
      </c>
      <c r="AC7" s="61" t="s">
        <v>397</v>
      </c>
    </row>
    <row r="8" spans="1:29" ht="14" thickTop="1" thickBot="1">
      <c r="A8" s="64"/>
      <c r="B8" s="10" t="s">
        <v>903</v>
      </c>
      <c r="D8" s="52" t="s">
        <v>148</v>
      </c>
      <c r="E8" s="52" t="s">
        <v>475</v>
      </c>
      <c r="F8" s="7"/>
      <c r="G8" s="8"/>
      <c r="H8" s="7"/>
      <c r="I8" s="55" t="s">
        <v>904</v>
      </c>
      <c r="J8" s="7"/>
      <c r="K8" s="15">
        <v>0.4</v>
      </c>
      <c r="L8" s="7"/>
      <c r="M8" s="8"/>
      <c r="N8" s="7"/>
      <c r="O8" s="8"/>
      <c r="P8" s="7"/>
      <c r="Q8" s="7"/>
      <c r="R8" s="8"/>
      <c r="S8" s="7"/>
      <c r="T8" s="9"/>
      <c r="U8" s="64"/>
      <c r="V8" s="64"/>
      <c r="W8" s="7"/>
      <c r="X8" s="7"/>
      <c r="Y8" s="8"/>
      <c r="Z8" s="7"/>
      <c r="AA8" s="57"/>
      <c r="AB8" s="61" t="s">
        <v>2088</v>
      </c>
      <c r="AC8" s="61" t="s">
        <v>359</v>
      </c>
    </row>
    <row r="9" spans="1:29" ht="13.5" thickBot="1">
      <c r="A9" s="64"/>
      <c r="B9" s="10" t="s">
        <v>1751</v>
      </c>
      <c r="D9" s="52" t="s">
        <v>534</v>
      </c>
      <c r="E9" s="52" t="s">
        <v>495</v>
      </c>
      <c r="F9" s="7"/>
      <c r="G9" s="8"/>
      <c r="H9" s="7"/>
      <c r="I9" s="40" t="s">
        <v>905</v>
      </c>
      <c r="J9" s="7"/>
      <c r="K9" s="15">
        <v>0.5</v>
      </c>
      <c r="L9" s="7"/>
      <c r="M9" s="8"/>
      <c r="N9" s="7"/>
      <c r="O9" s="8"/>
      <c r="P9" s="7"/>
      <c r="Q9" s="7"/>
      <c r="R9" s="8"/>
      <c r="S9" s="7"/>
      <c r="T9" s="9"/>
      <c r="U9" s="7"/>
      <c r="V9" s="8"/>
      <c r="W9" s="7"/>
      <c r="X9" s="7"/>
      <c r="Y9" s="8"/>
      <c r="Z9" s="7"/>
      <c r="AA9" s="57"/>
      <c r="AB9" s="61" t="s">
        <v>2088</v>
      </c>
      <c r="AC9" s="61" t="s">
        <v>362</v>
      </c>
    </row>
    <row r="10" spans="1:29" ht="13.5" thickBot="1">
      <c r="B10" s="10" t="s">
        <v>311</v>
      </c>
      <c r="D10" s="52" t="s">
        <v>556</v>
      </c>
      <c r="E10" s="52" t="s">
        <v>673</v>
      </c>
      <c r="F10" s="7"/>
      <c r="G10" s="8"/>
      <c r="H10" s="7"/>
      <c r="I10" s="40" t="s">
        <v>907</v>
      </c>
      <c r="J10" s="7"/>
      <c r="K10" s="15">
        <v>0.6</v>
      </c>
      <c r="L10" s="7"/>
      <c r="M10" s="8"/>
      <c r="N10" s="7"/>
      <c r="O10" s="8"/>
      <c r="P10" s="7"/>
      <c r="Q10" s="7"/>
      <c r="R10" s="8"/>
      <c r="S10" s="7"/>
      <c r="T10" s="9"/>
      <c r="U10" s="7"/>
      <c r="V10" s="8"/>
      <c r="W10" s="7"/>
      <c r="X10" s="7"/>
      <c r="Y10" s="8"/>
      <c r="Z10" s="7"/>
      <c r="AA10" s="57"/>
      <c r="AB10" s="61" t="s">
        <v>2088</v>
      </c>
      <c r="AC10" s="61" t="s">
        <v>388</v>
      </c>
    </row>
    <row r="11" spans="1:29" ht="13.5" thickBot="1">
      <c r="B11" s="10" t="s">
        <v>906</v>
      </c>
      <c r="D11" s="52" t="s">
        <v>586</v>
      </c>
      <c r="E11" s="52" t="s">
        <v>430</v>
      </c>
      <c r="F11" s="7"/>
      <c r="G11" s="8"/>
      <c r="H11" s="7"/>
      <c r="I11" s="415" t="s">
        <v>307</v>
      </c>
      <c r="J11" s="7"/>
      <c r="K11" s="15">
        <v>0.7</v>
      </c>
      <c r="L11" s="7"/>
      <c r="M11" s="8"/>
      <c r="N11" s="7"/>
      <c r="O11" s="8"/>
      <c r="P11" s="7"/>
      <c r="Q11" s="7"/>
      <c r="R11" s="8"/>
      <c r="S11" s="7"/>
      <c r="T11" s="9"/>
      <c r="U11" s="7"/>
      <c r="V11" s="8"/>
      <c r="W11" s="7"/>
      <c r="X11" s="7"/>
      <c r="Y11" s="8"/>
      <c r="Z11" s="7"/>
      <c r="AA11" s="57"/>
      <c r="AB11" s="61" t="s">
        <v>2088</v>
      </c>
      <c r="AC11" s="61" t="s">
        <v>344</v>
      </c>
    </row>
    <row r="12" spans="1:29" ht="13.5" thickBot="1">
      <c r="A12" s="64"/>
      <c r="B12" s="10" t="s">
        <v>323</v>
      </c>
      <c r="D12" s="52" t="s">
        <v>798</v>
      </c>
      <c r="E12" s="52" t="s">
        <v>447</v>
      </c>
      <c r="F12" s="7"/>
      <c r="G12" s="8"/>
      <c r="H12" s="7"/>
      <c r="I12" s="30" t="s">
        <v>228</v>
      </c>
      <c r="J12" s="7"/>
      <c r="K12" s="15">
        <v>0.8</v>
      </c>
      <c r="L12" s="7"/>
      <c r="M12" s="8"/>
      <c r="N12" s="7"/>
      <c r="O12" s="8"/>
      <c r="P12" s="7"/>
      <c r="Q12" s="7"/>
      <c r="R12" s="8"/>
      <c r="S12" s="7"/>
      <c r="T12" s="9"/>
      <c r="U12" s="7"/>
      <c r="V12" s="8"/>
      <c r="W12" s="7"/>
      <c r="X12" s="7"/>
      <c r="Y12" s="8"/>
      <c r="Z12" s="7"/>
      <c r="AA12" s="57"/>
      <c r="AB12" s="61" t="s">
        <v>2088</v>
      </c>
      <c r="AC12" s="61" t="s">
        <v>305</v>
      </c>
    </row>
    <row r="13" spans="1:29" ht="13.5" thickBot="1">
      <c r="A13" s="64"/>
      <c r="B13" s="10" t="s">
        <v>908</v>
      </c>
      <c r="C13" s="64"/>
      <c r="D13" s="52" t="s">
        <v>519</v>
      </c>
      <c r="E13" s="52" t="s">
        <v>466</v>
      </c>
      <c r="F13" s="7"/>
      <c r="G13" s="8"/>
      <c r="H13" s="7"/>
      <c r="I13" s="30" t="s">
        <v>40</v>
      </c>
      <c r="J13" s="7"/>
      <c r="K13" s="15">
        <v>0.9</v>
      </c>
      <c r="L13" s="7"/>
      <c r="M13" s="8"/>
      <c r="N13" s="7"/>
      <c r="O13" s="8"/>
      <c r="P13" s="7"/>
      <c r="Q13" s="7"/>
      <c r="R13" s="8"/>
      <c r="S13" s="7"/>
      <c r="T13" s="9"/>
      <c r="U13" s="7"/>
      <c r="V13" s="8"/>
      <c r="W13" s="7"/>
      <c r="X13" s="7"/>
      <c r="Y13" s="8"/>
      <c r="Z13" s="7"/>
      <c r="AA13" s="57"/>
      <c r="AB13" s="61" t="s">
        <v>37</v>
      </c>
      <c r="AC13" s="61" t="s">
        <v>195</v>
      </c>
    </row>
    <row r="14" spans="1:29" ht="13.5" thickBot="1">
      <c r="A14" s="64"/>
      <c r="B14" s="10" t="s">
        <v>909</v>
      </c>
      <c r="D14" s="52" t="s">
        <v>346</v>
      </c>
      <c r="E14" s="52" t="s">
        <v>459</v>
      </c>
      <c r="F14" s="7"/>
      <c r="G14" s="8"/>
      <c r="H14" s="7"/>
      <c r="I14" s="46" t="s">
        <v>226</v>
      </c>
      <c r="J14" s="7"/>
      <c r="K14" s="15">
        <v>1</v>
      </c>
      <c r="L14" s="7"/>
      <c r="M14" s="8"/>
      <c r="N14" s="7"/>
      <c r="O14" s="8"/>
      <c r="P14" s="7"/>
      <c r="Q14" s="7"/>
      <c r="R14" s="8"/>
      <c r="S14" s="7"/>
      <c r="T14" s="9"/>
      <c r="U14" s="7"/>
      <c r="V14" s="8"/>
      <c r="W14" s="7"/>
      <c r="X14" s="7"/>
      <c r="Y14" s="8"/>
      <c r="Z14" s="7"/>
      <c r="AA14" s="57"/>
      <c r="AB14" s="61" t="s">
        <v>37</v>
      </c>
      <c r="AC14" s="61" t="s">
        <v>146</v>
      </c>
    </row>
    <row r="15" spans="1:29" ht="13.5" thickBot="1">
      <c r="A15" s="64"/>
      <c r="B15" s="10" t="s">
        <v>910</v>
      </c>
      <c r="D15" s="52" t="s">
        <v>310</v>
      </c>
      <c r="E15" s="52" t="s">
        <v>436</v>
      </c>
      <c r="F15" s="7"/>
      <c r="G15" s="8"/>
      <c r="H15" s="7"/>
      <c r="I15" s="30" t="s">
        <v>292</v>
      </c>
      <c r="J15" s="7"/>
      <c r="K15" s="8"/>
      <c r="L15" s="7"/>
      <c r="M15" s="8"/>
      <c r="N15" s="7"/>
      <c r="O15" s="8"/>
      <c r="P15" s="7"/>
      <c r="Q15" s="7"/>
      <c r="R15" s="8"/>
      <c r="S15" s="7"/>
      <c r="T15" s="9"/>
      <c r="U15" s="7"/>
      <c r="V15" s="8"/>
      <c r="W15" s="7"/>
      <c r="X15" s="7"/>
      <c r="Y15" s="8"/>
      <c r="Z15" s="7"/>
      <c r="AA15" s="57"/>
      <c r="AB15" s="61" t="s">
        <v>37</v>
      </c>
      <c r="AC15" s="61" t="s">
        <v>148</v>
      </c>
    </row>
    <row r="16" spans="1:29" ht="13.5" thickBot="1">
      <c r="B16" s="10" t="s">
        <v>911</v>
      </c>
      <c r="D16" s="52" t="s">
        <v>803</v>
      </c>
      <c r="E16" s="52" t="s">
        <v>437</v>
      </c>
      <c r="F16" s="7"/>
      <c r="G16" s="8"/>
      <c r="H16" s="7"/>
      <c r="I16" s="30" t="s">
        <v>518</v>
      </c>
      <c r="J16" s="7"/>
      <c r="K16" s="8"/>
      <c r="L16" s="7"/>
      <c r="M16" s="8"/>
      <c r="N16" s="7"/>
      <c r="O16" s="8"/>
      <c r="P16" s="7"/>
      <c r="Q16" s="7"/>
      <c r="R16" s="8"/>
      <c r="S16" s="7"/>
      <c r="T16" s="9"/>
      <c r="U16" s="7"/>
      <c r="V16" s="8"/>
      <c r="W16" s="7"/>
      <c r="X16" s="7"/>
      <c r="Y16" s="8"/>
      <c r="Z16" s="7"/>
      <c r="AA16" s="57"/>
      <c r="AB16" s="61" t="s">
        <v>37</v>
      </c>
      <c r="AC16" s="61" t="s">
        <v>586</v>
      </c>
    </row>
    <row r="17" spans="1:29" ht="13.5" thickBot="1">
      <c r="B17" s="10" t="s">
        <v>369</v>
      </c>
      <c r="D17" s="52" t="s">
        <v>38</v>
      </c>
      <c r="E17" s="52" t="s">
        <v>425</v>
      </c>
      <c r="F17" s="7"/>
      <c r="G17" s="8"/>
      <c r="H17" s="7"/>
      <c r="I17" s="30" t="s">
        <v>285</v>
      </c>
      <c r="J17" s="7"/>
      <c r="K17" s="8"/>
      <c r="L17" s="7"/>
      <c r="M17" s="8"/>
      <c r="N17" s="7"/>
      <c r="O17" s="8"/>
      <c r="P17" s="7"/>
      <c r="Q17" s="7"/>
      <c r="R17" s="8"/>
      <c r="S17" s="7"/>
      <c r="T17" s="9"/>
      <c r="U17" s="7"/>
      <c r="V17" s="8"/>
      <c r="W17" s="7"/>
      <c r="X17" s="7"/>
      <c r="Y17" s="8"/>
      <c r="Z17" s="7"/>
      <c r="AA17" s="57"/>
      <c r="AB17" s="61" t="s">
        <v>37</v>
      </c>
      <c r="AC17" s="61" t="s">
        <v>798</v>
      </c>
    </row>
    <row r="18" spans="1:29" ht="13.5" thickBot="1">
      <c r="A18" s="64"/>
      <c r="B18" s="10" t="s">
        <v>913</v>
      </c>
      <c r="D18" s="52" t="s">
        <v>522</v>
      </c>
      <c r="E18" s="52" t="s">
        <v>505</v>
      </c>
      <c r="F18" s="7"/>
      <c r="G18" s="8"/>
      <c r="H18" s="7"/>
      <c r="I18" s="30" t="s">
        <v>278</v>
      </c>
      <c r="J18" s="7"/>
      <c r="K18" s="8"/>
      <c r="L18" s="7"/>
      <c r="M18" s="8"/>
      <c r="N18" s="7"/>
      <c r="O18" s="8"/>
      <c r="P18" s="7"/>
      <c r="Q18" s="7"/>
      <c r="R18" s="8"/>
      <c r="S18" s="7"/>
      <c r="T18" s="9"/>
      <c r="U18" s="7"/>
      <c r="V18" s="8"/>
      <c r="W18" s="7"/>
      <c r="X18" s="7"/>
      <c r="Y18" s="8"/>
      <c r="Z18" s="7"/>
      <c r="AA18" s="57"/>
      <c r="AB18" s="61" t="s">
        <v>37</v>
      </c>
      <c r="AC18" s="61" t="s">
        <v>803</v>
      </c>
    </row>
    <row r="19" spans="1:29" ht="13.5" thickBot="1">
      <c r="B19" s="414" t="s">
        <v>2154</v>
      </c>
      <c r="D19" s="52" t="s">
        <v>312</v>
      </c>
      <c r="E19" s="52" t="s">
        <v>504</v>
      </c>
      <c r="F19" s="7"/>
      <c r="G19" s="8"/>
      <c r="H19" s="7"/>
      <c r="I19" s="30" t="s">
        <v>314</v>
      </c>
      <c r="J19" s="7"/>
      <c r="K19" s="8"/>
      <c r="L19" s="7"/>
      <c r="M19" s="8"/>
      <c r="N19" s="7"/>
      <c r="O19" s="8"/>
      <c r="P19" s="7"/>
      <c r="Q19" s="7"/>
      <c r="R19" s="8"/>
      <c r="S19" s="7"/>
      <c r="T19" s="9"/>
      <c r="U19" s="7"/>
      <c r="V19" s="8"/>
      <c r="W19" s="7"/>
      <c r="X19" s="7"/>
      <c r="Y19" s="8"/>
      <c r="Z19" s="7"/>
      <c r="AA19" s="57"/>
      <c r="AB19" s="61" t="s">
        <v>37</v>
      </c>
      <c r="AC19" s="61" t="s">
        <v>1020</v>
      </c>
    </row>
    <row r="20" spans="1:29" ht="13.5" thickBot="1">
      <c r="B20" s="10" t="s">
        <v>914</v>
      </c>
      <c r="D20" s="52" t="s">
        <v>318</v>
      </c>
      <c r="E20" s="52" t="s">
        <v>491</v>
      </c>
      <c r="F20" s="7"/>
      <c r="G20" s="8"/>
      <c r="H20" s="7"/>
      <c r="I20" s="30" t="s">
        <v>321</v>
      </c>
      <c r="J20" s="7"/>
      <c r="K20" s="8"/>
      <c r="L20" s="7"/>
      <c r="M20" s="8"/>
      <c r="N20" s="7"/>
      <c r="O20" s="8"/>
      <c r="P20" s="7"/>
      <c r="Q20" s="7"/>
      <c r="R20" s="8"/>
      <c r="S20" s="7"/>
      <c r="T20" s="9"/>
      <c r="U20" s="7"/>
      <c r="V20" s="8"/>
      <c r="W20" s="7"/>
      <c r="X20" s="7"/>
      <c r="Y20" s="8"/>
      <c r="Z20" s="7"/>
      <c r="AA20" s="57"/>
      <c r="AB20" s="61" t="s">
        <v>37</v>
      </c>
      <c r="AC20" s="61" t="s">
        <v>38</v>
      </c>
    </row>
    <row r="21" spans="1:29" ht="13.5" thickBot="1">
      <c r="B21" s="10" t="s">
        <v>141</v>
      </c>
      <c r="D21" s="52" t="s">
        <v>152</v>
      </c>
      <c r="E21" s="52" t="s">
        <v>456</v>
      </c>
      <c r="F21" s="7"/>
      <c r="G21" s="8"/>
      <c r="H21" s="7"/>
      <c r="I21" s="40" t="s">
        <v>917</v>
      </c>
      <c r="J21" s="7"/>
      <c r="K21" s="8"/>
      <c r="L21" s="7"/>
      <c r="M21" s="8"/>
      <c r="N21" s="7"/>
      <c r="O21" s="8"/>
      <c r="P21" s="7"/>
      <c r="Q21" s="7"/>
      <c r="R21" s="8"/>
      <c r="S21" s="7"/>
      <c r="T21" s="9"/>
      <c r="U21" s="7"/>
      <c r="V21" s="8"/>
      <c r="W21" s="7"/>
      <c r="X21" s="7"/>
      <c r="Y21" s="8"/>
      <c r="Z21" s="7"/>
      <c r="AA21" s="57"/>
      <c r="AB21" s="61" t="s">
        <v>37</v>
      </c>
      <c r="AC21" s="61" t="s">
        <v>152</v>
      </c>
    </row>
    <row r="22" spans="1:29" ht="13.5" thickBot="1">
      <c r="B22" s="10" t="s">
        <v>36</v>
      </c>
      <c r="D22" s="52" t="s">
        <v>157</v>
      </c>
      <c r="E22" s="52" t="s">
        <v>432</v>
      </c>
      <c r="F22" s="7"/>
      <c r="G22" s="8"/>
      <c r="H22" s="7"/>
      <c r="I22" s="40" t="s">
        <v>919</v>
      </c>
      <c r="J22" s="7"/>
      <c r="K22" s="8"/>
      <c r="L22" s="7"/>
      <c r="M22" s="8"/>
      <c r="N22" s="7"/>
      <c r="O22" s="8"/>
      <c r="P22" s="7"/>
      <c r="Q22" s="7"/>
      <c r="R22" s="8"/>
      <c r="S22" s="7"/>
      <c r="T22" s="9"/>
      <c r="U22" s="7"/>
      <c r="V22" s="8"/>
      <c r="W22" s="7"/>
      <c r="X22" s="7"/>
      <c r="Y22" s="8"/>
      <c r="Z22" s="7"/>
      <c r="AA22" s="57"/>
      <c r="AB22" s="61" t="s">
        <v>37</v>
      </c>
      <c r="AC22" s="61" t="s">
        <v>157</v>
      </c>
    </row>
    <row r="23" spans="1:29" ht="13.5" thickBot="1">
      <c r="B23" s="10" t="s">
        <v>916</v>
      </c>
      <c r="D23" s="52" t="s">
        <v>205</v>
      </c>
      <c r="E23" s="52" t="s">
        <v>501</v>
      </c>
      <c r="F23" s="7"/>
      <c r="G23" s="8"/>
      <c r="H23" s="7"/>
      <c r="I23" s="415" t="s">
        <v>331</v>
      </c>
      <c r="J23" s="7"/>
      <c r="K23" s="8"/>
      <c r="L23" s="7"/>
      <c r="M23" s="8"/>
      <c r="N23" s="7"/>
      <c r="O23" s="8"/>
      <c r="P23" s="7"/>
      <c r="Q23" s="7"/>
      <c r="R23" s="8"/>
      <c r="S23" s="7"/>
      <c r="T23" s="9"/>
      <c r="U23" s="7"/>
      <c r="V23" s="8"/>
      <c r="W23" s="7"/>
      <c r="X23" s="7"/>
      <c r="Y23" s="8"/>
      <c r="Z23" s="7"/>
      <c r="AA23" s="57"/>
      <c r="AB23" s="61" t="s">
        <v>37</v>
      </c>
      <c r="AC23" s="61" t="s">
        <v>205</v>
      </c>
    </row>
    <row r="24" spans="1:29" ht="13.5" thickBot="1">
      <c r="B24" s="10" t="s">
        <v>918</v>
      </c>
      <c r="D24" s="52" t="s">
        <v>397</v>
      </c>
      <c r="E24" s="52" t="s">
        <v>484</v>
      </c>
      <c r="F24" s="7"/>
      <c r="G24" s="8"/>
      <c r="H24" s="7"/>
      <c r="I24" s="415" t="s">
        <v>521</v>
      </c>
      <c r="J24" s="7"/>
      <c r="K24" s="8"/>
      <c r="L24" s="7"/>
      <c r="M24" s="8"/>
      <c r="N24" s="7"/>
      <c r="O24" s="8"/>
      <c r="P24" s="7"/>
      <c r="Q24" s="7"/>
      <c r="R24" s="8"/>
      <c r="S24" s="7"/>
      <c r="T24" s="9"/>
      <c r="U24" s="7"/>
      <c r="V24" s="8"/>
      <c r="W24" s="7"/>
      <c r="X24" s="7"/>
      <c r="Y24" s="8"/>
      <c r="Z24" s="7"/>
      <c r="AA24" s="57"/>
      <c r="AB24" s="61" t="s">
        <v>37</v>
      </c>
      <c r="AC24" s="61" t="s">
        <v>159</v>
      </c>
    </row>
    <row r="25" spans="1:29" ht="13.5" thickBot="1">
      <c r="B25" s="10" t="s">
        <v>920</v>
      </c>
      <c r="D25" s="52" t="s">
        <v>525</v>
      </c>
      <c r="E25" s="52" t="s">
        <v>481</v>
      </c>
      <c r="F25" s="7"/>
      <c r="G25" s="8"/>
      <c r="H25" s="7"/>
      <c r="I25" s="40" t="s">
        <v>923</v>
      </c>
      <c r="J25" s="7"/>
      <c r="K25" s="8"/>
      <c r="L25" s="7"/>
      <c r="M25" s="8"/>
      <c r="N25" s="7"/>
      <c r="O25" s="8"/>
      <c r="P25" s="7"/>
      <c r="Q25" s="7"/>
      <c r="R25" s="8"/>
      <c r="S25" s="7"/>
      <c r="T25" s="9"/>
      <c r="U25" s="7"/>
      <c r="V25" s="8"/>
      <c r="W25" s="7"/>
      <c r="X25" s="7"/>
      <c r="Y25" s="8"/>
      <c r="Z25" s="7"/>
      <c r="AA25" s="57"/>
      <c r="AB25" s="61" t="s">
        <v>37</v>
      </c>
      <c r="AC25" s="61" t="s">
        <v>912</v>
      </c>
    </row>
    <row r="26" spans="1:29" ht="13.5" thickBot="1">
      <c r="B26" s="10" t="s">
        <v>921</v>
      </c>
      <c r="D26" s="52" t="s">
        <v>359</v>
      </c>
      <c r="E26" s="52" t="s">
        <v>478</v>
      </c>
      <c r="F26" s="7"/>
      <c r="G26" s="8"/>
      <c r="H26" s="7"/>
      <c r="I26" s="30" t="s">
        <v>392</v>
      </c>
      <c r="J26" s="7"/>
      <c r="K26" s="8"/>
      <c r="L26" s="7"/>
      <c r="M26" s="8"/>
      <c r="N26" s="7"/>
      <c r="O26" s="8"/>
      <c r="P26" s="7"/>
      <c r="Q26" s="7"/>
      <c r="R26" s="8"/>
      <c r="S26" s="7"/>
      <c r="T26" s="9"/>
      <c r="U26" s="7"/>
      <c r="V26" s="8"/>
      <c r="W26" s="7"/>
      <c r="X26" s="7"/>
      <c r="Y26" s="8"/>
      <c r="Z26" s="7"/>
      <c r="AA26" s="57"/>
      <c r="AB26" s="61" t="s">
        <v>37</v>
      </c>
      <c r="AC26" s="61" t="s">
        <v>173</v>
      </c>
    </row>
    <row r="27" spans="1:29" ht="13.5" thickBot="1">
      <c r="B27" s="10" t="s">
        <v>303</v>
      </c>
      <c r="D27" s="52" t="s">
        <v>159</v>
      </c>
      <c r="E27" s="52" t="s">
        <v>428</v>
      </c>
      <c r="F27" s="7"/>
      <c r="G27" s="8"/>
      <c r="H27" s="7"/>
      <c r="I27" s="30" t="s">
        <v>334</v>
      </c>
      <c r="J27" s="7"/>
      <c r="K27" s="8"/>
      <c r="L27" s="7"/>
      <c r="M27" s="8"/>
      <c r="N27" s="7"/>
      <c r="O27" s="8"/>
      <c r="P27" s="7"/>
      <c r="Q27" s="7"/>
      <c r="R27" s="8"/>
      <c r="S27" s="7"/>
      <c r="T27" s="9"/>
      <c r="U27" s="7"/>
      <c r="V27" s="8"/>
      <c r="W27" s="7"/>
      <c r="X27" s="7"/>
      <c r="Y27" s="8"/>
      <c r="Z27" s="7"/>
      <c r="AA27" s="57"/>
      <c r="AB27" s="61" t="s">
        <v>37</v>
      </c>
      <c r="AC27" s="61" t="s">
        <v>214</v>
      </c>
    </row>
    <row r="28" spans="1:29" ht="13.5" thickBot="1">
      <c r="B28" s="10" t="s">
        <v>315</v>
      </c>
      <c r="D28" s="52" t="s">
        <v>516</v>
      </c>
      <c r="E28" s="52" t="s">
        <v>458</v>
      </c>
      <c r="F28" s="7"/>
      <c r="G28" s="8"/>
      <c r="H28" s="7"/>
      <c r="I28" s="30" t="s">
        <v>306</v>
      </c>
      <c r="J28" s="7"/>
      <c r="K28" s="8"/>
      <c r="L28" s="7"/>
      <c r="M28" s="8"/>
      <c r="N28" s="7"/>
      <c r="O28" s="8"/>
      <c r="P28" s="7"/>
      <c r="Q28" s="7"/>
      <c r="R28" s="8"/>
      <c r="S28" s="7"/>
      <c r="T28" s="9"/>
      <c r="U28" s="7"/>
      <c r="V28" s="8"/>
      <c r="W28" s="7"/>
      <c r="X28" s="7"/>
      <c r="Y28" s="8"/>
      <c r="Z28" s="7"/>
      <c r="AA28" s="57"/>
      <c r="AB28" s="61" t="s">
        <v>37</v>
      </c>
      <c r="AC28" s="61" t="s">
        <v>184</v>
      </c>
    </row>
    <row r="29" spans="1:29" ht="13.5" thickBot="1">
      <c r="B29" s="10" t="s">
        <v>924</v>
      </c>
      <c r="C29" s="64"/>
      <c r="D29" s="52" t="s">
        <v>536</v>
      </c>
      <c r="E29" s="52" t="s">
        <v>464</v>
      </c>
      <c r="F29" s="7"/>
      <c r="G29" s="8"/>
      <c r="H29" s="7"/>
      <c r="I29" s="30" t="s">
        <v>299</v>
      </c>
      <c r="J29" s="7"/>
      <c r="K29" s="8"/>
      <c r="L29" s="7"/>
      <c r="M29" s="8"/>
      <c r="N29" s="7"/>
      <c r="O29" s="8"/>
      <c r="P29" s="7"/>
      <c r="Q29" s="7"/>
      <c r="R29" s="8"/>
      <c r="S29" s="7"/>
      <c r="T29" s="9"/>
      <c r="U29" s="7"/>
      <c r="V29" s="8"/>
      <c r="W29" s="7"/>
      <c r="X29" s="7"/>
      <c r="Y29" s="8"/>
      <c r="Z29" s="7"/>
      <c r="AA29" s="57"/>
      <c r="AB29" s="61" t="s">
        <v>37</v>
      </c>
      <c r="AC29" s="61" t="s">
        <v>858</v>
      </c>
    </row>
    <row r="30" spans="1:29" ht="13.5" thickBot="1">
      <c r="B30" s="10" t="s">
        <v>925</v>
      </c>
      <c r="D30" s="52" t="s">
        <v>848</v>
      </c>
      <c r="E30" s="52" t="s">
        <v>496</v>
      </c>
      <c r="F30" s="7"/>
      <c r="G30" s="8"/>
      <c r="H30" s="7"/>
      <c r="I30" s="40" t="s">
        <v>927</v>
      </c>
      <c r="J30" s="7"/>
      <c r="K30" s="8"/>
      <c r="L30" s="7"/>
      <c r="M30" s="8"/>
      <c r="N30" s="7"/>
      <c r="O30" s="8"/>
      <c r="P30" s="7"/>
      <c r="Q30" s="7"/>
      <c r="R30" s="8"/>
      <c r="S30" s="7"/>
      <c r="T30" s="9"/>
      <c r="U30" s="7"/>
      <c r="V30" s="8"/>
      <c r="W30" s="7"/>
      <c r="X30" s="7"/>
      <c r="Y30" s="8"/>
      <c r="Z30" s="7"/>
      <c r="AA30" s="57"/>
      <c r="AB30" s="61" t="s">
        <v>37</v>
      </c>
      <c r="AC30" s="61" t="s">
        <v>915</v>
      </c>
    </row>
    <row r="31" spans="1:29" ht="13.5" thickBot="1">
      <c r="B31" s="10" t="s">
        <v>192</v>
      </c>
      <c r="D31" s="52" t="s">
        <v>362</v>
      </c>
      <c r="E31" s="52" t="s">
        <v>497</v>
      </c>
      <c r="F31" s="7"/>
      <c r="G31" s="8"/>
      <c r="H31" s="7"/>
      <c r="I31" s="415" t="s">
        <v>244</v>
      </c>
      <c r="J31" s="7"/>
      <c r="K31" s="8"/>
      <c r="L31" s="7"/>
      <c r="M31" s="8"/>
      <c r="N31" s="7"/>
      <c r="O31" s="8"/>
      <c r="P31" s="7"/>
      <c r="Q31" s="7"/>
      <c r="R31" s="8"/>
      <c r="S31" s="7"/>
      <c r="T31" s="9"/>
      <c r="U31" s="7"/>
      <c r="V31" s="8"/>
      <c r="W31" s="7"/>
      <c r="X31" s="7"/>
      <c r="Y31" s="8"/>
      <c r="Z31" s="7"/>
      <c r="AA31" s="57"/>
      <c r="AB31" s="61" t="s">
        <v>37</v>
      </c>
      <c r="AC31" s="61" t="s">
        <v>142</v>
      </c>
    </row>
    <row r="32" spans="1:29" ht="13.5" thickBot="1">
      <c r="B32" s="10" t="s">
        <v>926</v>
      </c>
      <c r="D32" s="52" t="s">
        <v>388</v>
      </c>
      <c r="E32" s="52" t="s">
        <v>678</v>
      </c>
      <c r="F32" s="7"/>
      <c r="G32" s="8"/>
      <c r="H32" s="7"/>
      <c r="I32" s="30" t="s">
        <v>539</v>
      </c>
      <c r="J32" s="7"/>
      <c r="K32" s="8"/>
      <c r="L32" s="7"/>
      <c r="M32" s="8"/>
      <c r="N32" s="7"/>
      <c r="O32" s="8"/>
      <c r="P32" s="7"/>
      <c r="Q32" s="7"/>
      <c r="R32" s="8"/>
      <c r="S32" s="7"/>
      <c r="T32" s="9"/>
      <c r="U32" s="7"/>
      <c r="V32" s="8"/>
      <c r="W32" s="7"/>
      <c r="X32" s="7"/>
      <c r="Y32" s="8"/>
      <c r="Z32" s="7"/>
      <c r="AA32" s="57"/>
      <c r="AB32" s="61" t="s">
        <v>2087</v>
      </c>
      <c r="AC32" s="61" t="s">
        <v>324</v>
      </c>
    </row>
    <row r="33" spans="2:29" ht="13.5" thickBot="1">
      <c r="B33" s="10" t="s">
        <v>929</v>
      </c>
      <c r="D33" s="52" t="s">
        <v>173</v>
      </c>
      <c r="E33" s="52" t="s">
        <v>427</v>
      </c>
      <c r="F33" s="7"/>
      <c r="G33" s="8"/>
      <c r="H33" s="7"/>
      <c r="I33" s="18" t="s">
        <v>297</v>
      </c>
      <c r="J33" s="7"/>
      <c r="K33" s="8"/>
      <c r="L33" s="7"/>
      <c r="M33" s="8"/>
      <c r="N33" s="7"/>
      <c r="O33" s="8"/>
      <c r="P33" s="7"/>
      <c r="Q33" s="7"/>
      <c r="R33" s="8"/>
      <c r="S33" s="7"/>
      <c r="T33" s="9"/>
      <c r="U33" s="7"/>
      <c r="V33" s="8"/>
      <c r="W33" s="7"/>
      <c r="X33" s="7"/>
      <c r="Y33" s="8"/>
      <c r="Z33" s="7"/>
      <c r="AA33" s="57"/>
      <c r="AB33" s="61" t="s">
        <v>2087</v>
      </c>
      <c r="AC33" s="61" t="s">
        <v>312</v>
      </c>
    </row>
    <row r="34" spans="2:29" ht="13.5" thickBot="1">
      <c r="B34" s="10" t="s">
        <v>930</v>
      </c>
      <c r="D34" s="52" t="s">
        <v>344</v>
      </c>
      <c r="E34" s="52" t="s">
        <v>502</v>
      </c>
      <c r="F34" s="7"/>
      <c r="G34" s="8"/>
      <c r="H34" s="7"/>
      <c r="I34" s="18" t="s">
        <v>1288</v>
      </c>
      <c r="J34" s="7"/>
      <c r="K34" s="8"/>
      <c r="L34" s="7"/>
      <c r="M34" s="8"/>
      <c r="N34" s="7"/>
      <c r="O34" s="8"/>
      <c r="P34" s="7"/>
      <c r="Q34" s="7"/>
      <c r="R34" s="8"/>
      <c r="S34" s="7"/>
      <c r="T34" s="9"/>
      <c r="U34" s="7"/>
      <c r="V34" s="8"/>
      <c r="W34" s="7"/>
      <c r="X34" s="7"/>
      <c r="Y34" s="8"/>
      <c r="Z34" s="7"/>
      <c r="AA34" s="57"/>
      <c r="AB34" s="61" t="s">
        <v>2087</v>
      </c>
      <c r="AC34" s="61" t="s">
        <v>333</v>
      </c>
    </row>
    <row r="35" spans="2:29" ht="13.5" thickBot="1">
      <c r="B35" s="10" t="s">
        <v>1490</v>
      </c>
      <c r="D35" s="52" t="s">
        <v>333</v>
      </c>
      <c r="E35" s="52" t="s">
        <v>483</v>
      </c>
      <c r="F35" s="7"/>
      <c r="G35" s="8"/>
      <c r="H35" s="7"/>
      <c r="I35" s="30" t="s">
        <v>1469</v>
      </c>
      <c r="J35" s="7"/>
      <c r="K35" s="8"/>
      <c r="L35" s="7"/>
      <c r="M35" s="8"/>
      <c r="N35" s="7"/>
      <c r="O35" s="8"/>
      <c r="P35" s="7"/>
      <c r="Q35" s="7"/>
      <c r="R35" s="8"/>
      <c r="S35" s="7"/>
      <c r="T35" s="9"/>
      <c r="U35" s="7"/>
      <c r="V35" s="8"/>
      <c r="W35" s="7"/>
      <c r="X35" s="7"/>
      <c r="Y35" s="8"/>
      <c r="Z35" s="7"/>
      <c r="AA35" s="57"/>
      <c r="AB35" s="61" t="s">
        <v>304</v>
      </c>
      <c r="AC35" s="61" t="s">
        <v>327</v>
      </c>
    </row>
    <row r="36" spans="2:29" ht="13.5" thickBot="1">
      <c r="B36" s="10" t="s">
        <v>931</v>
      </c>
      <c r="D36" s="52" t="s">
        <v>214</v>
      </c>
      <c r="E36" s="52" t="s">
        <v>499</v>
      </c>
      <c r="F36" s="7"/>
      <c r="G36" s="8"/>
      <c r="H36" s="7"/>
      <c r="I36" s="30" t="s">
        <v>144</v>
      </c>
      <c r="J36" s="7"/>
      <c r="K36" s="8"/>
      <c r="L36" s="7"/>
      <c r="M36" s="8"/>
      <c r="N36" s="7"/>
      <c r="O36" s="8"/>
      <c r="P36" s="7"/>
      <c r="Q36" s="7"/>
      <c r="R36" s="8"/>
      <c r="S36" s="7"/>
      <c r="T36" s="9"/>
      <c r="U36" s="7"/>
      <c r="V36" s="8"/>
      <c r="W36" s="7"/>
      <c r="X36" s="7"/>
      <c r="Y36" s="8"/>
      <c r="Z36" s="7"/>
      <c r="AA36" s="57"/>
      <c r="AB36" s="61" t="s">
        <v>304</v>
      </c>
      <c r="AC36" s="61" t="s">
        <v>922</v>
      </c>
    </row>
    <row r="37" spans="2:29" ht="13.5" thickBot="1">
      <c r="B37" s="10" t="s">
        <v>357</v>
      </c>
      <c r="D37" s="52" t="s">
        <v>305</v>
      </c>
      <c r="E37" s="52" t="s">
        <v>448</v>
      </c>
      <c r="F37" s="7"/>
      <c r="G37" s="8"/>
      <c r="H37" s="7"/>
      <c r="I37" s="30" t="s">
        <v>1469</v>
      </c>
      <c r="J37" s="7"/>
      <c r="K37" s="8"/>
      <c r="L37" s="7"/>
      <c r="M37" s="8"/>
      <c r="N37" s="7"/>
      <c r="O37" s="8"/>
      <c r="P37" s="7"/>
      <c r="Q37" s="7"/>
      <c r="R37" s="8"/>
      <c r="S37" s="7"/>
      <c r="T37" s="9"/>
      <c r="U37" s="7"/>
      <c r="V37" s="8"/>
      <c r="W37" s="7"/>
      <c r="X37" s="7"/>
      <c r="Y37" s="8"/>
      <c r="Z37" s="7"/>
      <c r="AA37" s="57"/>
      <c r="AB37" s="61" t="s">
        <v>304</v>
      </c>
      <c r="AC37" s="61" t="s">
        <v>928</v>
      </c>
    </row>
    <row r="38" spans="2:29" ht="13.5" thickBot="1">
      <c r="B38" s="10" t="s">
        <v>932</v>
      </c>
      <c r="D38" s="52" t="s">
        <v>184</v>
      </c>
      <c r="E38" s="52" t="s">
        <v>476</v>
      </c>
      <c r="F38" s="7"/>
      <c r="G38" s="8"/>
      <c r="H38" s="7"/>
      <c r="I38" s="40" t="s">
        <v>604</v>
      </c>
      <c r="J38" s="7"/>
      <c r="K38" s="8"/>
      <c r="L38" s="7"/>
      <c r="M38" s="8"/>
      <c r="N38" s="7"/>
      <c r="O38" s="8"/>
      <c r="P38" s="7"/>
      <c r="Q38" s="7"/>
      <c r="R38" s="8"/>
      <c r="S38" s="7"/>
      <c r="T38" s="9"/>
      <c r="U38" s="7"/>
      <c r="V38" s="8"/>
      <c r="W38" s="7"/>
      <c r="X38" s="7"/>
      <c r="Y38" s="8"/>
      <c r="Z38" s="7"/>
      <c r="AA38" s="57"/>
      <c r="AB38" s="61" t="s">
        <v>304</v>
      </c>
      <c r="AC38" s="61" t="s">
        <v>933</v>
      </c>
    </row>
    <row r="39" spans="2:29" ht="13.5" thickBot="1">
      <c r="B39" s="10" t="s">
        <v>309</v>
      </c>
      <c r="D39" s="52" t="s">
        <v>142</v>
      </c>
      <c r="E39" s="52" t="s">
        <v>936</v>
      </c>
      <c r="F39" s="7"/>
      <c r="G39" s="8"/>
      <c r="H39" s="7"/>
      <c r="I39" s="415" t="s">
        <v>241</v>
      </c>
      <c r="J39" s="7"/>
      <c r="K39" s="8"/>
      <c r="L39" s="7"/>
      <c r="M39" s="8"/>
      <c r="N39" s="7"/>
      <c r="O39" s="8"/>
      <c r="P39" s="7"/>
      <c r="Q39" s="7"/>
      <c r="R39" s="8"/>
      <c r="S39" s="7"/>
      <c r="T39" s="9"/>
      <c r="U39" s="7"/>
      <c r="V39" s="8"/>
      <c r="W39" s="7"/>
      <c r="X39" s="7"/>
      <c r="Y39" s="8"/>
      <c r="Z39" s="7"/>
      <c r="AA39" s="57"/>
      <c r="AB39" s="61" t="s">
        <v>304</v>
      </c>
      <c r="AC39" s="61" t="s">
        <v>935</v>
      </c>
    </row>
    <row r="40" spans="2:29" ht="13.5" thickBot="1">
      <c r="B40" s="414" t="s">
        <v>934</v>
      </c>
      <c r="D40" s="52"/>
      <c r="E40" s="52" t="s">
        <v>489</v>
      </c>
      <c r="F40" s="7"/>
      <c r="G40" s="8"/>
      <c r="H40" s="7"/>
      <c r="I40" s="30" t="s">
        <v>246</v>
      </c>
      <c r="J40" s="7"/>
      <c r="K40" s="8"/>
      <c r="L40" s="7"/>
      <c r="M40" s="8"/>
      <c r="N40" s="7"/>
      <c r="O40" s="8"/>
      <c r="P40" s="7"/>
      <c r="Q40" s="7"/>
      <c r="R40" s="8"/>
      <c r="S40" s="7"/>
      <c r="T40" s="9"/>
      <c r="U40" s="7"/>
      <c r="V40" s="8"/>
      <c r="W40" s="7"/>
      <c r="X40" s="7"/>
      <c r="Y40" s="8"/>
      <c r="Z40" s="7"/>
      <c r="AA40" s="57"/>
      <c r="AB40" s="61" t="s">
        <v>515</v>
      </c>
      <c r="AC40" s="61" t="s">
        <v>937</v>
      </c>
    </row>
    <row r="41" spans="2:29" ht="13.5" thickBot="1">
      <c r="B41" s="10" t="s">
        <v>355</v>
      </c>
      <c r="D41" s="52"/>
      <c r="E41" s="52" t="s">
        <v>494</v>
      </c>
      <c r="F41" s="7"/>
      <c r="G41" s="8"/>
      <c r="H41" s="7"/>
      <c r="I41" s="30" t="s">
        <v>194</v>
      </c>
      <c r="J41" s="7"/>
      <c r="K41" s="8"/>
      <c r="L41" s="7"/>
      <c r="M41" s="8"/>
      <c r="N41" s="7"/>
      <c r="O41" s="8"/>
      <c r="P41" s="7"/>
      <c r="Q41" s="7"/>
      <c r="R41" s="8"/>
      <c r="S41" s="7"/>
      <c r="T41" s="9"/>
      <c r="U41" s="7"/>
      <c r="V41" s="8"/>
      <c r="W41" s="7"/>
      <c r="X41" s="7"/>
      <c r="Y41" s="8"/>
      <c r="Z41" s="7"/>
      <c r="AA41" s="57"/>
      <c r="AB41" s="61" t="s">
        <v>515</v>
      </c>
      <c r="AC41" s="61" t="s">
        <v>939</v>
      </c>
    </row>
    <row r="42" spans="2:29" ht="13.5" thickBot="1">
      <c r="B42" s="10" t="s">
        <v>938</v>
      </c>
      <c r="D42" s="52"/>
      <c r="E42" s="52" t="s">
        <v>460</v>
      </c>
      <c r="F42" s="7"/>
      <c r="G42" s="8"/>
      <c r="H42" s="7"/>
      <c r="I42" s="30" t="s">
        <v>199</v>
      </c>
      <c r="J42" s="7"/>
      <c r="K42" s="8"/>
      <c r="L42" s="7"/>
      <c r="M42" s="8"/>
      <c r="N42" s="7"/>
      <c r="O42" s="8"/>
      <c r="P42" s="7"/>
      <c r="Q42" s="7"/>
      <c r="R42" s="8"/>
      <c r="S42" s="7"/>
      <c r="T42" s="9"/>
      <c r="U42" s="7"/>
      <c r="V42" s="8"/>
      <c r="W42" s="7"/>
      <c r="X42" s="7"/>
      <c r="Y42" s="8"/>
      <c r="Z42" s="7"/>
      <c r="AA42" s="57"/>
      <c r="AB42" s="61" t="s">
        <v>515</v>
      </c>
      <c r="AC42" s="61" t="s">
        <v>941</v>
      </c>
    </row>
    <row r="43" spans="2:29" ht="13.5" thickBot="1">
      <c r="B43" s="10" t="s">
        <v>940</v>
      </c>
      <c r="D43" s="52"/>
      <c r="E43" s="52" t="s">
        <v>434</v>
      </c>
      <c r="F43" s="7"/>
      <c r="G43" s="8"/>
      <c r="H43" s="7"/>
      <c r="I43" s="30" t="s">
        <v>208</v>
      </c>
      <c r="J43" s="7"/>
      <c r="K43" s="8"/>
      <c r="L43" s="7"/>
      <c r="M43" s="8"/>
      <c r="N43" s="7"/>
      <c r="O43" s="8"/>
      <c r="P43" s="7"/>
      <c r="Q43" s="7"/>
      <c r="R43" s="8"/>
      <c r="S43" s="7"/>
      <c r="T43" s="9"/>
      <c r="U43" s="7"/>
      <c r="V43" s="8"/>
      <c r="W43" s="7"/>
      <c r="X43" s="7"/>
      <c r="Y43" s="8"/>
      <c r="Z43" s="7"/>
      <c r="AA43" s="57"/>
      <c r="AB43" s="61" t="s">
        <v>515</v>
      </c>
      <c r="AC43" s="61" t="s">
        <v>943</v>
      </c>
    </row>
    <row r="44" spans="2:29" ht="13.5" thickBot="1">
      <c r="B44" s="361" t="s">
        <v>1752</v>
      </c>
      <c r="D44" s="52"/>
      <c r="E44" s="52" t="s">
        <v>498</v>
      </c>
      <c r="F44" s="7"/>
      <c r="G44" s="8"/>
      <c r="H44" s="7"/>
      <c r="I44" s="30" t="s">
        <v>529</v>
      </c>
      <c r="J44" s="7"/>
      <c r="K44" s="8"/>
      <c r="L44" s="7"/>
      <c r="M44" s="8"/>
      <c r="N44" s="7"/>
      <c r="O44" s="8"/>
      <c r="P44" s="7"/>
      <c r="Q44" s="7"/>
      <c r="R44" s="8"/>
      <c r="S44" s="7"/>
      <c r="T44" s="9"/>
      <c r="U44" s="7"/>
      <c r="V44" s="8"/>
      <c r="W44" s="7"/>
      <c r="X44" s="7"/>
      <c r="Y44" s="8"/>
      <c r="Z44" s="7"/>
      <c r="AA44" s="57"/>
      <c r="AB44" s="61" t="s">
        <v>515</v>
      </c>
      <c r="AC44" s="61" t="s">
        <v>944</v>
      </c>
    </row>
    <row r="45" spans="2:29" ht="13.5" thickBot="1">
      <c r="B45" s="361" t="s">
        <v>2085</v>
      </c>
      <c r="D45" s="52"/>
      <c r="E45" s="52" t="s">
        <v>435</v>
      </c>
      <c r="F45" s="7"/>
      <c r="G45" s="8"/>
      <c r="H45" s="7"/>
      <c r="I45" s="30" t="s">
        <v>197</v>
      </c>
      <c r="J45" s="7"/>
      <c r="K45" s="8"/>
      <c r="L45" s="7"/>
      <c r="M45" s="8"/>
      <c r="N45" s="7"/>
      <c r="O45" s="8"/>
      <c r="P45" s="7"/>
      <c r="Q45" s="7"/>
      <c r="R45" s="8"/>
      <c r="S45" s="7"/>
      <c r="T45" s="9"/>
      <c r="U45" s="7"/>
      <c r="V45" s="8"/>
      <c r="W45" s="7"/>
      <c r="X45" s="7"/>
      <c r="Y45" s="8"/>
      <c r="Z45" s="7"/>
      <c r="AA45" s="57"/>
      <c r="AB45" s="61" t="s">
        <v>515</v>
      </c>
      <c r="AC45" s="61" t="s">
        <v>534</v>
      </c>
    </row>
    <row r="46" spans="2:29" ht="13.5" thickBot="1">
      <c r="B46" s="361" t="s">
        <v>2076</v>
      </c>
      <c r="D46" s="52"/>
      <c r="E46" s="52" t="s">
        <v>677</v>
      </c>
      <c r="F46" s="7"/>
      <c r="G46" s="8"/>
      <c r="H46" s="7"/>
      <c r="I46" s="30" t="s">
        <v>212</v>
      </c>
      <c r="J46" s="7"/>
      <c r="K46" s="8"/>
      <c r="L46" s="7"/>
      <c r="M46" s="8"/>
      <c r="N46" s="7"/>
      <c r="O46" s="8"/>
      <c r="P46" s="7"/>
      <c r="Q46" s="7"/>
      <c r="R46" s="8"/>
      <c r="S46" s="7"/>
      <c r="T46" s="9"/>
      <c r="U46" s="7"/>
      <c r="V46" s="8"/>
      <c r="W46" s="7"/>
      <c r="X46" s="7"/>
      <c r="Y46" s="8"/>
      <c r="Z46" s="7"/>
      <c r="AA46" s="57"/>
      <c r="AB46" s="61" t="s">
        <v>515</v>
      </c>
      <c r="AC46" s="61" t="s">
        <v>556</v>
      </c>
    </row>
    <row r="47" spans="2:29" ht="13.5" thickBot="1">
      <c r="B47" s="10" t="s">
        <v>942</v>
      </c>
      <c r="D47" s="52"/>
      <c r="E47" s="52" t="s">
        <v>492</v>
      </c>
      <c r="F47" s="7"/>
      <c r="G47" s="8"/>
      <c r="H47" s="7"/>
      <c r="I47" s="30" t="s">
        <v>202</v>
      </c>
      <c r="J47" s="7"/>
      <c r="K47" s="8"/>
      <c r="L47" s="7"/>
      <c r="M47" s="8"/>
      <c r="N47" s="7"/>
      <c r="O47" s="8"/>
      <c r="P47" s="7"/>
      <c r="Q47" s="7"/>
      <c r="R47" s="8"/>
      <c r="S47" s="7"/>
      <c r="T47" s="9"/>
      <c r="U47" s="7"/>
      <c r="V47" s="8"/>
      <c r="W47" s="7"/>
      <c r="X47" s="7"/>
      <c r="Y47" s="8"/>
      <c r="Z47" s="7"/>
      <c r="AA47" s="57"/>
      <c r="AB47" s="61" t="s">
        <v>515</v>
      </c>
      <c r="AC47" s="61" t="s">
        <v>947</v>
      </c>
    </row>
    <row r="48" spans="2:29" ht="13.5" thickBot="1">
      <c r="B48" s="10" t="s">
        <v>358</v>
      </c>
      <c r="D48" s="52"/>
      <c r="E48" s="52" t="s">
        <v>662</v>
      </c>
      <c r="F48" s="7"/>
      <c r="G48" s="8"/>
      <c r="H48" s="7"/>
      <c r="I48" s="30" t="s">
        <v>533</v>
      </c>
      <c r="J48" s="7"/>
      <c r="K48" s="8"/>
      <c r="L48" s="7"/>
      <c r="M48" s="8"/>
      <c r="N48" s="7"/>
      <c r="O48" s="8"/>
      <c r="P48" s="7"/>
      <c r="Q48" s="7"/>
      <c r="R48" s="8"/>
      <c r="S48" s="7"/>
      <c r="T48" s="9"/>
      <c r="U48" s="7"/>
      <c r="V48" s="8"/>
      <c r="W48" s="7"/>
      <c r="X48" s="7"/>
      <c r="Y48" s="8"/>
      <c r="Z48" s="7"/>
      <c r="AA48" s="57"/>
      <c r="AB48" s="61" t="s">
        <v>515</v>
      </c>
      <c r="AC48" s="61" t="s">
        <v>949</v>
      </c>
    </row>
    <row r="49" spans="2:29" ht="13.5" thickBot="1">
      <c r="B49" s="10" t="s">
        <v>297</v>
      </c>
      <c r="D49" s="52"/>
      <c r="E49" s="52" t="s">
        <v>462</v>
      </c>
      <c r="F49" s="7"/>
      <c r="G49" s="8"/>
      <c r="H49" s="7"/>
      <c r="I49" s="30" t="s">
        <v>552</v>
      </c>
      <c r="J49" s="7"/>
      <c r="K49" s="8"/>
      <c r="L49" s="7"/>
      <c r="M49" s="8"/>
      <c r="N49" s="7"/>
      <c r="O49" s="8"/>
      <c r="P49" s="7"/>
      <c r="Q49" s="7"/>
      <c r="R49" s="8"/>
      <c r="S49" s="7"/>
      <c r="T49" s="9"/>
      <c r="U49" s="7"/>
      <c r="V49" s="8"/>
      <c r="W49" s="7"/>
      <c r="X49" s="7"/>
      <c r="Y49" s="8"/>
      <c r="Z49" s="7"/>
      <c r="AA49" s="57"/>
      <c r="AB49" s="61" t="s">
        <v>515</v>
      </c>
      <c r="AC49" s="61" t="s">
        <v>950</v>
      </c>
    </row>
    <row r="50" spans="2:29" ht="13.5" thickBot="1">
      <c r="B50" s="10" t="s">
        <v>945</v>
      </c>
      <c r="D50" s="52"/>
      <c r="E50" s="52" t="s">
        <v>451</v>
      </c>
      <c r="F50" s="7"/>
      <c r="G50" s="8"/>
      <c r="H50" s="7"/>
      <c r="I50" s="30" t="s">
        <v>532</v>
      </c>
      <c r="J50" s="7"/>
      <c r="K50" s="8"/>
      <c r="L50" s="7"/>
      <c r="M50" s="8"/>
      <c r="N50" s="7"/>
      <c r="O50" s="8"/>
      <c r="P50" s="7"/>
      <c r="Q50" s="7"/>
      <c r="R50" s="8"/>
      <c r="S50" s="7"/>
      <c r="T50" s="9"/>
      <c r="U50" s="7"/>
      <c r="V50" s="8"/>
      <c r="W50" s="7"/>
      <c r="X50" s="7"/>
      <c r="Y50" s="8"/>
      <c r="Z50" s="7"/>
      <c r="AA50" s="57"/>
      <c r="AB50" s="61" t="s">
        <v>515</v>
      </c>
      <c r="AC50" s="61" t="s">
        <v>951</v>
      </c>
    </row>
    <row r="51" spans="2:29" ht="13.5" thickBot="1">
      <c r="B51" s="10" t="s">
        <v>946</v>
      </c>
      <c r="D51" s="52"/>
      <c r="E51" s="52" t="s">
        <v>429</v>
      </c>
      <c r="F51" s="7"/>
      <c r="G51" s="8"/>
      <c r="H51" s="7"/>
      <c r="I51" s="30" t="s">
        <v>218</v>
      </c>
      <c r="J51" s="7"/>
      <c r="K51" s="8"/>
      <c r="L51" s="7"/>
      <c r="M51" s="8"/>
      <c r="N51" s="7"/>
      <c r="O51" s="8"/>
      <c r="P51" s="7"/>
      <c r="Q51" s="7"/>
      <c r="R51" s="8"/>
      <c r="S51" s="7"/>
      <c r="T51" s="9"/>
      <c r="U51" s="7"/>
      <c r="V51" s="8"/>
      <c r="W51" s="7"/>
      <c r="X51" s="7"/>
      <c r="Y51" s="8"/>
      <c r="Z51" s="7"/>
      <c r="AA51" s="57"/>
      <c r="AB51" s="61" t="s">
        <v>515</v>
      </c>
      <c r="AC51" s="61" t="s">
        <v>953</v>
      </c>
    </row>
    <row r="52" spans="2:29" ht="13.5" thickBot="1">
      <c r="B52" s="10" t="s">
        <v>948</v>
      </c>
      <c r="C52" s="64"/>
      <c r="D52" s="52"/>
      <c r="E52" s="52" t="s">
        <v>463</v>
      </c>
      <c r="F52" s="7"/>
      <c r="G52" s="8"/>
      <c r="H52" s="7"/>
      <c r="I52" s="415" t="s">
        <v>325</v>
      </c>
      <c r="J52" s="7"/>
      <c r="K52" s="8"/>
      <c r="L52" s="7"/>
      <c r="M52" s="8"/>
      <c r="N52" s="7"/>
      <c r="O52" s="8"/>
      <c r="P52" s="7"/>
      <c r="Q52" s="7"/>
      <c r="R52" s="8"/>
      <c r="S52" s="7"/>
      <c r="T52" s="9"/>
      <c r="U52" s="7"/>
      <c r="V52" s="8"/>
      <c r="W52" s="7"/>
      <c r="X52" s="7"/>
      <c r="Y52" s="8"/>
      <c r="Z52" s="7"/>
      <c r="AA52" s="57"/>
      <c r="AB52" s="61" t="s">
        <v>515</v>
      </c>
      <c r="AC52" s="61" t="s">
        <v>519</v>
      </c>
    </row>
    <row r="53" spans="2:29" ht="14" thickTop="1" thickBot="1">
      <c r="B53" s="10" t="s">
        <v>242</v>
      </c>
      <c r="D53" s="52"/>
      <c r="E53" s="52" t="s">
        <v>500</v>
      </c>
      <c r="F53" s="7"/>
      <c r="G53" s="8"/>
      <c r="H53" s="7"/>
      <c r="I53" s="6"/>
      <c r="J53" s="7"/>
      <c r="K53" s="8"/>
      <c r="L53" s="7"/>
      <c r="M53" s="8"/>
      <c r="N53" s="7"/>
      <c r="O53" s="8"/>
      <c r="P53" s="7"/>
      <c r="Q53" s="7"/>
      <c r="R53" s="8"/>
      <c r="S53" s="7"/>
      <c r="T53" s="9"/>
      <c r="U53" s="7"/>
      <c r="V53" s="8"/>
      <c r="W53" s="7"/>
      <c r="X53" s="7"/>
      <c r="Y53" s="8"/>
      <c r="Z53" s="7"/>
      <c r="AA53" s="57"/>
      <c r="AB53" s="61" t="s">
        <v>515</v>
      </c>
      <c r="AC53" s="61" t="s">
        <v>955</v>
      </c>
    </row>
    <row r="54" spans="2:29" ht="14" thickTop="1" thickBot="1">
      <c r="B54" s="10" t="s">
        <v>276</v>
      </c>
      <c r="D54" s="52"/>
      <c r="E54" s="52" t="s">
        <v>422</v>
      </c>
      <c r="F54" s="7"/>
      <c r="G54" s="8"/>
      <c r="H54" s="7"/>
      <c r="I54" s="6"/>
      <c r="J54" s="7"/>
      <c r="K54" s="8"/>
      <c r="L54" s="7"/>
      <c r="M54" s="8"/>
      <c r="N54" s="7"/>
      <c r="O54" s="8"/>
      <c r="P54" s="7"/>
      <c r="Q54" s="7"/>
      <c r="R54" s="8"/>
      <c r="S54" s="7"/>
      <c r="T54" s="9"/>
      <c r="U54" s="7"/>
      <c r="V54" s="8"/>
      <c r="W54" s="7"/>
      <c r="X54" s="7"/>
      <c r="Y54" s="8"/>
      <c r="Z54" s="7"/>
      <c r="AA54" s="57"/>
      <c r="AB54" s="61" t="s">
        <v>515</v>
      </c>
      <c r="AC54" s="61" t="s">
        <v>956</v>
      </c>
    </row>
    <row r="55" spans="2:29" ht="14" thickTop="1" thickBot="1">
      <c r="B55" s="10" t="s">
        <v>952</v>
      </c>
      <c r="D55" s="52"/>
      <c r="E55" s="52" t="s">
        <v>423</v>
      </c>
      <c r="F55" s="7"/>
      <c r="G55" s="8"/>
      <c r="H55" s="7"/>
      <c r="I55" s="6"/>
      <c r="J55" s="7"/>
      <c r="K55" s="8"/>
      <c r="L55" s="7"/>
      <c r="M55" s="8"/>
      <c r="N55" s="7"/>
      <c r="O55" s="8"/>
      <c r="P55" s="7"/>
      <c r="Q55" s="7"/>
      <c r="R55" s="8"/>
      <c r="S55" s="7"/>
      <c r="T55" s="9"/>
      <c r="U55" s="7"/>
      <c r="V55" s="8"/>
      <c r="W55" s="7"/>
      <c r="X55" s="7"/>
      <c r="Y55" s="8"/>
      <c r="Z55" s="7"/>
      <c r="AA55" s="57"/>
      <c r="AB55" s="61" t="s">
        <v>515</v>
      </c>
      <c r="AC55" s="61" t="s">
        <v>957</v>
      </c>
    </row>
    <row r="56" spans="2:29" ht="14" thickTop="1" thickBot="1">
      <c r="B56" s="10" t="s">
        <v>954</v>
      </c>
      <c r="D56" s="52"/>
      <c r="E56" s="52" t="s">
        <v>472</v>
      </c>
      <c r="F56" s="7"/>
      <c r="G56" s="8"/>
      <c r="H56" s="7"/>
      <c r="I56" s="6"/>
      <c r="J56" s="7"/>
      <c r="K56" s="8"/>
      <c r="L56" s="7"/>
      <c r="M56" s="8"/>
      <c r="N56" s="7"/>
      <c r="O56" s="8"/>
      <c r="P56" s="7"/>
      <c r="Q56" s="7"/>
      <c r="R56" s="8"/>
      <c r="S56" s="7"/>
      <c r="T56" s="9"/>
      <c r="U56" s="7"/>
      <c r="V56" s="8"/>
      <c r="W56" s="7"/>
      <c r="X56" s="7"/>
      <c r="Y56" s="8"/>
      <c r="Z56" s="7"/>
      <c r="AA56" s="57"/>
      <c r="AB56" s="61" t="s">
        <v>515</v>
      </c>
      <c r="AC56" s="61" t="s">
        <v>958</v>
      </c>
    </row>
    <row r="57" spans="2:29" ht="14" thickTop="1" thickBot="1">
      <c r="B57" s="414" t="s">
        <v>2634</v>
      </c>
      <c r="D57" s="52"/>
      <c r="E57" s="52" t="s">
        <v>474</v>
      </c>
      <c r="F57" s="7"/>
      <c r="G57" s="8"/>
      <c r="H57" s="7"/>
      <c r="I57" s="6"/>
      <c r="J57" s="7"/>
      <c r="K57" s="8"/>
      <c r="L57" s="7"/>
      <c r="M57" s="8"/>
      <c r="N57" s="7"/>
      <c r="O57" s="8"/>
      <c r="P57" s="7"/>
      <c r="Q57" s="7"/>
      <c r="R57" s="8"/>
      <c r="S57" s="7"/>
      <c r="T57" s="9"/>
      <c r="U57" s="7"/>
      <c r="V57" s="8"/>
      <c r="W57" s="7"/>
      <c r="X57" s="7"/>
      <c r="Y57" s="8"/>
      <c r="Z57" s="7"/>
      <c r="AA57" s="57"/>
      <c r="AB57" s="61" t="s">
        <v>515</v>
      </c>
      <c r="AC57" s="61" t="s">
        <v>959</v>
      </c>
    </row>
    <row r="58" spans="2:29" ht="14" thickTop="1" thickBot="1">
      <c r="B58" s="10" t="s">
        <v>241</v>
      </c>
      <c r="D58" s="52"/>
      <c r="E58" s="52" t="s">
        <v>439</v>
      </c>
      <c r="F58" s="7"/>
      <c r="G58" s="8"/>
      <c r="H58" s="7"/>
      <c r="I58" s="6"/>
      <c r="J58" s="7"/>
      <c r="K58" s="8"/>
      <c r="L58" s="7"/>
      <c r="M58" s="8"/>
      <c r="N58" s="7"/>
      <c r="O58" s="8"/>
      <c r="P58" s="7"/>
      <c r="Q58" s="7"/>
      <c r="R58" s="8"/>
      <c r="S58" s="7"/>
      <c r="T58" s="9"/>
      <c r="U58" s="7"/>
      <c r="V58" s="8"/>
      <c r="W58" s="7"/>
      <c r="X58" s="7"/>
      <c r="Y58" s="8"/>
      <c r="Z58" s="7"/>
      <c r="AA58" s="57"/>
      <c r="AB58" s="61" t="s">
        <v>515</v>
      </c>
      <c r="AC58" s="61" t="s">
        <v>960</v>
      </c>
    </row>
    <row r="59" spans="2:29" ht="14" thickTop="1" thickBot="1">
      <c r="B59" s="414" t="s">
        <v>2143</v>
      </c>
      <c r="D59" s="52"/>
      <c r="E59" s="52" t="s">
        <v>461</v>
      </c>
      <c r="F59" s="7"/>
      <c r="G59" s="8"/>
      <c r="H59" s="7"/>
      <c r="I59" s="6"/>
      <c r="J59" s="7"/>
      <c r="K59" s="8"/>
      <c r="L59" s="7"/>
      <c r="M59" s="8"/>
      <c r="N59" s="7"/>
      <c r="O59" s="8"/>
      <c r="P59" s="7"/>
      <c r="Q59" s="7"/>
      <c r="R59" s="8"/>
      <c r="S59" s="7"/>
      <c r="T59" s="9"/>
      <c r="U59" s="7"/>
      <c r="V59" s="8"/>
      <c r="W59" s="7"/>
      <c r="X59" s="7"/>
      <c r="Y59" s="8"/>
      <c r="Z59" s="7"/>
      <c r="AA59" s="57"/>
      <c r="AB59" s="61" t="s">
        <v>515</v>
      </c>
      <c r="AC59" s="61" t="s">
        <v>961</v>
      </c>
    </row>
    <row r="60" spans="2:29" ht="14" thickTop="1" thickBot="1">
      <c r="B60" s="414" t="s">
        <v>291</v>
      </c>
      <c r="D60" s="52"/>
      <c r="E60" s="52" t="s">
        <v>433</v>
      </c>
      <c r="F60" s="7"/>
      <c r="G60" s="8"/>
      <c r="H60" s="7"/>
      <c r="I60" s="6"/>
      <c r="J60" s="7"/>
      <c r="K60" s="8"/>
      <c r="L60" s="7"/>
      <c r="M60" s="8"/>
      <c r="N60" s="7"/>
      <c r="O60" s="8"/>
      <c r="P60" s="7"/>
      <c r="Q60" s="7"/>
      <c r="R60" s="8"/>
      <c r="S60" s="7"/>
      <c r="T60" s="9"/>
      <c r="U60" s="7"/>
      <c r="V60" s="8"/>
      <c r="W60" s="7"/>
      <c r="X60" s="7"/>
      <c r="Y60" s="8"/>
      <c r="Z60" s="7"/>
      <c r="AA60" s="57"/>
      <c r="AB60" s="61" t="s">
        <v>515</v>
      </c>
      <c r="AC60" s="61" t="s">
        <v>962</v>
      </c>
    </row>
    <row r="61" spans="2:29" ht="14" thickTop="1" thickBot="1">
      <c r="B61" s="391" t="s">
        <v>2124</v>
      </c>
      <c r="D61" s="52"/>
      <c r="E61" s="52" t="s">
        <v>679</v>
      </c>
      <c r="F61" s="7"/>
      <c r="G61" s="8"/>
      <c r="H61" s="7"/>
      <c r="I61" s="6"/>
      <c r="J61" s="7"/>
      <c r="K61" s="8"/>
      <c r="L61" s="7"/>
      <c r="M61" s="8"/>
      <c r="N61" s="7"/>
      <c r="O61" s="8"/>
      <c r="P61" s="7"/>
      <c r="Q61" s="7"/>
      <c r="R61" s="8"/>
      <c r="S61" s="7"/>
      <c r="T61" s="9"/>
      <c r="U61" s="7"/>
      <c r="V61" s="8"/>
      <c r="W61" s="7"/>
      <c r="X61" s="7"/>
      <c r="Y61" s="8"/>
      <c r="Z61" s="7"/>
      <c r="AA61" s="57"/>
      <c r="AB61" s="61" t="s">
        <v>515</v>
      </c>
      <c r="AC61" s="61" t="s">
        <v>963</v>
      </c>
    </row>
    <row r="62" spans="2:29" ht="14" thickTop="1" thickBot="1">
      <c r="B62" s="64" t="s">
        <v>1481</v>
      </c>
      <c r="D62" s="52"/>
      <c r="E62" s="52" t="s">
        <v>455</v>
      </c>
      <c r="F62" s="7"/>
      <c r="G62" s="8"/>
      <c r="H62" s="7"/>
      <c r="I62" s="6"/>
      <c r="J62" s="7"/>
      <c r="K62" s="8"/>
      <c r="L62" s="7"/>
      <c r="M62" s="8"/>
      <c r="N62" s="7"/>
      <c r="O62" s="8"/>
      <c r="P62" s="7"/>
      <c r="Q62" s="7"/>
      <c r="R62" s="8"/>
      <c r="S62" s="7"/>
      <c r="T62" s="9"/>
      <c r="U62" s="7"/>
      <c r="V62" s="8"/>
      <c r="W62" s="7"/>
      <c r="X62" s="7"/>
      <c r="Y62" s="8"/>
      <c r="Z62" s="7"/>
      <c r="AA62" s="57"/>
      <c r="AB62" s="61" t="s">
        <v>515</v>
      </c>
      <c r="AC62" s="61" t="s">
        <v>522</v>
      </c>
    </row>
    <row r="63" spans="2:29" ht="14" thickTop="1" thickBot="1">
      <c r="B63" s="10"/>
      <c r="D63" s="52"/>
      <c r="E63" s="52" t="s">
        <v>454</v>
      </c>
      <c r="F63" s="7"/>
      <c r="G63" s="8"/>
      <c r="H63" s="7"/>
      <c r="I63" s="6"/>
      <c r="J63" s="7"/>
      <c r="K63" s="8"/>
      <c r="L63" s="7"/>
      <c r="M63" s="8"/>
      <c r="N63" s="7"/>
      <c r="O63" s="8"/>
      <c r="P63" s="7"/>
      <c r="Q63" s="7"/>
      <c r="R63" s="8"/>
      <c r="S63" s="7"/>
      <c r="T63" s="9"/>
      <c r="U63" s="7"/>
      <c r="V63" s="8"/>
      <c r="W63" s="7"/>
      <c r="X63" s="7"/>
      <c r="Y63" s="8"/>
      <c r="Z63" s="7"/>
      <c r="AA63" s="57"/>
      <c r="AB63" s="61" t="s">
        <v>515</v>
      </c>
      <c r="AC63" s="61" t="s">
        <v>964</v>
      </c>
    </row>
    <row r="64" spans="2:29" ht="14" thickTop="1" thickBot="1">
      <c r="B64" s="10"/>
      <c r="D64" s="52"/>
      <c r="E64" s="52" t="s">
        <v>424</v>
      </c>
      <c r="F64" s="7"/>
      <c r="G64" s="8"/>
      <c r="H64" s="7"/>
      <c r="I64" s="6"/>
      <c r="J64" s="7"/>
      <c r="K64" s="8"/>
      <c r="L64" s="7"/>
      <c r="M64" s="8"/>
      <c r="N64" s="7"/>
      <c r="O64" s="8"/>
      <c r="P64" s="7"/>
      <c r="Q64" s="7"/>
      <c r="R64" s="8"/>
      <c r="S64" s="7"/>
      <c r="T64" s="9"/>
      <c r="U64" s="7"/>
      <c r="V64" s="8"/>
      <c r="W64" s="7"/>
      <c r="X64" s="7"/>
      <c r="Y64" s="8"/>
      <c r="Z64" s="7"/>
      <c r="AA64" s="57"/>
      <c r="AB64" s="61" t="s">
        <v>515</v>
      </c>
      <c r="AC64" s="61" t="s">
        <v>965</v>
      </c>
    </row>
    <row r="65" spans="2:29" ht="14" thickTop="1" thickBot="1">
      <c r="B65" s="10"/>
      <c r="D65" s="52"/>
      <c r="E65" s="52" t="s">
        <v>426</v>
      </c>
      <c r="F65" s="7"/>
      <c r="G65" s="8"/>
      <c r="H65" s="7"/>
      <c r="I65" s="6"/>
      <c r="J65" s="7"/>
      <c r="K65" s="8"/>
      <c r="L65" s="7"/>
      <c r="M65" s="8"/>
      <c r="N65" s="7"/>
      <c r="O65" s="8"/>
      <c r="P65" s="7"/>
      <c r="Q65" s="7"/>
      <c r="R65" s="8"/>
      <c r="S65" s="7"/>
      <c r="T65" s="9"/>
      <c r="U65" s="7"/>
      <c r="V65" s="8"/>
      <c r="W65" s="7"/>
      <c r="X65" s="7"/>
      <c r="Y65" s="8"/>
      <c r="Z65" s="7"/>
      <c r="AA65" s="57"/>
      <c r="AB65" s="61" t="s">
        <v>515</v>
      </c>
      <c r="AC65" s="61" t="s">
        <v>966</v>
      </c>
    </row>
    <row r="66" spans="2:29" ht="14" thickTop="1" thickBot="1">
      <c r="B66" s="10"/>
      <c r="D66" s="52"/>
      <c r="E66" s="52" t="s">
        <v>465</v>
      </c>
      <c r="F66" s="7"/>
      <c r="G66" s="8"/>
      <c r="H66" s="7"/>
      <c r="I66" s="6"/>
      <c r="J66" s="7"/>
      <c r="K66" s="8"/>
      <c r="L66" s="7"/>
      <c r="M66" s="8"/>
      <c r="N66" s="7"/>
      <c r="O66" s="8"/>
      <c r="P66" s="7"/>
      <c r="Q66" s="7"/>
      <c r="R66" s="8"/>
      <c r="S66" s="7"/>
      <c r="T66" s="9"/>
      <c r="U66" s="7"/>
      <c r="V66" s="8"/>
      <c r="W66" s="7"/>
      <c r="X66" s="7"/>
      <c r="Y66" s="8"/>
      <c r="Z66" s="7"/>
      <c r="AA66" s="57"/>
      <c r="AB66" s="61" t="s">
        <v>515</v>
      </c>
      <c r="AC66" s="61" t="s">
        <v>967</v>
      </c>
    </row>
    <row r="67" spans="2:29" ht="14" thickTop="1" thickBot="1">
      <c r="B67" s="10"/>
      <c r="D67" s="52"/>
      <c r="E67" s="52" t="s">
        <v>340</v>
      </c>
      <c r="F67" s="7"/>
      <c r="G67" s="8"/>
      <c r="H67" s="7"/>
      <c r="I67" s="6"/>
      <c r="J67" s="7"/>
      <c r="K67" s="8"/>
      <c r="L67" s="7"/>
      <c r="M67" s="8"/>
      <c r="N67" s="7"/>
      <c r="O67" s="8"/>
      <c r="P67" s="7"/>
      <c r="Q67" s="7"/>
      <c r="R67" s="8"/>
      <c r="S67" s="7"/>
      <c r="T67" s="9"/>
      <c r="U67" s="7"/>
      <c r="V67" s="8"/>
      <c r="W67" s="7"/>
      <c r="X67" s="7"/>
      <c r="Y67" s="8"/>
      <c r="Z67" s="7"/>
      <c r="AA67" s="57"/>
      <c r="AB67" s="61" t="s">
        <v>515</v>
      </c>
      <c r="AC67" s="61" t="s">
        <v>525</v>
      </c>
    </row>
    <row r="68" spans="2:29" ht="14" thickTop="1" thickBot="1">
      <c r="B68" s="10"/>
      <c r="D68" s="52"/>
      <c r="E68" s="52" t="s">
        <v>450</v>
      </c>
      <c r="F68" s="7"/>
      <c r="G68" s="8"/>
      <c r="H68" s="7"/>
      <c r="I68" s="6"/>
      <c r="J68" s="7"/>
      <c r="K68" s="8"/>
      <c r="L68" s="7"/>
      <c r="M68" s="8"/>
      <c r="N68" s="7"/>
      <c r="O68" s="8"/>
      <c r="P68" s="7"/>
      <c r="Q68" s="7"/>
      <c r="R68" s="8"/>
      <c r="S68" s="7"/>
      <c r="T68" s="9"/>
      <c r="U68" s="7"/>
      <c r="V68" s="8"/>
      <c r="W68" s="7"/>
      <c r="X68" s="7"/>
      <c r="Y68" s="8"/>
      <c r="Z68" s="7"/>
      <c r="AA68" s="57"/>
      <c r="AB68" s="61" t="s">
        <v>515</v>
      </c>
      <c r="AC68" s="61" t="s">
        <v>968</v>
      </c>
    </row>
    <row r="69" spans="2:29" ht="14" thickTop="1" thickBot="1">
      <c r="B69" s="10"/>
      <c r="D69" s="65"/>
      <c r="E69" s="52" t="s">
        <v>490</v>
      </c>
      <c r="F69" s="7"/>
      <c r="G69" s="8"/>
      <c r="H69" s="7"/>
      <c r="I69" s="6"/>
      <c r="J69" s="7"/>
      <c r="K69" s="8"/>
      <c r="L69" s="7"/>
      <c r="M69" s="8"/>
      <c r="N69" s="7"/>
      <c r="O69" s="8"/>
      <c r="P69" s="7"/>
      <c r="Q69" s="7"/>
      <c r="R69" s="8"/>
      <c r="S69" s="7"/>
      <c r="T69" s="9"/>
      <c r="U69" s="7"/>
      <c r="V69" s="8"/>
      <c r="W69" s="7"/>
      <c r="X69" s="7"/>
      <c r="Y69" s="8"/>
      <c r="Z69" s="7"/>
      <c r="AA69" s="57"/>
      <c r="AB69" s="61" t="s">
        <v>515</v>
      </c>
      <c r="AC69" s="61" t="s">
        <v>516</v>
      </c>
    </row>
    <row r="70" spans="2:29" ht="14" thickTop="1" thickBot="1">
      <c r="B70" s="10"/>
      <c r="D70" s="65"/>
      <c r="E70" s="52" t="s">
        <v>661</v>
      </c>
      <c r="F70" s="7"/>
      <c r="G70" s="8"/>
      <c r="H70" s="7"/>
      <c r="I70" s="6"/>
      <c r="J70" s="7"/>
      <c r="K70" s="8"/>
      <c r="L70" s="7"/>
      <c r="M70" s="8"/>
      <c r="N70" s="7"/>
      <c r="O70" s="8"/>
      <c r="P70" s="7"/>
      <c r="Q70" s="7"/>
      <c r="R70" s="8"/>
      <c r="S70" s="7"/>
      <c r="T70" s="9"/>
      <c r="U70" s="7"/>
      <c r="V70" s="8"/>
      <c r="W70" s="7"/>
      <c r="X70" s="7"/>
      <c r="Y70" s="8"/>
      <c r="Z70" s="7"/>
      <c r="AA70" s="57"/>
      <c r="AB70" s="61" t="s">
        <v>515</v>
      </c>
      <c r="AC70" s="61" t="s">
        <v>969</v>
      </c>
    </row>
    <row r="71" spans="2:29" ht="14" thickTop="1" thickBot="1">
      <c r="B71" s="10"/>
      <c r="D71" s="65"/>
      <c r="E71" s="52" t="s">
        <v>506</v>
      </c>
      <c r="F71" s="7"/>
      <c r="G71" s="8"/>
      <c r="H71" s="7"/>
      <c r="I71" s="6"/>
      <c r="J71" s="7"/>
      <c r="K71" s="8"/>
      <c r="L71" s="7"/>
      <c r="M71" s="8"/>
      <c r="N71" s="7"/>
      <c r="O71" s="8"/>
      <c r="P71" s="7"/>
      <c r="Q71" s="7"/>
      <c r="R71" s="8"/>
      <c r="S71" s="7"/>
      <c r="T71" s="9"/>
      <c r="U71" s="7"/>
      <c r="V71" s="8"/>
      <c r="W71" s="7"/>
      <c r="X71" s="7"/>
      <c r="Y71" s="8"/>
      <c r="Z71" s="7"/>
      <c r="AA71" s="57"/>
      <c r="AB71" s="61" t="s">
        <v>515</v>
      </c>
      <c r="AC71" s="61" t="s">
        <v>536</v>
      </c>
    </row>
    <row r="72" spans="2:29" ht="14" thickTop="1" thickBot="1">
      <c r="B72" s="10"/>
      <c r="D72" s="65"/>
      <c r="E72" s="52" t="s">
        <v>453</v>
      </c>
      <c r="F72" s="7"/>
      <c r="G72" s="8"/>
      <c r="H72" s="7"/>
      <c r="I72" s="6"/>
      <c r="J72" s="7"/>
      <c r="K72" s="8"/>
      <c r="L72" s="7"/>
      <c r="M72" s="8"/>
      <c r="N72" s="7"/>
      <c r="O72" s="8"/>
      <c r="P72" s="7"/>
      <c r="Q72" s="7"/>
      <c r="R72" s="8"/>
      <c r="S72" s="7"/>
      <c r="T72" s="9"/>
      <c r="U72" s="7"/>
      <c r="V72" s="8"/>
      <c r="W72" s="7"/>
      <c r="X72" s="7"/>
      <c r="Y72" s="8"/>
      <c r="Z72" s="7"/>
      <c r="AA72" s="57"/>
      <c r="AB72" s="61" t="s">
        <v>515</v>
      </c>
      <c r="AC72" s="61" t="s">
        <v>970</v>
      </c>
    </row>
    <row r="73" spans="2:29" ht="14" thickTop="1" thickBot="1">
      <c r="B73" s="10"/>
      <c r="D73" s="65"/>
      <c r="E73" s="52" t="s">
        <v>349</v>
      </c>
      <c r="F73" s="7"/>
      <c r="G73" s="8"/>
      <c r="H73" s="7"/>
      <c r="I73" s="6"/>
      <c r="J73" s="7"/>
      <c r="K73" s="8"/>
      <c r="L73" s="7"/>
      <c r="M73" s="8"/>
      <c r="N73" s="7"/>
      <c r="O73" s="8"/>
      <c r="P73" s="7"/>
      <c r="Q73" s="7"/>
      <c r="R73" s="8"/>
      <c r="S73" s="7"/>
      <c r="T73" s="9"/>
      <c r="U73" s="7"/>
      <c r="V73" s="8"/>
      <c r="W73" s="7"/>
      <c r="X73" s="7"/>
      <c r="Y73" s="8"/>
      <c r="Z73" s="7"/>
      <c r="AA73" s="57"/>
      <c r="AB73" s="61" t="s">
        <v>515</v>
      </c>
      <c r="AC73" s="61" t="s">
        <v>971</v>
      </c>
    </row>
    <row r="74" spans="2:29" ht="14" thickTop="1" thickBot="1">
      <c r="B74" s="10"/>
      <c r="D74" s="65"/>
      <c r="E74" s="52" t="s">
        <v>351</v>
      </c>
      <c r="F74" s="7"/>
      <c r="G74" s="8"/>
      <c r="H74" s="7"/>
      <c r="I74" s="6"/>
      <c r="J74" s="7"/>
      <c r="K74" s="8"/>
      <c r="L74" s="7"/>
      <c r="M74" s="8"/>
      <c r="N74" s="7"/>
      <c r="O74" s="8"/>
      <c r="P74" s="7"/>
      <c r="Q74" s="7"/>
      <c r="R74" s="8"/>
      <c r="S74" s="7"/>
      <c r="T74" s="9"/>
      <c r="U74" s="7"/>
      <c r="V74" s="8"/>
      <c r="W74" s="7"/>
      <c r="X74" s="7"/>
      <c r="Y74" s="8"/>
      <c r="Z74" s="7"/>
      <c r="AA74" s="57"/>
      <c r="AB74" s="61" t="s">
        <v>515</v>
      </c>
      <c r="AC74" s="61" t="s">
        <v>972</v>
      </c>
    </row>
    <row r="75" spans="2:29" ht="14" thickTop="1" thickBot="1">
      <c r="B75" s="10"/>
      <c r="D75" s="65"/>
      <c r="E75" s="52" t="s">
        <v>356</v>
      </c>
      <c r="F75" s="7"/>
      <c r="G75" s="8"/>
      <c r="H75" s="7"/>
      <c r="I75" s="6"/>
      <c r="J75" s="7"/>
      <c r="K75" s="8"/>
      <c r="L75" s="7"/>
      <c r="M75" s="8"/>
      <c r="N75" s="7"/>
      <c r="O75" s="8"/>
      <c r="P75" s="7"/>
      <c r="Q75" s="7"/>
      <c r="R75" s="8"/>
      <c r="S75" s="7"/>
      <c r="T75" s="9"/>
      <c r="U75" s="7"/>
      <c r="V75" s="8"/>
      <c r="W75" s="7"/>
      <c r="X75" s="7"/>
      <c r="Y75" s="8"/>
      <c r="Z75" s="7"/>
      <c r="AA75" s="57"/>
      <c r="AB75" s="61" t="s">
        <v>515</v>
      </c>
      <c r="AC75" s="61" t="s">
        <v>973</v>
      </c>
    </row>
    <row r="76" spans="2:29" ht="14" thickTop="1" thickBot="1">
      <c r="B76" s="10"/>
      <c r="D76" s="65"/>
      <c r="E76" s="52" t="s">
        <v>348</v>
      </c>
      <c r="F76" s="7"/>
      <c r="G76" s="8"/>
      <c r="H76" s="7"/>
      <c r="I76" s="6"/>
      <c r="J76" s="7"/>
      <c r="K76" s="8"/>
      <c r="L76" s="7"/>
      <c r="M76" s="8"/>
      <c r="N76" s="7"/>
      <c r="O76" s="8"/>
      <c r="P76" s="7"/>
      <c r="Q76" s="7"/>
      <c r="R76" s="8"/>
      <c r="S76" s="7"/>
      <c r="T76" s="9"/>
      <c r="U76" s="7"/>
      <c r="V76" s="8"/>
      <c r="W76" s="7"/>
      <c r="X76" s="7"/>
      <c r="Y76" s="8"/>
      <c r="Z76" s="7"/>
      <c r="AA76" s="57"/>
      <c r="AB76" s="61" t="s">
        <v>515</v>
      </c>
      <c r="AC76" s="61" t="s">
        <v>974</v>
      </c>
    </row>
    <row r="77" spans="2:29" ht="14" thickTop="1" thickBot="1">
      <c r="B77" s="10"/>
      <c r="D77" s="65"/>
      <c r="E77" s="52" t="s">
        <v>607</v>
      </c>
      <c r="F77" s="7"/>
      <c r="G77" s="8"/>
      <c r="H77" s="7"/>
      <c r="I77" s="6"/>
      <c r="J77" s="7"/>
      <c r="K77" s="8"/>
      <c r="L77" s="7"/>
      <c r="M77" s="8"/>
      <c r="N77" s="7"/>
      <c r="O77" s="8"/>
      <c r="P77" s="7"/>
      <c r="Q77" s="7"/>
      <c r="R77" s="8"/>
      <c r="S77" s="7"/>
      <c r="T77" s="9"/>
      <c r="U77" s="7"/>
      <c r="V77" s="8"/>
      <c r="W77" s="7"/>
      <c r="X77" s="7"/>
      <c r="Y77" s="8"/>
      <c r="Z77" s="7"/>
      <c r="AA77" s="57"/>
      <c r="AB77" s="61" t="s">
        <v>515</v>
      </c>
      <c r="AC77" s="61" t="s">
        <v>975</v>
      </c>
    </row>
    <row r="78" spans="2:29" ht="14" thickTop="1" thickBot="1">
      <c r="B78" s="10"/>
      <c r="D78" s="65"/>
      <c r="E78" s="52" t="s">
        <v>606</v>
      </c>
      <c r="F78" s="7"/>
      <c r="G78" s="8"/>
      <c r="H78" s="7"/>
      <c r="I78" s="6"/>
      <c r="J78" s="7"/>
      <c r="K78" s="8"/>
      <c r="L78" s="7"/>
      <c r="M78" s="8"/>
      <c r="N78" s="7"/>
      <c r="O78" s="8"/>
      <c r="P78" s="7"/>
      <c r="Q78" s="7"/>
      <c r="R78" s="8"/>
      <c r="S78" s="7"/>
      <c r="T78" s="9"/>
      <c r="U78" s="7"/>
      <c r="V78" s="8"/>
      <c r="W78" s="7"/>
      <c r="X78" s="7"/>
      <c r="Y78" s="8"/>
      <c r="Z78" s="7"/>
      <c r="AA78" s="57"/>
      <c r="AB78" s="61" t="s">
        <v>515</v>
      </c>
      <c r="AC78" s="61" t="s">
        <v>976</v>
      </c>
    </row>
    <row r="79" spans="2:29" ht="14" thickTop="1" thickBot="1">
      <c r="B79" s="10"/>
      <c r="D79" s="65"/>
      <c r="E79" s="52" t="s">
        <v>353</v>
      </c>
      <c r="F79" s="7"/>
      <c r="G79" s="8"/>
      <c r="H79" s="7"/>
      <c r="I79" s="6"/>
      <c r="J79" s="7"/>
      <c r="K79" s="8"/>
      <c r="L79" s="7"/>
      <c r="M79" s="8"/>
      <c r="N79" s="7"/>
      <c r="O79" s="8"/>
      <c r="P79" s="7"/>
      <c r="Q79" s="7"/>
      <c r="R79" s="8"/>
      <c r="S79" s="7"/>
      <c r="T79" s="9"/>
      <c r="U79" s="7"/>
      <c r="V79" s="8"/>
      <c r="W79" s="7"/>
      <c r="X79" s="7"/>
      <c r="Y79" s="8"/>
      <c r="Z79" s="7"/>
      <c r="AA79" s="57"/>
      <c r="AB79" s="61" t="s">
        <v>515</v>
      </c>
      <c r="AC79" s="61" t="s">
        <v>977</v>
      </c>
    </row>
    <row r="80" spans="2:29" ht="14" thickTop="1" thickBot="1">
      <c r="B80" s="10"/>
      <c r="D80" s="65"/>
      <c r="E80" s="52" t="s">
        <v>350</v>
      </c>
      <c r="F80" s="7"/>
      <c r="G80" s="8"/>
      <c r="H80" s="7"/>
      <c r="I80" s="6"/>
      <c r="J80" s="7"/>
      <c r="K80" s="8"/>
      <c r="L80" s="7"/>
      <c r="M80" s="8"/>
      <c r="N80" s="7"/>
      <c r="O80" s="8"/>
      <c r="P80" s="7"/>
      <c r="Q80" s="7"/>
      <c r="R80" s="8"/>
      <c r="S80" s="7"/>
      <c r="T80" s="9"/>
      <c r="U80" s="7"/>
      <c r="V80" s="8"/>
      <c r="W80" s="7"/>
      <c r="X80" s="7"/>
      <c r="Y80" s="8"/>
      <c r="Z80" s="7"/>
      <c r="AA80" s="57"/>
      <c r="AB80" s="61" t="s">
        <v>515</v>
      </c>
      <c r="AC80" s="61" t="s">
        <v>978</v>
      </c>
    </row>
    <row r="81" spans="2:29" ht="14" thickTop="1" thickBot="1">
      <c r="B81" s="10"/>
      <c r="D81" s="65"/>
      <c r="E81" s="52" t="s">
        <v>352</v>
      </c>
      <c r="F81" s="7"/>
      <c r="G81" s="8"/>
      <c r="H81" s="7"/>
      <c r="I81" s="6"/>
      <c r="J81" s="7"/>
      <c r="K81" s="8"/>
      <c r="L81" s="7"/>
      <c r="M81" s="8"/>
      <c r="N81" s="7"/>
      <c r="O81" s="8"/>
      <c r="P81" s="7"/>
      <c r="Q81" s="7"/>
      <c r="R81" s="8"/>
      <c r="S81" s="7"/>
      <c r="T81" s="9"/>
      <c r="U81" s="7"/>
      <c r="V81" s="8"/>
      <c r="W81" s="7"/>
      <c r="X81" s="7"/>
      <c r="Y81" s="8"/>
      <c r="Z81" s="7"/>
      <c r="AA81" s="57"/>
      <c r="AB81" s="61" t="s">
        <v>515</v>
      </c>
      <c r="AC81" s="61" t="s">
        <v>979</v>
      </c>
    </row>
    <row r="82" spans="2:29" ht="14" thickTop="1" thickBot="1">
      <c r="B82" s="10"/>
      <c r="D82" s="65"/>
      <c r="E82" s="52" t="s">
        <v>354</v>
      </c>
      <c r="F82" s="7"/>
      <c r="G82" s="8"/>
      <c r="H82" s="7"/>
      <c r="I82" s="6"/>
      <c r="J82" s="7"/>
      <c r="K82" s="8"/>
      <c r="L82" s="7"/>
      <c r="M82" s="8"/>
      <c r="N82" s="7"/>
      <c r="O82" s="8"/>
      <c r="P82" s="7"/>
      <c r="Q82" s="7"/>
      <c r="R82" s="8"/>
      <c r="S82" s="7"/>
      <c r="T82" s="9"/>
      <c r="U82" s="7"/>
      <c r="V82" s="8"/>
      <c r="W82" s="7"/>
      <c r="X82" s="7"/>
      <c r="Y82" s="8"/>
      <c r="Z82" s="7"/>
      <c r="AA82" s="57"/>
      <c r="AB82" s="61" t="s">
        <v>515</v>
      </c>
      <c r="AC82" s="61" t="s">
        <v>980</v>
      </c>
    </row>
    <row r="83" spans="2:29" ht="14" thickTop="1" thickBot="1">
      <c r="B83" s="10"/>
      <c r="D83" s="65"/>
      <c r="E83" s="52" t="s">
        <v>347</v>
      </c>
      <c r="F83" s="7"/>
      <c r="G83" s="8"/>
      <c r="H83" s="7"/>
      <c r="I83" s="6"/>
      <c r="J83" s="7"/>
      <c r="K83" s="8"/>
      <c r="L83" s="7"/>
      <c r="M83" s="8"/>
      <c r="N83" s="7"/>
      <c r="O83" s="8"/>
      <c r="P83" s="7"/>
      <c r="Q83" s="7"/>
      <c r="R83" s="8"/>
      <c r="S83" s="7"/>
      <c r="T83" s="9"/>
      <c r="U83" s="7"/>
      <c r="V83" s="8"/>
      <c r="W83" s="7"/>
      <c r="X83" s="7"/>
      <c r="Y83" s="8"/>
      <c r="Z83" s="7"/>
      <c r="AA83" s="57"/>
      <c r="AB83" s="63" t="s">
        <v>515</v>
      </c>
      <c r="AC83" s="63" t="s">
        <v>981</v>
      </c>
    </row>
    <row r="84" spans="2:29" ht="14" thickTop="1" thickBot="1">
      <c r="B84" s="10"/>
      <c r="D84" s="65"/>
      <c r="E84" s="52" t="s">
        <v>681</v>
      </c>
      <c r="F84" s="7"/>
      <c r="G84" s="8"/>
      <c r="H84" s="7"/>
      <c r="I84" s="6"/>
      <c r="J84" s="7"/>
      <c r="K84" s="8"/>
      <c r="L84" s="7"/>
      <c r="M84" s="8"/>
      <c r="N84" s="7"/>
      <c r="O84" s="8"/>
      <c r="P84" s="7"/>
      <c r="Q84" s="7"/>
      <c r="R84" s="8"/>
      <c r="S84" s="7"/>
      <c r="T84" s="9"/>
      <c r="U84" s="7"/>
      <c r="V84" s="8"/>
      <c r="W84" s="7"/>
      <c r="X84" s="7"/>
      <c r="Y84" s="8"/>
      <c r="Z84" s="7"/>
      <c r="AA84" s="8"/>
    </row>
    <row r="85" spans="2:29" ht="14" thickTop="1" thickBot="1">
      <c r="B85" s="10"/>
      <c r="D85" s="65"/>
      <c r="E85" s="52" t="s">
        <v>680</v>
      </c>
      <c r="F85" s="7"/>
      <c r="G85" s="8"/>
      <c r="H85" s="7"/>
      <c r="I85" s="6"/>
      <c r="J85" s="7"/>
      <c r="K85" s="8"/>
      <c r="L85" s="7"/>
      <c r="M85" s="8"/>
      <c r="N85" s="7"/>
      <c r="O85" s="8"/>
      <c r="P85" s="7"/>
      <c r="Q85" s="7"/>
      <c r="R85" s="8"/>
      <c r="S85" s="7"/>
      <c r="T85" s="9"/>
      <c r="U85" s="7"/>
      <c r="V85" s="8"/>
      <c r="W85" s="7"/>
      <c r="X85" s="7"/>
      <c r="Y85" s="8"/>
      <c r="Z85" s="7"/>
      <c r="AA85" s="8"/>
    </row>
    <row r="86" spans="2:29" ht="14" thickTop="1" thickBot="1">
      <c r="B86" s="10"/>
      <c r="D86" s="65"/>
      <c r="E86" s="52" t="s">
        <v>446</v>
      </c>
      <c r="F86" s="7"/>
      <c r="G86" s="8"/>
      <c r="H86" s="7"/>
      <c r="I86" s="6"/>
      <c r="J86" s="7"/>
      <c r="K86" s="8"/>
      <c r="L86" s="7"/>
      <c r="M86" s="8"/>
      <c r="N86" s="7"/>
      <c r="O86" s="8"/>
      <c r="P86" s="7"/>
      <c r="Q86" s="7"/>
      <c r="R86" s="8"/>
      <c r="S86" s="7"/>
      <c r="T86" s="9"/>
      <c r="U86" s="7"/>
      <c r="V86" s="8"/>
      <c r="W86" s="7"/>
      <c r="X86" s="7"/>
      <c r="Y86" s="8"/>
      <c r="Z86" s="7"/>
      <c r="AA86" s="8"/>
    </row>
    <row r="87" spans="2:29" ht="14" thickTop="1" thickBot="1">
      <c r="B87" s="10"/>
      <c r="D87" s="65"/>
      <c r="E87" s="52" t="s">
        <v>438</v>
      </c>
      <c r="F87" s="7"/>
      <c r="G87" s="8"/>
      <c r="H87" s="7"/>
      <c r="I87" s="6"/>
      <c r="J87" s="7"/>
      <c r="K87" s="8"/>
      <c r="L87" s="7"/>
      <c r="M87" s="8"/>
      <c r="N87" s="7"/>
      <c r="O87" s="8"/>
      <c r="P87" s="7"/>
      <c r="Q87" s="7"/>
      <c r="R87" s="8"/>
      <c r="S87" s="7"/>
      <c r="T87" s="9"/>
      <c r="U87" s="7"/>
      <c r="V87" s="8"/>
      <c r="W87" s="7"/>
      <c r="X87" s="7"/>
      <c r="Y87" s="8"/>
      <c r="Z87" s="7"/>
      <c r="AA87" s="8"/>
    </row>
    <row r="88" spans="2:29" ht="14" thickTop="1" thickBot="1">
      <c r="B88" s="10"/>
      <c r="D88" s="65"/>
      <c r="E88" s="52" t="s">
        <v>440</v>
      </c>
      <c r="F88" s="7"/>
      <c r="G88" s="8"/>
      <c r="H88" s="7"/>
      <c r="I88" s="6"/>
      <c r="J88" s="7"/>
      <c r="K88" s="8"/>
      <c r="L88" s="7"/>
      <c r="M88" s="8"/>
      <c r="N88" s="7"/>
      <c r="O88" s="8"/>
      <c r="P88" s="7"/>
      <c r="Q88" s="7"/>
      <c r="R88" s="8"/>
      <c r="S88" s="7"/>
      <c r="T88" s="9"/>
      <c r="U88" s="7"/>
      <c r="V88" s="8"/>
      <c r="W88" s="7"/>
      <c r="X88" s="7"/>
      <c r="Y88" s="8"/>
      <c r="Z88" s="7"/>
      <c r="AA88" s="8"/>
    </row>
    <row r="89" spans="2:29" ht="14" thickTop="1" thickBot="1">
      <c r="B89" s="10"/>
      <c r="D89" s="65"/>
      <c r="E89" s="52" t="s">
        <v>479</v>
      </c>
      <c r="F89" s="7"/>
      <c r="G89" s="8"/>
      <c r="H89" s="7"/>
      <c r="I89" s="6"/>
      <c r="J89" s="7"/>
      <c r="K89" s="8"/>
      <c r="L89" s="7"/>
      <c r="M89" s="8"/>
      <c r="N89" s="7"/>
      <c r="O89" s="8"/>
      <c r="P89" s="7"/>
      <c r="Q89" s="7"/>
      <c r="R89" s="8"/>
      <c r="S89" s="7"/>
      <c r="T89" s="9"/>
      <c r="U89" s="7"/>
      <c r="V89" s="8"/>
      <c r="W89" s="7"/>
      <c r="X89" s="7"/>
      <c r="Y89" s="8"/>
      <c r="Z89" s="7"/>
      <c r="AA89" s="8"/>
    </row>
    <row r="90" spans="2:29" ht="14" thickTop="1" thickBot="1">
      <c r="B90" s="10"/>
      <c r="D90" s="65"/>
      <c r="E90" s="52" t="s">
        <v>665</v>
      </c>
      <c r="F90" s="7"/>
      <c r="G90" s="8"/>
      <c r="H90" s="7"/>
      <c r="I90" s="6"/>
      <c r="J90" s="7"/>
      <c r="K90" s="8"/>
      <c r="L90" s="7"/>
      <c r="M90" s="8"/>
      <c r="N90" s="7"/>
      <c r="O90" s="8"/>
      <c r="P90" s="7"/>
      <c r="Q90" s="7"/>
      <c r="R90" s="8"/>
      <c r="S90" s="7"/>
      <c r="T90" s="9"/>
      <c r="U90" s="7"/>
      <c r="V90" s="8"/>
      <c r="W90" s="7"/>
      <c r="X90" s="7"/>
      <c r="Y90" s="8"/>
      <c r="Z90" s="7"/>
      <c r="AA90" s="8"/>
    </row>
    <row r="91" spans="2:29" ht="14" thickTop="1" thickBot="1">
      <c r="B91" s="10"/>
      <c r="D91" s="65"/>
      <c r="E91" s="52" t="s">
        <v>493</v>
      </c>
      <c r="F91" s="7"/>
      <c r="G91" s="8"/>
      <c r="H91" s="7"/>
      <c r="I91" s="6"/>
      <c r="J91" s="7"/>
      <c r="K91" s="8"/>
      <c r="L91" s="7"/>
      <c r="M91" s="8"/>
      <c r="N91" s="7"/>
      <c r="O91" s="8"/>
      <c r="P91" s="7"/>
      <c r="Q91" s="7"/>
      <c r="R91" s="8"/>
      <c r="S91" s="7"/>
      <c r="T91" s="9"/>
      <c r="U91" s="7"/>
      <c r="V91" s="8"/>
      <c r="W91" s="7"/>
      <c r="X91" s="7"/>
      <c r="Y91" s="8"/>
      <c r="Z91" s="7"/>
      <c r="AA91" s="8"/>
    </row>
    <row r="92" spans="2:29" ht="14" thickTop="1" thickBot="1">
      <c r="B92" s="10"/>
      <c r="D92" s="65"/>
      <c r="E92" s="52" t="s">
        <v>660</v>
      </c>
      <c r="F92" s="7"/>
      <c r="G92" s="8"/>
      <c r="H92" s="7"/>
      <c r="I92" s="6"/>
      <c r="J92" s="7"/>
      <c r="K92" s="8"/>
      <c r="L92" s="7"/>
      <c r="M92" s="8"/>
      <c r="N92" s="7"/>
      <c r="O92" s="8"/>
      <c r="P92" s="7"/>
      <c r="Q92" s="7"/>
      <c r="R92" s="8"/>
      <c r="S92" s="7"/>
      <c r="T92" s="9"/>
      <c r="U92" s="7"/>
      <c r="V92" s="8"/>
      <c r="W92" s="7"/>
      <c r="X92" s="7"/>
      <c r="Y92" s="8"/>
      <c r="Z92" s="7"/>
      <c r="AA92" s="8"/>
    </row>
    <row r="93" spans="2:29" ht="14" thickTop="1" thickBot="1">
      <c r="B93" s="10"/>
      <c r="D93" s="65"/>
      <c r="E93" s="52" t="s">
        <v>480</v>
      </c>
      <c r="F93" s="7"/>
      <c r="G93" s="8"/>
      <c r="H93" s="7"/>
      <c r="I93" s="6"/>
      <c r="J93" s="7"/>
      <c r="K93" s="8"/>
      <c r="L93" s="7"/>
      <c r="M93" s="8"/>
      <c r="N93" s="7"/>
      <c r="O93" s="8"/>
      <c r="P93" s="7"/>
      <c r="Q93" s="7"/>
      <c r="R93" s="8"/>
      <c r="S93" s="7"/>
      <c r="T93" s="9"/>
      <c r="U93" s="7"/>
      <c r="V93" s="8"/>
      <c r="W93" s="7"/>
      <c r="X93" s="7"/>
      <c r="Y93" s="8"/>
      <c r="Z93" s="7"/>
      <c r="AA93" s="8"/>
    </row>
    <row r="94" spans="2:29" ht="14" thickTop="1" thickBot="1">
      <c r="B94" s="10"/>
      <c r="D94" s="65"/>
      <c r="E94" s="52" t="s">
        <v>676</v>
      </c>
      <c r="F94" s="7"/>
      <c r="G94" s="8"/>
      <c r="H94" s="7"/>
      <c r="I94" s="6"/>
      <c r="J94" s="7"/>
      <c r="K94" s="8"/>
      <c r="L94" s="7"/>
      <c r="M94" s="8"/>
      <c r="N94" s="7"/>
      <c r="O94" s="8"/>
      <c r="P94" s="7"/>
      <c r="Q94" s="7"/>
      <c r="R94" s="8"/>
      <c r="S94" s="7"/>
      <c r="T94" s="9"/>
      <c r="U94" s="7"/>
      <c r="V94" s="8"/>
      <c r="W94" s="7"/>
      <c r="X94" s="7"/>
      <c r="Y94" s="8"/>
      <c r="Z94" s="7"/>
      <c r="AA94" s="8"/>
    </row>
    <row r="95" spans="2:29" ht="14" thickTop="1" thickBot="1">
      <c r="B95" s="10"/>
      <c r="D95" s="65"/>
      <c r="E95" s="52" t="s">
        <v>855</v>
      </c>
      <c r="F95" s="7"/>
      <c r="G95" s="8"/>
      <c r="H95" s="7"/>
      <c r="I95" s="6"/>
      <c r="J95" s="7"/>
      <c r="K95" s="8"/>
      <c r="L95" s="7"/>
      <c r="M95" s="8"/>
      <c r="N95" s="7"/>
      <c r="O95" s="8"/>
      <c r="P95" s="7"/>
      <c r="Q95" s="7"/>
      <c r="R95" s="8"/>
      <c r="S95" s="7"/>
      <c r="T95" s="9"/>
      <c r="U95" s="7"/>
      <c r="V95" s="8"/>
      <c r="W95" s="7"/>
      <c r="X95" s="7"/>
      <c r="Y95" s="8"/>
      <c r="Z95" s="7"/>
      <c r="AA95" s="8"/>
    </row>
    <row r="96" spans="2:29" ht="14" thickTop="1" thickBot="1">
      <c r="B96" s="10"/>
      <c r="D96" s="65"/>
      <c r="E96" s="52" t="s">
        <v>468</v>
      </c>
      <c r="F96" s="7"/>
      <c r="G96" s="8"/>
      <c r="H96" s="7"/>
      <c r="I96" s="6"/>
      <c r="J96" s="7"/>
      <c r="K96" s="8"/>
      <c r="L96" s="7"/>
      <c r="M96" s="8"/>
      <c r="N96" s="7"/>
      <c r="O96" s="8"/>
      <c r="P96" s="7"/>
      <c r="Q96" s="7"/>
      <c r="R96" s="8"/>
      <c r="S96" s="7"/>
      <c r="T96" s="9"/>
      <c r="U96" s="7"/>
      <c r="V96" s="8"/>
      <c r="W96" s="7"/>
      <c r="X96" s="7"/>
      <c r="Y96" s="8"/>
      <c r="Z96" s="7"/>
      <c r="AA96" s="8"/>
    </row>
    <row r="97" spans="2:27" ht="14" thickTop="1" thickBot="1">
      <c r="B97" s="10"/>
      <c r="D97" s="65"/>
      <c r="E97" s="52" t="s">
        <v>470</v>
      </c>
      <c r="F97" s="7"/>
      <c r="G97" s="8"/>
      <c r="H97" s="7"/>
      <c r="I97" s="6"/>
      <c r="J97" s="7"/>
      <c r="K97" s="8"/>
      <c r="L97" s="7"/>
      <c r="M97" s="8"/>
      <c r="N97" s="7"/>
      <c r="O97" s="8"/>
      <c r="P97" s="7"/>
      <c r="Q97" s="7"/>
      <c r="R97" s="8"/>
      <c r="S97" s="7"/>
      <c r="T97" s="9"/>
      <c r="U97" s="7"/>
      <c r="V97" s="8"/>
      <c r="W97" s="7"/>
      <c r="X97" s="7"/>
      <c r="Y97" s="8"/>
      <c r="Z97" s="7"/>
      <c r="AA97" s="8"/>
    </row>
    <row r="98" spans="2:27" ht="14" thickTop="1" thickBot="1">
      <c r="B98" s="10"/>
      <c r="D98" s="65"/>
      <c r="E98" s="52" t="s">
        <v>682</v>
      </c>
      <c r="F98" s="7"/>
      <c r="G98" s="8"/>
      <c r="H98" s="7"/>
      <c r="I98" s="6"/>
      <c r="J98" s="7"/>
      <c r="K98" s="8"/>
      <c r="L98" s="7"/>
      <c r="M98" s="8"/>
      <c r="N98" s="7"/>
      <c r="O98" s="8"/>
      <c r="P98" s="7"/>
      <c r="Q98" s="7"/>
      <c r="R98" s="8"/>
      <c r="S98" s="7"/>
      <c r="T98" s="9"/>
      <c r="U98" s="7"/>
      <c r="V98" s="8"/>
      <c r="W98" s="7"/>
      <c r="X98" s="7"/>
      <c r="Y98" s="8"/>
      <c r="Z98" s="7"/>
      <c r="AA98" s="8"/>
    </row>
    <row r="99" spans="2:27" ht="14" thickTop="1" thickBot="1">
      <c r="B99" s="10"/>
      <c r="D99" s="65"/>
      <c r="E99" s="52" t="s">
        <v>482</v>
      </c>
      <c r="F99" s="7"/>
      <c r="G99" s="8"/>
      <c r="H99" s="7"/>
      <c r="I99" s="6"/>
      <c r="J99" s="7"/>
      <c r="K99" s="8"/>
      <c r="L99" s="7"/>
      <c r="M99" s="8"/>
      <c r="N99" s="7"/>
      <c r="O99" s="8"/>
      <c r="P99" s="7"/>
      <c r="Q99" s="7"/>
      <c r="R99" s="8"/>
      <c r="S99" s="7"/>
      <c r="T99" s="9"/>
      <c r="U99" s="7"/>
      <c r="V99" s="8"/>
      <c r="W99" s="7"/>
      <c r="X99" s="7"/>
      <c r="Y99" s="8"/>
      <c r="Z99" s="7"/>
      <c r="AA99" s="8"/>
    </row>
    <row r="100" spans="2:27" ht="14" thickTop="1" thickBot="1">
      <c r="B100" s="10"/>
      <c r="D100" s="65"/>
      <c r="E100" s="52" t="s">
        <v>683</v>
      </c>
      <c r="F100" s="7"/>
      <c r="G100" s="8"/>
      <c r="H100" s="7"/>
      <c r="I100" s="6"/>
      <c r="J100" s="7"/>
      <c r="K100" s="8"/>
      <c r="L100" s="7"/>
      <c r="M100" s="8"/>
      <c r="N100" s="7"/>
      <c r="O100" s="8"/>
      <c r="P100" s="7"/>
      <c r="Q100" s="7"/>
      <c r="R100" s="8"/>
      <c r="S100" s="7"/>
      <c r="T100" s="9"/>
      <c r="U100" s="7"/>
      <c r="V100" s="8"/>
      <c r="W100" s="7"/>
      <c r="X100" s="7"/>
      <c r="Y100" s="8"/>
      <c r="Z100" s="7"/>
      <c r="AA100" s="8"/>
    </row>
    <row r="101" spans="2:27" ht="14" thickTop="1" thickBot="1">
      <c r="B101" s="10"/>
      <c r="D101" s="65"/>
      <c r="E101" s="52" t="s">
        <v>667</v>
      </c>
      <c r="F101" s="7"/>
      <c r="G101" s="8"/>
      <c r="H101" s="7"/>
      <c r="I101" s="6"/>
      <c r="J101" s="7"/>
      <c r="K101" s="8"/>
      <c r="L101" s="7"/>
      <c r="M101" s="8"/>
      <c r="N101" s="7"/>
      <c r="O101" s="8"/>
      <c r="P101" s="7"/>
      <c r="Q101" s="7"/>
      <c r="R101" s="8"/>
      <c r="S101" s="7"/>
      <c r="T101" s="9"/>
      <c r="U101" s="7"/>
      <c r="V101" s="8"/>
      <c r="W101" s="7"/>
      <c r="X101" s="7"/>
      <c r="Y101" s="8"/>
      <c r="Z101" s="7"/>
      <c r="AA101" s="8"/>
    </row>
    <row r="102" spans="2:27" ht="14" thickTop="1" thickBot="1">
      <c r="B102" s="10"/>
      <c r="D102" s="65"/>
      <c r="E102" s="52" t="s">
        <v>605</v>
      </c>
      <c r="F102" s="7"/>
      <c r="G102" s="8"/>
      <c r="H102" s="7"/>
      <c r="I102" s="6"/>
      <c r="J102" s="7"/>
      <c r="K102" s="8"/>
      <c r="L102" s="7"/>
      <c r="M102" s="8"/>
      <c r="N102" s="7"/>
      <c r="O102" s="8"/>
      <c r="P102" s="7"/>
      <c r="Q102" s="7"/>
      <c r="R102" s="8"/>
      <c r="S102" s="7"/>
      <c r="T102" s="9"/>
      <c r="U102" s="7"/>
      <c r="V102" s="8"/>
      <c r="W102" s="7"/>
      <c r="X102" s="7"/>
      <c r="Y102" s="8"/>
      <c r="Z102" s="7"/>
      <c r="AA102" s="8"/>
    </row>
    <row r="103" spans="2:27" ht="14" thickTop="1" thickBot="1">
      <c r="B103" s="10"/>
      <c r="D103" s="65"/>
      <c r="E103" s="52" t="s">
        <v>452</v>
      </c>
      <c r="F103" s="7"/>
      <c r="G103" s="8"/>
      <c r="H103" s="7"/>
      <c r="I103" s="6"/>
      <c r="J103" s="7"/>
      <c r="K103" s="8"/>
      <c r="L103" s="7"/>
      <c r="M103" s="8"/>
      <c r="N103" s="7"/>
      <c r="O103" s="8"/>
      <c r="P103" s="7"/>
      <c r="Q103" s="7"/>
      <c r="R103" s="8"/>
      <c r="S103" s="7"/>
      <c r="T103" s="9"/>
      <c r="U103" s="7"/>
      <c r="V103" s="8"/>
      <c r="W103" s="7"/>
      <c r="X103" s="7"/>
      <c r="Y103" s="8"/>
      <c r="Z103" s="7"/>
      <c r="AA103" s="8"/>
    </row>
    <row r="104" spans="2:27" ht="14" thickTop="1" thickBot="1">
      <c r="B104" s="10"/>
      <c r="D104" s="65"/>
      <c r="E104" s="52" t="s">
        <v>449</v>
      </c>
      <c r="F104" s="7"/>
      <c r="G104" s="8"/>
      <c r="H104" s="7"/>
      <c r="I104" s="6"/>
      <c r="J104" s="7"/>
      <c r="K104" s="8"/>
      <c r="L104" s="7"/>
      <c r="M104" s="8"/>
      <c r="N104" s="7"/>
      <c r="O104" s="8"/>
      <c r="P104" s="7"/>
      <c r="Q104" s="7"/>
      <c r="R104" s="8"/>
      <c r="S104" s="7"/>
      <c r="T104" s="9"/>
      <c r="U104" s="7"/>
      <c r="V104" s="8"/>
      <c r="W104" s="7"/>
      <c r="X104" s="7"/>
      <c r="Y104" s="8"/>
      <c r="Z104" s="7"/>
      <c r="AA104" s="8"/>
    </row>
    <row r="105" spans="2:27" ht="14" thickTop="1" thickBot="1">
      <c r="B105" s="10"/>
      <c r="D105" s="65"/>
      <c r="E105" s="52" t="s">
        <v>670</v>
      </c>
      <c r="F105" s="7"/>
      <c r="G105" s="8"/>
      <c r="H105" s="7"/>
      <c r="I105" s="6"/>
      <c r="J105" s="7"/>
      <c r="K105" s="8"/>
      <c r="L105" s="7"/>
      <c r="M105" s="8"/>
      <c r="N105" s="7"/>
      <c r="O105" s="8"/>
      <c r="P105" s="7"/>
      <c r="Q105" s="7"/>
      <c r="R105" s="8"/>
      <c r="S105" s="7"/>
      <c r="T105" s="9"/>
      <c r="U105" s="7"/>
      <c r="V105" s="8"/>
      <c r="W105" s="7"/>
      <c r="X105" s="7"/>
      <c r="Y105" s="8"/>
      <c r="Z105" s="7"/>
      <c r="AA105" s="8"/>
    </row>
    <row r="106" spans="2:27" ht="14" thickTop="1" thickBot="1">
      <c r="B106" s="10"/>
      <c r="D106" s="65"/>
      <c r="E106" s="52" t="s">
        <v>313</v>
      </c>
      <c r="F106" s="7"/>
      <c r="G106" s="8"/>
      <c r="H106" s="7"/>
      <c r="I106" s="6"/>
      <c r="J106" s="7"/>
      <c r="K106" s="8"/>
      <c r="L106" s="7"/>
      <c r="M106" s="8"/>
      <c r="N106" s="7"/>
      <c r="O106" s="8"/>
      <c r="P106" s="7"/>
      <c r="Q106" s="7"/>
      <c r="R106" s="8"/>
      <c r="S106" s="7"/>
      <c r="T106" s="9"/>
      <c r="U106" s="7"/>
      <c r="V106" s="8"/>
      <c r="W106" s="7"/>
      <c r="X106" s="7"/>
      <c r="Y106" s="8"/>
      <c r="Z106" s="7"/>
      <c r="AA106" s="8"/>
    </row>
    <row r="107" spans="2:27" ht="14" thickTop="1" thickBot="1">
      <c r="B107" s="10"/>
      <c r="D107" s="65"/>
      <c r="E107" s="52" t="s">
        <v>982</v>
      </c>
      <c r="F107" s="7"/>
      <c r="G107" s="8"/>
      <c r="H107" s="7"/>
      <c r="I107" s="6"/>
      <c r="J107" s="7"/>
      <c r="K107" s="8"/>
      <c r="L107" s="7"/>
      <c r="M107" s="8"/>
      <c r="N107" s="7"/>
      <c r="O107" s="8"/>
      <c r="P107" s="7"/>
      <c r="Q107" s="7"/>
      <c r="R107" s="8"/>
      <c r="S107" s="7"/>
      <c r="T107" s="9"/>
      <c r="U107" s="7"/>
      <c r="V107" s="8"/>
      <c r="W107" s="7"/>
      <c r="X107" s="7"/>
      <c r="Y107" s="8"/>
      <c r="Z107" s="7"/>
      <c r="AA107" s="8"/>
    </row>
    <row r="108" spans="2:27" ht="14" thickTop="1" thickBot="1">
      <c r="B108" s="10"/>
      <c r="D108" s="65"/>
      <c r="E108" s="52" t="s">
        <v>669</v>
      </c>
      <c r="F108" s="7"/>
      <c r="G108" s="8"/>
      <c r="H108" s="7"/>
      <c r="I108" s="6"/>
      <c r="J108" s="7"/>
      <c r="K108" s="8"/>
      <c r="L108" s="7"/>
      <c r="M108" s="8"/>
      <c r="N108" s="7"/>
      <c r="O108" s="8"/>
      <c r="P108" s="7"/>
      <c r="Q108" s="7"/>
      <c r="R108" s="8"/>
      <c r="S108" s="7"/>
      <c r="T108" s="9"/>
      <c r="U108" s="7"/>
      <c r="V108" s="8"/>
      <c r="W108" s="7"/>
      <c r="X108" s="7"/>
      <c r="Y108" s="8"/>
      <c r="Z108" s="7"/>
      <c r="AA108" s="8"/>
    </row>
    <row r="109" spans="2:27" ht="14" thickTop="1" thickBot="1">
      <c r="B109" s="10"/>
      <c r="D109" s="65"/>
      <c r="E109" s="52" t="s">
        <v>316</v>
      </c>
      <c r="F109" s="7"/>
      <c r="G109" s="8"/>
      <c r="H109" s="7"/>
      <c r="I109" s="6"/>
      <c r="J109" s="7"/>
      <c r="K109" s="8"/>
      <c r="L109" s="7"/>
      <c r="M109" s="8"/>
      <c r="N109" s="7"/>
      <c r="O109" s="8"/>
      <c r="P109" s="7"/>
      <c r="Q109" s="7"/>
      <c r="R109" s="8"/>
      <c r="S109" s="7"/>
      <c r="T109" s="9"/>
      <c r="U109" s="7"/>
      <c r="V109" s="8"/>
      <c r="W109" s="7"/>
      <c r="X109" s="7"/>
      <c r="Y109" s="8"/>
      <c r="Z109" s="7"/>
      <c r="AA109" s="8"/>
    </row>
    <row r="110" spans="2:27" ht="14" thickTop="1" thickBot="1">
      <c r="B110" s="10"/>
      <c r="D110" s="65"/>
      <c r="E110" s="52" t="s">
        <v>814</v>
      </c>
      <c r="F110" s="7"/>
      <c r="G110" s="8"/>
      <c r="H110" s="7"/>
      <c r="I110" s="6"/>
      <c r="J110" s="7"/>
      <c r="K110" s="8"/>
      <c r="L110" s="7"/>
      <c r="M110" s="8"/>
      <c r="N110" s="7"/>
      <c r="O110" s="8"/>
      <c r="P110" s="7"/>
      <c r="Q110" s="7"/>
      <c r="R110" s="8"/>
      <c r="S110" s="7"/>
      <c r="T110" s="9"/>
      <c r="U110" s="7"/>
      <c r="V110" s="8"/>
      <c r="W110" s="7"/>
      <c r="X110" s="7"/>
      <c r="Y110" s="8"/>
      <c r="Z110" s="7"/>
      <c r="AA110" s="8"/>
    </row>
    <row r="111" spans="2:27" ht="14" thickTop="1" thickBot="1">
      <c r="B111" s="10"/>
      <c r="D111" s="65"/>
      <c r="E111" s="52" t="s">
        <v>684</v>
      </c>
      <c r="F111" s="7"/>
      <c r="G111" s="8"/>
      <c r="H111" s="7"/>
      <c r="I111" s="6"/>
      <c r="J111" s="7"/>
      <c r="K111" s="8"/>
      <c r="L111" s="7"/>
      <c r="M111" s="8"/>
      <c r="N111" s="7"/>
      <c r="O111" s="8"/>
      <c r="P111" s="7"/>
      <c r="Q111" s="7"/>
      <c r="R111" s="8"/>
      <c r="S111" s="7"/>
      <c r="T111" s="9"/>
      <c r="U111" s="7"/>
      <c r="V111" s="8"/>
      <c r="W111" s="7"/>
      <c r="X111" s="7"/>
      <c r="Y111" s="8"/>
      <c r="Z111" s="7"/>
      <c r="AA111" s="8"/>
    </row>
    <row r="112" spans="2:27" ht="14" thickTop="1" thickBot="1">
      <c r="B112" s="10"/>
      <c r="D112" s="65"/>
      <c r="E112" s="52" t="s">
        <v>507</v>
      </c>
      <c r="F112" s="7"/>
      <c r="G112" s="8"/>
      <c r="H112" s="7"/>
      <c r="I112" s="6"/>
      <c r="J112" s="7"/>
      <c r="K112" s="8"/>
      <c r="L112" s="7"/>
      <c r="M112" s="8"/>
      <c r="N112" s="7"/>
      <c r="O112" s="8"/>
      <c r="P112" s="7"/>
      <c r="Q112" s="7"/>
      <c r="R112" s="8"/>
      <c r="S112" s="7"/>
      <c r="T112" s="9"/>
      <c r="U112" s="7"/>
      <c r="V112" s="8"/>
      <c r="W112" s="7"/>
      <c r="X112" s="7"/>
      <c r="Y112" s="8"/>
      <c r="Z112" s="7"/>
      <c r="AA112" s="8"/>
    </row>
    <row r="113" spans="2:27" ht="14" thickTop="1" thickBot="1">
      <c r="B113" s="10"/>
      <c r="D113" s="65"/>
      <c r="E113" s="52" t="s">
        <v>445</v>
      </c>
      <c r="F113" s="7"/>
      <c r="G113" s="8"/>
      <c r="H113" s="7"/>
      <c r="I113" s="6"/>
      <c r="J113" s="7"/>
      <c r="K113" s="8"/>
      <c r="L113" s="7"/>
      <c r="M113" s="8"/>
      <c r="N113" s="7"/>
      <c r="O113" s="8"/>
      <c r="P113" s="7"/>
      <c r="Q113" s="7"/>
      <c r="R113" s="8"/>
      <c r="S113" s="7"/>
      <c r="T113" s="9"/>
      <c r="U113" s="7"/>
      <c r="V113" s="8"/>
      <c r="W113" s="7"/>
      <c r="X113" s="7"/>
      <c r="Y113" s="8"/>
      <c r="Z113" s="7"/>
      <c r="AA113" s="8"/>
    </row>
    <row r="114" spans="2:27" ht="14" thickTop="1" thickBot="1">
      <c r="B114" s="10"/>
      <c r="D114" s="65"/>
      <c r="E114" s="52" t="s">
        <v>320</v>
      </c>
      <c r="F114" s="7"/>
      <c r="G114" s="8"/>
      <c r="H114" s="7"/>
      <c r="I114" s="6"/>
      <c r="J114" s="7"/>
      <c r="K114" s="8"/>
      <c r="L114" s="7"/>
      <c r="M114" s="8"/>
      <c r="N114" s="7"/>
      <c r="O114" s="8"/>
      <c r="P114" s="7"/>
      <c r="Q114" s="7"/>
      <c r="R114" s="8"/>
      <c r="S114" s="7"/>
      <c r="T114" s="9"/>
      <c r="U114" s="7"/>
      <c r="V114" s="8"/>
      <c r="W114" s="7"/>
      <c r="X114" s="7"/>
      <c r="Y114" s="8"/>
      <c r="Z114" s="7"/>
      <c r="AA114" s="8"/>
    </row>
    <row r="115" spans="2:27" ht="14" thickTop="1" thickBot="1">
      <c r="B115" s="10"/>
      <c r="D115" s="65"/>
      <c r="E115" s="52" t="s">
        <v>322</v>
      </c>
      <c r="F115" s="7"/>
      <c r="G115" s="8"/>
      <c r="H115" s="7"/>
      <c r="I115" s="6"/>
      <c r="J115" s="7"/>
      <c r="K115" s="8"/>
      <c r="L115" s="7"/>
      <c r="M115" s="8"/>
      <c r="N115" s="7"/>
      <c r="O115" s="8"/>
      <c r="P115" s="7"/>
      <c r="Q115" s="7"/>
      <c r="R115" s="8"/>
      <c r="S115" s="7"/>
      <c r="T115" s="9"/>
      <c r="U115" s="7"/>
      <c r="V115" s="8"/>
      <c r="W115" s="7"/>
      <c r="X115" s="7"/>
      <c r="Y115" s="8"/>
      <c r="Z115" s="7"/>
      <c r="AA115" s="8"/>
    </row>
    <row r="116" spans="2:27" ht="14" thickTop="1" thickBot="1">
      <c r="B116" s="10"/>
      <c r="D116" s="65"/>
      <c r="E116" s="52" t="s">
        <v>441</v>
      </c>
      <c r="F116" s="7"/>
      <c r="G116" s="8"/>
      <c r="H116" s="7"/>
      <c r="I116" s="6"/>
      <c r="J116" s="7"/>
      <c r="K116" s="8"/>
      <c r="L116" s="7"/>
      <c r="M116" s="8"/>
      <c r="N116" s="7"/>
      <c r="O116" s="8"/>
      <c r="P116" s="7"/>
      <c r="Q116" s="7"/>
      <c r="R116" s="8"/>
      <c r="S116" s="7"/>
      <c r="T116" s="9"/>
      <c r="U116" s="7"/>
      <c r="V116" s="8"/>
      <c r="W116" s="7"/>
      <c r="X116" s="7"/>
      <c r="Y116" s="8"/>
      <c r="Z116" s="7"/>
      <c r="AA116" s="8"/>
    </row>
    <row r="117" spans="2:27" ht="14" thickTop="1" thickBot="1">
      <c r="B117" s="10"/>
      <c r="D117" s="65"/>
      <c r="E117" s="52" t="s">
        <v>512</v>
      </c>
      <c r="F117" s="7"/>
      <c r="G117" s="8"/>
      <c r="H117" s="7"/>
      <c r="I117" s="6"/>
      <c r="J117" s="7"/>
      <c r="K117" s="8"/>
      <c r="L117" s="7"/>
      <c r="M117" s="8"/>
      <c r="N117" s="7"/>
      <c r="O117" s="8"/>
      <c r="P117" s="7"/>
      <c r="Q117" s="7"/>
      <c r="R117" s="8"/>
      <c r="S117" s="7"/>
      <c r="T117" s="9"/>
      <c r="U117" s="7"/>
      <c r="V117" s="8"/>
      <c r="W117" s="7"/>
      <c r="X117" s="7"/>
      <c r="Y117" s="8"/>
      <c r="Z117" s="7"/>
      <c r="AA117" s="8"/>
    </row>
    <row r="118" spans="2:27" ht="14" thickTop="1" thickBot="1">
      <c r="B118" s="10"/>
      <c r="D118" s="65"/>
      <c r="E118" s="52" t="s">
        <v>666</v>
      </c>
      <c r="F118" s="7"/>
      <c r="G118" s="8"/>
      <c r="H118" s="7"/>
      <c r="I118" s="6"/>
      <c r="J118" s="7"/>
      <c r="K118" s="8"/>
      <c r="L118" s="7"/>
      <c r="M118" s="8"/>
      <c r="N118" s="7"/>
      <c r="O118" s="8"/>
      <c r="P118" s="7"/>
      <c r="Q118" s="7"/>
      <c r="R118" s="8"/>
      <c r="S118" s="7"/>
      <c r="T118" s="9"/>
      <c r="U118" s="7"/>
      <c r="V118" s="8"/>
      <c r="W118" s="7"/>
      <c r="X118" s="7"/>
      <c r="Y118" s="8"/>
      <c r="Z118" s="7"/>
      <c r="AA118" s="8"/>
    </row>
    <row r="119" spans="2:27" ht="14" thickTop="1" thickBot="1">
      <c r="B119" s="10"/>
      <c r="D119" s="65"/>
      <c r="E119" s="52" t="s">
        <v>488</v>
      </c>
      <c r="F119" s="7"/>
      <c r="G119" s="8"/>
      <c r="H119" s="7"/>
      <c r="I119" s="6"/>
      <c r="J119" s="7"/>
      <c r="K119" s="8"/>
      <c r="L119" s="7"/>
      <c r="M119" s="8"/>
      <c r="N119" s="7"/>
      <c r="O119" s="8"/>
      <c r="P119" s="7"/>
      <c r="Q119" s="7"/>
      <c r="R119" s="8"/>
      <c r="S119" s="7"/>
      <c r="T119" s="9"/>
      <c r="U119" s="7"/>
      <c r="V119" s="8"/>
      <c r="W119" s="7"/>
      <c r="X119" s="7"/>
      <c r="Y119" s="8"/>
      <c r="Z119" s="7"/>
      <c r="AA119" s="8"/>
    </row>
    <row r="120" spans="2:27" ht="14" thickTop="1" thickBot="1">
      <c r="B120" s="10"/>
      <c r="D120" s="65"/>
      <c r="E120" s="52" t="s">
        <v>486</v>
      </c>
      <c r="F120" s="7"/>
      <c r="G120" s="8"/>
      <c r="H120" s="7"/>
      <c r="I120" s="6"/>
      <c r="J120" s="7"/>
      <c r="K120" s="8"/>
      <c r="L120" s="7"/>
      <c r="M120" s="8"/>
      <c r="N120" s="7"/>
      <c r="O120" s="8"/>
      <c r="P120" s="7"/>
      <c r="Q120" s="7"/>
      <c r="R120" s="8"/>
      <c r="S120" s="7"/>
      <c r="T120" s="9"/>
      <c r="U120" s="7"/>
      <c r="V120" s="8"/>
      <c r="W120" s="7"/>
      <c r="X120" s="7"/>
      <c r="Y120" s="8"/>
      <c r="Z120" s="7"/>
      <c r="AA120" s="8"/>
    </row>
    <row r="121" spans="2:27" ht="14" thickTop="1" thickBot="1">
      <c r="B121" s="10"/>
      <c r="D121" s="65"/>
      <c r="E121" s="52" t="s">
        <v>485</v>
      </c>
      <c r="F121" s="7"/>
      <c r="G121" s="8"/>
      <c r="H121" s="7"/>
      <c r="I121" s="6"/>
      <c r="J121" s="7"/>
      <c r="K121" s="8"/>
      <c r="L121" s="7"/>
      <c r="M121" s="8"/>
      <c r="N121" s="7"/>
      <c r="O121" s="8"/>
      <c r="P121" s="7"/>
      <c r="Q121" s="7"/>
      <c r="R121" s="8"/>
      <c r="S121" s="7"/>
      <c r="T121" s="9"/>
      <c r="U121" s="7"/>
      <c r="V121" s="8"/>
      <c r="W121" s="7"/>
      <c r="X121" s="7"/>
      <c r="Y121" s="8"/>
      <c r="Z121" s="7"/>
      <c r="AA121" s="8"/>
    </row>
    <row r="122" spans="2:27" ht="14" thickTop="1" thickBot="1">
      <c r="B122" s="10"/>
      <c r="D122" s="65"/>
      <c r="E122" s="52" t="s">
        <v>477</v>
      </c>
      <c r="F122" s="7"/>
      <c r="G122" s="8"/>
      <c r="H122" s="7"/>
      <c r="I122" s="6"/>
      <c r="J122" s="7"/>
      <c r="K122" s="8"/>
      <c r="L122" s="7"/>
      <c r="M122" s="8"/>
      <c r="N122" s="7"/>
      <c r="O122" s="8"/>
      <c r="P122" s="7"/>
      <c r="Q122" s="7"/>
      <c r="R122" s="8"/>
      <c r="S122" s="7"/>
      <c r="T122" s="9"/>
      <c r="U122" s="7"/>
      <c r="V122" s="8"/>
      <c r="W122" s="7"/>
      <c r="X122" s="7"/>
      <c r="Y122" s="8"/>
      <c r="Z122" s="7"/>
      <c r="AA122" s="8"/>
    </row>
    <row r="123" spans="2:27" ht="14" thickTop="1" thickBot="1">
      <c r="B123" s="10"/>
      <c r="D123" s="65"/>
      <c r="E123" s="52" t="s">
        <v>668</v>
      </c>
      <c r="F123" s="7"/>
      <c r="G123" s="8"/>
      <c r="H123" s="7"/>
      <c r="I123" s="6"/>
      <c r="J123" s="7"/>
      <c r="K123" s="8"/>
      <c r="L123" s="7"/>
      <c r="M123" s="8"/>
      <c r="N123" s="7"/>
      <c r="O123" s="8"/>
      <c r="P123" s="7"/>
      <c r="Q123" s="7"/>
      <c r="R123" s="8"/>
      <c r="S123" s="7"/>
      <c r="T123" s="9"/>
      <c r="U123" s="7"/>
      <c r="V123" s="8"/>
      <c r="W123" s="7"/>
      <c r="X123" s="7"/>
      <c r="Y123" s="8"/>
      <c r="Z123" s="7"/>
      <c r="AA123" s="8"/>
    </row>
    <row r="124" spans="2:27" ht="14" thickTop="1" thickBot="1">
      <c r="B124" s="10"/>
      <c r="D124" s="65"/>
      <c r="E124" s="52" t="s">
        <v>509</v>
      </c>
      <c r="F124" s="7"/>
      <c r="G124" s="8"/>
      <c r="H124" s="7"/>
      <c r="I124" s="6"/>
      <c r="J124" s="7"/>
      <c r="K124" s="8"/>
      <c r="L124" s="7"/>
      <c r="M124" s="8"/>
      <c r="N124" s="7"/>
      <c r="O124" s="8"/>
      <c r="P124" s="7"/>
      <c r="Q124" s="7"/>
      <c r="R124" s="8"/>
      <c r="S124" s="7"/>
      <c r="T124" s="9"/>
      <c r="U124" s="7"/>
      <c r="V124" s="8"/>
      <c r="W124" s="7"/>
      <c r="X124" s="7"/>
      <c r="Y124" s="8"/>
      <c r="Z124" s="7"/>
      <c r="AA124" s="8"/>
    </row>
    <row r="125" spans="2:27" ht="14" thickTop="1" thickBot="1">
      <c r="B125" s="10"/>
      <c r="D125" s="65"/>
      <c r="E125" s="52" t="s">
        <v>513</v>
      </c>
      <c r="F125" s="7"/>
      <c r="G125" s="8"/>
      <c r="H125" s="7"/>
      <c r="I125" s="6"/>
      <c r="J125" s="7"/>
      <c r="K125" s="8"/>
      <c r="L125" s="7"/>
      <c r="M125" s="8"/>
      <c r="N125" s="7"/>
      <c r="O125" s="8"/>
      <c r="P125" s="7"/>
      <c r="Q125" s="7"/>
      <c r="R125" s="8"/>
      <c r="S125" s="7"/>
      <c r="T125" s="9"/>
      <c r="U125" s="7"/>
      <c r="V125" s="8"/>
      <c r="W125" s="7"/>
      <c r="X125" s="7"/>
      <c r="Y125" s="8"/>
      <c r="Z125" s="7"/>
      <c r="AA125" s="8"/>
    </row>
    <row r="126" spans="2:27" ht="14" thickTop="1" thickBot="1">
      <c r="B126" s="10"/>
      <c r="D126" s="65"/>
      <c r="E126" s="52" t="s">
        <v>405</v>
      </c>
      <c r="F126" s="7"/>
      <c r="G126" s="8"/>
      <c r="H126" s="7"/>
      <c r="I126" s="6"/>
      <c r="J126" s="7"/>
      <c r="K126" s="8"/>
      <c r="L126" s="7"/>
      <c r="M126" s="8"/>
      <c r="N126" s="7"/>
      <c r="O126" s="8"/>
      <c r="P126" s="7"/>
      <c r="Q126" s="7"/>
      <c r="R126" s="8"/>
      <c r="S126" s="7"/>
      <c r="T126" s="9"/>
      <c r="U126" s="7"/>
      <c r="V126" s="8"/>
      <c r="W126" s="7"/>
      <c r="X126" s="7"/>
      <c r="Y126" s="8"/>
      <c r="Z126" s="7"/>
      <c r="AA126" s="8"/>
    </row>
    <row r="127" spans="2:27" ht="14" thickTop="1" thickBot="1">
      <c r="B127" s="10"/>
      <c r="D127" s="65"/>
      <c r="E127" s="52" t="s">
        <v>419</v>
      </c>
      <c r="F127" s="7"/>
      <c r="G127" s="8"/>
      <c r="H127" s="7"/>
      <c r="I127" s="6"/>
      <c r="J127" s="7"/>
      <c r="K127" s="8"/>
      <c r="L127" s="7"/>
      <c r="M127" s="8"/>
      <c r="N127" s="7"/>
      <c r="O127" s="8"/>
      <c r="P127" s="7"/>
      <c r="Q127" s="7"/>
      <c r="R127" s="8"/>
      <c r="S127" s="7"/>
      <c r="T127" s="9"/>
      <c r="U127" s="7"/>
      <c r="V127" s="8"/>
      <c r="W127" s="7"/>
      <c r="X127" s="7"/>
      <c r="Y127" s="8"/>
      <c r="Z127" s="7"/>
      <c r="AA127" s="8"/>
    </row>
    <row r="128" spans="2:27" ht="14" thickTop="1" thickBot="1">
      <c r="B128" s="10"/>
      <c r="D128" s="65"/>
      <c r="E128" s="52" t="s">
        <v>511</v>
      </c>
      <c r="F128" s="7"/>
      <c r="G128" s="8"/>
      <c r="H128" s="7"/>
      <c r="I128" s="6"/>
      <c r="J128" s="7"/>
      <c r="K128" s="8"/>
      <c r="L128" s="7"/>
      <c r="M128" s="8"/>
      <c r="N128" s="7"/>
      <c r="O128" s="8"/>
      <c r="P128" s="7"/>
      <c r="Q128" s="7"/>
      <c r="R128" s="8"/>
      <c r="S128" s="7"/>
      <c r="T128" s="9"/>
      <c r="U128" s="7"/>
      <c r="V128" s="8"/>
      <c r="W128" s="7"/>
      <c r="X128" s="7"/>
      <c r="Y128" s="8"/>
      <c r="Z128" s="7"/>
      <c r="AA128" s="8"/>
    </row>
    <row r="129" spans="2:27" ht="14" thickTop="1" thickBot="1">
      <c r="B129" s="10"/>
      <c r="D129" s="65"/>
      <c r="E129" s="52" t="s">
        <v>444</v>
      </c>
      <c r="F129" s="7"/>
      <c r="G129" s="8"/>
      <c r="H129" s="7"/>
      <c r="I129" s="6"/>
      <c r="J129" s="7"/>
      <c r="K129" s="8"/>
      <c r="L129" s="7"/>
      <c r="M129" s="8"/>
      <c r="N129" s="7"/>
      <c r="O129" s="8"/>
      <c r="P129" s="7"/>
      <c r="Q129" s="7"/>
      <c r="R129" s="8"/>
      <c r="S129" s="7"/>
      <c r="T129" s="9"/>
      <c r="U129" s="7"/>
      <c r="V129" s="8"/>
      <c r="W129" s="7"/>
      <c r="X129" s="7"/>
      <c r="Y129" s="8"/>
      <c r="Z129" s="7"/>
      <c r="AA129" s="8"/>
    </row>
    <row r="130" spans="2:27" ht="14" thickTop="1" thickBot="1">
      <c r="B130" s="10"/>
      <c r="D130" s="65"/>
      <c r="E130" s="52" t="s">
        <v>510</v>
      </c>
      <c r="F130" s="7"/>
      <c r="G130" s="8"/>
      <c r="H130" s="7"/>
      <c r="I130" s="6"/>
      <c r="J130" s="7"/>
      <c r="K130" s="8"/>
      <c r="L130" s="7"/>
      <c r="M130" s="8"/>
      <c r="N130" s="7"/>
      <c r="O130" s="8"/>
      <c r="P130" s="7"/>
      <c r="Q130" s="7"/>
      <c r="R130" s="8"/>
      <c r="S130" s="7"/>
      <c r="T130" s="9"/>
      <c r="U130" s="7"/>
      <c r="V130" s="8"/>
      <c r="W130" s="7"/>
      <c r="X130" s="7"/>
      <c r="Y130" s="8"/>
      <c r="Z130" s="7"/>
      <c r="AA130" s="8"/>
    </row>
    <row r="131" spans="2:27" ht="14" thickTop="1" thickBot="1">
      <c r="B131" s="10"/>
      <c r="D131" s="65"/>
      <c r="E131" s="52" t="s">
        <v>326</v>
      </c>
      <c r="F131" s="7"/>
      <c r="G131" s="8"/>
      <c r="H131" s="7"/>
      <c r="I131" s="6"/>
      <c r="J131" s="7"/>
      <c r="K131" s="8"/>
      <c r="L131" s="7"/>
      <c r="M131" s="8"/>
      <c r="N131" s="7"/>
      <c r="O131" s="8"/>
      <c r="P131" s="7"/>
      <c r="Q131" s="7"/>
      <c r="R131" s="8"/>
      <c r="S131" s="7"/>
      <c r="T131" s="9"/>
      <c r="U131" s="7"/>
      <c r="V131" s="8"/>
      <c r="W131" s="7"/>
      <c r="X131" s="7"/>
      <c r="Y131" s="8"/>
      <c r="Z131" s="7"/>
      <c r="AA131" s="8"/>
    </row>
    <row r="132" spans="2:27" ht="14" thickTop="1" thickBot="1">
      <c r="B132" s="10"/>
      <c r="D132" s="65"/>
      <c r="E132" s="52" t="s">
        <v>471</v>
      </c>
      <c r="F132" s="7"/>
      <c r="G132" s="8"/>
      <c r="H132" s="7"/>
      <c r="I132" s="6"/>
      <c r="J132" s="7"/>
      <c r="K132" s="8"/>
      <c r="L132" s="7"/>
      <c r="M132" s="8"/>
      <c r="N132" s="7"/>
      <c r="O132" s="8"/>
      <c r="P132" s="7"/>
      <c r="Q132" s="7"/>
      <c r="R132" s="8"/>
      <c r="S132" s="7"/>
      <c r="T132" s="9"/>
      <c r="U132" s="7"/>
      <c r="V132" s="8"/>
      <c r="W132" s="7"/>
      <c r="X132" s="7"/>
      <c r="Y132" s="8"/>
      <c r="Z132" s="7"/>
      <c r="AA132" s="8"/>
    </row>
    <row r="133" spans="2:27" ht="14" thickTop="1" thickBot="1">
      <c r="B133" s="10"/>
      <c r="D133" s="65"/>
      <c r="E133" s="52" t="s">
        <v>672</v>
      </c>
      <c r="F133" s="7"/>
      <c r="G133" s="8"/>
      <c r="H133" s="7"/>
      <c r="I133" s="6"/>
      <c r="J133" s="7"/>
      <c r="K133" s="8"/>
      <c r="L133" s="7"/>
      <c r="M133" s="8"/>
      <c r="N133" s="7"/>
      <c r="O133" s="8"/>
      <c r="P133" s="7"/>
      <c r="Q133" s="7"/>
      <c r="R133" s="8"/>
      <c r="S133" s="7"/>
      <c r="T133" s="9"/>
      <c r="U133" s="7"/>
      <c r="V133" s="8"/>
      <c r="W133" s="7"/>
      <c r="X133" s="7"/>
      <c r="Y133" s="8"/>
      <c r="Z133" s="7"/>
      <c r="AA133" s="8"/>
    </row>
    <row r="134" spans="2:27" ht="14" thickTop="1" thickBot="1">
      <c r="B134" s="10"/>
      <c r="D134" s="65"/>
      <c r="E134" s="52" t="s">
        <v>838</v>
      </c>
      <c r="F134" s="7"/>
      <c r="G134" s="8"/>
      <c r="H134" s="7"/>
      <c r="I134" s="6"/>
      <c r="J134" s="7"/>
      <c r="K134" s="8"/>
      <c r="L134" s="7"/>
      <c r="M134" s="8"/>
      <c r="N134" s="7"/>
      <c r="O134" s="8"/>
      <c r="P134" s="7"/>
      <c r="Q134" s="7"/>
      <c r="R134" s="8"/>
      <c r="S134" s="7"/>
      <c r="T134" s="9"/>
      <c r="U134" s="7"/>
      <c r="V134" s="8"/>
      <c r="W134" s="7"/>
      <c r="X134" s="7"/>
      <c r="Y134" s="8"/>
      <c r="Z134" s="7"/>
      <c r="AA134" s="8"/>
    </row>
    <row r="135" spans="2:27" ht="14" thickTop="1" thickBot="1">
      <c r="B135" s="10"/>
      <c r="D135" s="65"/>
      <c r="E135" s="52" t="s">
        <v>840</v>
      </c>
      <c r="F135" s="7"/>
      <c r="G135" s="8"/>
      <c r="H135" s="7"/>
      <c r="I135" s="6"/>
      <c r="J135" s="7"/>
      <c r="K135" s="8"/>
      <c r="L135" s="7"/>
      <c r="M135" s="8"/>
      <c r="N135" s="7"/>
      <c r="O135" s="8"/>
      <c r="P135" s="7"/>
      <c r="Q135" s="7"/>
      <c r="R135" s="8"/>
      <c r="S135" s="7"/>
      <c r="T135" s="9"/>
      <c r="U135" s="7"/>
      <c r="V135" s="8"/>
      <c r="W135" s="7"/>
      <c r="X135" s="7"/>
      <c r="Y135" s="8"/>
      <c r="Z135" s="7"/>
      <c r="AA135" s="8"/>
    </row>
    <row r="136" spans="2:27" ht="14" thickTop="1" thickBot="1">
      <c r="B136" s="10"/>
      <c r="D136" s="65"/>
      <c r="E136" s="52" t="s">
        <v>839</v>
      </c>
      <c r="F136" s="7"/>
      <c r="G136" s="8"/>
      <c r="H136" s="7"/>
      <c r="I136" s="6"/>
      <c r="J136" s="7"/>
      <c r="K136" s="8"/>
      <c r="L136" s="7"/>
      <c r="M136" s="8"/>
      <c r="N136" s="7"/>
      <c r="O136" s="8"/>
      <c r="P136" s="7"/>
      <c r="Q136" s="7"/>
      <c r="R136" s="8"/>
      <c r="S136" s="7"/>
      <c r="T136" s="9"/>
      <c r="U136" s="7"/>
      <c r="V136" s="8"/>
      <c r="W136" s="7"/>
      <c r="X136" s="7"/>
      <c r="Y136" s="8"/>
      <c r="Z136" s="7"/>
      <c r="AA136" s="8"/>
    </row>
    <row r="137" spans="2:27" ht="14" thickTop="1" thickBot="1">
      <c r="B137" s="10"/>
      <c r="D137" s="65"/>
      <c r="E137" s="52" t="s">
        <v>983</v>
      </c>
      <c r="F137" s="7"/>
      <c r="G137" s="8"/>
      <c r="H137" s="7"/>
      <c r="I137" s="6"/>
      <c r="J137" s="7"/>
      <c r="K137" s="8"/>
      <c r="L137" s="7"/>
      <c r="M137" s="8"/>
      <c r="N137" s="7"/>
      <c r="O137" s="8"/>
      <c r="P137" s="7"/>
      <c r="Q137" s="7"/>
      <c r="R137" s="8"/>
      <c r="S137" s="7"/>
      <c r="T137" s="9"/>
      <c r="U137" s="7"/>
      <c r="V137" s="8"/>
      <c r="W137" s="7"/>
      <c r="X137" s="7"/>
      <c r="Y137" s="8"/>
      <c r="Z137" s="7"/>
      <c r="AA137" s="8"/>
    </row>
    <row r="138" spans="2:27" ht="14" thickTop="1" thickBot="1">
      <c r="B138" s="10"/>
      <c r="D138" s="65"/>
      <c r="E138" s="52" t="s">
        <v>329</v>
      </c>
      <c r="F138" s="7"/>
      <c r="G138" s="8"/>
      <c r="H138" s="7"/>
      <c r="I138" s="6"/>
      <c r="J138" s="7"/>
      <c r="K138" s="8"/>
      <c r="L138" s="7"/>
      <c r="M138" s="8"/>
      <c r="N138" s="7"/>
      <c r="O138" s="8"/>
      <c r="P138" s="7"/>
      <c r="Q138" s="7"/>
      <c r="R138" s="8"/>
      <c r="S138" s="7"/>
      <c r="T138" s="9"/>
      <c r="U138" s="7"/>
      <c r="V138" s="8"/>
      <c r="W138" s="7"/>
      <c r="X138" s="7"/>
      <c r="Y138" s="8"/>
      <c r="Z138" s="7"/>
      <c r="AA138" s="8"/>
    </row>
    <row r="139" spans="2:27" ht="14" thickTop="1" thickBot="1">
      <c r="B139" s="10"/>
      <c r="D139" s="65"/>
      <c r="E139" s="52" t="s">
        <v>330</v>
      </c>
      <c r="F139" s="7"/>
      <c r="G139" s="8"/>
      <c r="H139" s="7"/>
      <c r="I139" s="6"/>
      <c r="J139" s="7"/>
      <c r="K139" s="8"/>
      <c r="L139" s="7"/>
      <c r="M139" s="8"/>
      <c r="N139" s="7"/>
      <c r="O139" s="8"/>
      <c r="P139" s="7"/>
      <c r="Q139" s="7"/>
      <c r="R139" s="8"/>
      <c r="S139" s="7"/>
      <c r="T139" s="9"/>
      <c r="U139" s="7"/>
      <c r="V139" s="8"/>
      <c r="W139" s="7"/>
      <c r="X139" s="7"/>
      <c r="Y139" s="8"/>
      <c r="Z139" s="7"/>
      <c r="AA139" s="8"/>
    </row>
    <row r="140" spans="2:27" ht="14" thickTop="1" thickBot="1">
      <c r="B140" s="10"/>
      <c r="D140" s="65"/>
      <c r="E140" s="52" t="s">
        <v>420</v>
      </c>
      <c r="F140" s="7"/>
      <c r="G140" s="8"/>
      <c r="H140" s="7"/>
      <c r="I140" s="6"/>
      <c r="J140" s="7"/>
      <c r="K140" s="8"/>
      <c r="L140" s="7"/>
      <c r="M140" s="8"/>
      <c r="N140" s="7"/>
      <c r="O140" s="8"/>
      <c r="P140" s="7"/>
      <c r="Q140" s="7"/>
      <c r="R140" s="8"/>
      <c r="S140" s="7"/>
      <c r="T140" s="9"/>
      <c r="U140" s="7"/>
      <c r="V140" s="8"/>
      <c r="W140" s="7"/>
      <c r="X140" s="7"/>
      <c r="Y140" s="8"/>
      <c r="Z140" s="7"/>
      <c r="AA140" s="8"/>
    </row>
    <row r="141" spans="2:27" ht="14" thickTop="1" thickBot="1">
      <c r="B141" s="10"/>
      <c r="D141" s="65"/>
      <c r="E141" s="52" t="s">
        <v>469</v>
      </c>
      <c r="F141" s="7"/>
      <c r="G141" s="8"/>
      <c r="H141" s="7"/>
      <c r="I141" s="6"/>
      <c r="J141" s="7"/>
      <c r="K141" s="8"/>
      <c r="L141" s="7"/>
      <c r="M141" s="8"/>
      <c r="N141" s="7"/>
      <c r="O141" s="8"/>
      <c r="P141" s="7"/>
      <c r="Q141" s="7"/>
      <c r="R141" s="8"/>
      <c r="S141" s="7"/>
      <c r="T141" s="9"/>
      <c r="U141" s="7"/>
      <c r="V141" s="8"/>
      <c r="W141" s="7"/>
      <c r="X141" s="7"/>
      <c r="Y141" s="8"/>
      <c r="Z141" s="7"/>
      <c r="AA141" s="8"/>
    </row>
    <row r="142" spans="2:27" ht="14" thickTop="1" thickBot="1">
      <c r="B142" s="10"/>
      <c r="D142" s="65"/>
      <c r="E142" s="52" t="s">
        <v>332</v>
      </c>
      <c r="F142" s="7"/>
      <c r="G142" s="8"/>
      <c r="H142" s="7"/>
      <c r="I142" s="6"/>
      <c r="J142" s="7"/>
      <c r="K142" s="8"/>
      <c r="L142" s="7"/>
      <c r="M142" s="8"/>
      <c r="N142" s="7"/>
      <c r="O142" s="8"/>
      <c r="P142" s="7"/>
      <c r="Q142" s="7"/>
      <c r="R142" s="8"/>
      <c r="S142" s="7"/>
      <c r="T142" s="9"/>
      <c r="U142" s="7"/>
      <c r="V142" s="8"/>
      <c r="W142" s="7"/>
      <c r="X142" s="7"/>
      <c r="Y142" s="8"/>
      <c r="Z142" s="7"/>
      <c r="AA142" s="8"/>
    </row>
    <row r="143" spans="2:27" ht="14" thickTop="1" thickBot="1">
      <c r="B143" s="10"/>
      <c r="D143" s="65"/>
      <c r="E143" s="52" t="s">
        <v>473</v>
      </c>
      <c r="F143" s="7"/>
      <c r="G143" s="8"/>
      <c r="H143" s="7"/>
      <c r="I143" s="6"/>
      <c r="J143" s="7"/>
      <c r="K143" s="8"/>
      <c r="L143" s="7"/>
      <c r="M143" s="8"/>
      <c r="N143" s="7"/>
      <c r="O143" s="8"/>
      <c r="P143" s="7"/>
      <c r="Q143" s="7"/>
      <c r="R143" s="8"/>
      <c r="S143" s="7"/>
      <c r="T143" s="9"/>
      <c r="U143" s="7"/>
      <c r="V143" s="8"/>
      <c r="W143" s="7"/>
      <c r="X143" s="7"/>
      <c r="Y143" s="8"/>
      <c r="Z143" s="7"/>
      <c r="AA143" s="8"/>
    </row>
    <row r="144" spans="2:27" ht="14" thickTop="1" thickBot="1">
      <c r="B144" s="10"/>
      <c r="D144" s="65"/>
      <c r="E144" s="52" t="s">
        <v>304</v>
      </c>
      <c r="F144" s="7"/>
      <c r="G144" s="8"/>
      <c r="H144" s="7"/>
      <c r="I144" s="6"/>
      <c r="J144" s="7"/>
      <c r="K144" s="8"/>
      <c r="L144" s="7"/>
      <c r="M144" s="8"/>
      <c r="N144" s="7"/>
      <c r="O144" s="8"/>
      <c r="P144" s="7"/>
      <c r="Q144" s="7"/>
      <c r="R144" s="8"/>
      <c r="S144" s="7"/>
      <c r="T144" s="9"/>
      <c r="U144" s="7"/>
      <c r="V144" s="8"/>
      <c r="W144" s="7"/>
      <c r="X144" s="7"/>
      <c r="Y144" s="8"/>
      <c r="Z144" s="7"/>
      <c r="AA144" s="8"/>
    </row>
    <row r="145" spans="2:27" ht="14" thickTop="1" thickBot="1">
      <c r="B145" s="10"/>
      <c r="D145" s="65"/>
      <c r="E145" s="52" t="s">
        <v>335</v>
      </c>
      <c r="F145" s="7"/>
      <c r="G145" s="8"/>
      <c r="H145" s="7"/>
      <c r="I145" s="6"/>
      <c r="J145" s="7"/>
      <c r="K145" s="8"/>
      <c r="L145" s="7"/>
      <c r="M145" s="8"/>
      <c r="N145" s="7"/>
      <c r="O145" s="8"/>
      <c r="P145" s="7"/>
      <c r="Q145" s="7"/>
      <c r="R145" s="8"/>
      <c r="S145" s="7"/>
      <c r="T145" s="9"/>
      <c r="U145" s="7"/>
      <c r="V145" s="8"/>
      <c r="W145" s="7"/>
      <c r="X145" s="7"/>
      <c r="Y145" s="8"/>
      <c r="Z145" s="7"/>
      <c r="AA145" s="8"/>
    </row>
    <row r="146" spans="2:27" ht="14" thickTop="1" thickBot="1">
      <c r="B146" s="10"/>
      <c r="D146" s="65"/>
      <c r="E146" s="52" t="s">
        <v>336</v>
      </c>
      <c r="F146" s="7"/>
      <c r="G146" s="8"/>
      <c r="H146" s="7"/>
      <c r="I146" s="6"/>
      <c r="J146" s="7"/>
      <c r="K146" s="8"/>
      <c r="L146" s="7"/>
      <c r="M146" s="8"/>
      <c r="N146" s="7"/>
      <c r="O146" s="8"/>
      <c r="P146" s="7"/>
      <c r="Q146" s="7"/>
      <c r="R146" s="8"/>
      <c r="S146" s="7"/>
      <c r="T146" s="9"/>
      <c r="U146" s="7"/>
      <c r="V146" s="8"/>
      <c r="W146" s="7"/>
      <c r="X146" s="7"/>
      <c r="Y146" s="8"/>
      <c r="Z146" s="7"/>
      <c r="AA146" s="8"/>
    </row>
    <row r="147" spans="2:27" ht="14" thickTop="1" thickBot="1">
      <c r="B147" s="10"/>
      <c r="D147" s="65"/>
      <c r="E147" s="52" t="s">
        <v>508</v>
      </c>
      <c r="F147" s="7"/>
      <c r="G147" s="8"/>
      <c r="H147" s="7"/>
      <c r="I147" s="6"/>
      <c r="J147" s="7"/>
      <c r="K147" s="8"/>
      <c r="L147" s="7"/>
      <c r="M147" s="8"/>
      <c r="N147" s="7"/>
      <c r="O147" s="8"/>
      <c r="P147" s="7"/>
      <c r="Q147" s="7"/>
      <c r="R147" s="8"/>
      <c r="S147" s="7"/>
      <c r="T147" s="9"/>
      <c r="U147" s="7"/>
      <c r="V147" s="8"/>
      <c r="W147" s="7"/>
      <c r="X147" s="7"/>
      <c r="Y147" s="8"/>
      <c r="Z147" s="7"/>
      <c r="AA147" s="8"/>
    </row>
    <row r="148" spans="2:27" ht="14" thickTop="1" thickBot="1">
      <c r="B148" s="10"/>
      <c r="D148" s="65"/>
      <c r="E148" s="52" t="s">
        <v>442</v>
      </c>
      <c r="F148" s="7"/>
      <c r="G148" s="8"/>
      <c r="H148" s="7"/>
      <c r="I148" s="6"/>
      <c r="J148" s="7"/>
      <c r="K148" s="8"/>
      <c r="L148" s="7"/>
      <c r="M148" s="8"/>
      <c r="N148" s="7"/>
      <c r="O148" s="8"/>
      <c r="P148" s="7"/>
      <c r="Q148" s="7"/>
      <c r="R148" s="8"/>
      <c r="S148" s="7"/>
      <c r="T148" s="9"/>
      <c r="U148" s="7"/>
      <c r="V148" s="8"/>
      <c r="W148" s="7"/>
      <c r="X148" s="7"/>
      <c r="Y148" s="8"/>
      <c r="Z148" s="7"/>
      <c r="AA148" s="8"/>
    </row>
    <row r="149" spans="2:27" ht="14" thickTop="1" thickBot="1">
      <c r="B149" s="10"/>
      <c r="D149" s="65"/>
      <c r="E149" s="52" t="s">
        <v>337</v>
      </c>
      <c r="F149" s="7"/>
      <c r="G149" s="8"/>
      <c r="H149" s="7"/>
      <c r="I149" s="6"/>
      <c r="J149" s="7"/>
      <c r="K149" s="8"/>
      <c r="L149" s="7"/>
      <c r="M149" s="8"/>
      <c r="N149" s="7"/>
      <c r="O149" s="8"/>
      <c r="P149" s="7"/>
      <c r="Q149" s="7"/>
      <c r="R149" s="8"/>
      <c r="S149" s="7"/>
      <c r="T149" s="9"/>
      <c r="U149" s="7"/>
      <c r="V149" s="8"/>
      <c r="W149" s="7"/>
      <c r="X149" s="7"/>
      <c r="Y149" s="8"/>
      <c r="Z149" s="7"/>
      <c r="AA149" s="8"/>
    </row>
    <row r="150" spans="2:27" ht="14" thickTop="1" thickBot="1">
      <c r="B150" s="10"/>
      <c r="D150" s="65"/>
      <c r="E150" s="52" t="s">
        <v>467</v>
      </c>
      <c r="F150" s="7"/>
      <c r="G150" s="8"/>
      <c r="H150" s="7"/>
      <c r="I150" s="6"/>
      <c r="J150" s="7"/>
      <c r="K150" s="8"/>
      <c r="L150" s="7"/>
      <c r="M150" s="8"/>
      <c r="N150" s="7"/>
      <c r="O150" s="8"/>
      <c r="P150" s="7"/>
      <c r="Q150" s="7"/>
      <c r="R150" s="8"/>
      <c r="S150" s="7"/>
      <c r="T150" s="9"/>
      <c r="U150" s="7"/>
      <c r="V150" s="8"/>
      <c r="W150" s="7"/>
      <c r="X150" s="7"/>
      <c r="Y150" s="8"/>
      <c r="Z150" s="7"/>
      <c r="AA150" s="8"/>
    </row>
    <row r="151" spans="2:27" ht="14" thickTop="1" thickBot="1">
      <c r="B151" s="10"/>
      <c r="D151" s="65"/>
      <c r="E151" s="52" t="s">
        <v>674</v>
      </c>
      <c r="F151" s="7"/>
      <c r="G151" s="8"/>
      <c r="H151" s="7"/>
      <c r="I151" s="6"/>
      <c r="J151" s="7"/>
      <c r="K151" s="8"/>
      <c r="L151" s="7"/>
      <c r="M151" s="8"/>
      <c r="N151" s="7"/>
      <c r="O151" s="8"/>
      <c r="P151" s="7"/>
      <c r="Q151" s="7"/>
      <c r="R151" s="8"/>
      <c r="S151" s="7"/>
      <c r="T151" s="9"/>
      <c r="U151" s="7"/>
      <c r="V151" s="8"/>
      <c r="W151" s="7"/>
      <c r="X151" s="7"/>
      <c r="Y151" s="8"/>
      <c r="Z151" s="7"/>
      <c r="AA151" s="8"/>
    </row>
    <row r="152" spans="2:27" ht="14" thickTop="1" thickBot="1">
      <c r="B152" s="10"/>
      <c r="D152" s="65"/>
      <c r="E152" s="52" t="s">
        <v>685</v>
      </c>
      <c r="F152" s="7"/>
      <c r="G152" s="8"/>
      <c r="H152" s="7"/>
      <c r="I152" s="6"/>
      <c r="J152" s="7"/>
      <c r="K152" s="8"/>
      <c r="L152" s="7"/>
      <c r="M152" s="8"/>
      <c r="N152" s="7"/>
      <c r="O152" s="8"/>
      <c r="P152" s="7"/>
      <c r="Q152" s="7"/>
      <c r="R152" s="8"/>
      <c r="S152" s="7"/>
      <c r="T152" s="9"/>
      <c r="U152" s="7"/>
      <c r="V152" s="8"/>
      <c r="W152" s="7"/>
      <c r="X152" s="7"/>
      <c r="Y152" s="8"/>
      <c r="Z152" s="7"/>
      <c r="AA152" s="8"/>
    </row>
    <row r="153" spans="2:27" ht="14" thickTop="1" thickBot="1">
      <c r="B153" s="10"/>
      <c r="D153" s="65"/>
      <c r="E153" s="52" t="s">
        <v>686</v>
      </c>
      <c r="F153" s="7"/>
      <c r="G153" s="8"/>
      <c r="H153" s="7"/>
      <c r="I153" s="6"/>
      <c r="J153" s="7"/>
      <c r="K153" s="8"/>
      <c r="L153" s="7"/>
      <c r="M153" s="8"/>
      <c r="N153" s="7"/>
      <c r="O153" s="8"/>
      <c r="P153" s="7"/>
      <c r="Q153" s="7"/>
      <c r="R153" s="8"/>
      <c r="S153" s="7"/>
      <c r="T153" s="9"/>
      <c r="U153" s="7"/>
      <c r="V153" s="8"/>
      <c r="W153" s="7"/>
      <c r="X153" s="7"/>
      <c r="Y153" s="8"/>
      <c r="Z153" s="7"/>
      <c r="AA153" s="8"/>
    </row>
    <row r="154" spans="2:27" ht="14" thickTop="1" thickBot="1">
      <c r="B154" s="10"/>
      <c r="D154" s="65"/>
      <c r="E154" s="52" t="s">
        <v>687</v>
      </c>
      <c r="F154" s="7"/>
      <c r="G154" s="8"/>
      <c r="H154" s="7"/>
      <c r="I154" s="6"/>
      <c r="J154" s="7"/>
      <c r="K154" s="8"/>
      <c r="L154" s="7"/>
      <c r="M154" s="8"/>
      <c r="N154" s="7"/>
      <c r="O154" s="8"/>
      <c r="P154" s="7"/>
      <c r="Q154" s="7"/>
      <c r="R154" s="8"/>
      <c r="S154" s="7"/>
      <c r="T154" s="9"/>
      <c r="U154" s="7"/>
      <c r="V154" s="8"/>
      <c r="W154" s="7"/>
      <c r="X154" s="7"/>
      <c r="Y154" s="8"/>
      <c r="Z154" s="7"/>
      <c r="AA154" s="8"/>
    </row>
    <row r="155" spans="2:27" ht="14" thickTop="1" thickBot="1">
      <c r="B155" s="10"/>
      <c r="D155" s="65"/>
      <c r="E155" s="52" t="s">
        <v>338</v>
      </c>
      <c r="F155" s="7"/>
      <c r="G155" s="8"/>
      <c r="H155" s="7"/>
      <c r="I155" s="6"/>
      <c r="J155" s="7"/>
      <c r="K155" s="8"/>
      <c r="L155" s="7"/>
      <c r="M155" s="8"/>
      <c r="N155" s="7"/>
      <c r="O155" s="8"/>
      <c r="P155" s="7"/>
      <c r="Q155" s="7"/>
      <c r="R155" s="8"/>
      <c r="S155" s="7"/>
      <c r="T155" s="9"/>
      <c r="U155" s="7"/>
      <c r="V155" s="8"/>
      <c r="W155" s="7"/>
      <c r="X155" s="7"/>
      <c r="Y155" s="8"/>
      <c r="Z155" s="7"/>
      <c r="AA155" s="8"/>
    </row>
    <row r="156" spans="2:27" ht="14" thickTop="1" thickBot="1">
      <c r="B156" s="10"/>
      <c r="D156" s="65"/>
      <c r="E156" s="52" t="s">
        <v>339</v>
      </c>
      <c r="F156" s="7"/>
      <c r="G156" s="8"/>
      <c r="H156" s="7"/>
      <c r="I156" s="6"/>
      <c r="J156" s="7"/>
      <c r="K156" s="8"/>
      <c r="L156" s="7"/>
      <c r="M156" s="8"/>
      <c r="N156" s="7"/>
      <c r="O156" s="8"/>
      <c r="P156" s="7"/>
      <c r="Q156" s="7"/>
      <c r="R156" s="8"/>
      <c r="S156" s="7"/>
      <c r="T156" s="9"/>
      <c r="U156" s="7"/>
      <c r="V156" s="8"/>
      <c r="W156" s="7"/>
      <c r="X156" s="7"/>
      <c r="Y156" s="8"/>
      <c r="Z156" s="7"/>
      <c r="AA156" s="8"/>
    </row>
    <row r="157" spans="2:27" ht="14" thickTop="1" thickBot="1">
      <c r="B157" s="10"/>
      <c r="D157" s="65"/>
      <c r="E157" s="52" t="s">
        <v>341</v>
      </c>
      <c r="F157" s="7"/>
      <c r="G157" s="8"/>
      <c r="H157" s="7"/>
      <c r="I157" s="6"/>
      <c r="J157" s="7"/>
      <c r="K157" s="8"/>
      <c r="L157" s="7"/>
      <c r="M157" s="8"/>
      <c r="N157" s="7"/>
      <c r="O157" s="8"/>
      <c r="P157" s="7"/>
      <c r="Q157" s="7"/>
      <c r="R157" s="8"/>
      <c r="S157" s="7"/>
      <c r="T157" s="9"/>
      <c r="U157" s="7"/>
      <c r="V157" s="8"/>
      <c r="W157" s="7"/>
      <c r="X157" s="7"/>
      <c r="Y157" s="8"/>
      <c r="Z157" s="7"/>
      <c r="AA157" s="8"/>
    </row>
    <row r="158" spans="2:27" ht="14" thickTop="1" thickBot="1">
      <c r="B158" s="10"/>
      <c r="D158" s="65"/>
      <c r="E158" s="52" t="s">
        <v>865</v>
      </c>
      <c r="F158" s="7"/>
      <c r="G158" s="8"/>
      <c r="H158" s="7"/>
      <c r="I158" s="6"/>
      <c r="J158" s="7"/>
      <c r="K158" s="8"/>
      <c r="L158" s="7"/>
      <c r="M158" s="8"/>
      <c r="N158" s="7"/>
      <c r="O158" s="8"/>
      <c r="P158" s="7"/>
      <c r="Q158" s="7"/>
      <c r="R158" s="8"/>
      <c r="S158" s="7"/>
      <c r="T158" s="9"/>
      <c r="U158" s="7"/>
      <c r="V158" s="8"/>
      <c r="W158" s="7"/>
      <c r="X158" s="7"/>
      <c r="Y158" s="8"/>
      <c r="Z158" s="7"/>
      <c r="AA158" s="8"/>
    </row>
    <row r="159" spans="2:27" ht="14" thickTop="1" thickBot="1">
      <c r="B159" s="10"/>
      <c r="D159" s="65"/>
      <c r="E159" s="52" t="s">
        <v>514</v>
      </c>
      <c r="F159" s="7"/>
      <c r="G159" s="8"/>
      <c r="H159" s="7"/>
      <c r="I159" s="6"/>
      <c r="J159" s="7"/>
      <c r="K159" s="8"/>
      <c r="L159" s="7"/>
      <c r="M159" s="8"/>
      <c r="N159" s="7"/>
      <c r="O159" s="8"/>
      <c r="P159" s="7"/>
      <c r="Q159" s="7"/>
      <c r="R159" s="8"/>
      <c r="S159" s="7"/>
      <c r="T159" s="9"/>
      <c r="U159" s="7"/>
      <c r="V159" s="8"/>
      <c r="W159" s="7"/>
      <c r="X159" s="7"/>
      <c r="Y159" s="8"/>
      <c r="Z159" s="7"/>
      <c r="AA159" s="8"/>
    </row>
    <row r="160" spans="2:27" ht="14" thickTop="1" thickBot="1">
      <c r="B160" s="10"/>
      <c r="D160" s="65"/>
      <c r="E160" s="52" t="s">
        <v>671</v>
      </c>
      <c r="F160" s="7"/>
      <c r="G160" s="8"/>
      <c r="H160" s="7"/>
      <c r="I160" s="6"/>
      <c r="J160" s="7"/>
      <c r="K160" s="8"/>
      <c r="L160" s="7"/>
      <c r="M160" s="8"/>
      <c r="N160" s="7"/>
      <c r="O160" s="8"/>
      <c r="P160" s="7"/>
      <c r="Q160" s="7"/>
      <c r="R160" s="8"/>
      <c r="S160" s="7"/>
      <c r="T160" s="9"/>
      <c r="U160" s="7"/>
      <c r="V160" s="8"/>
      <c r="W160" s="7"/>
      <c r="X160" s="7"/>
      <c r="Y160" s="8"/>
      <c r="Z160" s="7"/>
      <c r="AA160" s="8"/>
    </row>
    <row r="161" spans="2:27" ht="14" thickTop="1" thickBot="1">
      <c r="B161" s="10"/>
      <c r="D161" s="65"/>
      <c r="E161" s="52" t="s">
        <v>675</v>
      </c>
      <c r="F161" s="7"/>
      <c r="G161" s="8"/>
      <c r="H161" s="7"/>
      <c r="I161" s="6"/>
      <c r="J161" s="7"/>
      <c r="K161" s="8"/>
      <c r="L161" s="7"/>
      <c r="M161" s="8"/>
      <c r="N161" s="7"/>
      <c r="O161" s="8"/>
      <c r="P161" s="7"/>
      <c r="Q161" s="7"/>
      <c r="R161" s="8"/>
      <c r="S161" s="7"/>
      <c r="T161" s="9"/>
      <c r="U161" s="7"/>
      <c r="V161" s="8"/>
      <c r="W161" s="7"/>
      <c r="X161" s="7"/>
      <c r="Y161" s="8"/>
      <c r="Z161" s="7"/>
      <c r="AA161" s="8"/>
    </row>
    <row r="162" spans="2:27" ht="14" thickTop="1" thickBot="1">
      <c r="B162" s="10"/>
      <c r="D162" s="65"/>
      <c r="E162" s="52" t="s">
        <v>342</v>
      </c>
      <c r="F162" s="7"/>
      <c r="G162" s="8"/>
      <c r="H162" s="7"/>
      <c r="I162" s="6"/>
      <c r="J162" s="7"/>
      <c r="K162" s="8"/>
      <c r="L162" s="7"/>
      <c r="M162" s="8"/>
      <c r="N162" s="7"/>
      <c r="O162" s="8"/>
      <c r="P162" s="7"/>
      <c r="Q162" s="7"/>
      <c r="R162" s="8"/>
      <c r="S162" s="7"/>
      <c r="T162" s="9"/>
      <c r="U162" s="7"/>
      <c r="V162" s="8"/>
      <c r="W162" s="7"/>
      <c r="X162" s="7"/>
      <c r="Y162" s="8"/>
      <c r="Z162" s="7"/>
      <c r="AA162" s="8"/>
    </row>
    <row r="163" spans="2:27" ht="14" thickTop="1" thickBot="1">
      <c r="B163" s="10"/>
      <c r="D163" s="65"/>
      <c r="E163" s="52" t="s">
        <v>343</v>
      </c>
      <c r="F163" s="7"/>
      <c r="G163" s="8"/>
      <c r="H163" s="7"/>
      <c r="I163" s="6"/>
      <c r="J163" s="7"/>
      <c r="K163" s="8"/>
      <c r="L163" s="7"/>
      <c r="M163" s="8"/>
      <c r="N163" s="7"/>
      <c r="O163" s="8"/>
      <c r="P163" s="7"/>
      <c r="Q163" s="7"/>
      <c r="R163" s="8"/>
      <c r="S163" s="7"/>
      <c r="T163" s="9"/>
      <c r="U163" s="7"/>
      <c r="V163" s="8"/>
      <c r="W163" s="7"/>
      <c r="X163" s="7"/>
      <c r="Y163" s="8"/>
      <c r="Z163" s="7"/>
      <c r="AA163" s="8"/>
    </row>
    <row r="164" spans="2:27" ht="14" thickTop="1" thickBot="1">
      <c r="D164" s="65"/>
      <c r="E164" s="52" t="s">
        <v>443</v>
      </c>
      <c r="F164" s="7"/>
      <c r="G164" s="8"/>
      <c r="H164" s="7"/>
      <c r="I164" s="6"/>
      <c r="J164" s="7"/>
      <c r="K164" s="8"/>
      <c r="L164" s="7"/>
      <c r="M164" s="8"/>
      <c r="N164" s="7"/>
      <c r="O164" s="8"/>
      <c r="P164" s="7"/>
      <c r="Q164" s="7"/>
      <c r="R164" s="8"/>
      <c r="S164" s="7"/>
      <c r="T164" s="9"/>
      <c r="U164" s="7"/>
      <c r="V164" s="8"/>
      <c r="W164" s="7"/>
      <c r="X164" s="7"/>
      <c r="Y164" s="8"/>
      <c r="Z164" s="7"/>
      <c r="AA164" s="8"/>
    </row>
    <row r="165" spans="2:27" ht="14" thickTop="1" thickBot="1">
      <c r="D165" s="65"/>
      <c r="E165" s="52" t="s">
        <v>663</v>
      </c>
      <c r="F165" s="7"/>
      <c r="G165" s="8"/>
      <c r="H165" s="7"/>
      <c r="I165" s="6"/>
      <c r="J165" s="7"/>
      <c r="K165" s="8"/>
      <c r="L165" s="7"/>
      <c r="M165" s="8"/>
      <c r="N165" s="7"/>
      <c r="O165" s="8"/>
      <c r="P165" s="7"/>
      <c r="Q165" s="7"/>
      <c r="R165" s="8"/>
      <c r="S165" s="7"/>
      <c r="T165" s="9"/>
      <c r="U165" s="7"/>
      <c r="V165" s="8"/>
      <c r="W165" s="7"/>
      <c r="X165" s="7"/>
      <c r="Y165" s="8"/>
      <c r="Z165" s="7"/>
      <c r="AA165" s="8"/>
    </row>
    <row r="166" spans="2:27" ht="14" thickTop="1" thickBot="1">
      <c r="D166" s="65"/>
      <c r="E166" s="52" t="s">
        <v>654</v>
      </c>
      <c r="F166" s="7"/>
      <c r="G166" s="8"/>
      <c r="H166" s="7"/>
      <c r="I166" s="6"/>
      <c r="J166" s="7"/>
      <c r="K166" s="8"/>
      <c r="L166" s="7"/>
      <c r="M166" s="8"/>
      <c r="N166" s="7"/>
      <c r="O166" s="8"/>
      <c r="P166" s="7"/>
      <c r="Q166" s="7"/>
      <c r="R166" s="8"/>
      <c r="S166" s="7"/>
      <c r="T166" s="9"/>
      <c r="U166" s="7"/>
      <c r="V166" s="8"/>
      <c r="W166" s="7"/>
      <c r="X166" s="7"/>
      <c r="Y166" s="8"/>
      <c r="Z166" s="7"/>
      <c r="AA166" s="8"/>
    </row>
    <row r="167" spans="2:27" ht="14" thickTop="1" thickBot="1">
      <c r="D167" s="65"/>
      <c r="E167" s="52" t="s">
        <v>612</v>
      </c>
      <c r="F167" s="7"/>
      <c r="G167" s="8"/>
      <c r="H167" s="7"/>
      <c r="I167" s="6"/>
      <c r="J167" s="7"/>
      <c r="K167" s="8"/>
      <c r="L167" s="7"/>
      <c r="M167" s="8"/>
      <c r="N167" s="7"/>
      <c r="O167" s="8"/>
      <c r="P167" s="7"/>
      <c r="Q167" s="7"/>
      <c r="R167" s="8"/>
      <c r="S167" s="7"/>
      <c r="T167" s="9"/>
      <c r="U167" s="7"/>
      <c r="V167" s="8"/>
      <c r="W167" s="7"/>
      <c r="X167" s="7"/>
      <c r="Y167" s="8"/>
      <c r="Z167" s="7"/>
      <c r="AA167" s="8"/>
    </row>
    <row r="168" spans="2:27" ht="14" thickTop="1" thickBot="1">
      <c r="D168" s="65"/>
      <c r="E168" s="52" t="s">
        <v>613</v>
      </c>
      <c r="F168" s="7"/>
      <c r="G168" s="8"/>
      <c r="H168" s="7"/>
      <c r="I168" s="6"/>
      <c r="J168" s="7"/>
      <c r="K168" s="8"/>
      <c r="L168" s="7"/>
      <c r="M168" s="8"/>
      <c r="N168" s="7"/>
      <c r="O168" s="8"/>
      <c r="P168" s="7"/>
      <c r="Q168" s="7"/>
      <c r="R168" s="8"/>
      <c r="S168" s="7"/>
      <c r="T168" s="9"/>
      <c r="U168" s="7"/>
      <c r="V168" s="8"/>
      <c r="W168" s="7"/>
      <c r="X168" s="7"/>
      <c r="Y168" s="8"/>
      <c r="Z168" s="7"/>
      <c r="AA168" s="8"/>
    </row>
    <row r="169" spans="2:27" ht="14" thickTop="1" thickBot="1">
      <c r="D169" s="65"/>
      <c r="E169" s="52" t="s">
        <v>615</v>
      </c>
      <c r="F169" s="7"/>
      <c r="G169" s="8"/>
      <c r="H169" s="7"/>
      <c r="I169" s="6"/>
      <c r="J169" s="7"/>
      <c r="K169" s="8"/>
      <c r="L169" s="7"/>
      <c r="M169" s="8"/>
      <c r="N169" s="7"/>
      <c r="O169" s="8"/>
      <c r="P169" s="7"/>
      <c r="Q169" s="7"/>
      <c r="R169" s="8"/>
      <c r="S169" s="7"/>
      <c r="T169" s="9"/>
      <c r="U169" s="7"/>
      <c r="V169" s="8"/>
      <c r="W169" s="7"/>
      <c r="X169" s="7"/>
      <c r="Y169" s="8"/>
      <c r="Z169" s="7"/>
      <c r="AA169" s="8"/>
    </row>
    <row r="170" spans="2:27" ht="14" thickTop="1" thickBot="1">
      <c r="D170" s="65"/>
      <c r="E170" s="52" t="s">
        <v>622</v>
      </c>
      <c r="F170" s="7"/>
      <c r="G170" s="8"/>
      <c r="H170" s="7"/>
      <c r="I170" s="6"/>
      <c r="J170" s="7"/>
      <c r="K170" s="8"/>
      <c r="L170" s="7"/>
      <c r="M170" s="8"/>
      <c r="N170" s="7"/>
      <c r="O170" s="8"/>
      <c r="P170" s="7"/>
      <c r="Q170" s="7"/>
      <c r="R170" s="8"/>
      <c r="S170" s="7"/>
      <c r="T170" s="9"/>
      <c r="U170" s="7"/>
      <c r="V170" s="8"/>
      <c r="W170" s="7"/>
      <c r="X170" s="7"/>
      <c r="Y170" s="8"/>
      <c r="Z170" s="7"/>
      <c r="AA170" s="8"/>
    </row>
    <row r="171" spans="2:27" ht="14" thickTop="1" thickBot="1">
      <c r="D171" s="65"/>
      <c r="E171" s="52" t="s">
        <v>620</v>
      </c>
      <c r="F171" s="7"/>
      <c r="G171" s="8"/>
      <c r="H171" s="7"/>
      <c r="I171" s="6"/>
      <c r="J171" s="7"/>
      <c r="K171" s="8"/>
      <c r="L171" s="7"/>
      <c r="M171" s="8"/>
      <c r="N171" s="7"/>
      <c r="O171" s="8"/>
      <c r="P171" s="7"/>
      <c r="Q171" s="7"/>
      <c r="R171" s="8"/>
      <c r="S171" s="7"/>
      <c r="T171" s="9"/>
      <c r="U171" s="7"/>
      <c r="V171" s="8"/>
      <c r="W171" s="7"/>
      <c r="X171" s="7"/>
      <c r="Y171" s="8"/>
      <c r="Z171" s="7"/>
      <c r="AA171" s="8"/>
    </row>
    <row r="172" spans="2:27" ht="14" thickTop="1" thickBot="1">
      <c r="D172" s="65"/>
      <c r="E172" s="52" t="s">
        <v>361</v>
      </c>
      <c r="F172" s="7"/>
      <c r="G172" s="8"/>
      <c r="H172" s="7"/>
      <c r="I172" s="6"/>
      <c r="J172" s="7"/>
      <c r="K172" s="8"/>
      <c r="L172" s="7"/>
      <c r="M172" s="8"/>
      <c r="N172" s="7"/>
      <c r="O172" s="8"/>
      <c r="P172" s="7"/>
      <c r="Q172" s="7"/>
      <c r="R172" s="8"/>
      <c r="S172" s="7"/>
      <c r="T172" s="9"/>
      <c r="U172" s="7"/>
      <c r="V172" s="8"/>
      <c r="W172" s="7"/>
      <c r="X172" s="7"/>
      <c r="Y172" s="8"/>
      <c r="Z172" s="7"/>
      <c r="AA172" s="8"/>
    </row>
    <row r="173" spans="2:27" ht="14" thickTop="1" thickBot="1">
      <c r="D173" s="65"/>
      <c r="E173" s="52" t="s">
        <v>632</v>
      </c>
      <c r="F173" s="7"/>
      <c r="G173" s="8"/>
      <c r="H173" s="7"/>
      <c r="I173" s="6"/>
      <c r="J173" s="7"/>
      <c r="K173" s="8"/>
      <c r="L173" s="7"/>
      <c r="M173" s="8"/>
      <c r="N173" s="7"/>
      <c r="O173" s="8"/>
      <c r="P173" s="7"/>
      <c r="Q173" s="7"/>
      <c r="R173" s="8"/>
      <c r="S173" s="7"/>
      <c r="T173" s="9"/>
      <c r="U173" s="7"/>
      <c r="V173" s="8"/>
      <c r="W173" s="7"/>
      <c r="X173" s="7"/>
      <c r="Y173" s="8"/>
      <c r="Z173" s="7"/>
      <c r="AA173" s="8"/>
    </row>
    <row r="174" spans="2:27" ht="14" thickTop="1" thickBot="1">
      <c r="D174" s="65"/>
      <c r="E174" s="52" t="s">
        <v>611</v>
      </c>
      <c r="F174" s="7"/>
      <c r="G174" s="8"/>
      <c r="H174" s="7"/>
      <c r="I174" s="6"/>
      <c r="J174" s="7"/>
      <c r="K174" s="8"/>
      <c r="L174" s="7"/>
      <c r="M174" s="8"/>
      <c r="N174" s="7"/>
      <c r="O174" s="8"/>
      <c r="P174" s="7"/>
      <c r="Q174" s="7"/>
      <c r="R174" s="8"/>
      <c r="S174" s="7"/>
      <c r="T174" s="9"/>
      <c r="U174" s="7"/>
      <c r="V174" s="8"/>
      <c r="W174" s="7"/>
      <c r="X174" s="7"/>
      <c r="Y174" s="8"/>
      <c r="Z174" s="7"/>
      <c r="AA174" s="8"/>
    </row>
    <row r="175" spans="2:27" ht="14" thickTop="1" thickBot="1">
      <c r="D175" s="65"/>
      <c r="E175" s="52" t="s">
        <v>614</v>
      </c>
      <c r="F175" s="7"/>
      <c r="G175" s="8"/>
      <c r="H175" s="7"/>
      <c r="I175" s="6"/>
      <c r="J175" s="7"/>
      <c r="K175" s="8"/>
      <c r="L175" s="7"/>
      <c r="M175" s="8"/>
      <c r="N175" s="7"/>
      <c r="O175" s="8"/>
      <c r="P175" s="7"/>
      <c r="Q175" s="7"/>
      <c r="R175" s="8"/>
      <c r="S175" s="7"/>
      <c r="T175" s="9"/>
      <c r="U175" s="7"/>
      <c r="V175" s="8"/>
      <c r="W175" s="7"/>
      <c r="X175" s="7"/>
      <c r="Y175" s="8"/>
      <c r="Z175" s="7"/>
      <c r="AA175" s="8"/>
    </row>
    <row r="176" spans="2:27" ht="14" thickTop="1" thickBot="1">
      <c r="D176" s="65"/>
      <c r="E176" s="52" t="s">
        <v>616</v>
      </c>
      <c r="F176" s="7"/>
      <c r="G176" s="8"/>
      <c r="H176" s="7"/>
      <c r="I176" s="6"/>
      <c r="J176" s="7"/>
      <c r="K176" s="8"/>
      <c r="L176" s="7"/>
      <c r="M176" s="8"/>
      <c r="N176" s="7"/>
      <c r="O176" s="8"/>
      <c r="P176" s="7"/>
      <c r="Q176" s="7"/>
      <c r="R176" s="8"/>
      <c r="S176" s="7"/>
      <c r="T176" s="9"/>
      <c r="U176" s="7"/>
      <c r="V176" s="8"/>
      <c r="W176" s="7"/>
      <c r="X176" s="7"/>
      <c r="Y176" s="8"/>
      <c r="Z176" s="7"/>
      <c r="AA176" s="8"/>
    </row>
    <row r="177" spans="4:27" ht="14" thickTop="1" thickBot="1">
      <c r="D177" s="65"/>
      <c r="E177" s="52" t="s">
        <v>360</v>
      </c>
      <c r="F177" s="7"/>
      <c r="G177" s="8"/>
      <c r="H177" s="7"/>
      <c r="I177" s="6"/>
      <c r="J177" s="7"/>
      <c r="K177" s="8"/>
      <c r="L177" s="7"/>
      <c r="M177" s="8"/>
      <c r="N177" s="7"/>
      <c r="O177" s="8"/>
      <c r="P177" s="7"/>
      <c r="Q177" s="7"/>
      <c r="R177" s="8"/>
      <c r="S177" s="7"/>
      <c r="T177" s="9"/>
      <c r="U177" s="7"/>
      <c r="V177" s="8"/>
      <c r="W177" s="7"/>
      <c r="X177" s="7"/>
      <c r="Y177" s="8"/>
      <c r="Z177" s="7"/>
      <c r="AA177" s="8"/>
    </row>
    <row r="178" spans="4:27" ht="14" thickTop="1" thickBot="1">
      <c r="D178" s="65"/>
      <c r="E178" s="52" t="s">
        <v>618</v>
      </c>
      <c r="F178" s="7"/>
      <c r="G178" s="8"/>
      <c r="H178" s="7"/>
      <c r="I178" s="6"/>
      <c r="J178" s="7"/>
      <c r="K178" s="8"/>
      <c r="L178" s="7"/>
      <c r="M178" s="8"/>
      <c r="N178" s="7"/>
      <c r="O178" s="8"/>
      <c r="P178" s="7"/>
      <c r="Q178" s="7"/>
      <c r="R178" s="8"/>
      <c r="S178" s="7"/>
      <c r="T178" s="9"/>
      <c r="U178" s="7"/>
      <c r="V178" s="8"/>
      <c r="W178" s="7"/>
      <c r="X178" s="7"/>
      <c r="Y178" s="8"/>
      <c r="Z178" s="7"/>
      <c r="AA178" s="8"/>
    </row>
    <row r="179" spans="4:27" ht="14" thickTop="1" thickBot="1">
      <c r="D179" s="65"/>
      <c r="E179" s="52" t="s">
        <v>624</v>
      </c>
      <c r="F179" s="7"/>
      <c r="G179" s="8"/>
      <c r="H179" s="7"/>
      <c r="I179" s="6"/>
      <c r="J179" s="7"/>
      <c r="K179" s="8"/>
      <c r="L179" s="7"/>
      <c r="M179" s="8"/>
      <c r="N179" s="7"/>
      <c r="O179" s="8"/>
      <c r="P179" s="7"/>
      <c r="Q179" s="7"/>
      <c r="R179" s="8"/>
      <c r="S179" s="7"/>
      <c r="T179" s="9"/>
      <c r="U179" s="7"/>
      <c r="V179" s="8"/>
      <c r="W179" s="7"/>
      <c r="X179" s="7"/>
      <c r="Y179" s="8"/>
      <c r="Z179" s="7"/>
      <c r="AA179" s="8"/>
    </row>
    <row r="180" spans="4:27" ht="14" thickTop="1" thickBot="1">
      <c r="D180" s="65"/>
      <c r="E180" s="52" t="s">
        <v>621</v>
      </c>
      <c r="F180" s="7"/>
      <c r="G180" s="8"/>
      <c r="H180" s="7"/>
      <c r="I180" s="6"/>
      <c r="J180" s="7"/>
      <c r="K180" s="8"/>
      <c r="L180" s="7"/>
      <c r="M180" s="8"/>
      <c r="N180" s="7"/>
      <c r="O180" s="8"/>
      <c r="P180" s="7"/>
      <c r="Q180" s="7"/>
      <c r="R180" s="8"/>
      <c r="S180" s="7"/>
      <c r="T180" s="9"/>
      <c r="U180" s="7"/>
      <c r="V180" s="8"/>
      <c r="W180" s="7"/>
      <c r="X180" s="7"/>
      <c r="Y180" s="8"/>
      <c r="Z180" s="7"/>
      <c r="AA180" s="8"/>
    </row>
    <row r="181" spans="4:27" ht="14" thickTop="1" thickBot="1">
      <c r="D181" s="65"/>
      <c r="E181" s="52" t="s">
        <v>623</v>
      </c>
      <c r="F181" s="7"/>
      <c r="G181" s="8"/>
      <c r="H181" s="7"/>
      <c r="I181" s="6"/>
      <c r="J181" s="7"/>
      <c r="K181" s="8"/>
      <c r="L181" s="7"/>
      <c r="M181" s="8"/>
      <c r="N181" s="7"/>
      <c r="O181" s="8"/>
      <c r="P181" s="7"/>
      <c r="Q181" s="7"/>
      <c r="R181" s="8"/>
      <c r="S181" s="7"/>
      <c r="T181" s="9"/>
      <c r="U181" s="7"/>
      <c r="V181" s="8"/>
      <c r="W181" s="7"/>
      <c r="X181" s="7"/>
      <c r="Y181" s="8"/>
      <c r="Z181" s="7"/>
      <c r="AA181" s="8"/>
    </row>
    <row r="182" spans="4:27" ht="14" thickTop="1" thickBot="1">
      <c r="D182" s="65"/>
      <c r="E182" s="52" t="s">
        <v>634</v>
      </c>
      <c r="F182" s="7"/>
      <c r="G182" s="8"/>
      <c r="H182" s="7"/>
      <c r="I182" s="6"/>
      <c r="J182" s="7"/>
      <c r="K182" s="8"/>
      <c r="L182" s="7"/>
      <c r="M182" s="8"/>
      <c r="N182" s="7"/>
      <c r="O182" s="8"/>
      <c r="P182" s="7"/>
      <c r="Q182" s="7"/>
      <c r="R182" s="8"/>
      <c r="S182" s="7"/>
      <c r="T182" s="9"/>
      <c r="U182" s="7"/>
      <c r="V182" s="8"/>
      <c r="W182" s="7"/>
      <c r="X182" s="7"/>
      <c r="Y182" s="8"/>
      <c r="Z182" s="7"/>
      <c r="AA182" s="8"/>
    </row>
    <row r="183" spans="4:27" ht="14" thickTop="1" thickBot="1">
      <c r="D183" s="65"/>
      <c r="E183" s="52" t="s">
        <v>370</v>
      </c>
      <c r="F183" s="7"/>
      <c r="G183" s="8"/>
      <c r="H183" s="7"/>
      <c r="I183" s="6"/>
      <c r="J183" s="7"/>
      <c r="K183" s="8"/>
      <c r="L183" s="7"/>
      <c r="M183" s="8"/>
      <c r="N183" s="7"/>
      <c r="O183" s="8"/>
      <c r="P183" s="7"/>
      <c r="Q183" s="7"/>
      <c r="R183" s="8"/>
      <c r="S183" s="7"/>
      <c r="T183" s="9"/>
      <c r="U183" s="7"/>
      <c r="V183" s="8"/>
      <c r="W183" s="7"/>
      <c r="X183" s="7"/>
      <c r="Y183" s="8"/>
      <c r="Z183" s="7"/>
      <c r="AA183" s="8"/>
    </row>
    <row r="184" spans="4:27" ht="14" thickTop="1" thickBot="1">
      <c r="D184" s="65"/>
      <c r="E184" s="52" t="s">
        <v>366</v>
      </c>
      <c r="F184" s="7"/>
      <c r="G184" s="8"/>
      <c r="H184" s="7"/>
      <c r="I184" s="6"/>
      <c r="J184" s="7"/>
      <c r="K184" s="8"/>
      <c r="L184" s="7"/>
      <c r="M184" s="8"/>
      <c r="N184" s="7"/>
      <c r="O184" s="8"/>
      <c r="P184" s="7"/>
      <c r="Q184" s="7"/>
      <c r="R184" s="8"/>
      <c r="S184" s="7"/>
      <c r="T184" s="9"/>
      <c r="U184" s="7"/>
      <c r="V184" s="8"/>
      <c r="W184" s="7"/>
      <c r="X184" s="7"/>
      <c r="Y184" s="8"/>
      <c r="Z184" s="7"/>
      <c r="AA184" s="8"/>
    </row>
    <row r="185" spans="4:27" ht="14" thickTop="1" thickBot="1">
      <c r="D185" s="65"/>
      <c r="E185" s="52" t="s">
        <v>367</v>
      </c>
      <c r="F185" s="7"/>
      <c r="G185" s="8"/>
      <c r="H185" s="7"/>
      <c r="I185" s="6"/>
      <c r="J185" s="7"/>
      <c r="K185" s="8"/>
      <c r="L185" s="7"/>
      <c r="M185" s="8"/>
      <c r="N185" s="7"/>
      <c r="O185" s="8"/>
      <c r="P185" s="7"/>
      <c r="Q185" s="7"/>
      <c r="R185" s="8"/>
      <c r="S185" s="7"/>
      <c r="T185" s="9"/>
      <c r="U185" s="7"/>
      <c r="V185" s="8"/>
      <c r="W185" s="7"/>
      <c r="X185" s="7"/>
      <c r="Y185" s="8"/>
      <c r="Z185" s="7"/>
      <c r="AA185" s="8"/>
    </row>
    <row r="186" spans="4:27" ht="14" thickTop="1" thickBot="1">
      <c r="D186" s="65"/>
      <c r="E186" s="52" t="s">
        <v>619</v>
      </c>
      <c r="F186" s="7"/>
      <c r="G186" s="8"/>
      <c r="H186" s="7"/>
      <c r="I186" s="6"/>
      <c r="J186" s="7"/>
      <c r="K186" s="8"/>
      <c r="L186" s="7"/>
      <c r="M186" s="8"/>
      <c r="N186" s="7"/>
      <c r="O186" s="8"/>
      <c r="P186" s="7"/>
      <c r="Q186" s="7"/>
      <c r="R186" s="8"/>
      <c r="S186" s="7"/>
      <c r="T186" s="9"/>
      <c r="U186" s="7"/>
      <c r="V186" s="8"/>
      <c r="W186" s="7"/>
      <c r="X186" s="7"/>
      <c r="Y186" s="8"/>
      <c r="Z186" s="7"/>
      <c r="AA186" s="8"/>
    </row>
    <row r="187" spans="4:27" ht="14" thickTop="1" thickBot="1">
      <c r="D187" s="65"/>
      <c r="E187" s="52" t="s">
        <v>368</v>
      </c>
      <c r="F187" s="7"/>
      <c r="G187" s="8"/>
      <c r="H187" s="7"/>
      <c r="I187" s="6"/>
      <c r="J187" s="7"/>
      <c r="K187" s="8"/>
      <c r="L187" s="7"/>
      <c r="M187" s="8"/>
      <c r="N187" s="7"/>
      <c r="O187" s="8"/>
      <c r="P187" s="7"/>
      <c r="Q187" s="7"/>
      <c r="R187" s="8"/>
      <c r="S187" s="7"/>
      <c r="T187" s="9"/>
      <c r="U187" s="7"/>
      <c r="V187" s="8"/>
      <c r="W187" s="7"/>
      <c r="X187" s="7"/>
      <c r="Y187" s="8"/>
      <c r="Z187" s="7"/>
      <c r="AA187" s="8"/>
    </row>
    <row r="188" spans="4:27" ht="14" thickTop="1" thickBot="1">
      <c r="D188" s="65"/>
      <c r="E188" s="52" t="s">
        <v>365</v>
      </c>
      <c r="F188" s="7"/>
      <c r="G188" s="8"/>
      <c r="H188" s="7"/>
      <c r="I188" s="6"/>
      <c r="J188" s="7"/>
      <c r="K188" s="8"/>
      <c r="L188" s="7"/>
      <c r="M188" s="8"/>
      <c r="N188" s="7"/>
      <c r="O188" s="8"/>
      <c r="P188" s="7"/>
      <c r="Q188" s="7"/>
      <c r="R188" s="8"/>
      <c r="S188" s="7"/>
      <c r="T188" s="9"/>
      <c r="U188" s="7"/>
      <c r="V188" s="8"/>
      <c r="W188" s="7"/>
      <c r="X188" s="7"/>
      <c r="Y188" s="8"/>
      <c r="Z188" s="7"/>
      <c r="AA188" s="8"/>
    </row>
    <row r="189" spans="4:27" ht="14" thickTop="1" thickBot="1">
      <c r="D189" s="65"/>
      <c r="E189" s="52" t="s">
        <v>364</v>
      </c>
      <c r="F189" s="7"/>
      <c r="G189" s="8"/>
      <c r="H189" s="7"/>
      <c r="I189" s="6"/>
      <c r="J189" s="7"/>
      <c r="K189" s="8"/>
      <c r="L189" s="7"/>
      <c r="M189" s="8"/>
      <c r="N189" s="7"/>
      <c r="O189" s="8"/>
      <c r="P189" s="7"/>
      <c r="Q189" s="7"/>
      <c r="R189" s="8"/>
      <c r="S189" s="7"/>
      <c r="T189" s="9"/>
      <c r="U189" s="7"/>
      <c r="V189" s="8"/>
      <c r="W189" s="7"/>
      <c r="X189" s="7"/>
      <c r="Y189" s="8"/>
      <c r="Z189" s="7"/>
      <c r="AA189" s="8"/>
    </row>
    <row r="190" spans="4:27" ht="14" thickTop="1" thickBot="1">
      <c r="D190" s="65"/>
      <c r="E190" s="52" t="s">
        <v>363</v>
      </c>
      <c r="F190" s="7"/>
      <c r="G190" s="8"/>
      <c r="H190" s="7"/>
      <c r="I190" s="6"/>
      <c r="J190" s="7"/>
      <c r="K190" s="8"/>
      <c r="L190" s="7"/>
      <c r="M190" s="8"/>
      <c r="N190" s="7"/>
      <c r="O190" s="8"/>
      <c r="P190" s="7"/>
      <c r="Q190" s="7"/>
      <c r="R190" s="8"/>
      <c r="S190" s="7"/>
      <c r="T190" s="9"/>
      <c r="U190" s="7"/>
      <c r="V190" s="8"/>
      <c r="W190" s="7"/>
      <c r="X190" s="7"/>
      <c r="Y190" s="8"/>
      <c r="Z190" s="7"/>
      <c r="AA190" s="8"/>
    </row>
    <row r="191" spans="4:27" ht="14" thickTop="1" thickBot="1">
      <c r="D191" s="65"/>
      <c r="E191" s="52" t="s">
        <v>650</v>
      </c>
      <c r="F191" s="7"/>
      <c r="G191" s="8"/>
      <c r="H191" s="7"/>
      <c r="I191" s="6"/>
      <c r="J191" s="7"/>
      <c r="K191" s="8"/>
      <c r="L191" s="7"/>
      <c r="M191" s="8"/>
      <c r="N191" s="7"/>
      <c r="O191" s="8"/>
      <c r="P191" s="7"/>
      <c r="Q191" s="7"/>
      <c r="R191" s="8"/>
      <c r="S191" s="7"/>
      <c r="T191" s="9"/>
      <c r="U191" s="7"/>
      <c r="V191" s="8"/>
      <c r="W191" s="7"/>
      <c r="X191" s="7"/>
      <c r="Y191" s="8"/>
      <c r="Z191" s="7"/>
      <c r="AA191" s="8"/>
    </row>
    <row r="192" spans="4:27" ht="14" thickTop="1" thickBot="1">
      <c r="D192" s="65"/>
      <c r="E192" s="52" t="s">
        <v>657</v>
      </c>
      <c r="F192" s="7"/>
      <c r="G192" s="8"/>
      <c r="H192" s="7"/>
      <c r="I192" s="6"/>
      <c r="J192" s="7"/>
      <c r="K192" s="8"/>
      <c r="L192" s="7"/>
      <c r="M192" s="8"/>
      <c r="N192" s="7"/>
      <c r="O192" s="8"/>
      <c r="P192" s="7"/>
      <c r="Q192" s="7"/>
      <c r="R192" s="8"/>
      <c r="S192" s="7"/>
      <c r="T192" s="9"/>
      <c r="U192" s="7"/>
      <c r="V192" s="8"/>
      <c r="W192" s="7"/>
      <c r="X192" s="7"/>
      <c r="Y192" s="8"/>
      <c r="Z192" s="7"/>
      <c r="AA192" s="8"/>
    </row>
    <row r="193" spans="4:27" ht="14" thickTop="1" thickBot="1">
      <c r="D193" s="65"/>
      <c r="E193" s="52" t="s">
        <v>648</v>
      </c>
      <c r="F193" s="7"/>
      <c r="G193" s="8"/>
      <c r="H193" s="7"/>
      <c r="I193" s="6"/>
      <c r="J193" s="7"/>
      <c r="K193" s="8"/>
      <c r="L193" s="7"/>
      <c r="M193" s="8"/>
      <c r="N193" s="7"/>
      <c r="O193" s="8"/>
      <c r="P193" s="7"/>
      <c r="Q193" s="7"/>
      <c r="R193" s="8"/>
      <c r="S193" s="7"/>
      <c r="T193" s="9"/>
      <c r="U193" s="7"/>
      <c r="V193" s="8"/>
      <c r="W193" s="7"/>
      <c r="X193" s="7"/>
      <c r="Y193" s="8"/>
      <c r="Z193" s="7"/>
      <c r="AA193" s="8"/>
    </row>
    <row r="194" spans="4:27" ht="14" thickTop="1" thickBot="1">
      <c r="D194" s="65"/>
      <c r="E194" s="52" t="s">
        <v>658</v>
      </c>
      <c r="F194" s="7"/>
      <c r="G194" s="8"/>
      <c r="H194" s="7"/>
      <c r="I194" s="6"/>
      <c r="J194" s="7"/>
      <c r="K194" s="8"/>
      <c r="L194" s="7"/>
      <c r="M194" s="8"/>
      <c r="N194" s="7"/>
      <c r="O194" s="8"/>
      <c r="P194" s="7"/>
      <c r="Q194" s="7"/>
      <c r="R194" s="8"/>
      <c r="S194" s="7"/>
      <c r="T194" s="9"/>
      <c r="U194" s="7"/>
      <c r="V194" s="8"/>
      <c r="W194" s="7"/>
      <c r="X194" s="7"/>
      <c r="Y194" s="8"/>
      <c r="Z194" s="7"/>
      <c r="AA194" s="8"/>
    </row>
    <row r="195" spans="4:27" ht="14" thickTop="1" thickBot="1">
      <c r="D195" s="65"/>
      <c r="E195" s="52" t="s">
        <v>418</v>
      </c>
      <c r="F195" s="7"/>
      <c r="G195" s="8"/>
      <c r="H195" s="7"/>
      <c r="I195" s="6"/>
      <c r="J195" s="7"/>
      <c r="K195" s="8"/>
      <c r="L195" s="7"/>
      <c r="M195" s="8"/>
      <c r="N195" s="7"/>
      <c r="O195" s="8"/>
      <c r="P195" s="7"/>
      <c r="Q195" s="7"/>
      <c r="R195" s="8"/>
      <c r="S195" s="7"/>
      <c r="T195" s="9"/>
      <c r="U195" s="7"/>
      <c r="V195" s="8"/>
      <c r="W195" s="7"/>
      <c r="X195" s="7"/>
      <c r="Y195" s="8"/>
      <c r="Z195" s="7"/>
      <c r="AA195" s="8"/>
    </row>
    <row r="196" spans="4:27" ht="14" thickTop="1" thickBot="1">
      <c r="D196" s="65"/>
      <c r="E196" s="52" t="s">
        <v>646</v>
      </c>
      <c r="F196" s="7"/>
      <c r="G196" s="8"/>
      <c r="H196" s="7"/>
      <c r="I196" s="6"/>
      <c r="J196" s="7"/>
      <c r="K196" s="8"/>
      <c r="L196" s="7"/>
      <c r="M196" s="8"/>
      <c r="N196" s="7"/>
      <c r="O196" s="8"/>
      <c r="P196" s="7"/>
      <c r="Q196" s="7"/>
      <c r="R196" s="8"/>
      <c r="S196" s="7"/>
      <c r="T196" s="9"/>
      <c r="U196" s="7"/>
      <c r="V196" s="8"/>
      <c r="W196" s="7"/>
      <c r="X196" s="7"/>
      <c r="Y196" s="8"/>
      <c r="Z196" s="7"/>
      <c r="AA196" s="8"/>
    </row>
    <row r="197" spans="4:27" ht="14" thickTop="1" thickBot="1">
      <c r="D197" s="65"/>
      <c r="E197" s="52" t="s">
        <v>399</v>
      </c>
      <c r="F197" s="7"/>
      <c r="G197" s="8"/>
      <c r="H197" s="7"/>
      <c r="I197" s="6"/>
      <c r="J197" s="7"/>
      <c r="K197" s="8"/>
      <c r="L197" s="7"/>
      <c r="M197" s="8"/>
      <c r="N197" s="7"/>
      <c r="O197" s="8"/>
      <c r="P197" s="7"/>
      <c r="Q197" s="7"/>
      <c r="R197" s="8"/>
      <c r="S197" s="7"/>
      <c r="T197" s="9"/>
      <c r="U197" s="7"/>
      <c r="V197" s="8"/>
      <c r="W197" s="7"/>
      <c r="X197" s="7"/>
      <c r="Y197" s="8"/>
      <c r="Z197" s="7"/>
      <c r="AA197" s="8"/>
    </row>
    <row r="198" spans="4:27" ht="14" thickTop="1" thickBot="1">
      <c r="D198" s="65"/>
      <c r="E198" s="52" t="s">
        <v>645</v>
      </c>
      <c r="F198" s="7"/>
      <c r="G198" s="8"/>
      <c r="H198" s="7"/>
      <c r="I198" s="6"/>
      <c r="J198" s="7"/>
      <c r="K198" s="8"/>
      <c r="L198" s="7"/>
      <c r="M198" s="8"/>
      <c r="N198" s="7"/>
      <c r="O198" s="8"/>
      <c r="P198" s="7"/>
      <c r="Q198" s="7"/>
      <c r="R198" s="8"/>
      <c r="S198" s="7"/>
      <c r="T198" s="9"/>
      <c r="U198" s="7"/>
      <c r="V198" s="8"/>
      <c r="W198" s="7"/>
      <c r="X198" s="7"/>
      <c r="Y198" s="8"/>
      <c r="Z198" s="7"/>
      <c r="AA198" s="8"/>
    </row>
    <row r="199" spans="4:27" ht="14" thickTop="1" thickBot="1">
      <c r="D199" s="65"/>
      <c r="E199" s="52" t="s">
        <v>659</v>
      </c>
      <c r="F199" s="7"/>
      <c r="G199" s="8"/>
      <c r="H199" s="7"/>
      <c r="I199" s="6"/>
      <c r="J199" s="7"/>
      <c r="K199" s="8"/>
      <c r="L199" s="7"/>
      <c r="M199" s="8"/>
      <c r="N199" s="7"/>
      <c r="O199" s="8"/>
      <c r="P199" s="7"/>
      <c r="Q199" s="7"/>
      <c r="R199" s="8"/>
      <c r="S199" s="7"/>
      <c r="T199" s="9"/>
      <c r="U199" s="7"/>
      <c r="V199" s="8"/>
      <c r="W199" s="7"/>
      <c r="X199" s="7"/>
      <c r="Y199" s="8"/>
      <c r="Z199" s="7"/>
      <c r="AA199" s="8"/>
    </row>
    <row r="200" spans="4:27" ht="14" thickTop="1" thickBot="1">
      <c r="D200" s="65"/>
      <c r="E200" s="52" t="s">
        <v>417</v>
      </c>
      <c r="F200" s="7"/>
      <c r="G200" s="8"/>
      <c r="H200" s="7"/>
      <c r="I200" s="6"/>
      <c r="J200" s="7"/>
      <c r="K200" s="8"/>
      <c r="L200" s="7"/>
      <c r="M200" s="8"/>
      <c r="N200" s="7"/>
      <c r="O200" s="8"/>
      <c r="P200" s="7"/>
      <c r="Q200" s="7"/>
      <c r="R200" s="8"/>
      <c r="S200" s="7"/>
      <c r="T200" s="9"/>
      <c r="U200" s="7"/>
      <c r="V200" s="8"/>
      <c r="W200" s="7"/>
      <c r="X200" s="7"/>
      <c r="Y200" s="8"/>
      <c r="Z200" s="7"/>
      <c r="AA200" s="8"/>
    </row>
    <row r="201" spans="4:27" ht="14" thickTop="1" thickBot="1">
      <c r="D201" s="65"/>
      <c r="E201" s="52" t="s">
        <v>644</v>
      </c>
      <c r="F201" s="7"/>
      <c r="G201" s="8"/>
      <c r="H201" s="7"/>
      <c r="I201" s="6"/>
      <c r="J201" s="7"/>
      <c r="K201" s="8"/>
      <c r="L201" s="7"/>
      <c r="M201" s="8"/>
      <c r="N201" s="7"/>
      <c r="O201" s="8"/>
      <c r="P201" s="7"/>
      <c r="Q201" s="7"/>
      <c r="R201" s="8"/>
      <c r="S201" s="7"/>
      <c r="T201" s="9"/>
      <c r="U201" s="7"/>
      <c r="V201" s="8"/>
      <c r="W201" s="7"/>
      <c r="X201" s="7"/>
      <c r="Y201" s="8"/>
      <c r="Z201" s="7"/>
      <c r="AA201" s="8"/>
    </row>
    <row r="202" spans="4:27" ht="14" thickTop="1" thickBot="1">
      <c r="D202" s="65"/>
      <c r="E202" s="52" t="s">
        <v>389</v>
      </c>
      <c r="F202" s="7"/>
      <c r="G202" s="8"/>
      <c r="H202" s="7"/>
      <c r="I202" s="6"/>
      <c r="J202" s="7"/>
      <c r="K202" s="8"/>
      <c r="L202" s="7"/>
      <c r="M202" s="8"/>
      <c r="N202" s="7"/>
      <c r="O202" s="8"/>
      <c r="P202" s="7"/>
      <c r="Q202" s="7"/>
      <c r="R202" s="8"/>
      <c r="S202" s="7"/>
      <c r="T202" s="9"/>
      <c r="U202" s="7"/>
      <c r="V202" s="8"/>
      <c r="W202" s="7"/>
      <c r="X202" s="7"/>
      <c r="Y202" s="8"/>
      <c r="Z202" s="7"/>
      <c r="AA202" s="8"/>
    </row>
    <row r="203" spans="4:27" ht="14" thickTop="1" thickBot="1">
      <c r="D203" s="65"/>
      <c r="E203" s="52" t="s">
        <v>390</v>
      </c>
      <c r="F203" s="7"/>
      <c r="G203" s="8"/>
      <c r="H203" s="7"/>
      <c r="I203" s="6"/>
      <c r="J203" s="7"/>
      <c r="K203" s="8"/>
      <c r="L203" s="7"/>
      <c r="M203" s="8"/>
      <c r="N203" s="7"/>
      <c r="O203" s="8"/>
      <c r="P203" s="7"/>
      <c r="Q203" s="7"/>
      <c r="R203" s="8"/>
      <c r="S203" s="7"/>
      <c r="T203" s="9"/>
      <c r="U203" s="7"/>
      <c r="V203" s="8"/>
      <c r="W203" s="7"/>
      <c r="X203" s="7"/>
      <c r="Y203" s="8"/>
      <c r="Z203" s="7"/>
      <c r="AA203" s="8"/>
    </row>
    <row r="204" spans="4:27" ht="14" thickTop="1" thickBot="1">
      <c r="D204" s="65"/>
      <c r="E204" s="52" t="s">
        <v>401</v>
      </c>
      <c r="F204" s="7"/>
      <c r="G204" s="8"/>
      <c r="H204" s="7"/>
      <c r="I204" s="6"/>
      <c r="J204" s="7"/>
      <c r="K204" s="8"/>
      <c r="L204" s="7"/>
      <c r="M204" s="8"/>
      <c r="N204" s="7"/>
      <c r="O204" s="8"/>
      <c r="P204" s="7"/>
      <c r="Q204" s="7"/>
      <c r="R204" s="8"/>
      <c r="S204" s="7"/>
      <c r="T204" s="9"/>
      <c r="U204" s="7"/>
      <c r="V204" s="8"/>
      <c r="W204" s="7"/>
      <c r="X204" s="7"/>
      <c r="Y204" s="8"/>
      <c r="Z204" s="7"/>
      <c r="AA204" s="8"/>
    </row>
    <row r="205" spans="4:27" ht="14" thickTop="1" thickBot="1">
      <c r="D205" s="65"/>
      <c r="E205" s="52" t="s">
        <v>391</v>
      </c>
      <c r="F205" s="7"/>
      <c r="G205" s="8"/>
      <c r="H205" s="7"/>
      <c r="I205" s="6"/>
      <c r="J205" s="7"/>
      <c r="K205" s="8"/>
      <c r="L205" s="7"/>
      <c r="M205" s="8"/>
      <c r="N205" s="7"/>
      <c r="O205" s="8"/>
      <c r="P205" s="7"/>
      <c r="Q205" s="7"/>
      <c r="R205" s="8"/>
      <c r="S205" s="7"/>
      <c r="T205" s="9"/>
      <c r="U205" s="7"/>
      <c r="V205" s="8"/>
      <c r="W205" s="7"/>
      <c r="X205" s="7"/>
      <c r="Y205" s="8"/>
      <c r="Z205" s="7"/>
      <c r="AA205" s="8"/>
    </row>
    <row r="206" spans="4:27" ht="14" thickTop="1" thickBot="1">
      <c r="D206" s="65"/>
      <c r="E206" s="52" t="s">
        <v>400</v>
      </c>
      <c r="F206" s="7"/>
      <c r="G206" s="8"/>
      <c r="H206" s="7"/>
      <c r="I206" s="6"/>
      <c r="J206" s="7"/>
      <c r="K206" s="8"/>
      <c r="L206" s="7"/>
      <c r="M206" s="8"/>
      <c r="N206" s="7"/>
      <c r="O206" s="8"/>
      <c r="P206" s="7"/>
      <c r="Q206" s="7"/>
      <c r="R206" s="8"/>
      <c r="S206" s="7"/>
      <c r="T206" s="9"/>
      <c r="U206" s="7"/>
      <c r="V206" s="8"/>
      <c r="W206" s="7"/>
      <c r="X206" s="7"/>
      <c r="Y206" s="8"/>
      <c r="Z206" s="7"/>
      <c r="AA206" s="8"/>
    </row>
    <row r="207" spans="4:27" ht="14" thickTop="1" thickBot="1">
      <c r="D207" s="65"/>
      <c r="E207" s="52" t="s">
        <v>411</v>
      </c>
      <c r="F207" s="7"/>
      <c r="G207" s="8"/>
      <c r="H207" s="7"/>
      <c r="I207" s="6"/>
      <c r="J207" s="7"/>
      <c r="K207" s="8"/>
      <c r="L207" s="7"/>
      <c r="M207" s="8"/>
      <c r="N207" s="7"/>
      <c r="O207" s="8"/>
      <c r="P207" s="7"/>
      <c r="Q207" s="7"/>
      <c r="R207" s="8"/>
      <c r="S207" s="7"/>
      <c r="T207" s="9"/>
      <c r="U207" s="7"/>
      <c r="V207" s="8"/>
      <c r="W207" s="7"/>
      <c r="X207" s="7"/>
      <c r="Y207" s="8"/>
      <c r="Z207" s="7"/>
      <c r="AA207" s="8"/>
    </row>
    <row r="208" spans="4:27" ht="14" thickTop="1" thickBot="1">
      <c r="D208" s="65"/>
      <c r="E208" s="52" t="s">
        <v>395</v>
      </c>
      <c r="F208" s="7"/>
      <c r="G208" s="8"/>
      <c r="H208" s="7"/>
      <c r="I208" s="6"/>
      <c r="J208" s="7"/>
      <c r="K208" s="8"/>
      <c r="L208" s="7"/>
      <c r="M208" s="8"/>
      <c r="N208" s="7"/>
      <c r="O208" s="8"/>
      <c r="P208" s="7"/>
      <c r="Q208" s="7"/>
      <c r="R208" s="8"/>
      <c r="S208" s="7"/>
      <c r="T208" s="9"/>
      <c r="U208" s="7"/>
      <c r="V208" s="8"/>
      <c r="W208" s="7"/>
      <c r="X208" s="7"/>
      <c r="Y208" s="8"/>
      <c r="Z208" s="7"/>
      <c r="AA208" s="8"/>
    </row>
    <row r="209" spans="4:27" ht="14" thickTop="1" thickBot="1">
      <c r="D209" s="65"/>
      <c r="E209" s="52" t="s">
        <v>345</v>
      </c>
      <c r="F209" s="7"/>
      <c r="G209" s="8"/>
      <c r="H209" s="7"/>
      <c r="I209" s="6"/>
      <c r="J209" s="7"/>
      <c r="K209" s="8"/>
      <c r="L209" s="7"/>
      <c r="M209" s="8"/>
      <c r="N209" s="7"/>
      <c r="O209" s="8"/>
      <c r="P209" s="7"/>
      <c r="Q209" s="7"/>
      <c r="R209" s="8"/>
      <c r="S209" s="7"/>
      <c r="T209" s="9"/>
      <c r="U209" s="7"/>
      <c r="V209" s="8"/>
      <c r="W209" s="7"/>
      <c r="X209" s="7"/>
      <c r="Y209" s="8"/>
      <c r="Z209" s="7"/>
      <c r="AA209" s="8"/>
    </row>
    <row r="210" spans="4:27" ht="14" thickTop="1" thickBot="1">
      <c r="D210" s="65"/>
      <c r="E210" s="52" t="s">
        <v>408</v>
      </c>
      <c r="F210" s="7"/>
      <c r="G210" s="8"/>
      <c r="H210" s="7"/>
      <c r="I210" s="6"/>
      <c r="J210" s="7"/>
      <c r="K210" s="8"/>
      <c r="L210" s="7"/>
      <c r="M210" s="8"/>
      <c r="N210" s="7"/>
      <c r="O210" s="8"/>
      <c r="P210" s="7"/>
      <c r="Q210" s="7"/>
      <c r="R210" s="8"/>
      <c r="S210" s="7"/>
      <c r="T210" s="9"/>
      <c r="U210" s="7"/>
      <c r="V210" s="8"/>
      <c r="W210" s="7"/>
      <c r="X210" s="7"/>
      <c r="Y210" s="8"/>
      <c r="Z210" s="7"/>
      <c r="AA210" s="8"/>
    </row>
    <row r="211" spans="4:27" ht="14" thickTop="1" thickBot="1">
      <c r="D211" s="65"/>
      <c r="E211" s="52" t="s">
        <v>412</v>
      </c>
      <c r="F211" s="7"/>
      <c r="G211" s="8"/>
      <c r="H211" s="7"/>
      <c r="I211" s="6"/>
      <c r="J211" s="7"/>
      <c r="K211" s="8"/>
      <c r="L211" s="7"/>
      <c r="M211" s="8"/>
      <c r="N211" s="7"/>
      <c r="O211" s="8"/>
      <c r="P211" s="7"/>
      <c r="Q211" s="7"/>
      <c r="R211" s="8"/>
      <c r="S211" s="7"/>
      <c r="T211" s="9"/>
      <c r="U211" s="7"/>
      <c r="V211" s="8"/>
      <c r="W211" s="7"/>
      <c r="X211" s="7"/>
      <c r="Y211" s="8"/>
      <c r="Z211" s="7"/>
      <c r="AA211" s="8"/>
    </row>
    <row r="212" spans="4:27" ht="14" thickTop="1" thickBot="1">
      <c r="D212" s="65"/>
      <c r="E212" s="52" t="s">
        <v>393</v>
      </c>
      <c r="F212" s="7"/>
      <c r="G212" s="8"/>
      <c r="H212" s="7"/>
      <c r="I212" s="6"/>
      <c r="J212" s="7"/>
      <c r="K212" s="8"/>
      <c r="L212" s="7"/>
      <c r="M212" s="8"/>
      <c r="N212" s="7"/>
      <c r="O212" s="8"/>
      <c r="P212" s="7"/>
      <c r="Q212" s="7"/>
      <c r="R212" s="8"/>
      <c r="S212" s="7"/>
      <c r="T212" s="9"/>
      <c r="U212" s="7"/>
      <c r="V212" s="8"/>
      <c r="W212" s="7"/>
      <c r="X212" s="7"/>
      <c r="Y212" s="8"/>
      <c r="Z212" s="7"/>
      <c r="AA212" s="8"/>
    </row>
    <row r="213" spans="4:27" ht="14" thickTop="1" thickBot="1">
      <c r="D213" s="65"/>
      <c r="E213" s="52" t="s">
        <v>652</v>
      </c>
      <c r="F213" s="7"/>
      <c r="G213" s="8"/>
      <c r="H213" s="7"/>
      <c r="I213" s="6"/>
      <c r="J213" s="7"/>
      <c r="K213" s="8"/>
      <c r="L213" s="7"/>
      <c r="M213" s="8"/>
      <c r="N213" s="7"/>
      <c r="O213" s="8"/>
      <c r="P213" s="7"/>
      <c r="Q213" s="7"/>
      <c r="R213" s="8"/>
      <c r="S213" s="7"/>
      <c r="T213" s="9"/>
      <c r="U213" s="7"/>
      <c r="V213" s="8"/>
      <c r="W213" s="7"/>
      <c r="X213" s="7"/>
      <c r="Y213" s="8"/>
      <c r="Z213" s="7"/>
      <c r="AA213" s="8"/>
    </row>
    <row r="214" spans="4:27" ht="14" thickTop="1" thickBot="1">
      <c r="D214" s="65"/>
      <c r="E214" s="52" t="s">
        <v>815</v>
      </c>
      <c r="F214" s="7"/>
      <c r="G214" s="8"/>
      <c r="H214" s="7"/>
      <c r="I214" s="6"/>
      <c r="J214" s="7"/>
      <c r="K214" s="8"/>
      <c r="L214" s="7"/>
      <c r="M214" s="8"/>
      <c r="N214" s="7"/>
      <c r="O214" s="8"/>
      <c r="P214" s="7"/>
      <c r="Q214" s="7"/>
      <c r="R214" s="8"/>
      <c r="S214" s="7"/>
      <c r="T214" s="9"/>
      <c r="U214" s="7"/>
      <c r="V214" s="8"/>
      <c r="W214" s="7"/>
      <c r="X214" s="7"/>
      <c r="Y214" s="8"/>
      <c r="Z214" s="7"/>
      <c r="AA214" s="8"/>
    </row>
    <row r="215" spans="4:27" ht="14" thickTop="1" thickBot="1">
      <c r="D215" s="65"/>
      <c r="E215" s="52" t="s">
        <v>407</v>
      </c>
      <c r="F215" s="7"/>
      <c r="G215" s="8"/>
      <c r="H215" s="7"/>
      <c r="I215" s="6"/>
      <c r="J215" s="7"/>
      <c r="K215" s="8"/>
      <c r="L215" s="7"/>
      <c r="M215" s="8"/>
      <c r="N215" s="7"/>
      <c r="O215" s="8"/>
      <c r="P215" s="7"/>
      <c r="Q215" s="7"/>
      <c r="R215" s="8"/>
      <c r="S215" s="7"/>
      <c r="T215" s="9"/>
      <c r="U215" s="7"/>
      <c r="V215" s="8"/>
      <c r="W215" s="7"/>
      <c r="X215" s="7"/>
      <c r="Y215" s="8"/>
      <c r="Z215" s="7"/>
      <c r="AA215" s="8"/>
    </row>
    <row r="216" spans="4:27" ht="14" thickTop="1" thickBot="1">
      <c r="D216" s="65"/>
      <c r="E216" s="52" t="s">
        <v>394</v>
      </c>
      <c r="F216" s="7"/>
      <c r="G216" s="8"/>
      <c r="H216" s="7"/>
      <c r="I216" s="6"/>
      <c r="J216" s="7"/>
      <c r="K216" s="8"/>
      <c r="L216" s="7"/>
      <c r="M216" s="8"/>
      <c r="N216" s="7"/>
      <c r="O216" s="8"/>
      <c r="P216" s="7"/>
      <c r="Q216" s="7"/>
      <c r="R216" s="8"/>
      <c r="S216" s="7"/>
      <c r="T216" s="9"/>
      <c r="U216" s="7"/>
      <c r="V216" s="8"/>
      <c r="W216" s="7"/>
      <c r="X216" s="7"/>
      <c r="Y216" s="8"/>
      <c r="Z216" s="7"/>
      <c r="AA216" s="8"/>
    </row>
    <row r="217" spans="4:27" ht="14" thickTop="1" thickBot="1">
      <c r="D217" s="65"/>
      <c r="E217" s="52" t="s">
        <v>414</v>
      </c>
      <c r="F217" s="7"/>
      <c r="G217" s="8"/>
      <c r="H217" s="7"/>
      <c r="I217" s="6"/>
      <c r="J217" s="7"/>
      <c r="K217" s="8"/>
      <c r="L217" s="7"/>
      <c r="M217" s="8"/>
      <c r="N217" s="7"/>
      <c r="O217" s="8"/>
      <c r="P217" s="7"/>
      <c r="Q217" s="7"/>
      <c r="R217" s="8"/>
      <c r="S217" s="7"/>
      <c r="T217" s="9"/>
      <c r="U217" s="7"/>
      <c r="V217" s="8"/>
      <c r="W217" s="7"/>
      <c r="X217" s="7"/>
      <c r="Y217" s="8"/>
      <c r="Z217" s="7"/>
      <c r="AA217" s="8"/>
    </row>
    <row r="218" spans="4:27" ht="14" thickTop="1" thickBot="1">
      <c r="D218" s="65"/>
      <c r="E218" s="52" t="s">
        <v>413</v>
      </c>
      <c r="F218" s="7"/>
      <c r="G218" s="8"/>
      <c r="H218" s="7"/>
      <c r="I218" s="6"/>
      <c r="J218" s="7"/>
      <c r="K218" s="8"/>
      <c r="L218" s="7"/>
      <c r="M218" s="8"/>
      <c r="N218" s="7"/>
      <c r="O218" s="8"/>
      <c r="P218" s="7"/>
      <c r="Q218" s="7"/>
      <c r="R218" s="8"/>
      <c r="S218" s="7"/>
      <c r="T218" s="9"/>
      <c r="U218" s="7"/>
      <c r="V218" s="8"/>
      <c r="W218" s="7"/>
      <c r="X218" s="7"/>
      <c r="Y218" s="8"/>
      <c r="Z218" s="7"/>
      <c r="AA218" s="8"/>
    </row>
    <row r="219" spans="4:27" ht="14" thickTop="1" thickBot="1">
      <c r="D219" s="65"/>
      <c r="E219" s="52" t="s">
        <v>655</v>
      </c>
      <c r="F219" s="7"/>
      <c r="G219" s="8"/>
      <c r="H219" s="7"/>
      <c r="I219" s="6"/>
      <c r="J219" s="7"/>
      <c r="K219" s="8"/>
      <c r="L219" s="7"/>
      <c r="M219" s="8"/>
      <c r="N219" s="7"/>
      <c r="O219" s="8"/>
      <c r="P219" s="7"/>
      <c r="Q219" s="7"/>
      <c r="R219" s="8"/>
      <c r="S219" s="7"/>
      <c r="T219" s="9"/>
      <c r="U219" s="7"/>
      <c r="V219" s="8"/>
      <c r="W219" s="7"/>
      <c r="X219" s="7"/>
      <c r="Y219" s="8"/>
      <c r="Z219" s="7"/>
      <c r="AA219" s="8"/>
    </row>
    <row r="220" spans="4:27" ht="14" thickTop="1" thickBot="1">
      <c r="D220" s="65"/>
      <c r="E220" s="52" t="s">
        <v>396</v>
      </c>
      <c r="F220" s="7"/>
      <c r="G220" s="8"/>
      <c r="H220" s="7"/>
      <c r="I220" s="6"/>
      <c r="J220" s="7"/>
      <c r="K220" s="8"/>
      <c r="L220" s="7"/>
      <c r="M220" s="8"/>
      <c r="N220" s="7"/>
      <c r="O220" s="8"/>
      <c r="P220" s="7"/>
      <c r="Q220" s="7"/>
      <c r="R220" s="8"/>
      <c r="S220" s="7"/>
      <c r="T220" s="9"/>
      <c r="U220" s="7"/>
      <c r="V220" s="8"/>
      <c r="W220" s="7"/>
      <c r="X220" s="7"/>
      <c r="Y220" s="8"/>
      <c r="Z220" s="7"/>
      <c r="AA220" s="8"/>
    </row>
    <row r="221" spans="4:27" ht="14" thickTop="1" thickBot="1">
      <c r="D221" s="65"/>
      <c r="E221" s="52" t="s">
        <v>651</v>
      </c>
      <c r="F221" s="7"/>
      <c r="G221" s="8"/>
      <c r="H221" s="7"/>
      <c r="I221" s="6"/>
      <c r="J221" s="7"/>
      <c r="K221" s="8"/>
      <c r="L221" s="7"/>
      <c r="M221" s="8"/>
      <c r="N221" s="7"/>
      <c r="O221" s="8"/>
      <c r="P221" s="7"/>
      <c r="Q221" s="7"/>
      <c r="R221" s="8"/>
      <c r="S221" s="7"/>
      <c r="T221" s="9"/>
      <c r="U221" s="7"/>
      <c r="V221" s="8"/>
      <c r="W221" s="7"/>
      <c r="X221" s="7"/>
      <c r="Y221" s="8"/>
      <c r="Z221" s="7"/>
      <c r="AA221" s="8"/>
    </row>
    <row r="222" spans="4:27" ht="14" thickTop="1" thickBot="1">
      <c r="D222" s="65"/>
      <c r="E222" s="52" t="s">
        <v>415</v>
      </c>
      <c r="F222" s="7"/>
      <c r="G222" s="8"/>
      <c r="H222" s="7"/>
      <c r="I222" s="6"/>
      <c r="J222" s="7"/>
      <c r="K222" s="8"/>
      <c r="L222" s="7"/>
      <c r="M222" s="8"/>
      <c r="N222" s="7"/>
      <c r="O222" s="8"/>
      <c r="P222" s="7"/>
      <c r="Q222" s="7"/>
      <c r="R222" s="8"/>
      <c r="S222" s="7"/>
      <c r="T222" s="9"/>
      <c r="U222" s="7"/>
      <c r="V222" s="8"/>
      <c r="W222" s="7"/>
      <c r="X222" s="7"/>
      <c r="Y222" s="8"/>
      <c r="Z222" s="7"/>
      <c r="AA222" s="8"/>
    </row>
    <row r="223" spans="4:27" ht="14" thickTop="1" thickBot="1">
      <c r="D223" s="65"/>
      <c r="E223" s="52" t="s">
        <v>402</v>
      </c>
      <c r="F223" s="7"/>
      <c r="G223" s="8"/>
      <c r="H223" s="7"/>
      <c r="I223" s="6"/>
      <c r="J223" s="7"/>
      <c r="K223" s="8"/>
      <c r="L223" s="7"/>
      <c r="M223" s="8"/>
      <c r="N223" s="7"/>
      <c r="O223" s="8"/>
      <c r="P223" s="7"/>
      <c r="Q223" s="7"/>
      <c r="R223" s="8"/>
      <c r="S223" s="7"/>
      <c r="T223" s="9"/>
      <c r="U223" s="7"/>
      <c r="V223" s="8"/>
      <c r="W223" s="7"/>
      <c r="X223" s="7"/>
      <c r="Y223" s="8"/>
      <c r="Z223" s="7"/>
      <c r="AA223" s="8"/>
    </row>
    <row r="224" spans="4:27" ht="14" thickTop="1" thickBot="1">
      <c r="D224" s="65"/>
      <c r="E224" s="52" t="s">
        <v>410</v>
      </c>
      <c r="F224" s="7"/>
      <c r="G224" s="8"/>
      <c r="H224" s="7"/>
      <c r="I224" s="6"/>
      <c r="J224" s="7"/>
      <c r="K224" s="8"/>
      <c r="L224" s="7"/>
      <c r="M224" s="8"/>
      <c r="N224" s="7"/>
      <c r="O224" s="8"/>
      <c r="P224" s="7"/>
      <c r="Q224" s="7"/>
      <c r="R224" s="8"/>
      <c r="S224" s="7"/>
      <c r="T224" s="9"/>
      <c r="U224" s="7"/>
      <c r="V224" s="8"/>
      <c r="W224" s="7"/>
      <c r="X224" s="7"/>
      <c r="Y224" s="8"/>
      <c r="Z224" s="7"/>
      <c r="AA224" s="8"/>
    </row>
    <row r="225" spans="4:27" ht="14" thickTop="1" thickBot="1">
      <c r="D225" s="65"/>
      <c r="E225" s="52" t="s">
        <v>647</v>
      </c>
      <c r="F225" s="7"/>
      <c r="G225" s="8"/>
      <c r="H225" s="7"/>
      <c r="I225" s="6"/>
      <c r="J225" s="7"/>
      <c r="K225" s="8"/>
      <c r="L225" s="7"/>
      <c r="M225" s="8"/>
      <c r="N225" s="7"/>
      <c r="O225" s="8"/>
      <c r="P225" s="7"/>
      <c r="Q225" s="7"/>
      <c r="R225" s="8"/>
      <c r="S225" s="7"/>
      <c r="T225" s="9"/>
      <c r="U225" s="7"/>
      <c r="V225" s="8"/>
      <c r="W225" s="7"/>
      <c r="X225" s="7"/>
      <c r="Y225" s="8"/>
      <c r="Z225" s="7"/>
      <c r="AA225" s="8"/>
    </row>
    <row r="226" spans="4:27" ht="14" thickTop="1" thickBot="1">
      <c r="D226" s="65"/>
      <c r="E226" s="52" t="s">
        <v>398</v>
      </c>
      <c r="F226" s="7"/>
      <c r="G226" s="8"/>
      <c r="H226" s="7"/>
      <c r="I226" s="6"/>
      <c r="J226" s="7"/>
      <c r="K226" s="8"/>
      <c r="L226" s="7"/>
      <c r="M226" s="8"/>
      <c r="N226" s="7"/>
      <c r="O226" s="8"/>
      <c r="P226" s="7"/>
      <c r="Q226" s="7"/>
      <c r="R226" s="8"/>
      <c r="S226" s="7"/>
      <c r="T226" s="9"/>
      <c r="U226" s="7"/>
      <c r="V226" s="8"/>
      <c r="W226" s="7"/>
      <c r="X226" s="7"/>
      <c r="Y226" s="8"/>
      <c r="Z226" s="7"/>
      <c r="AA226" s="8"/>
    </row>
    <row r="227" spans="4:27" ht="14" thickTop="1" thickBot="1">
      <c r="D227" s="65"/>
      <c r="E227" s="52" t="s">
        <v>653</v>
      </c>
      <c r="F227" s="7"/>
      <c r="G227" s="8"/>
      <c r="H227" s="7"/>
      <c r="I227" s="6"/>
      <c r="J227" s="7"/>
      <c r="K227" s="8"/>
      <c r="L227" s="7"/>
      <c r="M227" s="8"/>
      <c r="N227" s="7"/>
      <c r="O227" s="8"/>
      <c r="P227" s="7"/>
      <c r="Q227" s="7"/>
      <c r="R227" s="8"/>
      <c r="S227" s="7"/>
      <c r="T227" s="9"/>
      <c r="U227" s="7"/>
      <c r="V227" s="8"/>
      <c r="W227" s="7"/>
      <c r="X227" s="7"/>
      <c r="Y227" s="8"/>
      <c r="Z227" s="7"/>
      <c r="AA227" s="8"/>
    </row>
    <row r="228" spans="4:27" ht="14" thickTop="1" thickBot="1">
      <c r="D228" s="65"/>
      <c r="E228" s="52" t="s">
        <v>403</v>
      </c>
      <c r="F228" s="7"/>
      <c r="G228" s="8"/>
      <c r="H228" s="7"/>
      <c r="I228" s="6"/>
      <c r="J228" s="7"/>
      <c r="K228" s="8"/>
      <c r="L228" s="7"/>
      <c r="M228" s="8"/>
      <c r="N228" s="7"/>
      <c r="O228" s="8"/>
      <c r="P228" s="7"/>
      <c r="Q228" s="7"/>
      <c r="R228" s="8"/>
      <c r="S228" s="7"/>
      <c r="T228" s="9"/>
      <c r="U228" s="7"/>
      <c r="V228" s="8"/>
      <c r="W228" s="7"/>
      <c r="X228" s="7"/>
      <c r="Y228" s="8"/>
      <c r="Z228" s="7"/>
      <c r="AA228" s="8"/>
    </row>
    <row r="229" spans="4:27" ht="14" thickTop="1" thickBot="1">
      <c r="D229" s="65"/>
      <c r="E229" s="52" t="s">
        <v>406</v>
      </c>
      <c r="F229" s="7"/>
      <c r="G229" s="8"/>
      <c r="H229" s="7"/>
      <c r="I229" s="6"/>
      <c r="J229" s="7"/>
      <c r="K229" s="8"/>
      <c r="L229" s="7"/>
      <c r="M229" s="8"/>
      <c r="N229" s="7"/>
      <c r="O229" s="8"/>
      <c r="P229" s="7"/>
      <c r="Q229" s="7"/>
      <c r="R229" s="8"/>
      <c r="S229" s="7"/>
      <c r="T229" s="9"/>
      <c r="U229" s="7"/>
      <c r="V229" s="8"/>
      <c r="W229" s="7"/>
      <c r="X229" s="7"/>
      <c r="Y229" s="8"/>
      <c r="Z229" s="7"/>
      <c r="AA229" s="8"/>
    </row>
    <row r="230" spans="4:27" ht="14" thickTop="1" thickBot="1">
      <c r="D230" s="65"/>
      <c r="E230" s="52" t="s">
        <v>421</v>
      </c>
      <c r="F230" s="7"/>
      <c r="G230" s="8"/>
      <c r="H230" s="7"/>
      <c r="I230" s="6"/>
      <c r="J230" s="7"/>
      <c r="K230" s="8"/>
      <c r="L230" s="7"/>
      <c r="M230" s="8"/>
      <c r="N230" s="7"/>
      <c r="O230" s="8"/>
      <c r="P230" s="7"/>
      <c r="Q230" s="7"/>
      <c r="R230" s="8"/>
      <c r="S230" s="7"/>
      <c r="T230" s="9"/>
      <c r="U230" s="7"/>
      <c r="V230" s="8"/>
      <c r="W230" s="7"/>
      <c r="X230" s="7"/>
      <c r="Y230" s="8"/>
      <c r="Z230" s="7"/>
      <c r="AA230" s="8"/>
    </row>
    <row r="231" spans="4:27" ht="14" thickTop="1" thickBot="1">
      <c r="D231" s="65"/>
      <c r="E231" s="52" t="s">
        <v>416</v>
      </c>
      <c r="F231" s="7"/>
      <c r="G231" s="8"/>
      <c r="H231" s="7"/>
      <c r="I231" s="6"/>
      <c r="J231" s="7"/>
      <c r="K231" s="8"/>
      <c r="L231" s="7"/>
      <c r="M231" s="8"/>
      <c r="N231" s="7"/>
      <c r="O231" s="8"/>
      <c r="P231" s="7"/>
      <c r="Q231" s="7"/>
      <c r="R231" s="8"/>
      <c r="S231" s="7"/>
      <c r="T231" s="9"/>
      <c r="U231" s="7"/>
      <c r="V231" s="8"/>
      <c r="W231" s="7"/>
      <c r="X231" s="7"/>
      <c r="Y231" s="8"/>
      <c r="Z231" s="7"/>
      <c r="AA231" s="8"/>
    </row>
    <row r="232" spans="4:27" ht="14" thickTop="1" thickBot="1">
      <c r="D232" s="65"/>
      <c r="E232" s="52" t="s">
        <v>656</v>
      </c>
      <c r="F232" s="7"/>
      <c r="G232" s="8"/>
      <c r="H232" s="7"/>
      <c r="I232" s="6"/>
      <c r="J232" s="7"/>
      <c r="K232" s="8"/>
      <c r="L232" s="7"/>
      <c r="M232" s="8"/>
      <c r="N232" s="7"/>
      <c r="O232" s="8"/>
      <c r="P232" s="7"/>
      <c r="Q232" s="7"/>
      <c r="R232" s="8"/>
      <c r="S232" s="7"/>
      <c r="T232" s="9"/>
      <c r="U232" s="7"/>
      <c r="V232" s="8"/>
      <c r="W232" s="7"/>
      <c r="X232" s="7"/>
      <c r="Y232" s="8"/>
      <c r="Z232" s="7"/>
      <c r="AA232" s="8"/>
    </row>
    <row r="233" spans="4:27" ht="14" thickTop="1" thickBot="1">
      <c r="D233" s="65"/>
      <c r="E233" s="52" t="s">
        <v>649</v>
      </c>
      <c r="F233" s="7"/>
      <c r="G233" s="8"/>
      <c r="H233" s="7"/>
      <c r="I233" s="6"/>
      <c r="J233" s="7"/>
      <c r="K233" s="8"/>
      <c r="L233" s="7"/>
      <c r="M233" s="8"/>
      <c r="N233" s="7"/>
      <c r="O233" s="8"/>
      <c r="P233" s="7"/>
      <c r="Q233" s="7"/>
      <c r="R233" s="8"/>
      <c r="S233" s="7"/>
      <c r="T233" s="9"/>
      <c r="U233" s="7"/>
      <c r="V233" s="8"/>
      <c r="W233" s="7"/>
      <c r="X233" s="7"/>
      <c r="Y233" s="8"/>
      <c r="Z233" s="7"/>
      <c r="AA233" s="8"/>
    </row>
    <row r="234" spans="4:27" ht="14" thickTop="1" thickBot="1">
      <c r="D234" s="65"/>
      <c r="E234" s="52" t="s">
        <v>404</v>
      </c>
      <c r="F234" s="7"/>
      <c r="G234" s="8"/>
      <c r="H234" s="7"/>
      <c r="I234" s="6"/>
      <c r="J234" s="7"/>
      <c r="K234" s="8"/>
      <c r="L234" s="7"/>
      <c r="M234" s="8"/>
      <c r="N234" s="7"/>
      <c r="O234" s="8"/>
      <c r="P234" s="7"/>
      <c r="Q234" s="7"/>
      <c r="R234" s="8"/>
      <c r="S234" s="7"/>
      <c r="T234" s="9"/>
      <c r="U234" s="7"/>
      <c r="V234" s="8"/>
      <c r="W234" s="7"/>
      <c r="X234" s="7"/>
      <c r="Y234" s="8"/>
      <c r="Z234" s="7"/>
      <c r="AA234" s="8"/>
    </row>
    <row r="235" spans="4:27" ht="14" thickTop="1" thickBot="1">
      <c r="D235" s="65"/>
      <c r="E235" s="52" t="s">
        <v>409</v>
      </c>
      <c r="F235" s="7"/>
      <c r="G235" s="8"/>
      <c r="H235" s="7"/>
      <c r="I235" s="6"/>
      <c r="J235" s="7"/>
      <c r="K235" s="8"/>
      <c r="L235" s="7"/>
      <c r="M235" s="8"/>
      <c r="N235" s="7"/>
      <c r="O235" s="8"/>
      <c r="P235" s="7"/>
      <c r="Q235" s="7"/>
      <c r="R235" s="8"/>
      <c r="S235" s="7"/>
      <c r="T235" s="9"/>
      <c r="U235" s="7"/>
      <c r="V235" s="8"/>
      <c r="W235" s="7"/>
      <c r="X235" s="7"/>
      <c r="Y235" s="8"/>
      <c r="Z235" s="7"/>
      <c r="AA235" s="8"/>
    </row>
    <row r="236" spans="4:27" ht="14" thickTop="1" thickBot="1">
      <c r="D236" s="65"/>
      <c r="E236" s="52" t="s">
        <v>385</v>
      </c>
      <c r="F236" s="7"/>
      <c r="G236" s="8"/>
      <c r="H236" s="7"/>
      <c r="I236" s="6"/>
      <c r="J236" s="7"/>
      <c r="K236" s="8"/>
      <c r="L236" s="7"/>
      <c r="M236" s="8"/>
      <c r="N236" s="7"/>
      <c r="O236" s="8"/>
      <c r="P236" s="7"/>
      <c r="Q236" s="7"/>
      <c r="R236" s="8"/>
      <c r="S236" s="7"/>
      <c r="T236" s="9"/>
      <c r="U236" s="7"/>
      <c r="V236" s="8"/>
      <c r="W236" s="7"/>
      <c r="X236" s="7"/>
      <c r="Y236" s="8"/>
      <c r="Z236" s="7"/>
      <c r="AA236" s="8"/>
    </row>
    <row r="237" spans="4:27" ht="14" thickTop="1" thickBot="1">
      <c r="D237" s="65"/>
      <c r="E237" s="52" t="s">
        <v>386</v>
      </c>
      <c r="F237" s="7"/>
      <c r="G237" s="8"/>
      <c r="H237" s="7"/>
      <c r="I237" s="6"/>
      <c r="J237" s="7"/>
      <c r="K237" s="8"/>
      <c r="L237" s="7"/>
      <c r="M237" s="8"/>
      <c r="N237" s="7"/>
      <c r="O237" s="8"/>
      <c r="P237" s="7"/>
      <c r="Q237" s="7"/>
      <c r="R237" s="8"/>
      <c r="S237" s="7"/>
      <c r="T237" s="9"/>
      <c r="U237" s="7"/>
      <c r="V237" s="8"/>
      <c r="W237" s="7"/>
      <c r="X237" s="7"/>
      <c r="Y237" s="8"/>
      <c r="Z237" s="7"/>
      <c r="AA237" s="8"/>
    </row>
    <row r="238" spans="4:27" ht="14" thickTop="1" thickBot="1">
      <c r="D238" s="65"/>
      <c r="E238" s="52" t="s">
        <v>371</v>
      </c>
      <c r="F238" s="7"/>
      <c r="G238" s="8"/>
      <c r="H238" s="7"/>
      <c r="I238" s="6"/>
      <c r="J238" s="7"/>
      <c r="K238" s="8"/>
      <c r="L238" s="7"/>
      <c r="M238" s="8"/>
      <c r="N238" s="7"/>
      <c r="O238" s="8"/>
      <c r="P238" s="7"/>
      <c r="Q238" s="7"/>
      <c r="R238" s="8"/>
      <c r="S238" s="7"/>
      <c r="T238" s="9"/>
      <c r="U238" s="7"/>
      <c r="V238" s="8"/>
      <c r="W238" s="7"/>
      <c r="X238" s="7"/>
      <c r="Y238" s="8"/>
      <c r="Z238" s="7"/>
      <c r="AA238" s="8"/>
    </row>
    <row r="239" spans="4:27" ht="14" thickTop="1" thickBot="1">
      <c r="D239" s="65"/>
      <c r="E239" s="52" t="s">
        <v>626</v>
      </c>
      <c r="F239" s="7"/>
      <c r="G239" s="8"/>
      <c r="H239" s="7"/>
      <c r="I239" s="6"/>
      <c r="J239" s="7"/>
      <c r="K239" s="8"/>
      <c r="L239" s="7"/>
      <c r="M239" s="8"/>
      <c r="N239" s="7"/>
      <c r="O239" s="8"/>
      <c r="P239" s="7"/>
      <c r="Q239" s="7"/>
      <c r="R239" s="8"/>
      <c r="S239" s="7"/>
      <c r="T239" s="9"/>
      <c r="U239" s="7"/>
      <c r="V239" s="8"/>
      <c r="W239" s="7"/>
      <c r="X239" s="7"/>
      <c r="Y239" s="8"/>
      <c r="Z239" s="7"/>
      <c r="AA239" s="8"/>
    </row>
    <row r="240" spans="4:27" ht="14" thickTop="1" thickBot="1">
      <c r="D240" s="65"/>
      <c r="E240" s="52" t="s">
        <v>637</v>
      </c>
      <c r="F240" s="7"/>
      <c r="G240" s="8"/>
      <c r="H240" s="7"/>
      <c r="I240" s="6"/>
      <c r="J240" s="7"/>
      <c r="K240" s="8"/>
      <c r="L240" s="7"/>
      <c r="M240" s="8"/>
      <c r="N240" s="7"/>
      <c r="O240" s="8"/>
      <c r="P240" s="7"/>
      <c r="Q240" s="7"/>
      <c r="R240" s="8"/>
      <c r="S240" s="7"/>
      <c r="T240" s="9"/>
      <c r="U240" s="7"/>
      <c r="V240" s="8"/>
      <c r="W240" s="7"/>
      <c r="X240" s="7"/>
      <c r="Y240" s="8"/>
      <c r="Z240" s="7"/>
      <c r="AA240" s="8"/>
    </row>
    <row r="241" spans="4:27" ht="14" thickTop="1" thickBot="1">
      <c r="D241" s="65"/>
      <c r="E241" s="52" t="s">
        <v>816</v>
      </c>
      <c r="F241" s="7"/>
      <c r="G241" s="8"/>
      <c r="H241" s="7"/>
      <c r="I241" s="6"/>
      <c r="J241" s="7"/>
      <c r="K241" s="8"/>
      <c r="L241" s="7"/>
      <c r="M241" s="8"/>
      <c r="N241" s="7"/>
      <c r="O241" s="8"/>
      <c r="P241" s="7"/>
      <c r="Q241" s="7"/>
      <c r="R241" s="8"/>
      <c r="S241" s="7"/>
      <c r="T241" s="9"/>
      <c r="U241" s="7"/>
      <c r="V241" s="8"/>
      <c r="W241" s="7"/>
      <c r="X241" s="7"/>
      <c r="Y241" s="8"/>
      <c r="Z241" s="7"/>
      <c r="AA241" s="8"/>
    </row>
    <row r="242" spans="4:27" ht="14" thickTop="1" thickBot="1">
      <c r="D242" s="65"/>
      <c r="E242" s="52" t="s">
        <v>375</v>
      </c>
      <c r="F242" s="7"/>
      <c r="G242" s="8"/>
      <c r="H242" s="7"/>
      <c r="I242" s="6"/>
      <c r="J242" s="7"/>
      <c r="K242" s="8"/>
      <c r="L242" s="7"/>
      <c r="M242" s="8"/>
      <c r="N242" s="7"/>
      <c r="O242" s="8"/>
      <c r="P242" s="7"/>
      <c r="Q242" s="7"/>
      <c r="R242" s="8"/>
      <c r="S242" s="7"/>
      <c r="T242" s="9"/>
      <c r="U242" s="7"/>
      <c r="V242" s="8"/>
      <c r="W242" s="7"/>
      <c r="X242" s="7"/>
      <c r="Y242" s="8"/>
      <c r="Z242" s="7"/>
      <c r="AA242" s="8"/>
    </row>
    <row r="243" spans="4:27" ht="14" thickTop="1" thickBot="1">
      <c r="D243" s="65"/>
      <c r="E243" s="52" t="s">
        <v>308</v>
      </c>
      <c r="F243" s="7"/>
      <c r="G243" s="8"/>
      <c r="H243" s="7"/>
      <c r="I243" s="6"/>
      <c r="J243" s="7"/>
      <c r="K243" s="8"/>
      <c r="L243" s="7"/>
      <c r="M243" s="8"/>
      <c r="N243" s="7"/>
      <c r="O243" s="8"/>
      <c r="P243" s="7"/>
      <c r="Q243" s="7"/>
      <c r="R243" s="8"/>
      <c r="S243" s="7"/>
      <c r="T243" s="9"/>
      <c r="U243" s="7"/>
      <c r="V243" s="8"/>
      <c r="W243" s="7"/>
      <c r="X243" s="7"/>
      <c r="Y243" s="8"/>
      <c r="Z243" s="7"/>
      <c r="AA243" s="8"/>
    </row>
    <row r="244" spans="4:27" ht="14" thickTop="1" thickBot="1">
      <c r="D244" s="65"/>
      <c r="E244" s="52" t="s">
        <v>382</v>
      </c>
      <c r="F244" s="7"/>
      <c r="G244" s="8"/>
      <c r="H244" s="7"/>
      <c r="I244" s="6"/>
      <c r="J244" s="7"/>
      <c r="K244" s="8"/>
      <c r="L244" s="7"/>
      <c r="M244" s="8"/>
      <c r="N244" s="7"/>
      <c r="O244" s="8"/>
      <c r="P244" s="7"/>
      <c r="Q244" s="7"/>
      <c r="R244" s="8"/>
      <c r="S244" s="7"/>
      <c r="T244" s="9"/>
      <c r="U244" s="7"/>
      <c r="V244" s="8"/>
      <c r="W244" s="7"/>
      <c r="X244" s="7"/>
      <c r="Y244" s="8"/>
      <c r="Z244" s="7"/>
      <c r="AA244" s="8"/>
    </row>
    <row r="245" spans="4:27" ht="14" thickTop="1" thickBot="1">
      <c r="D245" s="65"/>
      <c r="E245" s="52" t="s">
        <v>636</v>
      </c>
      <c r="F245" s="7"/>
      <c r="G245" s="8"/>
      <c r="H245" s="7"/>
      <c r="I245" s="6"/>
      <c r="J245" s="7"/>
      <c r="K245" s="8"/>
      <c r="L245" s="7"/>
      <c r="M245" s="8"/>
      <c r="N245" s="7"/>
      <c r="O245" s="8"/>
      <c r="P245" s="7"/>
      <c r="Q245" s="7"/>
      <c r="R245" s="8"/>
      <c r="S245" s="7"/>
      <c r="T245" s="9"/>
      <c r="U245" s="7"/>
      <c r="V245" s="8"/>
      <c r="W245" s="7"/>
      <c r="X245" s="7"/>
      <c r="Y245" s="8"/>
      <c r="Z245" s="7"/>
      <c r="AA245" s="8"/>
    </row>
    <row r="246" spans="4:27" ht="14" thickTop="1" thickBot="1">
      <c r="D246" s="65"/>
      <c r="E246" s="52" t="s">
        <v>638</v>
      </c>
      <c r="F246" s="7"/>
      <c r="G246" s="8"/>
      <c r="H246" s="7"/>
      <c r="I246" s="6"/>
      <c r="J246" s="7"/>
      <c r="K246" s="8"/>
      <c r="L246" s="7"/>
      <c r="M246" s="8"/>
      <c r="N246" s="7"/>
      <c r="O246" s="8"/>
      <c r="P246" s="7"/>
      <c r="Q246" s="7"/>
      <c r="R246" s="8"/>
      <c r="S246" s="7"/>
      <c r="T246" s="9"/>
      <c r="U246" s="7"/>
      <c r="V246" s="8"/>
      <c r="W246" s="7"/>
      <c r="X246" s="7"/>
      <c r="Y246" s="8"/>
      <c r="Z246" s="7"/>
      <c r="AA246" s="8"/>
    </row>
    <row r="247" spans="4:27" ht="14" thickTop="1" thickBot="1">
      <c r="D247" s="65"/>
      <c r="E247" s="52" t="s">
        <v>387</v>
      </c>
      <c r="F247" s="7"/>
      <c r="G247" s="8"/>
      <c r="H247" s="7"/>
      <c r="I247" s="6"/>
      <c r="J247" s="7"/>
      <c r="K247" s="8"/>
      <c r="L247" s="7"/>
      <c r="M247" s="8"/>
      <c r="N247" s="7"/>
      <c r="O247" s="8"/>
      <c r="P247" s="7"/>
      <c r="Q247" s="7"/>
      <c r="R247" s="8"/>
      <c r="S247" s="7"/>
      <c r="T247" s="9"/>
      <c r="U247" s="7"/>
      <c r="V247" s="8"/>
      <c r="W247" s="7"/>
      <c r="X247" s="7"/>
      <c r="Y247" s="8"/>
      <c r="Z247" s="7"/>
      <c r="AA247" s="8"/>
    </row>
    <row r="248" spans="4:27" ht="14" thickTop="1" thickBot="1">
      <c r="D248" s="65"/>
      <c r="E248" s="52" t="s">
        <v>640</v>
      </c>
      <c r="F248" s="7"/>
      <c r="G248" s="8"/>
      <c r="H248" s="7"/>
      <c r="I248" s="6"/>
      <c r="J248" s="7"/>
      <c r="K248" s="8"/>
      <c r="L248" s="7"/>
      <c r="M248" s="8"/>
      <c r="N248" s="7"/>
      <c r="O248" s="8"/>
      <c r="P248" s="7"/>
      <c r="Q248" s="7"/>
      <c r="R248" s="8"/>
      <c r="S248" s="7"/>
      <c r="T248" s="9"/>
      <c r="U248" s="7"/>
      <c r="V248" s="8"/>
      <c r="W248" s="7"/>
      <c r="X248" s="7"/>
      <c r="Y248" s="8"/>
      <c r="Z248" s="7"/>
      <c r="AA248" s="8"/>
    </row>
    <row r="249" spans="4:27" ht="14" thickTop="1" thickBot="1">
      <c r="D249" s="65"/>
      <c r="E249" s="52" t="s">
        <v>384</v>
      </c>
      <c r="F249" s="7"/>
      <c r="G249" s="8"/>
      <c r="H249" s="7"/>
      <c r="I249" s="6"/>
      <c r="J249" s="7"/>
      <c r="K249" s="8"/>
      <c r="L249" s="7"/>
      <c r="M249" s="8"/>
      <c r="N249" s="7"/>
      <c r="O249" s="8"/>
      <c r="P249" s="7"/>
      <c r="Q249" s="7"/>
      <c r="R249" s="8"/>
      <c r="S249" s="7"/>
      <c r="T249" s="9"/>
      <c r="U249" s="7"/>
      <c r="V249" s="8"/>
      <c r="W249" s="7"/>
      <c r="X249" s="7"/>
      <c r="Y249" s="8"/>
      <c r="Z249" s="7"/>
      <c r="AA249" s="8"/>
    </row>
    <row r="250" spans="4:27" ht="14" thickTop="1" thickBot="1">
      <c r="D250" s="65"/>
      <c r="E250" s="52" t="s">
        <v>383</v>
      </c>
      <c r="F250" s="7"/>
      <c r="G250" s="8"/>
      <c r="H250" s="7"/>
      <c r="I250" s="6"/>
      <c r="J250" s="7"/>
      <c r="K250" s="8"/>
      <c r="L250" s="7"/>
      <c r="M250" s="8"/>
      <c r="N250" s="7"/>
      <c r="O250" s="8"/>
      <c r="P250" s="7"/>
      <c r="Q250" s="7"/>
      <c r="R250" s="8"/>
      <c r="S250" s="7"/>
      <c r="T250" s="9"/>
      <c r="U250" s="7"/>
      <c r="V250" s="8"/>
      <c r="W250" s="7"/>
      <c r="X250" s="7"/>
      <c r="Y250" s="8"/>
      <c r="Z250" s="7"/>
      <c r="AA250" s="8"/>
    </row>
    <row r="251" spans="4:27" ht="14" thickTop="1" thickBot="1">
      <c r="D251" s="65"/>
      <c r="E251" s="52" t="s">
        <v>381</v>
      </c>
      <c r="F251" s="7"/>
      <c r="G251" s="8"/>
      <c r="H251" s="7"/>
      <c r="I251" s="6"/>
      <c r="J251" s="7"/>
      <c r="K251" s="8"/>
      <c r="L251" s="7"/>
      <c r="M251" s="8"/>
      <c r="N251" s="7"/>
      <c r="O251" s="8"/>
      <c r="P251" s="7"/>
      <c r="Q251" s="7"/>
      <c r="R251" s="8"/>
      <c r="S251" s="7"/>
      <c r="T251" s="9"/>
      <c r="U251" s="7"/>
      <c r="V251" s="8"/>
      <c r="W251" s="7"/>
      <c r="X251" s="7"/>
      <c r="Y251" s="8"/>
      <c r="Z251" s="7"/>
      <c r="AA251" s="8"/>
    </row>
    <row r="252" spans="4:27" ht="14" thickTop="1" thickBot="1">
      <c r="D252" s="65"/>
      <c r="E252" s="52" t="s">
        <v>380</v>
      </c>
      <c r="F252" s="7"/>
      <c r="G252" s="8"/>
      <c r="H252" s="7"/>
      <c r="I252" s="6"/>
      <c r="J252" s="7"/>
      <c r="K252" s="8"/>
      <c r="L252" s="7"/>
      <c r="M252" s="8"/>
      <c r="N252" s="7"/>
      <c r="O252" s="8"/>
      <c r="P252" s="7"/>
      <c r="Q252" s="7"/>
      <c r="R252" s="8"/>
      <c r="S252" s="7"/>
      <c r="T252" s="9"/>
      <c r="U252" s="7"/>
      <c r="V252" s="8"/>
      <c r="W252" s="7"/>
      <c r="X252" s="7"/>
      <c r="Y252" s="8"/>
      <c r="Z252" s="7"/>
      <c r="AA252" s="8"/>
    </row>
    <row r="253" spans="4:27" ht="14" thickTop="1" thickBot="1">
      <c r="D253" s="65"/>
      <c r="E253" s="52" t="s">
        <v>377</v>
      </c>
      <c r="F253" s="7"/>
      <c r="G253" s="8"/>
      <c r="H253" s="7"/>
      <c r="I253" s="6"/>
      <c r="J253" s="7"/>
      <c r="K253" s="8"/>
      <c r="L253" s="7"/>
      <c r="M253" s="8"/>
      <c r="N253" s="7"/>
      <c r="O253" s="8"/>
      <c r="P253" s="7"/>
      <c r="Q253" s="7"/>
      <c r="R253" s="8"/>
      <c r="S253" s="7"/>
      <c r="T253" s="9"/>
      <c r="U253" s="7"/>
      <c r="V253" s="8"/>
      <c r="W253" s="7"/>
      <c r="X253" s="7"/>
      <c r="Y253" s="8"/>
      <c r="Z253" s="7"/>
      <c r="AA253" s="8"/>
    </row>
    <row r="254" spans="4:27" ht="14" thickTop="1" thickBot="1">
      <c r="D254" s="65"/>
      <c r="E254" s="52" t="s">
        <v>641</v>
      </c>
      <c r="F254" s="7"/>
      <c r="G254" s="8"/>
      <c r="H254" s="7"/>
      <c r="I254" s="6"/>
      <c r="J254" s="7"/>
      <c r="K254" s="8"/>
      <c r="L254" s="7"/>
      <c r="M254" s="8"/>
      <c r="N254" s="7"/>
      <c r="O254" s="8"/>
      <c r="P254" s="7"/>
      <c r="Q254" s="7"/>
      <c r="R254" s="8"/>
      <c r="S254" s="7"/>
      <c r="T254" s="9"/>
      <c r="U254" s="7"/>
      <c r="V254" s="8"/>
      <c r="W254" s="7"/>
      <c r="X254" s="7"/>
      <c r="Y254" s="8"/>
      <c r="Z254" s="7"/>
      <c r="AA254" s="8"/>
    </row>
    <row r="255" spans="4:27" ht="14" thickTop="1" thickBot="1">
      <c r="D255" s="65"/>
      <c r="E255" s="52" t="s">
        <v>639</v>
      </c>
      <c r="F255" s="7"/>
      <c r="G255" s="8"/>
      <c r="H255" s="7"/>
      <c r="I255" s="6"/>
      <c r="J255" s="7"/>
      <c r="K255" s="8"/>
      <c r="L255" s="7"/>
      <c r="M255" s="8"/>
      <c r="N255" s="7"/>
      <c r="O255" s="8"/>
      <c r="P255" s="7"/>
      <c r="Q255" s="7"/>
      <c r="R255" s="8"/>
      <c r="S255" s="7"/>
      <c r="T255" s="9"/>
      <c r="U255" s="7"/>
      <c r="V255" s="8"/>
      <c r="W255" s="7"/>
      <c r="X255" s="7"/>
      <c r="Y255" s="8"/>
      <c r="Z255" s="7"/>
      <c r="AA255" s="8"/>
    </row>
    <row r="256" spans="4:27" ht="14" thickTop="1" thickBot="1">
      <c r="D256" s="65"/>
      <c r="E256" s="52" t="s">
        <v>631</v>
      </c>
      <c r="F256" s="7"/>
      <c r="G256" s="8"/>
      <c r="H256" s="7"/>
      <c r="I256" s="6"/>
      <c r="J256" s="7"/>
      <c r="K256" s="8"/>
      <c r="L256" s="7"/>
      <c r="M256" s="8"/>
      <c r="N256" s="7"/>
      <c r="O256" s="8"/>
      <c r="P256" s="7"/>
      <c r="Q256" s="7"/>
      <c r="R256" s="8"/>
      <c r="S256" s="7"/>
      <c r="T256" s="9"/>
      <c r="U256" s="7"/>
      <c r="V256" s="8"/>
      <c r="W256" s="7"/>
      <c r="X256" s="7"/>
      <c r="Y256" s="8"/>
      <c r="Z256" s="7"/>
      <c r="AA256" s="8"/>
    </row>
    <row r="257" spans="4:27" ht="14" thickTop="1" thickBot="1">
      <c r="D257" s="65"/>
      <c r="E257" s="52" t="s">
        <v>625</v>
      </c>
      <c r="F257" s="7"/>
      <c r="G257" s="8"/>
      <c r="H257" s="7"/>
      <c r="I257" s="6"/>
      <c r="J257" s="7"/>
      <c r="K257" s="8"/>
      <c r="L257" s="7"/>
      <c r="M257" s="8"/>
      <c r="N257" s="7"/>
      <c r="O257" s="8"/>
      <c r="P257" s="7"/>
      <c r="Q257" s="7"/>
      <c r="R257" s="8"/>
      <c r="S257" s="7"/>
      <c r="T257" s="9"/>
      <c r="U257" s="7"/>
      <c r="V257" s="8"/>
      <c r="W257" s="7"/>
      <c r="X257" s="7"/>
      <c r="Y257" s="8"/>
      <c r="Z257" s="7"/>
      <c r="AA257" s="8"/>
    </row>
    <row r="258" spans="4:27" ht="14" thickTop="1" thickBot="1">
      <c r="D258" s="65"/>
      <c r="E258" s="52" t="s">
        <v>627</v>
      </c>
      <c r="F258" s="7"/>
      <c r="G258" s="8"/>
      <c r="H258" s="7"/>
      <c r="I258" s="6"/>
      <c r="J258" s="7"/>
      <c r="K258" s="8"/>
      <c r="L258" s="7"/>
      <c r="M258" s="8"/>
      <c r="N258" s="7"/>
      <c r="O258" s="8"/>
      <c r="P258" s="7"/>
      <c r="Q258" s="7"/>
      <c r="R258" s="8"/>
      <c r="S258" s="7"/>
      <c r="T258" s="9"/>
      <c r="U258" s="7"/>
      <c r="V258" s="8"/>
      <c r="W258" s="7"/>
      <c r="X258" s="7"/>
      <c r="Y258" s="8"/>
      <c r="Z258" s="7"/>
      <c r="AA258" s="8"/>
    </row>
    <row r="259" spans="4:27" ht="14" thickTop="1" thickBot="1">
      <c r="D259" s="65"/>
      <c r="E259" s="52" t="s">
        <v>628</v>
      </c>
      <c r="F259" s="7"/>
      <c r="G259" s="8"/>
      <c r="H259" s="7"/>
      <c r="I259" s="6"/>
      <c r="J259" s="7"/>
      <c r="K259" s="8"/>
      <c r="L259" s="7"/>
      <c r="M259" s="8"/>
      <c r="N259" s="7"/>
      <c r="O259" s="8"/>
      <c r="P259" s="7"/>
      <c r="Q259" s="7"/>
      <c r="R259" s="8"/>
      <c r="S259" s="7"/>
      <c r="T259" s="9"/>
      <c r="U259" s="7"/>
      <c r="V259" s="8"/>
      <c r="W259" s="7"/>
      <c r="X259" s="7"/>
      <c r="Y259" s="8"/>
      <c r="Z259" s="7"/>
      <c r="AA259" s="8"/>
    </row>
    <row r="260" spans="4:27" ht="14" thickTop="1" thickBot="1">
      <c r="D260" s="65"/>
      <c r="E260" s="52" t="s">
        <v>642</v>
      </c>
      <c r="F260" s="7"/>
      <c r="G260" s="8"/>
      <c r="H260" s="7"/>
      <c r="I260" s="6"/>
      <c r="J260" s="7"/>
      <c r="K260" s="8"/>
      <c r="L260" s="7"/>
      <c r="M260" s="8"/>
      <c r="N260" s="7"/>
      <c r="O260" s="8"/>
      <c r="P260" s="7"/>
      <c r="Q260" s="7"/>
      <c r="R260" s="8"/>
      <c r="S260" s="7"/>
      <c r="T260" s="9"/>
      <c r="U260" s="7"/>
      <c r="V260" s="8"/>
      <c r="W260" s="7"/>
      <c r="X260" s="7"/>
      <c r="Y260" s="8"/>
      <c r="Z260" s="7"/>
      <c r="AA260" s="8"/>
    </row>
    <row r="261" spans="4:27" ht="14" thickTop="1" thickBot="1">
      <c r="D261" s="65"/>
      <c r="E261" s="52" t="s">
        <v>629</v>
      </c>
      <c r="F261" s="7"/>
      <c r="G261" s="8"/>
      <c r="H261" s="7"/>
      <c r="I261" s="6"/>
      <c r="J261" s="7"/>
      <c r="K261" s="8"/>
      <c r="L261" s="7"/>
      <c r="M261" s="8"/>
      <c r="N261" s="7"/>
      <c r="O261" s="8"/>
      <c r="P261" s="7"/>
      <c r="Q261" s="7"/>
      <c r="R261" s="8"/>
      <c r="S261" s="7"/>
      <c r="T261" s="9"/>
      <c r="U261" s="7"/>
      <c r="V261" s="8"/>
      <c r="W261" s="7"/>
      <c r="X261" s="7"/>
      <c r="Y261" s="8"/>
      <c r="Z261" s="7"/>
      <c r="AA261" s="8"/>
    </row>
    <row r="262" spans="4:27" ht="14" thickTop="1" thickBot="1">
      <c r="D262" s="65"/>
      <c r="E262" s="52" t="s">
        <v>630</v>
      </c>
      <c r="F262" s="7"/>
      <c r="G262" s="8"/>
      <c r="H262" s="7"/>
      <c r="I262" s="6"/>
      <c r="J262" s="7"/>
      <c r="K262" s="8"/>
      <c r="L262" s="7"/>
      <c r="M262" s="8"/>
      <c r="N262" s="7"/>
      <c r="O262" s="8"/>
      <c r="P262" s="7"/>
      <c r="Q262" s="7"/>
      <c r="R262" s="8"/>
      <c r="S262" s="7"/>
      <c r="T262" s="9"/>
      <c r="U262" s="7"/>
      <c r="V262" s="8"/>
      <c r="W262" s="7"/>
      <c r="X262" s="7"/>
      <c r="Y262" s="8"/>
      <c r="Z262" s="7"/>
      <c r="AA262" s="8"/>
    </row>
    <row r="263" spans="4:27" ht="14" thickTop="1" thickBot="1">
      <c r="D263" s="65"/>
      <c r="E263" s="52" t="s">
        <v>373</v>
      </c>
      <c r="F263" s="7"/>
      <c r="G263" s="8"/>
      <c r="H263" s="7"/>
      <c r="I263" s="6"/>
      <c r="J263" s="7"/>
      <c r="K263" s="8"/>
      <c r="L263" s="7"/>
      <c r="M263" s="8"/>
      <c r="N263" s="7"/>
      <c r="O263" s="8"/>
      <c r="P263" s="7"/>
      <c r="Q263" s="7"/>
      <c r="R263" s="8"/>
      <c r="S263" s="7"/>
      <c r="T263" s="9"/>
      <c r="U263" s="7"/>
      <c r="V263" s="8"/>
      <c r="W263" s="7"/>
      <c r="X263" s="7"/>
      <c r="Y263" s="8"/>
      <c r="Z263" s="7"/>
      <c r="AA263" s="8"/>
    </row>
    <row r="264" spans="4:27" ht="14" thickTop="1" thickBot="1">
      <c r="D264" s="65"/>
      <c r="E264" s="52" t="s">
        <v>379</v>
      </c>
      <c r="F264" s="7"/>
      <c r="G264" s="8"/>
      <c r="H264" s="7"/>
      <c r="I264" s="6"/>
      <c r="J264" s="7"/>
      <c r="K264" s="8"/>
      <c r="L264" s="7"/>
      <c r="M264" s="8"/>
      <c r="N264" s="7"/>
      <c r="O264" s="8"/>
      <c r="P264" s="7"/>
      <c r="Q264" s="7"/>
      <c r="R264" s="8"/>
      <c r="S264" s="7"/>
      <c r="T264" s="9"/>
      <c r="U264" s="7"/>
      <c r="V264" s="8"/>
      <c r="W264" s="7"/>
      <c r="X264" s="7"/>
      <c r="Y264" s="8"/>
      <c r="Z264" s="7"/>
      <c r="AA264" s="8"/>
    </row>
    <row r="265" spans="4:27" ht="14" thickTop="1" thickBot="1">
      <c r="D265" s="65"/>
      <c r="E265" s="52" t="s">
        <v>376</v>
      </c>
      <c r="F265" s="7"/>
      <c r="G265" s="8"/>
      <c r="H265" s="7"/>
      <c r="I265" s="6"/>
      <c r="J265" s="7"/>
      <c r="K265" s="8"/>
      <c r="L265" s="7"/>
      <c r="M265" s="8"/>
      <c r="N265" s="7"/>
      <c r="O265" s="8"/>
      <c r="P265" s="7"/>
      <c r="Q265" s="7"/>
      <c r="R265" s="8"/>
      <c r="S265" s="7"/>
      <c r="T265" s="9"/>
      <c r="U265" s="7"/>
      <c r="V265" s="8"/>
      <c r="W265" s="7"/>
      <c r="X265" s="7"/>
      <c r="Y265" s="8"/>
      <c r="Z265" s="7"/>
      <c r="AA265" s="8"/>
    </row>
    <row r="266" spans="4:27" ht="14" thickTop="1" thickBot="1">
      <c r="D266" s="65"/>
      <c r="E266" s="52" t="s">
        <v>372</v>
      </c>
      <c r="F266" s="7"/>
      <c r="G266" s="8"/>
      <c r="H266" s="7"/>
      <c r="I266" s="6"/>
      <c r="J266" s="7"/>
      <c r="K266" s="8"/>
      <c r="L266" s="7"/>
      <c r="M266" s="8"/>
      <c r="N266" s="7"/>
      <c r="O266" s="8"/>
      <c r="P266" s="7"/>
      <c r="Q266" s="7"/>
      <c r="R266" s="8"/>
      <c r="S266" s="7"/>
      <c r="T266" s="9"/>
      <c r="U266" s="7"/>
      <c r="V266" s="8"/>
      <c r="W266" s="7"/>
      <c r="X266" s="7"/>
      <c r="Y266" s="8"/>
      <c r="Z266" s="7"/>
      <c r="AA266" s="8"/>
    </row>
    <row r="267" spans="4:27" ht="14" thickTop="1" thickBot="1">
      <c r="D267" s="65"/>
      <c r="E267" s="52" t="s">
        <v>374</v>
      </c>
      <c r="F267" s="7"/>
      <c r="G267" s="8"/>
      <c r="H267" s="7"/>
      <c r="I267" s="6"/>
      <c r="J267" s="7"/>
      <c r="K267" s="8"/>
      <c r="L267" s="7"/>
      <c r="M267" s="8"/>
      <c r="N267" s="7"/>
      <c r="O267" s="8"/>
      <c r="P267" s="7"/>
      <c r="Q267" s="7"/>
      <c r="R267" s="8"/>
      <c r="S267" s="7"/>
      <c r="T267" s="9"/>
      <c r="U267" s="7"/>
      <c r="V267" s="8"/>
      <c r="W267" s="7"/>
      <c r="X267" s="7"/>
      <c r="Y267" s="8"/>
      <c r="Z267" s="7"/>
      <c r="AA267" s="8"/>
    </row>
    <row r="268" spans="4:27" ht="14" thickTop="1" thickBot="1">
      <c r="D268" s="65"/>
      <c r="E268" s="52" t="s">
        <v>633</v>
      </c>
      <c r="F268" s="7"/>
      <c r="G268" s="8"/>
      <c r="H268" s="7"/>
      <c r="I268" s="6"/>
      <c r="J268" s="7"/>
      <c r="K268" s="8"/>
      <c r="L268" s="7"/>
      <c r="M268" s="8"/>
      <c r="N268" s="7"/>
      <c r="O268" s="8"/>
      <c r="P268" s="7"/>
      <c r="Q268" s="7"/>
      <c r="R268" s="8"/>
      <c r="S268" s="7"/>
      <c r="T268" s="9"/>
      <c r="U268" s="7"/>
      <c r="V268" s="8"/>
      <c r="W268" s="7"/>
      <c r="X268" s="7"/>
      <c r="Y268" s="8"/>
      <c r="Z268" s="7"/>
      <c r="AA268" s="8"/>
    </row>
    <row r="269" spans="4:27" ht="14" thickTop="1" thickBot="1">
      <c r="D269" s="65"/>
      <c r="E269" s="52" t="s">
        <v>635</v>
      </c>
      <c r="F269" s="7"/>
      <c r="G269" s="8"/>
      <c r="H269" s="7"/>
      <c r="I269" s="6"/>
      <c r="J269" s="7"/>
      <c r="K269" s="8"/>
      <c r="L269" s="7"/>
      <c r="M269" s="8"/>
      <c r="N269" s="7"/>
      <c r="O269" s="8"/>
      <c r="P269" s="7"/>
      <c r="Q269" s="7"/>
      <c r="R269" s="8"/>
      <c r="S269" s="7"/>
      <c r="T269" s="9"/>
      <c r="U269" s="7"/>
      <c r="V269" s="8"/>
      <c r="W269" s="7"/>
      <c r="X269" s="7"/>
      <c r="Y269" s="8"/>
      <c r="Z269" s="7"/>
      <c r="AA269" s="8"/>
    </row>
    <row r="270" spans="4:27" ht="14" thickTop="1" thickBot="1">
      <c r="D270" s="65"/>
      <c r="E270" s="52" t="s">
        <v>984</v>
      </c>
      <c r="F270" s="7"/>
      <c r="G270" s="8"/>
      <c r="H270" s="7"/>
      <c r="I270" s="6"/>
      <c r="J270" s="7"/>
      <c r="K270" s="8"/>
      <c r="L270" s="7"/>
      <c r="M270" s="8"/>
      <c r="N270" s="7"/>
      <c r="O270" s="8"/>
      <c r="P270" s="7"/>
      <c r="Q270" s="7"/>
      <c r="R270" s="8"/>
      <c r="S270" s="7"/>
      <c r="T270" s="9"/>
      <c r="U270" s="7"/>
      <c r="V270" s="8"/>
      <c r="W270" s="7"/>
      <c r="X270" s="7"/>
      <c r="Y270" s="8"/>
      <c r="Z270" s="7"/>
      <c r="AA270" s="8"/>
    </row>
    <row r="271" spans="4:27" ht="14" thickTop="1" thickBot="1">
      <c r="D271" s="65"/>
      <c r="E271" s="52" t="s">
        <v>378</v>
      </c>
      <c r="F271" s="7"/>
      <c r="G271" s="8"/>
      <c r="H271" s="7"/>
      <c r="I271" s="6"/>
      <c r="J271" s="7"/>
      <c r="K271" s="8"/>
      <c r="L271" s="7"/>
      <c r="M271" s="8"/>
      <c r="N271" s="7"/>
      <c r="O271" s="8"/>
      <c r="P271" s="7"/>
      <c r="Q271" s="7"/>
      <c r="R271" s="8"/>
      <c r="S271" s="7"/>
      <c r="T271" s="9"/>
      <c r="U271" s="7"/>
      <c r="V271" s="8"/>
      <c r="W271" s="7"/>
      <c r="X271" s="7"/>
      <c r="Y271" s="8"/>
      <c r="Z271" s="7"/>
      <c r="AA271" s="8"/>
    </row>
    <row r="272" spans="4:27" ht="14" thickTop="1" thickBot="1">
      <c r="D272" s="65"/>
      <c r="E272" s="52" t="s">
        <v>809</v>
      </c>
      <c r="F272" s="7"/>
      <c r="G272" s="8"/>
      <c r="H272" s="7"/>
      <c r="I272" s="6"/>
      <c r="J272" s="7"/>
      <c r="K272" s="8"/>
      <c r="L272" s="7"/>
      <c r="M272" s="8"/>
      <c r="N272" s="7"/>
      <c r="O272" s="8"/>
      <c r="P272" s="7"/>
      <c r="Q272" s="7"/>
      <c r="R272" s="8"/>
      <c r="S272" s="7"/>
      <c r="T272" s="9"/>
      <c r="U272" s="7"/>
      <c r="V272" s="8"/>
      <c r="W272" s="7"/>
      <c r="X272" s="7"/>
      <c r="Y272" s="8"/>
      <c r="Z272" s="7"/>
      <c r="AA272" s="8"/>
    </row>
    <row r="273" spans="4:27" ht="14" thickTop="1" thickBot="1">
      <c r="D273" s="65"/>
      <c r="E273" s="52" t="s">
        <v>985</v>
      </c>
      <c r="F273" s="7"/>
      <c r="G273" s="8"/>
      <c r="H273" s="7"/>
      <c r="I273" s="6"/>
      <c r="J273" s="7"/>
      <c r="K273" s="8"/>
      <c r="L273" s="7"/>
      <c r="M273" s="8"/>
      <c r="N273" s="7"/>
      <c r="O273" s="8"/>
      <c r="P273" s="7"/>
      <c r="Q273" s="7"/>
      <c r="R273" s="8"/>
      <c r="S273" s="7"/>
      <c r="T273" s="9"/>
      <c r="U273" s="7"/>
      <c r="V273" s="8"/>
      <c r="W273" s="7"/>
      <c r="X273" s="7"/>
      <c r="Y273" s="8"/>
      <c r="Z273" s="7"/>
      <c r="AA273" s="8"/>
    </row>
    <row r="274" spans="4:27" ht="14" thickTop="1" thickBot="1">
      <c r="D274" s="65"/>
      <c r="E274" s="52" t="s">
        <v>196</v>
      </c>
      <c r="F274" s="7"/>
      <c r="G274" s="8"/>
      <c r="H274" s="7"/>
      <c r="I274" s="6"/>
      <c r="J274" s="7"/>
      <c r="K274" s="8"/>
      <c r="L274" s="7"/>
      <c r="M274" s="8"/>
      <c r="N274" s="7"/>
      <c r="O274" s="8"/>
      <c r="P274" s="7"/>
      <c r="Q274" s="7"/>
      <c r="R274" s="8"/>
      <c r="S274" s="7"/>
      <c r="T274" s="9"/>
      <c r="U274" s="7"/>
      <c r="V274" s="8"/>
      <c r="W274" s="7"/>
      <c r="X274" s="7"/>
      <c r="Y274" s="8"/>
      <c r="Z274" s="7"/>
      <c r="AA274" s="8"/>
    </row>
    <row r="275" spans="4:27" ht="14" thickTop="1" thickBot="1">
      <c r="D275" s="65"/>
      <c r="E275" s="52" t="s">
        <v>817</v>
      </c>
      <c r="F275" s="7"/>
      <c r="G275" s="8"/>
      <c r="H275" s="7"/>
      <c r="I275" s="6"/>
      <c r="J275" s="7"/>
      <c r="K275" s="8"/>
      <c r="L275" s="7"/>
      <c r="M275" s="8"/>
      <c r="N275" s="7"/>
      <c r="O275" s="8"/>
      <c r="P275" s="7"/>
      <c r="Q275" s="7"/>
      <c r="R275" s="8"/>
      <c r="S275" s="7"/>
      <c r="T275" s="9"/>
      <c r="U275" s="7"/>
      <c r="V275" s="8"/>
      <c r="W275" s="7"/>
      <c r="X275" s="7"/>
      <c r="Y275" s="8"/>
      <c r="Z275" s="7"/>
      <c r="AA275" s="8"/>
    </row>
    <row r="276" spans="4:27" ht="14" thickTop="1" thickBot="1">
      <c r="D276" s="65"/>
      <c r="E276" s="52" t="s">
        <v>200</v>
      </c>
      <c r="F276" s="7"/>
      <c r="G276" s="8"/>
      <c r="H276" s="7"/>
      <c r="I276" s="6"/>
      <c r="J276" s="7"/>
      <c r="K276" s="8"/>
      <c r="L276" s="7"/>
      <c r="M276" s="8"/>
      <c r="N276" s="7"/>
      <c r="O276" s="8"/>
      <c r="P276" s="7"/>
      <c r="Q276" s="7"/>
      <c r="R276" s="8"/>
      <c r="S276" s="7"/>
      <c r="T276" s="9"/>
      <c r="U276" s="7"/>
      <c r="V276" s="8"/>
      <c r="W276" s="7"/>
      <c r="X276" s="7"/>
      <c r="Y276" s="8"/>
      <c r="Z276" s="7"/>
      <c r="AA276" s="8"/>
    </row>
    <row r="277" spans="4:27" ht="14" thickTop="1" thickBot="1">
      <c r="D277" s="65"/>
      <c r="E277" s="52" t="s">
        <v>201</v>
      </c>
      <c r="F277" s="7"/>
      <c r="G277" s="8"/>
      <c r="H277" s="7"/>
      <c r="I277" s="6"/>
      <c r="J277" s="7"/>
      <c r="K277" s="8"/>
      <c r="L277" s="7"/>
      <c r="M277" s="8"/>
      <c r="N277" s="7"/>
      <c r="O277" s="8"/>
      <c r="P277" s="7"/>
      <c r="Q277" s="7"/>
      <c r="R277" s="8"/>
      <c r="S277" s="7"/>
      <c r="T277" s="9"/>
      <c r="U277" s="7"/>
      <c r="V277" s="8"/>
      <c r="W277" s="7"/>
      <c r="X277" s="7"/>
      <c r="Y277" s="8"/>
      <c r="Z277" s="7"/>
      <c r="AA277" s="8"/>
    </row>
    <row r="278" spans="4:27" ht="14" thickTop="1" thickBot="1">
      <c r="D278" s="65"/>
      <c r="E278" s="52" t="s">
        <v>203</v>
      </c>
      <c r="F278" s="7"/>
      <c r="G278" s="8"/>
      <c r="H278" s="7"/>
      <c r="I278" s="6"/>
      <c r="J278" s="7"/>
      <c r="K278" s="8"/>
      <c r="L278" s="7"/>
      <c r="M278" s="8"/>
      <c r="N278" s="7"/>
      <c r="O278" s="8"/>
      <c r="P278" s="7"/>
      <c r="Q278" s="7"/>
      <c r="R278" s="8"/>
      <c r="S278" s="7"/>
      <c r="T278" s="9"/>
      <c r="U278" s="7"/>
      <c r="V278" s="8"/>
      <c r="W278" s="7"/>
      <c r="X278" s="7"/>
      <c r="Y278" s="8"/>
      <c r="Z278" s="7"/>
      <c r="AA278" s="8"/>
    </row>
    <row r="279" spans="4:27" ht="14" thickTop="1" thickBot="1">
      <c r="D279" s="65"/>
      <c r="E279" s="52" t="s">
        <v>986</v>
      </c>
      <c r="F279" s="7"/>
      <c r="G279" s="8"/>
      <c r="H279" s="7"/>
      <c r="I279" s="6"/>
      <c r="J279" s="7"/>
      <c r="K279" s="8"/>
      <c r="L279" s="7"/>
      <c r="M279" s="8"/>
      <c r="N279" s="7"/>
      <c r="O279" s="8"/>
      <c r="P279" s="7"/>
      <c r="Q279" s="7"/>
      <c r="R279" s="8"/>
      <c r="S279" s="7"/>
      <c r="T279" s="9"/>
      <c r="U279" s="7"/>
      <c r="V279" s="8"/>
      <c r="W279" s="7"/>
      <c r="X279" s="7"/>
      <c r="Y279" s="8"/>
      <c r="Z279" s="7"/>
      <c r="AA279" s="8"/>
    </row>
    <row r="280" spans="4:27" ht="14" thickTop="1" thickBot="1">
      <c r="D280" s="65"/>
      <c r="E280" s="52" t="s">
        <v>987</v>
      </c>
      <c r="F280" s="7"/>
      <c r="G280" s="8"/>
      <c r="H280" s="7"/>
      <c r="I280" s="6"/>
      <c r="J280" s="7"/>
      <c r="K280" s="8"/>
      <c r="L280" s="7"/>
      <c r="M280" s="8"/>
      <c r="N280" s="7"/>
      <c r="O280" s="8"/>
      <c r="P280" s="7"/>
      <c r="Q280" s="7"/>
      <c r="R280" s="8"/>
      <c r="S280" s="7"/>
      <c r="T280" s="9"/>
      <c r="U280" s="7"/>
      <c r="V280" s="8"/>
      <c r="W280" s="7"/>
      <c r="X280" s="7"/>
      <c r="Y280" s="8"/>
      <c r="Z280" s="7"/>
      <c r="AA280" s="8"/>
    </row>
    <row r="281" spans="4:27" ht="14" thickTop="1" thickBot="1">
      <c r="D281" s="65"/>
      <c r="E281" s="52" t="s">
        <v>736</v>
      </c>
      <c r="F281" s="7"/>
      <c r="G281" s="8"/>
      <c r="H281" s="7"/>
      <c r="I281" s="6"/>
      <c r="J281" s="7"/>
      <c r="K281" s="8"/>
      <c r="L281" s="7"/>
      <c r="M281" s="8"/>
      <c r="N281" s="7"/>
      <c r="O281" s="8"/>
      <c r="P281" s="7"/>
      <c r="Q281" s="7"/>
      <c r="R281" s="8"/>
      <c r="S281" s="7"/>
      <c r="T281" s="9"/>
      <c r="U281" s="7"/>
      <c r="V281" s="8"/>
      <c r="W281" s="7"/>
      <c r="X281" s="7"/>
      <c r="Y281" s="8"/>
      <c r="Z281" s="7"/>
      <c r="AA281" s="8"/>
    </row>
    <row r="282" spans="4:27" ht="14" thickTop="1" thickBot="1">
      <c r="D282" s="65"/>
      <c r="E282" s="52" t="s">
        <v>204</v>
      </c>
      <c r="F282" s="7"/>
      <c r="G282" s="8"/>
      <c r="H282" s="7"/>
      <c r="I282" s="6"/>
      <c r="J282" s="7"/>
      <c r="K282" s="8"/>
      <c r="L282" s="7"/>
      <c r="M282" s="8"/>
      <c r="N282" s="7"/>
      <c r="O282" s="8"/>
      <c r="P282" s="7"/>
      <c r="Q282" s="7"/>
      <c r="R282" s="8"/>
      <c r="S282" s="7"/>
      <c r="T282" s="9"/>
      <c r="U282" s="7"/>
      <c r="V282" s="8"/>
      <c r="W282" s="7"/>
      <c r="X282" s="7"/>
      <c r="Y282" s="8"/>
      <c r="Z282" s="7"/>
      <c r="AA282" s="8"/>
    </row>
    <row r="283" spans="4:27" ht="14" thickTop="1" thickBot="1">
      <c r="D283" s="65"/>
      <c r="E283" s="52" t="s">
        <v>820</v>
      </c>
      <c r="F283" s="7"/>
      <c r="G283" s="8"/>
      <c r="H283" s="7"/>
      <c r="I283" s="6"/>
      <c r="J283" s="7"/>
      <c r="K283" s="8"/>
      <c r="L283" s="7"/>
      <c r="M283" s="8"/>
      <c r="N283" s="7"/>
      <c r="O283" s="8"/>
      <c r="P283" s="7"/>
      <c r="Q283" s="7"/>
      <c r="R283" s="8"/>
      <c r="S283" s="7"/>
      <c r="T283" s="9"/>
      <c r="U283" s="7"/>
      <c r="V283" s="8"/>
      <c r="W283" s="7"/>
      <c r="X283" s="7"/>
      <c r="Y283" s="8"/>
      <c r="Z283" s="7"/>
      <c r="AA283" s="8"/>
    </row>
    <row r="284" spans="4:27" ht="14" thickTop="1" thickBot="1">
      <c r="D284" s="65"/>
      <c r="E284" s="52" t="s">
        <v>245</v>
      </c>
      <c r="F284" s="7"/>
      <c r="G284" s="8"/>
      <c r="H284" s="7"/>
      <c r="I284" s="6"/>
      <c r="J284" s="7"/>
      <c r="K284" s="8"/>
      <c r="L284" s="7"/>
      <c r="M284" s="8"/>
      <c r="N284" s="7"/>
      <c r="O284" s="8"/>
      <c r="P284" s="7"/>
      <c r="Q284" s="7"/>
      <c r="R284" s="8"/>
      <c r="S284" s="7"/>
      <c r="T284" s="9"/>
      <c r="U284" s="7"/>
      <c r="V284" s="8"/>
      <c r="W284" s="7"/>
      <c r="X284" s="7"/>
      <c r="Y284" s="8"/>
      <c r="Z284" s="7"/>
      <c r="AA284" s="8"/>
    </row>
    <row r="285" spans="4:27" ht="14" thickTop="1" thickBot="1">
      <c r="D285" s="65"/>
      <c r="E285" s="52" t="s">
        <v>147</v>
      </c>
      <c r="F285" s="7"/>
      <c r="G285" s="8"/>
      <c r="H285" s="7"/>
      <c r="I285" s="6"/>
      <c r="J285" s="7"/>
      <c r="K285" s="8"/>
      <c r="L285" s="7"/>
      <c r="M285" s="8"/>
      <c r="N285" s="7"/>
      <c r="O285" s="8"/>
      <c r="P285" s="7"/>
      <c r="Q285" s="7"/>
      <c r="R285" s="8"/>
      <c r="S285" s="7"/>
      <c r="T285" s="9"/>
      <c r="U285" s="7"/>
      <c r="V285" s="8"/>
      <c r="W285" s="7"/>
      <c r="X285" s="7"/>
      <c r="Y285" s="8"/>
      <c r="Z285" s="7"/>
      <c r="AA285" s="8"/>
    </row>
    <row r="286" spans="4:27" ht="14" thickTop="1" thickBot="1">
      <c r="D286" s="65"/>
      <c r="E286" s="52" t="s">
        <v>247</v>
      </c>
      <c r="F286" s="7"/>
      <c r="G286" s="8"/>
      <c r="H286" s="7"/>
      <c r="I286" s="6"/>
      <c r="J286" s="7"/>
      <c r="K286" s="8"/>
      <c r="L286" s="7"/>
      <c r="M286" s="8"/>
      <c r="N286" s="7"/>
      <c r="O286" s="8"/>
      <c r="P286" s="7"/>
      <c r="Q286" s="7"/>
      <c r="R286" s="8"/>
      <c r="S286" s="7"/>
      <c r="T286" s="9"/>
      <c r="U286" s="7"/>
      <c r="V286" s="8"/>
      <c r="W286" s="7"/>
      <c r="X286" s="7"/>
      <c r="Y286" s="8"/>
      <c r="Z286" s="7"/>
      <c r="AA286" s="8"/>
    </row>
    <row r="287" spans="4:27" ht="14" thickTop="1" thickBot="1">
      <c r="D287" s="65"/>
      <c r="E287" s="52" t="s">
        <v>225</v>
      </c>
      <c r="F287" s="7"/>
      <c r="G287" s="8"/>
      <c r="H287" s="7"/>
      <c r="I287" s="6"/>
      <c r="J287" s="7"/>
      <c r="K287" s="8"/>
      <c r="L287" s="7"/>
      <c r="M287" s="8"/>
      <c r="N287" s="7"/>
      <c r="O287" s="8"/>
      <c r="P287" s="7"/>
      <c r="Q287" s="7"/>
      <c r="R287" s="8"/>
      <c r="S287" s="7"/>
      <c r="T287" s="9"/>
      <c r="U287" s="7"/>
      <c r="V287" s="8"/>
      <c r="W287" s="7"/>
      <c r="X287" s="7"/>
      <c r="Y287" s="8"/>
      <c r="Z287" s="7"/>
      <c r="AA287" s="8"/>
    </row>
    <row r="288" spans="4:27" ht="14" thickTop="1" thickBot="1">
      <c r="D288" s="65"/>
      <c r="E288" s="52" t="s">
        <v>782</v>
      </c>
      <c r="F288" s="7"/>
      <c r="G288" s="8"/>
      <c r="H288" s="7"/>
      <c r="I288" s="6"/>
      <c r="J288" s="7"/>
      <c r="K288" s="8"/>
      <c r="L288" s="7"/>
      <c r="M288" s="8"/>
      <c r="N288" s="7"/>
      <c r="O288" s="8"/>
      <c r="P288" s="7"/>
      <c r="Q288" s="7"/>
      <c r="R288" s="8"/>
      <c r="S288" s="7"/>
      <c r="T288" s="9"/>
      <c r="U288" s="7"/>
      <c r="V288" s="8"/>
      <c r="W288" s="7"/>
      <c r="X288" s="7"/>
      <c r="Y288" s="8"/>
      <c r="Z288" s="7"/>
      <c r="AA288" s="8"/>
    </row>
    <row r="289" spans="4:27" ht="14" thickTop="1" thickBot="1">
      <c r="D289" s="65"/>
      <c r="E289" s="52" t="s">
        <v>783</v>
      </c>
      <c r="F289" s="7"/>
      <c r="G289" s="8"/>
      <c r="H289" s="7"/>
      <c r="I289" s="6"/>
      <c r="J289" s="7"/>
      <c r="K289" s="8"/>
      <c r="L289" s="7"/>
      <c r="M289" s="8"/>
      <c r="N289" s="7"/>
      <c r="O289" s="8"/>
      <c r="P289" s="7"/>
      <c r="Q289" s="7"/>
      <c r="R289" s="8"/>
      <c r="S289" s="7"/>
      <c r="T289" s="9"/>
      <c r="U289" s="7"/>
      <c r="V289" s="8"/>
      <c r="W289" s="7"/>
      <c r="X289" s="7"/>
      <c r="Y289" s="8"/>
      <c r="Z289" s="7"/>
      <c r="AA289" s="8"/>
    </row>
    <row r="290" spans="4:27" ht="14" thickTop="1" thickBot="1">
      <c r="D290" s="65"/>
      <c r="E290" s="52" t="s">
        <v>230</v>
      </c>
      <c r="F290" s="7"/>
      <c r="G290" s="8"/>
      <c r="H290" s="7"/>
      <c r="I290" s="6"/>
      <c r="J290" s="7"/>
      <c r="K290" s="8"/>
      <c r="L290" s="7"/>
      <c r="M290" s="8"/>
      <c r="N290" s="7"/>
      <c r="O290" s="8"/>
      <c r="P290" s="7"/>
      <c r="Q290" s="7"/>
      <c r="R290" s="8"/>
      <c r="S290" s="7"/>
      <c r="T290" s="9"/>
      <c r="U290" s="7"/>
      <c r="V290" s="8"/>
      <c r="W290" s="7"/>
      <c r="X290" s="7"/>
      <c r="Y290" s="8"/>
      <c r="Z290" s="7"/>
      <c r="AA290" s="8"/>
    </row>
    <row r="291" spans="4:27" ht="14" thickTop="1" thickBot="1">
      <c r="D291" s="65"/>
      <c r="E291" s="52" t="s">
        <v>248</v>
      </c>
      <c r="F291" s="7"/>
      <c r="G291" s="8"/>
      <c r="H291" s="7"/>
      <c r="I291" s="6"/>
      <c r="J291" s="7"/>
      <c r="K291" s="8"/>
      <c r="L291" s="7"/>
      <c r="M291" s="8"/>
      <c r="N291" s="7"/>
      <c r="O291" s="8"/>
      <c r="P291" s="7"/>
      <c r="Q291" s="7"/>
      <c r="R291" s="8"/>
      <c r="S291" s="7"/>
      <c r="T291" s="9"/>
      <c r="U291" s="7"/>
      <c r="V291" s="8"/>
      <c r="W291" s="7"/>
      <c r="X291" s="7"/>
      <c r="Y291" s="8"/>
      <c r="Z291" s="7"/>
      <c r="AA291" s="8"/>
    </row>
    <row r="292" spans="4:27" ht="14" thickTop="1" thickBot="1">
      <c r="D292" s="65"/>
      <c r="E292" s="52" t="s">
        <v>249</v>
      </c>
      <c r="F292" s="7"/>
      <c r="G292" s="8"/>
      <c r="H292" s="7"/>
      <c r="I292" s="6"/>
      <c r="J292" s="7"/>
      <c r="K292" s="8"/>
      <c r="L292" s="7"/>
      <c r="M292" s="8"/>
      <c r="N292" s="7"/>
      <c r="O292" s="8"/>
      <c r="P292" s="7"/>
      <c r="Q292" s="7"/>
      <c r="R292" s="8"/>
      <c r="S292" s="7"/>
      <c r="T292" s="9"/>
      <c r="U292" s="7"/>
      <c r="V292" s="8"/>
      <c r="W292" s="7"/>
      <c r="X292" s="7"/>
      <c r="Y292" s="8"/>
      <c r="Z292" s="7"/>
      <c r="AA292" s="8"/>
    </row>
    <row r="293" spans="4:27" ht="14" thickTop="1" thickBot="1">
      <c r="D293" s="65"/>
      <c r="E293" s="52" t="s">
        <v>250</v>
      </c>
      <c r="F293" s="7"/>
      <c r="G293" s="8"/>
      <c r="H293" s="7"/>
      <c r="I293" s="6"/>
      <c r="J293" s="7"/>
      <c r="K293" s="8"/>
      <c r="L293" s="7"/>
      <c r="M293" s="8"/>
      <c r="N293" s="7"/>
      <c r="O293" s="8"/>
      <c r="P293" s="7"/>
      <c r="Q293" s="7"/>
      <c r="R293" s="8"/>
      <c r="S293" s="7"/>
      <c r="T293" s="9"/>
      <c r="U293" s="7"/>
      <c r="V293" s="8"/>
      <c r="W293" s="7"/>
      <c r="X293" s="7"/>
      <c r="Y293" s="8"/>
      <c r="Z293" s="7"/>
      <c r="AA293" s="8"/>
    </row>
    <row r="294" spans="4:27" ht="14" thickTop="1" thickBot="1">
      <c r="D294" s="65"/>
      <c r="E294" s="52" t="s">
        <v>789</v>
      </c>
      <c r="F294" s="7"/>
      <c r="G294" s="8"/>
      <c r="H294" s="7"/>
      <c r="I294" s="6"/>
      <c r="J294" s="7"/>
      <c r="K294" s="8"/>
      <c r="L294" s="7"/>
      <c r="M294" s="8"/>
      <c r="N294" s="7"/>
      <c r="O294" s="8"/>
      <c r="P294" s="7"/>
      <c r="Q294" s="7"/>
      <c r="R294" s="8"/>
      <c r="S294" s="7"/>
      <c r="T294" s="9"/>
      <c r="U294" s="7"/>
      <c r="V294" s="8"/>
      <c r="W294" s="7"/>
      <c r="X294" s="7"/>
      <c r="Y294" s="8"/>
      <c r="Z294" s="7"/>
      <c r="AA294" s="8"/>
    </row>
    <row r="295" spans="4:27" ht="14" thickTop="1" thickBot="1">
      <c r="D295" s="65"/>
      <c r="E295" s="52" t="s">
        <v>251</v>
      </c>
      <c r="F295" s="7"/>
      <c r="G295" s="8"/>
      <c r="H295" s="7"/>
      <c r="I295" s="6"/>
      <c r="J295" s="7"/>
      <c r="K295" s="8"/>
      <c r="L295" s="7"/>
      <c r="M295" s="8"/>
      <c r="N295" s="7"/>
      <c r="O295" s="8"/>
      <c r="P295" s="7"/>
      <c r="Q295" s="7"/>
      <c r="R295" s="8"/>
      <c r="S295" s="7"/>
      <c r="T295" s="9"/>
      <c r="U295" s="7"/>
      <c r="V295" s="8"/>
      <c r="W295" s="7"/>
      <c r="X295" s="7"/>
      <c r="Y295" s="8"/>
      <c r="Z295" s="7"/>
      <c r="AA295" s="8"/>
    </row>
    <row r="296" spans="4:27" ht="14" thickTop="1" thickBot="1">
      <c r="D296" s="65"/>
      <c r="E296" s="52" t="s">
        <v>252</v>
      </c>
      <c r="F296" s="7"/>
      <c r="G296" s="8"/>
      <c r="H296" s="7"/>
      <c r="I296" s="6"/>
      <c r="J296" s="7"/>
      <c r="K296" s="8"/>
      <c r="L296" s="7"/>
      <c r="M296" s="8"/>
      <c r="N296" s="7"/>
      <c r="O296" s="8"/>
      <c r="P296" s="7"/>
      <c r="Q296" s="7"/>
      <c r="R296" s="8"/>
      <c r="S296" s="7"/>
      <c r="T296" s="9"/>
      <c r="U296" s="7"/>
      <c r="V296" s="8"/>
      <c r="W296" s="7"/>
      <c r="X296" s="7"/>
      <c r="Y296" s="8"/>
      <c r="Z296" s="7"/>
      <c r="AA296" s="8"/>
    </row>
    <row r="297" spans="4:27" ht="14" thickTop="1" thickBot="1">
      <c r="D297" s="65"/>
      <c r="E297" s="52" t="s">
        <v>149</v>
      </c>
      <c r="F297" s="7"/>
      <c r="G297" s="8"/>
      <c r="H297" s="7"/>
      <c r="I297" s="6"/>
      <c r="J297" s="7"/>
      <c r="K297" s="8"/>
      <c r="L297" s="7"/>
      <c r="M297" s="8"/>
      <c r="N297" s="7"/>
      <c r="O297" s="8"/>
      <c r="P297" s="7"/>
      <c r="Q297" s="7"/>
      <c r="R297" s="8"/>
      <c r="S297" s="7"/>
      <c r="T297" s="9"/>
      <c r="U297" s="7"/>
      <c r="V297" s="8"/>
      <c r="W297" s="7"/>
      <c r="X297" s="7"/>
      <c r="Y297" s="8"/>
      <c r="Z297" s="7"/>
      <c r="AA297" s="8"/>
    </row>
    <row r="298" spans="4:27" ht="14" thickTop="1" thickBot="1">
      <c r="D298" s="65"/>
      <c r="E298" s="52" t="s">
        <v>253</v>
      </c>
      <c r="F298" s="7"/>
      <c r="G298" s="8"/>
      <c r="H298" s="7"/>
      <c r="I298" s="6"/>
      <c r="J298" s="7"/>
      <c r="K298" s="8"/>
      <c r="L298" s="7"/>
      <c r="M298" s="8"/>
      <c r="N298" s="7"/>
      <c r="O298" s="8"/>
      <c r="P298" s="7"/>
      <c r="Q298" s="7"/>
      <c r="R298" s="8"/>
      <c r="S298" s="7"/>
      <c r="T298" s="9"/>
      <c r="U298" s="7"/>
      <c r="V298" s="8"/>
      <c r="W298" s="7"/>
      <c r="X298" s="7"/>
      <c r="Y298" s="8"/>
      <c r="Z298" s="7"/>
      <c r="AA298" s="8"/>
    </row>
    <row r="299" spans="4:27" ht="14" thickTop="1" thickBot="1">
      <c r="D299" s="65"/>
      <c r="E299" s="52" t="s">
        <v>254</v>
      </c>
      <c r="F299" s="7"/>
      <c r="G299" s="8"/>
      <c r="H299" s="7"/>
      <c r="I299" s="6"/>
      <c r="J299" s="7"/>
      <c r="K299" s="8"/>
      <c r="L299" s="7"/>
      <c r="M299" s="8"/>
      <c r="N299" s="7"/>
      <c r="O299" s="8"/>
      <c r="P299" s="7"/>
      <c r="Q299" s="7"/>
      <c r="R299" s="8"/>
      <c r="S299" s="7"/>
      <c r="T299" s="9"/>
      <c r="U299" s="7"/>
      <c r="V299" s="8"/>
      <c r="W299" s="7"/>
      <c r="X299" s="7"/>
      <c r="Y299" s="8"/>
      <c r="Z299" s="7"/>
      <c r="AA299" s="8"/>
    </row>
    <row r="300" spans="4:27" ht="14" thickTop="1" thickBot="1">
      <c r="D300" s="65"/>
      <c r="E300" s="52" t="s">
        <v>790</v>
      </c>
      <c r="F300" s="7"/>
      <c r="G300" s="8"/>
      <c r="H300" s="7"/>
      <c r="I300" s="6"/>
      <c r="J300" s="7"/>
      <c r="K300" s="8"/>
      <c r="L300" s="7"/>
      <c r="M300" s="8"/>
      <c r="N300" s="7"/>
      <c r="O300" s="8"/>
      <c r="P300" s="7"/>
      <c r="Q300" s="7"/>
      <c r="R300" s="8"/>
      <c r="S300" s="7"/>
      <c r="T300" s="9"/>
      <c r="U300" s="7"/>
      <c r="V300" s="8"/>
      <c r="W300" s="7"/>
      <c r="X300" s="7"/>
      <c r="Y300" s="8"/>
      <c r="Z300" s="7"/>
      <c r="AA300" s="8"/>
    </row>
    <row r="301" spans="4:27" ht="14" thickTop="1" thickBot="1">
      <c r="D301" s="65"/>
      <c r="E301" s="52" t="s">
        <v>255</v>
      </c>
      <c r="F301" s="7"/>
      <c r="G301" s="8"/>
      <c r="H301" s="7"/>
      <c r="I301" s="6"/>
      <c r="J301" s="7"/>
      <c r="K301" s="8"/>
      <c r="L301" s="7"/>
      <c r="M301" s="8"/>
      <c r="N301" s="7"/>
      <c r="O301" s="8"/>
      <c r="P301" s="7"/>
      <c r="Q301" s="7"/>
      <c r="R301" s="8"/>
      <c r="S301" s="7"/>
      <c r="T301" s="9"/>
      <c r="U301" s="7"/>
      <c r="V301" s="8"/>
      <c r="W301" s="7"/>
      <c r="X301" s="7"/>
      <c r="Y301" s="8"/>
      <c r="Z301" s="7"/>
      <c r="AA301" s="8"/>
    </row>
    <row r="302" spans="4:27" ht="14" thickTop="1" thickBot="1">
      <c r="D302" s="65"/>
      <c r="E302" s="52" t="s">
        <v>256</v>
      </c>
      <c r="F302" s="7"/>
      <c r="G302" s="8"/>
      <c r="H302" s="7"/>
      <c r="I302" s="6"/>
      <c r="J302" s="7"/>
      <c r="K302" s="8"/>
      <c r="L302" s="7"/>
      <c r="M302" s="8"/>
      <c r="N302" s="7"/>
      <c r="O302" s="8"/>
      <c r="P302" s="7"/>
      <c r="Q302" s="7"/>
      <c r="R302" s="8"/>
      <c r="S302" s="7"/>
      <c r="T302" s="9"/>
      <c r="U302" s="7"/>
      <c r="V302" s="8"/>
      <c r="W302" s="7"/>
      <c r="X302" s="7"/>
      <c r="Y302" s="8"/>
      <c r="Z302" s="7"/>
      <c r="AA302" s="8"/>
    </row>
    <row r="303" spans="4:27" ht="14" thickTop="1" thickBot="1">
      <c r="D303" s="65"/>
      <c r="E303" s="52" t="s">
        <v>257</v>
      </c>
      <c r="F303" s="7"/>
      <c r="G303" s="8"/>
      <c r="H303" s="7"/>
      <c r="I303" s="6"/>
      <c r="J303" s="7"/>
      <c r="K303" s="8"/>
      <c r="L303" s="7"/>
      <c r="M303" s="8"/>
      <c r="N303" s="7"/>
      <c r="O303" s="8"/>
      <c r="P303" s="7"/>
      <c r="Q303" s="7"/>
      <c r="R303" s="8"/>
      <c r="S303" s="7"/>
      <c r="T303" s="9"/>
      <c r="U303" s="7"/>
      <c r="V303" s="8"/>
      <c r="W303" s="7"/>
      <c r="X303" s="7"/>
      <c r="Y303" s="8"/>
      <c r="Z303" s="7"/>
      <c r="AA303" s="8"/>
    </row>
    <row r="304" spans="4:27" ht="14" thickTop="1" thickBot="1">
      <c r="D304" s="65"/>
      <c r="E304" s="52" t="s">
        <v>258</v>
      </c>
      <c r="F304" s="7"/>
      <c r="G304" s="8"/>
      <c r="H304" s="7"/>
      <c r="I304" s="6"/>
      <c r="J304" s="7"/>
      <c r="K304" s="8"/>
      <c r="L304" s="7"/>
      <c r="M304" s="8"/>
      <c r="N304" s="7"/>
      <c r="O304" s="8"/>
      <c r="P304" s="7"/>
      <c r="Q304" s="7"/>
      <c r="R304" s="8"/>
      <c r="S304" s="7"/>
      <c r="T304" s="9"/>
      <c r="U304" s="7"/>
      <c r="V304" s="8"/>
      <c r="W304" s="7"/>
      <c r="X304" s="7"/>
      <c r="Y304" s="8"/>
      <c r="Z304" s="7"/>
      <c r="AA304" s="8"/>
    </row>
    <row r="305" spans="4:27" ht="14" thickTop="1" thickBot="1">
      <c r="D305" s="65"/>
      <c r="E305" s="52" t="s">
        <v>231</v>
      </c>
      <c r="F305" s="7"/>
      <c r="G305" s="8"/>
      <c r="H305" s="7"/>
      <c r="I305" s="6"/>
      <c r="J305" s="7"/>
      <c r="K305" s="8"/>
      <c r="L305" s="7"/>
      <c r="M305" s="8"/>
      <c r="N305" s="7"/>
      <c r="O305" s="8"/>
      <c r="P305" s="7"/>
      <c r="Q305" s="7"/>
      <c r="R305" s="8"/>
      <c r="S305" s="7"/>
      <c r="T305" s="9"/>
      <c r="U305" s="7"/>
      <c r="V305" s="8"/>
      <c r="W305" s="7"/>
      <c r="X305" s="7"/>
      <c r="Y305" s="8"/>
      <c r="Z305" s="7"/>
      <c r="AA305" s="8"/>
    </row>
    <row r="306" spans="4:27" ht="14" thickTop="1" thickBot="1">
      <c r="D306" s="65"/>
      <c r="E306" s="52" t="s">
        <v>259</v>
      </c>
      <c r="F306" s="7"/>
      <c r="G306" s="8"/>
      <c r="H306" s="7"/>
      <c r="I306" s="6"/>
      <c r="J306" s="7"/>
      <c r="K306" s="8"/>
      <c r="L306" s="7"/>
      <c r="M306" s="8"/>
      <c r="N306" s="7"/>
      <c r="O306" s="8"/>
      <c r="P306" s="7"/>
      <c r="Q306" s="7"/>
      <c r="R306" s="8"/>
      <c r="S306" s="7"/>
      <c r="T306" s="9"/>
      <c r="U306" s="7"/>
      <c r="V306" s="8"/>
      <c r="W306" s="7"/>
      <c r="X306" s="7"/>
      <c r="Y306" s="8"/>
      <c r="Z306" s="7"/>
      <c r="AA306" s="8"/>
    </row>
    <row r="307" spans="4:27" ht="14" thickTop="1" thickBot="1">
      <c r="D307" s="65"/>
      <c r="E307" s="52" t="s">
        <v>260</v>
      </c>
      <c r="F307" s="7"/>
      <c r="G307" s="8"/>
      <c r="H307" s="7"/>
      <c r="I307" s="6"/>
      <c r="J307" s="7"/>
      <c r="K307" s="8"/>
      <c r="L307" s="7"/>
      <c r="M307" s="8"/>
      <c r="N307" s="7"/>
      <c r="O307" s="8"/>
      <c r="P307" s="7"/>
      <c r="Q307" s="7"/>
      <c r="R307" s="8"/>
      <c r="S307" s="7"/>
      <c r="T307" s="9"/>
      <c r="U307" s="7"/>
      <c r="V307" s="8"/>
      <c r="W307" s="7"/>
      <c r="X307" s="7"/>
      <c r="Y307" s="8"/>
      <c r="Z307" s="7"/>
      <c r="AA307" s="8"/>
    </row>
    <row r="308" spans="4:27" ht="14" thickTop="1" thickBot="1">
      <c r="D308" s="65"/>
      <c r="E308" s="52" t="s">
        <v>261</v>
      </c>
      <c r="F308" s="7"/>
      <c r="G308" s="8"/>
      <c r="H308" s="7"/>
      <c r="I308" s="6"/>
      <c r="J308" s="7"/>
      <c r="K308" s="8"/>
      <c r="L308" s="7"/>
      <c r="M308" s="8"/>
      <c r="N308" s="7"/>
      <c r="O308" s="8"/>
      <c r="P308" s="7"/>
      <c r="Q308" s="7"/>
      <c r="R308" s="8"/>
      <c r="S308" s="7"/>
      <c r="T308" s="9"/>
      <c r="U308" s="7"/>
      <c r="V308" s="8"/>
      <c r="W308" s="7"/>
      <c r="X308" s="7"/>
      <c r="Y308" s="8"/>
      <c r="Z308" s="7"/>
      <c r="AA308" s="8"/>
    </row>
    <row r="309" spans="4:27" ht="14" thickTop="1" thickBot="1">
      <c r="D309" s="65"/>
      <c r="E309" s="52" t="s">
        <v>262</v>
      </c>
      <c r="F309" s="7"/>
      <c r="G309" s="8"/>
      <c r="H309" s="7"/>
      <c r="I309" s="6"/>
      <c r="J309" s="7"/>
      <c r="K309" s="8"/>
      <c r="L309" s="7"/>
      <c r="M309" s="8"/>
      <c r="N309" s="7"/>
      <c r="O309" s="8"/>
      <c r="P309" s="7"/>
      <c r="Q309" s="7"/>
      <c r="R309" s="8"/>
      <c r="S309" s="7"/>
      <c r="T309" s="9"/>
      <c r="U309" s="7"/>
      <c r="V309" s="8"/>
      <c r="W309" s="7"/>
      <c r="X309" s="7"/>
      <c r="Y309" s="8"/>
      <c r="Z309" s="7"/>
      <c r="AA309" s="8"/>
    </row>
    <row r="310" spans="4:27" ht="14" thickTop="1" thickBot="1">
      <c r="D310" s="65"/>
      <c r="E310" s="52" t="s">
        <v>535</v>
      </c>
      <c r="F310" s="7"/>
      <c r="G310" s="8"/>
      <c r="H310" s="7"/>
      <c r="I310" s="6"/>
      <c r="J310" s="7"/>
      <c r="K310" s="8"/>
      <c r="L310" s="7"/>
      <c r="M310" s="8"/>
      <c r="N310" s="7"/>
      <c r="O310" s="8"/>
      <c r="P310" s="7"/>
      <c r="Q310" s="7"/>
      <c r="R310" s="8"/>
      <c r="S310" s="7"/>
      <c r="T310" s="9"/>
      <c r="U310" s="7"/>
      <c r="V310" s="8"/>
      <c r="W310" s="7"/>
      <c r="X310" s="7"/>
      <c r="Y310" s="8"/>
      <c r="Z310" s="7"/>
      <c r="AA310" s="8"/>
    </row>
    <row r="311" spans="4:27" ht="14" thickTop="1" thickBot="1">
      <c r="D311" s="65"/>
      <c r="E311" s="52" t="s">
        <v>558</v>
      </c>
      <c r="F311" s="7"/>
      <c r="G311" s="8"/>
      <c r="H311" s="7"/>
      <c r="I311" s="6"/>
      <c r="J311" s="7"/>
      <c r="K311" s="8"/>
      <c r="L311" s="7"/>
      <c r="M311" s="8"/>
      <c r="N311" s="7"/>
      <c r="O311" s="8"/>
      <c r="P311" s="7"/>
      <c r="Q311" s="7"/>
      <c r="R311" s="8"/>
      <c r="S311" s="7"/>
      <c r="T311" s="9"/>
      <c r="U311" s="7"/>
      <c r="V311" s="8"/>
      <c r="W311" s="7"/>
      <c r="X311" s="7"/>
      <c r="Y311" s="8"/>
      <c r="Z311" s="7"/>
      <c r="AA311" s="8"/>
    </row>
    <row r="312" spans="4:27" ht="14" thickTop="1" thickBot="1">
      <c r="D312" s="65"/>
      <c r="E312" s="52" t="s">
        <v>797</v>
      </c>
      <c r="F312" s="7"/>
      <c r="G312" s="8"/>
      <c r="H312" s="7"/>
      <c r="I312" s="6"/>
      <c r="J312" s="7"/>
      <c r="K312" s="8"/>
      <c r="L312" s="7"/>
      <c r="M312" s="8"/>
      <c r="N312" s="7"/>
      <c r="O312" s="8"/>
      <c r="P312" s="7"/>
      <c r="Q312" s="7"/>
      <c r="R312" s="8"/>
      <c r="S312" s="7"/>
      <c r="T312" s="9"/>
      <c r="U312" s="7"/>
      <c r="V312" s="8"/>
      <c r="W312" s="7"/>
      <c r="X312" s="7"/>
      <c r="Y312" s="8"/>
      <c r="Z312" s="7"/>
      <c r="AA312" s="8"/>
    </row>
    <row r="313" spans="4:27" ht="14" thickTop="1" thickBot="1">
      <c r="D313" s="65"/>
      <c r="E313" s="52" t="s">
        <v>540</v>
      </c>
      <c r="F313" s="7"/>
      <c r="G313" s="8"/>
      <c r="H313" s="7"/>
      <c r="I313" s="6"/>
      <c r="J313" s="7"/>
      <c r="K313" s="8"/>
      <c r="L313" s="7"/>
      <c r="M313" s="8"/>
      <c r="N313" s="7"/>
      <c r="O313" s="8"/>
      <c r="P313" s="7"/>
      <c r="Q313" s="7"/>
      <c r="R313" s="8"/>
      <c r="S313" s="7"/>
      <c r="T313" s="9"/>
      <c r="U313" s="7"/>
      <c r="V313" s="8"/>
      <c r="W313" s="7"/>
      <c r="X313" s="7"/>
      <c r="Y313" s="8"/>
      <c r="Z313" s="7"/>
      <c r="AA313" s="8"/>
    </row>
    <row r="314" spans="4:27" ht="14" thickTop="1" thickBot="1">
      <c r="D314" s="65"/>
      <c r="E314" s="52" t="s">
        <v>825</v>
      </c>
      <c r="F314" s="7"/>
      <c r="G314" s="8"/>
      <c r="H314" s="7"/>
      <c r="I314" s="6"/>
      <c r="J314" s="7"/>
      <c r="K314" s="8"/>
      <c r="L314" s="7"/>
      <c r="M314" s="8"/>
      <c r="N314" s="7"/>
      <c r="O314" s="8"/>
      <c r="P314" s="7"/>
      <c r="Q314" s="7"/>
      <c r="R314" s="8"/>
      <c r="S314" s="7"/>
      <c r="T314" s="9"/>
      <c r="U314" s="7"/>
      <c r="V314" s="8"/>
      <c r="W314" s="7"/>
      <c r="X314" s="7"/>
      <c r="Y314" s="8"/>
      <c r="Z314" s="7"/>
      <c r="AA314" s="8"/>
    </row>
    <row r="315" spans="4:27" ht="14" thickTop="1" thickBot="1">
      <c r="D315" s="65"/>
      <c r="E315" s="52" t="s">
        <v>541</v>
      </c>
      <c r="F315" s="7"/>
      <c r="G315" s="8"/>
      <c r="H315" s="7"/>
      <c r="I315" s="6"/>
      <c r="J315" s="7"/>
      <c r="K315" s="8"/>
      <c r="L315" s="7"/>
      <c r="M315" s="8"/>
      <c r="N315" s="7"/>
      <c r="O315" s="8"/>
      <c r="P315" s="7"/>
      <c r="Q315" s="7"/>
      <c r="R315" s="8"/>
      <c r="S315" s="7"/>
      <c r="T315" s="9"/>
      <c r="U315" s="7"/>
      <c r="V315" s="8"/>
      <c r="W315" s="7"/>
      <c r="X315" s="7"/>
      <c r="Y315" s="8"/>
      <c r="Z315" s="7"/>
      <c r="AA315" s="8"/>
    </row>
    <row r="316" spans="4:27" ht="14" thickTop="1" thickBot="1">
      <c r="D316" s="65"/>
      <c r="E316" s="52" t="s">
        <v>520</v>
      </c>
      <c r="F316" s="7"/>
      <c r="G316" s="8"/>
      <c r="H316" s="7"/>
      <c r="I316" s="6"/>
      <c r="J316" s="7"/>
      <c r="K316" s="8"/>
      <c r="L316" s="7"/>
      <c r="M316" s="8"/>
      <c r="N316" s="7"/>
      <c r="O316" s="8"/>
      <c r="P316" s="7"/>
      <c r="Q316" s="7"/>
      <c r="R316" s="8"/>
      <c r="S316" s="7"/>
      <c r="T316" s="9"/>
      <c r="U316" s="7"/>
      <c r="V316" s="8"/>
      <c r="W316" s="7"/>
      <c r="X316" s="7"/>
      <c r="Y316" s="8"/>
      <c r="Z316" s="7"/>
      <c r="AA316" s="8"/>
    </row>
    <row r="317" spans="4:27" ht="14" thickTop="1" thickBot="1">
      <c r="D317" s="65"/>
      <c r="E317" s="52" t="s">
        <v>549</v>
      </c>
      <c r="F317" s="7"/>
      <c r="G317" s="8"/>
      <c r="H317" s="7"/>
      <c r="I317" s="6"/>
      <c r="J317" s="7"/>
      <c r="K317" s="8"/>
      <c r="L317" s="7"/>
      <c r="M317" s="8"/>
      <c r="N317" s="7"/>
      <c r="O317" s="8"/>
      <c r="P317" s="7"/>
      <c r="Q317" s="7"/>
      <c r="R317" s="8"/>
      <c r="S317" s="7"/>
      <c r="T317" s="9"/>
      <c r="U317" s="7"/>
      <c r="V317" s="8"/>
      <c r="W317" s="7"/>
      <c r="X317" s="7"/>
      <c r="Y317" s="8"/>
      <c r="Z317" s="7"/>
      <c r="AA317" s="8"/>
    </row>
    <row r="318" spans="4:27" ht="14" thickTop="1" thickBot="1">
      <c r="D318" s="65"/>
      <c r="E318" s="52" t="s">
        <v>695</v>
      </c>
      <c r="F318" s="7"/>
      <c r="G318" s="8"/>
      <c r="H318" s="7"/>
      <c r="I318" s="6"/>
      <c r="J318" s="7"/>
      <c r="K318" s="8"/>
      <c r="L318" s="7"/>
      <c r="M318" s="8"/>
      <c r="N318" s="7"/>
      <c r="O318" s="8"/>
      <c r="P318" s="7"/>
      <c r="Q318" s="7"/>
      <c r="R318" s="8"/>
      <c r="S318" s="7"/>
      <c r="T318" s="9"/>
      <c r="U318" s="7"/>
      <c r="V318" s="8"/>
      <c r="W318" s="7"/>
      <c r="X318" s="7"/>
      <c r="Y318" s="8"/>
      <c r="Z318" s="7"/>
      <c r="AA318" s="8"/>
    </row>
    <row r="319" spans="4:27" ht="14" thickTop="1" thickBot="1">
      <c r="D319" s="65"/>
      <c r="E319" s="52" t="s">
        <v>698</v>
      </c>
      <c r="F319" s="7"/>
      <c r="G319" s="8"/>
      <c r="H319" s="7"/>
      <c r="I319" s="6"/>
      <c r="J319" s="7"/>
      <c r="K319" s="8"/>
      <c r="L319" s="7"/>
      <c r="M319" s="8"/>
      <c r="N319" s="7"/>
      <c r="O319" s="8"/>
      <c r="P319" s="7"/>
      <c r="Q319" s="7"/>
      <c r="R319" s="8"/>
      <c r="S319" s="7"/>
      <c r="T319" s="9"/>
      <c r="U319" s="7"/>
      <c r="V319" s="8"/>
      <c r="W319" s="7"/>
      <c r="X319" s="7"/>
      <c r="Y319" s="8"/>
      <c r="Z319" s="7"/>
      <c r="AA319" s="8"/>
    </row>
    <row r="320" spans="4:27" ht="14" thickTop="1" thickBot="1">
      <c r="D320" s="65"/>
      <c r="E320" s="52" t="s">
        <v>531</v>
      </c>
      <c r="F320" s="7"/>
      <c r="G320" s="8"/>
      <c r="H320" s="7"/>
      <c r="I320" s="6"/>
      <c r="J320" s="7"/>
      <c r="K320" s="8"/>
      <c r="L320" s="7"/>
      <c r="M320" s="8"/>
      <c r="N320" s="7"/>
      <c r="O320" s="8"/>
      <c r="P320" s="7"/>
      <c r="Q320" s="7"/>
      <c r="R320" s="8"/>
      <c r="S320" s="7"/>
      <c r="T320" s="9"/>
      <c r="U320" s="7"/>
      <c r="V320" s="8"/>
      <c r="W320" s="7"/>
      <c r="X320" s="7"/>
      <c r="Y320" s="8"/>
      <c r="Z320" s="7"/>
      <c r="AA320" s="8"/>
    </row>
    <row r="321" spans="4:27" ht="14" thickTop="1" thickBot="1">
      <c r="D321" s="65"/>
      <c r="E321" s="52" t="s">
        <v>842</v>
      </c>
      <c r="F321" s="7"/>
      <c r="G321" s="8"/>
      <c r="H321" s="7"/>
      <c r="I321" s="6"/>
      <c r="J321" s="7"/>
      <c r="K321" s="8"/>
      <c r="L321" s="7"/>
      <c r="M321" s="8"/>
      <c r="N321" s="7"/>
      <c r="O321" s="8"/>
      <c r="P321" s="7"/>
      <c r="Q321" s="7"/>
      <c r="R321" s="8"/>
      <c r="S321" s="7"/>
      <c r="T321" s="9"/>
      <c r="U321" s="7"/>
      <c r="V321" s="8"/>
      <c r="W321" s="7"/>
      <c r="X321" s="7"/>
      <c r="Y321" s="8"/>
      <c r="Z321" s="7"/>
      <c r="AA321" s="8"/>
    </row>
    <row r="322" spans="4:27" ht="14" thickTop="1" thickBot="1">
      <c r="D322" s="65"/>
      <c r="E322" s="52" t="s">
        <v>988</v>
      </c>
      <c r="F322" s="7"/>
      <c r="G322" s="8"/>
      <c r="H322" s="7"/>
      <c r="I322" s="6"/>
      <c r="J322" s="7"/>
      <c r="K322" s="8"/>
      <c r="L322" s="7"/>
      <c r="M322" s="8"/>
      <c r="N322" s="7"/>
      <c r="O322" s="8"/>
      <c r="P322" s="7"/>
      <c r="Q322" s="7"/>
      <c r="R322" s="8"/>
      <c r="S322" s="7"/>
      <c r="T322" s="9"/>
      <c r="U322" s="7"/>
      <c r="V322" s="8"/>
      <c r="W322" s="7"/>
      <c r="X322" s="7"/>
      <c r="Y322" s="8"/>
      <c r="Z322" s="7"/>
      <c r="AA322" s="8"/>
    </row>
    <row r="323" spans="4:27" ht="14" thickTop="1" thickBot="1">
      <c r="D323" s="65"/>
      <c r="E323" s="52" t="s">
        <v>538</v>
      </c>
      <c r="F323" s="7"/>
      <c r="G323" s="8"/>
      <c r="H323" s="7"/>
      <c r="I323" s="6"/>
      <c r="J323" s="7"/>
      <c r="K323" s="8"/>
      <c r="L323" s="7"/>
      <c r="M323" s="8"/>
      <c r="N323" s="7"/>
      <c r="O323" s="8"/>
      <c r="P323" s="7"/>
      <c r="Q323" s="7"/>
      <c r="R323" s="8"/>
      <c r="S323" s="7"/>
      <c r="T323" s="9"/>
      <c r="U323" s="7"/>
      <c r="V323" s="8"/>
      <c r="W323" s="7"/>
      <c r="X323" s="7"/>
      <c r="Y323" s="8"/>
      <c r="Z323" s="7"/>
      <c r="AA323" s="8"/>
    </row>
    <row r="324" spans="4:27" ht="14" thickTop="1" thickBot="1">
      <c r="D324" s="65"/>
      <c r="E324" s="52" t="s">
        <v>989</v>
      </c>
      <c r="F324" s="7"/>
      <c r="G324" s="8"/>
      <c r="H324" s="7"/>
      <c r="I324" s="6"/>
      <c r="J324" s="7"/>
      <c r="K324" s="8"/>
      <c r="L324" s="7"/>
      <c r="M324" s="8"/>
      <c r="N324" s="7"/>
      <c r="O324" s="8"/>
      <c r="P324" s="7"/>
      <c r="Q324" s="7"/>
      <c r="R324" s="8"/>
      <c r="S324" s="7"/>
      <c r="T324" s="9"/>
      <c r="U324" s="7"/>
      <c r="V324" s="8"/>
      <c r="W324" s="7"/>
      <c r="X324" s="7"/>
      <c r="Y324" s="8"/>
      <c r="Z324" s="7"/>
      <c r="AA324" s="8"/>
    </row>
    <row r="325" spans="4:27" ht="14" thickTop="1" thickBot="1">
      <c r="D325" s="65"/>
      <c r="E325" s="52" t="s">
        <v>715</v>
      </c>
      <c r="F325" s="7"/>
      <c r="G325" s="8"/>
      <c r="H325" s="7"/>
      <c r="I325" s="6"/>
      <c r="J325" s="7"/>
      <c r="K325" s="8"/>
      <c r="L325" s="7"/>
      <c r="M325" s="8"/>
      <c r="N325" s="7"/>
      <c r="O325" s="8"/>
      <c r="P325" s="7"/>
      <c r="Q325" s="7"/>
      <c r="R325" s="8"/>
      <c r="S325" s="7"/>
      <c r="T325" s="9"/>
      <c r="U325" s="7"/>
      <c r="V325" s="8"/>
      <c r="W325" s="7"/>
      <c r="X325" s="7"/>
      <c r="Y325" s="8"/>
      <c r="Z325" s="7"/>
      <c r="AA325" s="8"/>
    </row>
    <row r="326" spans="4:27" ht="14" thickTop="1" thickBot="1">
      <c r="D326" s="65"/>
      <c r="E326" s="52" t="s">
        <v>819</v>
      </c>
      <c r="F326" s="7"/>
      <c r="G326" s="8"/>
      <c r="H326" s="7"/>
      <c r="I326" s="6"/>
      <c r="J326" s="7"/>
      <c r="K326" s="8"/>
      <c r="L326" s="7"/>
      <c r="M326" s="8"/>
      <c r="N326" s="7"/>
      <c r="O326" s="8"/>
      <c r="P326" s="7"/>
      <c r="Q326" s="7"/>
      <c r="R326" s="8"/>
      <c r="S326" s="7"/>
      <c r="T326" s="9"/>
      <c r="U326" s="7"/>
      <c r="V326" s="8"/>
      <c r="W326" s="7"/>
      <c r="X326" s="7"/>
      <c r="Y326" s="8"/>
      <c r="Z326" s="7"/>
      <c r="AA326" s="8"/>
    </row>
    <row r="327" spans="4:27" ht="14" thickTop="1" thickBot="1">
      <c r="D327" s="65"/>
      <c r="E327" s="52" t="s">
        <v>704</v>
      </c>
      <c r="F327" s="7"/>
      <c r="G327" s="8"/>
      <c r="H327" s="7"/>
      <c r="I327" s="6"/>
      <c r="J327" s="7"/>
      <c r="K327" s="8"/>
      <c r="L327" s="7"/>
      <c r="M327" s="8"/>
      <c r="N327" s="7"/>
      <c r="O327" s="8"/>
      <c r="P327" s="7"/>
      <c r="Q327" s="7"/>
      <c r="R327" s="8"/>
      <c r="S327" s="7"/>
      <c r="T327" s="9"/>
      <c r="U327" s="7"/>
      <c r="V327" s="8"/>
      <c r="W327" s="7"/>
      <c r="X327" s="7"/>
      <c r="Y327" s="8"/>
      <c r="Z327" s="7"/>
      <c r="AA327" s="8"/>
    </row>
    <row r="328" spans="4:27" ht="14" thickTop="1" thickBot="1">
      <c r="D328" s="65"/>
      <c r="E328" s="52" t="s">
        <v>990</v>
      </c>
      <c r="F328" s="7"/>
      <c r="G328" s="8"/>
      <c r="H328" s="7"/>
      <c r="I328" s="6"/>
      <c r="J328" s="7"/>
      <c r="K328" s="8"/>
      <c r="L328" s="7"/>
      <c r="M328" s="8"/>
      <c r="N328" s="7"/>
      <c r="O328" s="8"/>
      <c r="P328" s="7"/>
      <c r="Q328" s="7"/>
      <c r="R328" s="8"/>
      <c r="S328" s="7"/>
      <c r="T328" s="9"/>
      <c r="U328" s="7"/>
      <c r="V328" s="8"/>
      <c r="W328" s="7"/>
      <c r="X328" s="7"/>
      <c r="Y328" s="8"/>
      <c r="Z328" s="7"/>
      <c r="AA328" s="8"/>
    </row>
    <row r="329" spans="4:27" ht="14" thickTop="1" thickBot="1">
      <c r="D329" s="65"/>
      <c r="E329" s="52" t="s">
        <v>991</v>
      </c>
      <c r="F329" s="7"/>
      <c r="G329" s="8"/>
      <c r="H329" s="7"/>
      <c r="I329" s="6"/>
      <c r="J329" s="7"/>
      <c r="K329" s="8"/>
      <c r="L329" s="7"/>
      <c r="M329" s="8"/>
      <c r="N329" s="7"/>
      <c r="O329" s="8"/>
      <c r="P329" s="7"/>
      <c r="Q329" s="7"/>
      <c r="R329" s="8"/>
      <c r="S329" s="7"/>
      <c r="T329" s="9"/>
      <c r="U329" s="7"/>
      <c r="V329" s="8"/>
      <c r="W329" s="7"/>
      <c r="X329" s="7"/>
      <c r="Y329" s="8"/>
      <c r="Z329" s="7"/>
      <c r="AA329" s="8"/>
    </row>
    <row r="330" spans="4:27" ht="14" thickTop="1" thickBot="1">
      <c r="D330" s="65"/>
      <c r="E330" s="52" t="s">
        <v>39</v>
      </c>
      <c r="F330" s="7"/>
      <c r="G330" s="8"/>
      <c r="H330" s="7"/>
      <c r="I330" s="6"/>
      <c r="J330" s="7"/>
      <c r="K330" s="8"/>
      <c r="L330" s="7"/>
      <c r="M330" s="8"/>
      <c r="N330" s="7"/>
      <c r="O330" s="8"/>
      <c r="P330" s="7"/>
      <c r="Q330" s="7"/>
      <c r="R330" s="8"/>
      <c r="S330" s="7"/>
      <c r="T330" s="9"/>
      <c r="U330" s="7"/>
      <c r="V330" s="8"/>
      <c r="W330" s="7"/>
      <c r="X330" s="7"/>
      <c r="Y330" s="8"/>
      <c r="Z330" s="7"/>
      <c r="AA330" s="8"/>
    </row>
    <row r="331" spans="4:27" ht="14" thickTop="1" thickBot="1">
      <c r="D331" s="65"/>
      <c r="E331" s="52" t="s">
        <v>992</v>
      </c>
      <c r="F331" s="7"/>
      <c r="G331" s="8"/>
      <c r="H331" s="7"/>
      <c r="I331" s="6"/>
      <c r="J331" s="7"/>
      <c r="K331" s="8"/>
      <c r="L331" s="7"/>
      <c r="M331" s="8"/>
      <c r="N331" s="7"/>
      <c r="O331" s="8"/>
      <c r="P331" s="7"/>
      <c r="Q331" s="7"/>
      <c r="R331" s="8"/>
      <c r="S331" s="7"/>
      <c r="T331" s="9"/>
      <c r="U331" s="7"/>
      <c r="V331" s="8"/>
      <c r="W331" s="7"/>
      <c r="X331" s="7"/>
      <c r="Y331" s="8"/>
      <c r="Z331" s="7"/>
      <c r="AA331" s="8"/>
    </row>
    <row r="332" spans="4:27" ht="14" thickTop="1" thickBot="1">
      <c r="D332" s="65"/>
      <c r="E332" s="52" t="s">
        <v>993</v>
      </c>
      <c r="F332" s="7"/>
      <c r="G332" s="8"/>
      <c r="H332" s="7"/>
      <c r="I332" s="6"/>
      <c r="J332" s="7"/>
      <c r="K332" s="8"/>
      <c r="L332" s="7"/>
      <c r="M332" s="8"/>
      <c r="N332" s="7"/>
      <c r="O332" s="8"/>
      <c r="P332" s="7"/>
      <c r="Q332" s="7"/>
      <c r="R332" s="8"/>
      <c r="S332" s="7"/>
      <c r="T332" s="9"/>
      <c r="U332" s="7"/>
      <c r="V332" s="8"/>
      <c r="W332" s="7"/>
      <c r="X332" s="7"/>
      <c r="Y332" s="8"/>
      <c r="Z332" s="7"/>
      <c r="AA332" s="8"/>
    </row>
    <row r="333" spans="4:27" ht="14" thickTop="1" thickBot="1">
      <c r="D333" s="65"/>
      <c r="E333" s="52" t="s">
        <v>836</v>
      </c>
      <c r="F333" s="7"/>
      <c r="G333" s="8"/>
      <c r="H333" s="7"/>
      <c r="I333" s="6"/>
      <c r="J333" s="7"/>
      <c r="K333" s="8"/>
      <c r="L333" s="7"/>
      <c r="M333" s="8"/>
      <c r="N333" s="7"/>
      <c r="O333" s="8"/>
      <c r="P333" s="7"/>
      <c r="Q333" s="7"/>
      <c r="R333" s="8"/>
      <c r="S333" s="7"/>
      <c r="T333" s="9"/>
      <c r="U333" s="7"/>
      <c r="V333" s="8"/>
      <c r="W333" s="7"/>
      <c r="X333" s="7"/>
      <c r="Y333" s="8"/>
      <c r="Z333" s="7"/>
      <c r="AA333" s="8"/>
    </row>
    <row r="334" spans="4:27" ht="14" thickTop="1" thickBot="1">
      <c r="D334" s="65"/>
      <c r="E334" s="52" t="s">
        <v>703</v>
      </c>
      <c r="F334" s="7"/>
      <c r="G334" s="8"/>
      <c r="H334" s="7"/>
      <c r="I334" s="6"/>
      <c r="J334" s="7"/>
      <c r="K334" s="8"/>
      <c r="L334" s="7"/>
      <c r="M334" s="8"/>
      <c r="N334" s="7"/>
      <c r="O334" s="8"/>
      <c r="P334" s="7"/>
      <c r="Q334" s="7"/>
      <c r="R334" s="8"/>
      <c r="S334" s="7"/>
      <c r="T334" s="9"/>
      <c r="U334" s="7"/>
      <c r="V334" s="8"/>
      <c r="W334" s="7"/>
      <c r="X334" s="7"/>
      <c r="Y334" s="8"/>
      <c r="Z334" s="7"/>
      <c r="AA334" s="8"/>
    </row>
    <row r="335" spans="4:27" ht="14" thickTop="1" thickBot="1">
      <c r="D335" s="65"/>
      <c r="E335" s="52" t="s">
        <v>994</v>
      </c>
      <c r="F335" s="7"/>
      <c r="G335" s="8"/>
      <c r="H335" s="7"/>
      <c r="I335" s="6"/>
      <c r="J335" s="7"/>
      <c r="K335" s="8"/>
      <c r="L335" s="7"/>
      <c r="M335" s="8"/>
      <c r="N335" s="7"/>
      <c r="O335" s="8"/>
      <c r="P335" s="7"/>
      <c r="Q335" s="7"/>
      <c r="R335" s="8"/>
      <c r="S335" s="7"/>
      <c r="T335" s="9"/>
      <c r="U335" s="7"/>
      <c r="V335" s="8"/>
      <c r="W335" s="7"/>
      <c r="X335" s="7"/>
      <c r="Y335" s="8"/>
      <c r="Z335" s="7"/>
      <c r="AA335" s="8"/>
    </row>
    <row r="336" spans="4:27" ht="14" thickTop="1" thickBot="1">
      <c r="D336" s="65"/>
      <c r="E336" s="52" t="s">
        <v>722</v>
      </c>
      <c r="F336" s="7"/>
      <c r="G336" s="8"/>
      <c r="H336" s="7"/>
      <c r="I336" s="6"/>
      <c r="J336" s="7"/>
      <c r="K336" s="8"/>
      <c r="L336" s="7"/>
      <c r="M336" s="8"/>
      <c r="N336" s="7"/>
      <c r="O336" s="8"/>
      <c r="P336" s="7"/>
      <c r="Q336" s="7"/>
      <c r="R336" s="8"/>
      <c r="S336" s="7"/>
      <c r="T336" s="9"/>
      <c r="U336" s="7"/>
      <c r="V336" s="8"/>
      <c r="W336" s="7"/>
      <c r="X336" s="7"/>
      <c r="Y336" s="8"/>
      <c r="Z336" s="7"/>
      <c r="AA336" s="8"/>
    </row>
    <row r="337" spans="4:27" ht="14" thickTop="1" thickBot="1">
      <c r="D337" s="65"/>
      <c r="E337" s="52" t="s">
        <v>705</v>
      </c>
      <c r="F337" s="7"/>
      <c r="G337" s="8"/>
      <c r="H337" s="7"/>
      <c r="I337" s="6"/>
      <c r="J337" s="7"/>
      <c r="K337" s="8"/>
      <c r="L337" s="7"/>
      <c r="M337" s="8"/>
      <c r="N337" s="7"/>
      <c r="O337" s="8"/>
      <c r="P337" s="7"/>
      <c r="Q337" s="7"/>
      <c r="R337" s="8"/>
      <c r="S337" s="7"/>
      <c r="T337" s="9"/>
      <c r="U337" s="7"/>
      <c r="V337" s="8"/>
      <c r="W337" s="7"/>
      <c r="X337" s="7"/>
      <c r="Y337" s="8"/>
      <c r="Z337" s="7"/>
      <c r="AA337" s="8"/>
    </row>
    <row r="338" spans="4:27" ht="14" thickTop="1" thickBot="1">
      <c r="D338" s="65"/>
      <c r="E338" s="52" t="s">
        <v>548</v>
      </c>
      <c r="F338" s="7"/>
      <c r="G338" s="8"/>
      <c r="H338" s="7"/>
      <c r="I338" s="6"/>
      <c r="J338" s="7"/>
      <c r="K338" s="8"/>
      <c r="L338" s="7"/>
      <c r="M338" s="8"/>
      <c r="N338" s="7"/>
      <c r="O338" s="8"/>
      <c r="P338" s="7"/>
      <c r="Q338" s="7"/>
      <c r="R338" s="8"/>
      <c r="S338" s="7"/>
      <c r="T338" s="9"/>
      <c r="U338" s="7"/>
      <c r="V338" s="8"/>
      <c r="W338" s="7"/>
      <c r="X338" s="7"/>
      <c r="Y338" s="8"/>
      <c r="Z338" s="7"/>
      <c r="AA338" s="8"/>
    </row>
    <row r="339" spans="4:27" ht="14" thickTop="1" thickBot="1">
      <c r="D339" s="65"/>
      <c r="E339" s="52" t="s">
        <v>523</v>
      </c>
      <c r="F339" s="7"/>
      <c r="G339" s="8"/>
      <c r="H339" s="7"/>
      <c r="I339" s="6"/>
      <c r="J339" s="7"/>
      <c r="K339" s="8"/>
      <c r="L339" s="7"/>
      <c r="M339" s="8"/>
      <c r="N339" s="7"/>
      <c r="O339" s="8"/>
      <c r="P339" s="7"/>
      <c r="Q339" s="7"/>
      <c r="R339" s="8"/>
      <c r="S339" s="7"/>
      <c r="T339" s="9"/>
      <c r="U339" s="7"/>
      <c r="V339" s="8"/>
      <c r="W339" s="7"/>
      <c r="X339" s="7"/>
      <c r="Y339" s="8"/>
      <c r="Z339" s="7"/>
      <c r="AA339" s="8"/>
    </row>
    <row r="340" spans="4:27" ht="14" thickTop="1" thickBot="1">
      <c r="D340" s="65"/>
      <c r="E340" s="52" t="s">
        <v>153</v>
      </c>
      <c r="F340" s="7"/>
      <c r="G340" s="8"/>
      <c r="H340" s="7"/>
      <c r="I340" s="6"/>
      <c r="J340" s="7"/>
      <c r="K340" s="8"/>
      <c r="L340" s="7"/>
      <c r="M340" s="8"/>
      <c r="N340" s="7"/>
      <c r="O340" s="8"/>
      <c r="P340" s="7"/>
      <c r="Q340" s="7"/>
      <c r="R340" s="8"/>
      <c r="S340" s="7"/>
      <c r="T340" s="9"/>
      <c r="U340" s="7"/>
      <c r="V340" s="8"/>
      <c r="W340" s="7"/>
      <c r="X340" s="7"/>
      <c r="Y340" s="8"/>
      <c r="Z340" s="7"/>
      <c r="AA340" s="8"/>
    </row>
    <row r="341" spans="4:27" ht="14" thickTop="1" thickBot="1">
      <c r="D341" s="65"/>
      <c r="E341" s="52" t="s">
        <v>240</v>
      </c>
      <c r="F341" s="7"/>
      <c r="G341" s="8"/>
      <c r="H341" s="7"/>
      <c r="I341" s="6"/>
      <c r="J341" s="7"/>
      <c r="K341" s="8"/>
      <c r="L341" s="7"/>
      <c r="M341" s="8"/>
      <c r="N341" s="7"/>
      <c r="O341" s="8"/>
      <c r="P341" s="7"/>
      <c r="Q341" s="7"/>
      <c r="R341" s="8"/>
      <c r="S341" s="7"/>
      <c r="T341" s="9"/>
      <c r="U341" s="7"/>
      <c r="V341" s="8"/>
      <c r="W341" s="7"/>
      <c r="X341" s="7"/>
      <c r="Y341" s="8"/>
      <c r="Z341" s="7"/>
      <c r="AA341" s="8"/>
    </row>
    <row r="342" spans="4:27" ht="14" thickTop="1" thickBot="1">
      <c r="D342" s="65"/>
      <c r="E342" s="52" t="s">
        <v>154</v>
      </c>
      <c r="F342" s="7"/>
      <c r="G342" s="8"/>
      <c r="H342" s="7"/>
      <c r="I342" s="6"/>
      <c r="J342" s="7"/>
      <c r="K342" s="8"/>
      <c r="L342" s="7"/>
      <c r="M342" s="8"/>
      <c r="N342" s="7"/>
      <c r="O342" s="8"/>
      <c r="P342" s="7"/>
      <c r="Q342" s="7"/>
      <c r="R342" s="8"/>
      <c r="S342" s="7"/>
      <c r="T342" s="9"/>
      <c r="U342" s="7"/>
      <c r="V342" s="8"/>
      <c r="W342" s="7"/>
      <c r="X342" s="7"/>
      <c r="Y342" s="8"/>
      <c r="Z342" s="7"/>
      <c r="AA342" s="8"/>
    </row>
    <row r="343" spans="4:27" ht="14" thickTop="1" thickBot="1">
      <c r="D343" s="65"/>
      <c r="E343" s="52" t="s">
        <v>155</v>
      </c>
      <c r="F343" s="7"/>
      <c r="G343" s="8"/>
      <c r="H343" s="7"/>
      <c r="I343" s="6"/>
      <c r="J343" s="7"/>
      <c r="K343" s="8"/>
      <c r="L343" s="7"/>
      <c r="M343" s="8"/>
      <c r="N343" s="7"/>
      <c r="O343" s="8"/>
      <c r="P343" s="7"/>
      <c r="Q343" s="7"/>
      <c r="R343" s="8"/>
      <c r="S343" s="7"/>
      <c r="T343" s="9"/>
      <c r="U343" s="7"/>
      <c r="V343" s="8"/>
      <c r="W343" s="7"/>
      <c r="X343" s="7"/>
      <c r="Y343" s="8"/>
      <c r="Z343" s="7"/>
      <c r="AA343" s="8"/>
    </row>
    <row r="344" spans="4:27" ht="14" thickTop="1" thickBot="1">
      <c r="D344" s="65"/>
      <c r="E344" s="52" t="s">
        <v>156</v>
      </c>
      <c r="F344" s="7"/>
      <c r="G344" s="8"/>
      <c r="H344" s="7"/>
      <c r="I344" s="6"/>
      <c r="J344" s="7"/>
      <c r="K344" s="8"/>
      <c r="L344" s="7"/>
      <c r="M344" s="8"/>
      <c r="N344" s="7"/>
      <c r="O344" s="8"/>
      <c r="P344" s="7"/>
      <c r="Q344" s="7"/>
      <c r="R344" s="8"/>
      <c r="S344" s="7"/>
      <c r="T344" s="9"/>
      <c r="U344" s="7"/>
      <c r="V344" s="8"/>
      <c r="W344" s="7"/>
      <c r="X344" s="7"/>
      <c r="Y344" s="8"/>
      <c r="Z344" s="7"/>
      <c r="AA344" s="8"/>
    </row>
    <row r="345" spans="4:27" ht="14" thickTop="1" thickBot="1">
      <c r="D345" s="65"/>
      <c r="E345" s="52" t="s">
        <v>767</v>
      </c>
      <c r="F345" s="7"/>
      <c r="G345" s="8"/>
      <c r="H345" s="7"/>
      <c r="I345" s="6"/>
      <c r="J345" s="7"/>
      <c r="K345" s="8"/>
      <c r="L345" s="7"/>
      <c r="M345" s="8"/>
      <c r="N345" s="7"/>
      <c r="O345" s="8"/>
      <c r="P345" s="7"/>
      <c r="Q345" s="7"/>
      <c r="R345" s="8"/>
      <c r="S345" s="7"/>
      <c r="T345" s="9"/>
      <c r="U345" s="7"/>
      <c r="V345" s="8"/>
      <c r="W345" s="7"/>
      <c r="X345" s="7"/>
      <c r="Y345" s="8"/>
      <c r="Z345" s="7"/>
      <c r="AA345" s="8"/>
    </row>
    <row r="346" spans="4:27" ht="14" thickTop="1" thickBot="1">
      <c r="D346" s="65"/>
      <c r="E346" s="52" t="s">
        <v>759</v>
      </c>
      <c r="F346" s="7"/>
      <c r="G346" s="8"/>
      <c r="H346" s="7"/>
      <c r="I346" s="6"/>
      <c r="J346" s="7"/>
      <c r="K346" s="8"/>
      <c r="L346" s="7"/>
      <c r="M346" s="8"/>
      <c r="N346" s="7"/>
      <c r="O346" s="8"/>
      <c r="P346" s="7"/>
      <c r="Q346" s="7"/>
      <c r="R346" s="8"/>
      <c r="S346" s="7"/>
      <c r="T346" s="9"/>
      <c r="U346" s="7"/>
      <c r="V346" s="8"/>
      <c r="W346" s="7"/>
      <c r="X346" s="7"/>
      <c r="Y346" s="8"/>
      <c r="Z346" s="7"/>
      <c r="AA346" s="8"/>
    </row>
    <row r="347" spans="4:27" ht="14" thickTop="1" thickBot="1">
      <c r="D347" s="65"/>
      <c r="E347" s="52" t="s">
        <v>755</v>
      </c>
      <c r="F347" s="7"/>
      <c r="G347" s="8"/>
      <c r="H347" s="7"/>
      <c r="I347" s="6"/>
      <c r="J347" s="7"/>
      <c r="K347" s="8"/>
      <c r="L347" s="7"/>
      <c r="M347" s="8"/>
      <c r="N347" s="7"/>
      <c r="O347" s="8"/>
      <c r="P347" s="7"/>
      <c r="Q347" s="7"/>
      <c r="R347" s="8"/>
      <c r="S347" s="7"/>
      <c r="T347" s="9"/>
      <c r="U347" s="7"/>
      <c r="V347" s="8"/>
      <c r="W347" s="7"/>
      <c r="X347" s="7"/>
      <c r="Y347" s="8"/>
      <c r="Z347" s="7"/>
      <c r="AA347" s="8"/>
    </row>
    <row r="348" spans="4:27" ht="14" thickTop="1" thickBot="1">
      <c r="D348" s="65"/>
      <c r="E348" s="52" t="s">
        <v>995</v>
      </c>
      <c r="F348" s="7"/>
      <c r="G348" s="8"/>
      <c r="H348" s="7"/>
      <c r="I348" s="6"/>
      <c r="J348" s="7"/>
      <c r="K348" s="8"/>
      <c r="L348" s="7"/>
      <c r="M348" s="8"/>
      <c r="N348" s="7"/>
      <c r="O348" s="8"/>
      <c r="P348" s="7"/>
      <c r="Q348" s="7"/>
      <c r="R348" s="8"/>
      <c r="S348" s="7"/>
      <c r="T348" s="9"/>
      <c r="U348" s="7"/>
      <c r="V348" s="8"/>
      <c r="W348" s="7"/>
      <c r="X348" s="7"/>
      <c r="Y348" s="8"/>
      <c r="Z348" s="7"/>
      <c r="AA348" s="8"/>
    </row>
    <row r="349" spans="4:27" ht="14" thickTop="1" thickBot="1">
      <c r="D349" s="65"/>
      <c r="E349" s="52" t="s">
        <v>239</v>
      </c>
      <c r="F349" s="7"/>
      <c r="G349" s="8"/>
      <c r="H349" s="7"/>
      <c r="I349" s="6"/>
      <c r="J349" s="7"/>
      <c r="K349" s="8"/>
      <c r="L349" s="7"/>
      <c r="M349" s="8"/>
      <c r="N349" s="7"/>
      <c r="O349" s="8"/>
      <c r="P349" s="7"/>
      <c r="Q349" s="7"/>
      <c r="R349" s="8"/>
      <c r="S349" s="7"/>
      <c r="T349" s="9"/>
      <c r="U349" s="7"/>
      <c r="V349" s="8"/>
      <c r="W349" s="7"/>
      <c r="X349" s="7"/>
      <c r="Y349" s="8"/>
      <c r="Z349" s="7"/>
      <c r="AA349" s="8"/>
    </row>
    <row r="350" spans="4:27" ht="14" thickTop="1" thickBot="1">
      <c r="D350" s="65"/>
      <c r="E350" s="52" t="s">
        <v>206</v>
      </c>
      <c r="F350" s="7"/>
      <c r="G350" s="8"/>
      <c r="H350" s="7"/>
      <c r="I350" s="6"/>
      <c r="J350" s="7"/>
      <c r="K350" s="8"/>
      <c r="L350" s="7"/>
      <c r="M350" s="8"/>
      <c r="N350" s="7"/>
      <c r="O350" s="8"/>
      <c r="P350" s="7"/>
      <c r="Q350" s="7"/>
      <c r="R350" s="8"/>
      <c r="S350" s="7"/>
      <c r="T350" s="9"/>
      <c r="U350" s="7"/>
      <c r="V350" s="8"/>
      <c r="W350" s="7"/>
      <c r="X350" s="7"/>
      <c r="Y350" s="8"/>
      <c r="Z350" s="7"/>
      <c r="AA350" s="8"/>
    </row>
    <row r="351" spans="4:27" ht="14" thickTop="1" thickBot="1">
      <c r="D351" s="65"/>
      <c r="E351" s="52" t="s">
        <v>746</v>
      </c>
      <c r="F351" s="7"/>
      <c r="G351" s="8"/>
      <c r="H351" s="7"/>
      <c r="I351" s="6"/>
      <c r="J351" s="7"/>
      <c r="K351" s="8"/>
      <c r="L351" s="7"/>
      <c r="M351" s="8"/>
      <c r="N351" s="7"/>
      <c r="O351" s="8"/>
      <c r="P351" s="7"/>
      <c r="Q351" s="7"/>
      <c r="R351" s="8"/>
      <c r="S351" s="7"/>
      <c r="T351" s="9"/>
      <c r="U351" s="7"/>
      <c r="V351" s="8"/>
      <c r="W351" s="7"/>
      <c r="X351" s="7"/>
      <c r="Y351" s="8"/>
      <c r="Z351" s="7"/>
      <c r="AA351" s="8"/>
    </row>
    <row r="352" spans="4:27" ht="14" thickTop="1" thickBot="1">
      <c r="D352" s="65"/>
      <c r="E352" s="52" t="s">
        <v>232</v>
      </c>
      <c r="F352" s="7"/>
      <c r="G352" s="8"/>
      <c r="H352" s="7"/>
      <c r="I352" s="6"/>
      <c r="J352" s="7"/>
      <c r="K352" s="8"/>
      <c r="L352" s="7"/>
      <c r="M352" s="8"/>
      <c r="N352" s="7"/>
      <c r="O352" s="8"/>
      <c r="P352" s="7"/>
      <c r="Q352" s="7"/>
      <c r="R352" s="8"/>
      <c r="S352" s="7"/>
      <c r="T352" s="9"/>
      <c r="U352" s="7"/>
      <c r="V352" s="8"/>
      <c r="W352" s="7"/>
      <c r="X352" s="7"/>
      <c r="Y352" s="8"/>
      <c r="Z352" s="7"/>
      <c r="AA352" s="8"/>
    </row>
    <row r="353" spans="4:27" ht="14" thickTop="1" thickBot="1">
      <c r="D353" s="65"/>
      <c r="E353" s="52" t="s">
        <v>217</v>
      </c>
      <c r="F353" s="7"/>
      <c r="G353" s="8"/>
      <c r="H353" s="7"/>
      <c r="I353" s="6"/>
      <c r="J353" s="7"/>
      <c r="K353" s="8"/>
      <c r="L353" s="7"/>
      <c r="M353" s="8"/>
      <c r="N353" s="7"/>
      <c r="O353" s="8"/>
      <c r="P353" s="7"/>
      <c r="Q353" s="7"/>
      <c r="R353" s="8"/>
      <c r="S353" s="7"/>
      <c r="T353" s="9"/>
      <c r="U353" s="7"/>
      <c r="V353" s="8"/>
      <c r="W353" s="7"/>
      <c r="X353" s="7"/>
      <c r="Y353" s="8"/>
      <c r="Z353" s="7"/>
      <c r="AA353" s="8"/>
    </row>
    <row r="354" spans="4:27" ht="14" thickTop="1" thickBot="1">
      <c r="D354" s="65"/>
      <c r="E354" s="52" t="s">
        <v>290</v>
      </c>
      <c r="F354" s="7"/>
      <c r="G354" s="8"/>
      <c r="H354" s="7"/>
      <c r="I354" s="6"/>
      <c r="J354" s="7"/>
      <c r="K354" s="8"/>
      <c r="L354" s="7"/>
      <c r="M354" s="8"/>
      <c r="N354" s="7"/>
      <c r="O354" s="8"/>
      <c r="P354" s="7"/>
      <c r="Q354" s="7"/>
      <c r="R354" s="8"/>
      <c r="S354" s="7"/>
      <c r="T354" s="9"/>
      <c r="U354" s="7"/>
      <c r="V354" s="8"/>
      <c r="W354" s="7"/>
      <c r="X354" s="7"/>
      <c r="Y354" s="8"/>
      <c r="Z354" s="7"/>
      <c r="AA354" s="8"/>
    </row>
    <row r="355" spans="4:27" ht="14" thickTop="1" thickBot="1">
      <c r="D355" s="65"/>
      <c r="E355" s="52" t="s">
        <v>207</v>
      </c>
      <c r="F355" s="7"/>
      <c r="G355" s="8"/>
      <c r="H355" s="7"/>
      <c r="I355" s="6"/>
      <c r="J355" s="7"/>
      <c r="K355" s="8"/>
      <c r="L355" s="7"/>
      <c r="M355" s="8"/>
      <c r="N355" s="7"/>
      <c r="O355" s="8"/>
      <c r="P355" s="7"/>
      <c r="Q355" s="7"/>
      <c r="R355" s="8"/>
      <c r="S355" s="7"/>
      <c r="T355" s="9"/>
      <c r="U355" s="7"/>
      <c r="V355" s="8"/>
      <c r="W355" s="7"/>
      <c r="X355" s="7"/>
      <c r="Y355" s="8"/>
      <c r="Z355" s="7"/>
      <c r="AA355" s="8"/>
    </row>
    <row r="356" spans="4:27" ht="14" thickTop="1" thickBot="1">
      <c r="D356" s="65"/>
      <c r="E356" s="52" t="s">
        <v>209</v>
      </c>
      <c r="F356" s="7"/>
      <c r="G356" s="8"/>
      <c r="H356" s="7"/>
      <c r="I356" s="6"/>
      <c r="J356" s="7"/>
      <c r="K356" s="8"/>
      <c r="L356" s="7"/>
      <c r="M356" s="8"/>
      <c r="N356" s="7"/>
      <c r="O356" s="8"/>
      <c r="P356" s="7"/>
      <c r="Q356" s="7"/>
      <c r="R356" s="8"/>
      <c r="S356" s="7"/>
      <c r="T356" s="9"/>
      <c r="U356" s="7"/>
      <c r="V356" s="8"/>
      <c r="W356" s="7"/>
      <c r="X356" s="7"/>
      <c r="Y356" s="8"/>
      <c r="Z356" s="7"/>
      <c r="AA356" s="8"/>
    </row>
    <row r="357" spans="4:27" ht="14" thickTop="1" thickBot="1">
      <c r="D357" s="65"/>
      <c r="E357" s="52" t="s">
        <v>737</v>
      </c>
      <c r="F357" s="7"/>
      <c r="G357" s="8"/>
      <c r="H357" s="7"/>
      <c r="I357" s="6"/>
      <c r="J357" s="7"/>
      <c r="K357" s="8"/>
      <c r="L357" s="7"/>
      <c r="M357" s="8"/>
      <c r="N357" s="7"/>
      <c r="O357" s="8"/>
      <c r="P357" s="7"/>
      <c r="Q357" s="7"/>
      <c r="R357" s="8"/>
      <c r="S357" s="7"/>
      <c r="T357" s="9"/>
      <c r="U357" s="7"/>
      <c r="V357" s="8"/>
      <c r="W357" s="7"/>
      <c r="X357" s="7"/>
      <c r="Y357" s="8"/>
      <c r="Z357" s="7"/>
      <c r="AA357" s="8"/>
    </row>
    <row r="358" spans="4:27" ht="14" thickTop="1" thickBot="1">
      <c r="D358" s="65"/>
      <c r="E358" s="52" t="s">
        <v>281</v>
      </c>
      <c r="F358" s="7"/>
      <c r="G358" s="8"/>
      <c r="H358" s="7"/>
      <c r="I358" s="6"/>
      <c r="J358" s="7"/>
      <c r="K358" s="8"/>
      <c r="L358" s="7"/>
      <c r="M358" s="8"/>
      <c r="N358" s="7"/>
      <c r="O358" s="8"/>
      <c r="P358" s="7"/>
      <c r="Q358" s="7"/>
      <c r="R358" s="8"/>
      <c r="S358" s="7"/>
      <c r="T358" s="9"/>
      <c r="U358" s="7"/>
      <c r="V358" s="8"/>
      <c r="W358" s="7"/>
      <c r="X358" s="7"/>
      <c r="Y358" s="8"/>
      <c r="Z358" s="7"/>
      <c r="AA358" s="8"/>
    </row>
    <row r="359" spans="4:27" ht="14" thickTop="1" thickBot="1">
      <c r="D359" s="65"/>
      <c r="E359" s="52" t="s">
        <v>282</v>
      </c>
      <c r="F359" s="7"/>
      <c r="G359" s="8"/>
      <c r="H359" s="7"/>
      <c r="I359" s="6"/>
      <c r="J359" s="7"/>
      <c r="K359" s="8"/>
      <c r="L359" s="7"/>
      <c r="M359" s="8"/>
      <c r="N359" s="7"/>
      <c r="O359" s="8"/>
      <c r="P359" s="7"/>
      <c r="Q359" s="7"/>
      <c r="R359" s="8"/>
      <c r="S359" s="7"/>
      <c r="T359" s="9"/>
      <c r="U359" s="7"/>
      <c r="V359" s="8"/>
      <c r="W359" s="7"/>
      <c r="X359" s="7"/>
      <c r="Y359" s="8"/>
      <c r="Z359" s="7"/>
      <c r="AA359" s="8"/>
    </row>
    <row r="360" spans="4:27" ht="14" thickTop="1" thickBot="1">
      <c r="D360" s="65"/>
      <c r="E360" s="52" t="s">
        <v>996</v>
      </c>
      <c r="F360" s="7"/>
      <c r="G360" s="8"/>
      <c r="H360" s="7"/>
      <c r="I360" s="6"/>
      <c r="J360" s="7"/>
      <c r="K360" s="8"/>
      <c r="L360" s="7"/>
      <c r="M360" s="8"/>
      <c r="N360" s="7"/>
      <c r="O360" s="8"/>
      <c r="P360" s="7"/>
      <c r="Q360" s="7"/>
      <c r="R360" s="8"/>
      <c r="S360" s="7"/>
      <c r="T360" s="9"/>
      <c r="U360" s="7"/>
      <c r="V360" s="8"/>
      <c r="W360" s="7"/>
      <c r="X360" s="7"/>
      <c r="Y360" s="8"/>
      <c r="Z360" s="7"/>
      <c r="AA360" s="8"/>
    </row>
    <row r="361" spans="4:27" ht="14" thickTop="1" thickBot="1">
      <c r="D361" s="65"/>
      <c r="E361" s="52" t="s">
        <v>829</v>
      </c>
      <c r="F361" s="7"/>
      <c r="G361" s="8"/>
      <c r="H361" s="7"/>
      <c r="I361" s="6"/>
      <c r="J361" s="7"/>
      <c r="K361" s="8"/>
      <c r="L361" s="7"/>
      <c r="M361" s="8"/>
      <c r="N361" s="7"/>
      <c r="O361" s="8"/>
      <c r="P361" s="7"/>
      <c r="Q361" s="7"/>
      <c r="R361" s="8"/>
      <c r="S361" s="7"/>
      <c r="T361" s="9"/>
      <c r="U361" s="7"/>
      <c r="V361" s="8"/>
      <c r="W361" s="7"/>
      <c r="X361" s="7"/>
      <c r="Y361" s="8"/>
      <c r="Z361" s="7"/>
      <c r="AA361" s="8"/>
    </row>
    <row r="362" spans="4:27" ht="14" thickTop="1" thickBot="1">
      <c r="D362" s="65"/>
      <c r="E362" s="52" t="s">
        <v>831</v>
      </c>
      <c r="F362" s="7"/>
      <c r="G362" s="8"/>
      <c r="H362" s="7"/>
      <c r="I362" s="6"/>
      <c r="J362" s="7"/>
      <c r="K362" s="8"/>
      <c r="L362" s="7"/>
      <c r="M362" s="8"/>
      <c r="N362" s="7"/>
      <c r="O362" s="8"/>
      <c r="P362" s="7"/>
      <c r="Q362" s="7"/>
      <c r="R362" s="8"/>
      <c r="S362" s="7"/>
      <c r="T362" s="9"/>
      <c r="U362" s="7"/>
      <c r="V362" s="8"/>
      <c r="W362" s="7"/>
      <c r="X362" s="7"/>
      <c r="Y362" s="8"/>
      <c r="Z362" s="7"/>
      <c r="AA362" s="8"/>
    </row>
    <row r="363" spans="4:27" ht="14" thickTop="1" thickBot="1">
      <c r="D363" s="65"/>
      <c r="E363" s="52" t="s">
        <v>833</v>
      </c>
      <c r="F363" s="7"/>
      <c r="G363" s="8"/>
      <c r="H363" s="7"/>
      <c r="I363" s="6"/>
      <c r="J363" s="7"/>
      <c r="K363" s="8"/>
      <c r="L363" s="7"/>
      <c r="M363" s="8"/>
      <c r="N363" s="7"/>
      <c r="O363" s="8"/>
      <c r="P363" s="7"/>
      <c r="Q363" s="7"/>
      <c r="R363" s="8"/>
      <c r="S363" s="7"/>
      <c r="T363" s="9"/>
      <c r="U363" s="7"/>
      <c r="V363" s="8"/>
      <c r="W363" s="7"/>
      <c r="X363" s="7"/>
      <c r="Y363" s="8"/>
      <c r="Z363" s="7"/>
      <c r="AA363" s="8"/>
    </row>
    <row r="364" spans="4:27" ht="14" thickTop="1" thickBot="1">
      <c r="D364" s="65"/>
      <c r="E364" s="52" t="s">
        <v>997</v>
      </c>
      <c r="F364" s="7"/>
      <c r="G364" s="8"/>
      <c r="H364" s="7"/>
      <c r="I364" s="6"/>
      <c r="J364" s="7"/>
      <c r="K364" s="8"/>
      <c r="L364" s="7"/>
      <c r="M364" s="8"/>
      <c r="N364" s="7"/>
      <c r="O364" s="8"/>
      <c r="P364" s="7"/>
      <c r="Q364" s="7"/>
      <c r="R364" s="8"/>
      <c r="S364" s="7"/>
      <c r="T364" s="9"/>
      <c r="U364" s="7"/>
      <c r="V364" s="8"/>
      <c r="W364" s="7"/>
      <c r="X364" s="7"/>
      <c r="Y364" s="8"/>
      <c r="Z364" s="7"/>
      <c r="AA364" s="8"/>
    </row>
    <row r="365" spans="4:27" ht="14" thickTop="1" thickBot="1">
      <c r="D365" s="65"/>
      <c r="E365" s="52" t="s">
        <v>834</v>
      </c>
      <c r="F365" s="7"/>
      <c r="G365" s="8"/>
      <c r="H365" s="7"/>
      <c r="I365" s="6"/>
      <c r="J365" s="7"/>
      <c r="K365" s="8"/>
      <c r="L365" s="7"/>
      <c r="M365" s="8"/>
      <c r="N365" s="7"/>
      <c r="O365" s="8"/>
      <c r="P365" s="7"/>
      <c r="Q365" s="7"/>
      <c r="R365" s="8"/>
      <c r="S365" s="7"/>
      <c r="T365" s="9"/>
      <c r="U365" s="7"/>
      <c r="V365" s="8"/>
      <c r="W365" s="7"/>
      <c r="X365" s="7"/>
      <c r="Y365" s="8"/>
      <c r="Z365" s="7"/>
      <c r="AA365" s="8"/>
    </row>
    <row r="366" spans="4:27" ht="14" thickTop="1" thickBot="1">
      <c r="D366" s="65"/>
      <c r="E366" s="52" t="s">
        <v>998</v>
      </c>
      <c r="F366" s="7"/>
      <c r="G366" s="8"/>
      <c r="H366" s="7"/>
      <c r="I366" s="6"/>
      <c r="J366" s="7"/>
      <c r="K366" s="8"/>
      <c r="L366" s="7"/>
      <c r="M366" s="8"/>
      <c r="N366" s="7"/>
      <c r="O366" s="8"/>
      <c r="P366" s="7"/>
      <c r="Q366" s="7"/>
      <c r="R366" s="8"/>
      <c r="S366" s="7"/>
      <c r="T366" s="9"/>
      <c r="U366" s="7"/>
      <c r="V366" s="8"/>
      <c r="W366" s="7"/>
      <c r="X366" s="7"/>
      <c r="Y366" s="8"/>
      <c r="Z366" s="7"/>
      <c r="AA366" s="8"/>
    </row>
    <row r="367" spans="4:27" ht="14" thickTop="1" thickBot="1">
      <c r="D367" s="65"/>
      <c r="E367" s="52" t="s">
        <v>743</v>
      </c>
      <c r="F367" s="7"/>
      <c r="G367" s="8"/>
      <c r="H367" s="7"/>
      <c r="I367" s="6"/>
      <c r="J367" s="7"/>
      <c r="K367" s="8"/>
      <c r="L367" s="7"/>
      <c r="M367" s="8"/>
      <c r="N367" s="7"/>
      <c r="O367" s="8"/>
      <c r="P367" s="7"/>
      <c r="Q367" s="7"/>
      <c r="R367" s="8"/>
      <c r="S367" s="7"/>
      <c r="T367" s="9"/>
      <c r="U367" s="7"/>
      <c r="V367" s="8"/>
      <c r="W367" s="7"/>
      <c r="X367" s="7"/>
      <c r="Y367" s="8"/>
      <c r="Z367" s="7"/>
      <c r="AA367" s="8"/>
    </row>
    <row r="368" spans="4:27" ht="14" thickTop="1" thickBot="1">
      <c r="D368" s="65"/>
      <c r="E368" s="52" t="s">
        <v>210</v>
      </c>
      <c r="F368" s="7"/>
      <c r="G368" s="8"/>
      <c r="H368" s="7"/>
      <c r="I368" s="6"/>
      <c r="J368" s="7"/>
      <c r="K368" s="8"/>
      <c r="L368" s="7"/>
      <c r="M368" s="8"/>
      <c r="N368" s="7"/>
      <c r="O368" s="8"/>
      <c r="P368" s="7"/>
      <c r="Q368" s="7"/>
      <c r="R368" s="8"/>
      <c r="S368" s="7"/>
      <c r="T368" s="9"/>
      <c r="U368" s="7"/>
      <c r="V368" s="8"/>
      <c r="W368" s="7"/>
      <c r="X368" s="7"/>
      <c r="Y368" s="8"/>
      <c r="Z368" s="7"/>
      <c r="AA368" s="8"/>
    </row>
    <row r="369" spans="4:27" ht="14" thickTop="1" thickBot="1">
      <c r="D369" s="65"/>
      <c r="E369" s="52" t="s">
        <v>287</v>
      </c>
      <c r="F369" s="7"/>
      <c r="G369" s="8"/>
      <c r="H369" s="7"/>
      <c r="I369" s="6"/>
      <c r="J369" s="7"/>
      <c r="K369" s="8"/>
      <c r="L369" s="7"/>
      <c r="M369" s="8"/>
      <c r="N369" s="7"/>
      <c r="O369" s="8"/>
      <c r="P369" s="7"/>
      <c r="Q369" s="7"/>
      <c r="R369" s="8"/>
      <c r="S369" s="7"/>
      <c r="T369" s="9"/>
      <c r="U369" s="7"/>
      <c r="V369" s="8"/>
      <c r="W369" s="7"/>
      <c r="X369" s="7"/>
      <c r="Y369" s="8"/>
      <c r="Z369" s="7"/>
      <c r="AA369" s="8"/>
    </row>
    <row r="370" spans="4:27" ht="14" thickTop="1" thickBot="1">
      <c r="D370" s="65"/>
      <c r="E370" s="52" t="s">
        <v>741</v>
      </c>
      <c r="F370" s="7"/>
      <c r="G370" s="8"/>
      <c r="H370" s="7"/>
      <c r="I370" s="6"/>
      <c r="J370" s="7"/>
      <c r="K370" s="8"/>
      <c r="L370" s="7"/>
      <c r="M370" s="8"/>
      <c r="N370" s="7"/>
      <c r="O370" s="8"/>
      <c r="P370" s="7"/>
      <c r="Q370" s="7"/>
      <c r="R370" s="8"/>
      <c r="S370" s="7"/>
      <c r="T370" s="9"/>
      <c r="U370" s="7"/>
      <c r="V370" s="8"/>
      <c r="W370" s="7"/>
      <c r="X370" s="7"/>
      <c r="Y370" s="8"/>
      <c r="Z370" s="7"/>
      <c r="AA370" s="8"/>
    </row>
    <row r="371" spans="4:27" ht="14" thickTop="1" thickBot="1">
      <c r="D371" s="65"/>
      <c r="E371" s="52" t="s">
        <v>211</v>
      </c>
      <c r="F371" s="7"/>
      <c r="G371" s="8"/>
      <c r="H371" s="7"/>
      <c r="I371" s="6"/>
      <c r="J371" s="7"/>
      <c r="K371" s="8"/>
      <c r="L371" s="7"/>
      <c r="M371" s="8"/>
      <c r="N371" s="7"/>
      <c r="O371" s="8"/>
      <c r="P371" s="7"/>
      <c r="Q371" s="7"/>
      <c r="R371" s="8"/>
      <c r="S371" s="7"/>
      <c r="T371" s="9"/>
      <c r="U371" s="7"/>
      <c r="V371" s="8"/>
      <c r="W371" s="7"/>
      <c r="X371" s="7"/>
      <c r="Y371" s="8"/>
      <c r="Z371" s="7"/>
      <c r="AA371" s="8"/>
    </row>
    <row r="372" spans="4:27" ht="14" thickTop="1" thickBot="1">
      <c r="D372" s="65"/>
      <c r="E372" s="52" t="s">
        <v>213</v>
      </c>
      <c r="F372" s="7"/>
      <c r="G372" s="8"/>
      <c r="H372" s="7"/>
      <c r="I372" s="6"/>
      <c r="J372" s="7"/>
      <c r="K372" s="8"/>
      <c r="L372" s="7"/>
      <c r="M372" s="8"/>
      <c r="N372" s="7"/>
      <c r="O372" s="8"/>
      <c r="P372" s="7"/>
      <c r="Q372" s="7"/>
      <c r="R372" s="8"/>
      <c r="S372" s="7"/>
      <c r="T372" s="9"/>
      <c r="U372" s="7"/>
      <c r="V372" s="8"/>
      <c r="W372" s="7"/>
      <c r="X372" s="7"/>
      <c r="Y372" s="8"/>
      <c r="Z372" s="7"/>
      <c r="AA372" s="8"/>
    </row>
    <row r="373" spans="4:27" ht="14" thickTop="1" thickBot="1">
      <c r="D373" s="65"/>
      <c r="E373" s="52" t="s">
        <v>730</v>
      </c>
      <c r="F373" s="7"/>
      <c r="G373" s="8"/>
      <c r="H373" s="7"/>
      <c r="I373" s="6"/>
      <c r="J373" s="7"/>
      <c r="K373" s="8"/>
      <c r="L373" s="7"/>
      <c r="M373" s="8"/>
      <c r="N373" s="7"/>
      <c r="O373" s="8"/>
      <c r="P373" s="7"/>
      <c r="Q373" s="7"/>
      <c r="R373" s="8"/>
      <c r="S373" s="7"/>
      <c r="T373" s="9"/>
      <c r="U373" s="7"/>
      <c r="V373" s="8"/>
      <c r="W373" s="7"/>
      <c r="X373" s="7"/>
      <c r="Y373" s="8"/>
      <c r="Z373" s="7"/>
      <c r="AA373" s="8"/>
    </row>
    <row r="374" spans="4:27" ht="14" thickTop="1" thickBot="1">
      <c r="D374" s="65"/>
      <c r="E374" s="52" t="s">
        <v>739</v>
      </c>
      <c r="F374" s="7"/>
      <c r="G374" s="8"/>
      <c r="H374" s="7"/>
      <c r="I374" s="6"/>
      <c r="J374" s="7"/>
      <c r="K374" s="8"/>
      <c r="L374" s="7"/>
      <c r="M374" s="8"/>
      <c r="N374" s="7"/>
      <c r="O374" s="8"/>
      <c r="P374" s="7"/>
      <c r="Q374" s="7"/>
      <c r="R374" s="8"/>
      <c r="S374" s="7"/>
      <c r="T374" s="9"/>
      <c r="U374" s="7"/>
      <c r="V374" s="8"/>
      <c r="W374" s="7"/>
      <c r="X374" s="7"/>
      <c r="Y374" s="8"/>
      <c r="Z374" s="7"/>
      <c r="AA374" s="8"/>
    </row>
    <row r="375" spans="4:27" ht="14" thickTop="1" thickBot="1">
      <c r="D375" s="65"/>
      <c r="E375" s="52" t="s">
        <v>295</v>
      </c>
      <c r="F375" s="7"/>
      <c r="G375" s="8"/>
      <c r="H375" s="7"/>
      <c r="I375" s="6"/>
      <c r="J375" s="7"/>
      <c r="K375" s="8"/>
      <c r="L375" s="7"/>
      <c r="M375" s="8"/>
      <c r="N375" s="7"/>
      <c r="O375" s="8"/>
      <c r="P375" s="7"/>
      <c r="Q375" s="7"/>
      <c r="R375" s="8"/>
      <c r="S375" s="7"/>
      <c r="T375" s="9"/>
      <c r="U375" s="7"/>
      <c r="V375" s="8"/>
      <c r="W375" s="7"/>
      <c r="X375" s="7"/>
      <c r="Y375" s="8"/>
      <c r="Z375" s="7"/>
      <c r="AA375" s="8"/>
    </row>
    <row r="376" spans="4:27" ht="14" thickTop="1" thickBot="1">
      <c r="D376" s="65"/>
      <c r="E376" s="52" t="s">
        <v>732</v>
      </c>
      <c r="F376" s="7"/>
      <c r="G376" s="8"/>
      <c r="H376" s="7"/>
      <c r="I376" s="6"/>
      <c r="J376" s="7"/>
      <c r="K376" s="8"/>
      <c r="L376" s="7"/>
      <c r="M376" s="8"/>
      <c r="N376" s="7"/>
      <c r="O376" s="8"/>
      <c r="P376" s="7"/>
      <c r="Q376" s="7"/>
      <c r="R376" s="8"/>
      <c r="S376" s="7"/>
      <c r="T376" s="9"/>
      <c r="U376" s="7"/>
      <c r="V376" s="8"/>
      <c r="W376" s="7"/>
      <c r="X376" s="7"/>
      <c r="Y376" s="8"/>
      <c r="Z376" s="7"/>
      <c r="AA376" s="8"/>
    </row>
    <row r="377" spans="4:27" ht="14" thickTop="1" thickBot="1">
      <c r="D377" s="65"/>
      <c r="E377" s="52" t="s">
        <v>999</v>
      </c>
      <c r="F377" s="7"/>
      <c r="G377" s="8"/>
      <c r="H377" s="7"/>
      <c r="I377" s="6"/>
      <c r="J377" s="7"/>
      <c r="K377" s="8"/>
      <c r="L377" s="7"/>
      <c r="M377" s="8"/>
      <c r="N377" s="7"/>
      <c r="O377" s="8"/>
      <c r="P377" s="7"/>
      <c r="Q377" s="7"/>
      <c r="R377" s="8"/>
      <c r="S377" s="7"/>
      <c r="T377" s="9"/>
      <c r="U377" s="7"/>
      <c r="V377" s="8"/>
      <c r="W377" s="7"/>
      <c r="X377" s="7"/>
      <c r="Y377" s="8"/>
      <c r="Z377" s="7"/>
      <c r="AA377" s="8"/>
    </row>
    <row r="378" spans="4:27" ht="14" thickTop="1" thickBot="1">
      <c r="D378" s="65"/>
      <c r="E378" s="52" t="s">
        <v>849</v>
      </c>
      <c r="F378" s="7"/>
      <c r="G378" s="8"/>
      <c r="H378" s="7"/>
      <c r="I378" s="6"/>
      <c r="J378" s="7"/>
      <c r="K378" s="8"/>
      <c r="L378" s="7"/>
      <c r="M378" s="8"/>
      <c r="N378" s="7"/>
      <c r="O378" s="8"/>
      <c r="P378" s="7"/>
      <c r="Q378" s="7"/>
      <c r="R378" s="8"/>
      <c r="S378" s="7"/>
      <c r="T378" s="9"/>
      <c r="U378" s="7"/>
      <c r="V378" s="8"/>
      <c r="W378" s="7"/>
      <c r="X378" s="7"/>
      <c r="Y378" s="8"/>
      <c r="Z378" s="7"/>
      <c r="AA378" s="8"/>
    </row>
    <row r="379" spans="4:27" ht="14" thickTop="1" thickBot="1">
      <c r="D379" s="65"/>
      <c r="E379" s="52" t="s">
        <v>850</v>
      </c>
      <c r="F379" s="7"/>
      <c r="G379" s="8"/>
      <c r="H379" s="7"/>
      <c r="I379" s="6"/>
      <c r="J379" s="7"/>
      <c r="K379" s="8"/>
      <c r="L379" s="7"/>
      <c r="M379" s="8"/>
      <c r="N379" s="7"/>
      <c r="O379" s="8"/>
      <c r="P379" s="7"/>
      <c r="Q379" s="7"/>
      <c r="R379" s="8"/>
      <c r="S379" s="7"/>
      <c r="T379" s="9"/>
      <c r="U379" s="7"/>
      <c r="V379" s="8"/>
      <c r="W379" s="7"/>
      <c r="X379" s="7"/>
      <c r="Y379" s="8"/>
      <c r="Z379" s="7"/>
      <c r="AA379" s="8"/>
    </row>
    <row r="380" spans="4:27" ht="14" thickTop="1" thickBot="1">
      <c r="D380" s="65"/>
      <c r="E380" s="52" t="s">
        <v>851</v>
      </c>
      <c r="F380" s="7"/>
      <c r="G380" s="8"/>
      <c r="H380" s="7"/>
      <c r="I380" s="6"/>
      <c r="J380" s="7"/>
      <c r="K380" s="8"/>
      <c r="L380" s="7"/>
      <c r="M380" s="8"/>
      <c r="N380" s="7"/>
      <c r="O380" s="8"/>
      <c r="P380" s="7"/>
      <c r="Q380" s="7"/>
      <c r="R380" s="8"/>
      <c r="S380" s="7"/>
      <c r="T380" s="9"/>
      <c r="U380" s="7"/>
      <c r="V380" s="8"/>
      <c r="W380" s="7"/>
      <c r="X380" s="7"/>
      <c r="Y380" s="8"/>
      <c r="Z380" s="7"/>
      <c r="AA380" s="8"/>
    </row>
    <row r="381" spans="4:27" ht="14" thickTop="1" thickBot="1">
      <c r="D381" s="65"/>
      <c r="E381" s="52" t="s">
        <v>852</v>
      </c>
      <c r="F381" s="7"/>
      <c r="G381" s="8"/>
      <c r="H381" s="7"/>
      <c r="I381" s="6"/>
      <c r="J381" s="7"/>
      <c r="K381" s="8"/>
      <c r="L381" s="7"/>
      <c r="M381" s="8"/>
      <c r="N381" s="7"/>
      <c r="O381" s="8"/>
      <c r="P381" s="7"/>
      <c r="Q381" s="7"/>
      <c r="R381" s="8"/>
      <c r="S381" s="7"/>
      <c r="T381" s="9"/>
      <c r="U381" s="7"/>
      <c r="V381" s="8"/>
      <c r="W381" s="7"/>
      <c r="X381" s="7"/>
      <c r="Y381" s="8"/>
      <c r="Z381" s="7"/>
      <c r="AA381" s="8"/>
    </row>
    <row r="382" spans="4:27" ht="14" thickTop="1" thickBot="1">
      <c r="D382" s="65"/>
      <c r="E382" s="52" t="s">
        <v>853</v>
      </c>
      <c r="F382" s="7"/>
      <c r="G382" s="8"/>
      <c r="H382" s="7"/>
      <c r="I382" s="6"/>
      <c r="J382" s="7"/>
      <c r="K382" s="8"/>
      <c r="L382" s="7"/>
      <c r="M382" s="8"/>
      <c r="N382" s="7"/>
      <c r="O382" s="8"/>
      <c r="P382" s="7"/>
      <c r="Q382" s="7"/>
      <c r="R382" s="8"/>
      <c r="S382" s="7"/>
      <c r="T382" s="9"/>
      <c r="U382" s="7"/>
      <c r="V382" s="8"/>
      <c r="W382" s="7"/>
      <c r="X382" s="7"/>
      <c r="Y382" s="8"/>
      <c r="Z382" s="7"/>
      <c r="AA382" s="8"/>
    </row>
    <row r="383" spans="4:27" ht="14" thickTop="1" thickBot="1">
      <c r="D383" s="65"/>
      <c r="E383" s="52" t="s">
        <v>854</v>
      </c>
      <c r="F383" s="7"/>
      <c r="G383" s="8"/>
      <c r="H383" s="7"/>
      <c r="I383" s="6"/>
      <c r="J383" s="7"/>
      <c r="K383" s="8"/>
      <c r="L383" s="7"/>
      <c r="M383" s="8"/>
      <c r="N383" s="7"/>
      <c r="O383" s="8"/>
      <c r="P383" s="7"/>
      <c r="Q383" s="7"/>
      <c r="R383" s="8"/>
      <c r="S383" s="7"/>
      <c r="T383" s="9"/>
      <c r="U383" s="7"/>
      <c r="V383" s="8"/>
      <c r="W383" s="7"/>
      <c r="X383" s="7"/>
      <c r="Y383" s="8"/>
      <c r="Z383" s="7"/>
      <c r="AA383" s="8"/>
    </row>
    <row r="384" spans="4:27" ht="14" thickTop="1" thickBot="1">
      <c r="D384" s="65"/>
      <c r="E384" s="52" t="s">
        <v>748</v>
      </c>
      <c r="F384" s="7"/>
      <c r="G384" s="8"/>
      <c r="H384" s="7"/>
      <c r="I384" s="6"/>
      <c r="J384" s="7"/>
      <c r="K384" s="8"/>
      <c r="L384" s="7"/>
      <c r="M384" s="8"/>
      <c r="N384" s="7"/>
      <c r="O384" s="8"/>
      <c r="P384" s="7"/>
      <c r="Q384" s="7"/>
      <c r="R384" s="8"/>
      <c r="S384" s="7"/>
      <c r="T384" s="9"/>
      <c r="U384" s="7"/>
      <c r="V384" s="8"/>
      <c r="W384" s="7"/>
      <c r="X384" s="7"/>
      <c r="Y384" s="8"/>
      <c r="Z384" s="7"/>
      <c r="AA384" s="8"/>
    </row>
    <row r="385" spans="4:27" ht="14" thickTop="1" thickBot="1">
      <c r="D385" s="65"/>
      <c r="E385" s="52" t="s">
        <v>745</v>
      </c>
      <c r="F385" s="7"/>
      <c r="G385" s="8"/>
      <c r="H385" s="7"/>
      <c r="I385" s="6"/>
      <c r="J385" s="7"/>
      <c r="K385" s="8"/>
      <c r="L385" s="7"/>
      <c r="M385" s="8"/>
      <c r="N385" s="7"/>
      <c r="O385" s="8"/>
      <c r="P385" s="7"/>
      <c r="Q385" s="7"/>
      <c r="R385" s="8"/>
      <c r="S385" s="7"/>
      <c r="T385" s="9"/>
      <c r="U385" s="7"/>
      <c r="V385" s="8"/>
      <c r="W385" s="7"/>
      <c r="X385" s="7"/>
      <c r="Y385" s="8"/>
      <c r="Z385" s="7"/>
      <c r="AA385" s="8"/>
    </row>
    <row r="386" spans="4:27" ht="14" thickTop="1" thickBot="1">
      <c r="D386" s="65"/>
      <c r="E386" s="52" t="s">
        <v>559</v>
      </c>
      <c r="F386" s="7"/>
      <c r="G386" s="8"/>
      <c r="H386" s="7"/>
      <c r="I386" s="6"/>
      <c r="J386" s="7"/>
      <c r="K386" s="8"/>
      <c r="L386" s="7"/>
      <c r="M386" s="8"/>
      <c r="N386" s="7"/>
      <c r="O386" s="8"/>
      <c r="P386" s="7"/>
      <c r="Q386" s="7"/>
      <c r="R386" s="8"/>
      <c r="S386" s="7"/>
      <c r="T386" s="9"/>
      <c r="U386" s="7"/>
      <c r="V386" s="8"/>
      <c r="W386" s="7"/>
      <c r="X386" s="7"/>
      <c r="Y386" s="8"/>
      <c r="Z386" s="7"/>
      <c r="AA386" s="8"/>
    </row>
    <row r="387" spans="4:27" ht="14" thickTop="1" thickBot="1">
      <c r="D387" s="65"/>
      <c r="E387" s="52" t="s">
        <v>720</v>
      </c>
      <c r="F387" s="7"/>
      <c r="G387" s="8"/>
      <c r="H387" s="7"/>
      <c r="I387" s="6"/>
      <c r="J387" s="7"/>
      <c r="K387" s="8"/>
      <c r="L387" s="7"/>
      <c r="M387" s="8"/>
      <c r="N387" s="7"/>
      <c r="O387" s="8"/>
      <c r="P387" s="7"/>
      <c r="Q387" s="7"/>
      <c r="R387" s="8"/>
      <c r="S387" s="7"/>
      <c r="T387" s="9"/>
      <c r="U387" s="7"/>
      <c r="V387" s="8"/>
      <c r="W387" s="7"/>
      <c r="X387" s="7"/>
      <c r="Y387" s="8"/>
      <c r="Z387" s="7"/>
      <c r="AA387" s="8"/>
    </row>
    <row r="388" spans="4:27" ht="14" thickTop="1" thickBot="1">
      <c r="D388" s="65"/>
      <c r="E388" s="52" t="s">
        <v>718</v>
      </c>
      <c r="F388" s="7"/>
      <c r="G388" s="8"/>
      <c r="H388" s="7"/>
      <c r="I388" s="6"/>
      <c r="J388" s="7"/>
      <c r="K388" s="8"/>
      <c r="L388" s="7"/>
      <c r="M388" s="8"/>
      <c r="N388" s="7"/>
      <c r="O388" s="8"/>
      <c r="P388" s="7"/>
      <c r="Q388" s="7"/>
      <c r="R388" s="8"/>
      <c r="S388" s="7"/>
      <c r="T388" s="9"/>
      <c r="U388" s="7"/>
      <c r="V388" s="8"/>
      <c r="W388" s="7"/>
      <c r="X388" s="7"/>
      <c r="Y388" s="8"/>
      <c r="Z388" s="7"/>
      <c r="AA388" s="8"/>
    </row>
    <row r="389" spans="4:27" ht="14" thickTop="1" thickBot="1">
      <c r="D389" s="65"/>
      <c r="E389" s="52" t="s">
        <v>716</v>
      </c>
      <c r="F389" s="7"/>
      <c r="G389" s="8"/>
      <c r="H389" s="7"/>
      <c r="I389" s="6"/>
      <c r="J389" s="7"/>
      <c r="K389" s="8"/>
      <c r="L389" s="7"/>
      <c r="M389" s="8"/>
      <c r="N389" s="7"/>
      <c r="O389" s="8"/>
      <c r="P389" s="7"/>
      <c r="Q389" s="7"/>
      <c r="R389" s="8"/>
      <c r="S389" s="7"/>
      <c r="T389" s="9"/>
      <c r="U389" s="7"/>
      <c r="V389" s="8"/>
      <c r="W389" s="7"/>
      <c r="X389" s="7"/>
      <c r="Y389" s="8"/>
      <c r="Z389" s="7"/>
      <c r="AA389" s="8"/>
    </row>
    <row r="390" spans="4:27" ht="14" thickTop="1" thickBot="1">
      <c r="D390" s="65"/>
      <c r="E390" s="52" t="s">
        <v>717</v>
      </c>
      <c r="F390" s="7"/>
      <c r="G390" s="8"/>
      <c r="H390" s="7"/>
      <c r="I390" s="6"/>
      <c r="J390" s="7"/>
      <c r="K390" s="8"/>
      <c r="L390" s="7"/>
      <c r="M390" s="8"/>
      <c r="N390" s="7"/>
      <c r="O390" s="8"/>
      <c r="P390" s="7"/>
      <c r="Q390" s="7"/>
      <c r="R390" s="8"/>
      <c r="S390" s="7"/>
      <c r="T390" s="9"/>
      <c r="U390" s="7"/>
      <c r="V390" s="8"/>
      <c r="W390" s="7"/>
      <c r="X390" s="7"/>
      <c r="Y390" s="8"/>
      <c r="Z390" s="7"/>
      <c r="AA390" s="8"/>
    </row>
    <row r="391" spans="4:27" ht="14" thickTop="1" thickBot="1">
      <c r="D391" s="65"/>
      <c r="E391" s="52" t="s">
        <v>1000</v>
      </c>
      <c r="F391" s="7"/>
      <c r="G391" s="8"/>
      <c r="H391" s="7"/>
      <c r="I391" s="6"/>
      <c r="J391" s="7"/>
      <c r="K391" s="8"/>
      <c r="L391" s="7"/>
      <c r="M391" s="8"/>
      <c r="N391" s="7"/>
      <c r="O391" s="8"/>
      <c r="P391" s="7"/>
      <c r="Q391" s="7"/>
      <c r="R391" s="8"/>
      <c r="S391" s="7"/>
      <c r="T391" s="9"/>
      <c r="U391" s="7"/>
      <c r="V391" s="8"/>
      <c r="W391" s="7"/>
      <c r="X391" s="7"/>
      <c r="Y391" s="8"/>
      <c r="Z391" s="7"/>
      <c r="AA391" s="8"/>
    </row>
    <row r="392" spans="4:27" ht="14" thickTop="1" thickBot="1">
      <c r="D392" s="65"/>
      <c r="E392" s="52" t="s">
        <v>779</v>
      </c>
      <c r="F392" s="7"/>
      <c r="G392" s="8"/>
      <c r="H392" s="7"/>
      <c r="I392" s="6"/>
      <c r="J392" s="7"/>
      <c r="K392" s="8"/>
      <c r="L392" s="7"/>
      <c r="M392" s="8"/>
      <c r="N392" s="7"/>
      <c r="O392" s="8"/>
      <c r="P392" s="7"/>
      <c r="Q392" s="7"/>
      <c r="R392" s="8"/>
      <c r="S392" s="7"/>
      <c r="T392" s="9"/>
      <c r="U392" s="7"/>
      <c r="V392" s="8"/>
      <c r="W392" s="7"/>
      <c r="X392" s="7"/>
      <c r="Y392" s="8"/>
      <c r="Z392" s="7"/>
      <c r="AA392" s="8"/>
    </row>
    <row r="393" spans="4:27" ht="14" thickTop="1" thickBot="1">
      <c r="D393" s="65"/>
      <c r="E393" s="52" t="s">
        <v>777</v>
      </c>
      <c r="F393" s="7"/>
      <c r="G393" s="8"/>
      <c r="H393" s="7"/>
      <c r="I393" s="6"/>
      <c r="J393" s="7"/>
      <c r="K393" s="8"/>
      <c r="L393" s="7"/>
      <c r="M393" s="8"/>
      <c r="N393" s="7"/>
      <c r="O393" s="8"/>
      <c r="P393" s="7"/>
      <c r="Q393" s="7"/>
      <c r="R393" s="8"/>
      <c r="S393" s="7"/>
      <c r="T393" s="9"/>
      <c r="U393" s="7"/>
      <c r="V393" s="8"/>
      <c r="W393" s="7"/>
      <c r="X393" s="7"/>
      <c r="Y393" s="8"/>
      <c r="Z393" s="7"/>
      <c r="AA393" s="8"/>
    </row>
    <row r="394" spans="4:27" ht="14" thickTop="1" thickBot="1">
      <c r="D394" s="65"/>
      <c r="E394" s="52" t="s">
        <v>778</v>
      </c>
      <c r="F394" s="7"/>
      <c r="G394" s="8"/>
      <c r="H394" s="7"/>
      <c r="I394" s="6"/>
      <c r="J394" s="7"/>
      <c r="K394" s="8"/>
      <c r="L394" s="7"/>
      <c r="M394" s="8"/>
      <c r="N394" s="7"/>
      <c r="O394" s="8"/>
      <c r="P394" s="7"/>
      <c r="Q394" s="7"/>
      <c r="R394" s="8"/>
      <c r="S394" s="7"/>
      <c r="T394" s="9"/>
      <c r="U394" s="7"/>
      <c r="V394" s="8"/>
      <c r="W394" s="7"/>
      <c r="X394" s="7"/>
      <c r="Y394" s="8"/>
      <c r="Z394" s="7"/>
      <c r="AA394" s="8"/>
    </row>
    <row r="395" spans="4:27" ht="14" thickTop="1" thickBot="1">
      <c r="D395" s="65"/>
      <c r="E395" s="52" t="s">
        <v>161</v>
      </c>
      <c r="F395" s="7"/>
      <c r="G395" s="8"/>
      <c r="H395" s="7"/>
      <c r="I395" s="6"/>
      <c r="J395" s="7"/>
      <c r="K395" s="8"/>
      <c r="L395" s="7"/>
      <c r="M395" s="8"/>
      <c r="N395" s="7"/>
      <c r="O395" s="8"/>
      <c r="P395" s="7"/>
      <c r="Q395" s="7"/>
      <c r="R395" s="8"/>
      <c r="S395" s="7"/>
      <c r="T395" s="9"/>
      <c r="U395" s="7"/>
      <c r="V395" s="8"/>
      <c r="W395" s="7"/>
      <c r="X395" s="7"/>
      <c r="Y395" s="8"/>
      <c r="Z395" s="7"/>
      <c r="AA395" s="8"/>
    </row>
    <row r="396" spans="4:27" ht="14" thickTop="1" thickBot="1">
      <c r="D396" s="65"/>
      <c r="E396" s="52" t="s">
        <v>233</v>
      </c>
      <c r="F396" s="7"/>
      <c r="G396" s="8"/>
      <c r="H396" s="7"/>
      <c r="I396" s="6"/>
      <c r="J396" s="7"/>
      <c r="K396" s="8"/>
      <c r="L396" s="7"/>
      <c r="M396" s="8"/>
      <c r="N396" s="7"/>
      <c r="O396" s="8"/>
      <c r="P396" s="7"/>
      <c r="Q396" s="7"/>
      <c r="R396" s="8"/>
      <c r="S396" s="7"/>
      <c r="T396" s="9"/>
      <c r="U396" s="7"/>
      <c r="V396" s="8"/>
      <c r="W396" s="7"/>
      <c r="X396" s="7"/>
      <c r="Y396" s="8"/>
      <c r="Z396" s="7"/>
      <c r="AA396" s="8"/>
    </row>
    <row r="397" spans="4:27" ht="14" thickTop="1" thickBot="1">
      <c r="D397" s="65"/>
      <c r="E397" s="52" t="s">
        <v>162</v>
      </c>
      <c r="F397" s="7"/>
      <c r="G397" s="8"/>
      <c r="H397" s="7"/>
      <c r="I397" s="6"/>
      <c r="J397" s="7"/>
      <c r="K397" s="8"/>
      <c r="L397" s="7"/>
      <c r="M397" s="8"/>
      <c r="N397" s="7"/>
      <c r="O397" s="8"/>
      <c r="P397" s="7"/>
      <c r="Q397" s="7"/>
      <c r="R397" s="8"/>
      <c r="S397" s="7"/>
      <c r="T397" s="9"/>
      <c r="U397" s="7"/>
      <c r="V397" s="8"/>
      <c r="W397" s="7"/>
      <c r="X397" s="7"/>
      <c r="Y397" s="8"/>
      <c r="Z397" s="7"/>
      <c r="AA397" s="8"/>
    </row>
    <row r="398" spans="4:27" ht="14" thickTop="1" thickBot="1">
      <c r="D398" s="65"/>
      <c r="E398" s="52" t="s">
        <v>163</v>
      </c>
      <c r="F398" s="7"/>
      <c r="G398" s="8"/>
      <c r="H398" s="7"/>
      <c r="I398" s="6"/>
      <c r="J398" s="7"/>
      <c r="K398" s="8"/>
      <c r="L398" s="7"/>
      <c r="M398" s="8"/>
      <c r="N398" s="7"/>
      <c r="O398" s="8"/>
      <c r="P398" s="7"/>
      <c r="Q398" s="7"/>
      <c r="R398" s="8"/>
      <c r="S398" s="7"/>
      <c r="T398" s="9"/>
      <c r="U398" s="7"/>
      <c r="V398" s="8"/>
      <c r="W398" s="7"/>
      <c r="X398" s="7"/>
      <c r="Y398" s="8"/>
      <c r="Z398" s="7"/>
      <c r="AA398" s="8"/>
    </row>
    <row r="399" spans="4:27" ht="14" thickTop="1" thickBot="1">
      <c r="D399" s="65"/>
      <c r="E399" s="52" t="s">
        <v>164</v>
      </c>
      <c r="F399" s="7"/>
      <c r="G399" s="8"/>
      <c r="H399" s="7"/>
      <c r="I399" s="6"/>
      <c r="J399" s="7"/>
      <c r="K399" s="8"/>
      <c r="L399" s="7"/>
      <c r="M399" s="8"/>
      <c r="N399" s="7"/>
      <c r="O399" s="8"/>
      <c r="P399" s="7"/>
      <c r="Q399" s="7"/>
      <c r="R399" s="8"/>
      <c r="S399" s="7"/>
      <c r="T399" s="9"/>
      <c r="U399" s="7"/>
      <c r="V399" s="8"/>
      <c r="W399" s="7"/>
      <c r="X399" s="7"/>
      <c r="Y399" s="8"/>
      <c r="Z399" s="7"/>
      <c r="AA399" s="8"/>
    </row>
    <row r="400" spans="4:27" ht="14" thickTop="1" thickBot="1">
      <c r="D400" s="65"/>
      <c r="E400" s="52" t="s">
        <v>165</v>
      </c>
      <c r="F400" s="7"/>
      <c r="G400" s="8"/>
      <c r="H400" s="7"/>
      <c r="I400" s="6"/>
      <c r="J400" s="7"/>
      <c r="K400" s="8"/>
      <c r="L400" s="7"/>
      <c r="M400" s="8"/>
      <c r="N400" s="7"/>
      <c r="O400" s="8"/>
      <c r="P400" s="7"/>
      <c r="Q400" s="7"/>
      <c r="R400" s="8"/>
      <c r="S400" s="7"/>
      <c r="T400" s="9"/>
      <c r="U400" s="7"/>
      <c r="V400" s="8"/>
      <c r="W400" s="7"/>
      <c r="X400" s="7"/>
      <c r="Y400" s="8"/>
      <c r="Z400" s="7"/>
      <c r="AA400" s="8"/>
    </row>
    <row r="401" spans="4:27" ht="14" thickTop="1" thickBot="1">
      <c r="D401" s="65"/>
      <c r="E401" s="52" t="s">
        <v>166</v>
      </c>
      <c r="F401" s="7"/>
      <c r="G401" s="8"/>
      <c r="H401" s="7"/>
      <c r="I401" s="6"/>
      <c r="J401" s="7"/>
      <c r="K401" s="8"/>
      <c r="L401" s="7"/>
      <c r="M401" s="8"/>
      <c r="N401" s="7"/>
      <c r="O401" s="8"/>
      <c r="P401" s="7"/>
      <c r="Q401" s="7"/>
      <c r="R401" s="8"/>
      <c r="S401" s="7"/>
      <c r="T401" s="9"/>
      <c r="U401" s="7"/>
      <c r="V401" s="8"/>
      <c r="W401" s="7"/>
      <c r="X401" s="7"/>
      <c r="Y401" s="8"/>
      <c r="Z401" s="7"/>
      <c r="AA401" s="8"/>
    </row>
    <row r="402" spans="4:27" ht="14" thickTop="1" thickBot="1">
      <c r="D402" s="65"/>
      <c r="E402" s="52" t="s">
        <v>263</v>
      </c>
      <c r="F402" s="7"/>
      <c r="G402" s="8"/>
      <c r="H402" s="7"/>
      <c r="I402" s="6"/>
      <c r="J402" s="7"/>
      <c r="K402" s="8"/>
      <c r="L402" s="7"/>
      <c r="M402" s="8"/>
      <c r="N402" s="7"/>
      <c r="O402" s="8"/>
      <c r="P402" s="7"/>
      <c r="Q402" s="7"/>
      <c r="R402" s="8"/>
      <c r="S402" s="7"/>
      <c r="T402" s="9"/>
      <c r="U402" s="7"/>
      <c r="V402" s="8"/>
      <c r="W402" s="7"/>
      <c r="X402" s="7"/>
      <c r="Y402" s="8"/>
      <c r="Z402" s="7"/>
      <c r="AA402" s="8"/>
    </row>
    <row r="403" spans="4:27" ht="14" thickTop="1" thickBot="1">
      <c r="D403" s="65"/>
      <c r="E403" s="52" t="s">
        <v>264</v>
      </c>
      <c r="F403" s="7"/>
      <c r="G403" s="8"/>
      <c r="H403" s="7"/>
      <c r="I403" s="6"/>
      <c r="J403" s="7"/>
      <c r="K403" s="8"/>
      <c r="L403" s="7"/>
      <c r="M403" s="8"/>
      <c r="N403" s="7"/>
      <c r="O403" s="8"/>
      <c r="P403" s="7"/>
      <c r="Q403" s="7"/>
      <c r="R403" s="8"/>
      <c r="S403" s="7"/>
      <c r="T403" s="9"/>
      <c r="U403" s="7"/>
      <c r="V403" s="8"/>
      <c r="W403" s="7"/>
      <c r="X403" s="7"/>
      <c r="Y403" s="8"/>
      <c r="Z403" s="7"/>
      <c r="AA403" s="8"/>
    </row>
    <row r="404" spans="4:27" ht="14" thickTop="1" thickBot="1">
      <c r="D404" s="65"/>
      <c r="E404" s="52" t="s">
        <v>234</v>
      </c>
      <c r="F404" s="7"/>
      <c r="G404" s="8"/>
      <c r="H404" s="7"/>
      <c r="I404" s="6"/>
      <c r="J404" s="7"/>
      <c r="K404" s="8"/>
      <c r="L404" s="7"/>
      <c r="M404" s="8"/>
      <c r="N404" s="7"/>
      <c r="O404" s="8"/>
      <c r="P404" s="7"/>
      <c r="Q404" s="7"/>
      <c r="R404" s="8"/>
      <c r="S404" s="7"/>
      <c r="T404" s="9"/>
      <c r="U404" s="7"/>
      <c r="V404" s="8"/>
      <c r="W404" s="7"/>
      <c r="X404" s="7"/>
      <c r="Y404" s="8"/>
      <c r="Z404" s="7"/>
      <c r="AA404" s="8"/>
    </row>
    <row r="405" spans="4:27" ht="14" thickTop="1" thickBot="1">
      <c r="D405" s="65"/>
      <c r="E405" s="52" t="s">
        <v>167</v>
      </c>
      <c r="F405" s="7"/>
      <c r="G405" s="8"/>
      <c r="H405" s="7"/>
      <c r="I405" s="6"/>
      <c r="J405" s="7"/>
      <c r="K405" s="8"/>
      <c r="L405" s="7"/>
      <c r="M405" s="8"/>
      <c r="N405" s="7"/>
      <c r="O405" s="8"/>
      <c r="P405" s="7"/>
      <c r="Q405" s="7"/>
      <c r="R405" s="8"/>
      <c r="S405" s="7"/>
      <c r="T405" s="9"/>
      <c r="U405" s="7"/>
      <c r="V405" s="8"/>
      <c r="W405" s="7"/>
      <c r="X405" s="7"/>
      <c r="Y405" s="8"/>
      <c r="Z405" s="7"/>
      <c r="AA405" s="8"/>
    </row>
    <row r="406" spans="4:27" ht="14" thickTop="1" thickBot="1">
      <c r="D406" s="65"/>
      <c r="E406" s="52" t="s">
        <v>235</v>
      </c>
      <c r="F406" s="7"/>
      <c r="G406" s="8"/>
      <c r="H406" s="7"/>
      <c r="I406" s="6"/>
      <c r="J406" s="7"/>
      <c r="K406" s="8"/>
      <c r="L406" s="7"/>
      <c r="M406" s="8"/>
      <c r="N406" s="7"/>
      <c r="O406" s="8"/>
      <c r="P406" s="7"/>
      <c r="Q406" s="7"/>
      <c r="R406" s="8"/>
      <c r="S406" s="7"/>
      <c r="T406" s="9"/>
      <c r="U406" s="7"/>
      <c r="V406" s="8"/>
      <c r="W406" s="7"/>
      <c r="X406" s="7"/>
      <c r="Y406" s="8"/>
      <c r="Z406" s="7"/>
      <c r="AA406" s="8"/>
    </row>
    <row r="407" spans="4:27" ht="14" thickTop="1" thickBot="1">
      <c r="D407" s="65"/>
      <c r="E407" s="52" t="s">
        <v>168</v>
      </c>
      <c r="F407" s="7"/>
      <c r="G407" s="8"/>
      <c r="H407" s="7"/>
      <c r="I407" s="6"/>
      <c r="J407" s="7"/>
      <c r="K407" s="8"/>
      <c r="L407" s="7"/>
      <c r="M407" s="8"/>
      <c r="N407" s="7"/>
      <c r="O407" s="8"/>
      <c r="P407" s="7"/>
      <c r="Q407" s="7"/>
      <c r="R407" s="8"/>
      <c r="S407" s="7"/>
      <c r="T407" s="9"/>
      <c r="U407" s="7"/>
      <c r="V407" s="8"/>
      <c r="W407" s="7"/>
      <c r="X407" s="7"/>
      <c r="Y407" s="8"/>
      <c r="Z407" s="7"/>
      <c r="AA407" s="8"/>
    </row>
    <row r="408" spans="4:27" ht="14" thickTop="1" thickBot="1">
      <c r="D408" s="65"/>
      <c r="E408" s="52" t="s">
        <v>265</v>
      </c>
      <c r="F408" s="7"/>
      <c r="G408" s="8"/>
      <c r="H408" s="7"/>
      <c r="I408" s="6"/>
      <c r="J408" s="7"/>
      <c r="K408" s="8"/>
      <c r="L408" s="7"/>
      <c r="M408" s="8"/>
      <c r="N408" s="7"/>
      <c r="O408" s="8"/>
      <c r="P408" s="7"/>
      <c r="Q408" s="7"/>
      <c r="R408" s="8"/>
      <c r="S408" s="7"/>
      <c r="T408" s="9"/>
      <c r="U408" s="7"/>
      <c r="V408" s="8"/>
      <c r="W408" s="7"/>
      <c r="X408" s="7"/>
      <c r="Y408" s="8"/>
      <c r="Z408" s="7"/>
      <c r="AA408" s="8"/>
    </row>
    <row r="409" spans="4:27" ht="14" thickTop="1" thickBot="1">
      <c r="D409" s="65"/>
      <c r="E409" s="52" t="s">
        <v>169</v>
      </c>
      <c r="F409" s="7"/>
      <c r="G409" s="8"/>
      <c r="H409" s="7"/>
      <c r="I409" s="6"/>
      <c r="J409" s="7"/>
      <c r="K409" s="8"/>
      <c r="L409" s="7"/>
      <c r="M409" s="8"/>
      <c r="N409" s="7"/>
      <c r="O409" s="8"/>
      <c r="P409" s="7"/>
      <c r="Q409" s="7"/>
      <c r="R409" s="8"/>
      <c r="S409" s="7"/>
      <c r="T409" s="9"/>
      <c r="U409" s="7"/>
      <c r="V409" s="8"/>
      <c r="W409" s="7"/>
      <c r="X409" s="7"/>
      <c r="Y409" s="8"/>
      <c r="Z409" s="7"/>
      <c r="AA409" s="8"/>
    </row>
    <row r="410" spans="4:27" ht="14" thickTop="1" thickBot="1">
      <c r="D410" s="65"/>
      <c r="E410" s="52" t="s">
        <v>863</v>
      </c>
      <c r="F410" s="7"/>
      <c r="G410" s="8"/>
      <c r="H410" s="7"/>
      <c r="I410" s="6"/>
      <c r="J410" s="7"/>
      <c r="K410" s="8"/>
      <c r="L410" s="7"/>
      <c r="M410" s="8"/>
      <c r="N410" s="7"/>
      <c r="O410" s="8"/>
      <c r="P410" s="7"/>
      <c r="Q410" s="7"/>
      <c r="R410" s="8"/>
      <c r="S410" s="7"/>
      <c r="T410" s="9"/>
      <c r="U410" s="7"/>
      <c r="V410" s="8"/>
      <c r="W410" s="7"/>
      <c r="X410" s="7"/>
      <c r="Y410" s="8"/>
      <c r="Z410" s="7"/>
      <c r="AA410" s="8"/>
    </row>
    <row r="411" spans="4:27" ht="14" thickTop="1" thickBot="1">
      <c r="D411" s="65"/>
      <c r="E411" s="52" t="s">
        <v>170</v>
      </c>
      <c r="F411" s="7"/>
      <c r="G411" s="8"/>
      <c r="H411" s="7"/>
      <c r="I411" s="6"/>
      <c r="J411" s="7"/>
      <c r="K411" s="8"/>
      <c r="L411" s="7"/>
      <c r="M411" s="8"/>
      <c r="N411" s="7"/>
      <c r="O411" s="8"/>
      <c r="P411" s="7"/>
      <c r="Q411" s="7"/>
      <c r="R411" s="8"/>
      <c r="S411" s="7"/>
      <c r="T411" s="9"/>
      <c r="U411" s="7"/>
      <c r="V411" s="8"/>
      <c r="W411" s="7"/>
      <c r="X411" s="7"/>
      <c r="Y411" s="8"/>
      <c r="Z411" s="7"/>
      <c r="AA411" s="8"/>
    </row>
    <row r="412" spans="4:27" ht="14" thickTop="1" thickBot="1">
      <c r="D412" s="65"/>
      <c r="E412" s="52" t="s">
        <v>267</v>
      </c>
      <c r="F412" s="7"/>
      <c r="G412" s="8"/>
      <c r="H412" s="7"/>
      <c r="I412" s="6"/>
      <c r="J412" s="7"/>
      <c r="K412" s="8"/>
      <c r="L412" s="7"/>
      <c r="M412" s="8"/>
      <c r="N412" s="7"/>
      <c r="O412" s="8"/>
      <c r="P412" s="7"/>
      <c r="Q412" s="7"/>
      <c r="R412" s="8"/>
      <c r="S412" s="7"/>
      <c r="T412" s="9"/>
      <c r="U412" s="7"/>
      <c r="V412" s="8"/>
      <c r="W412" s="7"/>
      <c r="X412" s="7"/>
      <c r="Y412" s="8"/>
      <c r="Z412" s="7"/>
      <c r="AA412" s="8"/>
    </row>
    <row r="413" spans="4:27" ht="14" thickTop="1" thickBot="1">
      <c r="D413" s="65"/>
      <c r="E413" s="52" t="s">
        <v>171</v>
      </c>
      <c r="F413" s="7"/>
      <c r="G413" s="8"/>
      <c r="H413" s="7"/>
      <c r="I413" s="6"/>
      <c r="J413" s="7"/>
      <c r="K413" s="8"/>
      <c r="L413" s="7"/>
      <c r="M413" s="8"/>
      <c r="N413" s="7"/>
      <c r="O413" s="8"/>
      <c r="P413" s="7"/>
      <c r="Q413" s="7"/>
      <c r="R413" s="8"/>
      <c r="S413" s="7"/>
      <c r="T413" s="9"/>
      <c r="U413" s="7"/>
      <c r="V413" s="8"/>
      <c r="W413" s="7"/>
      <c r="X413" s="7"/>
      <c r="Y413" s="8"/>
      <c r="Z413" s="7"/>
      <c r="AA413" s="8"/>
    </row>
    <row r="414" spans="4:27" ht="14" thickTop="1" thickBot="1">
      <c r="D414" s="65"/>
      <c r="E414" s="52" t="s">
        <v>172</v>
      </c>
      <c r="F414" s="7"/>
      <c r="G414" s="8"/>
      <c r="H414" s="7"/>
      <c r="I414" s="6"/>
      <c r="J414" s="7"/>
      <c r="K414" s="8"/>
      <c r="L414" s="7"/>
      <c r="M414" s="8"/>
      <c r="N414" s="7"/>
      <c r="O414" s="8"/>
      <c r="P414" s="7"/>
      <c r="Q414" s="7"/>
      <c r="R414" s="8"/>
      <c r="S414" s="7"/>
      <c r="T414" s="9"/>
      <c r="U414" s="7"/>
      <c r="V414" s="8"/>
      <c r="W414" s="7"/>
      <c r="X414" s="7"/>
      <c r="Y414" s="8"/>
      <c r="Z414" s="7"/>
      <c r="AA414" s="8"/>
    </row>
    <row r="415" spans="4:27" ht="14" thickTop="1" thickBot="1">
      <c r="D415" s="65"/>
      <c r="E415" s="52" t="s">
        <v>772</v>
      </c>
      <c r="F415" s="7"/>
      <c r="G415" s="8"/>
      <c r="H415" s="7"/>
      <c r="I415" s="6"/>
      <c r="J415" s="7"/>
      <c r="K415" s="8"/>
      <c r="L415" s="7"/>
      <c r="M415" s="8"/>
      <c r="N415" s="7"/>
      <c r="O415" s="8"/>
      <c r="P415" s="7"/>
      <c r="Q415" s="7"/>
      <c r="R415" s="8"/>
      <c r="S415" s="7"/>
      <c r="T415" s="9"/>
      <c r="U415" s="7"/>
      <c r="V415" s="8"/>
      <c r="W415" s="7"/>
      <c r="X415" s="7"/>
      <c r="Y415" s="8"/>
      <c r="Z415" s="7"/>
      <c r="AA415" s="8"/>
    </row>
    <row r="416" spans="4:27" ht="14" thickTop="1" thickBot="1">
      <c r="D416" s="65"/>
      <c r="E416" s="52" t="s">
        <v>706</v>
      </c>
      <c r="F416" s="7"/>
      <c r="G416" s="8"/>
      <c r="H416" s="7"/>
      <c r="I416" s="6"/>
      <c r="J416" s="7"/>
      <c r="K416" s="8"/>
      <c r="L416" s="7"/>
      <c r="M416" s="8"/>
      <c r="N416" s="7"/>
      <c r="O416" s="8"/>
      <c r="P416" s="7"/>
      <c r="Q416" s="7"/>
      <c r="R416" s="8"/>
      <c r="S416" s="7"/>
      <c r="T416" s="9"/>
      <c r="U416" s="7"/>
      <c r="V416" s="8"/>
      <c r="W416" s="7"/>
      <c r="X416" s="7"/>
      <c r="Y416" s="8"/>
      <c r="Z416" s="7"/>
      <c r="AA416" s="8"/>
    </row>
    <row r="417" spans="4:27" ht="14" thickTop="1" thickBot="1">
      <c r="D417" s="65"/>
      <c r="E417" s="52" t="s">
        <v>707</v>
      </c>
      <c r="F417" s="7"/>
      <c r="G417" s="8"/>
      <c r="H417" s="7"/>
      <c r="I417" s="6"/>
      <c r="J417" s="7"/>
      <c r="K417" s="8"/>
      <c r="L417" s="7"/>
      <c r="M417" s="8"/>
      <c r="N417" s="7"/>
      <c r="O417" s="8"/>
      <c r="P417" s="7"/>
      <c r="Q417" s="7"/>
      <c r="R417" s="8"/>
      <c r="S417" s="7"/>
      <c r="T417" s="9"/>
      <c r="U417" s="7"/>
      <c r="V417" s="8"/>
      <c r="W417" s="7"/>
      <c r="X417" s="7"/>
      <c r="Y417" s="8"/>
      <c r="Z417" s="7"/>
      <c r="AA417" s="8"/>
    </row>
    <row r="418" spans="4:27" ht="14" thickTop="1" thickBot="1">
      <c r="D418" s="65"/>
      <c r="E418" s="52" t="s">
        <v>527</v>
      </c>
      <c r="F418" s="7"/>
      <c r="G418" s="8"/>
      <c r="H418" s="7"/>
      <c r="I418" s="6"/>
      <c r="J418" s="7"/>
      <c r="K418" s="8"/>
      <c r="L418" s="7"/>
      <c r="M418" s="8"/>
      <c r="N418" s="7"/>
      <c r="O418" s="8"/>
      <c r="P418" s="7"/>
      <c r="Q418" s="7"/>
      <c r="R418" s="8"/>
      <c r="S418" s="7"/>
      <c r="T418" s="9"/>
      <c r="U418" s="7"/>
      <c r="V418" s="8"/>
      <c r="W418" s="7"/>
      <c r="X418" s="7"/>
      <c r="Y418" s="8"/>
      <c r="Z418" s="7"/>
      <c r="AA418" s="8"/>
    </row>
    <row r="419" spans="4:27" ht="14" thickTop="1" thickBot="1">
      <c r="D419" s="65"/>
      <c r="E419" s="52" t="s">
        <v>562</v>
      </c>
      <c r="F419" s="7"/>
      <c r="G419" s="8"/>
      <c r="H419" s="7"/>
      <c r="I419" s="6"/>
      <c r="J419" s="7"/>
      <c r="K419" s="8"/>
      <c r="L419" s="7"/>
      <c r="M419" s="8"/>
      <c r="N419" s="7"/>
      <c r="O419" s="8"/>
      <c r="P419" s="7"/>
      <c r="Q419" s="7"/>
      <c r="R419" s="8"/>
      <c r="S419" s="7"/>
      <c r="T419" s="9"/>
      <c r="U419" s="7"/>
      <c r="V419" s="8"/>
      <c r="W419" s="7"/>
      <c r="X419" s="7"/>
      <c r="Y419" s="8"/>
      <c r="Z419" s="7"/>
      <c r="AA419" s="8"/>
    </row>
    <row r="420" spans="4:27" ht="14" thickTop="1" thickBot="1">
      <c r="D420" s="65"/>
      <c r="E420" s="52" t="s">
        <v>517</v>
      </c>
      <c r="F420" s="7"/>
      <c r="G420" s="8"/>
      <c r="H420" s="7"/>
      <c r="I420" s="6"/>
      <c r="J420" s="7"/>
      <c r="K420" s="8"/>
      <c r="L420" s="7"/>
      <c r="M420" s="8"/>
      <c r="N420" s="7"/>
      <c r="O420" s="8"/>
      <c r="P420" s="7"/>
      <c r="Q420" s="7"/>
      <c r="R420" s="8"/>
      <c r="S420" s="7"/>
      <c r="T420" s="9"/>
      <c r="U420" s="7"/>
      <c r="V420" s="8"/>
      <c r="W420" s="7"/>
      <c r="X420" s="7"/>
      <c r="Y420" s="8"/>
      <c r="Z420" s="7"/>
      <c r="AA420" s="8"/>
    </row>
    <row r="421" spans="4:27" ht="14" thickTop="1" thickBot="1">
      <c r="D421" s="65"/>
      <c r="E421" s="52" t="s">
        <v>691</v>
      </c>
      <c r="F421" s="7"/>
      <c r="G421" s="8"/>
      <c r="H421" s="7"/>
      <c r="I421" s="6"/>
      <c r="J421" s="7"/>
      <c r="K421" s="8"/>
      <c r="L421" s="7"/>
      <c r="M421" s="8"/>
      <c r="N421" s="7"/>
      <c r="O421" s="8"/>
      <c r="P421" s="7"/>
      <c r="Q421" s="7"/>
      <c r="R421" s="8"/>
      <c r="S421" s="7"/>
      <c r="T421" s="9"/>
      <c r="U421" s="7"/>
      <c r="V421" s="8"/>
      <c r="W421" s="7"/>
      <c r="X421" s="7"/>
      <c r="Y421" s="8"/>
      <c r="Z421" s="7"/>
      <c r="AA421" s="8"/>
    </row>
    <row r="422" spans="4:27" ht="14" thickTop="1" thickBot="1">
      <c r="D422" s="65"/>
      <c r="E422" s="52" t="s">
        <v>1001</v>
      </c>
      <c r="F422" s="7"/>
      <c r="G422" s="8"/>
      <c r="H422" s="7"/>
      <c r="I422" s="6"/>
      <c r="J422" s="7"/>
      <c r="K422" s="8"/>
      <c r="L422" s="7"/>
      <c r="M422" s="8"/>
      <c r="N422" s="7"/>
      <c r="O422" s="8"/>
      <c r="P422" s="7"/>
      <c r="Q422" s="7"/>
      <c r="R422" s="8"/>
      <c r="S422" s="7"/>
      <c r="T422" s="9"/>
      <c r="U422" s="7"/>
      <c r="V422" s="8"/>
      <c r="W422" s="7"/>
      <c r="X422" s="7"/>
      <c r="Y422" s="8"/>
      <c r="Z422" s="7"/>
      <c r="AA422" s="8"/>
    </row>
    <row r="423" spans="4:27" ht="14" thickTop="1" thickBot="1">
      <c r="D423" s="65"/>
      <c r="E423" s="52" t="s">
        <v>822</v>
      </c>
      <c r="F423" s="7"/>
      <c r="G423" s="8"/>
      <c r="H423" s="7"/>
      <c r="I423" s="6"/>
      <c r="J423" s="7"/>
      <c r="K423" s="8"/>
      <c r="L423" s="7"/>
      <c r="M423" s="8"/>
      <c r="N423" s="7"/>
      <c r="O423" s="8"/>
      <c r="P423" s="7"/>
      <c r="Q423" s="7"/>
      <c r="R423" s="8"/>
      <c r="S423" s="7"/>
      <c r="T423" s="9"/>
      <c r="U423" s="7"/>
      <c r="V423" s="8"/>
      <c r="W423" s="7"/>
      <c r="X423" s="7"/>
      <c r="Y423" s="8"/>
      <c r="Z423" s="7"/>
      <c r="AA423" s="8"/>
    </row>
    <row r="424" spans="4:27" ht="14" thickTop="1" thickBot="1">
      <c r="D424" s="65"/>
      <c r="E424" s="52" t="s">
        <v>174</v>
      </c>
      <c r="F424" s="7"/>
      <c r="G424" s="8"/>
      <c r="H424" s="7"/>
      <c r="I424" s="6"/>
      <c r="J424" s="7"/>
      <c r="K424" s="8"/>
      <c r="L424" s="7"/>
      <c r="M424" s="8"/>
      <c r="N424" s="7"/>
      <c r="O424" s="8"/>
      <c r="P424" s="7"/>
      <c r="Q424" s="7"/>
      <c r="R424" s="8"/>
      <c r="S424" s="7"/>
      <c r="T424" s="9"/>
      <c r="U424" s="7"/>
      <c r="V424" s="8"/>
      <c r="W424" s="7"/>
      <c r="X424" s="7"/>
      <c r="Y424" s="8"/>
      <c r="Z424" s="7"/>
      <c r="AA424" s="8"/>
    </row>
    <row r="425" spans="4:27" ht="14" thickTop="1" thickBot="1">
      <c r="D425" s="65"/>
      <c r="E425" s="52" t="s">
        <v>846</v>
      </c>
      <c r="F425" s="7"/>
      <c r="G425" s="8"/>
      <c r="H425" s="7"/>
      <c r="I425" s="6"/>
      <c r="J425" s="7"/>
      <c r="K425" s="8"/>
      <c r="L425" s="7"/>
      <c r="M425" s="8"/>
      <c r="N425" s="7"/>
      <c r="O425" s="8"/>
      <c r="P425" s="7"/>
      <c r="Q425" s="7"/>
      <c r="R425" s="8"/>
      <c r="S425" s="7"/>
      <c r="T425" s="9"/>
      <c r="U425" s="7"/>
      <c r="V425" s="8"/>
      <c r="W425" s="7"/>
      <c r="X425" s="7"/>
      <c r="Y425" s="8"/>
      <c r="Z425" s="7"/>
      <c r="AA425" s="8"/>
    </row>
    <row r="426" spans="4:27" ht="14" thickTop="1" thickBot="1">
      <c r="D426" s="65"/>
      <c r="E426" s="52" t="s">
        <v>583</v>
      </c>
      <c r="F426" s="7"/>
      <c r="G426" s="8"/>
      <c r="H426" s="7"/>
      <c r="I426" s="6"/>
      <c r="J426" s="7"/>
      <c r="K426" s="8"/>
      <c r="L426" s="7"/>
      <c r="M426" s="8"/>
      <c r="N426" s="7"/>
      <c r="O426" s="8"/>
      <c r="P426" s="7"/>
      <c r="Q426" s="7"/>
      <c r="R426" s="8"/>
      <c r="S426" s="7"/>
      <c r="T426" s="9"/>
      <c r="U426" s="7"/>
      <c r="V426" s="8"/>
      <c r="W426" s="7"/>
      <c r="X426" s="7"/>
      <c r="Y426" s="8"/>
      <c r="Z426" s="7"/>
      <c r="AA426" s="8"/>
    </row>
    <row r="427" spans="4:27" ht="14" thickTop="1" thickBot="1">
      <c r="D427" s="65"/>
      <c r="E427" s="52" t="s">
        <v>215</v>
      </c>
      <c r="F427" s="7"/>
      <c r="G427" s="8"/>
      <c r="H427" s="7"/>
      <c r="I427" s="6"/>
      <c r="J427" s="7"/>
      <c r="K427" s="8"/>
      <c r="L427" s="7"/>
      <c r="M427" s="8"/>
      <c r="N427" s="7"/>
      <c r="O427" s="8"/>
      <c r="P427" s="7"/>
      <c r="Q427" s="7"/>
      <c r="R427" s="8"/>
      <c r="S427" s="7"/>
      <c r="T427" s="9"/>
      <c r="U427" s="7"/>
      <c r="V427" s="8"/>
      <c r="W427" s="7"/>
      <c r="X427" s="7"/>
      <c r="Y427" s="8"/>
      <c r="Z427" s="7"/>
      <c r="AA427" s="8"/>
    </row>
    <row r="428" spans="4:27" ht="14" thickTop="1" thickBot="1">
      <c r="D428" s="65"/>
      <c r="E428" s="52" t="s">
        <v>216</v>
      </c>
      <c r="F428" s="7"/>
      <c r="G428" s="8"/>
      <c r="H428" s="7"/>
      <c r="I428" s="6"/>
      <c r="J428" s="7"/>
      <c r="K428" s="8"/>
      <c r="L428" s="7"/>
      <c r="M428" s="8"/>
      <c r="N428" s="7"/>
      <c r="O428" s="8"/>
      <c r="P428" s="7"/>
      <c r="Q428" s="7"/>
      <c r="R428" s="8"/>
      <c r="S428" s="7"/>
      <c r="T428" s="9"/>
      <c r="U428" s="7"/>
      <c r="V428" s="8"/>
      <c r="W428" s="7"/>
      <c r="X428" s="7"/>
      <c r="Y428" s="8"/>
      <c r="Z428" s="7"/>
      <c r="AA428" s="8"/>
    </row>
    <row r="429" spans="4:27" ht="14" thickTop="1" thickBot="1">
      <c r="D429" s="65"/>
      <c r="E429" s="52" t="s">
        <v>857</v>
      </c>
      <c r="F429" s="7"/>
      <c r="G429" s="8"/>
      <c r="H429" s="7"/>
      <c r="I429" s="6"/>
      <c r="J429" s="7"/>
      <c r="K429" s="8"/>
      <c r="L429" s="7"/>
      <c r="M429" s="8"/>
      <c r="N429" s="7"/>
      <c r="O429" s="8"/>
      <c r="P429" s="7"/>
      <c r="Q429" s="7"/>
      <c r="R429" s="8"/>
      <c r="S429" s="7"/>
      <c r="T429" s="9"/>
      <c r="U429" s="7"/>
      <c r="V429" s="8"/>
      <c r="W429" s="7"/>
      <c r="X429" s="7"/>
      <c r="Y429" s="8"/>
      <c r="Z429" s="7"/>
      <c r="AA429" s="8"/>
    </row>
    <row r="430" spans="4:27" ht="14" thickTop="1" thickBot="1">
      <c r="D430" s="65"/>
      <c r="E430" s="52" t="s">
        <v>796</v>
      </c>
      <c r="F430" s="7"/>
      <c r="G430" s="8"/>
      <c r="H430" s="7"/>
      <c r="I430" s="6"/>
      <c r="J430" s="7"/>
      <c r="K430" s="8"/>
      <c r="L430" s="7"/>
      <c r="M430" s="8"/>
      <c r="N430" s="7"/>
      <c r="O430" s="8"/>
      <c r="P430" s="7"/>
      <c r="Q430" s="7"/>
      <c r="R430" s="8"/>
      <c r="S430" s="7"/>
      <c r="T430" s="9"/>
      <c r="U430" s="7"/>
      <c r="V430" s="8"/>
      <c r="W430" s="7"/>
      <c r="X430" s="7"/>
      <c r="Y430" s="8"/>
      <c r="Z430" s="7"/>
      <c r="AA430" s="8"/>
    </row>
    <row r="431" spans="4:27" ht="14" thickTop="1" thickBot="1">
      <c r="D431" s="65"/>
      <c r="E431" s="52" t="s">
        <v>845</v>
      </c>
      <c r="F431" s="7"/>
      <c r="G431" s="8"/>
      <c r="H431" s="7"/>
      <c r="I431" s="6"/>
      <c r="J431" s="7"/>
      <c r="K431" s="8"/>
      <c r="L431" s="7"/>
      <c r="M431" s="8"/>
      <c r="N431" s="7"/>
      <c r="O431" s="8"/>
      <c r="P431" s="7"/>
      <c r="Q431" s="7"/>
      <c r="R431" s="8"/>
      <c r="S431" s="7"/>
      <c r="T431" s="9"/>
      <c r="U431" s="7"/>
      <c r="V431" s="8"/>
      <c r="W431" s="7"/>
      <c r="X431" s="7"/>
      <c r="Y431" s="8"/>
      <c r="Z431" s="7"/>
      <c r="AA431" s="8"/>
    </row>
    <row r="432" spans="4:27" ht="14" thickTop="1" thickBot="1">
      <c r="D432" s="65"/>
      <c r="E432" s="52" t="s">
        <v>236</v>
      </c>
      <c r="F432" s="7"/>
      <c r="G432" s="8"/>
      <c r="H432" s="7"/>
      <c r="I432" s="6"/>
      <c r="J432" s="7"/>
      <c r="K432" s="8"/>
      <c r="L432" s="7"/>
      <c r="M432" s="8"/>
      <c r="N432" s="7"/>
      <c r="O432" s="8"/>
      <c r="P432" s="7"/>
      <c r="Q432" s="7"/>
      <c r="R432" s="8"/>
      <c r="S432" s="7"/>
      <c r="T432" s="9"/>
      <c r="U432" s="7"/>
      <c r="V432" s="8"/>
      <c r="W432" s="7"/>
      <c r="X432" s="7"/>
      <c r="Y432" s="8"/>
      <c r="Z432" s="7"/>
      <c r="AA432" s="8"/>
    </row>
    <row r="433" spans="4:27" ht="14" thickTop="1" thickBot="1">
      <c r="D433" s="65"/>
      <c r="E433" s="52" t="s">
        <v>219</v>
      </c>
      <c r="F433" s="7"/>
      <c r="G433" s="8"/>
      <c r="H433" s="7"/>
      <c r="I433" s="6"/>
      <c r="J433" s="7"/>
      <c r="K433" s="8"/>
      <c r="L433" s="7"/>
      <c r="M433" s="8"/>
      <c r="N433" s="7"/>
      <c r="O433" s="8"/>
      <c r="P433" s="7"/>
      <c r="Q433" s="7"/>
      <c r="R433" s="8"/>
      <c r="S433" s="7"/>
      <c r="T433" s="9"/>
      <c r="U433" s="7"/>
      <c r="V433" s="8"/>
      <c r="W433" s="7"/>
      <c r="X433" s="7"/>
      <c r="Y433" s="8"/>
      <c r="Z433" s="7"/>
      <c r="AA433" s="8"/>
    </row>
    <row r="434" spans="4:27" ht="14" thickTop="1" thickBot="1">
      <c r="D434" s="65"/>
      <c r="E434" s="52" t="s">
        <v>220</v>
      </c>
      <c r="F434" s="7"/>
      <c r="G434" s="8"/>
      <c r="H434" s="7"/>
      <c r="I434" s="6"/>
      <c r="J434" s="7"/>
      <c r="K434" s="8"/>
      <c r="L434" s="7"/>
      <c r="M434" s="8"/>
      <c r="N434" s="7"/>
      <c r="O434" s="8"/>
      <c r="P434" s="7"/>
      <c r="Q434" s="7"/>
      <c r="R434" s="8"/>
      <c r="S434" s="7"/>
      <c r="T434" s="9"/>
      <c r="U434" s="7"/>
      <c r="V434" s="8"/>
      <c r="W434" s="7"/>
      <c r="X434" s="7"/>
      <c r="Y434" s="8"/>
      <c r="Z434" s="7"/>
      <c r="AA434" s="8"/>
    </row>
    <row r="435" spans="4:27" ht="14" thickTop="1" thickBot="1">
      <c r="D435" s="65"/>
      <c r="E435" s="52" t="s">
        <v>268</v>
      </c>
      <c r="F435" s="7"/>
      <c r="G435" s="8"/>
      <c r="H435" s="7"/>
      <c r="I435" s="6"/>
      <c r="J435" s="7"/>
      <c r="K435" s="8"/>
      <c r="L435" s="7"/>
      <c r="M435" s="8"/>
      <c r="N435" s="7"/>
      <c r="O435" s="8"/>
      <c r="P435" s="7"/>
      <c r="Q435" s="7"/>
      <c r="R435" s="8"/>
      <c r="S435" s="7"/>
      <c r="T435" s="9"/>
      <c r="U435" s="7"/>
      <c r="V435" s="8"/>
      <c r="W435" s="7"/>
      <c r="X435" s="7"/>
      <c r="Y435" s="8"/>
      <c r="Z435" s="7"/>
      <c r="AA435" s="8"/>
    </row>
    <row r="436" spans="4:27" ht="14" thickTop="1" thickBot="1">
      <c r="D436" s="65"/>
      <c r="E436" s="52" t="s">
        <v>175</v>
      </c>
      <c r="F436" s="7"/>
      <c r="G436" s="8"/>
      <c r="H436" s="7"/>
      <c r="I436" s="6"/>
      <c r="J436" s="7"/>
      <c r="K436" s="8"/>
      <c r="L436" s="7"/>
      <c r="M436" s="8"/>
      <c r="N436" s="7"/>
      <c r="O436" s="8"/>
      <c r="P436" s="7"/>
      <c r="Q436" s="7"/>
      <c r="R436" s="8"/>
      <c r="S436" s="7"/>
      <c r="T436" s="9"/>
      <c r="U436" s="7"/>
      <c r="V436" s="8"/>
      <c r="W436" s="7"/>
      <c r="X436" s="7"/>
      <c r="Y436" s="8"/>
      <c r="Z436" s="7"/>
      <c r="AA436" s="8"/>
    </row>
    <row r="437" spans="4:27" ht="14" thickTop="1" thickBot="1">
      <c r="D437" s="65"/>
      <c r="E437" s="52" t="s">
        <v>176</v>
      </c>
      <c r="F437" s="7"/>
      <c r="G437" s="8"/>
      <c r="H437" s="7"/>
      <c r="I437" s="6"/>
      <c r="J437" s="7"/>
      <c r="K437" s="8"/>
      <c r="L437" s="7"/>
      <c r="M437" s="8"/>
      <c r="N437" s="7"/>
      <c r="O437" s="8"/>
      <c r="P437" s="7"/>
      <c r="Q437" s="7"/>
      <c r="R437" s="8"/>
      <c r="S437" s="7"/>
      <c r="T437" s="9"/>
      <c r="U437" s="7"/>
      <c r="V437" s="8"/>
      <c r="W437" s="7"/>
      <c r="X437" s="7"/>
      <c r="Y437" s="8"/>
      <c r="Z437" s="7"/>
      <c r="AA437" s="8"/>
    </row>
    <row r="438" spans="4:27" ht="14" thickTop="1" thickBot="1">
      <c r="D438" s="65"/>
      <c r="E438" s="52" t="s">
        <v>177</v>
      </c>
      <c r="F438" s="7"/>
      <c r="G438" s="8"/>
      <c r="H438" s="7"/>
      <c r="I438" s="6"/>
      <c r="J438" s="7"/>
      <c r="K438" s="8"/>
      <c r="L438" s="7"/>
      <c r="M438" s="8"/>
      <c r="N438" s="7"/>
      <c r="O438" s="8"/>
      <c r="P438" s="7"/>
      <c r="Q438" s="7"/>
      <c r="R438" s="8"/>
      <c r="S438" s="7"/>
      <c r="T438" s="9"/>
      <c r="U438" s="7"/>
      <c r="V438" s="8"/>
      <c r="W438" s="7"/>
      <c r="X438" s="7"/>
      <c r="Y438" s="8"/>
      <c r="Z438" s="7"/>
      <c r="AA438" s="8"/>
    </row>
    <row r="439" spans="4:27" ht="14" thickTop="1" thickBot="1">
      <c r="D439" s="65"/>
      <c r="E439" s="52" t="s">
        <v>269</v>
      </c>
      <c r="F439" s="7"/>
      <c r="G439" s="8"/>
      <c r="H439" s="7"/>
      <c r="I439" s="6"/>
      <c r="J439" s="7"/>
      <c r="K439" s="8"/>
      <c r="L439" s="7"/>
      <c r="M439" s="8"/>
      <c r="N439" s="7"/>
      <c r="O439" s="8"/>
      <c r="P439" s="7"/>
      <c r="Q439" s="7"/>
      <c r="R439" s="8"/>
      <c r="S439" s="7"/>
      <c r="T439" s="9"/>
      <c r="U439" s="7"/>
      <c r="V439" s="8"/>
      <c r="W439" s="7"/>
      <c r="X439" s="7"/>
      <c r="Y439" s="8"/>
      <c r="Z439" s="7"/>
      <c r="AA439" s="8"/>
    </row>
    <row r="440" spans="4:27" ht="14" thickTop="1" thickBot="1">
      <c r="D440" s="65"/>
      <c r="E440" s="52" t="s">
        <v>237</v>
      </c>
      <c r="F440" s="7"/>
      <c r="G440" s="8"/>
      <c r="H440" s="7"/>
      <c r="I440" s="6"/>
      <c r="J440" s="7"/>
      <c r="K440" s="8"/>
      <c r="L440" s="7"/>
      <c r="M440" s="8"/>
      <c r="N440" s="7"/>
      <c r="O440" s="8"/>
      <c r="P440" s="7"/>
      <c r="Q440" s="7"/>
      <c r="R440" s="8"/>
      <c r="S440" s="7"/>
      <c r="T440" s="9"/>
      <c r="U440" s="7"/>
      <c r="V440" s="8"/>
      <c r="W440" s="7"/>
      <c r="X440" s="7"/>
      <c r="Y440" s="8"/>
      <c r="Z440" s="7"/>
      <c r="AA440" s="8"/>
    </row>
    <row r="441" spans="4:27" ht="14" thickTop="1" thickBot="1">
      <c r="D441" s="65"/>
      <c r="E441" s="52" t="s">
        <v>178</v>
      </c>
      <c r="F441" s="7"/>
      <c r="G441" s="8"/>
      <c r="H441" s="7"/>
      <c r="I441" s="6"/>
      <c r="J441" s="7"/>
      <c r="K441" s="8"/>
      <c r="L441" s="7"/>
      <c r="M441" s="8"/>
      <c r="N441" s="7"/>
      <c r="O441" s="8"/>
      <c r="P441" s="7"/>
      <c r="Q441" s="7"/>
      <c r="R441" s="8"/>
      <c r="S441" s="7"/>
      <c r="T441" s="9"/>
      <c r="U441" s="7"/>
      <c r="V441" s="8"/>
      <c r="W441" s="7"/>
      <c r="X441" s="7"/>
      <c r="Y441" s="8"/>
      <c r="Z441" s="7"/>
      <c r="AA441" s="8"/>
    </row>
    <row r="442" spans="4:27" ht="14" thickTop="1" thickBot="1">
      <c r="D442" s="65"/>
      <c r="E442" s="52" t="s">
        <v>179</v>
      </c>
      <c r="F442" s="7"/>
      <c r="G442" s="8"/>
      <c r="H442" s="7"/>
      <c r="I442" s="6"/>
      <c r="J442" s="7"/>
      <c r="K442" s="8"/>
      <c r="L442" s="7"/>
      <c r="M442" s="8"/>
      <c r="N442" s="7"/>
      <c r="O442" s="8"/>
      <c r="P442" s="7"/>
      <c r="Q442" s="7"/>
      <c r="R442" s="8"/>
      <c r="S442" s="7"/>
      <c r="T442" s="9"/>
      <c r="U442" s="7"/>
      <c r="V442" s="8"/>
      <c r="W442" s="7"/>
      <c r="X442" s="7"/>
      <c r="Y442" s="8"/>
      <c r="Z442" s="7"/>
      <c r="AA442" s="8"/>
    </row>
    <row r="443" spans="4:27" ht="14" thickTop="1" thickBot="1">
      <c r="D443" s="65"/>
      <c r="E443" s="52" t="s">
        <v>270</v>
      </c>
      <c r="F443" s="7"/>
      <c r="G443" s="8"/>
      <c r="H443" s="7"/>
      <c r="I443" s="6"/>
      <c r="J443" s="7"/>
      <c r="K443" s="8"/>
      <c r="L443" s="7"/>
      <c r="M443" s="8"/>
      <c r="N443" s="7"/>
      <c r="O443" s="8"/>
      <c r="P443" s="7"/>
      <c r="Q443" s="7"/>
      <c r="R443" s="8"/>
      <c r="S443" s="7"/>
      <c r="T443" s="9"/>
      <c r="U443" s="7"/>
      <c r="V443" s="8"/>
      <c r="W443" s="7"/>
      <c r="X443" s="7"/>
      <c r="Y443" s="8"/>
      <c r="Z443" s="7"/>
      <c r="AA443" s="8"/>
    </row>
    <row r="444" spans="4:27" ht="14" thickTop="1" thickBot="1">
      <c r="D444" s="65"/>
      <c r="E444" s="52" t="s">
        <v>758</v>
      </c>
      <c r="F444" s="7"/>
      <c r="G444" s="8"/>
      <c r="H444" s="7"/>
      <c r="I444" s="6"/>
      <c r="J444" s="7"/>
      <c r="K444" s="8"/>
      <c r="L444" s="7"/>
      <c r="M444" s="8"/>
      <c r="N444" s="7"/>
      <c r="O444" s="8"/>
      <c r="P444" s="7"/>
      <c r="Q444" s="7"/>
      <c r="R444" s="8"/>
      <c r="S444" s="7"/>
      <c r="T444" s="9"/>
      <c r="U444" s="7"/>
      <c r="V444" s="8"/>
      <c r="W444" s="7"/>
      <c r="X444" s="7"/>
      <c r="Y444" s="8"/>
      <c r="Z444" s="7"/>
      <c r="AA444" s="8"/>
    </row>
    <row r="445" spans="4:27" ht="14" thickTop="1" thickBot="1">
      <c r="D445" s="65"/>
      <c r="E445" s="52" t="s">
        <v>238</v>
      </c>
      <c r="F445" s="7"/>
      <c r="G445" s="8"/>
      <c r="H445" s="7"/>
      <c r="I445" s="6"/>
      <c r="J445" s="7"/>
      <c r="K445" s="8"/>
      <c r="L445" s="7"/>
      <c r="M445" s="8"/>
      <c r="N445" s="7"/>
      <c r="O445" s="8"/>
      <c r="P445" s="7"/>
      <c r="Q445" s="7"/>
      <c r="R445" s="8"/>
      <c r="S445" s="7"/>
      <c r="T445" s="9"/>
      <c r="U445" s="7"/>
      <c r="V445" s="8"/>
      <c r="W445" s="7"/>
      <c r="X445" s="7"/>
      <c r="Y445" s="8"/>
      <c r="Z445" s="7"/>
      <c r="AA445" s="8"/>
    </row>
    <row r="446" spans="4:27" ht="14" thickTop="1" thickBot="1">
      <c r="D446" s="65"/>
      <c r="E446" s="52" t="s">
        <v>271</v>
      </c>
      <c r="F446" s="7"/>
      <c r="G446" s="8"/>
      <c r="H446" s="7"/>
      <c r="I446" s="6"/>
      <c r="J446" s="7"/>
      <c r="K446" s="8"/>
      <c r="L446" s="7"/>
      <c r="M446" s="8"/>
      <c r="N446" s="7"/>
      <c r="O446" s="8"/>
      <c r="P446" s="7"/>
      <c r="Q446" s="7"/>
      <c r="R446" s="8"/>
      <c r="S446" s="7"/>
      <c r="T446" s="9"/>
      <c r="U446" s="7"/>
      <c r="V446" s="8"/>
      <c r="W446" s="7"/>
      <c r="X446" s="7"/>
      <c r="Y446" s="8"/>
      <c r="Z446" s="7"/>
      <c r="AA446" s="8"/>
    </row>
    <row r="447" spans="4:27" ht="14" thickTop="1" thickBot="1">
      <c r="D447" s="65"/>
      <c r="E447" s="52" t="s">
        <v>181</v>
      </c>
      <c r="F447" s="7"/>
      <c r="G447" s="8"/>
      <c r="H447" s="7"/>
      <c r="I447" s="6"/>
      <c r="J447" s="7"/>
      <c r="K447" s="8"/>
      <c r="L447" s="7"/>
      <c r="M447" s="8"/>
      <c r="N447" s="7"/>
      <c r="O447" s="8"/>
      <c r="P447" s="7"/>
      <c r="Q447" s="7"/>
      <c r="R447" s="8"/>
      <c r="S447" s="7"/>
      <c r="T447" s="9"/>
      <c r="U447" s="7"/>
      <c r="V447" s="8"/>
      <c r="W447" s="7"/>
      <c r="X447" s="7"/>
      <c r="Y447" s="8"/>
      <c r="Z447" s="7"/>
      <c r="AA447" s="8"/>
    </row>
    <row r="448" spans="4:27" ht="14" thickTop="1" thickBot="1">
      <c r="D448" s="65"/>
      <c r="E448" s="52" t="s">
        <v>272</v>
      </c>
      <c r="F448" s="7"/>
      <c r="G448" s="8"/>
      <c r="H448" s="7"/>
      <c r="I448" s="6"/>
      <c r="J448" s="7"/>
      <c r="K448" s="8"/>
      <c r="L448" s="7"/>
      <c r="M448" s="8"/>
      <c r="N448" s="7"/>
      <c r="O448" s="8"/>
      <c r="P448" s="7"/>
      <c r="Q448" s="7"/>
      <c r="R448" s="8"/>
      <c r="S448" s="7"/>
      <c r="T448" s="9"/>
      <c r="U448" s="7"/>
      <c r="V448" s="8"/>
      <c r="W448" s="7"/>
      <c r="X448" s="7"/>
      <c r="Y448" s="8"/>
      <c r="Z448" s="7"/>
      <c r="AA448" s="8"/>
    </row>
    <row r="449" spans="4:27" ht="14" thickTop="1" thickBot="1">
      <c r="D449" s="65"/>
      <c r="E449" s="52" t="s">
        <v>273</v>
      </c>
      <c r="F449" s="7"/>
      <c r="G449" s="8"/>
      <c r="H449" s="7"/>
      <c r="I449" s="6"/>
      <c r="J449" s="7"/>
      <c r="K449" s="8"/>
      <c r="L449" s="7"/>
      <c r="M449" s="8"/>
      <c r="N449" s="7"/>
      <c r="O449" s="8"/>
      <c r="P449" s="7"/>
      <c r="Q449" s="7"/>
      <c r="R449" s="8"/>
      <c r="S449" s="7"/>
      <c r="T449" s="9"/>
      <c r="U449" s="7"/>
      <c r="V449" s="8"/>
      <c r="W449" s="7"/>
      <c r="X449" s="7"/>
      <c r="Y449" s="8"/>
      <c r="Z449" s="7"/>
      <c r="AA449" s="8"/>
    </row>
    <row r="450" spans="4:27" ht="14" thickTop="1" thickBot="1">
      <c r="D450" s="65"/>
      <c r="E450" s="52" t="s">
        <v>182</v>
      </c>
      <c r="F450" s="7"/>
      <c r="G450" s="8"/>
      <c r="H450" s="7"/>
      <c r="I450" s="6"/>
      <c r="J450" s="7"/>
      <c r="K450" s="8"/>
      <c r="L450" s="7"/>
      <c r="M450" s="8"/>
      <c r="N450" s="7"/>
      <c r="O450" s="8"/>
      <c r="P450" s="7"/>
      <c r="Q450" s="7"/>
      <c r="R450" s="8"/>
      <c r="S450" s="7"/>
      <c r="T450" s="9"/>
      <c r="U450" s="7"/>
      <c r="V450" s="8"/>
      <c r="W450" s="7"/>
      <c r="X450" s="7"/>
      <c r="Y450" s="8"/>
      <c r="Z450" s="7"/>
      <c r="AA450" s="8"/>
    </row>
    <row r="451" spans="4:27" ht="14" thickTop="1" thickBot="1">
      <c r="D451" s="65"/>
      <c r="E451" s="52" t="s">
        <v>274</v>
      </c>
      <c r="F451" s="7"/>
      <c r="G451" s="8"/>
      <c r="H451" s="7"/>
      <c r="I451" s="6"/>
      <c r="J451" s="7"/>
      <c r="K451" s="8"/>
      <c r="L451" s="7"/>
      <c r="M451" s="8"/>
      <c r="N451" s="7"/>
      <c r="O451" s="8"/>
      <c r="P451" s="7"/>
      <c r="Q451" s="7"/>
      <c r="R451" s="8"/>
      <c r="S451" s="7"/>
      <c r="T451" s="9"/>
      <c r="U451" s="7"/>
      <c r="V451" s="8"/>
      <c r="W451" s="7"/>
      <c r="X451" s="7"/>
      <c r="Y451" s="8"/>
      <c r="Z451" s="7"/>
      <c r="AA451" s="8"/>
    </row>
    <row r="452" spans="4:27" ht="14" thickTop="1" thickBot="1">
      <c r="D452" s="65"/>
      <c r="E452" s="52" t="s">
        <v>275</v>
      </c>
      <c r="F452" s="7"/>
      <c r="G452" s="8"/>
      <c r="H452" s="7"/>
      <c r="I452" s="6"/>
      <c r="J452" s="7"/>
      <c r="K452" s="8"/>
      <c r="L452" s="7"/>
      <c r="M452" s="8"/>
      <c r="N452" s="7"/>
      <c r="O452" s="8"/>
      <c r="P452" s="7"/>
      <c r="Q452" s="7"/>
      <c r="R452" s="8"/>
      <c r="S452" s="7"/>
      <c r="T452" s="9"/>
      <c r="U452" s="7"/>
      <c r="V452" s="8"/>
      <c r="W452" s="7"/>
      <c r="X452" s="7"/>
      <c r="Y452" s="8"/>
      <c r="Z452" s="7"/>
      <c r="AA452" s="8"/>
    </row>
    <row r="453" spans="4:27" ht="14" thickTop="1" thickBot="1">
      <c r="D453" s="65"/>
      <c r="E453" s="52" t="s">
        <v>770</v>
      </c>
      <c r="F453" s="7"/>
      <c r="G453" s="8"/>
      <c r="H453" s="7"/>
      <c r="I453" s="6"/>
      <c r="J453" s="7"/>
      <c r="K453" s="8"/>
      <c r="L453" s="7"/>
      <c r="M453" s="8"/>
      <c r="N453" s="7"/>
      <c r="O453" s="8"/>
      <c r="P453" s="7"/>
      <c r="Q453" s="7"/>
      <c r="R453" s="8"/>
      <c r="S453" s="7"/>
      <c r="T453" s="9"/>
      <c r="U453" s="7"/>
      <c r="V453" s="8"/>
      <c r="W453" s="7"/>
      <c r="X453" s="7"/>
      <c r="Y453" s="8"/>
      <c r="Z453" s="7"/>
      <c r="AA453" s="8"/>
    </row>
    <row r="454" spans="4:27" ht="14" thickTop="1" thickBot="1">
      <c r="D454" s="65"/>
      <c r="E454" s="52" t="s">
        <v>221</v>
      </c>
      <c r="F454" s="7"/>
      <c r="G454" s="8"/>
      <c r="H454" s="7"/>
      <c r="I454" s="6"/>
      <c r="J454" s="7"/>
      <c r="K454" s="8"/>
      <c r="L454" s="7"/>
      <c r="M454" s="8"/>
      <c r="N454" s="7"/>
      <c r="O454" s="8"/>
      <c r="P454" s="7"/>
      <c r="Q454" s="7"/>
      <c r="R454" s="8"/>
      <c r="S454" s="7"/>
      <c r="T454" s="9"/>
      <c r="U454" s="7"/>
      <c r="V454" s="8"/>
      <c r="W454" s="7"/>
      <c r="X454" s="7"/>
      <c r="Y454" s="8"/>
      <c r="Z454" s="7"/>
      <c r="AA454" s="8"/>
    </row>
    <row r="455" spans="4:27" ht="14" thickTop="1" thickBot="1">
      <c r="D455" s="65"/>
      <c r="E455" s="52" t="s">
        <v>1002</v>
      </c>
      <c r="F455" s="7"/>
      <c r="G455" s="8"/>
      <c r="H455" s="7"/>
      <c r="I455" s="6"/>
      <c r="J455" s="7"/>
      <c r="K455" s="8"/>
      <c r="L455" s="7"/>
      <c r="M455" s="8"/>
      <c r="N455" s="7"/>
      <c r="O455" s="8"/>
      <c r="P455" s="7"/>
      <c r="Q455" s="7"/>
      <c r="R455" s="8"/>
      <c r="S455" s="7"/>
      <c r="T455" s="9"/>
      <c r="U455" s="7"/>
      <c r="V455" s="8"/>
      <c r="W455" s="7"/>
      <c r="X455" s="7"/>
      <c r="Y455" s="8"/>
      <c r="Z455" s="7"/>
      <c r="AA455" s="8"/>
    </row>
    <row r="456" spans="4:27" ht="14" thickTop="1" thickBot="1">
      <c r="D456" s="65"/>
      <c r="E456" s="52" t="s">
        <v>223</v>
      </c>
      <c r="F456" s="7"/>
      <c r="G456" s="8"/>
      <c r="H456" s="7"/>
      <c r="I456" s="6"/>
      <c r="J456" s="7"/>
      <c r="K456" s="8"/>
      <c r="L456" s="7"/>
      <c r="M456" s="8"/>
      <c r="N456" s="7"/>
      <c r="O456" s="8"/>
      <c r="P456" s="7"/>
      <c r="Q456" s="7"/>
      <c r="R456" s="8"/>
      <c r="S456" s="7"/>
      <c r="T456" s="9"/>
      <c r="U456" s="7"/>
      <c r="V456" s="8"/>
      <c r="W456" s="7"/>
      <c r="X456" s="7"/>
      <c r="Y456" s="8"/>
      <c r="Z456" s="7"/>
      <c r="AA456" s="8"/>
    </row>
    <row r="457" spans="4:27" ht="14" thickTop="1" thickBot="1">
      <c r="D457" s="65"/>
      <c r="E457" s="52" t="s">
        <v>763</v>
      </c>
      <c r="F457" s="7"/>
      <c r="G457" s="8"/>
      <c r="H457" s="7"/>
      <c r="I457" s="6"/>
      <c r="J457" s="7"/>
      <c r="K457" s="8"/>
      <c r="L457" s="7"/>
      <c r="M457" s="8"/>
      <c r="N457" s="7"/>
      <c r="O457" s="8"/>
      <c r="P457" s="7"/>
      <c r="Q457" s="7"/>
      <c r="R457" s="8"/>
      <c r="S457" s="7"/>
      <c r="T457" s="9"/>
      <c r="U457" s="7"/>
      <c r="V457" s="8"/>
      <c r="W457" s="7"/>
      <c r="X457" s="7"/>
      <c r="Y457" s="8"/>
      <c r="Z457" s="7"/>
      <c r="AA457" s="8"/>
    </row>
    <row r="458" spans="4:27" ht="14" thickTop="1" thickBot="1">
      <c r="D458" s="65"/>
      <c r="F458" s="7"/>
      <c r="G458" s="8"/>
      <c r="H458" s="7"/>
      <c r="I458" s="6"/>
      <c r="J458" s="7"/>
      <c r="K458" s="8"/>
      <c r="L458" s="7"/>
      <c r="M458" s="8"/>
      <c r="N458" s="7"/>
      <c r="O458" s="8"/>
      <c r="P458" s="7"/>
      <c r="Q458" s="7"/>
      <c r="R458" s="8"/>
      <c r="S458" s="7"/>
      <c r="T458" s="9"/>
      <c r="U458" s="7"/>
      <c r="V458" s="8"/>
      <c r="W458" s="7"/>
      <c r="X458" s="7"/>
      <c r="Y458" s="8"/>
      <c r="Z458" s="7"/>
      <c r="AA458" s="8"/>
    </row>
    <row r="459" spans="4:27" ht="14" thickTop="1" thickBot="1">
      <c r="D459" s="65"/>
      <c r="F459" s="7"/>
      <c r="G459" s="8"/>
      <c r="H459" s="7"/>
      <c r="I459" s="6"/>
      <c r="J459" s="7"/>
      <c r="K459" s="8"/>
      <c r="L459" s="7"/>
      <c r="M459" s="8"/>
      <c r="N459" s="7"/>
      <c r="O459" s="8"/>
      <c r="P459" s="7"/>
      <c r="Q459" s="7"/>
      <c r="R459" s="8"/>
      <c r="S459" s="7"/>
      <c r="T459" s="9"/>
      <c r="U459" s="7"/>
      <c r="V459" s="8"/>
      <c r="W459" s="7"/>
      <c r="X459" s="7"/>
      <c r="Y459" s="8"/>
      <c r="Z459" s="7"/>
      <c r="AA459" s="8"/>
    </row>
    <row r="460" spans="4:27" ht="14" thickTop="1" thickBot="1">
      <c r="D460" s="65"/>
      <c r="F460" s="7"/>
      <c r="G460" s="8"/>
      <c r="H460" s="7"/>
      <c r="I460" s="6"/>
      <c r="J460" s="7"/>
      <c r="K460" s="8"/>
      <c r="L460" s="7"/>
      <c r="M460" s="8"/>
      <c r="N460" s="7"/>
      <c r="O460" s="8"/>
      <c r="P460" s="7"/>
      <c r="Q460" s="7"/>
      <c r="R460" s="8"/>
      <c r="S460" s="7"/>
      <c r="T460" s="9"/>
      <c r="U460" s="7"/>
      <c r="V460" s="8"/>
      <c r="W460" s="7"/>
      <c r="X460" s="7"/>
      <c r="Y460" s="8"/>
      <c r="Z460" s="7"/>
      <c r="AA460" s="8"/>
    </row>
    <row r="461" spans="4:27" ht="14" thickTop="1" thickBot="1">
      <c r="D461" s="65"/>
      <c r="F461" s="7"/>
      <c r="G461" s="8"/>
      <c r="H461" s="7"/>
      <c r="I461" s="6"/>
      <c r="J461" s="7"/>
      <c r="K461" s="8"/>
      <c r="L461" s="7"/>
      <c r="M461" s="8"/>
      <c r="N461" s="7"/>
      <c r="O461" s="8"/>
      <c r="P461" s="7"/>
      <c r="Q461" s="7"/>
      <c r="R461" s="8"/>
      <c r="S461" s="7"/>
      <c r="T461" s="9"/>
      <c r="U461" s="7"/>
      <c r="V461" s="8"/>
      <c r="W461" s="7"/>
      <c r="X461" s="7"/>
      <c r="Y461" s="8"/>
      <c r="Z461" s="7"/>
      <c r="AA461" s="8"/>
    </row>
    <row r="462" spans="4:27" ht="14" thickTop="1" thickBot="1">
      <c r="D462" s="65"/>
      <c r="F462" s="7"/>
      <c r="G462" s="8"/>
      <c r="H462" s="7"/>
      <c r="I462" s="6"/>
      <c r="J462" s="7"/>
      <c r="K462" s="8"/>
      <c r="L462" s="7"/>
      <c r="M462" s="8"/>
      <c r="N462" s="7"/>
      <c r="O462" s="8"/>
      <c r="P462" s="7"/>
      <c r="Q462" s="7"/>
      <c r="R462" s="8"/>
      <c r="S462" s="7"/>
      <c r="T462" s="9"/>
      <c r="U462" s="7"/>
      <c r="V462" s="8"/>
      <c r="W462" s="7"/>
      <c r="X462" s="7"/>
      <c r="Y462" s="8"/>
      <c r="Z462" s="7"/>
      <c r="AA462" s="8"/>
    </row>
    <row r="463" spans="4:27" ht="14" thickTop="1" thickBot="1">
      <c r="D463" s="65"/>
      <c r="F463" s="7"/>
      <c r="G463" s="8"/>
      <c r="H463" s="7"/>
      <c r="I463" s="6"/>
      <c r="J463" s="7"/>
      <c r="K463" s="8"/>
      <c r="L463" s="7"/>
      <c r="M463" s="8"/>
      <c r="N463" s="7"/>
      <c r="O463" s="8"/>
      <c r="P463" s="7"/>
      <c r="Q463" s="7"/>
      <c r="R463" s="8"/>
      <c r="S463" s="7"/>
      <c r="T463" s="9"/>
      <c r="U463" s="7"/>
      <c r="V463" s="8"/>
      <c r="W463" s="7"/>
      <c r="X463" s="7"/>
      <c r="Y463" s="8"/>
      <c r="Z463" s="7"/>
      <c r="AA463" s="8"/>
    </row>
    <row r="464" spans="4:27" ht="14" thickTop="1" thickBot="1">
      <c r="D464" s="65"/>
      <c r="F464" s="7"/>
      <c r="G464" s="8"/>
      <c r="H464" s="7"/>
      <c r="I464" s="6"/>
      <c r="J464" s="7"/>
      <c r="K464" s="8"/>
      <c r="L464" s="7"/>
      <c r="M464" s="8"/>
      <c r="N464" s="7"/>
      <c r="O464" s="8"/>
      <c r="P464" s="7"/>
      <c r="Q464" s="7"/>
      <c r="R464" s="8"/>
      <c r="S464" s="7"/>
      <c r="T464" s="9"/>
      <c r="U464" s="7"/>
      <c r="V464" s="8"/>
      <c r="W464" s="7"/>
      <c r="X464" s="7"/>
      <c r="Y464" s="8"/>
      <c r="Z464" s="7"/>
      <c r="AA464" s="8"/>
    </row>
    <row r="465" spans="4:27" ht="14" thickTop="1" thickBot="1">
      <c r="D465" s="65"/>
      <c r="F465" s="7"/>
      <c r="G465" s="8"/>
      <c r="H465" s="7"/>
      <c r="I465" s="6"/>
      <c r="J465" s="7"/>
      <c r="K465" s="8"/>
      <c r="L465" s="7"/>
      <c r="M465" s="8"/>
      <c r="N465" s="7"/>
      <c r="O465" s="8"/>
      <c r="P465" s="7"/>
      <c r="Q465" s="7"/>
      <c r="R465" s="8"/>
      <c r="S465" s="7"/>
      <c r="T465" s="9"/>
      <c r="U465" s="7"/>
      <c r="V465" s="8"/>
      <c r="W465" s="7"/>
      <c r="X465" s="7"/>
      <c r="Y465" s="8"/>
      <c r="Z465" s="7"/>
      <c r="AA465" s="8"/>
    </row>
    <row r="466" spans="4:27" ht="14" thickTop="1" thickBot="1">
      <c r="D466" s="65"/>
      <c r="F466" s="7"/>
      <c r="G466" s="8"/>
      <c r="H466" s="7"/>
      <c r="I466" s="6"/>
      <c r="J466" s="7"/>
      <c r="K466" s="8"/>
      <c r="L466" s="7"/>
      <c r="M466" s="8"/>
      <c r="N466" s="7"/>
      <c r="O466" s="8"/>
      <c r="P466" s="7"/>
      <c r="Q466" s="7"/>
      <c r="R466" s="8"/>
      <c r="S466" s="7"/>
      <c r="T466" s="9"/>
      <c r="U466" s="7"/>
      <c r="V466" s="8"/>
      <c r="W466" s="7"/>
      <c r="X466" s="7"/>
      <c r="Y466" s="8"/>
      <c r="Z466" s="7"/>
      <c r="AA466" s="8"/>
    </row>
    <row r="467" spans="4:27" ht="14" thickTop="1" thickBot="1">
      <c r="D467" s="65"/>
      <c r="F467" s="7"/>
      <c r="G467" s="8"/>
      <c r="H467" s="7"/>
      <c r="I467" s="6"/>
      <c r="J467" s="7"/>
      <c r="K467" s="8"/>
      <c r="L467" s="7"/>
      <c r="M467" s="8"/>
      <c r="N467" s="7"/>
      <c r="O467" s="8"/>
      <c r="P467" s="7"/>
      <c r="Q467" s="7"/>
      <c r="R467" s="8"/>
      <c r="S467" s="7"/>
      <c r="T467" s="9"/>
      <c r="U467" s="7"/>
      <c r="V467" s="8"/>
      <c r="W467" s="7"/>
      <c r="X467" s="7"/>
      <c r="Y467" s="8"/>
      <c r="Z467" s="7"/>
      <c r="AA467" s="8"/>
    </row>
    <row r="468" spans="4:27" ht="14" thickTop="1" thickBot="1">
      <c r="D468" s="65"/>
      <c r="F468" s="7"/>
      <c r="G468" s="8"/>
      <c r="H468" s="7"/>
      <c r="I468" s="6"/>
      <c r="J468" s="7"/>
      <c r="K468" s="8"/>
      <c r="L468" s="7"/>
      <c r="M468" s="8"/>
      <c r="N468" s="7"/>
      <c r="O468" s="8"/>
      <c r="P468" s="7"/>
      <c r="Q468" s="7"/>
      <c r="R468" s="8"/>
      <c r="S468" s="7"/>
      <c r="T468" s="9"/>
      <c r="U468" s="7"/>
      <c r="V468" s="8"/>
      <c r="W468" s="7"/>
      <c r="X468" s="7"/>
      <c r="Y468" s="8"/>
      <c r="Z468" s="7"/>
      <c r="AA468" s="8"/>
    </row>
    <row r="469" spans="4:27" ht="14" thickTop="1" thickBot="1">
      <c r="D469" s="65"/>
      <c r="F469" s="7"/>
      <c r="G469" s="8"/>
      <c r="H469" s="7"/>
      <c r="I469" s="6"/>
      <c r="J469" s="7"/>
      <c r="K469" s="8"/>
      <c r="L469" s="7"/>
      <c r="M469" s="8"/>
      <c r="N469" s="7"/>
      <c r="O469" s="8"/>
      <c r="P469" s="7"/>
      <c r="Q469" s="7"/>
      <c r="R469" s="8"/>
      <c r="S469" s="7"/>
      <c r="T469" s="9"/>
      <c r="U469" s="7"/>
      <c r="V469" s="8"/>
      <c r="W469" s="7"/>
      <c r="X469" s="7"/>
      <c r="Y469" s="8"/>
      <c r="Z469" s="7"/>
      <c r="AA469" s="8"/>
    </row>
    <row r="470" spans="4:27" ht="14" thickTop="1" thickBot="1">
      <c r="D470" s="65"/>
      <c r="F470" s="7"/>
      <c r="G470" s="8"/>
      <c r="H470" s="7"/>
      <c r="I470" s="6"/>
      <c r="J470" s="7"/>
      <c r="K470" s="8"/>
      <c r="L470" s="7"/>
      <c r="M470" s="8"/>
      <c r="N470" s="7"/>
      <c r="O470" s="8"/>
      <c r="P470" s="7"/>
      <c r="Q470" s="7"/>
      <c r="R470" s="8"/>
      <c r="S470" s="7"/>
      <c r="T470" s="9"/>
      <c r="U470" s="7"/>
      <c r="V470" s="8"/>
      <c r="W470" s="7"/>
      <c r="X470" s="7"/>
      <c r="Y470" s="8"/>
      <c r="Z470" s="7"/>
      <c r="AA470" s="8"/>
    </row>
    <row r="471" spans="4:27" ht="14" thickTop="1" thickBot="1">
      <c r="D471" s="65"/>
      <c r="F471" s="7"/>
      <c r="G471" s="8"/>
      <c r="H471" s="7"/>
      <c r="I471" s="6"/>
      <c r="J471" s="7"/>
      <c r="K471" s="8"/>
      <c r="L471" s="7"/>
      <c r="M471" s="8"/>
      <c r="N471" s="7"/>
      <c r="O471" s="8"/>
      <c r="P471" s="7"/>
      <c r="Q471" s="7"/>
      <c r="R471" s="8"/>
      <c r="S471" s="7"/>
      <c r="T471" s="9"/>
      <c r="U471" s="7"/>
      <c r="V471" s="8"/>
      <c r="W471" s="7"/>
      <c r="X471" s="7"/>
      <c r="Y471" s="8"/>
      <c r="Z471" s="7"/>
      <c r="AA471" s="8"/>
    </row>
    <row r="472" spans="4:27" ht="14" thickTop="1" thickBot="1">
      <c r="D472" s="65"/>
      <c r="F472" s="7"/>
      <c r="G472" s="8"/>
      <c r="H472" s="7"/>
      <c r="I472" s="6"/>
      <c r="J472" s="7"/>
      <c r="K472" s="8"/>
      <c r="L472" s="7"/>
      <c r="M472" s="8"/>
      <c r="N472" s="7"/>
      <c r="O472" s="8"/>
      <c r="P472" s="7"/>
      <c r="Q472" s="7"/>
      <c r="R472" s="8"/>
      <c r="S472" s="7"/>
      <c r="T472" s="9"/>
      <c r="U472" s="7"/>
      <c r="V472" s="8"/>
      <c r="W472" s="7"/>
      <c r="X472" s="7"/>
      <c r="Y472" s="8"/>
      <c r="Z472" s="7"/>
      <c r="AA472" s="8"/>
    </row>
    <row r="473" spans="4:27" ht="14" thickTop="1" thickBot="1">
      <c r="D473" s="65"/>
      <c r="F473" s="7"/>
      <c r="G473" s="8"/>
      <c r="H473" s="7"/>
      <c r="I473" s="6"/>
      <c r="J473" s="7"/>
      <c r="K473" s="8"/>
      <c r="L473" s="7"/>
      <c r="M473" s="8"/>
      <c r="N473" s="7"/>
      <c r="O473" s="8"/>
      <c r="P473" s="7"/>
      <c r="Q473" s="7"/>
      <c r="R473" s="8"/>
      <c r="S473" s="7"/>
      <c r="T473" s="9"/>
      <c r="U473" s="7"/>
      <c r="V473" s="8"/>
      <c r="W473" s="7"/>
      <c r="X473" s="7"/>
      <c r="Y473" s="8"/>
      <c r="Z473" s="7"/>
      <c r="AA473" s="8"/>
    </row>
    <row r="474" spans="4:27" ht="14" thickTop="1" thickBot="1">
      <c r="D474" s="65"/>
      <c r="F474" s="7"/>
      <c r="G474" s="8"/>
      <c r="H474" s="7"/>
      <c r="I474" s="6"/>
      <c r="J474" s="7"/>
      <c r="K474" s="8"/>
      <c r="L474" s="7"/>
      <c r="M474" s="8"/>
      <c r="N474" s="7"/>
      <c r="O474" s="8"/>
      <c r="P474" s="7"/>
      <c r="Q474" s="7"/>
      <c r="R474" s="8"/>
      <c r="S474" s="7"/>
      <c r="T474" s="9"/>
      <c r="U474" s="7"/>
      <c r="V474" s="8"/>
      <c r="W474" s="7"/>
      <c r="X474" s="7"/>
      <c r="Y474" s="8"/>
      <c r="Z474" s="7"/>
      <c r="AA474" s="8"/>
    </row>
    <row r="475" spans="4:27" ht="14" thickTop="1" thickBot="1">
      <c r="D475" s="65"/>
      <c r="F475" s="7"/>
      <c r="G475" s="8"/>
      <c r="H475" s="7"/>
      <c r="I475" s="6"/>
      <c r="J475" s="7"/>
      <c r="K475" s="8"/>
      <c r="L475" s="7"/>
      <c r="M475" s="8"/>
      <c r="N475" s="7"/>
      <c r="O475" s="8"/>
      <c r="P475" s="7"/>
      <c r="Q475" s="7"/>
      <c r="R475" s="8"/>
      <c r="S475" s="7"/>
      <c r="T475" s="9"/>
      <c r="U475" s="7"/>
      <c r="V475" s="8"/>
      <c r="W475" s="7"/>
      <c r="X475" s="7"/>
      <c r="Y475" s="8"/>
      <c r="Z475" s="7"/>
      <c r="AA475" s="8"/>
    </row>
    <row r="476" spans="4:27" ht="14" thickTop="1" thickBot="1">
      <c r="D476" s="65"/>
      <c r="F476" s="7"/>
      <c r="G476" s="8"/>
      <c r="H476" s="7"/>
      <c r="I476" s="6"/>
      <c r="J476" s="7"/>
      <c r="K476" s="8"/>
      <c r="L476" s="7"/>
      <c r="M476" s="8"/>
      <c r="N476" s="7"/>
      <c r="O476" s="8"/>
      <c r="P476" s="7"/>
      <c r="Q476" s="7"/>
      <c r="R476" s="8"/>
      <c r="S476" s="7"/>
      <c r="T476" s="9"/>
      <c r="U476" s="7"/>
      <c r="V476" s="8"/>
      <c r="W476" s="7"/>
      <c r="X476" s="7"/>
      <c r="Y476" s="8"/>
      <c r="Z476" s="7"/>
      <c r="AA476" s="8"/>
    </row>
    <row r="477" spans="4:27" ht="14" thickTop="1" thickBot="1">
      <c r="D477" s="65"/>
      <c r="F477" s="7"/>
      <c r="G477" s="8"/>
      <c r="H477" s="7"/>
      <c r="I477" s="6"/>
      <c r="J477" s="7"/>
      <c r="K477" s="8"/>
      <c r="L477" s="7"/>
      <c r="M477" s="8"/>
      <c r="N477" s="7"/>
      <c r="O477" s="8"/>
      <c r="P477" s="7"/>
      <c r="Q477" s="7"/>
      <c r="R477" s="8"/>
      <c r="S477" s="7"/>
      <c r="T477" s="9"/>
      <c r="U477" s="7"/>
      <c r="V477" s="8"/>
      <c r="W477" s="7"/>
      <c r="X477" s="7"/>
      <c r="Y477" s="8"/>
      <c r="Z477" s="7"/>
      <c r="AA477" s="8"/>
    </row>
    <row r="478" spans="4:27" ht="14" thickTop="1" thickBot="1">
      <c r="D478" s="65"/>
      <c r="F478" s="7"/>
      <c r="G478" s="8"/>
      <c r="H478" s="7"/>
      <c r="I478" s="6"/>
      <c r="J478" s="7"/>
      <c r="K478" s="8"/>
      <c r="L478" s="7"/>
      <c r="M478" s="8"/>
      <c r="N478" s="7"/>
      <c r="O478" s="8"/>
      <c r="P478" s="7"/>
      <c r="Q478" s="7"/>
      <c r="R478" s="8"/>
      <c r="S478" s="7"/>
      <c r="T478" s="9"/>
      <c r="U478" s="7"/>
      <c r="V478" s="8"/>
      <c r="W478" s="7"/>
      <c r="X478" s="7"/>
      <c r="Y478" s="8"/>
      <c r="Z478" s="7"/>
      <c r="AA478" s="8"/>
    </row>
    <row r="479" spans="4:27" ht="14" thickTop="1" thickBot="1">
      <c r="D479" s="65"/>
      <c r="F479" s="7"/>
      <c r="G479" s="8"/>
      <c r="H479" s="7"/>
      <c r="I479" s="6"/>
      <c r="J479" s="7"/>
      <c r="K479" s="8"/>
      <c r="L479" s="7"/>
      <c r="M479" s="8"/>
      <c r="N479" s="7"/>
      <c r="O479" s="8"/>
      <c r="P479" s="7"/>
      <c r="Q479" s="7"/>
      <c r="R479" s="8"/>
      <c r="S479" s="7"/>
      <c r="T479" s="9"/>
      <c r="U479" s="7"/>
      <c r="V479" s="8"/>
      <c r="W479" s="7"/>
      <c r="X479" s="7"/>
      <c r="Y479" s="8"/>
      <c r="Z479" s="7"/>
      <c r="AA479" s="8"/>
    </row>
    <row r="480" spans="4:27" ht="14" thickTop="1" thickBot="1">
      <c r="D480" s="65"/>
      <c r="F480" s="7"/>
      <c r="G480" s="8"/>
      <c r="H480" s="7"/>
      <c r="I480" s="6"/>
      <c r="J480" s="7"/>
      <c r="K480" s="8"/>
      <c r="L480" s="7"/>
      <c r="M480" s="8"/>
      <c r="N480" s="7"/>
      <c r="O480" s="8"/>
      <c r="P480" s="7"/>
      <c r="Q480" s="7"/>
      <c r="R480" s="8"/>
      <c r="S480" s="7"/>
      <c r="T480" s="9"/>
      <c r="U480" s="7"/>
      <c r="V480" s="8"/>
      <c r="W480" s="7"/>
      <c r="X480" s="7"/>
      <c r="Y480" s="8"/>
      <c r="Z480" s="7"/>
      <c r="AA480" s="8"/>
    </row>
    <row r="481" spans="4:27" ht="14" thickTop="1" thickBot="1">
      <c r="D481" s="65"/>
      <c r="F481" s="7"/>
      <c r="G481" s="8"/>
      <c r="H481" s="7"/>
      <c r="I481" s="6"/>
      <c r="J481" s="7"/>
      <c r="K481" s="8"/>
      <c r="L481" s="7"/>
      <c r="M481" s="8"/>
      <c r="N481" s="7"/>
      <c r="O481" s="8"/>
      <c r="P481" s="7"/>
      <c r="Q481" s="7"/>
      <c r="R481" s="8"/>
      <c r="S481" s="7"/>
      <c r="T481" s="9"/>
      <c r="U481" s="7"/>
      <c r="V481" s="8"/>
      <c r="W481" s="7"/>
      <c r="X481" s="7"/>
      <c r="Y481" s="8"/>
      <c r="Z481" s="7"/>
      <c r="AA481" s="8"/>
    </row>
    <row r="482" spans="4:27" ht="14" thickTop="1" thickBot="1">
      <c r="D482" s="65"/>
      <c r="F482" s="7"/>
      <c r="G482" s="8"/>
      <c r="H482" s="7"/>
      <c r="I482" s="6"/>
      <c r="J482" s="7"/>
      <c r="K482" s="8"/>
      <c r="L482" s="7"/>
      <c r="M482" s="8"/>
      <c r="N482" s="7"/>
      <c r="O482" s="8"/>
      <c r="P482" s="7"/>
      <c r="Q482" s="7"/>
      <c r="R482" s="8"/>
      <c r="S482" s="7"/>
      <c r="T482" s="9"/>
      <c r="U482" s="7"/>
      <c r="V482" s="8"/>
      <c r="W482" s="7"/>
      <c r="X482" s="7"/>
      <c r="Y482" s="8"/>
      <c r="Z482" s="7"/>
      <c r="AA482" s="8"/>
    </row>
    <row r="483" spans="4:27" ht="14" thickTop="1" thickBot="1">
      <c r="D483" s="65"/>
      <c r="F483" s="7"/>
      <c r="G483" s="8"/>
      <c r="H483" s="7"/>
      <c r="I483" s="6"/>
      <c r="J483" s="7"/>
      <c r="K483" s="8"/>
      <c r="L483" s="7"/>
      <c r="M483" s="8"/>
      <c r="N483" s="7"/>
      <c r="O483" s="8"/>
      <c r="P483" s="7"/>
      <c r="Q483" s="7"/>
      <c r="R483" s="8"/>
      <c r="S483" s="7"/>
      <c r="T483" s="9"/>
      <c r="U483" s="7"/>
      <c r="V483" s="8"/>
      <c r="W483" s="7"/>
      <c r="X483" s="7"/>
      <c r="Y483" s="8"/>
      <c r="Z483" s="7"/>
      <c r="AA483" s="8"/>
    </row>
    <row r="484" spans="4:27" ht="13.5" thickBot="1">
      <c r="D484" s="65"/>
      <c r="U484" s="7"/>
      <c r="V484" s="8"/>
    </row>
    <row r="485" spans="4:27">
      <c r="D485" s="65"/>
    </row>
    <row r="486" spans="4:27">
      <c r="D486" s="65"/>
    </row>
    <row r="487" spans="4:27">
      <c r="D487" s="65"/>
    </row>
    <row r="488" spans="4:27">
      <c r="D488" s="65"/>
    </row>
    <row r="489" spans="4:27">
      <c r="D489" s="65"/>
    </row>
    <row r="490" spans="4:27">
      <c r="D490" s="65"/>
    </row>
    <row r="491" spans="4:27">
      <c r="D491" s="65"/>
    </row>
    <row r="492" spans="4:27">
      <c r="D492" s="65"/>
    </row>
    <row r="493" spans="4:27">
      <c r="D493" s="65"/>
    </row>
    <row r="494" spans="4:27">
      <c r="D494" s="65"/>
    </row>
    <row r="495" spans="4:27">
      <c r="D495" s="65"/>
    </row>
    <row r="496" spans="4:27">
      <c r="D496" s="65"/>
    </row>
    <row r="497" spans="4:4">
      <c r="D497" s="65"/>
    </row>
    <row r="498" spans="4:4">
      <c r="D498" s="65"/>
    </row>
    <row r="499" spans="4:4">
      <c r="D499" s="65"/>
    </row>
    <row r="500" spans="4:4">
      <c r="D500" s="65"/>
    </row>
    <row r="501" spans="4:4">
      <c r="D501" s="65"/>
    </row>
    <row r="502" spans="4:4">
      <c r="D502" s="65"/>
    </row>
    <row r="503" spans="4:4">
      <c r="D503" s="65"/>
    </row>
    <row r="504" spans="4:4">
      <c r="D504" s="65"/>
    </row>
    <row r="505" spans="4:4">
      <c r="D505" s="65"/>
    </row>
    <row r="506" spans="4:4">
      <c r="D506" s="65"/>
    </row>
    <row r="507" spans="4:4">
      <c r="D507" s="65"/>
    </row>
    <row r="508" spans="4:4">
      <c r="D508" s="65"/>
    </row>
    <row r="509" spans="4:4">
      <c r="D509" s="65"/>
    </row>
    <row r="510" spans="4:4">
      <c r="D510" s="65"/>
    </row>
    <row r="511" spans="4:4">
      <c r="D511" s="65"/>
    </row>
    <row r="512" spans="4:4">
      <c r="D512" s="65"/>
    </row>
    <row r="513" spans="4:4">
      <c r="D513" s="65"/>
    </row>
    <row r="514" spans="4:4">
      <c r="D514" s="65"/>
    </row>
    <row r="515" spans="4:4">
      <c r="D515" s="65"/>
    </row>
    <row r="516" spans="4:4">
      <c r="D516" s="65"/>
    </row>
    <row r="517" spans="4:4">
      <c r="D517" s="65"/>
    </row>
    <row r="518" spans="4:4">
      <c r="D518" s="65"/>
    </row>
    <row r="519" spans="4:4">
      <c r="D519" s="65"/>
    </row>
    <row r="520" spans="4:4">
      <c r="D520" s="65"/>
    </row>
    <row r="521" spans="4:4">
      <c r="D521" s="65"/>
    </row>
    <row r="522" spans="4:4">
      <c r="D522" s="65"/>
    </row>
    <row r="523" spans="4:4">
      <c r="D523" s="65"/>
    </row>
    <row r="524" spans="4:4">
      <c r="D524" s="65"/>
    </row>
    <row r="525" spans="4:4">
      <c r="D525" s="65"/>
    </row>
    <row r="526" spans="4:4">
      <c r="D526" s="65"/>
    </row>
    <row r="527" spans="4:4">
      <c r="D527" s="65"/>
    </row>
    <row r="528" spans="4:4">
      <c r="D528" s="65"/>
    </row>
    <row r="529" spans="4:4">
      <c r="D529" s="65"/>
    </row>
    <row r="530" spans="4:4">
      <c r="D530" s="65"/>
    </row>
    <row r="531" spans="4:4">
      <c r="D531" s="65"/>
    </row>
    <row r="532" spans="4:4">
      <c r="D532" s="65"/>
    </row>
    <row r="533" spans="4:4">
      <c r="D533" s="65"/>
    </row>
    <row r="534" spans="4:4">
      <c r="D534" s="65"/>
    </row>
    <row r="535" spans="4:4">
      <c r="D535" s="65"/>
    </row>
    <row r="536" spans="4:4">
      <c r="D536" s="65"/>
    </row>
    <row r="537" spans="4:4">
      <c r="D537" s="65"/>
    </row>
    <row r="538" spans="4:4">
      <c r="D538" s="65"/>
    </row>
    <row r="539" spans="4:4">
      <c r="D539" s="65"/>
    </row>
    <row r="540" spans="4:4">
      <c r="D540" s="65"/>
    </row>
    <row r="541" spans="4:4">
      <c r="D541" s="65"/>
    </row>
    <row r="542" spans="4:4">
      <c r="D542" s="65"/>
    </row>
    <row r="543" spans="4:4">
      <c r="D543" s="65"/>
    </row>
    <row r="544" spans="4:4">
      <c r="D544" s="65"/>
    </row>
    <row r="545" spans="4:4">
      <c r="D545" s="65"/>
    </row>
    <row r="546" spans="4:4">
      <c r="D546" s="65"/>
    </row>
    <row r="547" spans="4:4">
      <c r="D547" s="65"/>
    </row>
    <row r="548" spans="4:4">
      <c r="D548" s="65"/>
    </row>
    <row r="549" spans="4:4">
      <c r="D549" s="65"/>
    </row>
    <row r="550" spans="4:4">
      <c r="D550" s="65"/>
    </row>
    <row r="551" spans="4:4">
      <c r="D551" s="65"/>
    </row>
    <row r="552" spans="4:4">
      <c r="D552" s="65"/>
    </row>
    <row r="553" spans="4:4">
      <c r="D553" s="65"/>
    </row>
    <row r="554" spans="4:4">
      <c r="D554" s="65"/>
    </row>
    <row r="555" spans="4:4">
      <c r="D555" s="65"/>
    </row>
    <row r="556" spans="4:4">
      <c r="D556" s="65"/>
    </row>
    <row r="557" spans="4:4">
      <c r="D557" s="65"/>
    </row>
    <row r="558" spans="4:4">
      <c r="D558" s="65"/>
    </row>
    <row r="559" spans="4:4">
      <c r="D559" s="65"/>
    </row>
    <row r="560" spans="4:4">
      <c r="D560" s="65"/>
    </row>
    <row r="561" spans="4:4">
      <c r="D561" s="65"/>
    </row>
    <row r="562" spans="4:4">
      <c r="D562" s="65"/>
    </row>
    <row r="563" spans="4:4">
      <c r="D563" s="65"/>
    </row>
    <row r="564" spans="4:4">
      <c r="D564" s="65"/>
    </row>
    <row r="565" spans="4:4">
      <c r="D565" s="65"/>
    </row>
    <row r="566" spans="4:4">
      <c r="D566" s="65"/>
    </row>
    <row r="567" spans="4:4">
      <c r="D567" s="65"/>
    </row>
    <row r="568" spans="4:4">
      <c r="D568" s="65"/>
    </row>
    <row r="569" spans="4:4">
      <c r="D569" s="65"/>
    </row>
    <row r="570" spans="4:4">
      <c r="D570" s="65"/>
    </row>
    <row r="571" spans="4:4">
      <c r="D571" s="65"/>
    </row>
    <row r="572" spans="4:4">
      <c r="D572" s="65"/>
    </row>
    <row r="573" spans="4:4">
      <c r="D573" s="65"/>
    </row>
    <row r="574" spans="4:4">
      <c r="D574" s="65"/>
    </row>
    <row r="575" spans="4:4">
      <c r="D575" s="65"/>
    </row>
    <row r="576" spans="4:4">
      <c r="D576" s="65"/>
    </row>
    <row r="577" spans="4:4">
      <c r="D577" s="65"/>
    </row>
    <row r="578" spans="4:4">
      <c r="D578" s="65"/>
    </row>
    <row r="579" spans="4:4">
      <c r="D579" s="65"/>
    </row>
    <row r="580" spans="4:4">
      <c r="D580" s="65"/>
    </row>
    <row r="581" spans="4:4">
      <c r="D581" s="65"/>
    </row>
    <row r="582" spans="4:4">
      <c r="D582" s="65"/>
    </row>
    <row r="583" spans="4:4">
      <c r="D583" s="65"/>
    </row>
    <row r="584" spans="4:4">
      <c r="D584" s="65"/>
    </row>
    <row r="585" spans="4:4">
      <c r="D585" s="65"/>
    </row>
    <row r="586" spans="4:4">
      <c r="D586" s="65"/>
    </row>
    <row r="587" spans="4:4">
      <c r="D587" s="65"/>
    </row>
    <row r="588" spans="4:4">
      <c r="D588" s="65"/>
    </row>
    <row r="589" spans="4:4">
      <c r="D589" s="65"/>
    </row>
    <row r="590" spans="4:4">
      <c r="D590" s="65"/>
    </row>
    <row r="591" spans="4:4">
      <c r="D591" s="65"/>
    </row>
    <row r="592" spans="4:4">
      <c r="D592" s="65"/>
    </row>
    <row r="593" spans="4:4">
      <c r="D593" s="65"/>
    </row>
    <row r="594" spans="4:4">
      <c r="D594" s="65"/>
    </row>
    <row r="595" spans="4:4">
      <c r="D595" s="65"/>
    </row>
    <row r="596" spans="4:4">
      <c r="D596" s="65"/>
    </row>
    <row r="597" spans="4:4">
      <c r="D597" s="65"/>
    </row>
    <row r="598" spans="4:4">
      <c r="D598" s="65"/>
    </row>
    <row r="599" spans="4:4">
      <c r="D599" s="65"/>
    </row>
    <row r="600" spans="4:4">
      <c r="D600" s="65"/>
    </row>
    <row r="601" spans="4:4">
      <c r="D601" s="65"/>
    </row>
    <row r="602" spans="4:4">
      <c r="D602" s="65"/>
    </row>
    <row r="603" spans="4:4">
      <c r="D603" s="65"/>
    </row>
    <row r="604" spans="4:4">
      <c r="D604" s="65"/>
    </row>
    <row r="605" spans="4:4">
      <c r="D605" s="65"/>
    </row>
    <row r="606" spans="4:4">
      <c r="D606" s="65"/>
    </row>
    <row r="607" spans="4:4">
      <c r="D607" s="65"/>
    </row>
    <row r="608" spans="4:4">
      <c r="D608" s="65"/>
    </row>
    <row r="609" spans="4:4">
      <c r="D609" s="65"/>
    </row>
    <row r="610" spans="4:4">
      <c r="D610" s="65"/>
    </row>
    <row r="611" spans="4:4">
      <c r="D611" s="65"/>
    </row>
    <row r="612" spans="4:4">
      <c r="D612" s="65"/>
    </row>
    <row r="613" spans="4:4">
      <c r="D613" s="65"/>
    </row>
    <row r="614" spans="4:4">
      <c r="D614" s="65"/>
    </row>
    <row r="615" spans="4:4">
      <c r="D615" s="65"/>
    </row>
    <row r="616" spans="4:4">
      <c r="D616" s="65"/>
    </row>
    <row r="617" spans="4:4">
      <c r="D617" s="65"/>
    </row>
    <row r="618" spans="4:4">
      <c r="D618" s="65"/>
    </row>
    <row r="619" spans="4:4">
      <c r="D619" s="65"/>
    </row>
    <row r="620" spans="4:4">
      <c r="D620" s="65"/>
    </row>
    <row r="621" spans="4:4">
      <c r="D621" s="65"/>
    </row>
    <row r="622" spans="4:4">
      <c r="D622" s="65"/>
    </row>
    <row r="623" spans="4:4">
      <c r="D623" s="65"/>
    </row>
    <row r="624" spans="4:4">
      <c r="D624" s="65"/>
    </row>
    <row r="625" spans="4:4">
      <c r="D625" s="65"/>
    </row>
    <row r="626" spans="4:4">
      <c r="D626" s="65"/>
    </row>
    <row r="627" spans="4:4">
      <c r="D627" s="65"/>
    </row>
    <row r="628" spans="4:4">
      <c r="D628" s="65"/>
    </row>
    <row r="629" spans="4:4">
      <c r="D629" s="65"/>
    </row>
    <row r="630" spans="4:4">
      <c r="D630" s="65"/>
    </row>
    <row r="631" spans="4:4">
      <c r="D631" s="65"/>
    </row>
    <row r="632" spans="4:4">
      <c r="D632" s="65"/>
    </row>
    <row r="633" spans="4:4">
      <c r="D633" s="65"/>
    </row>
    <row r="634" spans="4:4">
      <c r="D634" s="65"/>
    </row>
    <row r="635" spans="4:4">
      <c r="D635" s="65"/>
    </row>
    <row r="636" spans="4:4">
      <c r="D636" s="65"/>
    </row>
    <row r="637" spans="4:4">
      <c r="D637" s="65"/>
    </row>
    <row r="638" spans="4:4">
      <c r="D638" s="65"/>
    </row>
    <row r="639" spans="4:4">
      <c r="D639" s="65"/>
    </row>
    <row r="640" spans="4:4">
      <c r="D640" s="65"/>
    </row>
    <row r="641" spans="4:4">
      <c r="D641" s="65"/>
    </row>
    <row r="642" spans="4:4">
      <c r="D642" s="65"/>
    </row>
    <row r="643" spans="4:4">
      <c r="D643" s="65"/>
    </row>
    <row r="644" spans="4:4">
      <c r="D644" s="65"/>
    </row>
    <row r="645" spans="4:4">
      <c r="D645" s="65"/>
    </row>
    <row r="646" spans="4:4">
      <c r="D646" s="65"/>
    </row>
    <row r="647" spans="4:4">
      <c r="D647" s="65"/>
    </row>
    <row r="648" spans="4:4">
      <c r="D648" s="65"/>
    </row>
    <row r="649" spans="4:4">
      <c r="D649" s="65"/>
    </row>
    <row r="650" spans="4:4">
      <c r="D650" s="65"/>
    </row>
    <row r="651" spans="4:4">
      <c r="D651" s="65"/>
    </row>
    <row r="652" spans="4:4">
      <c r="D652" s="65"/>
    </row>
    <row r="653" spans="4:4">
      <c r="D653" s="65"/>
    </row>
    <row r="654" spans="4:4">
      <c r="D654" s="65"/>
    </row>
    <row r="655" spans="4:4">
      <c r="D655" s="65"/>
    </row>
    <row r="656" spans="4:4">
      <c r="D656" s="65"/>
    </row>
    <row r="657" spans="4:4">
      <c r="D657" s="65"/>
    </row>
    <row r="658" spans="4:4">
      <c r="D658" s="65"/>
    </row>
    <row r="659" spans="4:4">
      <c r="D659" s="65"/>
    </row>
    <row r="660" spans="4:4">
      <c r="D660" s="65"/>
    </row>
    <row r="661" spans="4:4">
      <c r="D661" s="65"/>
    </row>
    <row r="662" spans="4:4">
      <c r="D662" s="65"/>
    </row>
    <row r="663" spans="4:4">
      <c r="D663" s="65"/>
    </row>
    <row r="664" spans="4:4">
      <c r="D664" s="65"/>
    </row>
    <row r="665" spans="4:4">
      <c r="D665" s="65"/>
    </row>
    <row r="666" spans="4:4">
      <c r="D666" s="65"/>
    </row>
    <row r="667" spans="4:4">
      <c r="D667" s="65"/>
    </row>
    <row r="668" spans="4:4">
      <c r="D668" s="65"/>
    </row>
    <row r="669" spans="4:4">
      <c r="D669" s="65"/>
    </row>
    <row r="670" spans="4:4">
      <c r="D670" s="65"/>
    </row>
    <row r="671" spans="4:4">
      <c r="D671" s="65"/>
    </row>
    <row r="672" spans="4:4">
      <c r="D672" s="65"/>
    </row>
    <row r="673" spans="4:4">
      <c r="D673" s="65"/>
    </row>
    <row r="674" spans="4:4">
      <c r="D674" s="65"/>
    </row>
    <row r="675" spans="4:4">
      <c r="D675" s="65"/>
    </row>
    <row r="676" spans="4:4">
      <c r="D676" s="65"/>
    </row>
    <row r="677" spans="4:4">
      <c r="D677" s="65"/>
    </row>
    <row r="678" spans="4:4">
      <c r="D678" s="65"/>
    </row>
    <row r="679" spans="4:4">
      <c r="D679" s="65"/>
    </row>
    <row r="680" spans="4:4">
      <c r="D680" s="65"/>
    </row>
    <row r="681" spans="4:4">
      <c r="D681" s="65"/>
    </row>
    <row r="682" spans="4:4">
      <c r="D682" s="65"/>
    </row>
    <row r="683" spans="4:4">
      <c r="D683" s="65"/>
    </row>
    <row r="684" spans="4:4">
      <c r="D684" s="65"/>
    </row>
    <row r="685" spans="4:4">
      <c r="D685" s="65"/>
    </row>
    <row r="686" spans="4:4">
      <c r="D686" s="65"/>
    </row>
    <row r="687" spans="4:4">
      <c r="D687" s="65"/>
    </row>
    <row r="688" spans="4:4">
      <c r="D688" s="65"/>
    </row>
    <row r="689" spans="4:4">
      <c r="D689" s="65"/>
    </row>
    <row r="690" spans="4:4">
      <c r="D690" s="65"/>
    </row>
    <row r="691" spans="4:4">
      <c r="D691" s="65"/>
    </row>
    <row r="692" spans="4:4">
      <c r="D692" s="65"/>
    </row>
    <row r="693" spans="4:4">
      <c r="D693" s="65"/>
    </row>
    <row r="694" spans="4:4">
      <c r="D694" s="65"/>
    </row>
    <row r="695" spans="4:4">
      <c r="D695" s="65"/>
    </row>
    <row r="696" spans="4:4">
      <c r="D696" s="65"/>
    </row>
    <row r="697" spans="4:4">
      <c r="D697" s="65"/>
    </row>
    <row r="698" spans="4:4">
      <c r="D698" s="65"/>
    </row>
    <row r="699" spans="4:4">
      <c r="D699" s="65"/>
    </row>
    <row r="700" spans="4:4">
      <c r="D700" s="65"/>
    </row>
    <row r="701" spans="4:4">
      <c r="D701" s="65"/>
    </row>
    <row r="702" spans="4:4">
      <c r="D702" s="65"/>
    </row>
    <row r="703" spans="4:4">
      <c r="D703" s="65"/>
    </row>
    <row r="704" spans="4:4">
      <c r="D704" s="65"/>
    </row>
    <row r="705" spans="4:4">
      <c r="D705" s="65"/>
    </row>
    <row r="706" spans="4:4">
      <c r="D706" s="65"/>
    </row>
    <row r="707" spans="4:4">
      <c r="D707" s="65"/>
    </row>
    <row r="708" spans="4:4">
      <c r="D708" s="65"/>
    </row>
    <row r="709" spans="4:4">
      <c r="D709" s="65"/>
    </row>
    <row r="710" spans="4:4">
      <c r="D710" s="65"/>
    </row>
    <row r="711" spans="4:4">
      <c r="D711" s="65"/>
    </row>
    <row r="712" spans="4:4">
      <c r="D712" s="65"/>
    </row>
    <row r="713" spans="4:4">
      <c r="D713" s="65"/>
    </row>
    <row r="714" spans="4:4">
      <c r="D714" s="65"/>
    </row>
    <row r="715" spans="4:4">
      <c r="D715" s="65"/>
    </row>
    <row r="716" spans="4:4">
      <c r="D716" s="65"/>
    </row>
    <row r="717" spans="4:4">
      <c r="D717" s="65"/>
    </row>
    <row r="718" spans="4:4">
      <c r="D718" s="65"/>
    </row>
    <row r="719" spans="4:4">
      <c r="D719" s="65"/>
    </row>
    <row r="720" spans="4:4">
      <c r="D720" s="65"/>
    </row>
    <row r="721" spans="4:4">
      <c r="D721" s="65"/>
    </row>
    <row r="722" spans="4:4">
      <c r="D722" s="65"/>
    </row>
    <row r="723" spans="4:4">
      <c r="D723" s="65"/>
    </row>
    <row r="724" spans="4:4">
      <c r="D724" s="65"/>
    </row>
    <row r="725" spans="4:4">
      <c r="D725" s="65"/>
    </row>
    <row r="726" spans="4:4">
      <c r="D726" s="65"/>
    </row>
    <row r="727" spans="4:4">
      <c r="D727" s="65"/>
    </row>
    <row r="728" spans="4:4">
      <c r="D728" s="65"/>
    </row>
    <row r="729" spans="4:4">
      <c r="D729" s="65"/>
    </row>
    <row r="730" spans="4:4">
      <c r="D730" s="65"/>
    </row>
    <row r="731" spans="4:4">
      <c r="D731" s="65"/>
    </row>
    <row r="732" spans="4:4">
      <c r="D732" s="65"/>
    </row>
    <row r="733" spans="4:4">
      <c r="D733" s="65"/>
    </row>
    <row r="734" spans="4:4">
      <c r="D734" s="65"/>
    </row>
    <row r="735" spans="4:4">
      <c r="D735" s="65"/>
    </row>
    <row r="736" spans="4:4">
      <c r="D736" s="65"/>
    </row>
    <row r="737" spans="4:4">
      <c r="D737" s="65"/>
    </row>
    <row r="738" spans="4:4">
      <c r="D738" s="65"/>
    </row>
    <row r="739" spans="4:4">
      <c r="D739" s="65"/>
    </row>
    <row r="740" spans="4:4">
      <c r="D740" s="65"/>
    </row>
    <row r="741" spans="4:4">
      <c r="D741" s="65"/>
    </row>
    <row r="742" spans="4:4">
      <c r="D742" s="65"/>
    </row>
    <row r="743" spans="4:4">
      <c r="D743" s="65"/>
    </row>
    <row r="744" spans="4:4">
      <c r="D744" s="65"/>
    </row>
    <row r="745" spans="4:4">
      <c r="D745" s="65"/>
    </row>
    <row r="746" spans="4:4">
      <c r="D746" s="65"/>
    </row>
    <row r="747" spans="4:4">
      <c r="D747" s="65"/>
    </row>
    <row r="748" spans="4:4">
      <c r="D748" s="65"/>
    </row>
    <row r="749" spans="4:4">
      <c r="D749" s="65"/>
    </row>
    <row r="750" spans="4:4">
      <c r="D750" s="65"/>
    </row>
    <row r="751" spans="4:4">
      <c r="D751" s="65"/>
    </row>
    <row r="752" spans="4:4">
      <c r="D752" s="65"/>
    </row>
    <row r="753" spans="4:4">
      <c r="D753" s="65"/>
    </row>
    <row r="754" spans="4:4">
      <c r="D754" s="65"/>
    </row>
    <row r="755" spans="4:4">
      <c r="D755" s="65"/>
    </row>
    <row r="756" spans="4:4">
      <c r="D756" s="65"/>
    </row>
    <row r="757" spans="4:4">
      <c r="D757" s="65"/>
    </row>
    <row r="758" spans="4:4">
      <c r="D758" s="65"/>
    </row>
    <row r="759" spans="4:4">
      <c r="D759" s="65"/>
    </row>
    <row r="760" spans="4:4">
      <c r="D760" s="65"/>
    </row>
    <row r="761" spans="4:4">
      <c r="D761" s="65"/>
    </row>
    <row r="762" spans="4:4">
      <c r="D762" s="65"/>
    </row>
    <row r="763" spans="4:4">
      <c r="D763" s="65"/>
    </row>
    <row r="764" spans="4:4">
      <c r="D764" s="65"/>
    </row>
    <row r="765" spans="4:4">
      <c r="D765" s="65"/>
    </row>
    <row r="766" spans="4:4">
      <c r="D766" s="65"/>
    </row>
    <row r="767" spans="4:4">
      <c r="D767" s="65"/>
    </row>
    <row r="768" spans="4:4">
      <c r="D768" s="65"/>
    </row>
    <row r="769" spans="4:4">
      <c r="D769" s="65"/>
    </row>
    <row r="770" spans="4:4">
      <c r="D770" s="65"/>
    </row>
    <row r="771" spans="4:4">
      <c r="D771" s="65"/>
    </row>
    <row r="772" spans="4:4">
      <c r="D772" s="65"/>
    </row>
    <row r="773" spans="4:4">
      <c r="D773" s="65"/>
    </row>
    <row r="774" spans="4:4">
      <c r="D774" s="65"/>
    </row>
    <row r="775" spans="4:4">
      <c r="D775" s="65"/>
    </row>
    <row r="776" spans="4:4">
      <c r="D776" s="65"/>
    </row>
    <row r="777" spans="4:4">
      <c r="D777" s="65"/>
    </row>
    <row r="778" spans="4:4">
      <c r="D778" s="65"/>
    </row>
    <row r="779" spans="4:4">
      <c r="D779" s="65"/>
    </row>
    <row r="780" spans="4:4">
      <c r="D780" s="65"/>
    </row>
    <row r="781" spans="4:4">
      <c r="D781" s="65"/>
    </row>
    <row r="782" spans="4:4">
      <c r="D782" s="65"/>
    </row>
    <row r="783" spans="4:4">
      <c r="D783" s="65"/>
    </row>
    <row r="784" spans="4:4">
      <c r="D784" s="65"/>
    </row>
    <row r="785" spans="4:4">
      <c r="D785" s="65"/>
    </row>
    <row r="786" spans="4:4">
      <c r="D786" s="65"/>
    </row>
    <row r="787" spans="4:4">
      <c r="D787" s="65"/>
    </row>
    <row r="788" spans="4:4">
      <c r="D788" s="65"/>
    </row>
    <row r="789" spans="4:4">
      <c r="D789" s="65"/>
    </row>
    <row r="790" spans="4:4">
      <c r="D790" s="65"/>
    </row>
    <row r="791" spans="4:4">
      <c r="D791" s="65"/>
    </row>
    <row r="792" spans="4:4">
      <c r="D792" s="65"/>
    </row>
    <row r="793" spans="4:4">
      <c r="D793" s="65"/>
    </row>
    <row r="794" spans="4:4">
      <c r="D794" s="65"/>
    </row>
    <row r="795" spans="4:4">
      <c r="D795" s="65"/>
    </row>
    <row r="796" spans="4:4">
      <c r="D796" s="65"/>
    </row>
    <row r="797" spans="4:4">
      <c r="D797" s="65"/>
    </row>
    <row r="798" spans="4:4">
      <c r="D798" s="65"/>
    </row>
    <row r="799" spans="4:4">
      <c r="D799" s="65"/>
    </row>
    <row r="800" spans="4:4">
      <c r="D800" s="65"/>
    </row>
    <row r="801" spans="4:4">
      <c r="D801" s="65"/>
    </row>
    <row r="802" spans="4:4">
      <c r="D802" s="65"/>
    </row>
    <row r="803" spans="4:4">
      <c r="D803" s="65"/>
    </row>
    <row r="804" spans="4:4">
      <c r="D804" s="65"/>
    </row>
    <row r="805" spans="4:4">
      <c r="D805" s="65"/>
    </row>
    <row r="806" spans="4:4">
      <c r="D806" s="65"/>
    </row>
    <row r="807" spans="4:4">
      <c r="D807" s="65"/>
    </row>
    <row r="808" spans="4:4">
      <c r="D808" s="65"/>
    </row>
    <row r="809" spans="4:4">
      <c r="D809" s="65"/>
    </row>
    <row r="810" spans="4:4">
      <c r="D810" s="65"/>
    </row>
    <row r="811" spans="4:4">
      <c r="D811" s="65"/>
    </row>
    <row r="812" spans="4:4">
      <c r="D812" s="65"/>
    </row>
    <row r="813" spans="4:4">
      <c r="D813" s="65"/>
    </row>
    <row r="814" spans="4:4">
      <c r="D814" s="65"/>
    </row>
    <row r="815" spans="4:4">
      <c r="D815" s="65"/>
    </row>
    <row r="816" spans="4:4">
      <c r="D816" s="65"/>
    </row>
    <row r="817" spans="4:4">
      <c r="D817" s="65"/>
    </row>
    <row r="818" spans="4:4">
      <c r="D818" s="65"/>
    </row>
    <row r="819" spans="4:4">
      <c r="D819" s="65"/>
    </row>
    <row r="820" spans="4:4">
      <c r="D820" s="65"/>
    </row>
    <row r="821" spans="4:4">
      <c r="D821" s="65"/>
    </row>
    <row r="822" spans="4:4">
      <c r="D822" s="65"/>
    </row>
    <row r="823" spans="4:4">
      <c r="D823" s="65"/>
    </row>
    <row r="824" spans="4:4">
      <c r="D824" s="65"/>
    </row>
    <row r="825" spans="4:4">
      <c r="D825" s="65"/>
    </row>
    <row r="826" spans="4:4">
      <c r="D826" s="65"/>
    </row>
    <row r="827" spans="4:4">
      <c r="D827" s="65"/>
    </row>
    <row r="828" spans="4:4">
      <c r="D828" s="65"/>
    </row>
    <row r="829" spans="4:4">
      <c r="D829" s="65"/>
    </row>
    <row r="830" spans="4:4">
      <c r="D830" s="65"/>
    </row>
    <row r="831" spans="4:4">
      <c r="D831" s="65"/>
    </row>
    <row r="832" spans="4:4">
      <c r="D832" s="65"/>
    </row>
    <row r="833" spans="4:4">
      <c r="D833" s="65"/>
    </row>
    <row r="834" spans="4:4">
      <c r="D834" s="65"/>
    </row>
    <row r="835" spans="4:4">
      <c r="D835" s="65"/>
    </row>
    <row r="836" spans="4:4">
      <c r="D836" s="65"/>
    </row>
    <row r="837" spans="4:4">
      <c r="D837" s="65"/>
    </row>
    <row r="838" spans="4:4">
      <c r="D838" s="65"/>
    </row>
    <row r="839" spans="4:4">
      <c r="D839" s="65"/>
    </row>
    <row r="840" spans="4:4">
      <c r="D840" s="65"/>
    </row>
    <row r="841" spans="4:4">
      <c r="D841" s="65"/>
    </row>
    <row r="842" spans="4:4">
      <c r="D842" s="65"/>
    </row>
    <row r="843" spans="4:4">
      <c r="D843" s="65"/>
    </row>
    <row r="844" spans="4:4">
      <c r="D844" s="65"/>
    </row>
    <row r="845" spans="4:4">
      <c r="D845" s="65"/>
    </row>
    <row r="846" spans="4:4">
      <c r="D846" s="65"/>
    </row>
    <row r="847" spans="4:4">
      <c r="D847" s="65"/>
    </row>
    <row r="848" spans="4:4">
      <c r="D848" s="65"/>
    </row>
    <row r="849" spans="4:4">
      <c r="D849" s="65"/>
    </row>
    <row r="850" spans="4:4">
      <c r="D850" s="65"/>
    </row>
    <row r="851" spans="4:4">
      <c r="D851" s="65"/>
    </row>
    <row r="852" spans="4:4">
      <c r="D852" s="65"/>
    </row>
    <row r="853" spans="4:4">
      <c r="D853" s="65"/>
    </row>
    <row r="854" spans="4:4">
      <c r="D854" s="65"/>
    </row>
    <row r="855" spans="4:4">
      <c r="D855" s="65"/>
    </row>
    <row r="856" spans="4:4">
      <c r="D856" s="65"/>
    </row>
    <row r="857" spans="4:4">
      <c r="D857" s="65"/>
    </row>
    <row r="858" spans="4:4">
      <c r="D858" s="65"/>
    </row>
    <row r="859" spans="4:4">
      <c r="D859" s="65"/>
    </row>
    <row r="860" spans="4:4">
      <c r="D860" s="65"/>
    </row>
    <row r="861" spans="4:4">
      <c r="D861" s="65"/>
    </row>
    <row r="862" spans="4:4">
      <c r="D862" s="65"/>
    </row>
    <row r="863" spans="4:4">
      <c r="D863" s="65"/>
    </row>
    <row r="864" spans="4:4">
      <c r="D864" s="65"/>
    </row>
    <row r="865" spans="4:4">
      <c r="D865" s="65"/>
    </row>
    <row r="866" spans="4:4">
      <c r="D866" s="65"/>
    </row>
    <row r="867" spans="4:4">
      <c r="D867" s="65"/>
    </row>
    <row r="868" spans="4:4">
      <c r="D868" s="65"/>
    </row>
    <row r="869" spans="4:4">
      <c r="D869" s="65"/>
    </row>
    <row r="870" spans="4:4">
      <c r="D870" s="65"/>
    </row>
    <row r="871" spans="4:4">
      <c r="D871" s="65"/>
    </row>
    <row r="872" spans="4:4">
      <c r="D872" s="65"/>
    </row>
    <row r="873" spans="4:4">
      <c r="D873" s="65"/>
    </row>
    <row r="874" spans="4:4">
      <c r="D874" s="65"/>
    </row>
    <row r="875" spans="4:4">
      <c r="D875" s="65"/>
    </row>
    <row r="876" spans="4:4">
      <c r="D876" s="65"/>
    </row>
    <row r="877" spans="4:4">
      <c r="D877" s="65"/>
    </row>
    <row r="878" spans="4:4">
      <c r="D878" s="65"/>
    </row>
    <row r="879" spans="4:4">
      <c r="D879" s="65"/>
    </row>
    <row r="880" spans="4:4">
      <c r="D880" s="65"/>
    </row>
    <row r="881" spans="4:4">
      <c r="D881" s="65"/>
    </row>
    <row r="882" spans="4:4">
      <c r="D882" s="65"/>
    </row>
    <row r="883" spans="4:4">
      <c r="D883" s="65"/>
    </row>
    <row r="884" spans="4:4">
      <c r="D884" s="65"/>
    </row>
    <row r="885" spans="4:4">
      <c r="D885" s="65"/>
    </row>
    <row r="886" spans="4:4">
      <c r="D886" s="65"/>
    </row>
    <row r="887" spans="4:4">
      <c r="D887" s="65"/>
    </row>
    <row r="888" spans="4:4">
      <c r="D888" s="65"/>
    </row>
    <row r="889" spans="4:4">
      <c r="D889" s="65"/>
    </row>
    <row r="890" spans="4:4">
      <c r="D890" s="65"/>
    </row>
    <row r="891" spans="4:4">
      <c r="D891" s="65"/>
    </row>
    <row r="892" spans="4:4">
      <c r="D892" s="65"/>
    </row>
    <row r="893" spans="4:4">
      <c r="D893" s="65"/>
    </row>
    <row r="894" spans="4:4">
      <c r="D894" s="65"/>
    </row>
    <row r="895" spans="4:4">
      <c r="D895" s="65"/>
    </row>
    <row r="896" spans="4:4">
      <c r="D896" s="65"/>
    </row>
    <row r="897" spans="4:4">
      <c r="D897" s="65"/>
    </row>
    <row r="898" spans="4:4">
      <c r="D898" s="65"/>
    </row>
    <row r="899" spans="4:4">
      <c r="D899" s="65"/>
    </row>
    <row r="900" spans="4:4">
      <c r="D900" s="65"/>
    </row>
    <row r="901" spans="4:4">
      <c r="D901" s="65"/>
    </row>
    <row r="902" spans="4:4">
      <c r="D902" s="65"/>
    </row>
    <row r="903" spans="4:4">
      <c r="D903" s="65"/>
    </row>
    <row r="904" spans="4:4">
      <c r="D904" s="65"/>
    </row>
    <row r="905" spans="4:4">
      <c r="D905" s="65"/>
    </row>
    <row r="906" spans="4:4">
      <c r="D906" s="65"/>
    </row>
    <row r="907" spans="4:4">
      <c r="D907" s="65"/>
    </row>
    <row r="908" spans="4:4">
      <c r="D908" s="65"/>
    </row>
    <row r="909" spans="4:4">
      <c r="D909" s="65"/>
    </row>
    <row r="910" spans="4:4">
      <c r="D910" s="65"/>
    </row>
    <row r="911" spans="4:4">
      <c r="D911" s="65"/>
    </row>
    <row r="912" spans="4:4">
      <c r="D912" s="65"/>
    </row>
    <row r="913" spans="4:4">
      <c r="D913" s="65"/>
    </row>
    <row r="914" spans="4:4">
      <c r="D914" s="65"/>
    </row>
    <row r="915" spans="4:4">
      <c r="D915" s="65"/>
    </row>
    <row r="916" spans="4:4">
      <c r="D916" s="65"/>
    </row>
    <row r="917" spans="4:4">
      <c r="D917" s="65"/>
    </row>
    <row r="918" spans="4:4">
      <c r="D918" s="65"/>
    </row>
    <row r="919" spans="4:4">
      <c r="D919" s="65"/>
    </row>
    <row r="920" spans="4:4">
      <c r="D920" s="65"/>
    </row>
    <row r="921" spans="4:4">
      <c r="D921" s="65"/>
    </row>
    <row r="922" spans="4:4">
      <c r="D922" s="65"/>
    </row>
    <row r="923" spans="4:4">
      <c r="D923" s="65"/>
    </row>
    <row r="924" spans="4:4">
      <c r="D924" s="65"/>
    </row>
    <row r="925" spans="4:4">
      <c r="D925" s="65"/>
    </row>
    <row r="926" spans="4:4">
      <c r="D926" s="65"/>
    </row>
    <row r="927" spans="4:4">
      <c r="D927" s="65"/>
    </row>
    <row r="928" spans="4:4">
      <c r="D928" s="65"/>
    </row>
    <row r="929" spans="4:4">
      <c r="D929" s="65"/>
    </row>
    <row r="930" spans="4:4">
      <c r="D930" s="65"/>
    </row>
    <row r="931" spans="4:4">
      <c r="D931" s="65"/>
    </row>
    <row r="932" spans="4:4">
      <c r="D932" s="65"/>
    </row>
    <row r="933" spans="4:4">
      <c r="D933" s="65"/>
    </row>
    <row r="934" spans="4:4">
      <c r="D934" s="65"/>
    </row>
    <row r="935" spans="4:4">
      <c r="D935" s="65"/>
    </row>
    <row r="936" spans="4:4">
      <c r="D936" s="65"/>
    </row>
    <row r="937" spans="4:4">
      <c r="D937" s="65"/>
    </row>
    <row r="938" spans="4:4">
      <c r="D938" s="65"/>
    </row>
    <row r="939" spans="4:4">
      <c r="D939" s="65"/>
    </row>
    <row r="940" spans="4:4">
      <c r="D940" s="65"/>
    </row>
    <row r="941" spans="4:4">
      <c r="D941" s="65"/>
    </row>
    <row r="942" spans="4:4">
      <c r="D942" s="65"/>
    </row>
    <row r="943" spans="4:4">
      <c r="D943" s="65"/>
    </row>
    <row r="944" spans="4:4">
      <c r="D944" s="65"/>
    </row>
    <row r="945" spans="4:4">
      <c r="D945" s="65"/>
    </row>
    <row r="946" spans="4:4">
      <c r="D946" s="65"/>
    </row>
    <row r="947" spans="4:4">
      <c r="D947" s="65"/>
    </row>
    <row r="948" spans="4:4">
      <c r="D948" s="65"/>
    </row>
    <row r="949" spans="4:4">
      <c r="D949" s="65"/>
    </row>
    <row r="950" spans="4:4">
      <c r="D950" s="65"/>
    </row>
    <row r="951" spans="4:4">
      <c r="D951" s="65"/>
    </row>
    <row r="952" spans="4:4">
      <c r="D952" s="65"/>
    </row>
    <row r="953" spans="4:4">
      <c r="D953" s="65"/>
    </row>
    <row r="954" spans="4:4">
      <c r="D954" s="65"/>
    </row>
    <row r="955" spans="4:4">
      <c r="D955" s="65"/>
    </row>
    <row r="956" spans="4:4">
      <c r="D956" s="65"/>
    </row>
    <row r="957" spans="4:4">
      <c r="D957" s="65"/>
    </row>
    <row r="958" spans="4:4">
      <c r="D958" s="65"/>
    </row>
    <row r="959" spans="4:4">
      <c r="D959" s="65"/>
    </row>
    <row r="960" spans="4:4">
      <c r="D960" s="65"/>
    </row>
    <row r="961" spans="4:4">
      <c r="D961" s="65"/>
    </row>
    <row r="962" spans="4:4">
      <c r="D962" s="65"/>
    </row>
    <row r="963" spans="4:4">
      <c r="D963" s="65"/>
    </row>
    <row r="964" spans="4:4">
      <c r="D964" s="65"/>
    </row>
    <row r="965" spans="4:4">
      <c r="D965" s="65"/>
    </row>
    <row r="966" spans="4:4">
      <c r="D966" s="65"/>
    </row>
    <row r="967" spans="4:4">
      <c r="D967" s="65"/>
    </row>
    <row r="968" spans="4:4">
      <c r="D968" s="65"/>
    </row>
    <row r="969" spans="4:4">
      <c r="D969" s="65"/>
    </row>
    <row r="970" spans="4:4">
      <c r="D970" s="65"/>
    </row>
    <row r="971" spans="4:4">
      <c r="D971" s="65"/>
    </row>
    <row r="972" spans="4:4">
      <c r="D972" s="65"/>
    </row>
    <row r="973" spans="4:4">
      <c r="D973" s="65"/>
    </row>
    <row r="974" spans="4:4">
      <c r="D974" s="65"/>
    </row>
    <row r="975" spans="4:4">
      <c r="D975" s="65"/>
    </row>
    <row r="976" spans="4:4">
      <c r="D976" s="65"/>
    </row>
    <row r="977" spans="4:4">
      <c r="D977" s="65"/>
    </row>
    <row r="978" spans="4:4">
      <c r="D978" s="65"/>
    </row>
    <row r="979" spans="4:4">
      <c r="D979" s="65"/>
    </row>
    <row r="980" spans="4:4">
      <c r="D980" s="65"/>
    </row>
    <row r="981" spans="4:4">
      <c r="D981" s="65"/>
    </row>
    <row r="982" spans="4:4">
      <c r="D982" s="65"/>
    </row>
    <row r="983" spans="4:4">
      <c r="D983" s="65"/>
    </row>
    <row r="984" spans="4:4">
      <c r="D984" s="65"/>
    </row>
    <row r="985" spans="4:4">
      <c r="D985" s="65"/>
    </row>
    <row r="986" spans="4:4">
      <c r="D986" s="65"/>
    </row>
    <row r="987" spans="4:4">
      <c r="D987" s="65"/>
    </row>
    <row r="988" spans="4:4">
      <c r="D988" s="65"/>
    </row>
    <row r="989" spans="4:4">
      <c r="D989" s="65"/>
    </row>
    <row r="990" spans="4:4">
      <c r="D990" s="65"/>
    </row>
    <row r="991" spans="4:4">
      <c r="D991" s="65"/>
    </row>
    <row r="992" spans="4:4">
      <c r="D992" s="65"/>
    </row>
    <row r="993" spans="4:4">
      <c r="D993" s="65"/>
    </row>
    <row r="994" spans="4:4">
      <c r="D994" s="65"/>
    </row>
    <row r="995" spans="4:4">
      <c r="D995" s="65"/>
    </row>
    <row r="996" spans="4:4">
      <c r="D996" s="65"/>
    </row>
    <row r="997" spans="4:4">
      <c r="D997" s="65"/>
    </row>
    <row r="998" spans="4:4">
      <c r="D998" s="65"/>
    </row>
    <row r="999" spans="4:4">
      <c r="D999" s="65"/>
    </row>
    <row r="1000" spans="4:4">
      <c r="D1000" s="65"/>
    </row>
    <row r="1001" spans="4:4">
      <c r="D1001" s="65"/>
    </row>
    <row r="1002" spans="4:4">
      <c r="D1002" s="65"/>
    </row>
    <row r="1003" spans="4:4">
      <c r="D1003" s="65"/>
    </row>
    <row r="1004" spans="4:4">
      <c r="D1004" s="65"/>
    </row>
    <row r="1005" spans="4:4">
      <c r="D1005" s="65"/>
    </row>
    <row r="1006" spans="4:4">
      <c r="D1006" s="65"/>
    </row>
    <row r="1007" spans="4:4">
      <c r="D1007" s="65"/>
    </row>
    <row r="1008" spans="4:4">
      <c r="D1008" s="65"/>
    </row>
    <row r="1009" spans="4:4">
      <c r="D1009" s="65"/>
    </row>
    <row r="1010" spans="4:4">
      <c r="D1010" s="65"/>
    </row>
    <row r="1011" spans="4:4">
      <c r="D1011" s="65"/>
    </row>
    <row r="1012" spans="4:4">
      <c r="D1012" s="65"/>
    </row>
    <row r="1013" spans="4:4">
      <c r="D1013" s="65"/>
    </row>
    <row r="1014" spans="4:4">
      <c r="D1014" s="65"/>
    </row>
    <row r="1015" spans="4:4">
      <c r="D1015" s="65"/>
    </row>
    <row r="1016" spans="4:4">
      <c r="D1016" s="65"/>
    </row>
    <row r="1017" spans="4:4">
      <c r="D1017" s="65"/>
    </row>
    <row r="1018" spans="4:4">
      <c r="D1018" s="65"/>
    </row>
    <row r="1019" spans="4:4">
      <c r="D1019" s="65"/>
    </row>
    <row r="1020" spans="4:4">
      <c r="D1020" s="65"/>
    </row>
    <row r="1021" spans="4:4">
      <c r="D1021" s="65"/>
    </row>
    <row r="1022" spans="4:4">
      <c r="D1022" s="65"/>
    </row>
    <row r="1023" spans="4:4">
      <c r="D1023" s="65"/>
    </row>
    <row r="1024" spans="4:4">
      <c r="D1024" s="65"/>
    </row>
    <row r="1025" spans="4:4">
      <c r="D1025" s="65"/>
    </row>
    <row r="1026" spans="4:4">
      <c r="D1026" s="65"/>
    </row>
    <row r="1027" spans="4:4">
      <c r="D1027" s="65"/>
    </row>
    <row r="1028" spans="4:4">
      <c r="D1028" s="65"/>
    </row>
    <row r="1029" spans="4:4">
      <c r="D1029" s="65"/>
    </row>
    <row r="1030" spans="4:4">
      <c r="D1030" s="65"/>
    </row>
    <row r="1031" spans="4:4">
      <c r="D1031" s="65"/>
    </row>
    <row r="1032" spans="4:4">
      <c r="D1032" s="65"/>
    </row>
    <row r="1033" spans="4:4">
      <c r="D1033" s="65"/>
    </row>
    <row r="1034" spans="4:4">
      <c r="D1034" s="65"/>
    </row>
    <row r="1035" spans="4:4">
      <c r="D1035" s="65"/>
    </row>
    <row r="1036" spans="4:4">
      <c r="D1036" s="65"/>
    </row>
    <row r="1037" spans="4:4">
      <c r="D1037" s="65"/>
    </row>
    <row r="1038" spans="4:4">
      <c r="D1038" s="65"/>
    </row>
    <row r="1039" spans="4:4">
      <c r="D1039" s="65"/>
    </row>
    <row r="1040" spans="4:4">
      <c r="D1040" s="65"/>
    </row>
    <row r="1041" spans="4:4">
      <c r="D1041" s="65"/>
    </row>
    <row r="1042" spans="4:4">
      <c r="D1042" s="65"/>
    </row>
    <row r="1043" spans="4:4">
      <c r="D1043" s="65"/>
    </row>
    <row r="1044" spans="4:4">
      <c r="D1044" s="65"/>
    </row>
    <row r="1045" spans="4:4">
      <c r="D1045" s="65"/>
    </row>
    <row r="1046" spans="4:4">
      <c r="D1046" s="65"/>
    </row>
    <row r="1047" spans="4:4">
      <c r="D1047" s="65"/>
    </row>
    <row r="1048" spans="4:4">
      <c r="D1048" s="65"/>
    </row>
    <row r="1049" spans="4:4">
      <c r="D1049" s="65"/>
    </row>
    <row r="1050" spans="4:4">
      <c r="D1050" s="65"/>
    </row>
    <row r="1051" spans="4:4">
      <c r="D1051" s="65"/>
    </row>
    <row r="1052" spans="4:4">
      <c r="D1052" s="65"/>
    </row>
    <row r="1053" spans="4:4">
      <c r="D1053" s="65"/>
    </row>
    <row r="1054" spans="4:4">
      <c r="D1054" s="65"/>
    </row>
    <row r="1055" spans="4:4">
      <c r="D1055" s="65"/>
    </row>
    <row r="1056" spans="4:4">
      <c r="D1056" s="65"/>
    </row>
    <row r="1057" spans="4:4">
      <c r="D1057" s="65"/>
    </row>
    <row r="1058" spans="4:4">
      <c r="D1058" s="65"/>
    </row>
    <row r="1059" spans="4:4">
      <c r="D1059" s="65"/>
    </row>
    <row r="1060" spans="4:4">
      <c r="D1060" s="65"/>
    </row>
    <row r="1061" spans="4:4">
      <c r="D1061" s="65"/>
    </row>
    <row r="1062" spans="4:4">
      <c r="D1062" s="65"/>
    </row>
    <row r="1063" spans="4:4">
      <c r="D1063" s="65"/>
    </row>
    <row r="1064" spans="4:4">
      <c r="D1064" s="65"/>
    </row>
    <row r="1065" spans="4:4">
      <c r="D1065" s="65"/>
    </row>
    <row r="1066" spans="4:4">
      <c r="D1066" s="65"/>
    </row>
    <row r="1067" spans="4:4">
      <c r="D1067" s="65"/>
    </row>
    <row r="1068" spans="4:4">
      <c r="D1068" s="65"/>
    </row>
    <row r="1069" spans="4:4">
      <c r="D1069" s="65"/>
    </row>
    <row r="1070" spans="4:4">
      <c r="D1070" s="65"/>
    </row>
    <row r="1071" spans="4:4">
      <c r="D1071" s="65"/>
    </row>
    <row r="1072" spans="4:4">
      <c r="D1072" s="65"/>
    </row>
    <row r="1073" spans="4:4">
      <c r="D1073" s="65"/>
    </row>
    <row r="1074" spans="4:4">
      <c r="D1074" s="65"/>
    </row>
    <row r="1075" spans="4:4">
      <c r="D1075" s="65"/>
    </row>
    <row r="1076" spans="4:4">
      <c r="D1076" s="65"/>
    </row>
    <row r="1077" spans="4:4">
      <c r="D1077" s="65"/>
    </row>
    <row r="1078" spans="4:4">
      <c r="D1078" s="65"/>
    </row>
    <row r="1079" spans="4:4">
      <c r="D1079" s="65"/>
    </row>
    <row r="1080" spans="4:4">
      <c r="D1080" s="65"/>
    </row>
    <row r="1081" spans="4:4">
      <c r="D1081" s="65"/>
    </row>
    <row r="1082" spans="4:4">
      <c r="D1082" s="65"/>
    </row>
    <row r="1083" spans="4:4">
      <c r="D1083" s="65"/>
    </row>
    <row r="1084" spans="4:4">
      <c r="D1084" s="65"/>
    </row>
    <row r="1085" spans="4:4">
      <c r="D1085" s="65"/>
    </row>
    <row r="1086" spans="4:4">
      <c r="D1086" s="65"/>
    </row>
    <row r="1087" spans="4:4">
      <c r="D1087" s="65"/>
    </row>
    <row r="1088" spans="4:4">
      <c r="D1088" s="65"/>
    </row>
    <row r="1089" spans="4:4">
      <c r="D1089" s="65"/>
    </row>
    <row r="1090" spans="4:4">
      <c r="D1090" s="65"/>
    </row>
    <row r="1091" spans="4:4">
      <c r="D1091" s="65"/>
    </row>
    <row r="1092" spans="4:4">
      <c r="D1092" s="65"/>
    </row>
    <row r="1093" spans="4:4">
      <c r="D1093" s="65"/>
    </row>
    <row r="1094" spans="4:4">
      <c r="D1094" s="65"/>
    </row>
    <row r="1095" spans="4:4">
      <c r="D1095" s="65"/>
    </row>
    <row r="1096" spans="4:4">
      <c r="D1096" s="65"/>
    </row>
    <row r="1097" spans="4:4">
      <c r="D1097" s="65"/>
    </row>
    <row r="1098" spans="4:4">
      <c r="D1098" s="65"/>
    </row>
    <row r="1099" spans="4:4">
      <c r="D1099" s="65"/>
    </row>
    <row r="1100" spans="4:4">
      <c r="D1100" s="65"/>
    </row>
    <row r="1101" spans="4:4">
      <c r="D1101" s="65"/>
    </row>
    <row r="1102" spans="4:4">
      <c r="D1102" s="65"/>
    </row>
    <row r="1103" spans="4:4">
      <c r="D1103" s="65"/>
    </row>
    <row r="1104" spans="4:4">
      <c r="D1104" s="65"/>
    </row>
    <row r="1105" spans="4:4">
      <c r="D1105" s="65"/>
    </row>
    <row r="1106" spans="4:4">
      <c r="D1106" s="65"/>
    </row>
    <row r="1107" spans="4:4">
      <c r="D1107" s="65"/>
    </row>
    <row r="1108" spans="4:4">
      <c r="D1108" s="65"/>
    </row>
    <row r="1109" spans="4:4">
      <c r="D1109" s="65"/>
    </row>
    <row r="1110" spans="4:4">
      <c r="D1110" s="65"/>
    </row>
    <row r="1111" spans="4:4">
      <c r="D1111" s="65"/>
    </row>
    <row r="1112" spans="4:4">
      <c r="D1112" s="65"/>
    </row>
    <row r="1113" spans="4:4">
      <c r="D1113" s="65"/>
    </row>
    <row r="1114" spans="4:4">
      <c r="D1114" s="65"/>
    </row>
    <row r="1115" spans="4:4">
      <c r="D1115" s="65"/>
    </row>
    <row r="1116" spans="4:4">
      <c r="D1116" s="65"/>
    </row>
    <row r="1117" spans="4:4">
      <c r="D1117" s="65"/>
    </row>
    <row r="1118" spans="4:4">
      <c r="D1118" s="65"/>
    </row>
    <row r="1119" spans="4:4">
      <c r="D1119" s="65"/>
    </row>
    <row r="1120" spans="4:4">
      <c r="D1120" s="65"/>
    </row>
    <row r="1121" spans="4:4">
      <c r="D1121" s="65"/>
    </row>
    <row r="1122" spans="4:4">
      <c r="D1122" s="65"/>
    </row>
    <row r="1123" spans="4:4">
      <c r="D1123" s="65"/>
    </row>
    <row r="1124" spans="4:4">
      <c r="D1124" s="65"/>
    </row>
    <row r="1125" spans="4:4">
      <c r="D1125" s="65"/>
    </row>
    <row r="1126" spans="4:4">
      <c r="D1126" s="65"/>
    </row>
    <row r="1127" spans="4:4">
      <c r="D1127" s="65"/>
    </row>
    <row r="1128" spans="4:4">
      <c r="D1128" s="65"/>
    </row>
    <row r="1129" spans="4:4">
      <c r="D1129" s="65"/>
    </row>
    <row r="1130" spans="4:4">
      <c r="D1130" s="65"/>
    </row>
    <row r="1131" spans="4:4">
      <c r="D1131" s="65"/>
    </row>
    <row r="1132" spans="4:4">
      <c r="D1132" s="65"/>
    </row>
    <row r="1133" spans="4:4">
      <c r="D1133" s="65"/>
    </row>
    <row r="1134" spans="4:4">
      <c r="D1134" s="65"/>
    </row>
    <row r="1135" spans="4:4">
      <c r="D1135" s="65"/>
    </row>
    <row r="1136" spans="4:4">
      <c r="D1136" s="65"/>
    </row>
    <row r="1137" spans="4:4">
      <c r="D1137" s="65"/>
    </row>
    <row r="1138" spans="4:4">
      <c r="D1138" s="65"/>
    </row>
    <row r="1139" spans="4:4">
      <c r="D1139" s="65"/>
    </row>
    <row r="1140" spans="4:4">
      <c r="D1140" s="65"/>
    </row>
    <row r="1141" spans="4:4">
      <c r="D1141" s="65"/>
    </row>
    <row r="1142" spans="4:4">
      <c r="D1142" s="65"/>
    </row>
    <row r="1143" spans="4:4">
      <c r="D1143" s="65"/>
    </row>
    <row r="1144" spans="4:4">
      <c r="D1144" s="65"/>
    </row>
    <row r="1145" spans="4:4">
      <c r="D1145" s="65"/>
    </row>
    <row r="1146" spans="4:4">
      <c r="D1146" s="65"/>
    </row>
    <row r="1147" spans="4:4">
      <c r="D1147" s="65"/>
    </row>
    <row r="1148" spans="4:4">
      <c r="D1148" s="65"/>
    </row>
    <row r="1149" spans="4:4">
      <c r="D1149" s="65"/>
    </row>
    <row r="1150" spans="4:4">
      <c r="D1150" s="65"/>
    </row>
    <row r="1151" spans="4:4">
      <c r="D1151" s="65"/>
    </row>
    <row r="1152" spans="4:4">
      <c r="D1152" s="65"/>
    </row>
    <row r="1153" spans="4:4">
      <c r="D1153" s="65"/>
    </row>
    <row r="1154" spans="4:4">
      <c r="D1154" s="65"/>
    </row>
    <row r="1155" spans="4:4">
      <c r="D1155" s="65"/>
    </row>
    <row r="1156" spans="4:4">
      <c r="D1156" s="65"/>
    </row>
    <row r="1157" spans="4:4">
      <c r="D1157" s="65"/>
    </row>
    <row r="1158" spans="4:4">
      <c r="D1158" s="65"/>
    </row>
    <row r="1159" spans="4:4">
      <c r="D1159" s="65"/>
    </row>
    <row r="1160" spans="4:4">
      <c r="D1160" s="65"/>
    </row>
    <row r="1161" spans="4:4">
      <c r="D1161" s="65"/>
    </row>
    <row r="1162" spans="4:4">
      <c r="D1162" s="65"/>
    </row>
    <row r="1163" spans="4:4">
      <c r="D1163" s="65"/>
    </row>
    <row r="1164" spans="4:4">
      <c r="D1164" s="65"/>
    </row>
    <row r="1165" spans="4:4">
      <c r="D1165" s="65"/>
    </row>
    <row r="1166" spans="4:4">
      <c r="D1166" s="65"/>
    </row>
    <row r="1167" spans="4:4">
      <c r="D1167" s="65"/>
    </row>
    <row r="1168" spans="4:4">
      <c r="D1168" s="65"/>
    </row>
    <row r="1169" spans="4:4">
      <c r="D1169" s="65"/>
    </row>
    <row r="1170" spans="4:4">
      <c r="D1170" s="65"/>
    </row>
    <row r="1171" spans="4:4">
      <c r="D1171" s="65"/>
    </row>
    <row r="1172" spans="4:4">
      <c r="D1172" s="65"/>
    </row>
    <row r="1173" spans="4:4">
      <c r="D1173" s="65"/>
    </row>
    <row r="1174" spans="4:4">
      <c r="D1174" s="65"/>
    </row>
    <row r="1175" spans="4:4">
      <c r="D1175" s="65"/>
    </row>
    <row r="1176" spans="4:4">
      <c r="D1176" s="65"/>
    </row>
    <row r="1177" spans="4:4">
      <c r="D1177" s="65"/>
    </row>
    <row r="1178" spans="4:4">
      <c r="D1178" s="65"/>
    </row>
    <row r="1179" spans="4:4">
      <c r="D1179" s="65"/>
    </row>
    <row r="1180" spans="4:4">
      <c r="D1180" s="65"/>
    </row>
    <row r="1181" spans="4:4">
      <c r="D1181" s="65"/>
    </row>
    <row r="1182" spans="4:4">
      <c r="D1182" s="65"/>
    </row>
    <row r="1183" spans="4:4">
      <c r="D1183" s="65"/>
    </row>
    <row r="1184" spans="4:4">
      <c r="D1184" s="65"/>
    </row>
    <row r="1185" spans="4:4">
      <c r="D1185" s="65"/>
    </row>
    <row r="1186" spans="4:4">
      <c r="D1186" s="65"/>
    </row>
    <row r="1187" spans="4:4">
      <c r="D1187" s="65"/>
    </row>
    <row r="1188" spans="4:4">
      <c r="D1188" s="65"/>
    </row>
    <row r="1189" spans="4:4">
      <c r="D1189" s="65"/>
    </row>
    <row r="1190" spans="4:4">
      <c r="D1190" s="65"/>
    </row>
    <row r="1191" spans="4:4">
      <c r="D1191" s="65"/>
    </row>
    <row r="1192" spans="4:4">
      <c r="D1192" s="65"/>
    </row>
    <row r="1193" spans="4:4">
      <c r="D1193" s="65"/>
    </row>
    <row r="1194" spans="4:4">
      <c r="D1194" s="65"/>
    </row>
    <row r="1195" spans="4:4">
      <c r="D1195" s="65"/>
    </row>
    <row r="1196" spans="4:4">
      <c r="D1196" s="65"/>
    </row>
    <row r="1197" spans="4:4">
      <c r="D1197" s="65"/>
    </row>
    <row r="1198" spans="4:4">
      <c r="D1198" s="65"/>
    </row>
    <row r="1199" spans="4:4">
      <c r="D1199" s="65"/>
    </row>
    <row r="1200" spans="4:4">
      <c r="D1200" s="65"/>
    </row>
    <row r="1201" spans="4:4">
      <c r="D1201" s="65"/>
    </row>
    <row r="1202" spans="4:4">
      <c r="D1202" s="65"/>
    </row>
    <row r="1203" spans="4:4">
      <c r="D1203" s="65"/>
    </row>
    <row r="1204" spans="4:4">
      <c r="D1204" s="65"/>
    </row>
    <row r="1205" spans="4:4">
      <c r="D1205" s="65"/>
    </row>
    <row r="1206" spans="4:4">
      <c r="D1206" s="65"/>
    </row>
    <row r="1207" spans="4:4">
      <c r="D1207" s="65"/>
    </row>
    <row r="1208" spans="4:4">
      <c r="D1208" s="65"/>
    </row>
    <row r="1209" spans="4:4">
      <c r="D1209" s="65"/>
    </row>
    <row r="1210" spans="4:4">
      <c r="D1210" s="65"/>
    </row>
    <row r="1211" spans="4:4">
      <c r="D1211" s="65"/>
    </row>
    <row r="1212" spans="4:4">
      <c r="D1212" s="65"/>
    </row>
    <row r="1213" spans="4:4">
      <c r="D1213" s="65"/>
    </row>
    <row r="1214" spans="4:4">
      <c r="D1214" s="65"/>
    </row>
    <row r="1215" spans="4:4">
      <c r="D1215" s="65"/>
    </row>
    <row r="1216" spans="4:4">
      <c r="D1216" s="65"/>
    </row>
    <row r="1217" spans="4:4">
      <c r="D1217" s="65"/>
    </row>
    <row r="1218" spans="4:4">
      <c r="D1218" s="65"/>
    </row>
    <row r="1219" spans="4:4">
      <c r="D1219" s="65"/>
    </row>
    <row r="1220" spans="4:4">
      <c r="D1220" s="65"/>
    </row>
    <row r="1221" spans="4:4">
      <c r="D1221" s="65"/>
    </row>
    <row r="1222" spans="4:4">
      <c r="D1222" s="65"/>
    </row>
    <row r="1223" spans="4:4">
      <c r="D1223" s="65"/>
    </row>
    <row r="1224" spans="4:4">
      <c r="D1224" s="65"/>
    </row>
    <row r="1225" spans="4:4">
      <c r="D1225" s="65"/>
    </row>
    <row r="1226" spans="4:4">
      <c r="D1226" s="65"/>
    </row>
    <row r="1227" spans="4:4">
      <c r="D1227" s="65"/>
    </row>
    <row r="1228" spans="4:4">
      <c r="D1228" s="65"/>
    </row>
    <row r="1229" spans="4:4">
      <c r="D1229" s="65"/>
    </row>
    <row r="1230" spans="4:4">
      <c r="D1230" s="65"/>
    </row>
    <row r="1231" spans="4:4">
      <c r="D1231" s="65"/>
    </row>
    <row r="1232" spans="4:4">
      <c r="D1232" s="65"/>
    </row>
    <row r="1233" spans="4:4">
      <c r="D1233" s="65"/>
    </row>
    <row r="1234" spans="4:4">
      <c r="D1234" s="65"/>
    </row>
    <row r="1235" spans="4:4">
      <c r="D1235" s="65"/>
    </row>
    <row r="1236" spans="4:4">
      <c r="D1236" s="65"/>
    </row>
    <row r="1237" spans="4:4">
      <c r="D1237" s="65"/>
    </row>
    <row r="1238" spans="4:4">
      <c r="D1238" s="65"/>
    </row>
    <row r="1239" spans="4:4">
      <c r="D1239" s="65"/>
    </row>
    <row r="1240" spans="4:4">
      <c r="D1240" s="65"/>
    </row>
    <row r="1241" spans="4:4">
      <c r="D1241" s="65"/>
    </row>
    <row r="1242" spans="4:4">
      <c r="D1242" s="65"/>
    </row>
    <row r="1243" spans="4:4">
      <c r="D1243" s="65"/>
    </row>
    <row r="1244" spans="4:4">
      <c r="D1244" s="65"/>
    </row>
    <row r="1245" spans="4:4">
      <c r="D1245" s="65"/>
    </row>
    <row r="1246" spans="4:4">
      <c r="D1246" s="65"/>
    </row>
    <row r="1247" spans="4:4">
      <c r="D1247" s="65"/>
    </row>
    <row r="1248" spans="4:4">
      <c r="D1248" s="65"/>
    </row>
    <row r="1249" spans="4:4">
      <c r="D1249" s="65"/>
    </row>
    <row r="1250" spans="4:4">
      <c r="D1250" s="65"/>
    </row>
    <row r="1251" spans="4:4">
      <c r="D1251" s="65"/>
    </row>
    <row r="1252" spans="4:4">
      <c r="D1252" s="65"/>
    </row>
    <row r="1253" spans="4:4">
      <c r="D1253" s="65"/>
    </row>
    <row r="1254" spans="4:4">
      <c r="D1254" s="65"/>
    </row>
    <row r="1255" spans="4:4">
      <c r="D1255" s="65"/>
    </row>
    <row r="1256" spans="4:4">
      <c r="D1256" s="65"/>
    </row>
    <row r="1257" spans="4:4">
      <c r="D1257" s="65"/>
    </row>
    <row r="1258" spans="4:4">
      <c r="D1258" s="65"/>
    </row>
    <row r="1259" spans="4:4">
      <c r="D1259" s="65"/>
    </row>
    <row r="1260" spans="4:4">
      <c r="D1260" s="65"/>
    </row>
    <row r="1261" spans="4:4">
      <c r="D1261" s="65"/>
    </row>
    <row r="1262" spans="4:4">
      <c r="D1262" s="65"/>
    </row>
    <row r="1263" spans="4:4">
      <c r="D1263" s="65"/>
    </row>
    <row r="1264" spans="4:4">
      <c r="D1264" s="65"/>
    </row>
    <row r="1265" spans="4:4">
      <c r="D1265" s="65"/>
    </row>
    <row r="1266" spans="4:4">
      <c r="D1266" s="65"/>
    </row>
    <row r="1267" spans="4:4">
      <c r="D1267" s="65"/>
    </row>
    <row r="1268" spans="4:4">
      <c r="D1268" s="65"/>
    </row>
    <row r="1269" spans="4:4">
      <c r="D1269" s="65"/>
    </row>
    <row r="1270" spans="4:4">
      <c r="D1270" s="65"/>
    </row>
    <row r="1271" spans="4:4">
      <c r="D1271" s="65"/>
    </row>
    <row r="1272" spans="4:4">
      <c r="D1272" s="65"/>
    </row>
    <row r="1273" spans="4:4">
      <c r="D1273" s="65"/>
    </row>
    <row r="1274" spans="4:4">
      <c r="D1274" s="65"/>
    </row>
    <row r="1275" spans="4:4">
      <c r="D1275" s="65"/>
    </row>
    <row r="1276" spans="4:4">
      <c r="D1276" s="65"/>
    </row>
    <row r="1277" spans="4:4">
      <c r="D1277" s="65"/>
    </row>
    <row r="1278" spans="4:4">
      <c r="D1278" s="65"/>
    </row>
    <row r="1279" spans="4:4">
      <c r="D1279" s="65"/>
    </row>
    <row r="1280" spans="4:4">
      <c r="D1280" s="65"/>
    </row>
    <row r="1281" spans="4:4">
      <c r="D1281" s="65"/>
    </row>
    <row r="1282" spans="4:4">
      <c r="D1282" s="65"/>
    </row>
    <row r="1283" spans="4:4">
      <c r="D1283" s="65"/>
    </row>
    <row r="1284" spans="4:4">
      <c r="D1284" s="65"/>
    </row>
    <row r="1285" spans="4:4">
      <c r="D1285" s="65"/>
    </row>
    <row r="1286" spans="4:4">
      <c r="D1286" s="65"/>
    </row>
    <row r="1287" spans="4:4">
      <c r="D1287" s="65"/>
    </row>
    <row r="1288" spans="4:4">
      <c r="D1288" s="65"/>
    </row>
    <row r="1289" spans="4:4">
      <c r="D1289" s="65"/>
    </row>
    <row r="1290" spans="4:4">
      <c r="D1290" s="65"/>
    </row>
    <row r="1291" spans="4:4">
      <c r="D1291" s="65"/>
    </row>
    <row r="1292" spans="4:4">
      <c r="D1292" s="65"/>
    </row>
    <row r="1293" spans="4:4">
      <c r="D1293" s="65"/>
    </row>
    <row r="1294" spans="4:4">
      <c r="D1294" s="65"/>
    </row>
    <row r="1295" spans="4:4">
      <c r="D1295" s="65"/>
    </row>
    <row r="1296" spans="4:4">
      <c r="D1296" s="65"/>
    </row>
    <row r="1297" spans="4:4">
      <c r="D1297" s="65"/>
    </row>
    <row r="1298" spans="4:4">
      <c r="D1298" s="65"/>
    </row>
    <row r="1299" spans="4:4">
      <c r="D1299" s="65"/>
    </row>
    <row r="1300" spans="4:4">
      <c r="D1300" s="65"/>
    </row>
    <row r="1301" spans="4:4">
      <c r="D1301" s="65"/>
    </row>
    <row r="1302" spans="4:4">
      <c r="D1302" s="65"/>
    </row>
    <row r="1303" spans="4:4">
      <c r="D1303" s="65"/>
    </row>
    <row r="1304" spans="4:4">
      <c r="D1304" s="65"/>
    </row>
    <row r="1305" spans="4:4">
      <c r="D1305" s="65"/>
    </row>
    <row r="1306" spans="4:4">
      <c r="D1306" s="65"/>
    </row>
    <row r="1307" spans="4:4">
      <c r="D1307" s="65"/>
    </row>
    <row r="1308" spans="4:4">
      <c r="D1308" s="65"/>
    </row>
    <row r="1309" spans="4:4">
      <c r="D1309" s="65"/>
    </row>
    <row r="1310" spans="4:4">
      <c r="D1310" s="65"/>
    </row>
    <row r="1311" spans="4:4">
      <c r="D1311" s="65"/>
    </row>
    <row r="1312" spans="4:4">
      <c r="D1312" s="65"/>
    </row>
    <row r="1313" spans="4:4">
      <c r="D1313" s="65"/>
    </row>
    <row r="1314" spans="4:4">
      <c r="D1314" s="65"/>
    </row>
    <row r="1315" spans="4:4">
      <c r="D1315" s="65"/>
    </row>
    <row r="1316" spans="4:4">
      <c r="D1316" s="65"/>
    </row>
    <row r="1317" spans="4:4">
      <c r="D1317" s="65"/>
    </row>
    <row r="1318" spans="4:4">
      <c r="D1318" s="65"/>
    </row>
    <row r="1319" spans="4:4">
      <c r="D1319" s="65"/>
    </row>
    <row r="1320" spans="4:4">
      <c r="D1320" s="65"/>
    </row>
    <row r="1321" spans="4:4">
      <c r="D1321" s="65"/>
    </row>
    <row r="1322" spans="4:4">
      <c r="D1322" s="65"/>
    </row>
    <row r="1323" spans="4:4">
      <c r="D1323" s="65"/>
    </row>
    <row r="1324" spans="4:4">
      <c r="D1324" s="65"/>
    </row>
    <row r="1325" spans="4:4">
      <c r="D1325" s="65"/>
    </row>
    <row r="1326" spans="4:4">
      <c r="D1326" s="65"/>
    </row>
    <row r="1327" spans="4:4">
      <c r="D1327" s="65"/>
    </row>
    <row r="1328" spans="4:4">
      <c r="D1328" s="65"/>
    </row>
    <row r="1329" spans="4:4">
      <c r="D1329" s="65"/>
    </row>
    <row r="1330" spans="4:4">
      <c r="D1330" s="65"/>
    </row>
    <row r="1331" spans="4:4">
      <c r="D1331" s="65"/>
    </row>
    <row r="1332" spans="4:4">
      <c r="D1332" s="65"/>
    </row>
    <row r="1333" spans="4:4">
      <c r="D1333" s="65"/>
    </row>
    <row r="1334" spans="4:4">
      <c r="D1334" s="65"/>
    </row>
    <row r="1335" spans="4:4">
      <c r="D1335" s="65"/>
    </row>
    <row r="1336" spans="4:4">
      <c r="D1336" s="65"/>
    </row>
    <row r="1337" spans="4:4">
      <c r="D1337" s="65"/>
    </row>
    <row r="1338" spans="4:4">
      <c r="D1338" s="65"/>
    </row>
    <row r="1339" spans="4:4">
      <c r="D1339" s="65"/>
    </row>
    <row r="1340" spans="4:4">
      <c r="D1340" s="65"/>
    </row>
    <row r="1341" spans="4:4">
      <c r="D1341" s="65"/>
    </row>
    <row r="1342" spans="4:4">
      <c r="D1342" s="65"/>
    </row>
    <row r="1343" spans="4:4">
      <c r="D1343" s="65"/>
    </row>
    <row r="1344" spans="4:4">
      <c r="D1344" s="65"/>
    </row>
    <row r="1345" spans="4:4">
      <c r="D1345" s="65"/>
    </row>
    <row r="1346" spans="4:4">
      <c r="D1346" s="65"/>
    </row>
    <row r="1347" spans="4:4">
      <c r="D1347" s="65"/>
    </row>
    <row r="1348" spans="4:4">
      <c r="D1348" s="65"/>
    </row>
    <row r="1349" spans="4:4">
      <c r="D1349" s="65"/>
    </row>
    <row r="1350" spans="4:4">
      <c r="D1350" s="65"/>
    </row>
    <row r="1351" spans="4:4">
      <c r="D1351" s="65"/>
    </row>
    <row r="1352" spans="4:4">
      <c r="D1352" s="65"/>
    </row>
    <row r="1353" spans="4:4">
      <c r="D1353" s="65"/>
    </row>
    <row r="1354" spans="4:4">
      <c r="D1354" s="65"/>
    </row>
    <row r="1355" spans="4:4">
      <c r="D1355" s="65"/>
    </row>
    <row r="1356" spans="4:4">
      <c r="D1356" s="65"/>
    </row>
    <row r="1357" spans="4:4">
      <c r="D1357" s="65"/>
    </row>
    <row r="1358" spans="4:4">
      <c r="D1358" s="65"/>
    </row>
    <row r="1359" spans="4:4">
      <c r="D1359" s="65"/>
    </row>
    <row r="1360" spans="4:4">
      <c r="D1360" s="65"/>
    </row>
    <row r="1361" spans="4:4">
      <c r="D1361" s="65"/>
    </row>
    <row r="1362" spans="4:4">
      <c r="D1362" s="65"/>
    </row>
    <row r="1363" spans="4:4">
      <c r="D1363" s="65"/>
    </row>
    <row r="1364" spans="4:4">
      <c r="D1364" s="65"/>
    </row>
    <row r="1365" spans="4:4">
      <c r="D1365" s="65"/>
    </row>
    <row r="1366" spans="4:4">
      <c r="D1366" s="65"/>
    </row>
    <row r="1367" spans="4:4">
      <c r="D1367" s="65"/>
    </row>
    <row r="1368" spans="4:4">
      <c r="D1368" s="65"/>
    </row>
    <row r="1369" spans="4:4">
      <c r="D1369" s="65"/>
    </row>
    <row r="1370" spans="4:4">
      <c r="D1370" s="65"/>
    </row>
    <row r="1371" spans="4:4">
      <c r="D1371" s="65"/>
    </row>
    <row r="1372" spans="4:4">
      <c r="D1372" s="65"/>
    </row>
    <row r="1373" spans="4:4">
      <c r="D1373" s="65"/>
    </row>
    <row r="1374" spans="4:4">
      <c r="D1374" s="65"/>
    </row>
    <row r="1375" spans="4:4">
      <c r="D1375" s="65"/>
    </row>
    <row r="1376" spans="4:4">
      <c r="D1376" s="65"/>
    </row>
    <row r="1377" spans="4:4">
      <c r="D1377" s="65"/>
    </row>
    <row r="1378" spans="4:4">
      <c r="D1378" s="65"/>
    </row>
    <row r="1379" spans="4:4">
      <c r="D1379" s="65"/>
    </row>
    <row r="1380" spans="4:4">
      <c r="D1380" s="65"/>
    </row>
    <row r="1381" spans="4:4">
      <c r="D1381" s="65"/>
    </row>
    <row r="1382" spans="4:4">
      <c r="D1382" s="65"/>
    </row>
    <row r="1383" spans="4:4">
      <c r="D1383" s="65"/>
    </row>
    <row r="1384" spans="4:4">
      <c r="D1384" s="65"/>
    </row>
    <row r="1385" spans="4:4">
      <c r="D1385" s="65"/>
    </row>
    <row r="1386" spans="4:4">
      <c r="D1386" s="65"/>
    </row>
    <row r="1387" spans="4:4">
      <c r="D1387" s="65"/>
    </row>
    <row r="1388" spans="4:4">
      <c r="D1388" s="65"/>
    </row>
    <row r="1389" spans="4:4">
      <c r="D1389" s="65"/>
    </row>
    <row r="1390" spans="4:4">
      <c r="D1390" s="65"/>
    </row>
    <row r="1391" spans="4:4">
      <c r="D1391" s="65"/>
    </row>
    <row r="1392" spans="4:4">
      <c r="D1392" s="65"/>
    </row>
    <row r="1393" spans="4:4">
      <c r="D1393" s="65"/>
    </row>
    <row r="1394" spans="4:4">
      <c r="D1394" s="65"/>
    </row>
    <row r="1395" spans="4:4">
      <c r="D1395" s="65"/>
    </row>
    <row r="1396" spans="4:4">
      <c r="D1396" s="65"/>
    </row>
    <row r="1397" spans="4:4">
      <c r="D1397" s="65"/>
    </row>
    <row r="1398" spans="4:4">
      <c r="D1398" s="65"/>
    </row>
    <row r="1399" spans="4:4">
      <c r="D1399" s="65"/>
    </row>
    <row r="1400" spans="4:4">
      <c r="D1400" s="65"/>
    </row>
    <row r="1401" spans="4:4">
      <c r="D1401" s="65"/>
    </row>
    <row r="1402" spans="4:4">
      <c r="D1402" s="65"/>
    </row>
    <row r="1403" spans="4:4">
      <c r="D1403" s="65"/>
    </row>
    <row r="1404" spans="4:4">
      <c r="D1404" s="65"/>
    </row>
    <row r="1405" spans="4:4">
      <c r="D1405" s="65"/>
    </row>
    <row r="1406" spans="4:4">
      <c r="D1406" s="65"/>
    </row>
    <row r="1407" spans="4:4">
      <c r="D1407" s="65"/>
    </row>
    <row r="1408" spans="4:4">
      <c r="D1408" s="65"/>
    </row>
    <row r="1409" spans="4:4">
      <c r="D1409" s="65"/>
    </row>
    <row r="1410" spans="4:4">
      <c r="D1410" s="65"/>
    </row>
    <row r="1411" spans="4:4">
      <c r="D1411" s="65"/>
    </row>
    <row r="1412" spans="4:4">
      <c r="D1412" s="65"/>
    </row>
    <row r="1413" spans="4:4">
      <c r="D1413" s="65"/>
    </row>
    <row r="1414" spans="4:4">
      <c r="D1414" s="65"/>
    </row>
    <row r="1415" spans="4:4">
      <c r="D1415" s="65"/>
    </row>
    <row r="1416" spans="4:4">
      <c r="D1416" s="65"/>
    </row>
    <row r="1417" spans="4:4">
      <c r="D1417" s="65"/>
    </row>
    <row r="1418" spans="4:4">
      <c r="D1418" s="65"/>
    </row>
    <row r="1419" spans="4:4">
      <c r="D1419" s="65"/>
    </row>
    <row r="1420" spans="4:4">
      <c r="D1420" s="65"/>
    </row>
    <row r="1421" spans="4:4">
      <c r="D1421" s="65"/>
    </row>
    <row r="1422" spans="4:4">
      <c r="D1422" s="65"/>
    </row>
    <row r="1423" spans="4:4">
      <c r="D1423" s="65"/>
    </row>
    <row r="1424" spans="4:4">
      <c r="D1424" s="65"/>
    </row>
    <row r="1425" spans="4:4">
      <c r="D1425" s="65"/>
    </row>
    <row r="1426" spans="4:4">
      <c r="D1426" s="65"/>
    </row>
    <row r="1427" spans="4:4">
      <c r="D1427" s="65"/>
    </row>
    <row r="1428" spans="4:4">
      <c r="D1428" s="65"/>
    </row>
    <row r="1429" spans="4:4">
      <c r="D1429" s="65"/>
    </row>
    <row r="1430" spans="4:4">
      <c r="D1430" s="65"/>
    </row>
    <row r="1431" spans="4:4">
      <c r="D1431" s="65"/>
    </row>
    <row r="1432" spans="4:4">
      <c r="D1432" s="65"/>
    </row>
    <row r="1433" spans="4:4">
      <c r="D1433" s="65"/>
    </row>
    <row r="1434" spans="4:4">
      <c r="D1434" s="65"/>
    </row>
    <row r="1435" spans="4:4">
      <c r="D1435" s="65"/>
    </row>
    <row r="1436" spans="4:4">
      <c r="D1436" s="65"/>
    </row>
    <row r="1437" spans="4:4">
      <c r="D1437" s="65"/>
    </row>
    <row r="1438" spans="4:4">
      <c r="D1438" s="65"/>
    </row>
    <row r="1439" spans="4:4">
      <c r="D1439" s="65"/>
    </row>
    <row r="1440" spans="4:4">
      <c r="D1440" s="65"/>
    </row>
    <row r="1441" spans="4:4">
      <c r="D1441" s="65"/>
    </row>
    <row r="1442" spans="4:4">
      <c r="D1442" s="65"/>
    </row>
    <row r="1443" spans="4:4">
      <c r="D1443" s="65"/>
    </row>
    <row r="1444" spans="4:4">
      <c r="D1444" s="65"/>
    </row>
    <row r="1445" spans="4:4">
      <c r="D1445" s="65"/>
    </row>
    <row r="1446" spans="4:4">
      <c r="D1446" s="65"/>
    </row>
    <row r="1447" spans="4:4">
      <c r="D1447" s="65"/>
    </row>
    <row r="1448" spans="4:4">
      <c r="D1448" s="65"/>
    </row>
    <row r="1449" spans="4:4">
      <c r="D1449" s="65"/>
    </row>
    <row r="1450" spans="4:4">
      <c r="D1450" s="65"/>
    </row>
    <row r="1451" spans="4:4">
      <c r="D1451" s="65"/>
    </row>
    <row r="1452" spans="4:4">
      <c r="D1452" s="65"/>
    </row>
    <row r="1453" spans="4:4">
      <c r="D1453" s="65"/>
    </row>
    <row r="1454" spans="4:4">
      <c r="D1454" s="65"/>
    </row>
    <row r="1455" spans="4:4">
      <c r="D1455" s="65"/>
    </row>
    <row r="1456" spans="4:4">
      <c r="D1456" s="65"/>
    </row>
    <row r="1457" spans="4:4">
      <c r="D1457" s="65"/>
    </row>
    <row r="1458" spans="4:4">
      <c r="D1458" s="65"/>
    </row>
    <row r="1459" spans="4:4">
      <c r="D1459" s="65"/>
    </row>
    <row r="1460" spans="4:4">
      <c r="D1460" s="65"/>
    </row>
    <row r="1461" spans="4:4">
      <c r="D1461" s="65"/>
    </row>
    <row r="1462" spans="4:4">
      <c r="D1462" s="65"/>
    </row>
    <row r="1463" spans="4:4">
      <c r="D1463" s="65"/>
    </row>
    <row r="1464" spans="4:4">
      <c r="D1464" s="65"/>
    </row>
    <row r="1465" spans="4:4">
      <c r="D1465" s="65"/>
    </row>
    <row r="1466" spans="4:4">
      <c r="D1466" s="65"/>
    </row>
    <row r="1467" spans="4:4">
      <c r="D1467" s="65"/>
    </row>
    <row r="1468" spans="4:4">
      <c r="D1468" s="65"/>
    </row>
    <row r="1469" spans="4:4">
      <c r="D1469" s="65"/>
    </row>
    <row r="1470" spans="4:4">
      <c r="D1470" s="65"/>
    </row>
    <row r="1471" spans="4:4">
      <c r="D1471" s="65"/>
    </row>
    <row r="1472" spans="4:4">
      <c r="D1472" s="65"/>
    </row>
    <row r="1473" spans="4:4">
      <c r="D1473" s="65"/>
    </row>
    <row r="1474" spans="4:4">
      <c r="D1474" s="65"/>
    </row>
    <row r="1475" spans="4:4">
      <c r="D1475" s="65"/>
    </row>
    <row r="1476" spans="4:4">
      <c r="D1476" s="65"/>
    </row>
    <row r="1477" spans="4:4">
      <c r="D1477" s="65"/>
    </row>
    <row r="1478" spans="4:4">
      <c r="D1478" s="65"/>
    </row>
    <row r="1479" spans="4:4">
      <c r="D1479" s="65"/>
    </row>
    <row r="1480" spans="4:4">
      <c r="D1480" s="65"/>
    </row>
    <row r="1481" spans="4:4">
      <c r="D1481" s="65"/>
    </row>
    <row r="1482" spans="4:4">
      <c r="D1482" s="65"/>
    </row>
    <row r="1483" spans="4:4">
      <c r="D1483" s="65"/>
    </row>
    <row r="1484" spans="4:4">
      <c r="D1484" s="65"/>
    </row>
    <row r="1485" spans="4:4">
      <c r="D1485" s="65"/>
    </row>
    <row r="1486" spans="4:4">
      <c r="D1486" s="65"/>
    </row>
    <row r="1487" spans="4:4">
      <c r="D1487" s="65"/>
    </row>
    <row r="1488" spans="4:4">
      <c r="D1488" s="65"/>
    </row>
    <row r="1489" spans="4:4">
      <c r="D1489" s="65"/>
    </row>
    <row r="1490" spans="4:4">
      <c r="D1490" s="65"/>
    </row>
    <row r="1491" spans="4:4">
      <c r="D1491" s="65"/>
    </row>
    <row r="1492" spans="4:4">
      <c r="D1492" s="65"/>
    </row>
    <row r="1493" spans="4:4">
      <c r="D1493" s="65"/>
    </row>
    <row r="1494" spans="4:4">
      <c r="D1494" s="65"/>
    </row>
    <row r="1495" spans="4:4">
      <c r="D1495" s="65"/>
    </row>
    <row r="1496" spans="4:4">
      <c r="D1496" s="65"/>
    </row>
    <row r="1497" spans="4:4">
      <c r="D1497" s="65"/>
    </row>
    <row r="1498" spans="4:4">
      <c r="D1498" s="65"/>
    </row>
    <row r="1499" spans="4:4">
      <c r="D1499" s="65"/>
    </row>
    <row r="1500" spans="4:4">
      <c r="D1500" s="65"/>
    </row>
    <row r="1501" spans="4:4">
      <c r="D1501" s="65"/>
    </row>
    <row r="1502" spans="4:4">
      <c r="D1502" s="65"/>
    </row>
    <row r="1503" spans="4:4">
      <c r="D1503" s="65"/>
    </row>
    <row r="1504" spans="4:4">
      <c r="D1504" s="65"/>
    </row>
    <row r="1505" spans="4:4">
      <c r="D1505" s="65"/>
    </row>
    <row r="1506" spans="4:4">
      <c r="D1506" s="65"/>
    </row>
    <row r="1507" spans="4:4">
      <c r="D1507" s="65"/>
    </row>
    <row r="1508" spans="4:4">
      <c r="D1508" s="65"/>
    </row>
    <row r="1509" spans="4:4">
      <c r="D1509" s="65"/>
    </row>
    <row r="1510" spans="4:4">
      <c r="D1510" s="65"/>
    </row>
    <row r="1511" spans="4:4">
      <c r="D1511" s="65"/>
    </row>
    <row r="1512" spans="4:4">
      <c r="D1512" s="65"/>
    </row>
    <row r="1513" spans="4:4">
      <c r="D1513" s="65"/>
    </row>
    <row r="1514" spans="4:4">
      <c r="D1514" s="65"/>
    </row>
    <row r="1515" spans="4:4">
      <c r="D1515" s="65"/>
    </row>
    <row r="1516" spans="4:4">
      <c r="D1516" s="65"/>
    </row>
    <row r="1517" spans="4:4">
      <c r="D1517" s="65"/>
    </row>
    <row r="1518" spans="4:4">
      <c r="D1518" s="65"/>
    </row>
    <row r="1519" spans="4:4">
      <c r="D1519" s="65"/>
    </row>
    <row r="1520" spans="4:4">
      <c r="D1520" s="65"/>
    </row>
    <row r="1521" spans="4:4">
      <c r="D1521" s="65"/>
    </row>
    <row r="1522" spans="4:4">
      <c r="D1522" s="65"/>
    </row>
    <row r="1523" spans="4:4">
      <c r="D1523" s="65"/>
    </row>
    <row r="1524" spans="4:4">
      <c r="D1524" s="65"/>
    </row>
    <row r="1525" spans="4:4">
      <c r="D1525" s="65"/>
    </row>
    <row r="1526" spans="4:4">
      <c r="D1526" s="65"/>
    </row>
    <row r="1527" spans="4:4">
      <c r="D1527" s="65"/>
    </row>
    <row r="1528" spans="4:4">
      <c r="D1528" s="65"/>
    </row>
    <row r="1529" spans="4:4">
      <c r="D1529" s="65"/>
    </row>
    <row r="1530" spans="4:4">
      <c r="D1530" s="65"/>
    </row>
    <row r="1531" spans="4:4">
      <c r="D1531" s="65"/>
    </row>
    <row r="1532" spans="4:4">
      <c r="D1532" s="65"/>
    </row>
    <row r="1533" spans="4:4">
      <c r="D1533" s="65"/>
    </row>
    <row r="1534" spans="4:4">
      <c r="D1534" s="65"/>
    </row>
    <row r="1535" spans="4:4">
      <c r="D1535" s="65"/>
    </row>
    <row r="1536" spans="4:4">
      <c r="D1536" s="65"/>
    </row>
    <row r="1537" spans="4:4">
      <c r="D1537" s="65"/>
    </row>
    <row r="1538" spans="4:4">
      <c r="D1538" s="65"/>
    </row>
    <row r="1539" spans="4:4">
      <c r="D1539" s="65"/>
    </row>
    <row r="1540" spans="4:4">
      <c r="D1540" s="65"/>
    </row>
    <row r="1541" spans="4:4">
      <c r="D1541" s="65"/>
    </row>
    <row r="1542" spans="4:4">
      <c r="D1542" s="65"/>
    </row>
    <row r="1543" spans="4:4">
      <c r="D1543" s="65"/>
    </row>
    <row r="1544" spans="4:4">
      <c r="D1544" s="65"/>
    </row>
    <row r="1545" spans="4:4">
      <c r="D1545" s="65"/>
    </row>
    <row r="1546" spans="4:4">
      <c r="D1546" s="65"/>
    </row>
    <row r="1547" spans="4:4">
      <c r="D1547" s="65"/>
    </row>
    <row r="1548" spans="4:4">
      <c r="D1548" s="65"/>
    </row>
    <row r="1549" spans="4:4">
      <c r="D1549" s="65"/>
    </row>
    <row r="1550" spans="4:4">
      <c r="D1550" s="65"/>
    </row>
    <row r="1551" spans="4:4">
      <c r="D1551" s="65"/>
    </row>
    <row r="1552" spans="4:4">
      <c r="D1552" s="65"/>
    </row>
    <row r="1553" spans="4:4">
      <c r="D1553" s="65"/>
    </row>
    <row r="1554" spans="4:4">
      <c r="D1554" s="65"/>
    </row>
    <row r="1555" spans="4:4">
      <c r="D1555" s="65"/>
    </row>
    <row r="1556" spans="4:4">
      <c r="D1556" s="65"/>
    </row>
    <row r="1557" spans="4:4">
      <c r="D1557" s="65"/>
    </row>
    <row r="1558" spans="4:4">
      <c r="D1558" s="65"/>
    </row>
    <row r="1559" spans="4:4">
      <c r="D1559" s="65"/>
    </row>
    <row r="1560" spans="4:4">
      <c r="D1560" s="65"/>
    </row>
    <row r="1561" spans="4:4">
      <c r="D1561" s="65"/>
    </row>
    <row r="1562" spans="4:4">
      <c r="D1562" s="65"/>
    </row>
    <row r="1563" spans="4:4">
      <c r="D1563" s="65"/>
    </row>
    <row r="1564" spans="4:4">
      <c r="D1564" s="65"/>
    </row>
    <row r="1565" spans="4:4">
      <c r="D1565" s="65"/>
    </row>
    <row r="1566" spans="4:4">
      <c r="D1566" s="65"/>
    </row>
    <row r="1567" spans="4:4">
      <c r="D1567" s="65"/>
    </row>
    <row r="1568" spans="4:4">
      <c r="D1568" s="65"/>
    </row>
    <row r="1569" spans="4:4">
      <c r="D1569" s="65"/>
    </row>
    <row r="1570" spans="4:4">
      <c r="D1570" s="65"/>
    </row>
    <row r="1571" spans="4:4">
      <c r="D1571" s="65"/>
    </row>
    <row r="1572" spans="4:4">
      <c r="D1572" s="65"/>
    </row>
    <row r="1573" spans="4:4">
      <c r="D1573" s="65"/>
    </row>
    <row r="1574" spans="4:4">
      <c r="D1574" s="65"/>
    </row>
    <row r="1575" spans="4:4">
      <c r="D1575" s="65"/>
    </row>
    <row r="1576" spans="4:4">
      <c r="D1576" s="65"/>
    </row>
    <row r="1577" spans="4:4">
      <c r="D1577" s="65"/>
    </row>
    <row r="1578" spans="4:4">
      <c r="D1578" s="65"/>
    </row>
    <row r="1579" spans="4:4">
      <c r="D1579" s="65"/>
    </row>
    <row r="1580" spans="4:4">
      <c r="D1580" s="65"/>
    </row>
    <row r="1581" spans="4:4">
      <c r="D1581" s="65"/>
    </row>
    <row r="1582" spans="4:4">
      <c r="D1582" s="65"/>
    </row>
    <row r="1583" spans="4:4">
      <c r="D1583" s="65"/>
    </row>
    <row r="1584" spans="4:4">
      <c r="D1584" s="65"/>
    </row>
    <row r="1585" spans="4:4">
      <c r="D1585" s="65"/>
    </row>
    <row r="1586" spans="4:4">
      <c r="D1586" s="65"/>
    </row>
    <row r="1587" spans="4:4">
      <c r="D1587" s="65"/>
    </row>
    <row r="1588" spans="4:4">
      <c r="D1588" s="65"/>
    </row>
    <row r="1589" spans="4:4">
      <c r="D1589" s="65"/>
    </row>
    <row r="1590" spans="4:4">
      <c r="D1590" s="65"/>
    </row>
    <row r="1591" spans="4:4">
      <c r="D1591" s="65"/>
    </row>
    <row r="1592" spans="4:4">
      <c r="D1592" s="65"/>
    </row>
    <row r="1593" spans="4:4">
      <c r="D1593" s="65"/>
    </row>
    <row r="1594" spans="4:4">
      <c r="D1594" s="65"/>
    </row>
    <row r="1595" spans="4:4">
      <c r="D1595" s="65"/>
    </row>
    <row r="1596" spans="4:4">
      <c r="D1596" s="65"/>
    </row>
    <row r="1597" spans="4:4">
      <c r="D1597" s="65"/>
    </row>
    <row r="1598" spans="4:4">
      <c r="D1598" s="65"/>
    </row>
    <row r="1599" spans="4:4">
      <c r="D1599" s="65"/>
    </row>
    <row r="1600" spans="4:4">
      <c r="D1600" s="65"/>
    </row>
    <row r="1601" spans="4:4">
      <c r="D1601" s="65"/>
    </row>
    <row r="1602" spans="4:4">
      <c r="D1602" s="65"/>
    </row>
    <row r="1603" spans="4:4">
      <c r="D1603" s="65"/>
    </row>
    <row r="1604" spans="4:4">
      <c r="D1604" s="65"/>
    </row>
    <row r="1605" spans="4:4">
      <c r="D1605" s="65"/>
    </row>
    <row r="1606" spans="4:4">
      <c r="D1606" s="65"/>
    </row>
    <row r="1607" spans="4:4">
      <c r="D1607" s="65"/>
    </row>
    <row r="1608" spans="4:4">
      <c r="D1608" s="65"/>
    </row>
    <row r="1609" spans="4:4">
      <c r="D1609" s="65"/>
    </row>
    <row r="1610" spans="4:4">
      <c r="D1610" s="65"/>
    </row>
    <row r="1611" spans="4:4">
      <c r="D1611" s="65"/>
    </row>
    <row r="1612" spans="4:4">
      <c r="D1612" s="65"/>
    </row>
    <row r="1613" spans="4:4">
      <c r="D1613" s="65"/>
    </row>
    <row r="1614" spans="4:4">
      <c r="D1614" s="65"/>
    </row>
    <row r="1615" spans="4:4">
      <c r="D1615" s="65"/>
    </row>
    <row r="1616" spans="4:4">
      <c r="D1616" s="65"/>
    </row>
    <row r="1617" spans="4:4">
      <c r="D1617" s="65"/>
    </row>
    <row r="1618" spans="4:4">
      <c r="D1618" s="65"/>
    </row>
    <row r="1619" spans="4:4">
      <c r="D1619" s="65"/>
    </row>
    <row r="1620" spans="4:4">
      <c r="D1620" s="65"/>
    </row>
    <row r="1621" spans="4:4">
      <c r="D1621" s="65"/>
    </row>
    <row r="1622" spans="4:4">
      <c r="D1622" s="65"/>
    </row>
    <row r="1623" spans="4:4">
      <c r="D1623" s="65"/>
    </row>
    <row r="1624" spans="4:4">
      <c r="D1624" s="65"/>
    </row>
    <row r="1625" spans="4:4">
      <c r="D1625" s="65"/>
    </row>
    <row r="1626" spans="4:4">
      <c r="D1626" s="65"/>
    </row>
    <row r="1627" spans="4:4">
      <c r="D1627" s="65"/>
    </row>
    <row r="1628" spans="4:4">
      <c r="D1628" s="65"/>
    </row>
    <row r="1629" spans="4:4">
      <c r="D1629" s="65"/>
    </row>
    <row r="1630" spans="4:4">
      <c r="D1630" s="65"/>
    </row>
    <row r="1631" spans="4:4">
      <c r="D1631" s="65"/>
    </row>
    <row r="1632" spans="4:4">
      <c r="D1632" s="65"/>
    </row>
    <row r="1633" spans="4:4">
      <c r="D1633" s="65"/>
    </row>
    <row r="1634" spans="4:4">
      <c r="D1634" s="65"/>
    </row>
    <row r="1635" spans="4:4">
      <c r="D1635" s="65"/>
    </row>
    <row r="1636" spans="4:4">
      <c r="D1636" s="65"/>
    </row>
    <row r="1637" spans="4:4">
      <c r="D1637" s="65"/>
    </row>
    <row r="1638" spans="4:4">
      <c r="D1638" s="65"/>
    </row>
    <row r="1639" spans="4:4">
      <c r="D1639" s="65"/>
    </row>
    <row r="1640" spans="4:4">
      <c r="D1640" s="65"/>
    </row>
    <row r="1641" spans="4:4">
      <c r="D1641" s="65"/>
    </row>
    <row r="1642" spans="4:4">
      <c r="D1642" s="65"/>
    </row>
    <row r="1643" spans="4:4">
      <c r="D1643" s="65"/>
    </row>
    <row r="1644" spans="4:4">
      <c r="D1644" s="65"/>
    </row>
    <row r="1645" spans="4:4">
      <c r="D1645" s="65"/>
    </row>
    <row r="1646" spans="4:4">
      <c r="D1646" s="65"/>
    </row>
    <row r="1647" spans="4:4">
      <c r="D1647" s="65"/>
    </row>
    <row r="1648" spans="4:4">
      <c r="D1648" s="65"/>
    </row>
    <row r="1649" spans="4:4">
      <c r="D1649" s="65"/>
    </row>
    <row r="1650" spans="4:4">
      <c r="D1650" s="65"/>
    </row>
    <row r="1651" spans="4:4">
      <c r="D1651" s="65"/>
    </row>
    <row r="1652" spans="4:4">
      <c r="D1652" s="65"/>
    </row>
    <row r="1653" spans="4:4">
      <c r="D1653" s="65"/>
    </row>
    <row r="1654" spans="4:4">
      <c r="D1654" s="65"/>
    </row>
    <row r="1655" spans="4:4">
      <c r="D1655" s="65"/>
    </row>
    <row r="1656" spans="4:4">
      <c r="D1656" s="65"/>
    </row>
    <row r="1657" spans="4:4">
      <c r="D1657" s="65"/>
    </row>
    <row r="1658" spans="4:4">
      <c r="D1658" s="65"/>
    </row>
    <row r="1659" spans="4:4">
      <c r="D1659" s="65"/>
    </row>
    <row r="1660" spans="4:4">
      <c r="D1660" s="65"/>
    </row>
    <row r="1661" spans="4:4">
      <c r="D1661" s="65"/>
    </row>
    <row r="1662" spans="4:4">
      <c r="D1662" s="65"/>
    </row>
    <row r="1663" spans="4:4">
      <c r="D1663" s="65"/>
    </row>
    <row r="1664" spans="4:4">
      <c r="D1664" s="65"/>
    </row>
    <row r="1665" spans="4:4">
      <c r="D1665" s="65"/>
    </row>
    <row r="1666" spans="4:4">
      <c r="D1666" s="65"/>
    </row>
    <row r="1667" spans="4:4">
      <c r="D1667" s="65"/>
    </row>
    <row r="1668" spans="4:4">
      <c r="D1668" s="65"/>
    </row>
    <row r="1669" spans="4:4">
      <c r="D1669" s="65"/>
    </row>
    <row r="1670" spans="4:4">
      <c r="D1670" s="65"/>
    </row>
    <row r="1671" spans="4:4">
      <c r="D1671" s="65"/>
    </row>
    <row r="1672" spans="4:4">
      <c r="D1672" s="65"/>
    </row>
    <row r="1673" spans="4:4">
      <c r="D1673" s="65"/>
    </row>
    <row r="1674" spans="4:4">
      <c r="D1674" s="65"/>
    </row>
    <row r="1675" spans="4:4">
      <c r="D1675" s="65"/>
    </row>
    <row r="1676" spans="4:4">
      <c r="D1676" s="65"/>
    </row>
    <row r="1677" spans="4:4">
      <c r="D1677" s="65"/>
    </row>
    <row r="1678" spans="4:4">
      <c r="D1678" s="65"/>
    </row>
    <row r="1679" spans="4:4">
      <c r="D1679" s="65"/>
    </row>
    <row r="1680" spans="4:4">
      <c r="D1680" s="65"/>
    </row>
    <row r="1681" spans="4:4">
      <c r="D1681" s="65"/>
    </row>
    <row r="1682" spans="4:4">
      <c r="D1682" s="65"/>
    </row>
    <row r="1683" spans="4:4">
      <c r="D1683" s="65"/>
    </row>
    <row r="1684" spans="4:4">
      <c r="D1684" s="65"/>
    </row>
    <row r="1685" spans="4:4">
      <c r="D1685" s="65"/>
    </row>
    <row r="1686" spans="4:4">
      <c r="D1686" s="65"/>
    </row>
    <row r="1687" spans="4:4">
      <c r="D1687" s="65"/>
    </row>
    <row r="1688" spans="4:4">
      <c r="D1688" s="65"/>
    </row>
    <row r="1689" spans="4:4">
      <c r="D1689" s="65"/>
    </row>
    <row r="1690" spans="4:4">
      <c r="D1690" s="65"/>
    </row>
    <row r="1691" spans="4:4">
      <c r="D1691" s="65"/>
    </row>
    <row r="1692" spans="4:4">
      <c r="D1692" s="65"/>
    </row>
    <row r="1693" spans="4:4">
      <c r="D1693" s="65"/>
    </row>
    <row r="1694" spans="4:4">
      <c r="D1694" s="65"/>
    </row>
    <row r="1695" spans="4:4">
      <c r="D1695" s="65"/>
    </row>
    <row r="1696" spans="4:4">
      <c r="D1696" s="65"/>
    </row>
    <row r="1697" spans="4:4">
      <c r="D1697" s="65"/>
    </row>
    <row r="1698" spans="4:4">
      <c r="D1698" s="65"/>
    </row>
    <row r="1699" spans="4:4">
      <c r="D1699" s="65"/>
    </row>
    <row r="1700" spans="4:4">
      <c r="D1700" s="65"/>
    </row>
    <row r="1701" spans="4:4">
      <c r="D1701" s="65"/>
    </row>
    <row r="1702" spans="4:4">
      <c r="D1702" s="65"/>
    </row>
    <row r="1703" spans="4:4">
      <c r="D1703" s="65"/>
    </row>
    <row r="1704" spans="4:4">
      <c r="D1704" s="65"/>
    </row>
    <row r="1705" spans="4:4">
      <c r="D1705" s="65"/>
    </row>
    <row r="1706" spans="4:4">
      <c r="D1706" s="65"/>
    </row>
    <row r="1707" spans="4:4">
      <c r="D1707" s="65"/>
    </row>
    <row r="1708" spans="4:4">
      <c r="D1708" s="65"/>
    </row>
    <row r="1709" spans="4:4">
      <c r="D1709" s="65"/>
    </row>
    <row r="1710" spans="4:4">
      <c r="D1710" s="65"/>
    </row>
    <row r="1711" spans="4:4">
      <c r="D1711" s="65"/>
    </row>
    <row r="1712" spans="4:4">
      <c r="D1712" s="65"/>
    </row>
    <row r="1713" spans="4:4">
      <c r="D1713" s="65"/>
    </row>
    <row r="1714" spans="4:4">
      <c r="D1714" s="65"/>
    </row>
    <row r="1715" spans="4:4">
      <c r="D1715" s="65"/>
    </row>
    <row r="1716" spans="4:4">
      <c r="D1716" s="65"/>
    </row>
    <row r="1717" spans="4:4">
      <c r="D1717" s="65"/>
    </row>
    <row r="1718" spans="4:4">
      <c r="D1718" s="65"/>
    </row>
    <row r="1719" spans="4:4">
      <c r="D1719" s="65"/>
    </row>
    <row r="1720" spans="4:4">
      <c r="D1720" s="65"/>
    </row>
    <row r="1721" spans="4:4">
      <c r="D1721" s="65"/>
    </row>
    <row r="1722" spans="4:4">
      <c r="D1722" s="65"/>
    </row>
    <row r="1723" spans="4:4">
      <c r="D1723" s="65"/>
    </row>
    <row r="1724" spans="4:4">
      <c r="D1724" s="65"/>
    </row>
    <row r="1725" spans="4:4">
      <c r="D1725" s="65"/>
    </row>
    <row r="1726" spans="4:4">
      <c r="D1726" s="65"/>
    </row>
    <row r="1727" spans="4:4">
      <c r="D1727" s="65"/>
    </row>
    <row r="1728" spans="4:4">
      <c r="D1728" s="65"/>
    </row>
    <row r="1729" spans="4:4">
      <c r="D1729" s="65"/>
    </row>
    <row r="1730" spans="4:4">
      <c r="D1730" s="65"/>
    </row>
    <row r="1731" spans="4:4">
      <c r="D1731" s="65"/>
    </row>
    <row r="1732" spans="4:4">
      <c r="D1732" s="65"/>
    </row>
    <row r="1733" spans="4:4">
      <c r="D1733" s="65"/>
    </row>
    <row r="1734" spans="4:4">
      <c r="D1734" s="65"/>
    </row>
    <row r="1735" spans="4:4">
      <c r="D1735" s="65"/>
    </row>
    <row r="1736" spans="4:4">
      <c r="D1736" s="65"/>
    </row>
    <row r="1737" spans="4:4">
      <c r="D1737" s="65"/>
    </row>
    <row r="1738" spans="4:4">
      <c r="D1738" s="65"/>
    </row>
    <row r="1739" spans="4:4">
      <c r="D1739" s="65"/>
    </row>
    <row r="1740" spans="4:4">
      <c r="D1740" s="65"/>
    </row>
    <row r="1741" spans="4:4">
      <c r="D1741" s="65"/>
    </row>
    <row r="1742" spans="4:4">
      <c r="D1742" s="65"/>
    </row>
    <row r="1743" spans="4:4">
      <c r="D1743" s="65"/>
    </row>
    <row r="1744" spans="4:4">
      <c r="D1744" s="65"/>
    </row>
    <row r="1745" spans="4:4">
      <c r="D1745" s="65"/>
    </row>
    <row r="1746" spans="4:4">
      <c r="D1746" s="65"/>
    </row>
    <row r="1747" spans="4:4">
      <c r="D1747" s="65"/>
    </row>
    <row r="1748" spans="4:4">
      <c r="D1748" s="65"/>
    </row>
    <row r="1749" spans="4:4">
      <c r="D1749" s="65"/>
    </row>
    <row r="1750" spans="4:4">
      <c r="D1750" s="65"/>
    </row>
    <row r="1751" spans="4:4">
      <c r="D1751" s="65"/>
    </row>
    <row r="1752" spans="4:4">
      <c r="D1752" s="65"/>
    </row>
    <row r="1753" spans="4:4">
      <c r="D1753" s="65"/>
    </row>
    <row r="1754" spans="4:4">
      <c r="D1754" s="65"/>
    </row>
    <row r="1755" spans="4:4">
      <c r="D1755" s="65"/>
    </row>
    <row r="1756" spans="4:4">
      <c r="D1756" s="65"/>
    </row>
    <row r="1757" spans="4:4">
      <c r="D1757" s="65"/>
    </row>
    <row r="1758" spans="4:4">
      <c r="D1758" s="65"/>
    </row>
    <row r="1759" spans="4:4">
      <c r="D1759" s="65"/>
    </row>
    <row r="1760" spans="4:4">
      <c r="D1760" s="65"/>
    </row>
    <row r="1761" spans="4:4">
      <c r="D1761" s="65"/>
    </row>
    <row r="1762" spans="4:4">
      <c r="D1762" s="65"/>
    </row>
    <row r="1763" spans="4:4">
      <c r="D1763" s="65"/>
    </row>
    <row r="1764" spans="4:4">
      <c r="D1764" s="65"/>
    </row>
    <row r="1765" spans="4:4">
      <c r="D1765" s="65"/>
    </row>
    <row r="1766" spans="4:4">
      <c r="D1766" s="65"/>
    </row>
    <row r="1767" spans="4:4">
      <c r="D1767" s="65"/>
    </row>
    <row r="1768" spans="4:4">
      <c r="D1768" s="65"/>
    </row>
    <row r="1769" spans="4:4">
      <c r="D1769" s="65"/>
    </row>
    <row r="1770" spans="4:4">
      <c r="D1770" s="65"/>
    </row>
    <row r="1771" spans="4:4">
      <c r="D1771" s="65"/>
    </row>
    <row r="1772" spans="4:4">
      <c r="D1772" s="65"/>
    </row>
    <row r="1773" spans="4:4">
      <c r="D1773" s="65"/>
    </row>
    <row r="1774" spans="4:4">
      <c r="D1774" s="65"/>
    </row>
    <row r="1775" spans="4:4">
      <c r="D1775" s="65"/>
    </row>
    <row r="1776" spans="4:4">
      <c r="D1776" s="65"/>
    </row>
    <row r="1777" spans="4:4">
      <c r="D1777" s="65"/>
    </row>
    <row r="1778" spans="4:4">
      <c r="D1778" s="65"/>
    </row>
    <row r="1779" spans="4:4">
      <c r="D1779" s="65"/>
    </row>
    <row r="1780" spans="4:4">
      <c r="D1780" s="65"/>
    </row>
    <row r="1781" spans="4:4">
      <c r="D1781" s="65"/>
    </row>
    <row r="1782" spans="4:4">
      <c r="D1782" s="65"/>
    </row>
    <row r="1783" spans="4:4">
      <c r="D1783" s="65"/>
    </row>
    <row r="1784" spans="4:4">
      <c r="D1784" s="65"/>
    </row>
    <row r="1785" spans="4:4">
      <c r="D1785" s="65"/>
    </row>
    <row r="1786" spans="4:4">
      <c r="D1786" s="65"/>
    </row>
    <row r="1787" spans="4:4">
      <c r="D1787" s="65"/>
    </row>
    <row r="1788" spans="4:4">
      <c r="D1788" s="65"/>
    </row>
    <row r="1789" spans="4:4">
      <c r="D1789" s="65"/>
    </row>
    <row r="1790" spans="4:4">
      <c r="D1790" s="65"/>
    </row>
    <row r="1791" spans="4:4">
      <c r="D1791" s="65"/>
    </row>
    <row r="1792" spans="4:4">
      <c r="D1792" s="65"/>
    </row>
    <row r="1793" spans="4:4">
      <c r="D1793" s="65"/>
    </row>
    <row r="1794" spans="4:4">
      <c r="D1794" s="65"/>
    </row>
    <row r="1795" spans="4:4">
      <c r="D1795" s="65"/>
    </row>
    <row r="1796" spans="4:4">
      <c r="D1796" s="65"/>
    </row>
    <row r="1797" spans="4:4">
      <c r="D1797" s="65"/>
    </row>
    <row r="1798" spans="4:4">
      <c r="D1798" s="65"/>
    </row>
    <row r="1799" spans="4:4">
      <c r="D1799" s="65"/>
    </row>
    <row r="1800" spans="4:4">
      <c r="D1800" s="65"/>
    </row>
    <row r="1801" spans="4:4">
      <c r="D1801" s="65"/>
    </row>
    <row r="1802" spans="4:4">
      <c r="D1802" s="65"/>
    </row>
    <row r="1803" spans="4:4">
      <c r="D1803" s="65"/>
    </row>
    <row r="1804" spans="4:4">
      <c r="D1804" s="65"/>
    </row>
    <row r="1805" spans="4:4">
      <c r="D1805" s="65"/>
    </row>
    <row r="1806" spans="4:4">
      <c r="D1806" s="65"/>
    </row>
    <row r="1807" spans="4:4">
      <c r="D1807" s="65"/>
    </row>
    <row r="1808" spans="4:4">
      <c r="D1808" s="65"/>
    </row>
    <row r="1809" spans="4:4">
      <c r="D1809" s="65"/>
    </row>
    <row r="1810" spans="4:4">
      <c r="D1810" s="65"/>
    </row>
    <row r="1811" spans="4:4">
      <c r="D1811" s="65"/>
    </row>
    <row r="1812" spans="4:4">
      <c r="D1812" s="65"/>
    </row>
    <row r="1813" spans="4:4">
      <c r="D1813" s="65"/>
    </row>
    <row r="1814" spans="4:4">
      <c r="D1814" s="65"/>
    </row>
    <row r="1815" spans="4:4">
      <c r="D1815" s="65"/>
    </row>
    <row r="1816" spans="4:4">
      <c r="D1816" s="65"/>
    </row>
    <row r="1817" spans="4:4">
      <c r="D1817" s="65"/>
    </row>
    <row r="1818" spans="4:4">
      <c r="D1818" s="65"/>
    </row>
    <row r="1819" spans="4:4">
      <c r="D1819" s="65"/>
    </row>
    <row r="1820" spans="4:4">
      <c r="D1820" s="65"/>
    </row>
    <row r="1821" spans="4:4">
      <c r="D1821" s="65"/>
    </row>
    <row r="1822" spans="4:4">
      <c r="D1822" s="65"/>
    </row>
    <row r="1823" spans="4:4">
      <c r="D1823" s="65"/>
    </row>
    <row r="1824" spans="4:4">
      <c r="D1824" s="65"/>
    </row>
    <row r="1825" spans="4:4">
      <c r="D1825" s="65"/>
    </row>
    <row r="1826" spans="4:4">
      <c r="D1826" s="65"/>
    </row>
    <row r="1827" spans="4:4">
      <c r="D1827" s="65"/>
    </row>
    <row r="1828" spans="4:4">
      <c r="D1828" s="65"/>
    </row>
    <row r="1829" spans="4:4">
      <c r="D1829" s="65"/>
    </row>
    <row r="1830" spans="4:4">
      <c r="D1830" s="65"/>
    </row>
    <row r="1831" spans="4:4">
      <c r="D1831" s="65"/>
    </row>
    <row r="1832" spans="4:4">
      <c r="D1832" s="65"/>
    </row>
    <row r="1833" spans="4:4">
      <c r="D1833" s="65"/>
    </row>
    <row r="1834" spans="4:4">
      <c r="D1834" s="65"/>
    </row>
    <row r="1835" spans="4:4">
      <c r="D1835" s="65"/>
    </row>
    <row r="1836" spans="4:4">
      <c r="D1836" s="65"/>
    </row>
    <row r="1837" spans="4:4">
      <c r="D1837" s="65"/>
    </row>
    <row r="1838" spans="4:4">
      <c r="D1838" s="65"/>
    </row>
    <row r="1839" spans="4:4">
      <c r="D1839" s="65"/>
    </row>
    <row r="1840" spans="4:4">
      <c r="D1840" s="65"/>
    </row>
    <row r="1841" spans="4:4">
      <c r="D1841" s="65"/>
    </row>
    <row r="1842" spans="4:4">
      <c r="D1842" s="65"/>
    </row>
    <row r="1843" spans="4:4">
      <c r="D1843" s="65"/>
    </row>
    <row r="1844" spans="4:4">
      <c r="D1844" s="65"/>
    </row>
    <row r="1845" spans="4:4">
      <c r="D1845" s="65"/>
    </row>
    <row r="1846" spans="4:4">
      <c r="D1846" s="65"/>
    </row>
    <row r="1847" spans="4:4">
      <c r="D1847" s="65"/>
    </row>
    <row r="1848" spans="4:4">
      <c r="D1848" s="65"/>
    </row>
    <row r="1849" spans="4:4">
      <c r="D1849" s="65"/>
    </row>
    <row r="1850" spans="4:4">
      <c r="D1850" s="65"/>
    </row>
    <row r="1851" spans="4:4">
      <c r="D1851" s="65"/>
    </row>
    <row r="1852" spans="4:4">
      <c r="D1852" s="65"/>
    </row>
    <row r="1853" spans="4:4">
      <c r="D1853" s="65"/>
    </row>
    <row r="1854" spans="4:4">
      <c r="D1854" s="65"/>
    </row>
    <row r="1855" spans="4:4">
      <c r="D1855" s="65"/>
    </row>
    <row r="1856" spans="4:4">
      <c r="D1856" s="65"/>
    </row>
    <row r="1857" spans="4:4">
      <c r="D1857" s="65"/>
    </row>
    <row r="1858" spans="4:4">
      <c r="D1858" s="65"/>
    </row>
    <row r="1859" spans="4:4">
      <c r="D1859" s="65"/>
    </row>
    <row r="1860" spans="4:4">
      <c r="D1860" s="65"/>
    </row>
    <row r="1861" spans="4:4">
      <c r="D1861" s="65"/>
    </row>
    <row r="1862" spans="4:4">
      <c r="D1862" s="65"/>
    </row>
    <row r="1863" spans="4:4">
      <c r="D1863" s="65"/>
    </row>
    <row r="1864" spans="4:4">
      <c r="D1864" s="65"/>
    </row>
    <row r="1865" spans="4:4">
      <c r="D1865" s="65"/>
    </row>
    <row r="1866" spans="4:4">
      <c r="D1866" s="65"/>
    </row>
    <row r="1867" spans="4:4">
      <c r="D1867" s="65"/>
    </row>
    <row r="1868" spans="4:4">
      <c r="D1868" s="65"/>
    </row>
    <row r="1869" spans="4:4">
      <c r="D1869" s="65"/>
    </row>
    <row r="1870" spans="4:4">
      <c r="D1870" s="65"/>
    </row>
    <row r="1871" spans="4:4">
      <c r="D1871" s="65"/>
    </row>
    <row r="1872" spans="4:4">
      <c r="D1872" s="65"/>
    </row>
    <row r="1873" spans="4:4">
      <c r="D1873" s="65"/>
    </row>
    <row r="1874" spans="4:4">
      <c r="D1874" s="65"/>
    </row>
    <row r="1875" spans="4:4">
      <c r="D1875" s="65"/>
    </row>
    <row r="1876" spans="4:4">
      <c r="D1876" s="65"/>
    </row>
    <row r="1877" spans="4:4">
      <c r="D1877" s="65"/>
    </row>
    <row r="1878" spans="4:4">
      <c r="D1878" s="65"/>
    </row>
    <row r="1879" spans="4:4">
      <c r="D1879" s="65"/>
    </row>
    <row r="1880" spans="4:4">
      <c r="D1880" s="65"/>
    </row>
    <row r="1881" spans="4:4">
      <c r="D1881" s="65"/>
    </row>
    <row r="1882" spans="4:4">
      <c r="D1882" s="65"/>
    </row>
    <row r="1883" spans="4:4">
      <c r="D1883" s="65"/>
    </row>
    <row r="1884" spans="4:4">
      <c r="D1884" s="65"/>
    </row>
    <row r="1885" spans="4:4">
      <c r="D1885" s="65"/>
    </row>
    <row r="1886" spans="4:4">
      <c r="D1886" s="65"/>
    </row>
    <row r="1887" spans="4:4">
      <c r="D1887" s="65"/>
    </row>
    <row r="1888" spans="4:4">
      <c r="D1888" s="65"/>
    </row>
    <row r="1889" spans="4:4">
      <c r="D1889" s="65"/>
    </row>
    <row r="1890" spans="4:4">
      <c r="D1890" s="65"/>
    </row>
    <row r="1891" spans="4:4">
      <c r="D1891" s="65"/>
    </row>
    <row r="1892" spans="4:4">
      <c r="D1892" s="65"/>
    </row>
    <row r="1893" spans="4:4">
      <c r="D1893" s="65"/>
    </row>
    <row r="1894" spans="4:4">
      <c r="D1894" s="65"/>
    </row>
    <row r="1895" spans="4:4">
      <c r="D1895" s="65"/>
    </row>
    <row r="1896" spans="4:4">
      <c r="D1896" s="65"/>
    </row>
    <row r="1897" spans="4:4">
      <c r="D1897" s="65"/>
    </row>
    <row r="1898" spans="4:4">
      <c r="D1898" s="65"/>
    </row>
    <row r="1899" spans="4:4">
      <c r="D1899" s="65"/>
    </row>
    <row r="1900" spans="4:4">
      <c r="D1900" s="65"/>
    </row>
    <row r="1901" spans="4:4">
      <c r="D1901" s="65"/>
    </row>
    <row r="1902" spans="4:4">
      <c r="D1902" s="65"/>
    </row>
    <row r="1903" spans="4:4">
      <c r="D1903" s="65"/>
    </row>
    <row r="1904" spans="4:4">
      <c r="D1904" s="65"/>
    </row>
    <row r="1905" spans="4:4">
      <c r="D1905" s="65"/>
    </row>
    <row r="1906" spans="4:4">
      <c r="D1906" s="65"/>
    </row>
    <row r="1907" spans="4:4">
      <c r="D1907" s="65"/>
    </row>
    <row r="1908" spans="4:4">
      <c r="D1908" s="65"/>
    </row>
    <row r="1909" spans="4:4">
      <c r="D1909" s="65"/>
    </row>
    <row r="1910" spans="4:4">
      <c r="D1910" s="65"/>
    </row>
    <row r="1911" spans="4:4">
      <c r="D1911" s="65"/>
    </row>
    <row r="1912" spans="4:4">
      <c r="D1912" s="65"/>
    </row>
    <row r="1913" spans="4:4">
      <c r="D1913" s="65"/>
    </row>
    <row r="1914" spans="4:4">
      <c r="D1914" s="65"/>
    </row>
    <row r="1915" spans="4:4">
      <c r="D1915" s="65"/>
    </row>
    <row r="1916" spans="4:4">
      <c r="D1916" s="65"/>
    </row>
    <row r="1917" spans="4:4">
      <c r="D1917" s="65"/>
    </row>
    <row r="1918" spans="4:4">
      <c r="D1918" s="65"/>
    </row>
    <row r="1919" spans="4:4">
      <c r="D1919" s="65"/>
    </row>
    <row r="1920" spans="4:4">
      <c r="D1920" s="65"/>
    </row>
    <row r="1921" spans="4:4">
      <c r="D1921" s="65"/>
    </row>
    <row r="1922" spans="4:4">
      <c r="D1922" s="65"/>
    </row>
    <row r="1923" spans="4:4">
      <c r="D1923" s="65"/>
    </row>
    <row r="1924" spans="4:4">
      <c r="D1924" s="65"/>
    </row>
    <row r="1925" spans="4:4">
      <c r="D1925" s="65"/>
    </row>
    <row r="1926" spans="4:4">
      <c r="D1926" s="65"/>
    </row>
    <row r="1927" spans="4:4">
      <c r="D1927" s="65"/>
    </row>
    <row r="1928" spans="4:4">
      <c r="D1928" s="65"/>
    </row>
    <row r="1929" spans="4:4">
      <c r="D1929" s="65"/>
    </row>
    <row r="1930" spans="4:4">
      <c r="D1930" s="65"/>
    </row>
    <row r="1931" spans="4:4">
      <c r="D1931" s="65"/>
    </row>
    <row r="1932" spans="4:4">
      <c r="D1932" s="65"/>
    </row>
    <row r="1933" spans="4:4">
      <c r="D1933" s="65"/>
    </row>
    <row r="1934" spans="4:4">
      <c r="D1934" s="65"/>
    </row>
    <row r="1935" spans="4:4">
      <c r="D1935" s="65"/>
    </row>
    <row r="1936" spans="4:4">
      <c r="D1936" s="65"/>
    </row>
    <row r="1937" spans="4:4">
      <c r="D1937" s="65"/>
    </row>
    <row r="1938" spans="4:4">
      <c r="D1938" s="65"/>
    </row>
    <row r="1939" spans="4:4">
      <c r="D1939" s="65"/>
    </row>
    <row r="1940" spans="4:4">
      <c r="D1940" s="65"/>
    </row>
    <row r="1941" spans="4:4">
      <c r="D1941" s="65"/>
    </row>
    <row r="1942" spans="4:4">
      <c r="D1942" s="65"/>
    </row>
    <row r="1943" spans="4:4">
      <c r="D1943" s="65"/>
    </row>
    <row r="1944" spans="4:4">
      <c r="D1944" s="65"/>
    </row>
    <row r="1945" spans="4:4">
      <c r="D1945" s="65"/>
    </row>
    <row r="1946" spans="4:4">
      <c r="D1946" s="65"/>
    </row>
    <row r="1947" spans="4:4">
      <c r="D1947" s="65"/>
    </row>
    <row r="1948" spans="4:4">
      <c r="D1948" s="65"/>
    </row>
    <row r="1949" spans="4:4">
      <c r="D1949" s="65"/>
    </row>
    <row r="1950" spans="4:4">
      <c r="D1950" s="65"/>
    </row>
    <row r="1951" spans="4:4">
      <c r="D1951" s="65"/>
    </row>
    <row r="1952" spans="4:4">
      <c r="D1952" s="65"/>
    </row>
    <row r="1953" spans="4:4">
      <c r="D1953" s="65"/>
    </row>
    <row r="1954" spans="4:4">
      <c r="D1954" s="65"/>
    </row>
    <row r="1955" spans="4:4">
      <c r="D1955" s="65"/>
    </row>
    <row r="1956" spans="4:4">
      <c r="D1956" s="65"/>
    </row>
    <row r="1957" spans="4:4">
      <c r="D1957" s="65"/>
    </row>
    <row r="1958" spans="4:4">
      <c r="D1958" s="65"/>
    </row>
    <row r="1959" spans="4:4">
      <c r="D1959" s="65"/>
    </row>
    <row r="1960" spans="4:4">
      <c r="D1960" s="65"/>
    </row>
    <row r="1961" spans="4:4">
      <c r="D1961" s="65"/>
    </row>
    <row r="1962" spans="4:4">
      <c r="D1962" s="65"/>
    </row>
    <row r="1963" spans="4:4">
      <c r="D1963" s="65"/>
    </row>
    <row r="1964" spans="4:4">
      <c r="D1964" s="65"/>
    </row>
    <row r="1965" spans="4:4">
      <c r="D1965" s="65"/>
    </row>
    <row r="1966" spans="4:4">
      <c r="D1966" s="65"/>
    </row>
    <row r="1967" spans="4:4">
      <c r="D1967" s="65"/>
    </row>
    <row r="1968" spans="4:4">
      <c r="D1968" s="65"/>
    </row>
    <row r="1969" spans="4:4">
      <c r="D1969" s="65"/>
    </row>
    <row r="1970" spans="4:4">
      <c r="D1970" s="65"/>
    </row>
    <row r="1971" spans="4:4">
      <c r="D1971" s="65"/>
    </row>
    <row r="1972" spans="4:4">
      <c r="D1972" s="65"/>
    </row>
    <row r="1973" spans="4:4">
      <c r="D1973" s="65"/>
    </row>
    <row r="1974" spans="4:4">
      <c r="D1974" s="65"/>
    </row>
    <row r="1975" spans="4:4">
      <c r="D1975" s="65"/>
    </row>
    <row r="1976" spans="4:4">
      <c r="D1976" s="65"/>
    </row>
    <row r="1977" spans="4:4">
      <c r="D1977" s="65"/>
    </row>
    <row r="1978" spans="4:4">
      <c r="D1978" s="65"/>
    </row>
    <row r="1979" spans="4:4">
      <c r="D1979" s="65"/>
    </row>
    <row r="1980" spans="4:4">
      <c r="D1980" s="65"/>
    </row>
    <row r="1981" spans="4:4">
      <c r="D1981" s="65"/>
    </row>
    <row r="1982" spans="4:4">
      <c r="D1982" s="65"/>
    </row>
    <row r="1983" spans="4:4">
      <c r="D1983" s="65"/>
    </row>
    <row r="1984" spans="4:4">
      <c r="D1984" s="65"/>
    </row>
    <row r="1985" spans="4:4">
      <c r="D1985" s="65"/>
    </row>
    <row r="1986" spans="4:4">
      <c r="D1986" s="65"/>
    </row>
    <row r="1987" spans="4:4">
      <c r="D1987" s="65"/>
    </row>
    <row r="1988" spans="4:4">
      <c r="D1988" s="65"/>
    </row>
    <row r="1989" spans="4:4">
      <c r="D1989" s="65"/>
    </row>
    <row r="1990" spans="4:4">
      <c r="D1990" s="65"/>
    </row>
    <row r="1991" spans="4:4">
      <c r="D1991" s="65"/>
    </row>
    <row r="1992" spans="4:4">
      <c r="D1992" s="65"/>
    </row>
    <row r="1993" spans="4:4">
      <c r="D1993" s="65"/>
    </row>
    <row r="1994" spans="4:4">
      <c r="D1994" s="65"/>
    </row>
    <row r="1995" spans="4:4">
      <c r="D1995" s="65"/>
    </row>
    <row r="1996" spans="4:4">
      <c r="D1996" s="65"/>
    </row>
    <row r="1997" spans="4:4">
      <c r="D1997" s="65"/>
    </row>
    <row r="1998" spans="4:4">
      <c r="D1998" s="65"/>
    </row>
    <row r="1999" spans="4:4">
      <c r="D1999" s="65"/>
    </row>
    <row r="2000" spans="4:4">
      <c r="D2000" s="65"/>
    </row>
    <row r="2001" spans="4:4">
      <c r="D2001" s="65"/>
    </row>
    <row r="2002" spans="4:4">
      <c r="D2002" s="65"/>
    </row>
    <row r="2003" spans="4:4">
      <c r="D2003" s="65"/>
    </row>
    <row r="2004" spans="4:4">
      <c r="D2004" s="65"/>
    </row>
    <row r="2005" spans="4:4">
      <c r="D2005" s="65"/>
    </row>
    <row r="2006" spans="4:4">
      <c r="D2006" s="65"/>
    </row>
    <row r="2007" spans="4:4">
      <c r="D2007" s="65"/>
    </row>
    <row r="2008" spans="4:4">
      <c r="D2008" s="65"/>
    </row>
    <row r="2009" spans="4:4">
      <c r="D2009" s="65"/>
    </row>
    <row r="2010" spans="4:4">
      <c r="D2010" s="65"/>
    </row>
    <row r="2011" spans="4:4">
      <c r="D2011" s="65"/>
    </row>
    <row r="2012" spans="4:4">
      <c r="D2012" s="65"/>
    </row>
    <row r="2013" spans="4:4">
      <c r="D2013" s="65"/>
    </row>
    <row r="2014" spans="4:4">
      <c r="D2014" s="65"/>
    </row>
    <row r="2015" spans="4:4">
      <c r="D2015" s="65"/>
    </row>
    <row r="2016" spans="4:4">
      <c r="D2016" s="65"/>
    </row>
    <row r="2017" spans="4:4">
      <c r="D2017" s="65"/>
    </row>
    <row r="2018" spans="4:4">
      <c r="D2018" s="65"/>
    </row>
    <row r="2019" spans="4:4">
      <c r="D2019" s="65"/>
    </row>
    <row r="2020" spans="4:4">
      <c r="D2020" s="65"/>
    </row>
    <row r="2021" spans="4:4">
      <c r="D2021" s="65"/>
    </row>
    <row r="2022" spans="4:4">
      <c r="D2022" s="65"/>
    </row>
    <row r="2023" spans="4:4">
      <c r="D2023" s="65"/>
    </row>
    <row r="2024" spans="4:4">
      <c r="D2024" s="65"/>
    </row>
    <row r="2025" spans="4:4">
      <c r="D2025" s="65"/>
    </row>
    <row r="2026" spans="4:4">
      <c r="D2026" s="65"/>
    </row>
    <row r="2027" spans="4:4">
      <c r="D2027" s="65"/>
    </row>
    <row r="2028" spans="4:4">
      <c r="D2028" s="65"/>
    </row>
    <row r="2029" spans="4:4">
      <c r="D2029" s="65"/>
    </row>
    <row r="2030" spans="4:4">
      <c r="D2030" s="65"/>
    </row>
    <row r="2031" spans="4:4">
      <c r="D2031" s="65"/>
    </row>
    <row r="2032" spans="4:4">
      <c r="D2032" s="65"/>
    </row>
    <row r="2033" spans="4:4">
      <c r="D2033" s="65"/>
    </row>
    <row r="2034" spans="4:4">
      <c r="D2034" s="65"/>
    </row>
    <row r="2035" spans="4:4">
      <c r="D2035" s="65"/>
    </row>
    <row r="2036" spans="4:4">
      <c r="D2036" s="65"/>
    </row>
    <row r="2037" spans="4:4">
      <c r="D2037" s="65"/>
    </row>
    <row r="2038" spans="4:4">
      <c r="D2038" s="65"/>
    </row>
    <row r="2039" spans="4:4">
      <c r="D2039" s="65"/>
    </row>
    <row r="2040" spans="4:4">
      <c r="D2040" s="65"/>
    </row>
    <row r="2041" spans="4:4">
      <c r="D2041" s="65"/>
    </row>
    <row r="2042" spans="4:4">
      <c r="D2042" s="65"/>
    </row>
    <row r="2043" spans="4:4">
      <c r="D2043" s="65"/>
    </row>
    <row r="2044" spans="4:4">
      <c r="D2044" s="65"/>
    </row>
    <row r="2045" spans="4:4">
      <c r="D2045" s="65"/>
    </row>
    <row r="2046" spans="4:4">
      <c r="D2046" s="65"/>
    </row>
    <row r="2047" spans="4:4">
      <c r="D2047" s="65"/>
    </row>
    <row r="2048" spans="4:4">
      <c r="D2048" s="65"/>
    </row>
    <row r="2049" spans="4:4">
      <c r="D2049" s="65"/>
    </row>
    <row r="2050" spans="4:4">
      <c r="D2050" s="65"/>
    </row>
    <row r="2051" spans="4:4">
      <c r="D2051" s="65"/>
    </row>
    <row r="2052" spans="4:4">
      <c r="D2052" s="65"/>
    </row>
    <row r="2053" spans="4:4">
      <c r="D2053" s="65"/>
    </row>
    <row r="2054" spans="4:4">
      <c r="D2054" s="65"/>
    </row>
    <row r="2055" spans="4:4">
      <c r="D2055" s="65"/>
    </row>
    <row r="2056" spans="4:4">
      <c r="D2056" s="65"/>
    </row>
    <row r="2057" spans="4:4">
      <c r="D2057" s="65"/>
    </row>
    <row r="2058" spans="4:4">
      <c r="D2058" s="65"/>
    </row>
    <row r="2059" spans="4:4">
      <c r="D2059" s="65"/>
    </row>
    <row r="2060" spans="4:4">
      <c r="D2060" s="65"/>
    </row>
    <row r="2061" spans="4:4">
      <c r="D2061" s="65"/>
    </row>
    <row r="2062" spans="4:4">
      <c r="D2062" s="65"/>
    </row>
    <row r="2063" spans="4:4">
      <c r="D2063" s="65"/>
    </row>
    <row r="2064" spans="4:4">
      <c r="D2064" s="65"/>
    </row>
    <row r="2065" spans="4:4">
      <c r="D2065" s="65"/>
    </row>
    <row r="2066" spans="4:4">
      <c r="D2066" s="65"/>
    </row>
    <row r="2067" spans="4:4">
      <c r="D2067" s="65"/>
    </row>
    <row r="2068" spans="4:4">
      <c r="D2068" s="65"/>
    </row>
    <row r="2069" spans="4:4">
      <c r="D2069" s="65"/>
    </row>
    <row r="2070" spans="4:4">
      <c r="D2070" s="65"/>
    </row>
    <row r="2071" spans="4:4">
      <c r="D2071" s="65"/>
    </row>
    <row r="2072" spans="4:4">
      <c r="D2072" s="65"/>
    </row>
    <row r="2073" spans="4:4">
      <c r="D2073" s="65"/>
    </row>
    <row r="2074" spans="4:4">
      <c r="D2074" s="65"/>
    </row>
    <row r="2075" spans="4:4">
      <c r="D2075" s="65"/>
    </row>
    <row r="2076" spans="4:4">
      <c r="D2076" s="65"/>
    </row>
    <row r="2077" spans="4:4">
      <c r="D2077" s="65"/>
    </row>
    <row r="2078" spans="4:4">
      <c r="D2078" s="65"/>
    </row>
    <row r="2079" spans="4:4">
      <c r="D2079" s="65"/>
    </row>
    <row r="2080" spans="4:4">
      <c r="D2080" s="65"/>
    </row>
    <row r="2081" spans="4:4">
      <c r="D2081" s="65"/>
    </row>
    <row r="2082" spans="4:4">
      <c r="D2082" s="65"/>
    </row>
    <row r="2083" spans="4:4">
      <c r="D2083" s="65"/>
    </row>
    <row r="2084" spans="4:4">
      <c r="D2084" s="65"/>
    </row>
    <row r="2085" spans="4:4">
      <c r="D2085" s="65"/>
    </row>
    <row r="2086" spans="4:4">
      <c r="D2086" s="65"/>
    </row>
    <row r="2087" spans="4:4">
      <c r="D2087" s="65"/>
    </row>
    <row r="2088" spans="4:4">
      <c r="D2088" s="65"/>
    </row>
    <row r="2089" spans="4:4">
      <c r="D2089" s="65"/>
    </row>
    <row r="2090" spans="4:4">
      <c r="D2090" s="65"/>
    </row>
    <row r="2091" spans="4:4">
      <c r="D2091" s="65"/>
    </row>
    <row r="2092" spans="4:4">
      <c r="D2092" s="65"/>
    </row>
    <row r="2093" spans="4:4">
      <c r="D2093" s="65"/>
    </row>
    <row r="2094" spans="4:4">
      <c r="D2094" s="65"/>
    </row>
    <row r="2095" spans="4:4">
      <c r="D2095" s="65"/>
    </row>
    <row r="2096" spans="4:4">
      <c r="D2096" s="65"/>
    </row>
    <row r="2097" spans="4:4">
      <c r="D2097" s="65"/>
    </row>
    <row r="2098" spans="4:4">
      <c r="D2098" s="65"/>
    </row>
    <row r="2099" spans="4:4">
      <c r="D2099" s="65"/>
    </row>
    <row r="2100" spans="4:4">
      <c r="D2100" s="65"/>
    </row>
    <row r="2101" spans="4:4">
      <c r="D2101" s="65"/>
    </row>
    <row r="2102" spans="4:4">
      <c r="D2102" s="65"/>
    </row>
    <row r="2103" spans="4:4">
      <c r="D2103" s="65"/>
    </row>
    <row r="2104" spans="4:4">
      <c r="D2104" s="65"/>
    </row>
    <row r="2105" spans="4:4">
      <c r="D2105" s="65"/>
    </row>
    <row r="2106" spans="4:4">
      <c r="D2106" s="65"/>
    </row>
    <row r="2107" spans="4:4">
      <c r="D2107" s="65"/>
    </row>
    <row r="2108" spans="4:4">
      <c r="D2108" s="65"/>
    </row>
    <row r="2109" spans="4:4">
      <c r="D2109" s="65"/>
    </row>
    <row r="2110" spans="4:4">
      <c r="D2110" s="65"/>
    </row>
    <row r="2111" spans="4:4">
      <c r="D2111" s="65"/>
    </row>
    <row r="2112" spans="4:4">
      <c r="D2112" s="65"/>
    </row>
    <row r="2113" spans="4:4">
      <c r="D2113" s="65"/>
    </row>
    <row r="2114" spans="4:4">
      <c r="D2114" s="65"/>
    </row>
    <row r="2115" spans="4:4">
      <c r="D2115" s="65"/>
    </row>
    <row r="2116" spans="4:4">
      <c r="D2116" s="65"/>
    </row>
    <row r="2117" spans="4:4">
      <c r="D2117" s="65"/>
    </row>
    <row r="2118" spans="4:4">
      <c r="D2118" s="65"/>
    </row>
    <row r="2119" spans="4:4">
      <c r="D2119" s="65"/>
    </row>
    <row r="2120" spans="4:4">
      <c r="D2120" s="65"/>
    </row>
    <row r="2121" spans="4:4">
      <c r="D2121" s="65"/>
    </row>
    <row r="2122" spans="4:4">
      <c r="D2122" s="65"/>
    </row>
    <row r="2123" spans="4:4">
      <c r="D2123" s="65"/>
    </row>
    <row r="2124" spans="4:4">
      <c r="D2124" s="65"/>
    </row>
    <row r="2125" spans="4:4">
      <c r="D2125" s="65"/>
    </row>
    <row r="2126" spans="4:4">
      <c r="D2126" s="65"/>
    </row>
    <row r="2127" spans="4:4">
      <c r="D2127" s="65"/>
    </row>
    <row r="2128" spans="4:4">
      <c r="D2128" s="65"/>
    </row>
    <row r="2129" spans="4:4">
      <c r="D2129" s="65"/>
    </row>
    <row r="2130" spans="4:4">
      <c r="D2130" s="65"/>
    </row>
    <row r="2131" spans="4:4">
      <c r="D2131" s="65"/>
    </row>
    <row r="2132" spans="4:4">
      <c r="D2132" s="65"/>
    </row>
    <row r="2133" spans="4:4">
      <c r="D2133" s="65"/>
    </row>
    <row r="2134" spans="4:4">
      <c r="D2134" s="65"/>
    </row>
    <row r="2135" spans="4:4">
      <c r="D2135" s="65"/>
    </row>
    <row r="2136" spans="4:4">
      <c r="D2136" s="65"/>
    </row>
    <row r="2137" spans="4:4">
      <c r="D2137" s="65"/>
    </row>
    <row r="2138" spans="4:4">
      <c r="D2138" s="65"/>
    </row>
    <row r="2139" spans="4:4">
      <c r="D2139" s="65"/>
    </row>
    <row r="2140" spans="4:4">
      <c r="D2140" s="65"/>
    </row>
    <row r="2141" spans="4:4">
      <c r="D2141" s="65"/>
    </row>
    <row r="2142" spans="4:4">
      <c r="D2142" s="65"/>
    </row>
    <row r="2143" spans="4:4">
      <c r="D2143" s="65"/>
    </row>
    <row r="2144" spans="4:4">
      <c r="D2144" s="65"/>
    </row>
    <row r="2145" spans="4:4">
      <c r="D2145" s="65"/>
    </row>
    <row r="2146" spans="4:4">
      <c r="D2146" s="65"/>
    </row>
    <row r="2147" spans="4:4">
      <c r="D2147" s="65"/>
    </row>
    <row r="2148" spans="4:4">
      <c r="D2148" s="65"/>
    </row>
    <row r="2149" spans="4:4">
      <c r="D2149" s="65"/>
    </row>
    <row r="2150" spans="4:4">
      <c r="D2150" s="65"/>
    </row>
    <row r="2151" spans="4:4">
      <c r="D2151" s="65"/>
    </row>
    <row r="2152" spans="4:4">
      <c r="D2152" s="65"/>
    </row>
    <row r="2153" spans="4:4">
      <c r="D2153" s="65"/>
    </row>
    <row r="2154" spans="4:4">
      <c r="D2154" s="65"/>
    </row>
    <row r="2155" spans="4:4">
      <c r="D2155" s="65"/>
    </row>
    <row r="2156" spans="4:4">
      <c r="D2156" s="65"/>
    </row>
    <row r="2157" spans="4:4">
      <c r="D2157" s="65"/>
    </row>
    <row r="2158" spans="4:4">
      <c r="D2158" s="65"/>
    </row>
    <row r="2159" spans="4:4">
      <c r="D2159" s="65"/>
    </row>
    <row r="2160" spans="4:4">
      <c r="D2160" s="65"/>
    </row>
    <row r="2161" spans="4:4">
      <c r="D2161" s="65"/>
    </row>
    <row r="2162" spans="4:4">
      <c r="D2162" s="65"/>
    </row>
    <row r="2163" spans="4:4">
      <c r="D2163" s="65"/>
    </row>
    <row r="2164" spans="4:4">
      <c r="D2164" s="65"/>
    </row>
    <row r="2165" spans="4:4">
      <c r="D2165" s="65"/>
    </row>
    <row r="2166" spans="4:4">
      <c r="D2166" s="65"/>
    </row>
    <row r="2167" spans="4:4">
      <c r="D2167" s="65"/>
    </row>
    <row r="2168" spans="4:4">
      <c r="D2168" s="65"/>
    </row>
    <row r="2169" spans="4:4">
      <c r="D2169" s="65"/>
    </row>
    <row r="2170" spans="4:4">
      <c r="D2170" s="65"/>
    </row>
    <row r="2171" spans="4:4">
      <c r="D2171" s="65"/>
    </row>
    <row r="2172" spans="4:4">
      <c r="D2172" s="65"/>
    </row>
    <row r="2173" spans="4:4">
      <c r="D2173" s="65"/>
    </row>
    <row r="2174" spans="4:4">
      <c r="D2174" s="65"/>
    </row>
    <row r="2175" spans="4:4">
      <c r="D2175" s="65"/>
    </row>
    <row r="2176" spans="4:4">
      <c r="D2176" s="65"/>
    </row>
    <row r="2177" spans="4:4">
      <c r="D2177" s="65"/>
    </row>
    <row r="2178" spans="4:4">
      <c r="D2178" s="65"/>
    </row>
    <row r="2179" spans="4:4">
      <c r="D2179" s="65"/>
    </row>
    <row r="2180" spans="4:4">
      <c r="D2180" s="65"/>
    </row>
    <row r="2181" spans="4:4">
      <c r="D2181" s="65"/>
    </row>
    <row r="2182" spans="4:4">
      <c r="D2182" s="65"/>
    </row>
    <row r="2183" spans="4:4">
      <c r="D2183" s="65"/>
    </row>
    <row r="2184" spans="4:4">
      <c r="D2184" s="65"/>
    </row>
    <row r="2185" spans="4:4">
      <c r="D2185" s="65"/>
    </row>
    <row r="2186" spans="4:4">
      <c r="D2186" s="65"/>
    </row>
    <row r="2187" spans="4:4">
      <c r="D2187" s="65"/>
    </row>
    <row r="2188" spans="4:4">
      <c r="D2188" s="65"/>
    </row>
    <row r="2189" spans="4:4">
      <c r="D2189" s="65"/>
    </row>
    <row r="2190" spans="4:4">
      <c r="D2190" s="65"/>
    </row>
    <row r="2191" spans="4:4">
      <c r="D2191" s="65"/>
    </row>
    <row r="2192" spans="4:4">
      <c r="D2192" s="65"/>
    </row>
    <row r="2193" spans="4:4">
      <c r="D2193" s="65"/>
    </row>
    <row r="2194" spans="4:4">
      <c r="D2194" s="65"/>
    </row>
    <row r="2195" spans="4:4">
      <c r="D2195" s="65"/>
    </row>
    <row r="2196" spans="4:4">
      <c r="D2196" s="65"/>
    </row>
    <row r="2197" spans="4:4">
      <c r="D2197" s="65"/>
    </row>
    <row r="2198" spans="4:4">
      <c r="D2198" s="65"/>
    </row>
    <row r="2199" spans="4:4">
      <c r="D2199" s="65"/>
    </row>
    <row r="2200" spans="4:4">
      <c r="D2200" s="65"/>
    </row>
    <row r="2201" spans="4:4">
      <c r="D2201" s="65"/>
    </row>
    <row r="2202" spans="4:4">
      <c r="D2202" s="65"/>
    </row>
    <row r="2203" spans="4:4">
      <c r="D2203" s="65"/>
    </row>
    <row r="2204" spans="4:4">
      <c r="D2204" s="65"/>
    </row>
    <row r="2205" spans="4:4">
      <c r="D2205" s="65"/>
    </row>
    <row r="2206" spans="4:4">
      <c r="D2206" s="65"/>
    </row>
    <row r="2207" spans="4:4">
      <c r="D2207" s="65"/>
    </row>
    <row r="2208" spans="4:4">
      <c r="D2208" s="65"/>
    </row>
    <row r="2209" spans="4:4">
      <c r="D2209" s="65"/>
    </row>
    <row r="2210" spans="4:4">
      <c r="D2210" s="65"/>
    </row>
    <row r="2211" spans="4:4">
      <c r="D2211" s="65"/>
    </row>
    <row r="2212" spans="4:4">
      <c r="D2212" s="65"/>
    </row>
    <row r="2213" spans="4:4">
      <c r="D2213" s="65"/>
    </row>
    <row r="2214" spans="4:4">
      <c r="D2214" s="65"/>
    </row>
    <row r="2215" spans="4:4">
      <c r="D2215" s="65"/>
    </row>
    <row r="2216" spans="4:4">
      <c r="D2216" s="65"/>
    </row>
    <row r="2217" spans="4:4">
      <c r="D2217" s="65"/>
    </row>
    <row r="2218" spans="4:4">
      <c r="D2218" s="65"/>
    </row>
    <row r="2219" spans="4:4">
      <c r="D2219" s="65"/>
    </row>
    <row r="2220" spans="4:4">
      <c r="D2220" s="65"/>
    </row>
    <row r="2221" spans="4:4">
      <c r="D2221" s="65"/>
    </row>
    <row r="2222" spans="4:4">
      <c r="D2222" s="65"/>
    </row>
    <row r="2223" spans="4:4">
      <c r="D2223" s="65"/>
    </row>
    <row r="2224" spans="4:4">
      <c r="D2224" s="65"/>
    </row>
    <row r="2225" spans="4:4">
      <c r="D2225" s="65"/>
    </row>
    <row r="2226" spans="4:4">
      <c r="D2226" s="65"/>
    </row>
    <row r="2227" spans="4:4">
      <c r="D2227" s="65"/>
    </row>
    <row r="2228" spans="4:4">
      <c r="D2228" s="65"/>
    </row>
    <row r="2229" spans="4:4">
      <c r="D2229" s="65"/>
    </row>
    <row r="2230" spans="4:4">
      <c r="D2230" s="65"/>
    </row>
    <row r="2231" spans="4:4">
      <c r="D2231" s="65"/>
    </row>
    <row r="2232" spans="4:4">
      <c r="D2232" s="65"/>
    </row>
    <row r="2233" spans="4:4">
      <c r="D2233" s="65"/>
    </row>
    <row r="2234" spans="4:4">
      <c r="D2234" s="65"/>
    </row>
    <row r="2235" spans="4:4">
      <c r="D2235" s="65"/>
    </row>
    <row r="2236" spans="4:4">
      <c r="D2236" s="65"/>
    </row>
    <row r="2237" spans="4:4">
      <c r="D2237" s="65"/>
    </row>
    <row r="2238" spans="4:4">
      <c r="D2238" s="65"/>
    </row>
    <row r="2239" spans="4:4">
      <c r="D2239" s="65"/>
    </row>
    <row r="2240" spans="4:4">
      <c r="D2240" s="65"/>
    </row>
    <row r="2241" spans="4:4">
      <c r="D2241" s="65"/>
    </row>
    <row r="2242" spans="4:4">
      <c r="D2242" s="65"/>
    </row>
    <row r="2243" spans="4:4">
      <c r="D2243" s="65"/>
    </row>
    <row r="2244" spans="4:4">
      <c r="D2244" s="65"/>
    </row>
    <row r="2245" spans="4:4">
      <c r="D2245" s="65"/>
    </row>
    <row r="2246" spans="4:4">
      <c r="D2246" s="65"/>
    </row>
    <row r="2247" spans="4:4">
      <c r="D2247" s="65"/>
    </row>
    <row r="2248" spans="4:4">
      <c r="D2248" s="65"/>
    </row>
    <row r="2249" spans="4:4">
      <c r="D2249" s="65"/>
    </row>
    <row r="2250" spans="4:4">
      <c r="D2250" s="65"/>
    </row>
    <row r="2251" spans="4:4">
      <c r="D2251" s="65"/>
    </row>
    <row r="2252" spans="4:4">
      <c r="D2252" s="65"/>
    </row>
    <row r="2253" spans="4:4">
      <c r="D2253" s="65"/>
    </row>
    <row r="2254" spans="4:4">
      <c r="D2254" s="65"/>
    </row>
    <row r="2255" spans="4:4">
      <c r="D2255" s="65"/>
    </row>
    <row r="2256" spans="4:4">
      <c r="D2256" s="65"/>
    </row>
    <row r="2257" spans="4:4">
      <c r="D2257" s="65"/>
    </row>
    <row r="2258" spans="4:4">
      <c r="D2258" s="65"/>
    </row>
    <row r="2259" spans="4:4">
      <c r="D2259" s="65"/>
    </row>
    <row r="2260" spans="4:4">
      <c r="D2260" s="65"/>
    </row>
    <row r="2261" spans="4:4">
      <c r="D2261" s="65"/>
    </row>
    <row r="2262" spans="4:4">
      <c r="D2262" s="65"/>
    </row>
    <row r="2263" spans="4:4">
      <c r="D2263" s="65"/>
    </row>
    <row r="2264" spans="4:4">
      <c r="D2264" s="65"/>
    </row>
    <row r="2265" spans="4:4">
      <c r="D2265" s="65"/>
    </row>
    <row r="2266" spans="4:4">
      <c r="D2266" s="65"/>
    </row>
    <row r="2267" spans="4:4">
      <c r="D2267" s="65"/>
    </row>
    <row r="2268" spans="4:4">
      <c r="D2268" s="65"/>
    </row>
    <row r="2269" spans="4:4">
      <c r="D2269" s="65"/>
    </row>
    <row r="2270" spans="4:4">
      <c r="D2270" s="65"/>
    </row>
    <row r="2271" spans="4:4">
      <c r="D2271" s="65"/>
    </row>
    <row r="2272" spans="4:4">
      <c r="D2272" s="65"/>
    </row>
    <row r="2273" spans="4:4">
      <c r="D2273" s="65"/>
    </row>
    <row r="2274" spans="4:4">
      <c r="D2274" s="65"/>
    </row>
    <row r="2275" spans="4:4">
      <c r="D2275" s="65"/>
    </row>
    <row r="2276" spans="4:4">
      <c r="D2276" s="65"/>
    </row>
    <row r="2277" spans="4:4">
      <c r="D2277" s="65"/>
    </row>
    <row r="2278" spans="4:4">
      <c r="D2278" s="65"/>
    </row>
    <row r="2279" spans="4:4">
      <c r="D2279" s="65"/>
    </row>
    <row r="2280" spans="4:4">
      <c r="D2280" s="65"/>
    </row>
    <row r="2281" spans="4:4">
      <c r="D2281" s="65"/>
    </row>
    <row r="2282" spans="4:4">
      <c r="D2282" s="65"/>
    </row>
    <row r="2283" spans="4:4">
      <c r="D2283" s="65"/>
    </row>
    <row r="2284" spans="4:4">
      <c r="D2284" s="65"/>
    </row>
    <row r="2285" spans="4:4">
      <c r="D2285" s="65"/>
    </row>
    <row r="2286" spans="4:4">
      <c r="D2286" s="65"/>
    </row>
    <row r="2287" spans="4:4">
      <c r="D2287" s="65"/>
    </row>
    <row r="2288" spans="4:4">
      <c r="D2288" s="65"/>
    </row>
    <row r="2289" spans="4:4">
      <c r="D2289" s="65"/>
    </row>
    <row r="2290" spans="4:4">
      <c r="D2290" s="65"/>
    </row>
    <row r="2291" spans="4:4">
      <c r="D2291" s="65"/>
    </row>
    <row r="2292" spans="4:4">
      <c r="D2292" s="65"/>
    </row>
    <row r="2293" spans="4:4">
      <c r="D2293" s="65"/>
    </row>
    <row r="2294" spans="4:4">
      <c r="D2294" s="65"/>
    </row>
    <row r="2295" spans="4:4">
      <c r="D2295" s="65"/>
    </row>
    <row r="2296" spans="4:4">
      <c r="D2296" s="65"/>
    </row>
    <row r="2297" spans="4:4">
      <c r="D2297" s="65"/>
    </row>
    <row r="2298" spans="4:4">
      <c r="D2298" s="65"/>
    </row>
    <row r="2299" spans="4:4">
      <c r="D2299" s="65"/>
    </row>
    <row r="2300" spans="4:4">
      <c r="D2300" s="65"/>
    </row>
    <row r="2301" spans="4:4">
      <c r="D2301" s="65"/>
    </row>
    <row r="2302" spans="4:4">
      <c r="D2302" s="65"/>
    </row>
    <row r="2303" spans="4:4">
      <c r="D2303" s="65"/>
    </row>
    <row r="2304" spans="4:4">
      <c r="D2304" s="65"/>
    </row>
    <row r="2305" spans="4:4">
      <c r="D2305" s="65"/>
    </row>
    <row r="2306" spans="4:4">
      <c r="D2306" s="65"/>
    </row>
    <row r="2307" spans="4:4">
      <c r="D2307" s="65"/>
    </row>
    <row r="2308" spans="4:4">
      <c r="D2308" s="65"/>
    </row>
    <row r="2309" spans="4:4">
      <c r="D2309" s="65"/>
    </row>
    <row r="2310" spans="4:4">
      <c r="D2310" s="65"/>
    </row>
    <row r="2311" spans="4:4">
      <c r="D2311" s="65"/>
    </row>
    <row r="2312" spans="4:4">
      <c r="D2312" s="65"/>
    </row>
    <row r="2313" spans="4:4">
      <c r="D2313" s="65"/>
    </row>
    <row r="2314" spans="4:4">
      <c r="D2314" s="65"/>
    </row>
    <row r="2315" spans="4:4">
      <c r="D2315" s="65"/>
    </row>
    <row r="2316" spans="4:4">
      <c r="D2316" s="65"/>
    </row>
    <row r="2317" spans="4:4">
      <c r="D2317" s="65"/>
    </row>
    <row r="2318" spans="4:4">
      <c r="D2318" s="65"/>
    </row>
    <row r="2319" spans="4:4">
      <c r="D2319" s="65"/>
    </row>
    <row r="2320" spans="4:4">
      <c r="D2320" s="65"/>
    </row>
    <row r="2321" spans="4:4">
      <c r="D2321" s="65"/>
    </row>
    <row r="2322" spans="4:4">
      <c r="D2322" s="65"/>
    </row>
    <row r="2323" spans="4:4">
      <c r="D2323" s="65"/>
    </row>
    <row r="2324" spans="4:4">
      <c r="D2324" s="65"/>
    </row>
    <row r="2325" spans="4:4">
      <c r="D2325" s="65"/>
    </row>
    <row r="2326" spans="4:4">
      <c r="D2326" s="65"/>
    </row>
    <row r="2327" spans="4:4">
      <c r="D2327" s="65"/>
    </row>
    <row r="2328" spans="4:4">
      <c r="D2328" s="65"/>
    </row>
    <row r="2329" spans="4:4">
      <c r="D2329" s="65"/>
    </row>
    <row r="2330" spans="4:4">
      <c r="D2330" s="65"/>
    </row>
    <row r="2331" spans="4:4">
      <c r="D2331" s="65"/>
    </row>
    <row r="2332" spans="4:4">
      <c r="D2332" s="65"/>
    </row>
    <row r="2333" spans="4:4">
      <c r="D2333" s="65"/>
    </row>
    <row r="2334" spans="4:4">
      <c r="D2334" s="65"/>
    </row>
    <row r="2335" spans="4:4">
      <c r="D2335" s="65"/>
    </row>
    <row r="2336" spans="4:4">
      <c r="D2336" s="65"/>
    </row>
    <row r="2337" spans="4:4">
      <c r="D2337" s="65"/>
    </row>
    <row r="2338" spans="4:4">
      <c r="D2338" s="65"/>
    </row>
    <row r="2339" spans="4:4">
      <c r="D2339" s="65"/>
    </row>
    <row r="2340" spans="4:4">
      <c r="D2340" s="65"/>
    </row>
    <row r="2341" spans="4:4">
      <c r="D2341" s="65"/>
    </row>
    <row r="2342" spans="4:4">
      <c r="D2342" s="65"/>
    </row>
    <row r="2343" spans="4:4">
      <c r="D2343" s="65"/>
    </row>
    <row r="2344" spans="4:4">
      <c r="D2344" s="65"/>
    </row>
    <row r="2345" spans="4:4">
      <c r="D2345" s="65"/>
    </row>
    <row r="2346" spans="4:4">
      <c r="D2346" s="65"/>
    </row>
    <row r="2347" spans="4:4">
      <c r="D2347" s="65"/>
    </row>
    <row r="2348" spans="4:4">
      <c r="D2348" s="65"/>
    </row>
    <row r="2349" spans="4:4">
      <c r="D2349" s="65"/>
    </row>
    <row r="2350" spans="4:4">
      <c r="D2350" s="65"/>
    </row>
    <row r="2351" spans="4:4">
      <c r="D2351" s="65"/>
    </row>
    <row r="2352" spans="4:4">
      <c r="D2352" s="65"/>
    </row>
    <row r="2353" spans="4:4">
      <c r="D2353" s="65"/>
    </row>
    <row r="2354" spans="4:4">
      <c r="D2354" s="65"/>
    </row>
    <row r="2355" spans="4:4">
      <c r="D2355" s="65"/>
    </row>
    <row r="2356" spans="4:4">
      <c r="D2356" s="65"/>
    </row>
    <row r="2357" spans="4:4">
      <c r="D2357" s="65"/>
    </row>
    <row r="2358" spans="4:4">
      <c r="D2358" s="65"/>
    </row>
    <row r="2359" spans="4:4">
      <c r="D2359" s="65"/>
    </row>
    <row r="2360" spans="4:4">
      <c r="D2360" s="65"/>
    </row>
    <row r="2361" spans="4:4">
      <c r="D2361" s="65"/>
    </row>
    <row r="2362" spans="4:4">
      <c r="D2362" s="65"/>
    </row>
    <row r="2363" spans="4:4">
      <c r="D2363" s="65"/>
    </row>
    <row r="2364" spans="4:4">
      <c r="D2364" s="65"/>
    </row>
    <row r="2365" spans="4:4">
      <c r="D2365" s="65"/>
    </row>
    <row r="2366" spans="4:4">
      <c r="D2366" s="65"/>
    </row>
    <row r="2367" spans="4:4">
      <c r="D2367" s="65"/>
    </row>
    <row r="2368" spans="4:4">
      <c r="D2368" s="65"/>
    </row>
    <row r="2369" spans="4:4">
      <c r="D2369" s="65"/>
    </row>
    <row r="2370" spans="4:4">
      <c r="D2370" s="65"/>
    </row>
    <row r="2371" spans="4:4">
      <c r="D2371" s="65"/>
    </row>
    <row r="2372" spans="4:4">
      <c r="D2372" s="65"/>
    </row>
    <row r="2373" spans="4:4">
      <c r="D2373" s="65"/>
    </row>
    <row r="2374" spans="4:4">
      <c r="D2374" s="65"/>
    </row>
    <row r="2375" spans="4:4">
      <c r="D2375" s="65"/>
    </row>
    <row r="2376" spans="4:4">
      <c r="D2376" s="65"/>
    </row>
    <row r="2377" spans="4:4">
      <c r="D2377" s="65"/>
    </row>
    <row r="2378" spans="4:4">
      <c r="D2378" s="65"/>
    </row>
    <row r="2379" spans="4:4">
      <c r="D2379" s="65"/>
    </row>
    <row r="2380" spans="4:4">
      <c r="D2380" s="65"/>
    </row>
    <row r="2381" spans="4:4">
      <c r="D2381" s="65"/>
    </row>
    <row r="2382" spans="4:4">
      <c r="D2382" s="65"/>
    </row>
    <row r="2383" spans="4:4">
      <c r="D2383" s="65"/>
    </row>
    <row r="2384" spans="4:4">
      <c r="D2384" s="65"/>
    </row>
    <row r="2385" spans="4:4">
      <c r="D2385" s="65"/>
    </row>
    <row r="2386" spans="4:4">
      <c r="D2386" s="65"/>
    </row>
    <row r="2387" spans="4:4">
      <c r="D2387" s="65"/>
    </row>
    <row r="2388" spans="4:4">
      <c r="D2388" s="65"/>
    </row>
    <row r="2389" spans="4:4">
      <c r="D2389" s="65"/>
    </row>
    <row r="2390" spans="4:4">
      <c r="D2390" s="65"/>
    </row>
    <row r="2391" spans="4:4">
      <c r="D2391" s="65"/>
    </row>
    <row r="2392" spans="4:4">
      <c r="D2392" s="65"/>
    </row>
    <row r="2393" spans="4:4">
      <c r="D2393" s="65"/>
    </row>
    <row r="2394" spans="4:4">
      <c r="D2394" s="65"/>
    </row>
    <row r="2395" spans="4:4">
      <c r="D2395" s="65"/>
    </row>
    <row r="2396" spans="4:4">
      <c r="D2396" s="65"/>
    </row>
    <row r="2397" spans="4:4">
      <c r="D2397" s="65"/>
    </row>
    <row r="2398" spans="4:4">
      <c r="D2398" s="65"/>
    </row>
    <row r="2399" spans="4:4">
      <c r="D2399" s="65"/>
    </row>
    <row r="2400" spans="4:4">
      <c r="D2400" s="65"/>
    </row>
    <row r="2401" spans="4:4">
      <c r="D2401" s="65"/>
    </row>
    <row r="2402" spans="4:4">
      <c r="D2402" s="65"/>
    </row>
    <row r="2403" spans="4:4">
      <c r="D2403" s="65"/>
    </row>
    <row r="2404" spans="4:4">
      <c r="D2404" s="65"/>
    </row>
    <row r="2405" spans="4:4">
      <c r="D2405" s="65"/>
    </row>
    <row r="2406" spans="4:4">
      <c r="D2406" s="65"/>
    </row>
    <row r="2407" spans="4:4">
      <c r="D2407" s="65"/>
    </row>
    <row r="2408" spans="4:4">
      <c r="D2408" s="65"/>
    </row>
    <row r="2409" spans="4:4">
      <c r="D2409" s="65"/>
    </row>
    <row r="2410" spans="4:4">
      <c r="D2410" s="65"/>
    </row>
    <row r="2411" spans="4:4">
      <c r="D2411" s="65"/>
    </row>
    <row r="2412" spans="4:4">
      <c r="D2412" s="65"/>
    </row>
    <row r="2413" spans="4:4">
      <c r="D2413" s="65"/>
    </row>
    <row r="2414" spans="4:4">
      <c r="D2414" s="65"/>
    </row>
    <row r="2415" spans="4:4">
      <c r="D2415" s="65"/>
    </row>
    <row r="2416" spans="4:4">
      <c r="D2416" s="65"/>
    </row>
    <row r="2417" spans="4:4">
      <c r="D2417" s="65"/>
    </row>
    <row r="2418" spans="4:4">
      <c r="D2418" s="65"/>
    </row>
    <row r="2419" spans="4:4">
      <c r="D2419" s="65"/>
    </row>
    <row r="2420" spans="4:4">
      <c r="D2420" s="65"/>
    </row>
    <row r="2421" spans="4:4">
      <c r="D2421" s="65"/>
    </row>
    <row r="2422" spans="4:4">
      <c r="D2422" s="65"/>
    </row>
    <row r="2423" spans="4:4">
      <c r="D2423" s="65"/>
    </row>
    <row r="2424" spans="4:4">
      <c r="D2424" s="65"/>
    </row>
    <row r="2425" spans="4:4">
      <c r="D2425" s="65"/>
    </row>
    <row r="2426" spans="4:4">
      <c r="D2426" s="65"/>
    </row>
    <row r="2427" spans="4:4">
      <c r="D2427" s="65"/>
    </row>
    <row r="2428" spans="4:4">
      <c r="D2428" s="65"/>
    </row>
    <row r="2429" spans="4:4">
      <c r="D2429" s="65"/>
    </row>
    <row r="2430" spans="4:4">
      <c r="D2430" s="65"/>
    </row>
    <row r="2431" spans="4:4">
      <c r="D2431" s="65"/>
    </row>
    <row r="2432" spans="4:4">
      <c r="D2432" s="65"/>
    </row>
    <row r="2433" spans="4:4">
      <c r="D2433" s="65"/>
    </row>
    <row r="2434" spans="4:4">
      <c r="D2434" s="65"/>
    </row>
    <row r="2435" spans="4:4">
      <c r="D2435" s="65"/>
    </row>
    <row r="2436" spans="4:4">
      <c r="D2436" s="65"/>
    </row>
    <row r="2437" spans="4:4">
      <c r="D2437" s="65"/>
    </row>
    <row r="2438" spans="4:4">
      <c r="D2438" s="65"/>
    </row>
    <row r="2439" spans="4:4">
      <c r="D2439" s="65"/>
    </row>
    <row r="2440" spans="4:4">
      <c r="D2440" s="65"/>
    </row>
    <row r="2441" spans="4:4">
      <c r="D2441" s="65"/>
    </row>
    <row r="2442" spans="4:4">
      <c r="D2442" s="65"/>
    </row>
    <row r="2443" spans="4:4">
      <c r="D2443" s="65"/>
    </row>
    <row r="2444" spans="4:4">
      <c r="D2444" s="65"/>
    </row>
    <row r="2445" spans="4:4">
      <c r="D2445" s="65"/>
    </row>
    <row r="2446" spans="4:4">
      <c r="D2446" s="65"/>
    </row>
    <row r="2447" spans="4:4">
      <c r="D2447" s="65"/>
    </row>
    <row r="2448" spans="4:4">
      <c r="D2448" s="65"/>
    </row>
    <row r="2449" spans="4:4">
      <c r="D2449" s="65"/>
    </row>
    <row r="2450" spans="4:4">
      <c r="D2450" s="65"/>
    </row>
    <row r="2451" spans="4:4">
      <c r="D2451" s="65"/>
    </row>
    <row r="2452" spans="4:4">
      <c r="D2452" s="65"/>
    </row>
    <row r="2453" spans="4:4">
      <c r="D2453" s="65"/>
    </row>
    <row r="2454" spans="4:4">
      <c r="D2454" s="65"/>
    </row>
    <row r="2455" spans="4:4">
      <c r="D2455" s="65"/>
    </row>
    <row r="2456" spans="4:4">
      <c r="D2456" s="65"/>
    </row>
    <row r="2457" spans="4:4">
      <c r="D2457" s="65"/>
    </row>
    <row r="2458" spans="4:4">
      <c r="D2458" s="65"/>
    </row>
    <row r="2459" spans="4:4">
      <c r="D2459" s="65"/>
    </row>
    <row r="2460" spans="4:4">
      <c r="D2460" s="65"/>
    </row>
    <row r="2461" spans="4:4">
      <c r="D2461" s="65"/>
    </row>
    <row r="2462" spans="4:4">
      <c r="D2462" s="65"/>
    </row>
    <row r="2463" spans="4:4">
      <c r="D2463" s="65"/>
    </row>
    <row r="2464" spans="4:4">
      <c r="D2464" s="65"/>
    </row>
    <row r="2465" spans="4:4">
      <c r="D2465" s="65"/>
    </row>
    <row r="2466" spans="4:4">
      <c r="D2466" s="65"/>
    </row>
    <row r="2467" spans="4:4">
      <c r="D2467" s="65"/>
    </row>
    <row r="2468" spans="4:4">
      <c r="D2468" s="65"/>
    </row>
    <row r="2469" spans="4:4">
      <c r="D2469" s="65"/>
    </row>
    <row r="2470" spans="4:4">
      <c r="D2470" s="65"/>
    </row>
    <row r="2471" spans="4:4">
      <c r="D2471" s="65"/>
    </row>
    <row r="2472" spans="4:4">
      <c r="D2472" s="65"/>
    </row>
    <row r="2473" spans="4:4">
      <c r="D2473" s="65"/>
    </row>
    <row r="2474" spans="4:4">
      <c r="D2474" s="65"/>
    </row>
    <row r="2475" spans="4:4">
      <c r="D2475" s="65"/>
    </row>
    <row r="2476" spans="4:4">
      <c r="D2476" s="65"/>
    </row>
    <row r="2477" spans="4:4">
      <c r="D2477" s="65"/>
    </row>
    <row r="2478" spans="4:4">
      <c r="D2478" s="65"/>
    </row>
    <row r="2479" spans="4:4">
      <c r="D2479" s="65"/>
    </row>
    <row r="2480" spans="4:4">
      <c r="D2480" s="65"/>
    </row>
    <row r="2481" spans="4:4">
      <c r="D2481" s="65"/>
    </row>
    <row r="2482" spans="4:4">
      <c r="D2482" s="65"/>
    </row>
    <row r="2483" spans="4:4">
      <c r="D2483" s="65"/>
    </row>
    <row r="2484" spans="4:4">
      <c r="D2484" s="65"/>
    </row>
    <row r="2485" spans="4:4">
      <c r="D2485" s="65"/>
    </row>
    <row r="2486" spans="4:4">
      <c r="D2486" s="65"/>
    </row>
    <row r="2487" spans="4:4">
      <c r="D2487" s="65"/>
    </row>
    <row r="2488" spans="4:4">
      <c r="D2488" s="65"/>
    </row>
    <row r="2489" spans="4:4">
      <c r="D2489" s="65"/>
    </row>
    <row r="2490" spans="4:4">
      <c r="D2490" s="65"/>
    </row>
    <row r="2491" spans="4:4">
      <c r="D2491" s="65"/>
    </row>
    <row r="2492" spans="4:4">
      <c r="D2492" s="65"/>
    </row>
    <row r="2493" spans="4:4">
      <c r="D2493" s="65"/>
    </row>
    <row r="2494" spans="4:4">
      <c r="D2494" s="65"/>
    </row>
    <row r="2495" spans="4:4">
      <c r="D2495" s="65"/>
    </row>
    <row r="2496" spans="4:4">
      <c r="D2496" s="65"/>
    </row>
    <row r="2497" spans="4:4">
      <c r="D2497" s="65"/>
    </row>
    <row r="2498" spans="4:4">
      <c r="D2498" s="65"/>
    </row>
    <row r="2499" spans="4:4">
      <c r="D2499" s="65"/>
    </row>
    <row r="2500" spans="4:4">
      <c r="D2500" s="65"/>
    </row>
    <row r="2501" spans="4:4">
      <c r="D2501" s="65"/>
    </row>
    <row r="2502" spans="4:4">
      <c r="D2502" s="65"/>
    </row>
    <row r="2503" spans="4:4">
      <c r="D2503" s="65"/>
    </row>
    <row r="2504" spans="4:4">
      <c r="D2504" s="65"/>
    </row>
    <row r="2505" spans="4:4">
      <c r="D2505" s="65"/>
    </row>
    <row r="2506" spans="4:4">
      <c r="D2506" s="65"/>
    </row>
    <row r="2507" spans="4:4">
      <c r="D2507" s="65"/>
    </row>
    <row r="2508" spans="4:4">
      <c r="D2508" s="65"/>
    </row>
    <row r="2509" spans="4:4">
      <c r="D2509" s="65"/>
    </row>
    <row r="2510" spans="4:4">
      <c r="D2510" s="65"/>
    </row>
    <row r="2511" spans="4:4">
      <c r="D2511" s="65"/>
    </row>
    <row r="2512" spans="4:4">
      <c r="D2512" s="65"/>
    </row>
    <row r="2513" spans="4:4">
      <c r="D2513" s="65"/>
    </row>
    <row r="2514" spans="4:4">
      <c r="D2514" s="65"/>
    </row>
    <row r="2515" spans="4:4">
      <c r="D2515" s="65"/>
    </row>
    <row r="2516" spans="4:4">
      <c r="D2516" s="65"/>
    </row>
    <row r="2517" spans="4:4">
      <c r="D2517" s="65"/>
    </row>
    <row r="2518" spans="4:4">
      <c r="D2518" s="65"/>
    </row>
    <row r="2519" spans="4:4">
      <c r="D2519" s="65"/>
    </row>
    <row r="2520" spans="4:4">
      <c r="D2520" s="65"/>
    </row>
    <row r="2521" spans="4:4">
      <c r="D2521" s="65"/>
    </row>
    <row r="2522" spans="4:4">
      <c r="D2522" s="65"/>
    </row>
    <row r="2523" spans="4:4">
      <c r="D2523" s="65"/>
    </row>
    <row r="2524" spans="4:4">
      <c r="D2524" s="65"/>
    </row>
    <row r="2525" spans="4:4">
      <c r="D2525" s="65"/>
    </row>
    <row r="2526" spans="4:4">
      <c r="D2526" s="65"/>
    </row>
    <row r="2527" spans="4:4">
      <c r="D2527" s="65"/>
    </row>
    <row r="2528" spans="4:4">
      <c r="D2528" s="65"/>
    </row>
    <row r="2529" spans="4:4">
      <c r="D2529" s="65"/>
    </row>
    <row r="2530" spans="4:4">
      <c r="D2530" s="65"/>
    </row>
    <row r="2531" spans="4:4">
      <c r="D2531" s="65"/>
    </row>
    <row r="2532" spans="4:4">
      <c r="D2532" s="65"/>
    </row>
    <row r="2533" spans="4:4">
      <c r="D2533" s="65"/>
    </row>
    <row r="2534" spans="4:4">
      <c r="D2534" s="65"/>
    </row>
    <row r="2535" spans="4:4">
      <c r="D2535" s="65"/>
    </row>
    <row r="2536" spans="4:4">
      <c r="D2536" s="65"/>
    </row>
    <row r="2537" spans="4:4">
      <c r="D2537" s="65"/>
    </row>
    <row r="2538" spans="4:4">
      <c r="D2538" s="65"/>
    </row>
    <row r="2539" spans="4:4">
      <c r="D2539" s="65"/>
    </row>
    <row r="2540" spans="4:4">
      <c r="D2540" s="65"/>
    </row>
    <row r="2541" spans="4:4">
      <c r="D2541" s="65"/>
    </row>
    <row r="2542" spans="4:4">
      <c r="D2542" s="65"/>
    </row>
    <row r="2543" spans="4:4">
      <c r="D2543" s="65"/>
    </row>
    <row r="2544" spans="4:4">
      <c r="D2544" s="65"/>
    </row>
    <row r="2545" spans="4:4">
      <c r="D2545" s="65"/>
    </row>
    <row r="2546" spans="4:4">
      <c r="D2546" s="65"/>
    </row>
    <row r="2547" spans="4:4">
      <c r="D2547" s="65"/>
    </row>
    <row r="2548" spans="4:4">
      <c r="D2548" s="65"/>
    </row>
    <row r="2549" spans="4:4">
      <c r="D2549" s="65"/>
    </row>
    <row r="2550" spans="4:4">
      <c r="D2550" s="65"/>
    </row>
    <row r="2551" spans="4:4">
      <c r="D2551" s="65"/>
    </row>
    <row r="2552" spans="4:4">
      <c r="D2552" s="65"/>
    </row>
    <row r="2553" spans="4:4">
      <c r="D2553" s="65"/>
    </row>
    <row r="2554" spans="4:4">
      <c r="D2554" s="65"/>
    </row>
    <row r="2555" spans="4:4">
      <c r="D2555" s="65"/>
    </row>
    <row r="2556" spans="4:4">
      <c r="D2556" s="65"/>
    </row>
    <row r="2557" spans="4:4">
      <c r="D2557" s="65"/>
    </row>
    <row r="2558" spans="4:4">
      <c r="D2558" s="65"/>
    </row>
    <row r="2559" spans="4:4">
      <c r="D2559" s="65"/>
    </row>
    <row r="2560" spans="4:4">
      <c r="D2560" s="65"/>
    </row>
    <row r="2561" spans="4:4">
      <c r="D2561" s="65"/>
    </row>
    <row r="2562" spans="4:4">
      <c r="D2562" s="65"/>
    </row>
    <row r="2563" spans="4:4">
      <c r="D2563" s="65"/>
    </row>
    <row r="2564" spans="4:4">
      <c r="D2564" s="65"/>
    </row>
    <row r="2565" spans="4:4">
      <c r="D2565" s="65"/>
    </row>
    <row r="2566" spans="4:4">
      <c r="D2566" s="65"/>
    </row>
    <row r="2567" spans="4:4">
      <c r="D2567" s="65"/>
    </row>
    <row r="2568" spans="4:4">
      <c r="D2568" s="65"/>
    </row>
    <row r="2569" spans="4:4">
      <c r="D2569" s="65"/>
    </row>
    <row r="2570" spans="4:4">
      <c r="D2570" s="65"/>
    </row>
    <row r="2571" spans="4:4">
      <c r="D2571" s="65"/>
    </row>
    <row r="2572" spans="4:4">
      <c r="D2572" s="65"/>
    </row>
    <row r="2573" spans="4:4">
      <c r="D2573" s="65"/>
    </row>
    <row r="2574" spans="4:4">
      <c r="D2574" s="65"/>
    </row>
    <row r="2575" spans="4:4">
      <c r="D2575" s="65"/>
    </row>
    <row r="2576" spans="4:4">
      <c r="D2576" s="65"/>
    </row>
    <row r="2577" spans="4:4">
      <c r="D2577" s="65"/>
    </row>
    <row r="2578" spans="4:4">
      <c r="D2578" s="65"/>
    </row>
    <row r="2579" spans="4:4">
      <c r="D2579" s="65"/>
    </row>
    <row r="2580" spans="4:4">
      <c r="D2580" s="65"/>
    </row>
    <row r="2581" spans="4:4">
      <c r="D2581" s="65"/>
    </row>
    <row r="2582" spans="4:4">
      <c r="D2582" s="65"/>
    </row>
    <row r="2583" spans="4:4">
      <c r="D2583" s="65"/>
    </row>
    <row r="2584" spans="4:4">
      <c r="D2584" s="65"/>
    </row>
    <row r="2585" spans="4:4">
      <c r="D2585" s="65"/>
    </row>
    <row r="2586" spans="4:4">
      <c r="D2586" s="65"/>
    </row>
    <row r="2587" spans="4:4">
      <c r="D2587" s="65"/>
    </row>
    <row r="2588" spans="4:4">
      <c r="D2588" s="65"/>
    </row>
    <row r="2589" spans="4:4">
      <c r="D2589" s="65"/>
    </row>
    <row r="2590" spans="4:4">
      <c r="D2590" s="65"/>
    </row>
    <row r="2591" spans="4:4">
      <c r="D2591" s="65"/>
    </row>
    <row r="2592" spans="4:4">
      <c r="D2592" s="65"/>
    </row>
    <row r="2593" spans="4:4">
      <c r="D2593" s="65"/>
    </row>
    <row r="2594" spans="4:4">
      <c r="D2594" s="65"/>
    </row>
    <row r="2595" spans="4:4">
      <c r="D2595" s="65"/>
    </row>
    <row r="2596" spans="4:4">
      <c r="D2596" s="65"/>
    </row>
    <row r="2597" spans="4:4">
      <c r="D2597" s="65"/>
    </row>
    <row r="2598" spans="4:4">
      <c r="D2598" s="65"/>
    </row>
    <row r="2599" spans="4:4">
      <c r="D2599" s="65"/>
    </row>
    <row r="2600" spans="4:4">
      <c r="D2600" s="65"/>
    </row>
    <row r="2601" spans="4:4">
      <c r="D2601" s="65"/>
    </row>
    <row r="2602" spans="4:4">
      <c r="D2602" s="65"/>
    </row>
    <row r="2603" spans="4:4">
      <c r="D2603" s="65"/>
    </row>
    <row r="2604" spans="4:4">
      <c r="D2604" s="65"/>
    </row>
    <row r="2605" spans="4:4">
      <c r="D2605" s="65"/>
    </row>
    <row r="2606" spans="4:4">
      <c r="D2606" s="65"/>
    </row>
    <row r="2607" spans="4:4">
      <c r="D2607" s="65"/>
    </row>
    <row r="2608" spans="4:4">
      <c r="D2608" s="65"/>
    </row>
    <row r="2609" spans="4:4">
      <c r="D2609" s="65"/>
    </row>
    <row r="2610" spans="4:4">
      <c r="D2610" s="65"/>
    </row>
    <row r="2611" spans="4:4">
      <c r="D2611" s="65"/>
    </row>
    <row r="2612" spans="4:4">
      <c r="D2612" s="65"/>
    </row>
    <row r="2613" spans="4:4">
      <c r="D2613" s="65"/>
    </row>
    <row r="2614" spans="4:4">
      <c r="D2614" s="65"/>
    </row>
    <row r="2615" spans="4:4">
      <c r="D2615" s="65"/>
    </row>
    <row r="2616" spans="4:4">
      <c r="D2616" s="65"/>
    </row>
    <row r="2617" spans="4:4">
      <c r="D2617" s="65"/>
    </row>
    <row r="2618" spans="4:4">
      <c r="D2618" s="65"/>
    </row>
    <row r="2619" spans="4:4">
      <c r="D2619" s="65"/>
    </row>
    <row r="2620" spans="4:4">
      <c r="D2620" s="65"/>
    </row>
    <row r="2621" spans="4:4">
      <c r="D2621" s="65"/>
    </row>
    <row r="2622" spans="4:4">
      <c r="D2622" s="65"/>
    </row>
    <row r="2623" spans="4:4">
      <c r="D2623" s="65"/>
    </row>
    <row r="2624" spans="4:4">
      <c r="D2624" s="65"/>
    </row>
    <row r="2625" spans="4:4">
      <c r="D2625" s="65"/>
    </row>
    <row r="2626" spans="4:4">
      <c r="D2626" s="65"/>
    </row>
    <row r="2627" spans="4:4">
      <c r="D2627" s="65"/>
    </row>
    <row r="2628" spans="4:4">
      <c r="D2628" s="65"/>
    </row>
    <row r="2629" spans="4:4">
      <c r="D2629" s="65"/>
    </row>
    <row r="2630" spans="4:4">
      <c r="D2630" s="65"/>
    </row>
    <row r="2631" spans="4:4">
      <c r="D2631" s="65"/>
    </row>
    <row r="2632" spans="4:4">
      <c r="D2632" s="65"/>
    </row>
    <row r="2633" spans="4:4">
      <c r="D2633" s="65"/>
    </row>
    <row r="2634" spans="4:4">
      <c r="D2634" s="65"/>
    </row>
    <row r="2635" spans="4:4">
      <c r="D2635" s="65"/>
    </row>
    <row r="2636" spans="4:4">
      <c r="D2636" s="65"/>
    </row>
    <row r="2637" spans="4:4">
      <c r="D2637" s="65"/>
    </row>
    <row r="2638" spans="4:4">
      <c r="D2638" s="65"/>
    </row>
    <row r="2639" spans="4:4">
      <c r="D2639" s="65"/>
    </row>
    <row r="2640" spans="4:4">
      <c r="D2640" s="65"/>
    </row>
    <row r="2641" spans="4:4">
      <c r="D2641" s="65"/>
    </row>
    <row r="2642" spans="4:4">
      <c r="D2642" s="65"/>
    </row>
    <row r="2643" spans="4:4">
      <c r="D2643" s="65"/>
    </row>
    <row r="2644" spans="4:4">
      <c r="D2644" s="65"/>
    </row>
    <row r="2645" spans="4:4">
      <c r="D2645" s="65"/>
    </row>
    <row r="2646" spans="4:4">
      <c r="D2646" s="65"/>
    </row>
    <row r="2647" spans="4:4">
      <c r="D2647" s="65"/>
    </row>
    <row r="2648" spans="4:4">
      <c r="D2648" s="65"/>
    </row>
    <row r="2649" spans="4:4">
      <c r="D2649" s="65"/>
    </row>
    <row r="2650" spans="4:4">
      <c r="D2650" s="65"/>
    </row>
    <row r="2651" spans="4:4">
      <c r="D2651" s="65"/>
    </row>
    <row r="2652" spans="4:4">
      <c r="D2652" s="65"/>
    </row>
    <row r="2653" spans="4:4">
      <c r="D2653" s="65"/>
    </row>
    <row r="2654" spans="4:4">
      <c r="D2654" s="65"/>
    </row>
    <row r="2655" spans="4:4">
      <c r="D2655" s="65"/>
    </row>
    <row r="2656" spans="4:4">
      <c r="D2656" s="65"/>
    </row>
    <row r="2657" spans="4:4">
      <c r="D2657" s="65"/>
    </row>
    <row r="2658" spans="4:4">
      <c r="D2658" s="65"/>
    </row>
    <row r="2659" spans="4:4">
      <c r="D2659" s="65"/>
    </row>
    <row r="2660" spans="4:4">
      <c r="D2660" s="65"/>
    </row>
    <row r="2661" spans="4:4">
      <c r="D2661" s="65"/>
    </row>
    <row r="2662" spans="4:4">
      <c r="D2662" s="65"/>
    </row>
    <row r="2663" spans="4:4">
      <c r="D2663" s="65"/>
    </row>
    <row r="2664" spans="4:4">
      <c r="D2664" s="65"/>
    </row>
    <row r="2665" spans="4:4">
      <c r="D2665" s="65"/>
    </row>
    <row r="2666" spans="4:4">
      <c r="D2666" s="65"/>
    </row>
    <row r="2667" spans="4:4">
      <c r="D2667" s="65"/>
    </row>
    <row r="2668" spans="4:4">
      <c r="D2668" s="65"/>
    </row>
    <row r="2669" spans="4:4">
      <c r="D2669" s="65"/>
    </row>
    <row r="2670" spans="4:4">
      <c r="D2670" s="65"/>
    </row>
    <row r="2671" spans="4:4">
      <c r="D2671" s="65"/>
    </row>
    <row r="2672" spans="4:4">
      <c r="D2672" s="65"/>
    </row>
    <row r="2673" spans="4:4">
      <c r="D2673" s="65"/>
    </row>
    <row r="2674" spans="4:4">
      <c r="D2674" s="65"/>
    </row>
    <row r="2675" spans="4:4">
      <c r="D2675" s="65"/>
    </row>
    <row r="2676" spans="4:4">
      <c r="D2676" s="65"/>
    </row>
    <row r="2677" spans="4:4">
      <c r="D2677" s="65"/>
    </row>
    <row r="2678" spans="4:4">
      <c r="D2678" s="65"/>
    </row>
    <row r="2679" spans="4:4">
      <c r="D2679" s="65"/>
    </row>
    <row r="2680" spans="4:4">
      <c r="D2680" s="65"/>
    </row>
    <row r="2681" spans="4:4">
      <c r="D2681" s="65"/>
    </row>
    <row r="2682" spans="4:4">
      <c r="D2682" s="65"/>
    </row>
    <row r="2683" spans="4:4">
      <c r="D2683" s="65"/>
    </row>
    <row r="2684" spans="4:4">
      <c r="D2684" s="65"/>
    </row>
    <row r="2685" spans="4:4">
      <c r="D2685" s="65"/>
    </row>
    <row r="2686" spans="4:4">
      <c r="D2686" s="65"/>
    </row>
    <row r="2687" spans="4:4">
      <c r="D2687" s="65"/>
    </row>
    <row r="2688" spans="4:4">
      <c r="D2688" s="65"/>
    </row>
    <row r="2689" spans="4:4">
      <c r="D2689" s="65"/>
    </row>
    <row r="2690" spans="4:4">
      <c r="D2690" s="65"/>
    </row>
    <row r="2691" spans="4:4">
      <c r="D2691" s="65"/>
    </row>
    <row r="2692" spans="4:4">
      <c r="D2692" s="65"/>
    </row>
    <row r="2693" spans="4:4">
      <c r="D2693" s="65"/>
    </row>
    <row r="2694" spans="4:4">
      <c r="D2694" s="65"/>
    </row>
    <row r="2695" spans="4:4">
      <c r="D2695" s="65"/>
    </row>
    <row r="2696" spans="4:4">
      <c r="D2696" s="65"/>
    </row>
    <row r="2697" spans="4:4">
      <c r="D2697" s="65"/>
    </row>
    <row r="2698" spans="4:4">
      <c r="D2698" s="65"/>
    </row>
    <row r="2699" spans="4:4">
      <c r="D2699" s="65"/>
    </row>
    <row r="2700" spans="4:4">
      <c r="D2700" s="65"/>
    </row>
    <row r="2701" spans="4:4">
      <c r="D2701" s="65"/>
    </row>
    <row r="2702" spans="4:4">
      <c r="D2702" s="65"/>
    </row>
    <row r="2703" spans="4:4">
      <c r="D2703" s="65"/>
    </row>
    <row r="2704" spans="4:4">
      <c r="D2704" s="65"/>
    </row>
    <row r="2705" spans="4:4">
      <c r="D2705" s="65"/>
    </row>
    <row r="2706" spans="4:4">
      <c r="D2706" s="65"/>
    </row>
    <row r="2707" spans="4:4">
      <c r="D2707" s="65"/>
    </row>
    <row r="2708" spans="4:4">
      <c r="D2708" s="65"/>
    </row>
    <row r="2709" spans="4:4">
      <c r="D2709" s="65"/>
    </row>
    <row r="2710" spans="4:4">
      <c r="D2710" s="65"/>
    </row>
    <row r="2711" spans="4:4">
      <c r="D2711" s="65"/>
    </row>
    <row r="2712" spans="4:4">
      <c r="D2712" s="65"/>
    </row>
    <row r="2713" spans="4:4">
      <c r="D2713" s="65"/>
    </row>
    <row r="2714" spans="4:4">
      <c r="D2714" s="65"/>
    </row>
    <row r="2715" spans="4:4">
      <c r="D2715" s="65"/>
    </row>
    <row r="2716" spans="4:4">
      <c r="D2716" s="65"/>
    </row>
    <row r="2717" spans="4:4">
      <c r="D2717" s="65"/>
    </row>
    <row r="2718" spans="4:4">
      <c r="D2718" s="65"/>
    </row>
    <row r="2719" spans="4:4">
      <c r="D2719" s="65"/>
    </row>
    <row r="2720" spans="4:4">
      <c r="D2720" s="65"/>
    </row>
    <row r="2721" spans="4:4">
      <c r="D2721" s="65"/>
    </row>
    <row r="2722" spans="4:4">
      <c r="D2722" s="65"/>
    </row>
    <row r="2723" spans="4:4">
      <c r="D2723" s="65"/>
    </row>
    <row r="2724" spans="4:4">
      <c r="D2724" s="65"/>
    </row>
    <row r="2725" spans="4:4">
      <c r="D2725" s="65"/>
    </row>
    <row r="2726" spans="4:4">
      <c r="D2726" s="65"/>
    </row>
    <row r="2727" spans="4:4">
      <c r="D2727" s="65"/>
    </row>
    <row r="2728" spans="4:4">
      <c r="D2728" s="65"/>
    </row>
    <row r="2729" spans="4:4">
      <c r="D2729" s="65"/>
    </row>
    <row r="2730" spans="4:4">
      <c r="D2730" s="65"/>
    </row>
    <row r="2731" spans="4:4">
      <c r="D2731" s="65"/>
    </row>
    <row r="2732" spans="4:4">
      <c r="D2732" s="65"/>
    </row>
    <row r="2733" spans="4:4">
      <c r="D2733" s="65"/>
    </row>
    <row r="2734" spans="4:4">
      <c r="D2734" s="65"/>
    </row>
    <row r="2735" spans="4:4">
      <c r="D2735" s="65"/>
    </row>
    <row r="2736" spans="4:4">
      <c r="D2736" s="65"/>
    </row>
    <row r="2737" spans="4:4">
      <c r="D2737" s="65"/>
    </row>
    <row r="2738" spans="4:4">
      <c r="D2738" s="65"/>
    </row>
    <row r="2739" spans="4:4">
      <c r="D2739" s="65"/>
    </row>
    <row r="2740" spans="4:4">
      <c r="D2740" s="65"/>
    </row>
    <row r="2741" spans="4:4">
      <c r="D2741" s="65"/>
    </row>
    <row r="2742" spans="4:4">
      <c r="D2742" s="65"/>
    </row>
    <row r="2743" spans="4:4">
      <c r="D2743" s="65"/>
    </row>
    <row r="2744" spans="4:4">
      <c r="D2744" s="65"/>
    </row>
    <row r="2745" spans="4:4">
      <c r="D2745" s="65"/>
    </row>
    <row r="2746" spans="4:4">
      <c r="D2746" s="65"/>
    </row>
    <row r="2747" spans="4:4">
      <c r="D2747" s="65"/>
    </row>
    <row r="2748" spans="4:4">
      <c r="D2748" s="65"/>
    </row>
    <row r="2749" spans="4:4">
      <c r="D2749" s="65"/>
    </row>
    <row r="2750" spans="4:4">
      <c r="D2750" s="65"/>
    </row>
    <row r="2751" spans="4:4">
      <c r="D2751" s="65"/>
    </row>
    <row r="2752" spans="4:4">
      <c r="D2752" s="65"/>
    </row>
    <row r="2753" spans="4:4">
      <c r="D2753" s="65"/>
    </row>
    <row r="2754" spans="4:4">
      <c r="D2754" s="65"/>
    </row>
    <row r="2755" spans="4:4">
      <c r="D2755" s="65"/>
    </row>
    <row r="2756" spans="4:4">
      <c r="D2756" s="65"/>
    </row>
    <row r="2757" spans="4:4">
      <c r="D2757" s="65"/>
    </row>
    <row r="2758" spans="4:4">
      <c r="D2758" s="65"/>
    </row>
    <row r="2759" spans="4:4">
      <c r="D2759" s="65"/>
    </row>
    <row r="2760" spans="4:4">
      <c r="D2760" s="65"/>
    </row>
    <row r="2761" spans="4:4">
      <c r="D2761" s="65"/>
    </row>
    <row r="2762" spans="4:4">
      <c r="D2762" s="65"/>
    </row>
    <row r="2763" spans="4:4">
      <c r="D2763" s="65"/>
    </row>
    <row r="2764" spans="4:4">
      <c r="D2764" s="65"/>
    </row>
    <row r="2765" spans="4:4">
      <c r="D2765" s="65"/>
    </row>
    <row r="2766" spans="4:4">
      <c r="D2766" s="65"/>
    </row>
    <row r="2767" spans="4:4">
      <c r="D2767" s="65"/>
    </row>
    <row r="2768" spans="4:4">
      <c r="D2768" s="65"/>
    </row>
    <row r="2769" spans="4:4">
      <c r="D2769" s="65"/>
    </row>
    <row r="2770" spans="4:4">
      <c r="D2770" s="65"/>
    </row>
    <row r="2771" spans="4:4">
      <c r="D2771" s="65"/>
    </row>
    <row r="2772" spans="4:4">
      <c r="D2772" s="65"/>
    </row>
    <row r="2773" spans="4:4">
      <c r="D2773" s="65"/>
    </row>
    <row r="2774" spans="4:4">
      <c r="D2774" s="65"/>
    </row>
    <row r="2775" spans="4:4">
      <c r="D2775" s="65"/>
    </row>
    <row r="2776" spans="4:4">
      <c r="D2776" s="65"/>
    </row>
    <row r="2777" spans="4:4">
      <c r="D2777" s="65"/>
    </row>
    <row r="2778" spans="4:4">
      <c r="D2778" s="65"/>
    </row>
    <row r="2779" spans="4:4">
      <c r="D2779" s="65"/>
    </row>
    <row r="2780" spans="4:4">
      <c r="D2780" s="65"/>
    </row>
    <row r="2781" spans="4:4">
      <c r="D2781" s="65"/>
    </row>
    <row r="2782" spans="4:4">
      <c r="D2782" s="65"/>
    </row>
    <row r="2783" spans="4:4">
      <c r="D2783" s="65"/>
    </row>
    <row r="2784" spans="4:4">
      <c r="D2784" s="65"/>
    </row>
    <row r="2785" spans="4:4">
      <c r="D2785" s="65"/>
    </row>
    <row r="2786" spans="4:4">
      <c r="D2786" s="65"/>
    </row>
    <row r="2787" spans="4:4">
      <c r="D2787" s="65"/>
    </row>
    <row r="2788" spans="4:4">
      <c r="D2788" s="65"/>
    </row>
    <row r="2789" spans="4:4">
      <c r="D2789" s="65"/>
    </row>
    <row r="2790" spans="4:4">
      <c r="D2790" s="65"/>
    </row>
    <row r="2791" spans="4:4">
      <c r="D2791" s="65"/>
    </row>
    <row r="2792" spans="4:4">
      <c r="D2792" s="65"/>
    </row>
    <row r="2793" spans="4:4">
      <c r="D2793" s="65"/>
    </row>
    <row r="2794" spans="4:4">
      <c r="D2794" s="65"/>
    </row>
    <row r="2795" spans="4:4">
      <c r="D2795" s="65"/>
    </row>
    <row r="2796" spans="4:4">
      <c r="D2796" s="65"/>
    </row>
    <row r="2797" spans="4:4">
      <c r="D2797" s="65"/>
    </row>
    <row r="2798" spans="4:4">
      <c r="D2798" s="65"/>
    </row>
    <row r="2799" spans="4:4">
      <c r="D2799" s="65"/>
    </row>
    <row r="2800" spans="4:4">
      <c r="D2800" s="65"/>
    </row>
    <row r="2801" spans="4:4">
      <c r="D2801" s="65"/>
    </row>
    <row r="2802" spans="4:4">
      <c r="D2802" s="65"/>
    </row>
    <row r="2803" spans="4:4">
      <c r="D2803" s="65"/>
    </row>
    <row r="2804" spans="4:4">
      <c r="D2804" s="65"/>
    </row>
    <row r="2805" spans="4:4">
      <c r="D2805" s="65"/>
    </row>
    <row r="2806" spans="4:4">
      <c r="D2806" s="65"/>
    </row>
    <row r="2807" spans="4:4">
      <c r="D2807" s="65"/>
    </row>
    <row r="2808" spans="4:4">
      <c r="D2808" s="65"/>
    </row>
    <row r="2809" spans="4:4">
      <c r="D2809" s="65"/>
    </row>
    <row r="2810" spans="4:4">
      <c r="D2810" s="65"/>
    </row>
    <row r="2811" spans="4:4">
      <c r="D2811" s="65"/>
    </row>
    <row r="2812" spans="4:4">
      <c r="D2812" s="65"/>
    </row>
    <row r="2813" spans="4:4">
      <c r="D2813" s="65"/>
    </row>
    <row r="2814" spans="4:4">
      <c r="D2814" s="65"/>
    </row>
    <row r="2815" spans="4:4">
      <c r="D2815" s="65"/>
    </row>
    <row r="2816" spans="4:4">
      <c r="D2816" s="65"/>
    </row>
    <row r="2817" spans="4:4">
      <c r="D2817" s="65"/>
    </row>
    <row r="2818" spans="4:4">
      <c r="D2818" s="65"/>
    </row>
    <row r="2819" spans="4:4">
      <c r="D2819" s="65"/>
    </row>
    <row r="2820" spans="4:4">
      <c r="D2820" s="65"/>
    </row>
    <row r="2821" spans="4:4">
      <c r="D2821" s="65"/>
    </row>
    <row r="2822" spans="4:4">
      <c r="D2822" s="65"/>
    </row>
    <row r="2823" spans="4:4">
      <c r="D2823" s="65"/>
    </row>
    <row r="2824" spans="4:4">
      <c r="D2824" s="65"/>
    </row>
    <row r="2825" spans="4:4">
      <c r="D2825" s="65"/>
    </row>
    <row r="2826" spans="4:4">
      <c r="D2826" s="65"/>
    </row>
    <row r="2827" spans="4:4">
      <c r="D2827" s="65"/>
    </row>
    <row r="2828" spans="4:4">
      <c r="D2828" s="65"/>
    </row>
    <row r="2829" spans="4:4">
      <c r="D2829" s="65"/>
    </row>
    <row r="2830" spans="4:4">
      <c r="D2830" s="65"/>
    </row>
    <row r="2831" spans="4:4">
      <c r="D2831" s="65"/>
    </row>
    <row r="2832" spans="4:4">
      <c r="D2832" s="65"/>
    </row>
    <row r="2833" spans="4:4">
      <c r="D2833" s="65"/>
    </row>
    <row r="2834" spans="4:4">
      <c r="D2834" s="65"/>
    </row>
    <row r="2835" spans="4:4">
      <c r="D2835" s="65"/>
    </row>
    <row r="2836" spans="4:4">
      <c r="D2836" s="65"/>
    </row>
    <row r="2837" spans="4:4">
      <c r="D2837" s="65"/>
    </row>
    <row r="2838" spans="4:4">
      <c r="D2838" s="65"/>
    </row>
    <row r="2839" spans="4:4">
      <c r="D2839" s="65"/>
    </row>
    <row r="2840" spans="4:4">
      <c r="D2840" s="65"/>
    </row>
    <row r="2841" spans="4:4">
      <c r="D2841" s="65"/>
    </row>
    <row r="2842" spans="4:4">
      <c r="D2842" s="65"/>
    </row>
    <row r="2843" spans="4:4">
      <c r="D2843" s="65"/>
    </row>
    <row r="2844" spans="4:4">
      <c r="D2844" s="65"/>
    </row>
    <row r="2845" spans="4:4">
      <c r="D2845" s="65"/>
    </row>
    <row r="2846" spans="4:4">
      <c r="D2846" s="65"/>
    </row>
    <row r="2847" spans="4:4">
      <c r="D2847" s="65"/>
    </row>
    <row r="2848" spans="4:4">
      <c r="D2848" s="65"/>
    </row>
    <row r="2849" spans="4:4">
      <c r="D2849" s="65"/>
    </row>
    <row r="2850" spans="4:4">
      <c r="D2850" s="65"/>
    </row>
    <row r="2851" spans="4:4">
      <c r="D2851" s="65"/>
    </row>
    <row r="2852" spans="4:4">
      <c r="D2852" s="65"/>
    </row>
    <row r="2853" spans="4:4">
      <c r="D2853" s="65"/>
    </row>
    <row r="2854" spans="4:4">
      <c r="D2854" s="65"/>
    </row>
    <row r="2855" spans="4:4">
      <c r="D2855" s="65"/>
    </row>
    <row r="2856" spans="4:4">
      <c r="D2856" s="65"/>
    </row>
    <row r="2857" spans="4:4">
      <c r="D2857" s="65"/>
    </row>
    <row r="2858" spans="4:4">
      <c r="D2858" s="65"/>
    </row>
    <row r="2859" spans="4:4">
      <c r="D2859" s="65"/>
    </row>
    <row r="2860" spans="4:4">
      <c r="D2860" s="65"/>
    </row>
    <row r="2861" spans="4:4">
      <c r="D2861" s="65"/>
    </row>
    <row r="2862" spans="4:4">
      <c r="D2862" s="65"/>
    </row>
    <row r="2863" spans="4:4">
      <c r="D2863" s="65"/>
    </row>
    <row r="2864" spans="4:4">
      <c r="D2864" s="65"/>
    </row>
    <row r="2865" spans="4:4">
      <c r="D2865" s="65"/>
    </row>
    <row r="2866" spans="4:4">
      <c r="D2866" s="65"/>
    </row>
    <row r="2867" spans="4:4">
      <c r="D2867" s="65"/>
    </row>
    <row r="2868" spans="4:4">
      <c r="D2868" s="65"/>
    </row>
    <row r="2869" spans="4:4">
      <c r="D2869" s="65"/>
    </row>
    <row r="2870" spans="4:4">
      <c r="D2870" s="65"/>
    </row>
    <row r="2871" spans="4:4">
      <c r="D2871" s="65"/>
    </row>
    <row r="2872" spans="4:4">
      <c r="D2872" s="65"/>
    </row>
    <row r="2873" spans="4:4">
      <c r="D2873" s="65"/>
    </row>
    <row r="2874" spans="4:4">
      <c r="D2874" s="65"/>
    </row>
    <row r="2875" spans="4:4">
      <c r="D2875" s="65"/>
    </row>
    <row r="2876" spans="4:4">
      <c r="D2876" s="65"/>
    </row>
    <row r="2877" spans="4:4">
      <c r="D2877" s="65"/>
    </row>
    <row r="2878" spans="4:4">
      <c r="D2878" s="65"/>
    </row>
    <row r="2879" spans="4:4">
      <c r="D2879" s="65"/>
    </row>
    <row r="2880" spans="4:4">
      <c r="D2880" s="65"/>
    </row>
    <row r="2881" spans="4:4">
      <c r="D2881" s="65"/>
    </row>
    <row r="2882" spans="4:4">
      <c r="D2882" s="65"/>
    </row>
    <row r="2883" spans="4:4">
      <c r="D2883" s="65"/>
    </row>
    <row r="2884" spans="4:4">
      <c r="D2884" s="65"/>
    </row>
    <row r="2885" spans="4:4">
      <c r="D2885" s="65"/>
    </row>
    <row r="2886" spans="4:4">
      <c r="D2886" s="65"/>
    </row>
    <row r="2887" spans="4:4">
      <c r="D2887" s="65"/>
    </row>
    <row r="2888" spans="4:4">
      <c r="D2888" s="65"/>
    </row>
    <row r="2889" spans="4:4">
      <c r="D2889" s="65"/>
    </row>
    <row r="2890" spans="4:4">
      <c r="D2890" s="65"/>
    </row>
    <row r="2891" spans="4:4">
      <c r="D2891" s="65"/>
    </row>
    <row r="2892" spans="4:4">
      <c r="D2892" s="65"/>
    </row>
    <row r="2893" spans="4:4">
      <c r="D2893" s="65"/>
    </row>
    <row r="2894" spans="4:4">
      <c r="D2894" s="65"/>
    </row>
    <row r="2895" spans="4:4">
      <c r="D2895" s="65"/>
    </row>
    <row r="2896" spans="4:4">
      <c r="D2896" s="65"/>
    </row>
    <row r="2897" spans="4:4">
      <c r="D2897" s="65"/>
    </row>
    <row r="2898" spans="4:4">
      <c r="D2898" s="65"/>
    </row>
    <row r="2899" spans="4:4">
      <c r="D2899" s="65"/>
    </row>
    <row r="2900" spans="4:4">
      <c r="D2900" s="65"/>
    </row>
    <row r="2901" spans="4:4">
      <c r="D2901" s="65"/>
    </row>
    <row r="2902" spans="4:4">
      <c r="D2902" s="65"/>
    </row>
    <row r="2903" spans="4:4">
      <c r="D2903" s="65"/>
    </row>
    <row r="2904" spans="4:4">
      <c r="D2904" s="65"/>
    </row>
    <row r="2905" spans="4:4">
      <c r="D2905" s="65"/>
    </row>
    <row r="2906" spans="4:4">
      <c r="D2906" s="65"/>
    </row>
    <row r="2907" spans="4:4">
      <c r="D2907" s="65"/>
    </row>
    <row r="2908" spans="4:4">
      <c r="D2908" s="65"/>
    </row>
    <row r="2909" spans="4:4">
      <c r="D2909" s="65"/>
    </row>
    <row r="2910" spans="4:4">
      <c r="D2910" s="65"/>
    </row>
    <row r="2911" spans="4:4">
      <c r="D2911" s="65"/>
    </row>
    <row r="2912" spans="4:4">
      <c r="D2912" s="65"/>
    </row>
    <row r="2913" spans="4:4">
      <c r="D2913" s="65"/>
    </row>
    <row r="2914" spans="4:4">
      <c r="D2914" s="65"/>
    </row>
    <row r="2915" spans="4:4">
      <c r="D2915" s="65"/>
    </row>
    <row r="2916" spans="4:4">
      <c r="D2916" s="65"/>
    </row>
    <row r="2917" spans="4:4">
      <c r="D2917" s="65"/>
    </row>
    <row r="2918" spans="4:4">
      <c r="D2918" s="65"/>
    </row>
    <row r="2919" spans="4:4">
      <c r="D2919" s="65"/>
    </row>
    <row r="2920" spans="4:4">
      <c r="D2920" s="65"/>
    </row>
    <row r="2921" spans="4:4">
      <c r="D2921" s="65"/>
    </row>
    <row r="2922" spans="4:4">
      <c r="D2922" s="65"/>
    </row>
    <row r="2923" spans="4:4">
      <c r="D2923" s="65"/>
    </row>
    <row r="2924" spans="4:4">
      <c r="D2924" s="65"/>
    </row>
    <row r="2925" spans="4:4">
      <c r="D2925" s="65"/>
    </row>
    <row r="2926" spans="4:4">
      <c r="D2926" s="65"/>
    </row>
    <row r="2927" spans="4:4">
      <c r="D2927" s="65"/>
    </row>
    <row r="2928" spans="4:4">
      <c r="D2928" s="65"/>
    </row>
    <row r="2929" spans="4:4">
      <c r="D2929" s="65"/>
    </row>
    <row r="2930" spans="4:4">
      <c r="D2930" s="65"/>
    </row>
    <row r="2931" spans="4:4">
      <c r="D2931" s="65"/>
    </row>
    <row r="2932" spans="4:4">
      <c r="D2932" s="65"/>
    </row>
    <row r="2933" spans="4:4">
      <c r="D2933" s="65"/>
    </row>
    <row r="2934" spans="4:4">
      <c r="D2934" s="65"/>
    </row>
    <row r="2935" spans="4:4">
      <c r="D2935" s="65"/>
    </row>
    <row r="2936" spans="4:4">
      <c r="D2936" s="65"/>
    </row>
    <row r="2937" spans="4:4">
      <c r="D2937" s="65"/>
    </row>
    <row r="2938" spans="4:4">
      <c r="D2938" s="65"/>
    </row>
    <row r="2939" spans="4:4">
      <c r="D2939" s="65"/>
    </row>
    <row r="2940" spans="4:4">
      <c r="D2940" s="65"/>
    </row>
    <row r="2941" spans="4:4">
      <c r="D2941" s="65"/>
    </row>
    <row r="2942" spans="4:4">
      <c r="D2942" s="65"/>
    </row>
    <row r="2943" spans="4:4">
      <c r="D2943" s="65"/>
    </row>
    <row r="2944" spans="4:4">
      <c r="D2944" s="65"/>
    </row>
    <row r="2945" spans="4:4">
      <c r="D2945" s="65"/>
    </row>
    <row r="2946" spans="4:4">
      <c r="D2946" s="65"/>
    </row>
    <row r="2947" spans="4:4">
      <c r="D2947" s="65"/>
    </row>
    <row r="2948" spans="4:4">
      <c r="D2948" s="65"/>
    </row>
    <row r="2949" spans="4:4">
      <c r="D2949" s="65"/>
    </row>
    <row r="2950" spans="4:4">
      <c r="D2950" s="65"/>
    </row>
    <row r="2951" spans="4:4">
      <c r="D2951" s="65"/>
    </row>
    <row r="2952" spans="4:4">
      <c r="D2952" s="65"/>
    </row>
    <row r="2953" spans="4:4">
      <c r="D2953" s="65"/>
    </row>
    <row r="2954" spans="4:4">
      <c r="D2954" s="65"/>
    </row>
    <row r="2955" spans="4:4">
      <c r="D2955" s="65"/>
    </row>
    <row r="2956" spans="4:4">
      <c r="D2956" s="65"/>
    </row>
    <row r="2957" spans="4:4">
      <c r="D2957" s="65"/>
    </row>
    <row r="2958" spans="4:4">
      <c r="D2958" s="65"/>
    </row>
    <row r="2959" spans="4:4">
      <c r="D2959" s="65"/>
    </row>
    <row r="2960" spans="4:4">
      <c r="D2960" s="65"/>
    </row>
    <row r="2961" spans="4:4">
      <c r="D2961" s="65"/>
    </row>
    <row r="2962" spans="4:4">
      <c r="D2962" s="65"/>
    </row>
    <row r="2963" spans="4:4">
      <c r="D2963" s="65"/>
    </row>
    <row r="2964" spans="4:4">
      <c r="D2964" s="65"/>
    </row>
    <row r="2965" spans="4:4">
      <c r="D2965" s="65"/>
    </row>
    <row r="2966" spans="4:4">
      <c r="D2966" s="65"/>
    </row>
    <row r="2967" spans="4:4">
      <c r="D2967" s="65"/>
    </row>
    <row r="2968" spans="4:4">
      <c r="D2968" s="65"/>
    </row>
    <row r="2969" spans="4:4">
      <c r="D2969" s="65"/>
    </row>
    <row r="2970" spans="4:4">
      <c r="D2970" s="65"/>
    </row>
    <row r="2971" spans="4:4">
      <c r="D2971" s="65"/>
    </row>
    <row r="2972" spans="4:4">
      <c r="D2972" s="65"/>
    </row>
    <row r="2973" spans="4:4">
      <c r="D2973" s="65"/>
    </row>
    <row r="2974" spans="4:4">
      <c r="D2974" s="65"/>
    </row>
    <row r="2975" spans="4:4">
      <c r="D2975" s="65"/>
    </row>
    <row r="2976" spans="4:4">
      <c r="D2976" s="65"/>
    </row>
    <row r="2977" spans="4:4">
      <c r="D2977" s="65"/>
    </row>
    <row r="2978" spans="4:4">
      <c r="D2978" s="65"/>
    </row>
    <row r="2979" spans="4:4">
      <c r="D2979" s="65"/>
    </row>
    <row r="2980" spans="4:4">
      <c r="D2980" s="65"/>
    </row>
    <row r="2981" spans="4:4">
      <c r="D2981" s="65"/>
    </row>
    <row r="2982" spans="4:4">
      <c r="D2982" s="65"/>
    </row>
    <row r="2983" spans="4:4">
      <c r="D2983" s="65"/>
    </row>
    <row r="2984" spans="4:4">
      <c r="D2984" s="65"/>
    </row>
    <row r="2985" spans="4:4">
      <c r="D2985" s="65"/>
    </row>
    <row r="2986" spans="4:4">
      <c r="D2986" s="65"/>
    </row>
    <row r="2987" spans="4:4">
      <c r="D2987" s="65"/>
    </row>
    <row r="2988" spans="4:4">
      <c r="D2988" s="65"/>
    </row>
    <row r="2989" spans="4:4">
      <c r="D2989" s="65"/>
    </row>
    <row r="2990" spans="4:4">
      <c r="D2990" s="65"/>
    </row>
    <row r="2991" spans="4:4">
      <c r="D2991" s="65"/>
    </row>
    <row r="2992" spans="4:4">
      <c r="D2992" s="65"/>
    </row>
    <row r="2993" spans="4:4">
      <c r="D2993" s="65"/>
    </row>
    <row r="2994" spans="4:4">
      <c r="D2994" s="65"/>
    </row>
    <row r="2995" spans="4:4">
      <c r="D2995" s="65"/>
    </row>
    <row r="2996" spans="4:4">
      <c r="D2996" s="65"/>
    </row>
    <row r="2997" spans="4:4">
      <c r="D2997" s="65"/>
    </row>
    <row r="2998" spans="4:4">
      <c r="D2998" s="65"/>
    </row>
    <row r="2999" spans="4:4">
      <c r="D2999" s="65"/>
    </row>
    <row r="3000" spans="4:4">
      <c r="D3000" s="65"/>
    </row>
    <row r="3001" spans="4:4">
      <c r="D3001" s="65"/>
    </row>
    <row r="3002" spans="4:4">
      <c r="D3002" s="65"/>
    </row>
    <row r="3003" spans="4:4">
      <c r="D3003" s="65"/>
    </row>
    <row r="3004" spans="4:4">
      <c r="D3004" s="65"/>
    </row>
    <row r="3005" spans="4:4">
      <c r="D3005" s="65"/>
    </row>
    <row r="3006" spans="4:4">
      <c r="D3006" s="65"/>
    </row>
    <row r="3007" spans="4:4">
      <c r="D3007" s="65"/>
    </row>
    <row r="3008" spans="4:4">
      <c r="D3008" s="65"/>
    </row>
    <row r="3009" spans="4:4">
      <c r="D3009" s="65"/>
    </row>
    <row r="3010" spans="4:4">
      <c r="D3010" s="65"/>
    </row>
    <row r="3011" spans="4:4">
      <c r="D3011" s="65"/>
    </row>
    <row r="3012" spans="4:4">
      <c r="D3012" s="65"/>
    </row>
    <row r="3013" spans="4:4">
      <c r="D3013" s="65"/>
    </row>
    <row r="3014" spans="4:4">
      <c r="D3014" s="65"/>
    </row>
    <row r="3015" spans="4:4">
      <c r="D3015" s="65"/>
    </row>
    <row r="3016" spans="4:4">
      <c r="D3016" s="65"/>
    </row>
    <row r="3017" spans="4:4">
      <c r="D3017" s="65"/>
    </row>
    <row r="3018" spans="4:4">
      <c r="D3018" s="65"/>
    </row>
    <row r="3019" spans="4:4">
      <c r="D3019" s="65"/>
    </row>
    <row r="3020" spans="4:4">
      <c r="D3020" s="65"/>
    </row>
    <row r="3021" spans="4:4">
      <c r="D3021" s="65"/>
    </row>
    <row r="3022" spans="4:4">
      <c r="D3022" s="65"/>
    </row>
    <row r="3023" spans="4:4">
      <c r="D3023" s="65"/>
    </row>
    <row r="3024" spans="4:4">
      <c r="D3024" s="65"/>
    </row>
    <row r="3025" spans="4:4">
      <c r="D3025" s="65"/>
    </row>
    <row r="3026" spans="4:4">
      <c r="D3026" s="65"/>
    </row>
    <row r="3027" spans="4:4">
      <c r="D3027" s="65"/>
    </row>
    <row r="3028" spans="4:4">
      <c r="D3028" s="65"/>
    </row>
    <row r="3029" spans="4:4">
      <c r="D3029" s="65"/>
    </row>
    <row r="3030" spans="4:4">
      <c r="D3030" s="65"/>
    </row>
    <row r="3031" spans="4:4">
      <c r="D3031" s="65"/>
    </row>
    <row r="3032" spans="4:4">
      <c r="D3032" s="65"/>
    </row>
    <row r="3033" spans="4:4">
      <c r="D3033" s="65"/>
    </row>
    <row r="3034" spans="4:4">
      <c r="D3034" s="65"/>
    </row>
    <row r="3035" spans="4:4">
      <c r="D3035" s="65"/>
    </row>
    <row r="3036" spans="4:4">
      <c r="D3036" s="65"/>
    </row>
    <row r="3037" spans="4:4">
      <c r="D3037" s="65"/>
    </row>
    <row r="3038" spans="4:4">
      <c r="D3038" s="65"/>
    </row>
    <row r="3039" spans="4:4">
      <c r="D3039" s="65"/>
    </row>
    <row r="3040" spans="4:4">
      <c r="D3040" s="65"/>
    </row>
    <row r="3041" spans="4:4">
      <c r="D3041" s="65"/>
    </row>
    <row r="3042" spans="4:4">
      <c r="D3042" s="65"/>
    </row>
    <row r="3043" spans="4:4">
      <c r="D3043" s="65"/>
    </row>
    <row r="3044" spans="4:4">
      <c r="D3044" s="65"/>
    </row>
    <row r="3045" spans="4:4">
      <c r="D3045" s="65"/>
    </row>
    <row r="3046" spans="4:4">
      <c r="D3046" s="65"/>
    </row>
    <row r="3047" spans="4:4">
      <c r="D3047" s="65"/>
    </row>
    <row r="3048" spans="4:4">
      <c r="D3048" s="65"/>
    </row>
    <row r="3049" spans="4:4">
      <c r="D3049" s="65"/>
    </row>
    <row r="3050" spans="4:4">
      <c r="D3050" s="65"/>
    </row>
    <row r="3051" spans="4:4">
      <c r="D3051" s="65"/>
    </row>
    <row r="3052" spans="4:4">
      <c r="D3052" s="65"/>
    </row>
    <row r="3053" spans="4:4">
      <c r="D3053" s="65"/>
    </row>
    <row r="3054" spans="4:4">
      <c r="D3054" s="65"/>
    </row>
    <row r="3055" spans="4:4">
      <c r="D3055" s="65"/>
    </row>
    <row r="3056" spans="4:4">
      <c r="D3056" s="65"/>
    </row>
    <row r="3057" spans="4:4">
      <c r="D3057" s="65"/>
    </row>
    <row r="3058" spans="4:4">
      <c r="D3058" s="65"/>
    </row>
    <row r="3059" spans="4:4">
      <c r="D3059" s="65"/>
    </row>
    <row r="3060" spans="4:4">
      <c r="D3060" s="65"/>
    </row>
    <row r="3061" spans="4:4">
      <c r="D3061" s="65"/>
    </row>
    <row r="3062" spans="4:4">
      <c r="D3062" s="65"/>
    </row>
    <row r="3063" spans="4:4">
      <c r="D3063" s="65"/>
    </row>
    <row r="3064" spans="4:4">
      <c r="D3064" s="65"/>
    </row>
    <row r="3065" spans="4:4">
      <c r="D3065" s="65"/>
    </row>
    <row r="3066" spans="4:4">
      <c r="D3066" s="65"/>
    </row>
    <row r="3067" spans="4:4">
      <c r="D3067" s="65"/>
    </row>
    <row r="3068" spans="4:4">
      <c r="D3068" s="65"/>
    </row>
    <row r="3069" spans="4:4">
      <c r="D3069" s="65"/>
    </row>
    <row r="3070" spans="4:4">
      <c r="D3070" s="65"/>
    </row>
    <row r="3071" spans="4:4">
      <c r="D3071" s="65"/>
    </row>
    <row r="3072" spans="4:4">
      <c r="D3072" s="65"/>
    </row>
    <row r="3073" spans="4:4">
      <c r="D3073" s="65"/>
    </row>
    <row r="3074" spans="4:4">
      <c r="D3074" s="65"/>
    </row>
    <row r="3075" spans="4:4">
      <c r="D3075" s="65"/>
    </row>
    <row r="3076" spans="4:4">
      <c r="D3076" s="65"/>
    </row>
    <row r="3077" spans="4:4">
      <c r="D3077" s="65"/>
    </row>
    <row r="3078" spans="4:4">
      <c r="D3078" s="65"/>
    </row>
    <row r="3079" spans="4:4">
      <c r="D3079" s="65"/>
    </row>
    <row r="3080" spans="4:4">
      <c r="D3080" s="65"/>
    </row>
    <row r="3081" spans="4:4">
      <c r="D3081" s="65"/>
    </row>
    <row r="3082" spans="4:4">
      <c r="D3082" s="65"/>
    </row>
    <row r="3083" spans="4:4">
      <c r="D3083" s="65"/>
    </row>
    <row r="3084" spans="4:4">
      <c r="D3084" s="65"/>
    </row>
    <row r="3085" spans="4:4">
      <c r="D3085" s="65"/>
    </row>
    <row r="3086" spans="4:4">
      <c r="D3086" s="65"/>
    </row>
    <row r="3087" spans="4:4">
      <c r="D3087" s="65"/>
    </row>
    <row r="3088" spans="4:4">
      <c r="D3088" s="65"/>
    </row>
    <row r="3089" spans="4:4">
      <c r="D3089" s="65"/>
    </row>
    <row r="3090" spans="4:4">
      <c r="D3090" s="65"/>
    </row>
    <row r="3091" spans="4:4">
      <c r="D3091" s="65"/>
    </row>
    <row r="3092" spans="4:4">
      <c r="D3092" s="65"/>
    </row>
    <row r="3093" spans="4:4">
      <c r="D3093" s="65"/>
    </row>
    <row r="3094" spans="4:4">
      <c r="D3094" s="65"/>
    </row>
    <row r="3095" spans="4:4">
      <c r="D3095" s="65"/>
    </row>
    <row r="3096" spans="4:4">
      <c r="D3096" s="65"/>
    </row>
    <row r="3097" spans="4:4">
      <c r="D3097" s="65"/>
    </row>
    <row r="3098" spans="4:4">
      <c r="D3098" s="65"/>
    </row>
    <row r="3099" spans="4:4">
      <c r="D3099" s="65"/>
    </row>
    <row r="3100" spans="4:4">
      <c r="D3100" s="65"/>
    </row>
    <row r="3101" spans="4:4">
      <c r="D3101" s="65"/>
    </row>
    <row r="3102" spans="4:4">
      <c r="D3102" s="65"/>
    </row>
    <row r="3103" spans="4:4">
      <c r="D3103" s="65"/>
    </row>
    <row r="3104" spans="4:4">
      <c r="D3104" s="65"/>
    </row>
    <row r="3105" spans="4:4">
      <c r="D3105" s="65"/>
    </row>
    <row r="3106" spans="4:4">
      <c r="D3106" s="65"/>
    </row>
    <row r="3107" spans="4:4">
      <c r="D3107" s="65"/>
    </row>
    <row r="3108" spans="4:4">
      <c r="D3108" s="65"/>
    </row>
    <row r="3109" spans="4:4">
      <c r="D3109" s="65"/>
    </row>
    <row r="3110" spans="4:4">
      <c r="D3110" s="65"/>
    </row>
    <row r="3111" spans="4:4">
      <c r="D3111" s="65"/>
    </row>
    <row r="3112" spans="4:4">
      <c r="D3112" s="65"/>
    </row>
    <row r="3113" spans="4:4">
      <c r="D3113" s="65"/>
    </row>
    <row r="3114" spans="4:4">
      <c r="D3114" s="65"/>
    </row>
    <row r="3115" spans="4:4">
      <c r="D3115" s="65"/>
    </row>
    <row r="3116" spans="4:4">
      <c r="D3116" s="65"/>
    </row>
    <row r="3117" spans="4:4">
      <c r="D3117" s="65"/>
    </row>
    <row r="3118" spans="4:4">
      <c r="D3118" s="65"/>
    </row>
    <row r="3119" spans="4:4">
      <c r="D3119" s="65"/>
    </row>
    <row r="3120" spans="4:4">
      <c r="D3120" s="65"/>
    </row>
    <row r="3121" spans="4:4">
      <c r="D3121" s="65"/>
    </row>
    <row r="3122" spans="4:4">
      <c r="D3122" s="65"/>
    </row>
    <row r="3123" spans="4:4">
      <c r="D3123" s="65"/>
    </row>
    <row r="3124" spans="4:4">
      <c r="D3124" s="65"/>
    </row>
    <row r="3125" spans="4:4">
      <c r="D3125" s="65"/>
    </row>
    <row r="3126" spans="4:4">
      <c r="D3126" s="65"/>
    </row>
    <row r="3127" spans="4:4">
      <c r="D3127" s="65"/>
    </row>
    <row r="3128" spans="4:4">
      <c r="D3128" s="65"/>
    </row>
    <row r="3129" spans="4:4">
      <c r="D3129" s="65"/>
    </row>
    <row r="3130" spans="4:4">
      <c r="D3130" s="65"/>
    </row>
    <row r="3131" spans="4:4">
      <c r="D3131" s="65"/>
    </row>
    <row r="3132" spans="4:4">
      <c r="D3132" s="65"/>
    </row>
    <row r="3133" spans="4:4">
      <c r="D3133" s="65"/>
    </row>
    <row r="3134" spans="4:4">
      <c r="D3134" s="65"/>
    </row>
    <row r="3135" spans="4:4">
      <c r="D3135" s="65"/>
    </row>
    <row r="3136" spans="4:4">
      <c r="D3136" s="65"/>
    </row>
    <row r="3137" spans="4:4">
      <c r="D3137" s="65"/>
    </row>
    <row r="3138" spans="4:4">
      <c r="D3138" s="65"/>
    </row>
    <row r="3139" spans="4:4">
      <c r="D3139" s="65"/>
    </row>
    <row r="3140" spans="4:4">
      <c r="D3140" s="65"/>
    </row>
    <row r="3141" spans="4:4">
      <c r="D3141" s="65"/>
    </row>
    <row r="3142" spans="4:4">
      <c r="D3142" s="65"/>
    </row>
    <row r="3143" spans="4:4">
      <c r="D3143" s="65"/>
    </row>
    <row r="3144" spans="4:4">
      <c r="D3144" s="65"/>
    </row>
    <row r="3145" spans="4:4">
      <c r="D3145" s="65"/>
    </row>
    <row r="3146" spans="4:4">
      <c r="D3146" s="65"/>
    </row>
    <row r="3147" spans="4:4">
      <c r="D3147" s="65"/>
    </row>
    <row r="3148" spans="4:4">
      <c r="D3148" s="65"/>
    </row>
    <row r="3149" spans="4:4">
      <c r="D3149" s="65"/>
    </row>
    <row r="3150" spans="4:4">
      <c r="D3150" s="65"/>
    </row>
    <row r="3151" spans="4:4">
      <c r="D3151" s="65"/>
    </row>
    <row r="3152" spans="4:4">
      <c r="D3152" s="65"/>
    </row>
    <row r="3153" spans="4:4">
      <c r="D3153" s="65"/>
    </row>
    <row r="3154" spans="4:4">
      <c r="D3154" s="65"/>
    </row>
    <row r="3155" spans="4:4">
      <c r="D3155" s="65"/>
    </row>
    <row r="3156" spans="4:4">
      <c r="D3156" s="65"/>
    </row>
    <row r="3157" spans="4:4">
      <c r="D3157" s="65"/>
    </row>
    <row r="3158" spans="4:4">
      <c r="D3158" s="65"/>
    </row>
    <row r="3159" spans="4:4">
      <c r="D3159" s="65"/>
    </row>
    <row r="3160" spans="4:4">
      <c r="D3160" s="65"/>
    </row>
    <row r="3161" spans="4:4">
      <c r="D3161" s="65"/>
    </row>
    <row r="3162" spans="4:4">
      <c r="D3162" s="65"/>
    </row>
    <row r="3163" spans="4:4">
      <c r="D3163" s="65"/>
    </row>
    <row r="3164" spans="4:4">
      <c r="D3164" s="65"/>
    </row>
    <row r="3165" spans="4:4">
      <c r="D3165" s="65"/>
    </row>
    <row r="3166" spans="4:4">
      <c r="D3166" s="65"/>
    </row>
    <row r="3167" spans="4:4">
      <c r="D3167" s="65"/>
    </row>
    <row r="3168" spans="4:4">
      <c r="D3168" s="65"/>
    </row>
    <row r="3169" spans="4:4">
      <c r="D3169" s="65"/>
    </row>
    <row r="3170" spans="4:4">
      <c r="D3170" s="65"/>
    </row>
    <row r="3171" spans="4:4">
      <c r="D3171" s="65"/>
    </row>
    <row r="3172" spans="4:4">
      <c r="D3172" s="65"/>
    </row>
    <row r="3173" spans="4:4">
      <c r="D3173" s="65"/>
    </row>
    <row r="3174" spans="4:4">
      <c r="D3174" s="65"/>
    </row>
    <row r="3175" spans="4:4">
      <c r="D3175" s="65"/>
    </row>
    <row r="3176" spans="4:4">
      <c r="D3176" s="65"/>
    </row>
    <row r="3177" spans="4:4">
      <c r="D3177" s="65"/>
    </row>
    <row r="3178" spans="4:4">
      <c r="D3178" s="65"/>
    </row>
    <row r="3179" spans="4:4">
      <c r="D3179" s="65"/>
    </row>
    <row r="3180" spans="4:4">
      <c r="D3180" s="65"/>
    </row>
    <row r="3181" spans="4:4">
      <c r="D3181" s="65"/>
    </row>
    <row r="3182" spans="4:4">
      <c r="D3182" s="65"/>
    </row>
    <row r="3183" spans="4:4">
      <c r="D3183" s="65"/>
    </row>
    <row r="3184" spans="4:4">
      <c r="D3184" s="65"/>
    </row>
    <row r="3185" spans="4:4">
      <c r="D3185" s="65"/>
    </row>
    <row r="3186" spans="4:4">
      <c r="D3186" s="65"/>
    </row>
    <row r="3187" spans="4:4">
      <c r="D3187" s="65"/>
    </row>
    <row r="3188" spans="4:4">
      <c r="D3188" s="65"/>
    </row>
    <row r="3189" spans="4:4">
      <c r="D3189" s="65"/>
    </row>
    <row r="3190" spans="4:4">
      <c r="D3190" s="65"/>
    </row>
    <row r="3191" spans="4:4">
      <c r="D3191" s="65"/>
    </row>
    <row r="3192" spans="4:4">
      <c r="D3192" s="65"/>
    </row>
    <row r="3193" spans="4:4">
      <c r="D3193" s="65"/>
    </row>
    <row r="3194" spans="4:4">
      <c r="D3194" s="65"/>
    </row>
    <row r="3195" spans="4:4">
      <c r="D3195" s="65"/>
    </row>
    <row r="3196" spans="4:4">
      <c r="D3196" s="65"/>
    </row>
    <row r="3197" spans="4:4">
      <c r="D3197" s="65"/>
    </row>
    <row r="3198" spans="4:4">
      <c r="D3198" s="65"/>
    </row>
    <row r="3199" spans="4:4">
      <c r="D3199" s="65"/>
    </row>
    <row r="3200" spans="4:4">
      <c r="D3200" s="65"/>
    </row>
    <row r="3201" spans="4:4">
      <c r="D3201" s="65"/>
    </row>
    <row r="3202" spans="4:4">
      <c r="D3202" s="65"/>
    </row>
    <row r="3203" spans="4:4">
      <c r="D3203" s="65"/>
    </row>
    <row r="3204" spans="4:4">
      <c r="D3204" s="65"/>
    </row>
    <row r="3205" spans="4:4">
      <c r="D3205" s="65"/>
    </row>
    <row r="3206" spans="4:4">
      <c r="D3206" s="65"/>
    </row>
    <row r="3207" spans="4:4">
      <c r="D3207" s="65"/>
    </row>
    <row r="3208" spans="4:4">
      <c r="D3208" s="65"/>
    </row>
    <row r="3209" spans="4:4">
      <c r="D3209" s="65"/>
    </row>
    <row r="3210" spans="4:4">
      <c r="D3210" s="65"/>
    </row>
    <row r="3211" spans="4:4">
      <c r="D3211" s="65"/>
    </row>
    <row r="3212" spans="4:4">
      <c r="D3212" s="65"/>
    </row>
    <row r="3213" spans="4:4">
      <c r="D3213" s="65"/>
    </row>
    <row r="3214" spans="4:4">
      <c r="D3214" s="65"/>
    </row>
    <row r="3215" spans="4:4">
      <c r="D3215" s="65"/>
    </row>
    <row r="3216" spans="4:4">
      <c r="D3216" s="65"/>
    </row>
    <row r="3217" spans="4:4">
      <c r="D3217" s="65"/>
    </row>
    <row r="3218" spans="4:4">
      <c r="D3218" s="65"/>
    </row>
    <row r="3219" spans="4:4">
      <c r="D3219" s="65"/>
    </row>
    <row r="3220" spans="4:4">
      <c r="D3220" s="65"/>
    </row>
    <row r="3221" spans="4:4">
      <c r="D3221" s="65"/>
    </row>
    <row r="3222" spans="4:4">
      <c r="D3222" s="65"/>
    </row>
    <row r="3223" spans="4:4">
      <c r="D3223" s="65"/>
    </row>
    <row r="3224" spans="4:4">
      <c r="D3224" s="65"/>
    </row>
    <row r="3225" spans="4:4">
      <c r="D3225" s="65"/>
    </row>
    <row r="3226" spans="4:4">
      <c r="D3226" s="65"/>
    </row>
    <row r="3227" spans="4:4">
      <c r="D3227" s="65"/>
    </row>
    <row r="3228" spans="4:4">
      <c r="D3228" s="65"/>
    </row>
    <row r="3229" spans="4:4">
      <c r="D3229" s="65"/>
    </row>
    <row r="3230" spans="4:4">
      <c r="D3230" s="65"/>
    </row>
    <row r="3231" spans="4:4">
      <c r="D3231" s="65"/>
    </row>
    <row r="3232" spans="4:4">
      <c r="D3232" s="65"/>
    </row>
    <row r="3233" spans="4:4">
      <c r="D3233" s="65"/>
    </row>
    <row r="3234" spans="4:4">
      <c r="D3234" s="65"/>
    </row>
    <row r="3235" spans="4:4">
      <c r="D3235" s="65"/>
    </row>
    <row r="3236" spans="4:4">
      <c r="D3236" s="65"/>
    </row>
    <row r="3237" spans="4:4">
      <c r="D3237" s="65"/>
    </row>
    <row r="3238" spans="4:4">
      <c r="D3238" s="65"/>
    </row>
    <row r="3239" spans="4:4">
      <c r="D3239" s="65"/>
    </row>
    <row r="3240" spans="4:4">
      <c r="D3240" s="65"/>
    </row>
    <row r="3241" spans="4:4">
      <c r="D3241" s="65"/>
    </row>
    <row r="3242" spans="4:4">
      <c r="D3242" s="65"/>
    </row>
    <row r="3243" spans="4:4">
      <c r="D3243" s="65"/>
    </row>
    <row r="3244" spans="4:4">
      <c r="D3244" s="65"/>
    </row>
    <row r="3245" spans="4:4">
      <c r="D3245" s="65"/>
    </row>
    <row r="3246" spans="4:4">
      <c r="D3246" s="65"/>
    </row>
    <row r="3247" spans="4:4">
      <c r="D3247" s="65"/>
    </row>
    <row r="3248" spans="4:4">
      <c r="D3248" s="65"/>
    </row>
    <row r="3249" spans="4:4">
      <c r="D3249" s="65"/>
    </row>
    <row r="3250" spans="4:4">
      <c r="D3250" s="65"/>
    </row>
    <row r="3251" spans="4:4">
      <c r="D3251" s="65"/>
    </row>
    <row r="3252" spans="4:4">
      <c r="D3252" s="65"/>
    </row>
    <row r="3253" spans="4:4">
      <c r="D3253" s="65"/>
    </row>
    <row r="3254" spans="4:4">
      <c r="D3254" s="65"/>
    </row>
    <row r="3255" spans="4:4">
      <c r="D3255" s="65"/>
    </row>
    <row r="3256" spans="4:4">
      <c r="D3256" s="65"/>
    </row>
    <row r="3257" spans="4:4">
      <c r="D3257" s="65"/>
    </row>
    <row r="3258" spans="4:4">
      <c r="D3258" s="65"/>
    </row>
    <row r="3259" spans="4:4">
      <c r="D3259" s="65"/>
    </row>
    <row r="3260" spans="4:4">
      <c r="D3260" s="65"/>
    </row>
    <row r="3261" spans="4:4">
      <c r="D3261" s="65"/>
    </row>
    <row r="3262" spans="4:4">
      <c r="D3262" s="65"/>
    </row>
    <row r="3263" spans="4:4">
      <c r="D3263" s="65"/>
    </row>
    <row r="3264" spans="4:4">
      <c r="D3264" s="65"/>
    </row>
    <row r="3265" spans="4:4">
      <c r="D3265" s="65"/>
    </row>
    <row r="3266" spans="4:4">
      <c r="D3266" s="65"/>
    </row>
    <row r="3267" spans="4:4">
      <c r="D3267" s="65"/>
    </row>
    <row r="3268" spans="4:4">
      <c r="D3268" s="65"/>
    </row>
    <row r="3269" spans="4:4">
      <c r="D3269" s="65"/>
    </row>
    <row r="3270" spans="4:4">
      <c r="D3270" s="65"/>
    </row>
    <row r="3271" spans="4:4">
      <c r="D3271" s="65"/>
    </row>
    <row r="3272" spans="4:4">
      <c r="D3272" s="65"/>
    </row>
    <row r="3273" spans="4:4">
      <c r="D3273" s="65"/>
    </row>
    <row r="3274" spans="4:4">
      <c r="D3274" s="65"/>
    </row>
    <row r="3275" spans="4:4">
      <c r="D3275" s="65"/>
    </row>
    <row r="3276" spans="4:4">
      <c r="D3276" s="65"/>
    </row>
    <row r="3277" spans="4:4">
      <c r="D3277" s="65"/>
    </row>
    <row r="3278" spans="4:4">
      <c r="D3278" s="65"/>
    </row>
    <row r="3279" spans="4:4">
      <c r="D3279" s="65"/>
    </row>
    <row r="3280" spans="4:4">
      <c r="D3280" s="65"/>
    </row>
    <row r="3281" spans="4:4">
      <c r="D3281" s="65"/>
    </row>
    <row r="3282" spans="4:4">
      <c r="D3282" s="65"/>
    </row>
    <row r="3283" spans="4:4">
      <c r="D3283" s="65"/>
    </row>
    <row r="3284" spans="4:4">
      <c r="D3284" s="65"/>
    </row>
    <row r="3285" spans="4:4">
      <c r="D3285" s="65"/>
    </row>
    <row r="3286" spans="4:4">
      <c r="D3286" s="65"/>
    </row>
    <row r="3287" spans="4:4">
      <c r="D3287" s="65"/>
    </row>
    <row r="3288" spans="4:4">
      <c r="D3288" s="65"/>
    </row>
    <row r="3289" spans="4:4">
      <c r="D3289" s="65"/>
    </row>
    <row r="3290" spans="4:4">
      <c r="D3290" s="65"/>
    </row>
    <row r="3291" spans="4:4">
      <c r="D3291" s="65"/>
    </row>
    <row r="3292" spans="4:4">
      <c r="D3292" s="65"/>
    </row>
    <row r="3293" spans="4:4">
      <c r="D3293" s="65"/>
    </row>
    <row r="3294" spans="4:4">
      <c r="D3294" s="65"/>
    </row>
    <row r="3295" spans="4:4">
      <c r="D3295" s="65"/>
    </row>
    <row r="3296" spans="4:4">
      <c r="D3296" s="65"/>
    </row>
    <row r="3297" spans="4:4">
      <c r="D3297" s="65"/>
    </row>
    <row r="3298" spans="4:4">
      <c r="D3298" s="65"/>
    </row>
    <row r="3299" spans="4:4">
      <c r="D3299" s="65"/>
    </row>
    <row r="3300" spans="4:4">
      <c r="D3300" s="65"/>
    </row>
    <row r="3301" spans="4:4">
      <c r="D3301" s="65"/>
    </row>
    <row r="3302" spans="4:4">
      <c r="D3302" s="65"/>
    </row>
    <row r="3303" spans="4:4">
      <c r="D3303" s="65"/>
    </row>
    <row r="3304" spans="4:4">
      <c r="D3304" s="65"/>
    </row>
    <row r="3305" spans="4:4">
      <c r="D3305" s="65"/>
    </row>
    <row r="3306" spans="4:4">
      <c r="D3306" s="65"/>
    </row>
    <row r="3307" spans="4:4">
      <c r="D3307" s="65"/>
    </row>
    <row r="3308" spans="4:4">
      <c r="D3308" s="65"/>
    </row>
    <row r="3309" spans="4:4">
      <c r="D3309" s="65"/>
    </row>
    <row r="3310" spans="4:4">
      <c r="D3310" s="65"/>
    </row>
    <row r="3311" spans="4:4">
      <c r="D3311" s="65"/>
    </row>
    <row r="3312" spans="4:4">
      <c r="D3312" s="65"/>
    </row>
    <row r="3313" spans="4:4">
      <c r="D3313" s="65"/>
    </row>
    <row r="3314" spans="4:4">
      <c r="D3314" s="65"/>
    </row>
    <row r="3315" spans="4:4">
      <c r="D3315" s="65"/>
    </row>
    <row r="3316" spans="4:4">
      <c r="D3316" s="65"/>
    </row>
    <row r="3317" spans="4:4">
      <c r="D3317" s="65"/>
    </row>
    <row r="3318" spans="4:4">
      <c r="D3318" s="65"/>
    </row>
    <row r="3319" spans="4:4">
      <c r="D3319" s="65"/>
    </row>
    <row r="3320" spans="4:4">
      <c r="D3320" s="65"/>
    </row>
    <row r="3321" spans="4:4">
      <c r="D3321" s="65"/>
    </row>
    <row r="3322" spans="4:4">
      <c r="D3322" s="65"/>
    </row>
    <row r="3323" spans="4:4">
      <c r="D3323" s="65"/>
    </row>
    <row r="3324" spans="4:4">
      <c r="D3324" s="65"/>
    </row>
    <row r="3325" spans="4:4">
      <c r="D3325" s="65"/>
    </row>
    <row r="3326" spans="4:4">
      <c r="D3326" s="65"/>
    </row>
    <row r="3327" spans="4:4">
      <c r="D3327" s="65"/>
    </row>
    <row r="3328" spans="4:4">
      <c r="D3328" s="65"/>
    </row>
    <row r="3329" spans="4:4">
      <c r="D3329" s="65"/>
    </row>
    <row r="3330" spans="4:4">
      <c r="D3330" s="65"/>
    </row>
  </sheetData>
  <autoFilter ref="A3:AA457" xr:uid="{00000000-0009-0000-0000-00000F000000}"/>
  <sortState xmlns:xlrd2="http://schemas.microsoft.com/office/spreadsheetml/2017/richdata2" ref="B4:B65">
    <sortCondition ref="B3"/>
  </sortState>
  <phoneticPr fontId="147" type="noConversion"/>
  <pageMargins left="0.7" right="0.7" top="0.75" bottom="0.75" header="0.3" footer="0.3"/>
  <pageSetup orientation="portrait" r:id="rId1"/>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2B222-78FF-4CF0-98F0-730BB4C5EAA1}">
  <dimension ref="A1:C61"/>
  <sheetViews>
    <sheetView topLeftCell="A16" workbookViewId="0">
      <selection activeCell="C62" sqref="C62"/>
    </sheetView>
  </sheetViews>
  <sheetFormatPr defaultRowHeight="15.5"/>
  <cols>
    <col min="1" max="1" width="19.4140625" bestFit="1" customWidth="1"/>
    <col min="2" max="2" width="10.6640625" bestFit="1" customWidth="1"/>
    <col min="3" max="3" width="14.9140625" bestFit="1" customWidth="1"/>
  </cols>
  <sheetData>
    <row r="1" spans="1:3">
      <c r="A1" s="419" t="s">
        <v>20</v>
      </c>
      <c r="B1" s="413" t="s">
        <v>2962</v>
      </c>
    </row>
    <row r="2" spans="1:3">
      <c r="A2" s="419" t="s">
        <v>21</v>
      </c>
      <c r="B2" s="413" t="s">
        <v>37</v>
      </c>
    </row>
    <row r="3" spans="1:3">
      <c r="A3" s="419" t="s">
        <v>35</v>
      </c>
      <c r="B3" s="413" t="s">
        <v>1471</v>
      </c>
    </row>
    <row r="5" spans="1:3">
      <c r="A5" s="419" t="s">
        <v>3307</v>
      </c>
      <c r="B5" s="419" t="s">
        <v>22</v>
      </c>
      <c r="C5" t="s">
        <v>3308</v>
      </c>
    </row>
    <row r="6" spans="1:3">
      <c r="A6" s="413" t="s">
        <v>141</v>
      </c>
      <c r="B6" s="413" t="s">
        <v>38</v>
      </c>
      <c r="C6" s="412">
        <v>1</v>
      </c>
    </row>
    <row r="7" spans="1:3">
      <c r="B7" s="413" t="s">
        <v>205</v>
      </c>
      <c r="C7" s="412">
        <v>9</v>
      </c>
    </row>
    <row r="8" spans="1:3">
      <c r="A8" s="413" t="s">
        <v>3300</v>
      </c>
      <c r="B8" s="413"/>
      <c r="C8" s="412">
        <v>10</v>
      </c>
    </row>
    <row r="9" spans="1:3">
      <c r="A9" s="413" t="s">
        <v>36</v>
      </c>
      <c r="B9" s="413" t="s">
        <v>148</v>
      </c>
      <c r="C9" s="412">
        <v>2</v>
      </c>
    </row>
    <row r="10" spans="1:3">
      <c r="B10" s="413" t="s">
        <v>38</v>
      </c>
      <c r="C10" s="412">
        <v>6</v>
      </c>
    </row>
    <row r="11" spans="1:3">
      <c r="B11" s="413" t="s">
        <v>152</v>
      </c>
      <c r="C11" s="412">
        <v>2</v>
      </c>
    </row>
    <row r="12" spans="1:3">
      <c r="B12" s="413" t="s">
        <v>205</v>
      </c>
      <c r="C12" s="412">
        <v>1</v>
      </c>
    </row>
    <row r="13" spans="1:3">
      <c r="B13" s="413" t="s">
        <v>159</v>
      </c>
      <c r="C13" s="412">
        <v>6</v>
      </c>
    </row>
    <row r="14" spans="1:3">
      <c r="B14" s="413" t="s">
        <v>858</v>
      </c>
      <c r="C14" s="412">
        <v>2</v>
      </c>
    </row>
    <row r="15" spans="1:3">
      <c r="B15" s="413" t="s">
        <v>142</v>
      </c>
      <c r="C15" s="412">
        <v>2</v>
      </c>
    </row>
    <row r="16" spans="1:3">
      <c r="A16" s="413" t="s">
        <v>3301</v>
      </c>
      <c r="B16" s="413"/>
      <c r="C16" s="412">
        <v>21</v>
      </c>
    </row>
    <row r="17" spans="1:3">
      <c r="A17" s="413" t="s">
        <v>192</v>
      </c>
      <c r="B17" s="413" t="s">
        <v>195</v>
      </c>
      <c r="C17" s="412">
        <v>4</v>
      </c>
    </row>
    <row r="18" spans="1:3">
      <c r="B18" s="413" t="s">
        <v>38</v>
      </c>
      <c r="C18" s="412">
        <v>1</v>
      </c>
    </row>
    <row r="19" spans="1:3">
      <c r="B19" s="413" t="s">
        <v>205</v>
      </c>
      <c r="C19" s="412">
        <v>2</v>
      </c>
    </row>
    <row r="20" spans="1:3">
      <c r="B20" s="413" t="s">
        <v>214</v>
      </c>
      <c r="C20" s="412">
        <v>2</v>
      </c>
    </row>
    <row r="21" spans="1:3">
      <c r="B21" s="413" t="s">
        <v>142</v>
      </c>
      <c r="C21" s="412">
        <v>4</v>
      </c>
    </row>
    <row r="22" spans="1:3">
      <c r="A22" s="413" t="s">
        <v>3302</v>
      </c>
      <c r="B22" s="413"/>
      <c r="C22" s="412">
        <v>13</v>
      </c>
    </row>
    <row r="23" spans="1:3">
      <c r="A23" s="413" t="s">
        <v>242</v>
      </c>
      <c r="B23" s="413" t="s">
        <v>195</v>
      </c>
      <c r="C23" s="412">
        <v>1</v>
      </c>
    </row>
    <row r="24" spans="1:3">
      <c r="B24" s="413" t="s">
        <v>146</v>
      </c>
      <c r="C24" s="412">
        <v>2</v>
      </c>
    </row>
    <row r="25" spans="1:3">
      <c r="B25" s="413" t="s">
        <v>148</v>
      </c>
      <c r="C25" s="412">
        <v>10</v>
      </c>
    </row>
    <row r="26" spans="1:3">
      <c r="B26" s="413" t="s">
        <v>159</v>
      </c>
      <c r="C26" s="412">
        <v>5</v>
      </c>
    </row>
    <row r="27" spans="1:3">
      <c r="B27" s="413" t="s">
        <v>142</v>
      </c>
      <c r="C27" s="412">
        <v>6</v>
      </c>
    </row>
    <row r="28" spans="1:3">
      <c r="A28" s="413" t="s">
        <v>3303</v>
      </c>
      <c r="B28" s="413"/>
      <c r="C28" s="412">
        <v>24</v>
      </c>
    </row>
    <row r="29" spans="1:3">
      <c r="A29" s="413" t="s">
        <v>276</v>
      </c>
      <c r="B29" s="413" t="s">
        <v>195</v>
      </c>
      <c r="C29" s="412">
        <v>3</v>
      </c>
    </row>
    <row r="30" spans="1:3">
      <c r="B30" s="413" t="s">
        <v>205</v>
      </c>
      <c r="C30" s="412">
        <v>5</v>
      </c>
    </row>
    <row r="31" spans="1:3">
      <c r="A31" s="413" t="s">
        <v>3304</v>
      </c>
      <c r="B31" s="413"/>
      <c r="C31" s="412">
        <v>8</v>
      </c>
    </row>
    <row r="32" spans="1:3">
      <c r="A32" s="413" t="s">
        <v>2634</v>
      </c>
      <c r="B32" s="413" t="s">
        <v>586</v>
      </c>
      <c r="C32" s="412">
        <v>1</v>
      </c>
    </row>
    <row r="33" spans="1:3">
      <c r="B33" s="413" t="s">
        <v>142</v>
      </c>
      <c r="C33" s="412">
        <v>1</v>
      </c>
    </row>
    <row r="34" spans="1:3">
      <c r="A34" s="413" t="s">
        <v>3305</v>
      </c>
      <c r="B34" s="413"/>
      <c r="C34" s="412">
        <v>2</v>
      </c>
    </row>
    <row r="35" spans="1:3">
      <c r="A35" s="413" t="s">
        <v>291</v>
      </c>
      <c r="B35" s="413" t="s">
        <v>38</v>
      </c>
      <c r="C35" s="412">
        <v>2</v>
      </c>
    </row>
    <row r="36" spans="1:3">
      <c r="B36" s="413" t="s">
        <v>205</v>
      </c>
      <c r="C36" s="412">
        <v>4</v>
      </c>
    </row>
    <row r="37" spans="1:3">
      <c r="A37" s="413" t="s">
        <v>3306</v>
      </c>
      <c r="B37" s="413"/>
      <c r="C37" s="412">
        <v>6</v>
      </c>
    </row>
    <row r="38" spans="1:3">
      <c r="A38" s="413" t="s">
        <v>1280</v>
      </c>
      <c r="C38" s="412">
        <v>84</v>
      </c>
    </row>
    <row r="49" spans="1:3">
      <c r="A49" s="419" t="s">
        <v>20</v>
      </c>
      <c r="B49" s="413" t="s">
        <v>2962</v>
      </c>
      <c r="C49" s="413"/>
    </row>
    <row r="50" spans="1:3">
      <c r="A50" s="419" t="s">
        <v>21</v>
      </c>
      <c r="B50" s="413" t="s">
        <v>37</v>
      </c>
      <c r="C50" s="413"/>
    </row>
    <row r="51" spans="1:3">
      <c r="A51" s="419" t="s">
        <v>35</v>
      </c>
      <c r="B51" s="413" t="s">
        <v>1471</v>
      </c>
      <c r="C51" s="413"/>
    </row>
    <row r="52" spans="1:3">
      <c r="A52" s="413"/>
      <c r="B52" s="413"/>
      <c r="C52" s="413"/>
    </row>
    <row r="53" spans="1:3">
      <c r="A53" s="419" t="s">
        <v>3307</v>
      </c>
      <c r="B53" t="s">
        <v>3308</v>
      </c>
    </row>
    <row r="54" spans="1:3">
      <c r="A54" s="413" t="s">
        <v>141</v>
      </c>
      <c r="B54" s="412">
        <v>10</v>
      </c>
    </row>
    <row r="55" spans="1:3">
      <c r="A55" s="413" t="s">
        <v>36</v>
      </c>
      <c r="B55" s="412">
        <v>21</v>
      </c>
    </row>
    <row r="56" spans="1:3">
      <c r="A56" s="413" t="s">
        <v>192</v>
      </c>
      <c r="B56" s="412">
        <v>13</v>
      </c>
    </row>
    <row r="57" spans="1:3">
      <c r="A57" s="413" t="s">
        <v>242</v>
      </c>
      <c r="B57" s="412">
        <v>24</v>
      </c>
    </row>
    <row r="58" spans="1:3">
      <c r="A58" s="413" t="s">
        <v>276</v>
      </c>
      <c r="B58" s="412">
        <v>8</v>
      </c>
    </row>
    <row r="59" spans="1:3">
      <c r="A59" s="413" t="s">
        <v>2634</v>
      </c>
      <c r="B59" s="412">
        <v>2</v>
      </c>
    </row>
    <row r="60" spans="1:3">
      <c r="A60" s="413" t="s">
        <v>291</v>
      </c>
      <c r="B60" s="412">
        <v>6</v>
      </c>
    </row>
    <row r="61" spans="1:3">
      <c r="A61" s="413" t="s">
        <v>1280</v>
      </c>
      <c r="B61" s="412">
        <v>84</v>
      </c>
    </row>
  </sheetData>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898C"/>
  </sheetPr>
  <dimension ref="A1:EU407"/>
  <sheetViews>
    <sheetView topLeftCell="A2" zoomScale="80" zoomScaleNormal="80" zoomScaleSheetLayoutView="40" workbookViewId="0">
      <pane xSplit="8" ySplit="5" topLeftCell="I326" activePane="bottomRight" state="frozen"/>
      <selection activeCell="A2" sqref="A2"/>
      <selection pane="topRight" activeCell="I2" sqref="I2"/>
      <selection pane="bottomLeft" activeCell="A7" sqref="A7"/>
      <selection pane="bottomRight" activeCell="H328" sqref="H328"/>
    </sheetView>
  </sheetViews>
  <sheetFormatPr defaultColWidth="23.33203125" defaultRowHeight="15.5" outlineLevelCol="1"/>
  <cols>
    <col min="1" max="1" width="10.6640625" style="35" customWidth="1"/>
    <col min="2" max="2" width="8" style="35" customWidth="1"/>
    <col min="3" max="3" width="12.9140625" style="20" customWidth="1"/>
    <col min="4" max="4" width="16.33203125" style="20" customWidth="1"/>
    <col min="5" max="5" width="9.1640625" style="20" customWidth="1"/>
    <col min="6" max="6" width="9.5" style="20" customWidth="1"/>
    <col min="7" max="7" width="10" style="20" customWidth="1"/>
    <col min="8" max="8" width="34" style="20" customWidth="1"/>
    <col min="9" max="9" width="12.4140625" style="20" customWidth="1"/>
    <col min="10" max="10" width="12.4140625" style="38" customWidth="1"/>
    <col min="11" max="11" width="17.58203125" style="20" customWidth="1"/>
    <col min="12" max="12" width="15.6640625" customWidth="1"/>
    <col min="13" max="13" width="17.33203125" customWidth="1"/>
    <col min="14" max="14" width="16.33203125" customWidth="1"/>
    <col min="15" max="15" width="16.33203125" style="36" customWidth="1"/>
    <col min="16" max="16" width="17.33203125" style="33" customWidth="1"/>
    <col min="17" max="17" width="23.33203125" style="33" customWidth="1"/>
    <col min="18" max="18" width="17.1640625" customWidth="1"/>
    <col min="19" max="19" width="17.58203125" customWidth="1"/>
    <col min="20" max="21" width="23.33203125" customWidth="1"/>
    <col min="22" max="42" width="23.33203125" style="31" customWidth="1"/>
    <col min="43" max="43" width="23.33203125" style="20" customWidth="1"/>
    <col min="44" max="44" width="13.58203125" style="32" customWidth="1"/>
    <col min="45" max="45" width="13.5" style="32" customWidth="1"/>
    <col min="46" max="46" width="20.1640625" style="33" customWidth="1"/>
    <col min="47" max="47" width="17.6640625" style="33" customWidth="1"/>
    <col min="48" max="48" width="13.6640625" style="20" customWidth="1"/>
    <col min="49" max="49" width="23.33203125" style="20" customWidth="1"/>
    <col min="50" max="54" width="23.33203125" style="33" customWidth="1"/>
    <col min="55" max="82" width="23.33203125" style="37" customWidth="1"/>
    <col min="83" max="84" width="23.33203125" style="37" customWidth="1" outlineLevel="1"/>
    <col min="85" max="90" width="23.33203125" customWidth="1" outlineLevel="1"/>
    <col min="91" max="93" width="23.33203125" style="413" customWidth="1" outlineLevel="1"/>
    <col min="94" max="99" width="23.33203125" style="33" customWidth="1" outlineLevel="1"/>
    <col min="100" max="102" width="23.33203125" style="31" customWidth="1" outlineLevel="1"/>
    <col min="103" max="103" width="23.33203125" style="33" customWidth="1" outlineLevel="1"/>
    <col min="104" max="105" width="23.33203125" style="31" customWidth="1" outlineLevel="1"/>
    <col min="106" max="112" width="23.33203125" style="33" customWidth="1" outlineLevel="1"/>
    <col min="113" max="113" width="23.33203125" customWidth="1" outlineLevel="1"/>
    <col min="114" max="114" width="23.33203125" style="32" customWidth="1" outlineLevel="1"/>
    <col min="115" max="115" width="23.33203125" style="33" customWidth="1" outlineLevel="1"/>
    <col min="116" max="116" width="23.33203125" customWidth="1" outlineLevel="1"/>
    <col min="117" max="125" width="23.33203125" style="33" customWidth="1" outlineLevel="1"/>
    <col min="126" max="129" width="23.33203125" customWidth="1" outlineLevel="1"/>
    <col min="130" max="131" width="23.33203125" style="360" customWidth="1" outlineLevel="1"/>
    <col min="132" max="138" width="23.33203125" style="413" customWidth="1" outlineLevel="1"/>
    <col min="139" max="139" width="23.33203125" style="33" customWidth="1"/>
    <col min="140" max="140" width="13.1640625" style="33" customWidth="1"/>
    <col min="141" max="141" width="13.6640625" style="33" customWidth="1"/>
    <col min="142" max="142" width="23.33203125" style="33" customWidth="1"/>
    <col min="143" max="143" width="11.4140625" customWidth="1"/>
    <col min="144" max="144" width="11.5" style="33" customWidth="1"/>
    <col min="145" max="145" width="8.33203125" style="33" customWidth="1"/>
    <col min="146" max="146" width="17.1640625" style="37" customWidth="1"/>
    <col min="147" max="147" width="10.58203125" style="31" customWidth="1"/>
    <col min="148" max="148" width="8.1640625" style="31" bestFit="1" customWidth="1"/>
    <col min="149" max="149" width="33.08203125" style="31" customWidth="1"/>
    <col min="150" max="150" width="11" style="20" customWidth="1"/>
    <col min="151" max="16384" width="23.33203125" style="20"/>
  </cols>
  <sheetData>
    <row r="1" spans="1:151" s="19" customFormat="1" ht="16.5" hidden="1" customHeight="1" thickBot="1">
      <c r="A1" s="190"/>
      <c r="B1" s="201" t="s">
        <v>1846</v>
      </c>
      <c r="C1" s="201"/>
      <c r="D1" s="201"/>
      <c r="E1" s="199" t="s">
        <v>1844</v>
      </c>
      <c r="F1" s="180"/>
      <c r="G1" s="180"/>
      <c r="H1" s="180"/>
      <c r="I1" s="180"/>
      <c r="J1" s="180"/>
      <c r="K1" s="1138" t="s">
        <v>1845</v>
      </c>
      <c r="L1" s="1139"/>
      <c r="M1" s="69"/>
      <c r="N1" s="69"/>
      <c r="O1" s="69"/>
      <c r="P1" s="69"/>
      <c r="Q1" s="69"/>
      <c r="R1" s="69"/>
      <c r="S1" s="69"/>
      <c r="T1" s="195" t="s">
        <v>1577</v>
      </c>
      <c r="U1" s="195"/>
      <c r="V1" s="195"/>
      <c r="W1" s="195"/>
      <c r="X1" s="195"/>
      <c r="Y1" s="195"/>
      <c r="Z1" s="195"/>
      <c r="AA1" s="195"/>
      <c r="AB1" s="195"/>
      <c r="AC1" s="195"/>
      <c r="AD1" s="195"/>
      <c r="AE1" s="195"/>
      <c r="AF1" s="195"/>
      <c r="AG1" s="195"/>
      <c r="AH1" s="195"/>
      <c r="AI1" s="195"/>
      <c r="AJ1" s="195"/>
      <c r="AK1" s="195"/>
      <c r="AL1" s="195"/>
      <c r="AM1" s="195"/>
      <c r="AN1" s="195"/>
      <c r="AO1" s="195"/>
      <c r="AP1" s="195"/>
      <c r="AQ1" s="196" t="s">
        <v>1578</v>
      </c>
      <c r="AR1" s="196"/>
      <c r="AS1" s="196"/>
      <c r="AT1" s="196"/>
      <c r="AU1" s="196"/>
      <c r="AV1" s="196"/>
      <c r="AW1" s="196"/>
      <c r="AX1" s="196"/>
      <c r="AY1" s="196"/>
      <c r="AZ1" s="196"/>
      <c r="BA1" s="196"/>
      <c r="BB1" s="196"/>
      <c r="BC1" s="196"/>
      <c r="BD1" s="196"/>
      <c r="BE1" s="196"/>
      <c r="BF1" s="196"/>
      <c r="BG1" s="197" t="s">
        <v>1579</v>
      </c>
      <c r="BH1" s="197"/>
      <c r="BI1" s="197"/>
      <c r="BJ1" s="197"/>
      <c r="BK1" s="197"/>
      <c r="BL1" s="197"/>
      <c r="BM1" s="197"/>
      <c r="BN1" s="197"/>
      <c r="BO1" s="197"/>
      <c r="BP1" s="197"/>
      <c r="BQ1" s="271"/>
      <c r="BR1" s="271"/>
      <c r="BS1" s="271"/>
      <c r="BT1" s="1148" t="s">
        <v>2215</v>
      </c>
      <c r="BU1" s="1149"/>
      <c r="BV1" s="1149"/>
      <c r="BW1" s="1150"/>
      <c r="BX1" s="1151" t="s">
        <v>2291</v>
      </c>
      <c r="BY1" s="1152"/>
      <c r="BZ1" s="1152"/>
      <c r="CA1" s="688"/>
      <c r="CB1" s="688"/>
      <c r="CC1" s="688"/>
      <c r="CD1" s="688"/>
      <c r="CE1" s="70" t="s">
        <v>114</v>
      </c>
      <c r="CF1" s="70"/>
      <c r="CG1" s="70"/>
      <c r="CH1" s="70"/>
      <c r="CI1" s="70"/>
      <c r="CJ1" s="70"/>
      <c r="CK1" s="70"/>
      <c r="CL1" s="70"/>
      <c r="CM1" s="70"/>
      <c r="CN1" s="70"/>
      <c r="CO1" s="70"/>
      <c r="CP1" s="70"/>
      <c r="CQ1" s="70"/>
      <c r="CR1" s="70"/>
      <c r="CS1" s="71"/>
      <c r="CT1" s="70"/>
      <c r="CU1" s="70"/>
      <c r="CV1" s="70"/>
      <c r="CW1" s="71"/>
      <c r="CX1" s="71"/>
      <c r="CY1" s="70"/>
      <c r="CZ1" s="70"/>
      <c r="DA1" s="70"/>
      <c r="DB1" s="70"/>
      <c r="DC1" s="70"/>
      <c r="DD1" s="70"/>
      <c r="DE1" s="71"/>
      <c r="DF1" s="71"/>
      <c r="DG1" s="71"/>
      <c r="DH1" s="71"/>
      <c r="DI1" s="70"/>
      <c r="DJ1" s="70"/>
      <c r="DK1" s="70"/>
      <c r="DL1" s="70"/>
      <c r="DM1" s="71"/>
      <c r="DN1" s="71"/>
      <c r="DO1" s="71"/>
      <c r="DP1" s="71"/>
      <c r="DQ1" s="71"/>
      <c r="DR1" s="70"/>
      <c r="DS1" s="70"/>
      <c r="DT1" s="70"/>
      <c r="DU1" s="70"/>
      <c r="DV1" s="70"/>
      <c r="DW1" s="71"/>
      <c r="DX1" s="70"/>
      <c r="DY1" s="70"/>
      <c r="DZ1" s="70"/>
      <c r="EA1" s="70"/>
      <c r="EB1" s="70"/>
      <c r="EC1" s="70"/>
      <c r="ED1" s="70"/>
      <c r="EE1" s="70"/>
      <c r="EF1" s="70"/>
      <c r="EG1" s="70"/>
      <c r="EH1" s="70"/>
      <c r="EI1" s="151"/>
      <c r="EJ1" s="151"/>
      <c r="EK1" s="152"/>
      <c r="EL1" s="152"/>
      <c r="EM1" s="152"/>
      <c r="EN1" s="152"/>
      <c r="EO1" s="152"/>
      <c r="EP1" s="152"/>
      <c r="EQ1" s="152"/>
      <c r="ER1" s="152"/>
      <c r="ES1" s="152"/>
    </row>
    <row r="2" spans="1:151" s="19" customFormat="1" ht="21" customHeight="1" thickBot="1">
      <c r="A2" s="179" t="s">
        <v>0</v>
      </c>
      <c r="B2" s="200" t="s">
        <v>1</v>
      </c>
      <c r="C2" s="200" t="s">
        <v>2</v>
      </c>
      <c r="D2" s="200" t="s">
        <v>3</v>
      </c>
      <c r="E2" s="180" t="s">
        <v>4</v>
      </c>
      <c r="F2" s="180" t="s">
        <v>869</v>
      </c>
      <c r="G2" s="180" t="s">
        <v>5</v>
      </c>
      <c r="H2" s="180" t="s">
        <v>6</v>
      </c>
      <c r="I2" s="180" t="s">
        <v>47</v>
      </c>
      <c r="J2" s="180" t="s">
        <v>48</v>
      </c>
      <c r="K2" s="178" t="s">
        <v>51</v>
      </c>
      <c r="L2" s="178" t="s">
        <v>53</v>
      </c>
      <c r="M2" s="179" t="s">
        <v>54</v>
      </c>
      <c r="N2" s="179" t="s">
        <v>115</v>
      </c>
      <c r="O2" s="179" t="s">
        <v>116</v>
      </c>
      <c r="P2" s="179" t="s">
        <v>59</v>
      </c>
      <c r="Q2" s="179" t="s">
        <v>57</v>
      </c>
      <c r="R2" s="179" t="s">
        <v>61</v>
      </c>
      <c r="S2" s="179" t="s">
        <v>870</v>
      </c>
      <c r="T2" s="198" t="s">
        <v>62</v>
      </c>
      <c r="U2" s="198" t="s">
        <v>63</v>
      </c>
      <c r="V2" s="198" t="s">
        <v>64</v>
      </c>
      <c r="W2" s="198" t="s">
        <v>66</v>
      </c>
      <c r="X2" s="198" t="s">
        <v>871</v>
      </c>
      <c r="Y2" s="198" t="s">
        <v>67</v>
      </c>
      <c r="Z2" s="198" t="s">
        <v>68</v>
      </c>
      <c r="AA2" s="198" t="s">
        <v>69</v>
      </c>
      <c r="AB2" s="198" t="s">
        <v>70</v>
      </c>
      <c r="AC2" s="198" t="s">
        <v>1006</v>
      </c>
      <c r="AD2" s="198" t="s">
        <v>1007</v>
      </c>
      <c r="AE2" s="198" t="s">
        <v>1008</v>
      </c>
      <c r="AF2" s="198" t="s">
        <v>1009</v>
      </c>
      <c r="AG2" s="198" t="s">
        <v>1010</v>
      </c>
      <c r="AH2" s="198" t="s">
        <v>1011</v>
      </c>
      <c r="AI2" s="198" t="s">
        <v>1012</v>
      </c>
      <c r="AJ2" s="198" t="s">
        <v>1013</v>
      </c>
      <c r="AK2" s="198" t="s">
        <v>1014</v>
      </c>
      <c r="AL2" s="198" t="s">
        <v>1015</v>
      </c>
      <c r="AM2" s="198" t="s">
        <v>1563</v>
      </c>
      <c r="AN2" s="198" t="s">
        <v>1565</v>
      </c>
      <c r="AO2" s="198"/>
      <c r="AP2" s="198" t="s">
        <v>1708</v>
      </c>
      <c r="AQ2" s="182" t="s">
        <v>1783</v>
      </c>
      <c r="AR2" s="182" t="s">
        <v>1785</v>
      </c>
      <c r="AS2" s="182" t="s">
        <v>1786</v>
      </c>
      <c r="AT2" s="182" t="s">
        <v>1787</v>
      </c>
      <c r="AU2" s="182" t="s">
        <v>1788</v>
      </c>
      <c r="AV2" s="182" t="s">
        <v>1789</v>
      </c>
      <c r="AW2" s="182" t="s">
        <v>1790</v>
      </c>
      <c r="AX2" s="182" t="s">
        <v>1792</v>
      </c>
      <c r="AY2" s="182" t="s">
        <v>1794</v>
      </c>
      <c r="AZ2" s="182" t="s">
        <v>1795</v>
      </c>
      <c r="BA2" s="182" t="s">
        <v>1796</v>
      </c>
      <c r="BB2" s="182" t="s">
        <v>1797</v>
      </c>
      <c r="BC2" s="182" t="s">
        <v>1798</v>
      </c>
      <c r="BD2" s="182" t="s">
        <v>1800</v>
      </c>
      <c r="BE2" s="182" t="s">
        <v>1802</v>
      </c>
      <c r="BF2" s="182" t="s">
        <v>1804</v>
      </c>
      <c r="BG2" s="189" t="s">
        <v>1807</v>
      </c>
      <c r="BH2" s="189" t="s">
        <v>1810</v>
      </c>
      <c r="BI2" s="189" t="s">
        <v>1812</v>
      </c>
      <c r="BJ2" s="189" t="s">
        <v>1813</v>
      </c>
      <c r="BK2" s="189" t="s">
        <v>1814</v>
      </c>
      <c r="BL2" s="189" t="s">
        <v>1815</v>
      </c>
      <c r="BM2" s="189" t="s">
        <v>1949</v>
      </c>
      <c r="BN2" s="189" t="s">
        <v>1950</v>
      </c>
      <c r="BO2" s="189" t="s">
        <v>2013</v>
      </c>
      <c r="BP2" s="189" t="s">
        <v>2016</v>
      </c>
      <c r="BQ2" s="189" t="s">
        <v>2018</v>
      </c>
      <c r="BR2" s="189" t="s">
        <v>2174</v>
      </c>
      <c r="BS2" s="189" t="s">
        <v>2175</v>
      </c>
      <c r="BT2" s="481" t="s">
        <v>2176</v>
      </c>
      <c r="BU2" s="481" t="s">
        <v>2177</v>
      </c>
      <c r="BV2" s="481" t="s">
        <v>2178</v>
      </c>
      <c r="BW2" s="481" t="s">
        <v>2255</v>
      </c>
      <c r="BX2" s="506" t="s">
        <v>2256</v>
      </c>
      <c r="BY2" s="506" t="s">
        <v>2257</v>
      </c>
      <c r="BZ2" s="506" t="s">
        <v>2303</v>
      </c>
      <c r="CA2" s="689" t="s">
        <v>2683</v>
      </c>
      <c r="CB2" s="689" t="s">
        <v>2684</v>
      </c>
      <c r="CC2" s="689" t="s">
        <v>2685</v>
      </c>
      <c r="CD2" s="689" t="s">
        <v>2687</v>
      </c>
      <c r="CE2" s="1140" t="s">
        <v>1595</v>
      </c>
      <c r="CF2" s="1141"/>
      <c r="CG2" s="1142"/>
      <c r="CH2" s="1143" t="s">
        <v>1596</v>
      </c>
      <c r="CI2" s="1141"/>
      <c r="CJ2" s="1141"/>
      <c r="CK2" s="1141"/>
      <c r="CL2" s="1141"/>
      <c r="CM2" s="1141"/>
      <c r="CN2" s="1141"/>
      <c r="CO2" s="1141"/>
      <c r="CP2" s="1141"/>
      <c r="CQ2" s="1141"/>
      <c r="CR2" s="1141"/>
      <c r="CS2" s="1117" t="s">
        <v>2051</v>
      </c>
      <c r="CT2" s="1144" t="s">
        <v>1597</v>
      </c>
      <c r="CU2" s="1145"/>
      <c r="CV2" s="1117"/>
      <c r="CW2" s="1117" t="s">
        <v>77</v>
      </c>
      <c r="CX2" s="1131"/>
      <c r="CY2" s="1134" t="s">
        <v>2057</v>
      </c>
      <c r="CZ2" s="1135"/>
      <c r="DA2" s="1127" t="s">
        <v>2056</v>
      </c>
      <c r="DB2" s="1128"/>
      <c r="DC2" s="1133"/>
      <c r="DD2" s="381"/>
      <c r="DE2" s="1133" t="s">
        <v>2059</v>
      </c>
      <c r="DF2" s="1133" t="s">
        <v>1276</v>
      </c>
      <c r="DG2" s="1133"/>
      <c r="DH2" s="548"/>
      <c r="DI2" s="1122"/>
      <c r="DJ2" s="1123" t="s">
        <v>1514</v>
      </c>
      <c r="DK2" s="1124"/>
      <c r="DL2" s="1121"/>
      <c r="DM2" s="327" t="s">
        <v>1470</v>
      </c>
      <c r="DN2" s="328"/>
      <c r="DO2" s="328"/>
      <c r="DP2" s="328"/>
      <c r="DQ2" s="328"/>
      <c r="DR2" s="337"/>
      <c r="DS2" s="346" t="s">
        <v>1514</v>
      </c>
      <c r="DT2" s="342"/>
      <c r="DU2" s="328"/>
      <c r="DV2" s="328"/>
      <c r="DW2" s="328"/>
      <c r="DX2" s="328"/>
      <c r="DY2" s="328"/>
      <c r="DZ2" s="328"/>
      <c r="EA2" s="328"/>
      <c r="EB2" s="494"/>
      <c r="EC2" s="494"/>
      <c r="ED2" s="494"/>
      <c r="EE2" s="494"/>
      <c r="EF2" s="494"/>
      <c r="EG2" s="494"/>
      <c r="EH2" s="494"/>
      <c r="EI2" s="39" t="s">
        <v>7</v>
      </c>
      <c r="EJ2" s="34" t="s">
        <v>8</v>
      </c>
      <c r="EK2" s="34" t="s">
        <v>9</v>
      </c>
      <c r="EL2" s="34" t="s">
        <v>10</v>
      </c>
      <c r="EM2" s="34" t="s">
        <v>11</v>
      </c>
      <c r="EN2" s="34" t="s">
        <v>12</v>
      </c>
      <c r="EO2" s="34" t="s">
        <v>13</v>
      </c>
      <c r="EP2" s="34" t="s">
        <v>14</v>
      </c>
      <c r="EQ2" s="34" t="s">
        <v>15</v>
      </c>
      <c r="ER2" s="34"/>
      <c r="ES2" s="999"/>
    </row>
    <row r="3" spans="1:151" s="223" customFormat="1" ht="77.5" hidden="1" customHeight="1" thickBot="1">
      <c r="A3" s="512" t="s">
        <v>1852</v>
      </c>
      <c r="B3" s="513" t="s">
        <v>1853</v>
      </c>
      <c r="C3" s="513" t="s">
        <v>1854</v>
      </c>
      <c r="D3" s="513" t="s">
        <v>1855</v>
      </c>
      <c r="E3" s="514" t="s">
        <v>1856</v>
      </c>
      <c r="F3" s="514" t="s">
        <v>1857</v>
      </c>
      <c r="G3" s="514" t="s">
        <v>1858</v>
      </c>
      <c r="H3" s="514" t="s">
        <v>1859</v>
      </c>
      <c r="I3" s="514" t="s">
        <v>1899</v>
      </c>
      <c r="J3" s="514" t="s">
        <v>1898</v>
      </c>
      <c r="K3" s="515" t="s">
        <v>1860</v>
      </c>
      <c r="L3" s="515" t="s">
        <v>1861</v>
      </c>
      <c r="M3" s="512" t="s">
        <v>2019</v>
      </c>
      <c r="N3" s="512" t="s">
        <v>1567</v>
      </c>
      <c r="O3" s="512" t="s">
        <v>1863</v>
      </c>
      <c r="P3" s="512" t="s">
        <v>1865</v>
      </c>
      <c r="Q3" s="512" t="s">
        <v>1867</v>
      </c>
      <c r="R3" s="512" t="s">
        <v>1868</v>
      </c>
      <c r="S3" s="516" t="s">
        <v>1869</v>
      </c>
      <c r="T3" s="538" t="s">
        <v>1940</v>
      </c>
      <c r="U3" s="538" t="s">
        <v>1908</v>
      </c>
      <c r="V3" s="538" t="s">
        <v>1909</v>
      </c>
      <c r="W3" s="539" t="s">
        <v>2020</v>
      </c>
      <c r="X3" s="538" t="s">
        <v>1942</v>
      </c>
      <c r="Y3" s="539" t="s">
        <v>2021</v>
      </c>
      <c r="Z3" s="538" t="s">
        <v>2022</v>
      </c>
      <c r="AA3" s="539" t="s">
        <v>1970</v>
      </c>
      <c r="AB3" s="539" t="s">
        <v>1975</v>
      </c>
      <c r="AC3" s="539" t="s">
        <v>2023</v>
      </c>
      <c r="AD3" s="539" t="s">
        <v>2304</v>
      </c>
      <c r="AE3" s="539" t="s">
        <v>1922</v>
      </c>
      <c r="AF3" s="539" t="s">
        <v>2305</v>
      </c>
      <c r="AG3" s="539" t="s">
        <v>2025</v>
      </c>
      <c r="AH3" s="539" t="s">
        <v>2026</v>
      </c>
      <c r="AI3" s="539" t="s">
        <v>1913</v>
      </c>
      <c r="AJ3" s="540" t="s">
        <v>2260</v>
      </c>
      <c r="AK3" s="539" t="s">
        <v>1916</v>
      </c>
      <c r="AL3" s="539" t="s">
        <v>2261</v>
      </c>
      <c r="AM3" s="539" t="s">
        <v>2267</v>
      </c>
      <c r="AN3" s="539" t="s">
        <v>2268</v>
      </c>
      <c r="AO3" s="539"/>
      <c r="AP3" s="539" t="s">
        <v>1872</v>
      </c>
      <c r="AQ3" s="541" t="s">
        <v>1971</v>
      </c>
      <c r="AR3" s="541" t="s">
        <v>2028</v>
      </c>
      <c r="AS3" s="541" t="s">
        <v>2290</v>
      </c>
      <c r="AT3" s="541" t="s">
        <v>2031</v>
      </c>
      <c r="AU3" s="541" t="s">
        <v>2033</v>
      </c>
      <c r="AV3" s="541" t="s">
        <v>1917</v>
      </c>
      <c r="AW3" s="541" t="s">
        <v>1920</v>
      </c>
      <c r="AX3" s="541" t="s">
        <v>1921</v>
      </c>
      <c r="AY3" s="542" t="s">
        <v>1874</v>
      </c>
      <c r="AZ3" s="542" t="s">
        <v>1894</v>
      </c>
      <c r="BA3" s="542" t="s">
        <v>1877</v>
      </c>
      <c r="BB3" s="542" t="s">
        <v>1879</v>
      </c>
      <c r="BC3" s="542" t="s">
        <v>2314</v>
      </c>
      <c r="BD3" s="542" t="s">
        <v>2315</v>
      </c>
      <c r="BE3" s="542" t="s">
        <v>2183</v>
      </c>
      <c r="BF3" s="542" t="s">
        <v>1881</v>
      </c>
      <c r="BG3" s="543" t="s">
        <v>1883</v>
      </c>
      <c r="BH3" s="543" t="s">
        <v>1973</v>
      </c>
      <c r="BI3" s="543" t="s">
        <v>1885</v>
      </c>
      <c r="BJ3" s="543" t="s">
        <v>1886</v>
      </c>
      <c r="BK3" s="543" t="s">
        <v>1974</v>
      </c>
      <c r="BL3" s="544" t="s">
        <v>1895</v>
      </c>
      <c r="BM3" s="544" t="s">
        <v>1897</v>
      </c>
      <c r="BN3" s="544" t="s">
        <v>1889</v>
      </c>
      <c r="BO3" s="544" t="s">
        <v>2310</v>
      </c>
      <c r="BP3" s="544" t="s">
        <v>1890</v>
      </c>
      <c r="BQ3" s="544" t="s">
        <v>2035</v>
      </c>
      <c r="BR3" s="544" t="s">
        <v>2036</v>
      </c>
      <c r="BS3" s="544" t="s">
        <v>1891</v>
      </c>
      <c r="BT3" s="517" t="s">
        <v>2188</v>
      </c>
      <c r="BU3" s="517" t="s">
        <v>2189</v>
      </c>
      <c r="BV3" s="517" t="s">
        <v>2190</v>
      </c>
      <c r="BW3" s="517" t="s">
        <v>2186</v>
      </c>
      <c r="BX3" s="537"/>
      <c r="BY3" s="537"/>
      <c r="BZ3" s="537"/>
      <c r="CA3" s="690"/>
      <c r="CB3" s="690"/>
      <c r="CC3" s="690"/>
      <c r="CD3" s="690"/>
      <c r="CE3" s="1140"/>
      <c r="CF3" s="1141"/>
      <c r="CG3" s="1142"/>
      <c r="CH3" s="1143"/>
      <c r="CI3" s="1141"/>
      <c r="CJ3" s="1141"/>
      <c r="CK3" s="1141"/>
      <c r="CL3" s="1141"/>
      <c r="CM3" s="1141"/>
      <c r="CN3" s="1141"/>
      <c r="CO3" s="1141"/>
      <c r="CP3" s="1141"/>
      <c r="CQ3" s="1141"/>
      <c r="CR3" s="1141"/>
      <c r="CS3" s="1117"/>
      <c r="CT3" s="1146"/>
      <c r="CU3" s="1147"/>
      <c r="CV3" s="1117"/>
      <c r="CW3" s="1117" t="s">
        <v>77</v>
      </c>
      <c r="CX3" s="1132"/>
      <c r="CY3" s="1136"/>
      <c r="CZ3" s="1137"/>
      <c r="DA3" s="1129"/>
      <c r="DB3" s="1130"/>
      <c r="DC3" s="1133"/>
      <c r="DD3" s="545"/>
      <c r="DE3" s="1133" t="s">
        <v>2059</v>
      </c>
      <c r="DF3" s="1133"/>
      <c r="DG3" s="1133"/>
      <c r="DH3" s="548"/>
      <c r="DI3" s="1122"/>
      <c r="DJ3" s="1125"/>
      <c r="DK3" s="1126"/>
      <c r="DL3" s="1121"/>
      <c r="DM3" s="546" t="s">
        <v>2065</v>
      </c>
      <c r="DN3" s="329"/>
      <c r="DO3" s="329"/>
      <c r="DP3" s="546" t="s">
        <v>2064</v>
      </c>
      <c r="DQ3" s="547" t="s">
        <v>1262</v>
      </c>
      <c r="DR3" s="338"/>
      <c r="DS3" s="347"/>
      <c r="DT3" s="343"/>
      <c r="DU3" s="329"/>
      <c r="DV3" s="329"/>
      <c r="DW3" s="330"/>
      <c r="DX3" s="329"/>
      <c r="DY3" s="329"/>
      <c r="DZ3" s="329"/>
      <c r="EA3" s="329"/>
      <c r="EB3" s="495"/>
      <c r="EC3" s="495"/>
      <c r="ED3" s="495"/>
      <c r="EE3" s="495"/>
      <c r="EF3" s="495"/>
      <c r="EG3" s="495"/>
      <c r="EH3" s="495"/>
      <c r="EI3" s="221"/>
      <c r="EJ3" s="222"/>
      <c r="EK3" s="222"/>
      <c r="EL3" s="222"/>
      <c r="EM3" s="222"/>
      <c r="EN3" s="222"/>
      <c r="EO3" s="222"/>
      <c r="EP3" s="222"/>
      <c r="EQ3" s="222"/>
      <c r="ER3" s="222"/>
      <c r="ES3" s="1000"/>
    </row>
    <row r="4" spans="1:151" s="231" customFormat="1" ht="71.5" customHeight="1" thickBot="1">
      <c r="A4" s="272" t="s">
        <v>1757</v>
      </c>
      <c r="B4" s="273" t="s">
        <v>1759</v>
      </c>
      <c r="C4" s="273" t="s">
        <v>1761</v>
      </c>
      <c r="D4" s="273" t="s">
        <v>1763</v>
      </c>
      <c r="E4" s="274" t="s">
        <v>21</v>
      </c>
      <c r="F4" s="274" t="s">
        <v>22</v>
      </c>
      <c r="G4" s="274" t="s">
        <v>1765</v>
      </c>
      <c r="H4" s="274" t="s">
        <v>1767</v>
      </c>
      <c r="I4" s="274" t="s">
        <v>24</v>
      </c>
      <c r="J4" s="274" t="s">
        <v>1482</v>
      </c>
      <c r="K4" s="275" t="s">
        <v>1769</v>
      </c>
      <c r="L4" s="275" t="s">
        <v>1771</v>
      </c>
      <c r="M4" s="272" t="s">
        <v>1983</v>
      </c>
      <c r="N4" s="272" t="s">
        <v>1564</v>
      </c>
      <c r="O4" s="272" t="s">
        <v>1566</v>
      </c>
      <c r="P4" s="272" t="s">
        <v>1773</v>
      </c>
      <c r="Q4" s="272" t="s">
        <v>1774</v>
      </c>
      <c r="R4" s="272" t="s">
        <v>1776</v>
      </c>
      <c r="S4" s="276" t="s">
        <v>1777</v>
      </c>
      <c r="T4" s="522" t="s">
        <v>1943</v>
      </c>
      <c r="U4" s="522" t="s">
        <v>1904</v>
      </c>
      <c r="V4" s="522" t="s">
        <v>1906</v>
      </c>
      <c r="W4" s="523" t="s">
        <v>1939</v>
      </c>
      <c r="X4" s="523" t="s">
        <v>1944</v>
      </c>
      <c r="Y4" s="523" t="s">
        <v>1990</v>
      </c>
      <c r="Z4" s="523" t="s">
        <v>1992</v>
      </c>
      <c r="AA4" s="523" t="s">
        <v>1994</v>
      </c>
      <c r="AB4" s="523" t="s">
        <v>1952</v>
      </c>
      <c r="AC4" s="523" t="s">
        <v>1953</v>
      </c>
      <c r="AD4" s="561" t="s">
        <v>2295</v>
      </c>
      <c r="AE4" s="523" t="s">
        <v>1925</v>
      </c>
      <c r="AF4" s="523" t="s">
        <v>2296</v>
      </c>
      <c r="AG4" s="523" t="s">
        <v>1999</v>
      </c>
      <c r="AH4" s="523" t="s">
        <v>1781</v>
      </c>
      <c r="AI4" s="524" t="s">
        <v>2243</v>
      </c>
      <c r="AJ4" s="524" t="s">
        <v>2246</v>
      </c>
      <c r="AK4" s="524" t="s">
        <v>2248</v>
      </c>
      <c r="AL4" s="524" t="s">
        <v>2249</v>
      </c>
      <c r="AM4" s="525" t="s">
        <v>2271</v>
      </c>
      <c r="AN4" s="522" t="s">
        <v>2745</v>
      </c>
      <c r="AO4" s="522" t="s">
        <v>2748</v>
      </c>
      <c r="AP4" s="525" t="s">
        <v>60</v>
      </c>
      <c r="AQ4" s="526" t="s">
        <v>1946</v>
      </c>
      <c r="AR4" s="526" t="s">
        <v>1947</v>
      </c>
      <c r="AS4" s="526" t="s">
        <v>2001</v>
      </c>
      <c r="AT4" s="526" t="s">
        <v>2002</v>
      </c>
      <c r="AU4" s="526" t="s">
        <v>2003</v>
      </c>
      <c r="AV4" s="526" t="s">
        <v>2005</v>
      </c>
      <c r="AW4" s="527" t="s">
        <v>1900</v>
      </c>
      <c r="AX4" s="526" t="s">
        <v>2008</v>
      </c>
      <c r="AY4" s="528" t="s">
        <v>1823</v>
      </c>
      <c r="AZ4" s="529" t="s">
        <v>1824</v>
      </c>
      <c r="BA4" s="530" t="s">
        <v>2283</v>
      </c>
      <c r="BB4" s="530" t="s">
        <v>2284</v>
      </c>
      <c r="BC4" s="257" t="s">
        <v>2297</v>
      </c>
      <c r="BD4" s="257" t="s">
        <v>2299</v>
      </c>
      <c r="BE4" s="531" t="s">
        <v>2281</v>
      </c>
      <c r="BF4" s="530" t="s">
        <v>65</v>
      </c>
      <c r="BG4" s="532" t="s">
        <v>1926</v>
      </c>
      <c r="BH4" s="532" t="s">
        <v>1956</v>
      </c>
      <c r="BI4" s="533" t="s">
        <v>1927</v>
      </c>
      <c r="BJ4" s="533" t="s">
        <v>1928</v>
      </c>
      <c r="BK4" s="533" t="s">
        <v>1958</v>
      </c>
      <c r="BL4" s="533" t="s">
        <v>1805</v>
      </c>
      <c r="BM4" s="533" t="s">
        <v>1808</v>
      </c>
      <c r="BN4" s="533" t="s">
        <v>1811</v>
      </c>
      <c r="BO4" s="533" t="s">
        <v>2301</v>
      </c>
      <c r="BP4" s="534" t="s">
        <v>2012</v>
      </c>
      <c r="BQ4" s="534" t="s">
        <v>2014</v>
      </c>
      <c r="BR4" s="535" t="s">
        <v>2017</v>
      </c>
      <c r="BS4" s="535" t="s">
        <v>72</v>
      </c>
      <c r="BT4" s="536" t="s">
        <v>2170</v>
      </c>
      <c r="BU4" s="536" t="s">
        <v>2171</v>
      </c>
      <c r="BV4" s="536" t="s">
        <v>2172</v>
      </c>
      <c r="BW4" s="536" t="s">
        <v>2173</v>
      </c>
      <c r="BX4" s="537" t="s">
        <v>2252</v>
      </c>
      <c r="BY4" s="537" t="s">
        <v>2253</v>
      </c>
      <c r="BZ4" s="537" t="s">
        <v>2254</v>
      </c>
      <c r="CA4" s="691" t="s">
        <v>2674</v>
      </c>
      <c r="CB4" s="691" t="s">
        <v>2675</v>
      </c>
      <c r="CC4" s="691" t="s">
        <v>2676</v>
      </c>
      <c r="CD4" s="691" t="s">
        <v>2677</v>
      </c>
      <c r="CE4" s="286" t="s">
        <v>2041</v>
      </c>
      <c r="CF4" s="282" t="s">
        <v>2042</v>
      </c>
      <c r="CG4" s="287" t="s">
        <v>2043</v>
      </c>
      <c r="CH4" s="284" t="s">
        <v>2044</v>
      </c>
      <c r="CI4" s="281" t="s">
        <v>2045</v>
      </c>
      <c r="CJ4" s="281" t="s">
        <v>2046</v>
      </c>
      <c r="CK4" s="281" t="s">
        <v>2050</v>
      </c>
      <c r="CL4" s="281" t="s">
        <v>1997</v>
      </c>
      <c r="CM4" s="281" t="s">
        <v>2758</v>
      </c>
      <c r="CN4" s="281" t="s">
        <v>2757</v>
      </c>
      <c r="CO4" s="281" t="s">
        <v>3230</v>
      </c>
      <c r="CP4" s="282" t="s">
        <v>117</v>
      </c>
      <c r="CQ4" s="282" t="s">
        <v>118</v>
      </c>
      <c r="CR4" s="282" t="s">
        <v>119</v>
      </c>
      <c r="CS4" s="295" t="s">
        <v>120</v>
      </c>
      <c r="CT4" s="281" t="s">
        <v>1476</v>
      </c>
      <c r="CU4" s="295" t="s">
        <v>121</v>
      </c>
      <c r="CV4" s="281" t="s">
        <v>122</v>
      </c>
      <c r="CW4" s="294" t="s">
        <v>2054</v>
      </c>
      <c r="CX4" s="293" t="s">
        <v>123</v>
      </c>
      <c r="CY4" s="286" t="s">
        <v>124</v>
      </c>
      <c r="CZ4" s="305" t="s">
        <v>2060</v>
      </c>
      <c r="DA4" s="302" t="s">
        <v>125</v>
      </c>
      <c r="DB4" s="293" t="s">
        <v>126</v>
      </c>
      <c r="DC4" s="307" t="s">
        <v>1847</v>
      </c>
      <c r="DD4" s="307" t="s">
        <v>2107</v>
      </c>
      <c r="DE4" s="309" t="s">
        <v>2058</v>
      </c>
      <c r="DF4" s="308" t="s">
        <v>1850</v>
      </c>
      <c r="DG4" s="308" t="s">
        <v>1851</v>
      </c>
      <c r="DH4" s="308" t="s">
        <v>2323</v>
      </c>
      <c r="DI4" s="314" t="s">
        <v>128</v>
      </c>
      <c r="DJ4" s="320" t="s">
        <v>127</v>
      </c>
      <c r="DK4" s="321" t="s">
        <v>2106</v>
      </c>
      <c r="DL4" s="317" t="s">
        <v>1960</v>
      </c>
      <c r="DM4" s="326" t="s">
        <v>78</v>
      </c>
      <c r="DN4" s="326" t="s">
        <v>1498</v>
      </c>
      <c r="DO4" s="326" t="s">
        <v>1499</v>
      </c>
      <c r="DP4" s="326" t="s">
        <v>1497</v>
      </c>
      <c r="DQ4" s="335" t="s">
        <v>2066</v>
      </c>
      <c r="DR4" s="336" t="s">
        <v>129</v>
      </c>
      <c r="DS4" s="348" t="s">
        <v>1961</v>
      </c>
      <c r="DT4" s="341" t="s">
        <v>130</v>
      </c>
      <c r="DU4" s="326" t="s">
        <v>131</v>
      </c>
      <c r="DV4" s="326" t="s">
        <v>132</v>
      </c>
      <c r="DW4" s="326" t="s">
        <v>2062</v>
      </c>
      <c r="DX4" s="326" t="s">
        <v>133</v>
      </c>
      <c r="DY4" s="326" t="s">
        <v>2069</v>
      </c>
      <c r="DZ4" s="326" t="s">
        <v>2090</v>
      </c>
      <c r="EA4" s="326" t="s">
        <v>2128</v>
      </c>
      <c r="EB4" s="478" t="s">
        <v>2234</v>
      </c>
      <c r="EC4" s="536" t="s">
        <v>3100</v>
      </c>
      <c r="ED4" s="536" t="s">
        <v>3101</v>
      </c>
      <c r="EE4" s="536" t="s">
        <v>3102</v>
      </c>
      <c r="EF4" s="563" t="s">
        <v>2327</v>
      </c>
      <c r="EG4" s="563" t="s">
        <v>2755</v>
      </c>
      <c r="EH4" s="563" t="s">
        <v>2756</v>
      </c>
      <c r="EI4" s="229" t="s">
        <v>27</v>
      </c>
      <c r="EJ4" s="230" t="s">
        <v>28</v>
      </c>
      <c r="EK4" s="230" t="s">
        <v>135</v>
      </c>
      <c r="EL4" s="230" t="s">
        <v>29</v>
      </c>
      <c r="EM4" s="230" t="s">
        <v>30</v>
      </c>
      <c r="EN4" s="230" t="s">
        <v>31</v>
      </c>
      <c r="EO4" s="230" t="s">
        <v>32</v>
      </c>
      <c r="EP4" s="230" t="s">
        <v>33</v>
      </c>
      <c r="EQ4" s="230" t="s">
        <v>34</v>
      </c>
      <c r="ER4" s="230" t="s">
        <v>35</v>
      </c>
      <c r="ES4" s="1001"/>
    </row>
    <row r="5" spans="1:151" s="241" customFormat="1" ht="39.75" customHeight="1" thickBot="1">
      <c r="A5" s="232" t="s">
        <v>16</v>
      </c>
      <c r="B5" s="233" t="s">
        <v>16</v>
      </c>
      <c r="C5" s="233" t="s">
        <v>16</v>
      </c>
      <c r="D5" s="233" t="s">
        <v>18</v>
      </c>
      <c r="E5" s="234" t="s">
        <v>16</v>
      </c>
      <c r="F5" s="234" t="s">
        <v>16</v>
      </c>
      <c r="G5" s="234" t="s">
        <v>1937</v>
      </c>
      <c r="H5" s="234" t="s">
        <v>16</v>
      </c>
      <c r="I5" s="234" t="s">
        <v>17</v>
      </c>
      <c r="J5" s="234" t="s">
        <v>17</v>
      </c>
      <c r="K5" s="235" t="s">
        <v>19</v>
      </c>
      <c r="L5" s="235" t="s">
        <v>19</v>
      </c>
      <c r="M5" s="232" t="s">
        <v>17</v>
      </c>
      <c r="N5" s="232" t="s">
        <v>17</v>
      </c>
      <c r="O5" s="232" t="s">
        <v>17</v>
      </c>
      <c r="P5" s="232" t="s">
        <v>17</v>
      </c>
      <c r="Q5" s="232" t="s">
        <v>1775</v>
      </c>
      <c r="R5" s="232" t="s">
        <v>17</v>
      </c>
      <c r="S5" s="232" t="s">
        <v>17</v>
      </c>
      <c r="T5" s="236" t="s">
        <v>17</v>
      </c>
      <c r="U5" s="236" t="s">
        <v>17</v>
      </c>
      <c r="V5" s="236" t="s">
        <v>17</v>
      </c>
      <c r="W5" s="236" t="s">
        <v>17</v>
      </c>
      <c r="X5" s="236" t="s">
        <v>17</v>
      </c>
      <c r="Y5" s="236" t="s">
        <v>17</v>
      </c>
      <c r="Z5" s="236" t="s">
        <v>17</v>
      </c>
      <c r="AA5" s="236" t="s">
        <v>1995</v>
      </c>
      <c r="AB5" s="236" t="s">
        <v>1995</v>
      </c>
      <c r="AC5" s="236" t="s">
        <v>1995</v>
      </c>
      <c r="AD5" s="236" t="s">
        <v>17</v>
      </c>
      <c r="AE5" s="236" t="s">
        <v>17</v>
      </c>
      <c r="AF5" s="236" t="s">
        <v>2554</v>
      </c>
      <c r="AG5" s="236" t="s">
        <v>17</v>
      </c>
      <c r="AH5" s="236" t="s">
        <v>17</v>
      </c>
      <c r="AI5" s="236" t="s">
        <v>17</v>
      </c>
      <c r="AJ5" s="236" t="s">
        <v>17</v>
      </c>
      <c r="AK5" s="236" t="s">
        <v>17</v>
      </c>
      <c r="AL5" s="236" t="s">
        <v>17</v>
      </c>
      <c r="AM5" s="236" t="s">
        <v>17</v>
      </c>
      <c r="AN5" s="236" t="s">
        <v>17</v>
      </c>
      <c r="AO5" s="236" t="s">
        <v>17</v>
      </c>
      <c r="AP5" s="236" t="s">
        <v>18</v>
      </c>
      <c r="AQ5" s="237" t="s">
        <v>17</v>
      </c>
      <c r="AR5" s="237" t="s">
        <v>17</v>
      </c>
      <c r="AS5" s="237" t="s">
        <v>18</v>
      </c>
      <c r="AT5" s="237" t="s">
        <v>17</v>
      </c>
      <c r="AU5" s="237" t="s">
        <v>17</v>
      </c>
      <c r="AV5" s="237" t="s">
        <v>17</v>
      </c>
      <c r="AW5" s="237" t="s">
        <v>1995</v>
      </c>
      <c r="AX5" s="237" t="s">
        <v>17</v>
      </c>
      <c r="AY5" s="237" t="s">
        <v>1907</v>
      </c>
      <c r="AZ5" s="237" t="s">
        <v>1903</v>
      </c>
      <c r="BA5" s="237" t="s">
        <v>17</v>
      </c>
      <c r="BB5" s="237" t="s">
        <v>17</v>
      </c>
      <c r="BC5" s="237" t="s">
        <v>17</v>
      </c>
      <c r="BD5" s="237" t="s">
        <v>17</v>
      </c>
      <c r="BE5" s="237" t="s">
        <v>17</v>
      </c>
      <c r="BF5" s="237" t="s">
        <v>18</v>
      </c>
      <c r="BG5" s="238" t="s">
        <v>17</v>
      </c>
      <c r="BH5" s="238" t="s">
        <v>17</v>
      </c>
      <c r="BI5" s="238" t="s">
        <v>17</v>
      </c>
      <c r="BJ5" s="238" t="s">
        <v>17</v>
      </c>
      <c r="BK5" s="238" t="s">
        <v>17</v>
      </c>
      <c r="BL5" s="238" t="s">
        <v>17</v>
      </c>
      <c r="BM5" s="238" t="s">
        <v>17</v>
      </c>
      <c r="BN5" s="238" t="s">
        <v>17</v>
      </c>
      <c r="BO5" s="238" t="s">
        <v>17</v>
      </c>
      <c r="BP5" s="238" t="s">
        <v>1902</v>
      </c>
      <c r="BQ5" s="238" t="s">
        <v>17</v>
      </c>
      <c r="BR5" s="238" t="s">
        <v>52</v>
      </c>
      <c r="BS5" s="277" t="s">
        <v>18</v>
      </c>
      <c r="BT5" s="481" t="s">
        <v>52</v>
      </c>
      <c r="BU5" s="481" t="s">
        <v>52</v>
      </c>
      <c r="BV5" s="481" t="s">
        <v>17</v>
      </c>
      <c r="BW5" s="481" t="s">
        <v>52</v>
      </c>
      <c r="BX5" s="511" t="s">
        <v>17</v>
      </c>
      <c r="BY5" s="511" t="s">
        <v>17</v>
      </c>
      <c r="BZ5" s="511" t="s">
        <v>17</v>
      </c>
      <c r="CA5" s="692" t="s">
        <v>17</v>
      </c>
      <c r="CB5" s="692" t="s">
        <v>17</v>
      </c>
      <c r="CC5" s="692" t="s">
        <v>2678</v>
      </c>
      <c r="CD5" s="692" t="s">
        <v>18</v>
      </c>
      <c r="CE5" s="1118"/>
      <c r="CF5" s="1119"/>
      <c r="CG5" s="1120"/>
      <c r="CH5" s="285" t="s">
        <v>17</v>
      </c>
      <c r="CI5" s="283" t="s">
        <v>17</v>
      </c>
      <c r="CJ5" s="283" t="s">
        <v>1995</v>
      </c>
      <c r="CK5" s="283" t="s">
        <v>1901</v>
      </c>
      <c r="CL5" s="283" t="s">
        <v>1901</v>
      </c>
      <c r="CM5" s="283" t="s">
        <v>17</v>
      </c>
      <c r="CN5" s="283" t="s">
        <v>17</v>
      </c>
      <c r="CO5" s="283" t="s">
        <v>17</v>
      </c>
      <c r="CP5" s="283" t="s">
        <v>52</v>
      </c>
      <c r="CQ5" s="283" t="s">
        <v>52</v>
      </c>
      <c r="CR5" s="283" t="s">
        <v>52</v>
      </c>
      <c r="CS5" s="291" t="s">
        <v>17</v>
      </c>
      <c r="CT5" s="283" t="s">
        <v>52</v>
      </c>
      <c r="CU5" s="297" t="s">
        <v>17</v>
      </c>
      <c r="CV5" s="297"/>
      <c r="CW5" s="297"/>
      <c r="CX5" s="300"/>
      <c r="CY5" s="1118" t="s">
        <v>1598</v>
      </c>
      <c r="CZ5" s="1120"/>
      <c r="DA5" s="303" t="s">
        <v>17</v>
      </c>
      <c r="DB5" s="300" t="s">
        <v>17</v>
      </c>
      <c r="DC5" s="310" t="s">
        <v>17</v>
      </c>
      <c r="DD5" s="310" t="s">
        <v>52</v>
      </c>
      <c r="DE5" s="311" t="s">
        <v>17</v>
      </c>
      <c r="DF5" s="312" t="s">
        <v>17</v>
      </c>
      <c r="DG5" s="312" t="s">
        <v>17</v>
      </c>
      <c r="DH5" s="562" t="s">
        <v>17</v>
      </c>
      <c r="DI5" s="315" t="s">
        <v>17</v>
      </c>
      <c r="DJ5" s="322" t="s">
        <v>17</v>
      </c>
      <c r="DK5" s="323" t="s">
        <v>52</v>
      </c>
      <c r="DL5" s="318" t="s">
        <v>52</v>
      </c>
      <c r="DM5" s="331" t="s">
        <v>17</v>
      </c>
      <c r="DN5" s="332" t="s">
        <v>17</v>
      </c>
      <c r="DO5" s="332" t="s">
        <v>17</v>
      </c>
      <c r="DP5" s="332" t="s">
        <v>17</v>
      </c>
      <c r="DQ5" s="332"/>
      <c r="DR5" s="339" t="s">
        <v>52</v>
      </c>
      <c r="DS5" s="349" t="s">
        <v>52</v>
      </c>
      <c r="DT5" s="344" t="s">
        <v>52</v>
      </c>
      <c r="DU5" s="332" t="s">
        <v>52</v>
      </c>
      <c r="DV5" s="332" t="s">
        <v>52</v>
      </c>
      <c r="DW5" s="332" t="s">
        <v>17</v>
      </c>
      <c r="DX5" s="332" t="s">
        <v>17</v>
      </c>
      <c r="DY5" s="332" t="s">
        <v>17</v>
      </c>
      <c r="DZ5" s="332" t="s">
        <v>17</v>
      </c>
      <c r="EA5" s="394"/>
      <c r="EB5" s="481" t="s">
        <v>52</v>
      </c>
      <c r="EC5" s="921"/>
      <c r="ED5" s="921"/>
      <c r="EE5" s="921"/>
      <c r="EF5" s="564" t="s">
        <v>17</v>
      </c>
      <c r="EG5" s="564" t="s">
        <v>17</v>
      </c>
      <c r="EH5" s="564" t="s">
        <v>17</v>
      </c>
      <c r="EI5" s="239"/>
      <c r="EJ5" s="240"/>
      <c r="EK5" s="240"/>
      <c r="EL5" s="240"/>
      <c r="EM5" s="240"/>
      <c r="EN5" s="240"/>
      <c r="EO5" s="240"/>
      <c r="EP5" s="240"/>
      <c r="EQ5" s="240"/>
      <c r="ER5" s="240"/>
      <c r="ES5" s="1002"/>
      <c r="ET5" s="1115" t="s">
        <v>2641</v>
      </c>
      <c r="EU5" s="1116"/>
    </row>
    <row r="6" spans="1:151" s="207" customFormat="1" ht="21.75" customHeight="1" thickTop="1" thickBot="1">
      <c r="A6" s="202" t="s">
        <v>20</v>
      </c>
      <c r="B6" s="183" t="s">
        <v>1759</v>
      </c>
      <c r="C6" s="183" t="s">
        <v>1761</v>
      </c>
      <c r="D6" s="183" t="s">
        <v>26</v>
      </c>
      <c r="E6" s="184" t="s">
        <v>21</v>
      </c>
      <c r="F6" s="184" t="s">
        <v>22</v>
      </c>
      <c r="G6" s="184" t="s">
        <v>134</v>
      </c>
      <c r="H6" s="184" t="s">
        <v>23</v>
      </c>
      <c r="I6" s="184" t="s">
        <v>24</v>
      </c>
      <c r="J6" s="184" t="s">
        <v>25</v>
      </c>
      <c r="K6" s="185" t="s">
        <v>1769</v>
      </c>
      <c r="L6" s="185" t="s">
        <v>1771</v>
      </c>
      <c r="M6" s="202" t="s">
        <v>2037</v>
      </c>
      <c r="N6" s="202" t="s">
        <v>1826</v>
      </c>
      <c r="O6" s="202" t="s">
        <v>1827</v>
      </c>
      <c r="P6" s="202" t="s">
        <v>49</v>
      </c>
      <c r="Q6" s="202" t="s">
        <v>1979</v>
      </c>
      <c r="R6" s="202" t="s">
        <v>1828</v>
      </c>
      <c r="S6" s="202" t="s">
        <v>1829</v>
      </c>
      <c r="T6" s="203" t="s">
        <v>1980</v>
      </c>
      <c r="U6" s="203" t="s">
        <v>1830</v>
      </c>
      <c r="V6" s="203" t="s">
        <v>1831</v>
      </c>
      <c r="W6" s="181" t="s">
        <v>1981</v>
      </c>
      <c r="X6" s="181" t="s">
        <v>1834</v>
      </c>
      <c r="Y6" s="181" t="s">
        <v>1832</v>
      </c>
      <c r="Z6" s="181" t="s">
        <v>1833</v>
      </c>
      <c r="AA6" s="181" t="s">
        <v>1929</v>
      </c>
      <c r="AB6" s="181" t="s">
        <v>1835</v>
      </c>
      <c r="AC6" s="181" t="s">
        <v>1836</v>
      </c>
      <c r="AD6" s="181" t="s">
        <v>2318</v>
      </c>
      <c r="AE6" s="181" t="s">
        <v>1930</v>
      </c>
      <c r="AF6" s="181" t="s">
        <v>2319</v>
      </c>
      <c r="AG6" s="181" t="s">
        <v>2038</v>
      </c>
      <c r="AH6" s="181" t="s">
        <v>1837</v>
      </c>
      <c r="AI6" s="181" t="s">
        <v>2265</v>
      </c>
      <c r="AJ6" s="181" t="s">
        <v>2263</v>
      </c>
      <c r="AK6" s="181" t="s">
        <v>2264</v>
      </c>
      <c r="AL6" s="181" t="s">
        <v>2266</v>
      </c>
      <c r="AM6" s="181" t="s">
        <v>2744</v>
      </c>
      <c r="AN6" s="181" t="s">
        <v>2746</v>
      </c>
      <c r="AO6" s="181" t="s">
        <v>2747</v>
      </c>
      <c r="AP6" s="181" t="s">
        <v>1268</v>
      </c>
      <c r="AQ6" s="186" t="s">
        <v>1982</v>
      </c>
      <c r="AR6" s="186" t="s">
        <v>1819</v>
      </c>
      <c r="AS6" s="186" t="s">
        <v>2039</v>
      </c>
      <c r="AT6" s="186" t="s">
        <v>1817</v>
      </c>
      <c r="AU6" s="186" t="s">
        <v>1818</v>
      </c>
      <c r="AV6" s="186" t="s">
        <v>1820</v>
      </c>
      <c r="AW6" s="191" t="s">
        <v>1821</v>
      </c>
      <c r="AX6" s="192" t="s">
        <v>1822</v>
      </c>
      <c r="AY6" s="193" t="s">
        <v>1825</v>
      </c>
      <c r="AZ6" s="194" t="s">
        <v>1824</v>
      </c>
      <c r="BA6" s="187" t="s">
        <v>1931</v>
      </c>
      <c r="BB6" s="187" t="s">
        <v>1932</v>
      </c>
      <c r="BC6" s="187" t="s">
        <v>2297</v>
      </c>
      <c r="BD6" s="187" t="s">
        <v>2322</v>
      </c>
      <c r="BE6" s="477" t="s">
        <v>2324</v>
      </c>
      <c r="BF6" s="187" t="s">
        <v>1269</v>
      </c>
      <c r="BG6" s="187" t="s">
        <v>1933</v>
      </c>
      <c r="BH6" s="188" t="s">
        <v>1976</v>
      </c>
      <c r="BI6" s="188" t="s">
        <v>1977</v>
      </c>
      <c r="BJ6" s="188" t="s">
        <v>1934</v>
      </c>
      <c r="BK6" s="188" t="s">
        <v>1978</v>
      </c>
      <c r="BL6" s="188" t="s">
        <v>1838</v>
      </c>
      <c r="BM6" s="188" t="s">
        <v>1839</v>
      </c>
      <c r="BN6" s="188" t="s">
        <v>1840</v>
      </c>
      <c r="BO6" s="188" t="s">
        <v>2326</v>
      </c>
      <c r="BP6" s="188" t="s">
        <v>71</v>
      </c>
      <c r="BQ6" s="188" t="s">
        <v>1841</v>
      </c>
      <c r="BR6" s="188" t="s">
        <v>2040</v>
      </c>
      <c r="BS6" s="188" t="s">
        <v>1842</v>
      </c>
      <c r="BT6" s="480" t="s">
        <v>2179</v>
      </c>
      <c r="BU6" s="480" t="s">
        <v>2180</v>
      </c>
      <c r="BV6" s="480" t="s">
        <v>2181</v>
      </c>
      <c r="BW6" s="480" t="s">
        <v>2182</v>
      </c>
      <c r="BX6" s="479" t="s">
        <v>2252</v>
      </c>
      <c r="BY6" s="479" t="s">
        <v>2253</v>
      </c>
      <c r="BZ6" s="479" t="s">
        <v>2254</v>
      </c>
      <c r="CA6" s="694" t="s">
        <v>2679</v>
      </c>
      <c r="CB6" s="694" t="s">
        <v>2680</v>
      </c>
      <c r="CC6" s="694" t="s">
        <v>2681</v>
      </c>
      <c r="CD6" s="694" t="s">
        <v>2682</v>
      </c>
      <c r="CE6" s="288" t="s">
        <v>2316</v>
      </c>
      <c r="CF6" s="289" t="s">
        <v>2317</v>
      </c>
      <c r="CG6" s="290" t="s">
        <v>2043</v>
      </c>
      <c r="CH6" s="278" t="s">
        <v>2047</v>
      </c>
      <c r="CI6" s="278" t="s">
        <v>2048</v>
      </c>
      <c r="CJ6" s="278" t="s">
        <v>2049</v>
      </c>
      <c r="CK6" s="278" t="s">
        <v>2320</v>
      </c>
      <c r="CL6" s="278" t="s">
        <v>2321</v>
      </c>
      <c r="CM6" s="278" t="s">
        <v>2742</v>
      </c>
      <c r="CN6" s="278" t="s">
        <v>2743</v>
      </c>
      <c r="CO6" s="947" t="s">
        <v>3231</v>
      </c>
      <c r="CP6" s="279" t="s">
        <v>1263</v>
      </c>
      <c r="CQ6" s="280" t="s">
        <v>1264</v>
      </c>
      <c r="CR6" s="292" t="s">
        <v>1265</v>
      </c>
      <c r="CS6" s="296" t="s">
        <v>2053</v>
      </c>
      <c r="CT6" s="298" t="s">
        <v>2094</v>
      </c>
      <c r="CU6" s="296" t="s">
        <v>1277</v>
      </c>
      <c r="CV6" s="299" t="s">
        <v>2052</v>
      </c>
      <c r="CW6" s="351" t="s">
        <v>77</v>
      </c>
      <c r="CX6" s="301" t="s">
        <v>1266</v>
      </c>
      <c r="CY6" s="288" t="s">
        <v>1517</v>
      </c>
      <c r="CZ6" s="290" t="s">
        <v>2055</v>
      </c>
      <c r="DA6" s="304" t="s">
        <v>1267</v>
      </c>
      <c r="DB6" s="306" t="s">
        <v>126</v>
      </c>
      <c r="DC6" s="313" t="s">
        <v>1848</v>
      </c>
      <c r="DD6" s="313" t="s">
        <v>2107</v>
      </c>
      <c r="DE6" s="352" t="s">
        <v>2059</v>
      </c>
      <c r="DF6" s="313" t="s">
        <v>1849</v>
      </c>
      <c r="DG6" s="313" t="s">
        <v>2325</v>
      </c>
      <c r="DH6" s="313" t="s">
        <v>2753</v>
      </c>
      <c r="DI6" s="316" t="s">
        <v>128</v>
      </c>
      <c r="DJ6" s="324" t="s">
        <v>127</v>
      </c>
      <c r="DK6" s="325" t="s">
        <v>1518</v>
      </c>
      <c r="DL6" s="319" t="s">
        <v>1488</v>
      </c>
      <c r="DM6" s="333" t="s">
        <v>1489</v>
      </c>
      <c r="DN6" s="334" t="s">
        <v>1498</v>
      </c>
      <c r="DO6" s="334" t="s">
        <v>1499</v>
      </c>
      <c r="DP6" s="333" t="s">
        <v>1500</v>
      </c>
      <c r="DQ6" s="353" t="s">
        <v>2063</v>
      </c>
      <c r="DR6" s="340" t="s">
        <v>1270</v>
      </c>
      <c r="DS6" s="350" t="s">
        <v>1271</v>
      </c>
      <c r="DT6" s="345" t="s">
        <v>1272</v>
      </c>
      <c r="DU6" s="334" t="s">
        <v>1273</v>
      </c>
      <c r="DV6" s="334" t="s">
        <v>132</v>
      </c>
      <c r="DW6" s="334" t="s">
        <v>2061</v>
      </c>
      <c r="DX6" s="334" t="s">
        <v>1274</v>
      </c>
      <c r="DY6" s="334" t="s">
        <v>2068</v>
      </c>
      <c r="DZ6" s="371" t="s">
        <v>2090</v>
      </c>
      <c r="EA6" s="371" t="s">
        <v>2128</v>
      </c>
      <c r="EB6" s="480" t="s">
        <v>2233</v>
      </c>
      <c r="EC6" s="922" t="s">
        <v>3103</v>
      </c>
      <c r="ED6" s="922" t="s">
        <v>3104</v>
      </c>
      <c r="EE6" s="922" t="s">
        <v>3102</v>
      </c>
      <c r="EF6" s="565" t="s">
        <v>2328</v>
      </c>
      <c r="EG6" s="565" t="s">
        <v>2329</v>
      </c>
      <c r="EH6" s="565" t="s">
        <v>2754</v>
      </c>
      <c r="EI6" s="204" t="s">
        <v>27</v>
      </c>
      <c r="EJ6" s="204" t="s">
        <v>28</v>
      </c>
      <c r="EK6" s="204" t="s">
        <v>135</v>
      </c>
      <c r="EL6" s="204" t="s">
        <v>29</v>
      </c>
      <c r="EM6" s="204" t="s">
        <v>30</v>
      </c>
      <c r="EN6" s="204" t="s">
        <v>31</v>
      </c>
      <c r="EO6" s="204" t="s">
        <v>32</v>
      </c>
      <c r="EP6" s="204" t="s">
        <v>33</v>
      </c>
      <c r="EQ6" s="205" t="s">
        <v>34</v>
      </c>
      <c r="ER6" s="206" t="s">
        <v>35</v>
      </c>
      <c r="ES6" s="1003" t="s">
        <v>3398</v>
      </c>
      <c r="ET6" s="633" t="s">
        <v>2589</v>
      </c>
      <c r="EU6" s="633" t="s">
        <v>2590</v>
      </c>
    </row>
    <row r="7" spans="1:151" hidden="1">
      <c r="A7" s="900" t="s">
        <v>2961</v>
      </c>
      <c r="B7" s="900" t="s">
        <v>311</v>
      </c>
      <c r="C7" s="901" t="s">
        <v>2672</v>
      </c>
      <c r="D7" s="901" t="s">
        <v>3099</v>
      </c>
      <c r="E7" s="901" t="s">
        <v>515</v>
      </c>
      <c r="F7" s="901" t="s">
        <v>556</v>
      </c>
      <c r="G7" s="902" t="str">
        <f>VLOOKUP(WWWW[[#This Row],[Site Name]],SiteDB6[[Site Name]:[Location Type]],8,FALSE)</f>
        <v>Camp</v>
      </c>
      <c r="H7" s="901" t="s">
        <v>557</v>
      </c>
      <c r="I7" s="903">
        <v>37</v>
      </c>
      <c r="J7" s="903">
        <v>120</v>
      </c>
      <c r="K7" s="904">
        <v>44774</v>
      </c>
      <c r="L7" s="905">
        <v>45046</v>
      </c>
      <c r="M7" s="903"/>
      <c r="N7" s="903"/>
      <c r="O7" s="903"/>
      <c r="P7" s="903"/>
      <c r="Q7" s="906"/>
      <c r="R7" s="903"/>
      <c r="S7" s="903"/>
      <c r="T7" s="441"/>
      <c r="U7" s="903"/>
      <c r="V7" s="903"/>
      <c r="W7" s="903"/>
      <c r="X7" s="903"/>
      <c r="Y7" s="903"/>
      <c r="Z7" s="903"/>
      <c r="AA7" s="903"/>
      <c r="AB7" s="903"/>
      <c r="AC7" s="903"/>
      <c r="AD7" s="903"/>
      <c r="AE7" s="903"/>
      <c r="AF7" s="903"/>
      <c r="AG7" s="903"/>
      <c r="AH7" s="903"/>
      <c r="AI7" s="903"/>
      <c r="AJ7" s="903"/>
      <c r="AK7" s="903"/>
      <c r="AL7" s="903"/>
      <c r="AM7" s="903"/>
      <c r="AN7" s="903"/>
      <c r="AO7" s="441"/>
      <c r="AP7" s="907"/>
      <c r="AQ7" s="903"/>
      <c r="AR7" s="903"/>
      <c r="AS7" s="908"/>
      <c r="AT7" s="903"/>
      <c r="AU7" s="903"/>
      <c r="AV7" s="903"/>
      <c r="AW7" s="903"/>
      <c r="AX7" s="903"/>
      <c r="AY7" s="902" t="s">
        <v>136</v>
      </c>
      <c r="AZ7" s="902" t="s">
        <v>136</v>
      </c>
      <c r="BA7" s="903"/>
      <c r="BB7" s="903"/>
      <c r="BC7" s="903"/>
      <c r="BD7" s="441"/>
      <c r="BE7" s="441"/>
      <c r="BF7" s="902"/>
      <c r="BG7" s="903"/>
      <c r="BH7" s="903"/>
      <c r="BI7" s="903"/>
      <c r="BJ7" s="903"/>
      <c r="BK7" s="903"/>
      <c r="BL7" s="903"/>
      <c r="BM7" s="903"/>
      <c r="BN7" s="903">
        <v>9</v>
      </c>
      <c r="BO7" s="903">
        <v>14</v>
      </c>
      <c r="BP7" s="902" t="s">
        <v>41</v>
      </c>
      <c r="BQ7" s="909"/>
      <c r="BR7" s="908"/>
      <c r="BS7" s="902"/>
      <c r="BT7" s="416"/>
      <c r="BU7" s="416"/>
      <c r="BV7" s="418"/>
      <c r="BW7" s="416"/>
      <c r="BX7" s="441"/>
      <c r="BY7" s="441"/>
      <c r="BZ7" s="441"/>
      <c r="CA7" s="441"/>
      <c r="CB7" s="441"/>
      <c r="CC7" s="693"/>
      <c r="CD7" s="441"/>
      <c r="CE7" s="910" t="str">
        <f>IFERROR(WWWW[[#This Row],['#_Water sources passed]]/WWWW[[#This Row],['#_Water sources tested for fecal coliform ]],"no test")</f>
        <v>no test</v>
      </c>
      <c r="CF7" s="908" t="str">
        <f>IFERROR(WWWW[[#This Row],['#_Household passed]]/WWWW[[#This Row],['#_Household water samples tested for fecal coliform]],"no test")</f>
        <v>no test</v>
      </c>
      <c r="CG7" s="909" t="str">
        <f>IF(AND(WWWW[[#This Row],[% of water sources passed]]="no test",WWWW[[#This Row],[% Household passed]]="no test"),"No Test","Tested")</f>
        <v>No Test</v>
      </c>
      <c r="CH7" s="909">
        <f>WWWW[[#This Row],['#_Constructed/existing protected hand dug well]]-WWWW[[#This Row],['#_Non-functional protected hand dug well]]</f>
        <v>0</v>
      </c>
      <c r="CI7" s="909">
        <f>(WWWW[[#This Row],['#_Constructed/Existing tube wells/boreholes/handpumps_WASH_agency]]+WWWW[[#This Row],['#_Non-Cluster partner water tube-wells/boreholes/handpumps]])-WWWW[[#This Row],['#_Non-functional tube wells/boreholes/handpumps]]</f>
        <v>0</v>
      </c>
      <c r="CJ7" s="909">
        <f>WWWW[[#This Row],['#_Constructed/Existingwater storage tank with gravity fed reticulation system]]-WWWW[[#This Row],['#_Non-functional storage tank gravity fed reticulation system]]</f>
        <v>0</v>
      </c>
      <c r="CK7" s="909">
        <f>(WWWW[[#This Row],['#_Water_Liters_supplied_by_Water boating or water trucking]]/90)/15</f>
        <v>0</v>
      </c>
      <c r="CL7" s="909">
        <f>WWWW[[#This Row],['#_Water_Liters_from_Constructed/Existing water distribution system from river or natural spring]]/90/15</f>
        <v>0</v>
      </c>
      <c r="CM7" s="417">
        <f>IF(WWWW[[#This Row],['#_of water points in TLS/CFS]]*500&gt;WWWW[[#This Row],[Total PoP ]],WWWW[[#This Row],[Total PoP ]],WWWW[[#This Row],['#_of water points in TLS/CFS]]*500)</f>
        <v>0</v>
      </c>
      <c r="CN7" s="417">
        <f>IF(WWWW[[#This Row],['#_of water points in THF]]*500&gt;WWWW[[#This Row],[Total PoP ]],WWWW[[#This Row],[Total PoP ]],WWWW[[#This Row],['#_of water points in THF]]*500)</f>
        <v>0</v>
      </c>
      <c r="CO7" s="417"/>
      <c r="CP7"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7"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7" s="908">
        <f>IF(WWWW[[#This Row],[Location Type 1]]="Village",WWWW[[#This Row],[Access to safe drinking water for Village]],WWWW[[#This Row],[Access to safe drinking water for Camp]])</f>
        <v>0</v>
      </c>
      <c r="CS7" s="906">
        <f>WWWW[[#This Row],[%Equitable and continuous access to sufficient quantity of safe drinking water]]*WWWW[[#This Row],[Total PoP ]]</f>
        <v>0</v>
      </c>
      <c r="CT7" s="908">
        <f>IF((WWWW[[#This Row],['#_Constructed/Existing protected/fenced ponds]]*250)/WWWW[[#This Row],[Total PoP ]]&gt;1,1,(WWWW[[#This Row],['#_Constructed/Existing protected/fenced ponds]]*250)/WWWW[[#This Row],[Total PoP ]])</f>
        <v>0</v>
      </c>
      <c r="CU7" s="906">
        <f>WWWW[[#This Row],[% Access to unimproved water points]]*WWWW[[#This Row],[Total PoP ]]</f>
        <v>0</v>
      </c>
      <c r="CV7"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7"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7" s="906">
        <f>WWWW[[#This Row],[HRP1]]/500</f>
        <v>0</v>
      </c>
      <c r="CY7" s="911">
        <f>1-WWWW[[#This Row],[% Equitable and continuous access to sufficient quantity of domestic water]]</f>
        <v>1</v>
      </c>
      <c r="CZ7" s="906">
        <f>WWWW[[#This Row],[%equitable and continuous access to sufficient quantity of safe drinking and domestic water''s GAP]]*WWWW[[#This Row],[Total PoP ]]</f>
        <v>120</v>
      </c>
      <c r="DA7" s="909">
        <f>IF(WWWW[[#This Row],[Total required water points]]-WWWW[[#This Row],['#Water points coverage]]&lt;0,0,WWWW[[#This Row],[Total required water points]]-WWWW[[#This Row],['#Water points coverage]])</f>
        <v>1</v>
      </c>
      <c r="DB7" s="909">
        <f>ROUND(IF(WWWW[[#This Row],[Total PoP ]]&lt;500,1,WWWW[[#This Row],[Total PoP ]]/500),0)</f>
        <v>1</v>
      </c>
      <c r="DC7" s="909">
        <f>(WWWW[[#This Row],['#_Constructed latrines_by_WASHAgencies]]+WWWW[[#This Row],['#_Non Cluster partner latrines]])-WWWW[[#This Row],['#_Non-functional latrines]]</f>
        <v>0</v>
      </c>
      <c r="DD7" s="615">
        <f>WWWW[[#This Row],[HRP2]]/WWWW[[#This Row],[Total PoP ]]</f>
        <v>0</v>
      </c>
      <c r="DE7"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7"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 s="417">
        <f>IF(WWWW[[#This Row],['# of functional latrines in THF supported by WASH partners during the reporting period2]]="",0,WWWW[[#This Row],['# of functional latrines in THF supported by WASH partners during the reporting period2]]*50)</f>
        <v>0</v>
      </c>
      <c r="DI7" s="909">
        <f>ROUND(IF(WWWW[[#This Row],[Location Type 1]]="camp",WWWW[[#This Row],[Total PoP ]]/20,IF(WWWW[[#This Row],[Location Type 1]]="Temporary Location",WWWW[[#This Row],[Total PoP ]]/50,(WWWW[[#This Row],[Total PoP ]]/6))),0)</f>
        <v>6</v>
      </c>
      <c r="DJ7" s="909">
        <f>IF(WWWW[[#This Row],[Total required Latrines]]-(WWWW[[#This Row],['#_Constructed latrines_by_WASHAgencies]]+WWWW[[#This Row],['#_Non Cluster partner latrines]])&lt;0,0,WWWW[[#This Row],[Total required Latrines]]-(WWWW[[#This Row],['#_Constructed latrines_by_WASHAgencies]]+WWWW[[#This Row],['#_Non Cluster partner latrines]]))</f>
        <v>6</v>
      </c>
      <c r="DK7" s="911">
        <f>1-WWWW[[#This Row],[% people access to functioning Latrine]]</f>
        <v>1</v>
      </c>
      <c r="DL7" s="910">
        <f>IF(OR(WWWW[[#This Row],['#_Non-functional latrines]]="",WWWW[[#This Row],['#_Non-functional latrines]]=0),0,WWWW[[#This Row],['#_Non-functional latrines]]/(WWWW[[#This Row],['#_Constructed latrines_by_WASHAgencies]]+WWWW[[#This Row],['#_Non Cluster partner latrines]]))</f>
        <v>0</v>
      </c>
      <c r="DM7" s="906">
        <f>IF(500*(WWWW[[#This Row],['#_male hygiene promoters]]+WWWW[[#This Row],['#_female hygiene promoters]])&gt;WWWW[[#This Row],[Total PoP ]],WWWW[[#This Row],[Total PoP ]],500*(WWWW[[#This Row],['#_male hygiene promoters]]+WWWW[[#This Row],['#_female hygiene promoters]]))</f>
        <v>0</v>
      </c>
      <c r="DN7"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v>
      </c>
      <c r="DO7"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v>
      </c>
      <c r="DP7" s="909">
        <f>IF(WWWW[[#This Row],['# People with access to soap]]&gt;WWWW[[#This Row],['# People with access to Sanity Pads]],WWWW[[#This Row],['# People with access to soap]],WWWW[[#This Row],['# People with access to Sanity Pads]])</f>
        <v>45</v>
      </c>
      <c r="DQ7" s="909">
        <f>IF(WWWW[[#This Row],['# people reached by regular dedicated hygiene promotion_5]]&gt;WWWW[[#This Row],['# People received regular supply of hygiene items_6]],WWWW[[#This Row],['# people reached by regular dedicated hygiene promotion_5]],WWWW[[#This Row],['# People received regular supply of hygiene items_6]])</f>
        <v>45</v>
      </c>
      <c r="DR7" s="911">
        <f>IF(WWWW[[#This Row],[HRP3]]/WWWW[[#This Row],[Total PoP ]]&gt;1,1,WWWW[[#This Row],[HRP3]]/WWWW[[#This Row],[Total PoP ]])</f>
        <v>0.375</v>
      </c>
      <c r="DS7" s="910">
        <f>1-WWWW[[#This Row],[Hygiene Coverage%]]</f>
        <v>0.625</v>
      </c>
      <c r="DT7" s="908">
        <f>WWWW[[#This Row],['# people reached by regular dedicated hygiene promotion_5]]/WWWW[[#This Row],[Total PoP ]]</f>
        <v>0</v>
      </c>
      <c r="DU7"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0.97297297297297303</v>
      </c>
      <c r="DV7"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0.3783783783783784</v>
      </c>
      <c r="DW7" s="909">
        <f>WWWW[[#This Row],['#_Constructed/Existing hand washing stations]]-WWWW[[#This Row],['#_Non-Functional_hand_washing_stations]]</f>
        <v>0</v>
      </c>
      <c r="DX7" s="906">
        <f>IF(WWWW[[#This Row],['# Functional hand washing stations during reporting period]]*20&gt;WWWW[[#This Row],[Total HH]],WWWW[[#This Row],[Total HH]],WWWW[[#This Row],['# Functional hand washing stations during reporting period]]*20)</f>
        <v>0</v>
      </c>
      <c r="DY7" s="906">
        <f>IF(WWWW[[#This Row],[Is sufficient soap available for TLS? (Yes/No)]]="yes",WWWW[[#This Row],['#_Constructed/Existing hand washing stations at TLS/CFS/THF]],0)</f>
        <v>0</v>
      </c>
      <c r="DZ7" s="421">
        <f>IF(WWWW[[#This Row],['# Functional hand washing stations during reporting period]]*100&gt;WWWW[[#This Row],[Total PoP ]],WWWW[[#This Row],[Total PoP ]],WWWW[[#This Row],['# Functional hand washing stations during reporting period]]*100)</f>
        <v>0</v>
      </c>
      <c r="EA7" s="421" t="str">
        <f>IF(OR(WWWW[[#This Row],['#_students at TLS_CFS]]="",WWWW[[#This Row],['#_students at TLS_CFS]]=0),"No","Yes")</f>
        <v>No</v>
      </c>
      <c r="EB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 s="566">
        <f>WWWW[[#This Row],[%_of_affected_people_surveyed_who_report_feeling_satistfied_with_the_latrine_design_and_sanitation_service]]*WWWW[[#This Row],[Total PoP ]]</f>
        <v>0</v>
      </c>
      <c r="ED7" s="566">
        <f>WWWW[[#This Row],[%_of_affected_people_surveyed_who_report_feeling_satistfied_with_the_water_point_design_and_water_service]]*WWWW[[#This Row],[Total PoP ]]</f>
        <v>0</v>
      </c>
      <c r="EE7" s="566">
        <f>WWWW[[#This Row],[%_of_complaints_received_that_result_in_timely_corrective_action_and_feedback_to_the_community]]*WWWW[[#This Row],[Total PoP ]]</f>
        <v>0</v>
      </c>
      <c r="EF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 s="902">
        <f>VLOOKUP(WWWW[[#This Row],[Site Name]],SiteDB6[[Site Name]:[CCCM Management]],6,FALSE)</f>
        <v>0</v>
      </c>
      <c r="EJ7" s="902" t="str">
        <f>VLOOKUP(WWWW[[#This Row],[Site Name]],SiteDB6[[Site Name]:[CCCM Focal Agency]],7,FALSE)</f>
        <v>uncovered</v>
      </c>
      <c r="EK7" s="902" t="str">
        <f>VLOOKUP(WWWW[[#This Row],[Site Name]],SiteDB6[[Site Name]:[Location Type 1]],9,FALSE)</f>
        <v>Camp</v>
      </c>
      <c r="EL7" s="902" t="str">
        <f>VLOOKUP(WWWW[[#This Row],[Site Name]],SiteDB6[[Site Name]:[Type of Accommodation]],10,FALSE)</f>
        <v>Camp like setting</v>
      </c>
      <c r="EM7" s="902" t="str">
        <f>VLOOKUP(WWWW[[#This Row],[Site Name]],SiteDB6[[Site Name]:[Ethnic or GCA/NGCA]],11,FALSE)</f>
        <v>GCA</v>
      </c>
      <c r="EN7" s="902">
        <f>VLOOKUP(WWWW[[#This Row],[Site Name]],SiteDB6[[Site Name]:[Lat]],12,FALSE)</f>
        <v>22.677008000000001</v>
      </c>
      <c r="EO7" s="902">
        <f>VLOOKUP(WWWW[[#This Row],[Site Name]],SiteDB6[[Site Name]:[Long]],13,FALSE)</f>
        <v>97.314762999999999</v>
      </c>
      <c r="EP7" s="902" t="str">
        <f>VLOOKUP(WWWW[[#This Row],[Site Name]],SiteDB6[[Site Name]:[Pcode]],3,FALSE)</f>
        <v>MMR015CMP062</v>
      </c>
      <c r="EQ7" s="907" t="str">
        <f t="shared" ref="EQ7:EQ70" si="0">IF(C7="none","Notcovered","Covered")</f>
        <v>Covered</v>
      </c>
      <c r="ER7" s="907" t="s">
        <v>3126</v>
      </c>
      <c r="ES7" s="907" t="s">
        <v>3126</v>
      </c>
      <c r="ET7" s="902">
        <f>VLOOKUP(WWWW[[#This Row],[Site Name]],SiteDB6[[Site Name]:[Pop
(Kachin/Shan-CCCM as of May 2023)]],16,FALSE)</f>
        <v>37</v>
      </c>
      <c r="EU7" s="902">
        <f>VLOOKUP(WWWW[[#This Row],[Site Name]],SiteDB6[[Site Name]:[Pop
(Kachin/Shan-CCCM as of May 2023)]],17,FALSE)</f>
        <v>120</v>
      </c>
    </row>
    <row r="8" spans="1:151" hidden="1">
      <c r="A8" s="900" t="s">
        <v>2961</v>
      </c>
      <c r="B8" s="946" t="s">
        <v>311</v>
      </c>
      <c r="C8" s="901" t="s">
        <v>2793</v>
      </c>
      <c r="D8" s="901" t="s">
        <v>3099</v>
      </c>
      <c r="E8" s="901" t="s">
        <v>515</v>
      </c>
      <c r="F8" s="901" t="s">
        <v>956</v>
      </c>
      <c r="G8" s="902" t="str">
        <f>VLOOKUP(WWWW[[#This Row],[Site Name]],SiteDB6[[Site Name]:[Location Type]],8,FALSE)</f>
        <v>Camp</v>
      </c>
      <c r="H8" s="901" t="s">
        <v>2982</v>
      </c>
      <c r="I8" s="903">
        <v>96</v>
      </c>
      <c r="J8" s="903">
        <v>469</v>
      </c>
      <c r="K8" s="904">
        <v>44774</v>
      </c>
      <c r="L8" s="905">
        <v>45046</v>
      </c>
      <c r="M8" s="903"/>
      <c r="N8" s="903"/>
      <c r="O8" s="903"/>
      <c r="P8" s="903"/>
      <c r="Q8" s="906"/>
      <c r="R8" s="903"/>
      <c r="S8" s="903"/>
      <c r="T8" s="441"/>
      <c r="U8" s="903"/>
      <c r="V8" s="903"/>
      <c r="W8" s="903"/>
      <c r="X8" s="903"/>
      <c r="Y8" s="903"/>
      <c r="Z8" s="903"/>
      <c r="AA8" s="903">
        <v>1</v>
      </c>
      <c r="AB8" s="903"/>
      <c r="AC8" s="903"/>
      <c r="AD8" s="903"/>
      <c r="AE8" s="903"/>
      <c r="AF8" s="903"/>
      <c r="AG8" s="903">
        <v>9</v>
      </c>
      <c r="AH8" s="903"/>
      <c r="AI8" s="903"/>
      <c r="AJ8" s="903"/>
      <c r="AK8" s="903"/>
      <c r="AL8" s="903"/>
      <c r="AM8" s="903"/>
      <c r="AN8" s="903"/>
      <c r="AO8" s="441"/>
      <c r="AP8" s="907"/>
      <c r="AQ8" s="903"/>
      <c r="AR8" s="903"/>
      <c r="AS8" s="908"/>
      <c r="AT8" s="903"/>
      <c r="AU8" s="903"/>
      <c r="AV8" s="903"/>
      <c r="AW8" s="903"/>
      <c r="AX8" s="903"/>
      <c r="AY8" s="902" t="s">
        <v>136</v>
      </c>
      <c r="AZ8" s="902" t="s">
        <v>136</v>
      </c>
      <c r="BA8" s="903"/>
      <c r="BB8" s="903"/>
      <c r="BC8" s="903"/>
      <c r="BD8" s="441"/>
      <c r="BE8" s="441"/>
      <c r="BF8" s="902"/>
      <c r="BG8" s="903"/>
      <c r="BH8" s="903"/>
      <c r="BI8" s="903"/>
      <c r="BJ8" s="903"/>
      <c r="BK8" s="903"/>
      <c r="BL8" s="903"/>
      <c r="BM8" s="903"/>
      <c r="BN8" s="903"/>
      <c r="BO8" s="903"/>
      <c r="BP8" s="902"/>
      <c r="BQ8" s="909"/>
      <c r="BR8" s="908"/>
      <c r="BS8" s="902"/>
      <c r="BT8" s="416"/>
      <c r="BU8" s="416"/>
      <c r="BV8" s="418"/>
      <c r="BW8" s="416"/>
      <c r="BX8" s="441"/>
      <c r="BY8" s="441"/>
      <c r="BZ8" s="441"/>
      <c r="CA8" s="441"/>
      <c r="CB8" s="441"/>
      <c r="CC8" s="693"/>
      <c r="CD8" s="441"/>
      <c r="CE8" s="910" t="str">
        <f>IFERROR(WWWW[[#This Row],['#_Water sources passed]]/WWWW[[#This Row],['#_Water sources tested for fecal coliform ]],"no test")</f>
        <v>no test</v>
      </c>
      <c r="CF8" s="908" t="str">
        <f>IFERROR(WWWW[[#This Row],['#_Household passed]]/WWWW[[#This Row],['#_Household water samples tested for fecal coliform]],"no test")</f>
        <v>no test</v>
      </c>
      <c r="CG8" s="909" t="str">
        <f>IF(AND(WWWW[[#This Row],[% of water sources passed]]="no test",WWWW[[#This Row],[% Household passed]]="no test"),"No Test","Tested")</f>
        <v>No Test</v>
      </c>
      <c r="CH8" s="909">
        <f>WWWW[[#This Row],['#_Constructed/existing protected hand dug well]]-WWWW[[#This Row],['#_Non-functional protected hand dug well]]</f>
        <v>0</v>
      </c>
      <c r="CI8" s="909">
        <f>(WWWW[[#This Row],['#_Constructed/Existing tube wells/boreholes/handpumps_WASH_agency]]+WWWW[[#This Row],['#_Non-Cluster partner water tube-wells/boreholes/handpumps]])-WWWW[[#This Row],['#_Non-functional tube wells/boreholes/handpumps]]</f>
        <v>0</v>
      </c>
      <c r="CJ8" s="909">
        <f>WWWW[[#This Row],['#_Constructed/Existingwater storage tank with gravity fed reticulation system]]-WWWW[[#This Row],['#_Non-functional storage tank gravity fed reticulation system]]</f>
        <v>1</v>
      </c>
      <c r="CK8" s="909">
        <f>(WWWW[[#This Row],['#_Water_Liters_supplied_by_Water boating or water trucking]]/90)/15</f>
        <v>0</v>
      </c>
      <c r="CL8" s="909">
        <f>WWWW[[#This Row],['#_Water_Liters_from_Constructed/Existing water distribution system from river or natural spring]]/90/15</f>
        <v>0</v>
      </c>
      <c r="CM8" s="417">
        <f>IF(WWWW[[#This Row],['#_of water points in TLS/CFS]]*500&gt;WWWW[[#This Row],[Total PoP ]],WWWW[[#This Row],[Total PoP ]],WWWW[[#This Row],['#_of water points in TLS/CFS]]*500)</f>
        <v>0</v>
      </c>
      <c r="CN8" s="417">
        <f>IF(WWWW[[#This Row],['#_of water points in THF]]*500&gt;WWWW[[#This Row],[Total PoP ]],WWWW[[#This Row],[Total PoP ]],WWWW[[#This Row],['#_of water points in THF]]*500)</f>
        <v>0</v>
      </c>
      <c r="CO8" s="417"/>
      <c r="CP8"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0.14214641080312723</v>
      </c>
      <c r="CQ8"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0.14214641080312723</v>
      </c>
      <c r="CR8" s="908">
        <f>IF(WWWW[[#This Row],[Location Type 1]]="Village",WWWW[[#This Row],[Access to safe drinking water for Village]],WWWW[[#This Row],[Access to safe drinking water for Camp]])</f>
        <v>0.14214641080312723</v>
      </c>
      <c r="CS8" s="906">
        <f>WWWW[[#This Row],[%Equitable and continuous access to sufficient quantity of safe drinking water]]*WWWW[[#This Row],[Total PoP ]]</f>
        <v>66.666666666666671</v>
      </c>
      <c r="CT8" s="908">
        <f>IF((WWWW[[#This Row],['#_Constructed/Existing protected/fenced ponds]]*250)/WWWW[[#This Row],[Total PoP ]]&gt;1,1,(WWWW[[#This Row],['#_Constructed/Existing protected/fenced ponds]]*250)/WWWW[[#This Row],[Total PoP ]])</f>
        <v>0</v>
      </c>
      <c r="CU8" s="906">
        <f>WWWW[[#This Row],[% Access to unimproved water points]]*WWWW[[#This Row],[Total PoP ]]</f>
        <v>0</v>
      </c>
      <c r="CV8"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0.14214641080312723</v>
      </c>
      <c r="CW8"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X8" s="906">
        <f>WWWW[[#This Row],[HRP1]]/500</f>
        <v>0.13333333333333333</v>
      </c>
      <c r="CY8" s="911">
        <f>1-WWWW[[#This Row],[% Equitable and continuous access to sufficient quantity of domestic water]]</f>
        <v>0.85785358919687282</v>
      </c>
      <c r="CZ8" s="906">
        <f>WWWW[[#This Row],[%equitable and continuous access to sufficient quantity of safe drinking and domestic water''s GAP]]*WWWW[[#This Row],[Total PoP ]]</f>
        <v>402.33333333333337</v>
      </c>
      <c r="DA8" s="909">
        <f>IF(WWWW[[#This Row],[Total required water points]]-WWWW[[#This Row],['#Water points coverage]]&lt;0,0,WWWW[[#This Row],[Total required water points]]-WWWW[[#This Row],['#Water points coverage]])</f>
        <v>0.8666666666666667</v>
      </c>
      <c r="DB8" s="909">
        <f>ROUND(IF(WWWW[[#This Row],[Total PoP ]]&lt;500,1,WWWW[[#This Row],[Total PoP ]]/500),0)</f>
        <v>1</v>
      </c>
      <c r="DC8" s="909">
        <f>(WWWW[[#This Row],['#_Constructed latrines_by_WASHAgencies]]+WWWW[[#This Row],['#_Non Cluster partner latrines]])-WWWW[[#This Row],['#_Non-functional latrines]]</f>
        <v>0</v>
      </c>
      <c r="DD8" s="615">
        <f>WWWW[[#This Row],[HRP2]]/WWWW[[#This Row],[Total PoP ]]</f>
        <v>0</v>
      </c>
      <c r="DE8"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8"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8"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 s="417">
        <f>IF(WWWW[[#This Row],['# of functional latrines in THF supported by WASH partners during the reporting period2]]="",0,WWWW[[#This Row],['# of functional latrines in THF supported by WASH partners during the reporting period2]]*50)</f>
        <v>0</v>
      </c>
      <c r="DI8" s="909">
        <f>ROUND(IF(WWWW[[#This Row],[Location Type 1]]="camp",WWWW[[#This Row],[Total PoP ]]/20,IF(WWWW[[#This Row],[Location Type 1]]="Temporary Location",WWWW[[#This Row],[Total PoP ]]/50,(WWWW[[#This Row],[Total PoP ]]/6))),0)</f>
        <v>23</v>
      </c>
      <c r="DJ8" s="909">
        <f>IF(WWWW[[#This Row],[Total required Latrines]]-(WWWW[[#This Row],['#_Constructed latrines_by_WASHAgencies]]+WWWW[[#This Row],['#_Non Cluster partner latrines]])&lt;0,0,WWWW[[#This Row],[Total required Latrines]]-(WWWW[[#This Row],['#_Constructed latrines_by_WASHAgencies]]+WWWW[[#This Row],['#_Non Cluster partner latrines]]))</f>
        <v>23</v>
      </c>
      <c r="DK8" s="911">
        <f>1-WWWW[[#This Row],[% people access to functioning Latrine]]</f>
        <v>1</v>
      </c>
      <c r="DL8" s="910">
        <f>IF(OR(WWWW[[#This Row],['#_Non-functional latrines]]="",WWWW[[#This Row],['#_Non-functional latrines]]=0),0,WWWW[[#This Row],['#_Non-functional latrines]]/(WWWW[[#This Row],['#_Constructed latrines_by_WASHAgencies]]+WWWW[[#This Row],['#_Non Cluster partner latrines]]))</f>
        <v>0</v>
      </c>
      <c r="DM8" s="906">
        <f>IF(500*(WWWW[[#This Row],['#_male hygiene promoters]]+WWWW[[#This Row],['#_female hygiene promoters]])&gt;WWWW[[#This Row],[Total PoP ]],WWWW[[#This Row],[Total PoP ]],500*(WWWW[[#This Row],['#_male hygiene promoters]]+WWWW[[#This Row],['#_female hygiene promoters]]))</f>
        <v>0</v>
      </c>
      <c r="DN8"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8"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8" s="909">
        <f>IF(WWWW[[#This Row],['# People with access to soap]]&gt;WWWW[[#This Row],['# People with access to Sanity Pads]],WWWW[[#This Row],['# People with access to soap]],WWWW[[#This Row],['# People with access to Sanity Pads]])</f>
        <v>0</v>
      </c>
      <c r="DQ8"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8" s="911">
        <f>IF(WWWW[[#This Row],[HRP3]]/WWWW[[#This Row],[Total PoP ]]&gt;1,1,WWWW[[#This Row],[HRP3]]/WWWW[[#This Row],[Total PoP ]])</f>
        <v>0</v>
      </c>
      <c r="DS8" s="910">
        <f>1-WWWW[[#This Row],[Hygiene Coverage%]]</f>
        <v>1</v>
      </c>
      <c r="DT8" s="908">
        <f>WWWW[[#This Row],['# people reached by regular dedicated hygiene promotion_5]]/WWWW[[#This Row],[Total PoP ]]</f>
        <v>0</v>
      </c>
      <c r="DU8"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8"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8" s="909">
        <f>WWWW[[#This Row],['#_Constructed/Existing hand washing stations]]-WWWW[[#This Row],['#_Non-Functional_hand_washing_stations]]</f>
        <v>0</v>
      </c>
      <c r="DX8" s="906">
        <f>IF(WWWW[[#This Row],['# Functional hand washing stations during reporting period]]*20&gt;WWWW[[#This Row],[Total HH]],WWWW[[#This Row],[Total HH]],WWWW[[#This Row],['# Functional hand washing stations during reporting period]]*20)</f>
        <v>0</v>
      </c>
      <c r="DY8" s="906">
        <f>IF(WWWW[[#This Row],[Is sufficient soap available for TLS? (Yes/No)]]="yes",WWWW[[#This Row],['#_Constructed/Existing hand washing stations at TLS/CFS/THF]],0)</f>
        <v>0</v>
      </c>
      <c r="DZ8" s="421">
        <f>IF(WWWW[[#This Row],['# Functional hand washing stations during reporting period]]*100&gt;WWWW[[#This Row],[Total PoP ]],WWWW[[#This Row],[Total PoP ]],WWWW[[#This Row],['# Functional hand washing stations during reporting period]]*100)</f>
        <v>0</v>
      </c>
      <c r="EA8" s="421" t="str">
        <f>IF(OR(WWWW[[#This Row],['#_students at TLS_CFS]]="",WWWW[[#This Row],['#_students at TLS_CFS]]=0),"No","Yes")</f>
        <v>No</v>
      </c>
      <c r="EB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8" s="566">
        <f>WWWW[[#This Row],[%_of_affected_people_surveyed_who_report_feeling_satistfied_with_the_latrine_design_and_sanitation_service]]*WWWW[[#This Row],[Total PoP ]]</f>
        <v>0</v>
      </c>
      <c r="ED8" s="566">
        <f>WWWW[[#This Row],[%_of_affected_people_surveyed_who_report_feeling_satistfied_with_the_water_point_design_and_water_service]]*WWWW[[#This Row],[Total PoP ]]</f>
        <v>0</v>
      </c>
      <c r="EE8" s="566">
        <f>WWWW[[#This Row],[%_of_complaints_received_that_result_in_timely_corrective_action_and_feedback_to_the_community]]*WWWW[[#This Row],[Total PoP ]]</f>
        <v>0</v>
      </c>
      <c r="EF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8" s="902">
        <f>VLOOKUP(WWWW[[#This Row],[Site Name]],SiteDB6[[Site Name]:[CCCM Management]],6,FALSE)</f>
        <v>0</v>
      </c>
      <c r="EJ8" s="902" t="str">
        <f>VLOOKUP(WWWW[[#This Row],[Site Name]],SiteDB6[[Site Name]:[CCCM Focal Agency]],7,FALSE)</f>
        <v>Uncovered</v>
      </c>
      <c r="EK8" s="902" t="str">
        <f>VLOOKUP(WWWW[[#This Row],[Site Name]],SiteDB6[[Site Name]:[Location Type 1]],9,FALSE)</f>
        <v>Camp</v>
      </c>
      <c r="EL8" s="902" t="str">
        <f>VLOOKUP(WWWW[[#This Row],[Site Name]],SiteDB6[[Site Name]:[Type of Accommodation]],10,FALSE)</f>
        <v>Camp like setting</v>
      </c>
      <c r="EM8" s="902" t="str">
        <f>VLOOKUP(WWWW[[#This Row],[Site Name]],SiteDB6[[Site Name]:[Ethnic or GCA/NGCA]],11,FALSE)</f>
        <v>GCA</v>
      </c>
      <c r="EN8" s="902">
        <f>VLOOKUP(WWWW[[#This Row],[Site Name]],SiteDB6[[Site Name]:[Lat]],12,FALSE)</f>
        <v>0</v>
      </c>
      <c r="EO8" s="902" t="str">
        <f>VLOOKUP(WWWW[[#This Row],[Site Name]],SiteDB6[[Site Name]:[Long]],13,FALSE)</f>
        <v>not available</v>
      </c>
      <c r="EP8" s="902" t="str">
        <f>VLOOKUP(WWWW[[#This Row],[Site Name]],SiteDB6[[Site Name]:[Pcode]],3,FALSE)</f>
        <v>MMR015CMP093</v>
      </c>
      <c r="EQ8" s="907" t="str">
        <f t="shared" si="0"/>
        <v>Covered</v>
      </c>
      <c r="ER8" s="907" t="s">
        <v>3126</v>
      </c>
      <c r="ES8" s="907" t="s">
        <v>3126</v>
      </c>
      <c r="ET8" s="902">
        <f>VLOOKUP(WWWW[[#This Row],[Site Name]],SiteDB6[[Site Name]:[Pop
(Kachin/Shan-CCCM as of May 2023)]],16,FALSE)</f>
        <v>92</v>
      </c>
      <c r="EU8" s="902">
        <f>VLOOKUP(WWWW[[#This Row],[Site Name]],SiteDB6[[Site Name]:[Pop
(Kachin/Shan-CCCM as of May 2023)]],17,FALSE)</f>
        <v>451</v>
      </c>
    </row>
    <row r="9" spans="1:151" hidden="1">
      <c r="A9" s="900" t="s">
        <v>2961</v>
      </c>
      <c r="B9" s="946" t="s">
        <v>311</v>
      </c>
      <c r="C9" s="901" t="s">
        <v>2793</v>
      </c>
      <c r="D9" s="901" t="s">
        <v>3099</v>
      </c>
      <c r="E9" s="901" t="s">
        <v>515</v>
      </c>
      <c r="F9" s="901" t="s">
        <v>525</v>
      </c>
      <c r="G9" s="902" t="str">
        <f>VLOOKUP(WWWW[[#This Row],[Site Name]],SiteDB6[[Site Name]:[Location Type]],8,FALSE)</f>
        <v>Camp</v>
      </c>
      <c r="H9" s="901" t="s">
        <v>2976</v>
      </c>
      <c r="I9" s="903">
        <v>11</v>
      </c>
      <c r="J9" s="903">
        <v>37</v>
      </c>
      <c r="K9" s="904">
        <v>44774</v>
      </c>
      <c r="L9" s="905">
        <v>45046</v>
      </c>
      <c r="M9" s="903"/>
      <c r="N9" s="903"/>
      <c r="O9" s="903"/>
      <c r="P9" s="903"/>
      <c r="Q9" s="906"/>
      <c r="R9" s="903"/>
      <c r="S9" s="903"/>
      <c r="T9" s="441"/>
      <c r="U9" s="903"/>
      <c r="V9" s="903"/>
      <c r="W9" s="903"/>
      <c r="X9" s="903"/>
      <c r="Y9" s="903"/>
      <c r="Z9" s="903"/>
      <c r="AA9" s="903">
        <v>1</v>
      </c>
      <c r="AB9" s="903"/>
      <c r="AC9" s="903"/>
      <c r="AD9" s="903"/>
      <c r="AE9" s="903"/>
      <c r="AF9" s="903"/>
      <c r="AG9" s="903">
        <v>26</v>
      </c>
      <c r="AH9" s="903"/>
      <c r="AI9" s="903"/>
      <c r="AJ9" s="903"/>
      <c r="AK9" s="903"/>
      <c r="AL9" s="903"/>
      <c r="AM9" s="903"/>
      <c r="AN9" s="903"/>
      <c r="AO9" s="441"/>
      <c r="AP9" s="907"/>
      <c r="AQ9" s="903"/>
      <c r="AR9" s="903"/>
      <c r="AS9" s="908"/>
      <c r="AT9" s="903"/>
      <c r="AU9" s="903"/>
      <c r="AV9" s="903"/>
      <c r="AW9" s="903"/>
      <c r="AX9" s="903"/>
      <c r="AY9" s="902" t="s">
        <v>136</v>
      </c>
      <c r="AZ9" s="902" t="s">
        <v>136</v>
      </c>
      <c r="BA9" s="903"/>
      <c r="BB9" s="903"/>
      <c r="BC9" s="903"/>
      <c r="BD9" s="441"/>
      <c r="BE9" s="441"/>
      <c r="BF9" s="902"/>
      <c r="BG9" s="903"/>
      <c r="BH9" s="903"/>
      <c r="BI9" s="903"/>
      <c r="BJ9" s="903"/>
      <c r="BK9" s="903"/>
      <c r="BL9" s="903"/>
      <c r="BM9" s="903"/>
      <c r="BN9" s="903"/>
      <c r="BO9" s="903"/>
      <c r="BP9" s="902"/>
      <c r="BQ9" s="909"/>
      <c r="BR9" s="908"/>
      <c r="BS9" s="902"/>
      <c r="BT9" s="416"/>
      <c r="BU9" s="416"/>
      <c r="BV9" s="418"/>
      <c r="BW9" s="416"/>
      <c r="BX9" s="441"/>
      <c r="BY9" s="441"/>
      <c r="BZ9" s="441"/>
      <c r="CA9" s="441"/>
      <c r="CB9" s="441"/>
      <c r="CC9" s="693"/>
      <c r="CD9" s="441"/>
      <c r="CE9" s="910" t="str">
        <f>IFERROR(WWWW[[#This Row],['#_Water sources passed]]/WWWW[[#This Row],['#_Water sources tested for fecal coliform ]],"no test")</f>
        <v>no test</v>
      </c>
      <c r="CF9" s="908" t="str">
        <f>IFERROR(WWWW[[#This Row],['#_Household passed]]/WWWW[[#This Row],['#_Household water samples tested for fecal coliform]],"no test")</f>
        <v>no test</v>
      </c>
      <c r="CG9" s="909" t="str">
        <f>IF(AND(WWWW[[#This Row],[% of water sources passed]]="no test",WWWW[[#This Row],[% Household passed]]="no test"),"No Test","Tested")</f>
        <v>No Test</v>
      </c>
      <c r="CH9" s="909">
        <f>WWWW[[#This Row],['#_Constructed/existing protected hand dug well]]-WWWW[[#This Row],['#_Non-functional protected hand dug well]]</f>
        <v>0</v>
      </c>
      <c r="CI9" s="909">
        <f>(WWWW[[#This Row],['#_Constructed/Existing tube wells/boreholes/handpumps_WASH_agency]]+WWWW[[#This Row],['#_Non-Cluster partner water tube-wells/boreholes/handpumps]])-WWWW[[#This Row],['#_Non-functional tube wells/boreholes/handpumps]]</f>
        <v>0</v>
      </c>
      <c r="CJ9" s="909">
        <f>WWWW[[#This Row],['#_Constructed/Existingwater storage tank with gravity fed reticulation system]]-WWWW[[#This Row],['#_Non-functional storage tank gravity fed reticulation system]]</f>
        <v>1</v>
      </c>
      <c r="CK9" s="909">
        <f>(WWWW[[#This Row],['#_Water_Liters_supplied_by_Water boating or water trucking]]/90)/15</f>
        <v>0</v>
      </c>
      <c r="CL9" s="909">
        <f>WWWW[[#This Row],['#_Water_Liters_from_Constructed/Existing water distribution system from river or natural spring]]/90/15</f>
        <v>0</v>
      </c>
      <c r="CM9" s="417">
        <f>IF(WWWW[[#This Row],['#_of water points in TLS/CFS]]*500&gt;WWWW[[#This Row],[Total PoP ]],WWWW[[#This Row],[Total PoP ]],WWWW[[#This Row],['#_of water points in TLS/CFS]]*500)</f>
        <v>0</v>
      </c>
      <c r="CN9" s="417">
        <f>IF(WWWW[[#This Row],['#_of water points in THF]]*500&gt;WWWW[[#This Row],[Total PoP ]],WWWW[[#This Row],[Total PoP ]],WWWW[[#This Row],['#_of water points in THF]]*500)</f>
        <v>0</v>
      </c>
      <c r="CO9" s="417"/>
      <c r="CP9"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9"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9" s="908">
        <f>IF(WWWW[[#This Row],[Location Type 1]]="Village",WWWW[[#This Row],[Access to safe drinking water for Village]],WWWW[[#This Row],[Access to safe drinking water for Camp]])</f>
        <v>1</v>
      </c>
      <c r="CS9" s="906">
        <f>WWWW[[#This Row],[%Equitable and continuous access to sufficient quantity of safe drinking water]]*WWWW[[#This Row],[Total PoP ]]</f>
        <v>37</v>
      </c>
      <c r="CT9" s="908">
        <f>IF((WWWW[[#This Row],['#_Constructed/Existing protected/fenced ponds]]*250)/WWWW[[#This Row],[Total PoP ]]&gt;1,1,(WWWW[[#This Row],['#_Constructed/Existing protected/fenced ponds]]*250)/WWWW[[#This Row],[Total PoP ]])</f>
        <v>0</v>
      </c>
      <c r="CU9" s="906">
        <f>WWWW[[#This Row],[% Access to unimproved water points]]*WWWW[[#This Row],[Total PoP ]]</f>
        <v>0</v>
      </c>
      <c r="CV9"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9"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37</v>
      </c>
      <c r="CX9" s="906">
        <f>WWWW[[#This Row],[HRP1]]/500</f>
        <v>7.3999999999999996E-2</v>
      </c>
      <c r="CY9" s="911">
        <f>1-WWWW[[#This Row],[% Equitable and continuous access to sufficient quantity of domestic water]]</f>
        <v>0</v>
      </c>
      <c r="CZ9" s="906">
        <f>WWWW[[#This Row],[%equitable and continuous access to sufficient quantity of safe drinking and domestic water''s GAP]]*WWWW[[#This Row],[Total PoP ]]</f>
        <v>0</v>
      </c>
      <c r="DA9" s="909">
        <f>IF(WWWW[[#This Row],[Total required water points]]-WWWW[[#This Row],['#Water points coverage]]&lt;0,0,WWWW[[#This Row],[Total required water points]]-WWWW[[#This Row],['#Water points coverage]])</f>
        <v>0.92600000000000005</v>
      </c>
      <c r="DB9" s="909">
        <f>ROUND(IF(WWWW[[#This Row],[Total PoP ]]&lt;500,1,WWWW[[#This Row],[Total PoP ]]/500),0)</f>
        <v>1</v>
      </c>
      <c r="DC9" s="909">
        <f>(WWWW[[#This Row],['#_Constructed latrines_by_WASHAgencies]]+WWWW[[#This Row],['#_Non Cluster partner latrines]])-WWWW[[#This Row],['#_Non-functional latrines]]</f>
        <v>0</v>
      </c>
      <c r="DD9" s="615">
        <f>WWWW[[#This Row],[HRP2]]/WWWW[[#This Row],[Total PoP ]]</f>
        <v>0</v>
      </c>
      <c r="DE9"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9"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 s="417">
        <f>IF(WWWW[[#This Row],['# of functional latrines in THF supported by WASH partners during the reporting period2]]="",0,WWWW[[#This Row],['# of functional latrines in THF supported by WASH partners during the reporting period2]]*50)</f>
        <v>0</v>
      </c>
      <c r="DI9" s="909">
        <f>ROUND(IF(WWWW[[#This Row],[Location Type 1]]="camp",WWWW[[#This Row],[Total PoP ]]/20,IF(WWWW[[#This Row],[Location Type 1]]="Temporary Location",WWWW[[#This Row],[Total PoP ]]/50,(WWWW[[#This Row],[Total PoP ]]/6))),0)</f>
        <v>2</v>
      </c>
      <c r="DJ9" s="909">
        <f>IF(WWWW[[#This Row],[Total required Latrines]]-(WWWW[[#This Row],['#_Constructed latrines_by_WASHAgencies]]+WWWW[[#This Row],['#_Non Cluster partner latrines]])&lt;0,0,WWWW[[#This Row],[Total required Latrines]]-(WWWW[[#This Row],['#_Constructed latrines_by_WASHAgencies]]+WWWW[[#This Row],['#_Non Cluster partner latrines]]))</f>
        <v>2</v>
      </c>
      <c r="DK9" s="911">
        <f>1-WWWW[[#This Row],[% people access to functioning Latrine]]</f>
        <v>1</v>
      </c>
      <c r="DL9" s="910">
        <f>IF(OR(WWWW[[#This Row],['#_Non-functional latrines]]="",WWWW[[#This Row],['#_Non-functional latrines]]=0),0,WWWW[[#This Row],['#_Non-functional latrines]]/(WWWW[[#This Row],['#_Constructed latrines_by_WASHAgencies]]+WWWW[[#This Row],['#_Non Cluster partner latrines]]))</f>
        <v>0</v>
      </c>
      <c r="DM9" s="906">
        <f>IF(500*(WWWW[[#This Row],['#_male hygiene promoters]]+WWWW[[#This Row],['#_female hygiene promoters]])&gt;WWWW[[#This Row],[Total PoP ]],WWWW[[#This Row],[Total PoP ]],500*(WWWW[[#This Row],['#_male hygiene promoters]]+WWWW[[#This Row],['#_female hygiene promoters]]))</f>
        <v>0</v>
      </c>
      <c r="DN9"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 s="909">
        <f>IF(WWWW[[#This Row],['# People with access to soap]]&gt;WWWW[[#This Row],['# People with access to Sanity Pads]],WWWW[[#This Row],['# People with access to soap]],WWWW[[#This Row],['# People with access to Sanity Pads]])</f>
        <v>0</v>
      </c>
      <c r="DQ9"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9" s="911">
        <f>IF(WWWW[[#This Row],[HRP3]]/WWWW[[#This Row],[Total PoP ]]&gt;1,1,WWWW[[#This Row],[HRP3]]/WWWW[[#This Row],[Total PoP ]])</f>
        <v>0</v>
      </c>
      <c r="DS9" s="910">
        <f>1-WWWW[[#This Row],[Hygiene Coverage%]]</f>
        <v>1</v>
      </c>
      <c r="DT9" s="908">
        <f>WWWW[[#This Row],['# people reached by regular dedicated hygiene promotion_5]]/WWWW[[#This Row],[Total PoP ]]</f>
        <v>0</v>
      </c>
      <c r="DU9"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 s="909">
        <f>WWWW[[#This Row],['#_Constructed/Existing hand washing stations]]-WWWW[[#This Row],['#_Non-Functional_hand_washing_stations]]</f>
        <v>0</v>
      </c>
      <c r="DX9" s="906">
        <f>IF(WWWW[[#This Row],['# Functional hand washing stations during reporting period]]*20&gt;WWWW[[#This Row],[Total HH]],WWWW[[#This Row],[Total HH]],WWWW[[#This Row],['# Functional hand washing stations during reporting period]]*20)</f>
        <v>0</v>
      </c>
      <c r="DY9" s="906">
        <f>IF(WWWW[[#This Row],[Is sufficient soap available for TLS? (Yes/No)]]="yes",WWWW[[#This Row],['#_Constructed/Existing hand washing stations at TLS/CFS/THF]],0)</f>
        <v>0</v>
      </c>
      <c r="DZ9" s="421">
        <f>IF(WWWW[[#This Row],['# Functional hand washing stations during reporting period]]*100&gt;WWWW[[#This Row],[Total PoP ]],WWWW[[#This Row],[Total PoP ]],WWWW[[#This Row],['# Functional hand washing stations during reporting period]]*100)</f>
        <v>0</v>
      </c>
      <c r="EA9" s="421" t="str">
        <f>IF(OR(WWWW[[#This Row],['#_students at TLS_CFS]]="",WWWW[[#This Row],['#_students at TLS_CFS]]=0),"No","Yes")</f>
        <v>No</v>
      </c>
      <c r="EB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9" s="566">
        <f>WWWW[[#This Row],[%_of_affected_people_surveyed_who_report_feeling_satistfied_with_the_latrine_design_and_sanitation_service]]*WWWW[[#This Row],[Total PoP ]]</f>
        <v>0</v>
      </c>
      <c r="ED9" s="566">
        <f>WWWW[[#This Row],[%_of_affected_people_surveyed_who_report_feeling_satistfied_with_the_water_point_design_and_water_service]]*WWWW[[#This Row],[Total PoP ]]</f>
        <v>0</v>
      </c>
      <c r="EE9" s="566">
        <f>WWWW[[#This Row],[%_of_complaints_received_that_result_in_timely_corrective_action_and_feedback_to_the_community]]*WWWW[[#This Row],[Total PoP ]]</f>
        <v>0</v>
      </c>
      <c r="EF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 s="902">
        <f>VLOOKUP(WWWW[[#This Row],[Site Name]],SiteDB6[[Site Name]:[CCCM Management]],6,FALSE)</f>
        <v>0</v>
      </c>
      <c r="EJ9" s="902" t="str">
        <f>VLOOKUP(WWWW[[#This Row],[Site Name]],SiteDB6[[Site Name]:[CCCM Focal Agency]],7,FALSE)</f>
        <v>Uncovered</v>
      </c>
      <c r="EK9" s="902" t="str">
        <f>VLOOKUP(WWWW[[#This Row],[Site Name]],SiteDB6[[Site Name]:[Location Type 1]],9,FALSE)</f>
        <v>Camp</v>
      </c>
      <c r="EL9" s="902" t="str">
        <f>VLOOKUP(WWWW[[#This Row],[Site Name]],SiteDB6[[Site Name]:[Type of Accommodation]],10,FALSE)</f>
        <v>Closed Camp</v>
      </c>
      <c r="EM9" s="902" t="str">
        <f>VLOOKUP(WWWW[[#This Row],[Site Name]],SiteDB6[[Site Name]:[Ethnic or GCA/NGCA]],11,FALSE)</f>
        <v>GCA</v>
      </c>
      <c r="EN9" s="902">
        <f>VLOOKUP(WWWW[[#This Row],[Site Name]],SiteDB6[[Site Name]:[Lat]],12,FALSE)</f>
        <v>0</v>
      </c>
      <c r="EO9" s="902" t="str">
        <f>VLOOKUP(WWWW[[#This Row],[Site Name]],SiteDB6[[Site Name]:[Long]],13,FALSE)</f>
        <v>not available</v>
      </c>
      <c r="EP9" s="902" t="str">
        <f>VLOOKUP(WWWW[[#This Row],[Site Name]],SiteDB6[[Site Name]:[Pcode]],3,FALSE)</f>
        <v>MMR015CMP089</v>
      </c>
      <c r="EQ9" s="907" t="str">
        <f t="shared" si="0"/>
        <v>Covered</v>
      </c>
      <c r="ER9" s="907" t="s">
        <v>3126</v>
      </c>
      <c r="ES9" s="907" t="s">
        <v>3126</v>
      </c>
      <c r="ET9" s="902">
        <f>VLOOKUP(WWWW[[#This Row],[Site Name]],SiteDB6[[Site Name]:[Pop
(Kachin/Shan-CCCM as of May 2023)]],16,FALSE)</f>
        <v>11</v>
      </c>
      <c r="EU9" s="902">
        <f>VLOOKUP(WWWW[[#This Row],[Site Name]],SiteDB6[[Site Name]:[Pop
(Kachin/Shan-CCCM as of May 2023)]],17,FALSE)</f>
        <v>32</v>
      </c>
    </row>
    <row r="10" spans="1:151" hidden="1">
      <c r="A10" s="900" t="s">
        <v>2961</v>
      </c>
      <c r="B10" s="900" t="s">
        <v>311</v>
      </c>
      <c r="C10" s="901" t="s">
        <v>2672</v>
      </c>
      <c r="D10" s="901" t="s">
        <v>3099</v>
      </c>
      <c r="E10" s="901" t="s">
        <v>515</v>
      </c>
      <c r="F10" s="901" t="s">
        <v>525</v>
      </c>
      <c r="G10" s="902" t="str">
        <f>VLOOKUP(WWWW[[#This Row],[Site Name]],SiteDB6[[Site Name]:[Location Type]],8,FALSE)</f>
        <v>Camp</v>
      </c>
      <c r="H10" s="901" t="s">
        <v>555</v>
      </c>
      <c r="I10" s="903">
        <v>270</v>
      </c>
      <c r="J10" s="903">
        <v>1414</v>
      </c>
      <c r="K10" s="904">
        <v>44774</v>
      </c>
      <c r="L10" s="905">
        <v>45046</v>
      </c>
      <c r="M10" s="903"/>
      <c r="N10" s="903"/>
      <c r="O10" s="903"/>
      <c r="P10" s="903"/>
      <c r="Q10" s="906"/>
      <c r="R10" s="903"/>
      <c r="S10" s="903"/>
      <c r="T10" s="441"/>
      <c r="U10" s="903"/>
      <c r="V10" s="903"/>
      <c r="W10" s="903"/>
      <c r="X10" s="903"/>
      <c r="Y10" s="903"/>
      <c r="Z10" s="903"/>
      <c r="AA10" s="903">
        <v>18</v>
      </c>
      <c r="AB10" s="903"/>
      <c r="AC10" s="903"/>
      <c r="AD10" s="903"/>
      <c r="AE10" s="903"/>
      <c r="AF10" s="903"/>
      <c r="AG10" s="903"/>
      <c r="AH10" s="903"/>
      <c r="AI10" s="903"/>
      <c r="AJ10" s="903"/>
      <c r="AK10" s="903"/>
      <c r="AL10" s="903"/>
      <c r="AM10" s="903"/>
      <c r="AN10" s="903"/>
      <c r="AO10" s="441"/>
      <c r="AP10" s="907"/>
      <c r="AQ10" s="903"/>
      <c r="AR10" s="903"/>
      <c r="AS10" s="908"/>
      <c r="AT10" s="903"/>
      <c r="AU10" s="903"/>
      <c r="AV10" s="903"/>
      <c r="AW10" s="903"/>
      <c r="AX10" s="903"/>
      <c r="AY10" s="902" t="s">
        <v>136</v>
      </c>
      <c r="AZ10" s="902" t="s">
        <v>136</v>
      </c>
      <c r="BA10" s="903"/>
      <c r="BB10" s="903"/>
      <c r="BC10" s="903"/>
      <c r="BD10" s="441"/>
      <c r="BE10" s="441"/>
      <c r="BF10" s="902"/>
      <c r="BG10" s="903"/>
      <c r="BH10" s="903"/>
      <c r="BI10" s="903"/>
      <c r="BJ10" s="903"/>
      <c r="BK10" s="903"/>
      <c r="BL10" s="903"/>
      <c r="BM10" s="903"/>
      <c r="BN10" s="903"/>
      <c r="BO10" s="903"/>
      <c r="BP10" s="902"/>
      <c r="BQ10" s="909"/>
      <c r="BR10" s="908"/>
      <c r="BS10" s="902"/>
      <c r="BT10" s="416"/>
      <c r="BU10" s="416"/>
      <c r="BV10" s="418"/>
      <c r="BW10" s="416"/>
      <c r="BX10" s="441"/>
      <c r="BY10" s="441"/>
      <c r="BZ10" s="441"/>
      <c r="CA10" s="441"/>
      <c r="CB10" s="441"/>
      <c r="CC10" s="693"/>
      <c r="CD10" s="441"/>
      <c r="CE10" s="910" t="str">
        <f>IFERROR(WWWW[[#This Row],['#_Water sources passed]]/WWWW[[#This Row],['#_Water sources tested for fecal coliform ]],"no test")</f>
        <v>no test</v>
      </c>
      <c r="CF10" s="908" t="str">
        <f>IFERROR(WWWW[[#This Row],['#_Household passed]]/WWWW[[#This Row],['#_Household water samples tested for fecal coliform]],"no test")</f>
        <v>no test</v>
      </c>
      <c r="CG10" s="909" t="str">
        <f>IF(AND(WWWW[[#This Row],[% of water sources passed]]="no test",WWWW[[#This Row],[% Household passed]]="no test"),"No Test","Tested")</f>
        <v>No Test</v>
      </c>
      <c r="CH10" s="909">
        <f>WWWW[[#This Row],['#_Constructed/existing protected hand dug well]]-WWWW[[#This Row],['#_Non-functional protected hand dug well]]</f>
        <v>0</v>
      </c>
      <c r="CI10" s="909">
        <f>(WWWW[[#This Row],['#_Constructed/Existing tube wells/boreholes/handpumps_WASH_agency]]+WWWW[[#This Row],['#_Non-Cluster partner water tube-wells/boreholes/handpumps]])-WWWW[[#This Row],['#_Non-functional tube wells/boreholes/handpumps]]</f>
        <v>0</v>
      </c>
      <c r="CJ10" s="909">
        <f>WWWW[[#This Row],['#_Constructed/Existingwater storage tank with gravity fed reticulation system]]-WWWW[[#This Row],['#_Non-functional storage tank gravity fed reticulation system]]</f>
        <v>18</v>
      </c>
      <c r="CK10" s="909">
        <f>(WWWW[[#This Row],['#_Water_Liters_supplied_by_Water boating or water trucking]]/90)/15</f>
        <v>0</v>
      </c>
      <c r="CL10" s="909">
        <f>WWWW[[#This Row],['#_Water_Liters_from_Constructed/Existing water distribution system from river or natural spring]]/90/15</f>
        <v>0</v>
      </c>
      <c r="CM10" s="417">
        <f>IF(WWWW[[#This Row],['#_of water points in TLS/CFS]]*500&gt;WWWW[[#This Row],[Total PoP ]],WWWW[[#This Row],[Total PoP ]],WWWW[[#This Row],['#_of water points in TLS/CFS]]*500)</f>
        <v>0</v>
      </c>
      <c r="CN10" s="417">
        <f>IF(WWWW[[#This Row],['#_of water points in THF]]*500&gt;WWWW[[#This Row],[Total PoP ]],WWWW[[#This Row],[Total PoP ]],WWWW[[#This Row],['#_of water points in THF]]*500)</f>
        <v>0</v>
      </c>
      <c r="CO10" s="417"/>
      <c r="CP10"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0.84865629420084865</v>
      </c>
      <c r="CQ10"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0.84865629420084865</v>
      </c>
      <c r="CR10" s="908">
        <f>IF(WWWW[[#This Row],[Location Type 1]]="Village",WWWW[[#This Row],[Access to safe drinking water for Village]],WWWW[[#This Row],[Access to safe drinking water for Camp]])</f>
        <v>0.84865629420084865</v>
      </c>
      <c r="CS10" s="906">
        <f>WWWW[[#This Row],[%Equitable and continuous access to sufficient quantity of safe drinking water]]*WWWW[[#This Row],[Total PoP ]]</f>
        <v>1200</v>
      </c>
      <c r="CT10" s="908">
        <f>IF((WWWW[[#This Row],['#_Constructed/Existing protected/fenced ponds]]*250)/WWWW[[#This Row],[Total PoP ]]&gt;1,1,(WWWW[[#This Row],['#_Constructed/Existing protected/fenced ponds]]*250)/WWWW[[#This Row],[Total PoP ]])</f>
        <v>0</v>
      </c>
      <c r="CU10" s="906">
        <f>WWWW[[#This Row],[% Access to unimproved water points]]*WWWW[[#This Row],[Total PoP ]]</f>
        <v>0</v>
      </c>
      <c r="CV10"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0.84865629420084865</v>
      </c>
      <c r="CW10"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1200</v>
      </c>
      <c r="CX10" s="906">
        <f>WWWW[[#This Row],[HRP1]]/500</f>
        <v>2.4</v>
      </c>
      <c r="CY10" s="911">
        <f>1-WWWW[[#This Row],[% Equitable and continuous access to sufficient quantity of domestic water]]</f>
        <v>0.15134370579915135</v>
      </c>
      <c r="CZ10" s="906">
        <f>WWWW[[#This Row],[%equitable and continuous access to sufficient quantity of safe drinking and domestic water''s GAP]]*WWWW[[#This Row],[Total PoP ]]</f>
        <v>214</v>
      </c>
      <c r="DA10" s="909">
        <f>IF(WWWW[[#This Row],[Total required water points]]-WWWW[[#This Row],['#Water points coverage]]&lt;0,0,WWWW[[#This Row],[Total required water points]]-WWWW[[#This Row],['#Water points coverage]])</f>
        <v>0.60000000000000009</v>
      </c>
      <c r="DB10" s="909">
        <f>ROUND(IF(WWWW[[#This Row],[Total PoP ]]&lt;500,1,WWWW[[#This Row],[Total PoP ]]/500),0)</f>
        <v>3</v>
      </c>
      <c r="DC10" s="909">
        <f>(WWWW[[#This Row],['#_Constructed latrines_by_WASHAgencies]]+WWWW[[#This Row],['#_Non Cluster partner latrines]])-WWWW[[#This Row],['#_Non-functional latrines]]</f>
        <v>0</v>
      </c>
      <c r="DD10" s="615">
        <f>WWWW[[#This Row],[HRP2]]/WWWW[[#This Row],[Total PoP ]]</f>
        <v>0</v>
      </c>
      <c r="DE10"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0"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 s="417">
        <f>IF(WWWW[[#This Row],['# of functional latrines in THF supported by WASH partners during the reporting period2]]="",0,WWWW[[#This Row],['# of functional latrines in THF supported by WASH partners during the reporting period2]]*50)</f>
        <v>0</v>
      </c>
      <c r="DI10" s="909">
        <f>ROUND(IF(WWWW[[#This Row],[Location Type 1]]="camp",WWWW[[#This Row],[Total PoP ]]/20,IF(WWWW[[#This Row],[Location Type 1]]="Temporary Location",WWWW[[#This Row],[Total PoP ]]/50,(WWWW[[#This Row],[Total PoP ]]/6))),0)</f>
        <v>71</v>
      </c>
      <c r="DJ10" s="909">
        <f>IF(WWWW[[#This Row],[Total required Latrines]]-(WWWW[[#This Row],['#_Constructed latrines_by_WASHAgencies]]+WWWW[[#This Row],['#_Non Cluster partner latrines]])&lt;0,0,WWWW[[#This Row],[Total required Latrines]]-(WWWW[[#This Row],['#_Constructed latrines_by_WASHAgencies]]+WWWW[[#This Row],['#_Non Cluster partner latrines]]))</f>
        <v>71</v>
      </c>
      <c r="DK10" s="911">
        <f>1-WWWW[[#This Row],[% people access to functioning Latrine]]</f>
        <v>1</v>
      </c>
      <c r="DL10" s="910">
        <f>IF(OR(WWWW[[#This Row],['#_Non-functional latrines]]="",WWWW[[#This Row],['#_Non-functional latrines]]=0),0,WWWW[[#This Row],['#_Non-functional latrines]]/(WWWW[[#This Row],['#_Constructed latrines_by_WASHAgencies]]+WWWW[[#This Row],['#_Non Cluster partner latrines]]))</f>
        <v>0</v>
      </c>
      <c r="DM10" s="906">
        <f>IF(500*(WWWW[[#This Row],['#_male hygiene promoters]]+WWWW[[#This Row],['#_female hygiene promoters]])&gt;WWWW[[#This Row],[Total PoP ]],WWWW[[#This Row],[Total PoP ]],500*(WWWW[[#This Row],['#_male hygiene promoters]]+WWWW[[#This Row],['#_female hygiene promoters]]))</f>
        <v>0</v>
      </c>
      <c r="DN10"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 s="909">
        <f>IF(WWWW[[#This Row],['# People with access to soap]]&gt;WWWW[[#This Row],['# People with access to Sanity Pads]],WWWW[[#This Row],['# People with access to soap]],WWWW[[#This Row],['# People with access to Sanity Pads]])</f>
        <v>0</v>
      </c>
      <c r="DQ10"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0" s="911">
        <f>IF(WWWW[[#This Row],[HRP3]]/WWWW[[#This Row],[Total PoP ]]&gt;1,1,WWWW[[#This Row],[HRP3]]/WWWW[[#This Row],[Total PoP ]])</f>
        <v>0</v>
      </c>
      <c r="DS10" s="910">
        <f>1-WWWW[[#This Row],[Hygiene Coverage%]]</f>
        <v>1</v>
      </c>
      <c r="DT10" s="908">
        <f>WWWW[[#This Row],['# people reached by regular dedicated hygiene promotion_5]]/WWWW[[#This Row],[Total PoP ]]</f>
        <v>0</v>
      </c>
      <c r="DU10"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 s="909">
        <f>WWWW[[#This Row],['#_Constructed/Existing hand washing stations]]-WWWW[[#This Row],['#_Non-Functional_hand_washing_stations]]</f>
        <v>0</v>
      </c>
      <c r="DX10" s="906">
        <f>IF(WWWW[[#This Row],['# Functional hand washing stations during reporting period]]*20&gt;WWWW[[#This Row],[Total HH]],WWWW[[#This Row],[Total HH]],WWWW[[#This Row],['# Functional hand washing stations during reporting period]]*20)</f>
        <v>0</v>
      </c>
      <c r="DY10" s="906">
        <f>IF(WWWW[[#This Row],[Is sufficient soap available for TLS? (Yes/No)]]="yes",WWWW[[#This Row],['#_Constructed/Existing hand washing stations at TLS/CFS/THF]],0)</f>
        <v>0</v>
      </c>
      <c r="DZ10" s="421">
        <f>IF(WWWW[[#This Row],['# Functional hand washing stations during reporting period]]*100&gt;WWWW[[#This Row],[Total PoP ]],WWWW[[#This Row],[Total PoP ]],WWWW[[#This Row],['# Functional hand washing stations during reporting period]]*100)</f>
        <v>0</v>
      </c>
      <c r="EA10" s="421" t="str">
        <f>IF(OR(WWWW[[#This Row],['#_students at TLS_CFS]]="",WWWW[[#This Row],['#_students at TLS_CFS]]=0),"No","Yes")</f>
        <v>No</v>
      </c>
      <c r="EB1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 s="566">
        <f>WWWW[[#This Row],[%_of_affected_people_surveyed_who_report_feeling_satistfied_with_the_latrine_design_and_sanitation_service]]*WWWW[[#This Row],[Total PoP ]]</f>
        <v>0</v>
      </c>
      <c r="ED10" s="566">
        <f>WWWW[[#This Row],[%_of_affected_people_surveyed_who_report_feeling_satistfied_with_the_water_point_design_and_water_service]]*WWWW[[#This Row],[Total PoP ]]</f>
        <v>0</v>
      </c>
      <c r="EE10" s="566">
        <f>WWWW[[#This Row],[%_of_complaints_received_that_result_in_timely_corrective_action_and_feedback_to_the_community]]*WWWW[[#This Row],[Total PoP ]]</f>
        <v>0</v>
      </c>
      <c r="EF1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 s="902" t="str">
        <f>VLOOKUP(WWWW[[#This Row],[Site Name]],SiteDB6[[Site Name]:[CCCM Management]],6,FALSE)</f>
        <v>Yes</v>
      </c>
      <c r="EJ10" s="902" t="str">
        <f>VLOOKUP(WWWW[[#This Row],[Site Name]],SiteDB6[[Site Name]:[CCCM Focal Agency]],7,FALSE)</f>
        <v>KBC-NSS</v>
      </c>
      <c r="EK10" s="902" t="str">
        <f>VLOOKUP(WWWW[[#This Row],[Site Name]],SiteDB6[[Site Name]:[Location Type 1]],9,FALSE)</f>
        <v>Camp</v>
      </c>
      <c r="EL10" s="902" t="str">
        <f>VLOOKUP(WWWW[[#This Row],[Site Name]],SiteDB6[[Site Name]:[Type of Accommodation]],10,FALSE)</f>
        <v>Camp Like setting</v>
      </c>
      <c r="EM10" s="902" t="str">
        <f>VLOOKUP(WWWW[[#This Row],[Site Name]],SiteDB6[[Site Name]:[Ethnic or GCA/NGCA]],11,FALSE)</f>
        <v>GCA</v>
      </c>
      <c r="EN10" s="902">
        <f>VLOOKUP(WWWW[[#This Row],[Site Name]],SiteDB6[[Site Name]:[Lat]],12,FALSE)</f>
        <v>24.08738</v>
      </c>
      <c r="EO10" s="902">
        <f>VLOOKUP(WWWW[[#This Row],[Site Name]],SiteDB6[[Site Name]:[Long]],13,FALSE)</f>
        <v>98.115809999999996</v>
      </c>
      <c r="EP10" s="902" t="str">
        <f>VLOOKUP(WWWW[[#This Row],[Site Name]],SiteDB6[[Site Name]:[Pcode]],3,FALSE)</f>
        <v>MMR015CMP065</v>
      </c>
      <c r="EQ10" s="907" t="str">
        <f t="shared" si="0"/>
        <v>Covered</v>
      </c>
      <c r="ER10" s="907" t="s">
        <v>3126</v>
      </c>
      <c r="ES10" s="907" t="s">
        <v>3126</v>
      </c>
      <c r="ET10" s="902">
        <f>VLOOKUP(WWWW[[#This Row],[Site Name]],SiteDB6[[Site Name]:[Pop
(Kachin/Shan-CCCM as of May 2023)]],16,FALSE)</f>
        <v>307</v>
      </c>
      <c r="EU10" s="902">
        <f>VLOOKUP(WWWW[[#This Row],[Site Name]],SiteDB6[[Site Name]:[Pop
(Kachin/Shan-CCCM as of May 2023)]],17,FALSE)</f>
        <v>1581</v>
      </c>
    </row>
    <row r="11" spans="1:151" hidden="1">
      <c r="A11" s="900" t="s">
        <v>2961</v>
      </c>
      <c r="B11" s="900" t="s">
        <v>2154</v>
      </c>
      <c r="C11" s="901" t="s">
        <v>2154</v>
      </c>
      <c r="D11" s="901" t="s">
        <v>241</v>
      </c>
      <c r="E11" s="901" t="s">
        <v>515</v>
      </c>
      <c r="F11" s="901" t="s">
        <v>958</v>
      </c>
      <c r="G11" s="902" t="str">
        <f>VLOOKUP(WWWW[[#This Row],[Site Name]],SiteDB6[[Site Name]:[Location Type]],8,FALSE)</f>
        <v>Camp</v>
      </c>
      <c r="H11" s="901" t="s">
        <v>2570</v>
      </c>
      <c r="I11" s="903">
        <v>340</v>
      </c>
      <c r="J11" s="903">
        <v>1674</v>
      </c>
      <c r="K11" s="904">
        <v>44488</v>
      </c>
      <c r="L11" s="905">
        <v>44852</v>
      </c>
      <c r="M11" s="903"/>
      <c r="N11" s="903"/>
      <c r="O11" s="903"/>
      <c r="P11" s="903"/>
      <c r="Q11" s="906" t="s">
        <v>41</v>
      </c>
      <c r="R11" s="903">
        <v>2</v>
      </c>
      <c r="S11" s="903">
        <v>2</v>
      </c>
      <c r="T11" s="441"/>
      <c r="U11" s="903"/>
      <c r="V11" s="903"/>
      <c r="W11" s="903"/>
      <c r="X11" s="903"/>
      <c r="Y11" s="903"/>
      <c r="Z11" s="903"/>
      <c r="AA11" s="903">
        <v>24</v>
      </c>
      <c r="AB11" s="903"/>
      <c r="AC11" s="903"/>
      <c r="AD11" s="903"/>
      <c r="AE11" s="903"/>
      <c r="AF11" s="903"/>
      <c r="AG11" s="903"/>
      <c r="AH11" s="903">
        <v>1</v>
      </c>
      <c r="AI11" s="903"/>
      <c r="AJ11" s="903"/>
      <c r="AK11" s="903"/>
      <c r="AL11" s="903"/>
      <c r="AM11" s="903"/>
      <c r="AN11" s="903">
        <v>1</v>
      </c>
      <c r="AO11" s="441"/>
      <c r="AP11" s="907"/>
      <c r="AQ11" s="903">
        <v>30</v>
      </c>
      <c r="AR11" s="903"/>
      <c r="AS11" s="908"/>
      <c r="AT11" s="903"/>
      <c r="AU11" s="903"/>
      <c r="AV11" s="903"/>
      <c r="AW11" s="903"/>
      <c r="AX11" s="903"/>
      <c r="AY11" s="902" t="s">
        <v>136</v>
      </c>
      <c r="AZ11" s="907" t="s">
        <v>136</v>
      </c>
      <c r="BA11" s="903"/>
      <c r="BB11" s="903"/>
      <c r="BC11" s="903"/>
      <c r="BD11" s="441"/>
      <c r="BE11" s="441"/>
      <c r="BF11" s="902"/>
      <c r="BG11" s="903">
        <v>3</v>
      </c>
      <c r="BH11" s="903"/>
      <c r="BI11" s="903"/>
      <c r="BJ11" s="903"/>
      <c r="BK11" s="903"/>
      <c r="BL11" s="903"/>
      <c r="BM11" s="903"/>
      <c r="BN11" s="903"/>
      <c r="BO11" s="903"/>
      <c r="BP11" s="902"/>
      <c r="BQ11" s="909"/>
      <c r="BR11" s="908"/>
      <c r="BS11" s="902"/>
      <c r="BT11" s="416"/>
      <c r="BU11" s="416"/>
      <c r="BV11" s="418"/>
      <c r="BW11" s="416"/>
      <c r="BX11" s="441"/>
      <c r="BY11" s="441"/>
      <c r="BZ11" s="441"/>
      <c r="CA11" s="441"/>
      <c r="CB11" s="441"/>
      <c r="CC11" s="693"/>
      <c r="CD11" s="441"/>
      <c r="CE11" s="910" t="str">
        <f>IFERROR(WWWW[[#This Row],['#_Water sources passed]]/WWWW[[#This Row],['#_Water sources tested for fecal coliform ]],"no test")</f>
        <v>no test</v>
      </c>
      <c r="CF11" s="908" t="str">
        <f>IFERROR(WWWW[[#This Row],['#_Household passed]]/WWWW[[#This Row],['#_Household water samples tested for fecal coliform]],"no test")</f>
        <v>no test</v>
      </c>
      <c r="CG11" s="909" t="str">
        <f>IF(AND(WWWW[[#This Row],[% of water sources passed]]="no test",WWWW[[#This Row],[% Household passed]]="no test"),"No Test","Tested")</f>
        <v>No Test</v>
      </c>
      <c r="CH11" s="909">
        <f>WWWW[[#This Row],['#_Constructed/existing protected hand dug well]]-WWWW[[#This Row],['#_Non-functional protected hand dug well]]</f>
        <v>0</v>
      </c>
      <c r="CI11" s="909">
        <f>(WWWW[[#This Row],['#_Constructed/Existing tube wells/boreholes/handpumps_WASH_agency]]+WWWW[[#This Row],['#_Non-Cluster partner water tube-wells/boreholes/handpumps]])-WWWW[[#This Row],['#_Non-functional tube wells/boreholes/handpumps]]</f>
        <v>0</v>
      </c>
      <c r="CJ11" s="909">
        <f>WWWW[[#This Row],['#_Constructed/Existingwater storage tank with gravity fed reticulation system]]-WWWW[[#This Row],['#_Non-functional storage tank gravity fed reticulation system]]</f>
        <v>24</v>
      </c>
      <c r="CK11" s="909">
        <f>(WWWW[[#This Row],['#_Water_Liters_supplied_by_Water boating or water trucking]]/90)/15</f>
        <v>0</v>
      </c>
      <c r="CL11" s="909">
        <f>WWWW[[#This Row],['#_Water_Liters_from_Constructed/Existing water distribution system from river or natural spring]]/90/15</f>
        <v>0</v>
      </c>
      <c r="CM11" s="417">
        <f>IF(WWWW[[#This Row],['#_of water points in TLS/CFS]]*500&gt;WWWW[[#This Row],[Total PoP ]],WWWW[[#This Row],[Total PoP ]],WWWW[[#This Row],['#_of water points in TLS/CFS]]*500)</f>
        <v>500</v>
      </c>
      <c r="CN11" s="417">
        <f>IF(WWWW[[#This Row],['#_of water points in THF]]*500&gt;WWWW[[#This Row],[Total PoP ]],WWWW[[#This Row],[Total PoP ]],WWWW[[#This Row],['#_of water points in THF]]*500)</f>
        <v>0</v>
      </c>
      <c r="CO11" s="417"/>
      <c r="CP11"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0.95579450418160095</v>
      </c>
      <c r="CQ11"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0.95579450418160095</v>
      </c>
      <c r="CR11" s="908">
        <f>IF(WWWW[[#This Row],[Location Type 1]]="Village",WWWW[[#This Row],[Access to safe drinking water for Village]],WWWW[[#This Row],[Access to safe drinking water for Camp]])</f>
        <v>0.95579450418160095</v>
      </c>
      <c r="CS11" s="906">
        <f>WWWW[[#This Row],[%Equitable and continuous access to sufficient quantity of safe drinking water]]*WWWW[[#This Row],[Total PoP ]]</f>
        <v>1600</v>
      </c>
      <c r="CT11" s="908">
        <f>IF((WWWW[[#This Row],['#_Constructed/Existing protected/fenced ponds]]*250)/WWWW[[#This Row],[Total PoP ]]&gt;1,1,(WWWW[[#This Row],['#_Constructed/Existing protected/fenced ponds]]*250)/WWWW[[#This Row],[Total PoP ]])</f>
        <v>0</v>
      </c>
      <c r="CU11" s="906">
        <f>WWWW[[#This Row],[% Access to unimproved water points]]*WWWW[[#This Row],[Total PoP ]]</f>
        <v>0</v>
      </c>
      <c r="CV11"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0.95579450418160095</v>
      </c>
      <c r="CW11"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1600</v>
      </c>
      <c r="CX11" s="906">
        <f>WWWW[[#This Row],[HRP1]]/500</f>
        <v>3.2</v>
      </c>
      <c r="CY11" s="911">
        <f>1-WWWW[[#This Row],[% Equitable and continuous access to sufficient quantity of domestic water]]</f>
        <v>4.4205495818399054E-2</v>
      </c>
      <c r="CZ11" s="906">
        <f>WWWW[[#This Row],[%equitable and continuous access to sufficient quantity of safe drinking and domestic water''s GAP]]*WWWW[[#This Row],[Total PoP ]]</f>
        <v>74.000000000000014</v>
      </c>
      <c r="DA11" s="909">
        <f>IF(WWWW[[#This Row],[Total required water points]]-WWWW[[#This Row],['#Water points coverage]]&lt;0,0,WWWW[[#This Row],[Total required water points]]-WWWW[[#This Row],['#Water points coverage]])</f>
        <v>0</v>
      </c>
      <c r="DB11" s="909">
        <f>ROUND(IF(WWWW[[#This Row],[Total PoP ]]&lt;500,1,WWWW[[#This Row],[Total PoP ]]/500),0)</f>
        <v>3</v>
      </c>
      <c r="DC11" s="909">
        <f>(WWWW[[#This Row],['#_Constructed latrines_by_WASHAgencies]]+WWWW[[#This Row],['#_Non Cluster partner latrines]])-WWWW[[#This Row],['#_Non-functional latrines]]</f>
        <v>30</v>
      </c>
      <c r="DD11" s="615">
        <f>WWWW[[#This Row],[HRP2]]/WWWW[[#This Row],[Total PoP ]]</f>
        <v>0.35842293906810035</v>
      </c>
      <c r="DE11"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600</v>
      </c>
      <c r="DF11"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 s="417">
        <f>IF(WWWW[[#This Row],['# of functional latrines in THF supported by WASH partners during the reporting period2]]="",0,WWWW[[#This Row],['# of functional latrines in THF supported by WASH partners during the reporting period2]]*50)</f>
        <v>0</v>
      </c>
      <c r="DI11" s="909">
        <f>ROUND(IF(WWWW[[#This Row],[Location Type 1]]="camp",WWWW[[#This Row],[Total PoP ]]/20,IF(WWWW[[#This Row],[Location Type 1]]="Temporary Location",WWWW[[#This Row],[Total PoP ]]/50,(WWWW[[#This Row],[Total PoP ]]/6))),0)</f>
        <v>84</v>
      </c>
      <c r="DJ11" s="909">
        <f>IF(WWWW[[#This Row],[Total required Latrines]]-(WWWW[[#This Row],['#_Constructed latrines_by_WASHAgencies]]+WWWW[[#This Row],['#_Non Cluster partner latrines]])&lt;0,0,WWWW[[#This Row],[Total required Latrines]]-(WWWW[[#This Row],['#_Constructed latrines_by_WASHAgencies]]+WWWW[[#This Row],['#_Non Cluster partner latrines]]))</f>
        <v>54</v>
      </c>
      <c r="DK11" s="911">
        <f>1-WWWW[[#This Row],[% people access to functioning Latrine]]</f>
        <v>0.64157706093189959</v>
      </c>
      <c r="DL11" s="910">
        <f>IF(OR(WWWW[[#This Row],['#_Non-functional latrines]]="",WWWW[[#This Row],['#_Non-functional latrines]]=0),0,WWWW[[#This Row],['#_Non-functional latrines]]/(WWWW[[#This Row],['#_Constructed latrines_by_WASHAgencies]]+WWWW[[#This Row],['#_Non Cluster partner latrines]]))</f>
        <v>0</v>
      </c>
      <c r="DM11" s="906">
        <f>IF(500*(WWWW[[#This Row],['#_male hygiene promoters]]+WWWW[[#This Row],['#_female hygiene promoters]])&gt;WWWW[[#This Row],[Total PoP ]],WWWW[[#This Row],[Total PoP ]],500*(WWWW[[#This Row],['#_male hygiene promoters]]+WWWW[[#This Row],['#_female hygiene promoters]]))</f>
        <v>0</v>
      </c>
      <c r="DN11"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 s="909">
        <f>IF(WWWW[[#This Row],['# People with access to soap]]&gt;WWWW[[#This Row],['# People with access to Sanity Pads]],WWWW[[#This Row],['# People with access to soap]],WWWW[[#This Row],['# People with access to Sanity Pads]])</f>
        <v>0</v>
      </c>
      <c r="DQ11"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1" s="911">
        <f>IF(WWWW[[#This Row],[HRP3]]/WWWW[[#This Row],[Total PoP ]]&gt;1,1,WWWW[[#This Row],[HRP3]]/WWWW[[#This Row],[Total PoP ]])</f>
        <v>0</v>
      </c>
      <c r="DS11" s="910">
        <f>1-WWWW[[#This Row],[Hygiene Coverage%]]</f>
        <v>1</v>
      </c>
      <c r="DT11" s="908">
        <f>WWWW[[#This Row],['# people reached by regular dedicated hygiene promotion_5]]/WWWW[[#This Row],[Total PoP ]]</f>
        <v>0</v>
      </c>
      <c r="DU11"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 s="909">
        <f>WWWW[[#This Row],['#_Constructed/Existing hand washing stations]]-WWWW[[#This Row],['#_Non-Functional_hand_washing_stations]]</f>
        <v>3</v>
      </c>
      <c r="DX11" s="906">
        <f>IF(WWWW[[#This Row],['# Functional hand washing stations during reporting period]]*20&gt;WWWW[[#This Row],[Total HH]],WWWW[[#This Row],[Total HH]],WWWW[[#This Row],['# Functional hand washing stations during reporting period]]*20)</f>
        <v>60</v>
      </c>
      <c r="DY11" s="906">
        <f>IF(WWWW[[#This Row],[Is sufficient soap available for TLS? (Yes/No)]]="yes",WWWW[[#This Row],['#_Constructed/Existing hand washing stations at TLS/CFS/THF]],0)</f>
        <v>0</v>
      </c>
      <c r="DZ11" s="421">
        <f>IF(WWWW[[#This Row],['# Functional hand washing stations during reporting period]]*100&gt;WWWW[[#This Row],[Total PoP ]],WWWW[[#This Row],[Total PoP ]],WWWW[[#This Row],['# Functional hand washing stations during reporting period]]*100)</f>
        <v>300</v>
      </c>
      <c r="EA11" s="421" t="str">
        <f>IF(OR(WWWW[[#This Row],['#_students at TLS_CFS]]="",WWWW[[#This Row],['#_students at TLS_CFS]]=0),"No","Yes")</f>
        <v>No</v>
      </c>
      <c r="EB1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 s="566">
        <f>WWWW[[#This Row],[%_of_affected_people_surveyed_who_report_feeling_satistfied_with_the_latrine_design_and_sanitation_service]]*WWWW[[#This Row],[Total PoP ]]</f>
        <v>0</v>
      </c>
      <c r="ED11" s="566">
        <f>WWWW[[#This Row],[%_of_affected_people_surveyed_who_report_feeling_satistfied_with_the_water_point_design_and_water_service]]*WWWW[[#This Row],[Total PoP ]]</f>
        <v>0</v>
      </c>
      <c r="EE11" s="566">
        <f>WWWW[[#This Row],[%_of_complaints_received_that_result_in_timely_corrective_action_and_feedback_to_the_community]]*WWWW[[#This Row],[Total PoP ]]</f>
        <v>0</v>
      </c>
      <c r="EF1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500</v>
      </c>
      <c r="EH1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 s="902">
        <f>VLOOKUP(WWWW[[#This Row],[Site Name]],SiteDB6[[Site Name]:[CCCM Management]],6,FALSE)</f>
        <v>0</v>
      </c>
      <c r="EJ11" s="902">
        <f>VLOOKUP(WWWW[[#This Row],[Site Name]],SiteDB6[[Site Name]:[CCCM Focal Agency]],7,FALSE)</f>
        <v>0</v>
      </c>
      <c r="EK11" s="902" t="str">
        <f>VLOOKUP(WWWW[[#This Row],[Site Name]],SiteDB6[[Site Name]:[Location Type 1]],9,FALSE)</f>
        <v>Camp</v>
      </c>
      <c r="EL11" s="902" t="str">
        <f>VLOOKUP(WWWW[[#This Row],[Site Name]],SiteDB6[[Site Name]:[Type of Accommodation]],10,FALSE)</f>
        <v>Camp Like setting</v>
      </c>
      <c r="EM11" s="902" t="str">
        <f>VLOOKUP(WWWW[[#This Row],[Site Name]],SiteDB6[[Site Name]:[Ethnic or GCA/NGCA]],11,FALSE)</f>
        <v>GCA</v>
      </c>
      <c r="EN11" s="902">
        <f>VLOOKUP(WWWW[[#This Row],[Site Name]],SiteDB6[[Site Name]:[Lat]],12,FALSE)</f>
        <v>23.420603</v>
      </c>
      <c r="EO11" s="902">
        <f>VLOOKUP(WWWW[[#This Row],[Site Name]],SiteDB6[[Site Name]:[Long]],13,FALSE)</f>
        <v>98.451791999999998</v>
      </c>
      <c r="EP11" s="902" t="str">
        <f>VLOOKUP(WWWW[[#This Row],[Site Name]],SiteDB6[[Site Name]:[Pcode]],3,FALSE)</f>
        <v>MMR015CMP069</v>
      </c>
      <c r="EQ11" s="907" t="str">
        <f t="shared" si="0"/>
        <v>Covered</v>
      </c>
      <c r="ER11" s="907" t="s">
        <v>3126</v>
      </c>
      <c r="ES11" s="907" t="s">
        <v>3126</v>
      </c>
      <c r="ET11" s="902">
        <f>VLOOKUP(WWWW[[#This Row],[Site Name]],SiteDB6[[Site Name]:[Pop
(Kachin/Shan-CCCM as of May 2023)]],16,FALSE)</f>
        <v>166</v>
      </c>
      <c r="EU11" s="902">
        <f>VLOOKUP(WWWW[[#This Row],[Site Name]],SiteDB6[[Site Name]:[Pop
(Kachin/Shan-CCCM as of May 2023)]],17,FALSE)</f>
        <v>830</v>
      </c>
    </row>
    <row r="12" spans="1:151" hidden="1">
      <c r="A12" s="900" t="s">
        <v>2961</v>
      </c>
      <c r="B12" s="900" t="s">
        <v>914</v>
      </c>
      <c r="C12" s="901" t="s">
        <v>141</v>
      </c>
      <c r="D12" s="901" t="s">
        <v>3097</v>
      </c>
      <c r="E12" s="901" t="s">
        <v>37</v>
      </c>
      <c r="F12" s="901" t="s">
        <v>205</v>
      </c>
      <c r="G12" s="902" t="s">
        <v>3064</v>
      </c>
      <c r="H12" s="901" t="s">
        <v>2222</v>
      </c>
      <c r="I12" s="903">
        <v>49</v>
      </c>
      <c r="J12" s="903">
        <v>203</v>
      </c>
      <c r="K12" s="904">
        <v>44652</v>
      </c>
      <c r="L12" s="905">
        <v>44865</v>
      </c>
      <c r="M12" s="903"/>
      <c r="N12" s="903"/>
      <c r="O12" s="903"/>
      <c r="P12" s="903"/>
      <c r="Q12" s="906" t="s">
        <v>41</v>
      </c>
      <c r="R12" s="903">
        <v>1</v>
      </c>
      <c r="S12" s="903">
        <v>1</v>
      </c>
      <c r="T12" s="441">
        <v>4</v>
      </c>
      <c r="U12" s="903"/>
      <c r="V12" s="903"/>
      <c r="W12" s="903"/>
      <c r="X12" s="903"/>
      <c r="Y12" s="903"/>
      <c r="Z12" s="903"/>
      <c r="AA12" s="903"/>
      <c r="AB12" s="903"/>
      <c r="AC12" s="903"/>
      <c r="AD12" s="903"/>
      <c r="AE12" s="903"/>
      <c r="AF12" s="903"/>
      <c r="AG12" s="903"/>
      <c r="AH12" s="903"/>
      <c r="AI12" s="903"/>
      <c r="AJ12" s="903"/>
      <c r="AK12" s="903"/>
      <c r="AL12" s="903"/>
      <c r="AM12" s="903">
        <v>1</v>
      </c>
      <c r="AN12" s="903"/>
      <c r="AO12" s="441"/>
      <c r="AP12" s="907"/>
      <c r="AQ12" s="903">
        <v>7</v>
      </c>
      <c r="AR12" s="903"/>
      <c r="AS12" s="908"/>
      <c r="AT12" s="903"/>
      <c r="AU12" s="903"/>
      <c r="AV12" s="903"/>
      <c r="AW12" s="903"/>
      <c r="AX12" s="903"/>
      <c r="AY12" s="902" t="s">
        <v>41</v>
      </c>
      <c r="AZ12" s="907" t="s">
        <v>137</v>
      </c>
      <c r="BA12" s="903"/>
      <c r="BB12" s="903"/>
      <c r="BC12" s="903"/>
      <c r="BD12" s="441"/>
      <c r="BE12" s="441">
        <v>4</v>
      </c>
      <c r="BF12" s="902"/>
      <c r="BG12" s="903">
        <v>2</v>
      </c>
      <c r="BH12" s="903"/>
      <c r="BI12" s="903"/>
      <c r="BJ12" s="903">
        <v>2</v>
      </c>
      <c r="BK12" s="903"/>
      <c r="BL12" s="903">
        <v>1</v>
      </c>
      <c r="BM12" s="903"/>
      <c r="BN12" s="903"/>
      <c r="BO12" s="903"/>
      <c r="BP12" s="902" t="s">
        <v>41</v>
      </c>
      <c r="BQ12" s="909"/>
      <c r="BR12" s="908"/>
      <c r="BS12" s="902"/>
      <c r="BT12" s="416"/>
      <c r="BU12" s="416"/>
      <c r="BV12" s="418"/>
      <c r="BW12" s="416"/>
      <c r="BX12" s="441"/>
      <c r="BY12" s="441"/>
      <c r="BZ12" s="441"/>
      <c r="CA12" s="441"/>
      <c r="CB12" s="441"/>
      <c r="CC12" s="693"/>
      <c r="CD12" s="441"/>
      <c r="CE12" s="910" t="str">
        <f>IFERROR(WWWW[[#This Row],['#_Water sources passed]]/WWWW[[#This Row],['#_Water sources tested for fecal coliform ]],"no test")</f>
        <v>no test</v>
      </c>
      <c r="CF12" s="908" t="str">
        <f>IFERROR(WWWW[[#This Row],['#_Household passed]]/WWWW[[#This Row],['#_Household water samples tested for fecal coliform]],"no test")</f>
        <v>no test</v>
      </c>
      <c r="CG12" s="909" t="str">
        <f>IF(AND(WWWW[[#This Row],[% of water sources passed]]="no test",WWWW[[#This Row],[% Household passed]]="no test"),"No Test","Tested")</f>
        <v>No Test</v>
      </c>
      <c r="CH12" s="909">
        <f>WWWW[[#This Row],['#_Constructed/existing protected hand dug well]]-WWWW[[#This Row],['#_Non-functional protected hand dug well]]</f>
        <v>4</v>
      </c>
      <c r="CI12" s="909">
        <f>(WWWW[[#This Row],['#_Constructed/Existing tube wells/boreholes/handpumps_WASH_agency]]+WWWW[[#This Row],['#_Non-Cluster partner water tube-wells/boreholes/handpumps]])-WWWW[[#This Row],['#_Non-functional tube wells/boreholes/handpumps]]</f>
        <v>0</v>
      </c>
      <c r="CJ12" s="909">
        <f>WWWW[[#This Row],['#_Constructed/Existingwater storage tank with gravity fed reticulation system]]-WWWW[[#This Row],['#_Non-functional storage tank gravity fed reticulation system]]</f>
        <v>0</v>
      </c>
      <c r="CK12" s="909">
        <f>(WWWW[[#This Row],['#_Water_Liters_supplied_by_Water boating or water trucking]]/90)/15</f>
        <v>0</v>
      </c>
      <c r="CL12" s="909">
        <f>WWWW[[#This Row],['#_Water_Liters_from_Constructed/Existing water distribution system from river or natural spring]]/90/15</f>
        <v>0</v>
      </c>
      <c r="CM12" s="417">
        <f>IF(WWWW[[#This Row],['#_of water points in TLS/CFS]]*500&gt;WWWW[[#This Row],[Total PoP ]],WWWW[[#This Row],[Total PoP ]],WWWW[[#This Row],['#_of water points in TLS/CFS]]*500)</f>
        <v>0</v>
      </c>
      <c r="CN12" s="417">
        <f>IF(WWWW[[#This Row],['#_of water points in THF]]*500&gt;WWWW[[#This Row],[Total PoP ]],WWWW[[#This Row],[Total PoP ]],WWWW[[#This Row],['#_of water points in THF]]*500)</f>
        <v>0</v>
      </c>
      <c r="CO12" s="417"/>
      <c r="CP12"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2"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2" s="908">
        <f>IF(WWWW[[#This Row],[Location Type 1]]="Village",WWWW[[#This Row],[Access to safe drinking water for Village]],WWWW[[#This Row],[Access to safe drinking water for Camp]])</f>
        <v>1</v>
      </c>
      <c r="CS12" s="906">
        <f>WWWW[[#This Row],[%Equitable and continuous access to sufficient quantity of safe drinking water]]*WWWW[[#This Row],[Total PoP ]]</f>
        <v>203</v>
      </c>
      <c r="CT12" s="908">
        <f>IF((WWWW[[#This Row],['#_Constructed/Existing protected/fenced ponds]]*250)/WWWW[[#This Row],[Total PoP ]]&gt;1,1,(WWWW[[#This Row],['#_Constructed/Existing protected/fenced ponds]]*250)/WWWW[[#This Row],[Total PoP ]])</f>
        <v>0</v>
      </c>
      <c r="CU12" s="906">
        <f>WWWW[[#This Row],[% Access to unimproved water points]]*WWWW[[#This Row],[Total PoP ]]</f>
        <v>0</v>
      </c>
      <c r="CV12"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2"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203</v>
      </c>
      <c r="CX12" s="906">
        <f>WWWW[[#This Row],[HRP1]]/500</f>
        <v>0.40600000000000003</v>
      </c>
      <c r="CY12" s="911">
        <f>1-WWWW[[#This Row],[% Equitable and continuous access to sufficient quantity of domestic water]]</f>
        <v>0</v>
      </c>
      <c r="CZ12" s="906">
        <f>WWWW[[#This Row],[%equitable and continuous access to sufficient quantity of safe drinking and domestic water''s GAP]]*WWWW[[#This Row],[Total PoP ]]</f>
        <v>0</v>
      </c>
      <c r="DA12" s="909">
        <f>IF(WWWW[[#This Row],[Total required water points]]-WWWW[[#This Row],['#Water points coverage]]&lt;0,0,WWWW[[#This Row],[Total required water points]]-WWWW[[#This Row],['#Water points coverage]])</f>
        <v>0.59399999999999997</v>
      </c>
      <c r="DB12" s="909">
        <f>ROUND(IF(WWWW[[#This Row],[Total PoP ]]&lt;500,1,WWWW[[#This Row],[Total PoP ]]/500),0)</f>
        <v>1</v>
      </c>
      <c r="DC12" s="909">
        <f>(WWWW[[#This Row],['#_Constructed latrines_by_WASHAgencies]]+WWWW[[#This Row],['#_Non Cluster partner latrines]])-WWWW[[#This Row],['#_Non-functional latrines]]</f>
        <v>7</v>
      </c>
      <c r="DD12" s="615">
        <f>WWWW[[#This Row],[HRP2]]/WWWW[[#This Row],[Total PoP ]]</f>
        <v>0.70935960591133007</v>
      </c>
      <c r="DE12"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144</v>
      </c>
      <c r="DF12"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 s="417">
        <f>IF(WWWW[[#This Row],['# of functional latrines in THF supported by WASH partners during the reporting period2]]="",0,WWWW[[#This Row],['# of functional latrines in THF supported by WASH partners during the reporting period2]]*50)</f>
        <v>0</v>
      </c>
      <c r="DI12" s="909">
        <f>ROUND(IF(WWWW[[#This Row],[Location Type 1]]="camp",WWWW[[#This Row],[Total PoP ]]/20,IF(WWWW[[#This Row],[Location Type 1]]="Temporary Location",WWWW[[#This Row],[Total PoP ]]/50,(WWWW[[#This Row],[Total PoP ]]/6))),0)</f>
        <v>10</v>
      </c>
      <c r="DJ12" s="909">
        <f>IF(WWWW[[#This Row],[Total required Latrines]]-(WWWW[[#This Row],['#_Constructed latrines_by_WASHAgencies]]+WWWW[[#This Row],['#_Non Cluster partner latrines]])&lt;0,0,WWWW[[#This Row],[Total required Latrines]]-(WWWW[[#This Row],['#_Constructed latrines_by_WASHAgencies]]+WWWW[[#This Row],['#_Non Cluster partner latrines]]))</f>
        <v>3</v>
      </c>
      <c r="DK12" s="911">
        <f>1-WWWW[[#This Row],[% people access to functioning Latrine]]</f>
        <v>0.29064039408866993</v>
      </c>
      <c r="DL12" s="910">
        <f>IF(OR(WWWW[[#This Row],['#_Non-functional latrines]]="",WWWW[[#This Row],['#_Non-functional latrines]]=0),0,WWWW[[#This Row],['#_Non-functional latrines]]/(WWWW[[#This Row],['#_Constructed latrines_by_WASHAgencies]]+WWWW[[#This Row],['#_Non Cluster partner latrines]]))</f>
        <v>0</v>
      </c>
      <c r="DM12" s="906">
        <f>IF(500*(WWWW[[#This Row],['#_male hygiene promoters]]+WWWW[[#This Row],['#_female hygiene promoters]])&gt;WWWW[[#This Row],[Total PoP ]],WWWW[[#This Row],[Total PoP ]],500*(WWWW[[#This Row],['#_male hygiene promoters]]+WWWW[[#This Row],['#_female hygiene promoters]]))</f>
        <v>203</v>
      </c>
      <c r="DN12"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2"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2" s="909">
        <f>IF(WWWW[[#This Row],['# People with access to soap]]&gt;WWWW[[#This Row],['# People with access to Sanity Pads]],WWWW[[#This Row],['# People with access to soap]],WWWW[[#This Row],['# People with access to Sanity Pads]])</f>
        <v>0</v>
      </c>
      <c r="DQ12" s="909">
        <f>IF(WWWW[[#This Row],['# people reached by regular dedicated hygiene promotion_5]]&gt;WWWW[[#This Row],['# People received regular supply of hygiene items_6]],WWWW[[#This Row],['# people reached by regular dedicated hygiene promotion_5]],WWWW[[#This Row],['# People received regular supply of hygiene items_6]])</f>
        <v>203</v>
      </c>
      <c r="DR12" s="911">
        <f>IF(WWWW[[#This Row],[HRP3]]/WWWW[[#This Row],[Total PoP ]]&gt;1,1,WWWW[[#This Row],[HRP3]]/WWWW[[#This Row],[Total PoP ]])</f>
        <v>1</v>
      </c>
      <c r="DS12" s="910">
        <f>1-WWWW[[#This Row],[Hygiene Coverage%]]</f>
        <v>0</v>
      </c>
      <c r="DT12" s="908">
        <f>WWWW[[#This Row],['# people reached by regular dedicated hygiene promotion_5]]/WWWW[[#This Row],[Total PoP ]]</f>
        <v>1</v>
      </c>
      <c r="DU12"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2"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2" s="909">
        <f>WWWW[[#This Row],['#_Constructed/Existing hand washing stations]]-WWWW[[#This Row],['#_Non-Functional_hand_washing_stations]]</f>
        <v>2</v>
      </c>
      <c r="DX12" s="906">
        <f>IF(WWWW[[#This Row],['# Functional hand washing stations during reporting period]]*20&gt;WWWW[[#This Row],[Total HH]],WWWW[[#This Row],[Total HH]],WWWW[[#This Row],['# Functional hand washing stations during reporting period]]*20)</f>
        <v>40</v>
      </c>
      <c r="DY12" s="906">
        <f>IF(WWWW[[#This Row],[Is sufficient soap available for TLS? (Yes/No)]]="yes",WWWW[[#This Row],['#_Constructed/Existing hand washing stations at TLS/CFS/THF]],0)</f>
        <v>1</v>
      </c>
      <c r="DZ12" s="421">
        <f>IF(WWWW[[#This Row],['# Functional hand washing stations during reporting period]]*100&gt;WWWW[[#This Row],[Total PoP ]],WWWW[[#This Row],[Total PoP ]],WWWW[[#This Row],['# Functional hand washing stations during reporting period]]*100)</f>
        <v>200</v>
      </c>
      <c r="EA12" s="421" t="str">
        <f>IF(OR(WWWW[[#This Row],['#_students at TLS_CFS]]="",WWWW[[#This Row],['#_students at TLS_CFS]]=0),"No","Yes")</f>
        <v>No</v>
      </c>
      <c r="EB1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2" s="566">
        <f>WWWW[[#This Row],[%_of_affected_people_surveyed_who_report_feeling_satistfied_with_the_latrine_design_and_sanitation_service]]*WWWW[[#This Row],[Total PoP ]]</f>
        <v>0</v>
      </c>
      <c r="ED12" s="566">
        <f>WWWW[[#This Row],[%_of_affected_people_surveyed_who_report_feeling_satistfied_with_the_water_point_design_and_water_service]]*WWWW[[#This Row],[Total PoP ]]</f>
        <v>0</v>
      </c>
      <c r="EE12" s="566">
        <f>WWWW[[#This Row],[%_of_complaints_received_that_result_in_timely_corrective_action_and_feedback_to_the_community]]*WWWW[[#This Row],[Total PoP ]]</f>
        <v>0</v>
      </c>
      <c r="EF1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 s="902">
        <f>VLOOKUP(WWWW[[#This Row],[Site Name]],SiteDB6[[Site Name]:[CCCM Management]],6,FALSE)</f>
        <v>0</v>
      </c>
      <c r="EJ12" s="902">
        <f>VLOOKUP(WWWW[[#This Row],[Site Name]],SiteDB6[[Site Name]:[CCCM Focal Agency]],7,FALSE)</f>
        <v>0</v>
      </c>
      <c r="EK12" s="902" t="str">
        <f>VLOOKUP(WWWW[[#This Row],[Site Name]],SiteDB6[[Site Name]:[Location Type 1]],9,FALSE)</f>
        <v>Camp</v>
      </c>
      <c r="EL12" s="902" t="str">
        <f>VLOOKUP(WWWW[[#This Row],[Site Name]],SiteDB6[[Site Name]:[Type of Accommodation]],10,FALSE)</f>
        <v>Camp like setting</v>
      </c>
      <c r="EM12" s="902" t="str">
        <f>VLOOKUP(WWWW[[#This Row],[Site Name]],SiteDB6[[Site Name]:[Ethnic or GCA/NGCA]],11,FALSE)</f>
        <v>GCA</v>
      </c>
      <c r="EN12" s="902">
        <f>VLOOKUP(WWWW[[#This Row],[Site Name]],SiteDB6[[Site Name]:[Lat]],12,FALSE)</f>
        <v>0</v>
      </c>
      <c r="EO12" s="902">
        <f>VLOOKUP(WWWW[[#This Row],[Site Name]],SiteDB6[[Site Name]:[Long]],13,FALSE)</f>
        <v>0</v>
      </c>
      <c r="EP12" s="902">
        <f>VLOOKUP(WWWW[[#This Row],[Site Name]],SiteDB6[[Site Name]:[Pcode]],3,FALSE)</f>
        <v>0</v>
      </c>
      <c r="EQ12" s="907" t="str">
        <f t="shared" si="0"/>
        <v>Covered</v>
      </c>
      <c r="ER12" s="907" t="s">
        <v>3126</v>
      </c>
      <c r="ES12" s="907" t="s">
        <v>3126</v>
      </c>
      <c r="ET12" s="902">
        <f>VLOOKUP(WWWW[[#This Row],[Site Name]],SiteDB6[[Site Name]:[Pop
(Kachin/Shan-CCCM as of May 2023)]],16,FALSE)</f>
        <v>0</v>
      </c>
      <c r="EU12" s="902">
        <f>VLOOKUP(WWWW[[#This Row],[Site Name]],SiteDB6[[Site Name]:[Pop
(Kachin/Shan-CCCM as of May 2023)]],17,FALSE)</f>
        <v>0</v>
      </c>
    </row>
    <row r="13" spans="1:151" hidden="1">
      <c r="A13" s="900" t="s">
        <v>2961</v>
      </c>
      <c r="B13" s="901" t="s">
        <v>141</v>
      </c>
      <c r="C13" s="901" t="s">
        <v>141</v>
      </c>
      <c r="D13" s="901" t="s">
        <v>241</v>
      </c>
      <c r="E13" s="901" t="s">
        <v>37</v>
      </c>
      <c r="F13" s="901" t="s">
        <v>146</v>
      </c>
      <c r="G13" s="902" t="str">
        <f>VLOOKUP(WWWW[[#This Row],[Site Name]],SiteDB6[[Site Name]:[Location Type]],8,FALSE)</f>
        <v>Camp</v>
      </c>
      <c r="H13" s="901" t="s">
        <v>147</v>
      </c>
      <c r="I13" s="903">
        <v>178</v>
      </c>
      <c r="J13" s="903">
        <v>1075</v>
      </c>
      <c r="K13" s="904">
        <v>44811</v>
      </c>
      <c r="L13" s="905">
        <v>45175</v>
      </c>
      <c r="M13" s="903"/>
      <c r="N13" s="903">
        <v>2</v>
      </c>
      <c r="O13" s="903"/>
      <c r="P13" s="903"/>
      <c r="Q13" s="906" t="s">
        <v>41</v>
      </c>
      <c r="R13" s="903">
        <v>3</v>
      </c>
      <c r="S13" s="903">
        <v>1</v>
      </c>
      <c r="T13" s="441"/>
      <c r="U13" s="903"/>
      <c r="V13" s="903"/>
      <c r="W13" s="903"/>
      <c r="X13" s="903"/>
      <c r="Y13" s="903"/>
      <c r="Z13" s="903"/>
      <c r="AA13" s="903"/>
      <c r="AB13" s="903"/>
      <c r="AC13" s="903"/>
      <c r="AD13" s="903"/>
      <c r="AE13" s="903"/>
      <c r="AF13" s="903"/>
      <c r="AG13" s="903"/>
      <c r="AH13" s="903"/>
      <c r="AI13" s="903"/>
      <c r="AJ13" s="903"/>
      <c r="AK13" s="903"/>
      <c r="AL13" s="903"/>
      <c r="AM13" s="903"/>
      <c r="AN13" s="903"/>
      <c r="AO13" s="441"/>
      <c r="AP13" s="907"/>
      <c r="AQ13" s="903">
        <v>32</v>
      </c>
      <c r="AR13" s="903"/>
      <c r="AS13" s="908"/>
      <c r="AT13" s="903"/>
      <c r="AU13" s="903"/>
      <c r="AV13" s="903"/>
      <c r="AW13" s="903"/>
      <c r="AX13" s="903">
        <v>32</v>
      </c>
      <c r="AY13" s="902" t="s">
        <v>41</v>
      </c>
      <c r="AZ13" s="907" t="s">
        <v>137</v>
      </c>
      <c r="BA13" s="903"/>
      <c r="BB13" s="903"/>
      <c r="BC13" s="903">
        <v>5</v>
      </c>
      <c r="BD13" s="441"/>
      <c r="BE13" s="441"/>
      <c r="BF13" s="902"/>
      <c r="BG13" s="903">
        <v>8</v>
      </c>
      <c r="BH13" s="903"/>
      <c r="BI13" s="903"/>
      <c r="BJ13" s="903">
        <v>3</v>
      </c>
      <c r="BK13" s="903"/>
      <c r="BL13" s="903">
        <v>2</v>
      </c>
      <c r="BM13" s="903"/>
      <c r="BN13" s="903"/>
      <c r="BO13" s="903"/>
      <c r="BP13" s="902"/>
      <c r="BQ13" s="909"/>
      <c r="BR13" s="908"/>
      <c r="BS13" s="902"/>
      <c r="BT13" s="416"/>
      <c r="BU13" s="416"/>
      <c r="BV13" s="418"/>
      <c r="BW13" s="416"/>
      <c r="BX13" s="441"/>
      <c r="BY13" s="441"/>
      <c r="BZ13" s="441"/>
      <c r="CA13" s="441"/>
      <c r="CB13" s="441"/>
      <c r="CC13" s="693"/>
      <c r="CD13" s="441"/>
      <c r="CE13" s="910" t="str">
        <f>IFERROR(WWWW[[#This Row],['#_Water sources passed]]/WWWW[[#This Row],['#_Water sources tested for fecal coliform ]],"no test")</f>
        <v>no test</v>
      </c>
      <c r="CF13" s="908" t="str">
        <f>IFERROR(WWWW[[#This Row],['#_Household passed]]/WWWW[[#This Row],['#_Household water samples tested for fecal coliform]],"no test")</f>
        <v>no test</v>
      </c>
      <c r="CG13" s="909" t="str">
        <f>IF(AND(WWWW[[#This Row],[% of water sources passed]]="no test",WWWW[[#This Row],[% Household passed]]="no test"),"No Test","Tested")</f>
        <v>No Test</v>
      </c>
      <c r="CH13" s="909">
        <f>WWWW[[#This Row],['#_Constructed/existing protected hand dug well]]-WWWW[[#This Row],['#_Non-functional protected hand dug well]]</f>
        <v>0</v>
      </c>
      <c r="CI13" s="909">
        <f>(WWWW[[#This Row],['#_Constructed/Existing tube wells/boreholes/handpumps_WASH_agency]]+WWWW[[#This Row],['#_Non-Cluster partner water tube-wells/boreholes/handpumps]])-WWWW[[#This Row],['#_Non-functional tube wells/boreholes/handpumps]]</f>
        <v>0</v>
      </c>
      <c r="CJ13" s="909">
        <f>WWWW[[#This Row],['#_Constructed/Existingwater storage tank with gravity fed reticulation system]]-WWWW[[#This Row],['#_Non-functional storage tank gravity fed reticulation system]]</f>
        <v>0</v>
      </c>
      <c r="CK13" s="909">
        <f>(WWWW[[#This Row],['#_Water_Liters_supplied_by_Water boating or water trucking]]/90)/15</f>
        <v>0</v>
      </c>
      <c r="CL13" s="909">
        <f>WWWW[[#This Row],['#_Water_Liters_from_Constructed/Existing water distribution system from river or natural spring]]/90/15</f>
        <v>0</v>
      </c>
      <c r="CM13" s="417">
        <f>IF(WWWW[[#This Row],['#_of water points in TLS/CFS]]*500&gt;WWWW[[#This Row],[Total PoP ]],WWWW[[#This Row],[Total PoP ]],WWWW[[#This Row],['#_of water points in TLS/CFS]]*500)</f>
        <v>0</v>
      </c>
      <c r="CN13" s="417">
        <f>IF(WWWW[[#This Row],['#_of water points in THF]]*500&gt;WWWW[[#This Row],[Total PoP ]],WWWW[[#This Row],[Total PoP ]],WWWW[[#This Row],['#_of water points in THF]]*500)</f>
        <v>0</v>
      </c>
      <c r="CO13" s="417"/>
      <c r="CP13"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3"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3" s="908">
        <f>IF(WWWW[[#This Row],[Location Type 1]]="Village",WWWW[[#This Row],[Access to safe drinking water for Village]],WWWW[[#This Row],[Access to safe drinking water for Camp]])</f>
        <v>0</v>
      </c>
      <c r="CS13" s="906">
        <f>WWWW[[#This Row],[%Equitable and continuous access to sufficient quantity of safe drinking water]]*WWWW[[#This Row],[Total PoP ]]</f>
        <v>0</v>
      </c>
      <c r="CT13" s="908">
        <f>IF((WWWW[[#This Row],['#_Constructed/Existing protected/fenced ponds]]*250)/WWWW[[#This Row],[Total PoP ]]&gt;1,1,(WWWW[[#This Row],['#_Constructed/Existing protected/fenced ponds]]*250)/WWWW[[#This Row],[Total PoP ]])</f>
        <v>0</v>
      </c>
      <c r="CU13" s="906">
        <f>WWWW[[#This Row],[% Access to unimproved water points]]*WWWW[[#This Row],[Total PoP ]]</f>
        <v>0</v>
      </c>
      <c r="CV13"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3"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3" s="906">
        <f>WWWW[[#This Row],[HRP1]]/500</f>
        <v>0</v>
      </c>
      <c r="CY13" s="911">
        <f>1-WWWW[[#This Row],[% Equitable and continuous access to sufficient quantity of domestic water]]</f>
        <v>1</v>
      </c>
      <c r="CZ13" s="906">
        <f>WWWW[[#This Row],[%equitable and continuous access to sufficient quantity of safe drinking and domestic water''s GAP]]*WWWW[[#This Row],[Total PoP ]]</f>
        <v>1075</v>
      </c>
      <c r="DA13" s="909">
        <f>IF(WWWW[[#This Row],[Total required water points]]-WWWW[[#This Row],['#Water points coverage]]&lt;0,0,WWWW[[#This Row],[Total required water points]]-WWWW[[#This Row],['#Water points coverage]])</f>
        <v>2</v>
      </c>
      <c r="DB13" s="909">
        <f>ROUND(IF(WWWW[[#This Row],[Total PoP ]]&lt;500,1,WWWW[[#This Row],[Total PoP ]]/500),0)</f>
        <v>2</v>
      </c>
      <c r="DC13" s="909">
        <f>(WWWW[[#This Row],['#_Constructed latrines_by_WASHAgencies]]+WWWW[[#This Row],['#_Non Cluster partner latrines]])-WWWW[[#This Row],['#_Non-functional latrines]]</f>
        <v>32</v>
      </c>
      <c r="DD13" s="615">
        <f>WWWW[[#This Row],[HRP2]]/WWWW[[#This Row],[Total PoP ]]</f>
        <v>0.59534883720930232</v>
      </c>
      <c r="DE13"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640</v>
      </c>
      <c r="DF13"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3"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 s="417">
        <f>IF(WWWW[[#This Row],['# of functional latrines in THF supported by WASH partners during the reporting period2]]="",0,WWWW[[#This Row],['# of functional latrines in THF supported by WASH partners during the reporting period2]]*50)</f>
        <v>0</v>
      </c>
      <c r="DI13" s="909">
        <f>ROUND(IF(WWWW[[#This Row],[Location Type 1]]="camp",WWWW[[#This Row],[Total PoP ]]/20,IF(WWWW[[#This Row],[Location Type 1]]="Temporary Location",WWWW[[#This Row],[Total PoP ]]/50,(WWWW[[#This Row],[Total PoP ]]/6))),0)</f>
        <v>54</v>
      </c>
      <c r="DJ13" s="909">
        <f>IF(WWWW[[#This Row],[Total required Latrines]]-(WWWW[[#This Row],['#_Constructed latrines_by_WASHAgencies]]+WWWW[[#This Row],['#_Non Cluster partner latrines]])&lt;0,0,WWWW[[#This Row],[Total required Latrines]]-(WWWW[[#This Row],['#_Constructed latrines_by_WASHAgencies]]+WWWW[[#This Row],['#_Non Cluster partner latrines]]))</f>
        <v>22</v>
      </c>
      <c r="DK13" s="911">
        <f>1-WWWW[[#This Row],[% people access to functioning Latrine]]</f>
        <v>0.40465116279069768</v>
      </c>
      <c r="DL13" s="910">
        <f>IF(OR(WWWW[[#This Row],['#_Non-functional latrines]]="",WWWW[[#This Row],['#_Non-functional latrines]]=0),0,WWWW[[#This Row],['#_Non-functional latrines]]/(WWWW[[#This Row],['#_Constructed latrines_by_WASHAgencies]]+WWWW[[#This Row],['#_Non Cluster partner latrines]]))</f>
        <v>0</v>
      </c>
      <c r="DM13" s="906">
        <f>IF(500*(WWWW[[#This Row],['#_male hygiene promoters]]+WWWW[[#This Row],['#_female hygiene promoters]])&gt;WWWW[[#This Row],[Total PoP ]],WWWW[[#This Row],[Total PoP ]],500*(WWWW[[#This Row],['#_male hygiene promoters]]+WWWW[[#This Row],['#_female hygiene promoters]]))</f>
        <v>1000</v>
      </c>
      <c r="DN13"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3"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3" s="909">
        <f>IF(WWWW[[#This Row],['# People with access to soap]]&gt;WWWW[[#This Row],['# People with access to Sanity Pads]],WWWW[[#This Row],['# People with access to soap]],WWWW[[#This Row],['# People with access to Sanity Pads]])</f>
        <v>0</v>
      </c>
      <c r="DQ13" s="909">
        <f>IF(WWWW[[#This Row],['# people reached by regular dedicated hygiene promotion_5]]&gt;WWWW[[#This Row],['# People received regular supply of hygiene items_6]],WWWW[[#This Row],['# people reached by regular dedicated hygiene promotion_5]],WWWW[[#This Row],['# People received regular supply of hygiene items_6]])</f>
        <v>1000</v>
      </c>
      <c r="DR13" s="911">
        <f>IF(WWWW[[#This Row],[HRP3]]/WWWW[[#This Row],[Total PoP ]]&gt;1,1,WWWW[[#This Row],[HRP3]]/WWWW[[#This Row],[Total PoP ]])</f>
        <v>0.93023255813953487</v>
      </c>
      <c r="DS13" s="910">
        <f>1-WWWW[[#This Row],[Hygiene Coverage%]]</f>
        <v>6.9767441860465129E-2</v>
      </c>
      <c r="DT13" s="908">
        <f>WWWW[[#This Row],['# people reached by regular dedicated hygiene promotion_5]]/WWWW[[#This Row],[Total PoP ]]</f>
        <v>0.93023255813953487</v>
      </c>
      <c r="DU13"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3"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3" s="909">
        <f>WWWW[[#This Row],['#_Constructed/Existing hand washing stations]]-WWWW[[#This Row],['#_Non-Functional_hand_washing_stations]]</f>
        <v>8</v>
      </c>
      <c r="DX13" s="906">
        <f>IF(WWWW[[#This Row],['# Functional hand washing stations during reporting period]]*20&gt;WWWW[[#This Row],[Total HH]],WWWW[[#This Row],[Total HH]],WWWW[[#This Row],['# Functional hand washing stations during reporting period]]*20)</f>
        <v>160</v>
      </c>
      <c r="DY13" s="906">
        <f>IF(WWWW[[#This Row],[Is sufficient soap available for TLS? (Yes/No)]]="yes",WWWW[[#This Row],['#_Constructed/Existing hand washing stations at TLS/CFS/THF]],0)</f>
        <v>0</v>
      </c>
      <c r="DZ13" s="421">
        <f>IF(WWWW[[#This Row],['# Functional hand washing stations during reporting period]]*100&gt;WWWW[[#This Row],[Total PoP ]],WWWW[[#This Row],[Total PoP ]],WWWW[[#This Row],['# Functional hand washing stations during reporting period]]*100)</f>
        <v>800</v>
      </c>
      <c r="EA13" s="421" t="str">
        <f>IF(OR(WWWW[[#This Row],['#_students at TLS_CFS]]="",WWWW[[#This Row],['#_students at TLS_CFS]]=0),"No","Yes")</f>
        <v>No</v>
      </c>
      <c r="EB1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3" s="566">
        <f>WWWW[[#This Row],[%_of_affected_people_surveyed_who_report_feeling_satistfied_with_the_latrine_design_and_sanitation_service]]*WWWW[[#This Row],[Total PoP ]]</f>
        <v>0</v>
      </c>
      <c r="ED13" s="566">
        <f>WWWW[[#This Row],[%_of_affected_people_surveyed_who_report_feeling_satistfied_with_the_water_point_design_and_water_service]]*WWWW[[#This Row],[Total PoP ]]</f>
        <v>0</v>
      </c>
      <c r="EE13" s="566">
        <f>WWWW[[#This Row],[%_of_complaints_received_that_result_in_timely_corrective_action_and_feedback_to_the_community]]*WWWW[[#This Row],[Total PoP ]]</f>
        <v>0</v>
      </c>
      <c r="EF1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 s="902" t="str">
        <f>VLOOKUP(WWWW[[#This Row],[Site Name]],SiteDB6[[Site Name]:[CCCM Management]],6,FALSE)</f>
        <v>Yes</v>
      </c>
      <c r="EJ13" s="902" t="str">
        <f>VLOOKUP(WWWW[[#This Row],[Site Name]],SiteDB6[[Site Name]:[CCCM Focal Agency]],7,FALSE)</f>
        <v>KBC-MYT</v>
      </c>
      <c r="EK13" s="902" t="str">
        <f>VLOOKUP(WWWW[[#This Row],[Site Name]],SiteDB6[[Site Name]:[Location Type 1]],9,FALSE)</f>
        <v>Camp</v>
      </c>
      <c r="EL13" s="902" t="str">
        <f>VLOOKUP(WWWW[[#This Row],[Site Name]],SiteDB6[[Site Name]:[Type of Accommodation]],10,FALSE)</f>
        <v>Camp</v>
      </c>
      <c r="EM13" s="902" t="str">
        <f>VLOOKUP(WWWW[[#This Row],[Site Name]],SiteDB6[[Site Name]:[Ethnic or GCA/NGCA]],11,FALSE)</f>
        <v>NGCA</v>
      </c>
      <c r="EN13" s="902">
        <f>VLOOKUP(WWWW[[#This Row],[Site Name]],SiteDB6[[Site Name]:[Lat]],12,FALSE)</f>
        <v>25.754110000000001</v>
      </c>
      <c r="EO13" s="902">
        <f>VLOOKUP(WWWW[[#This Row],[Site Name]],SiteDB6[[Site Name]:[Long]],13,FALSE)</f>
        <v>98.475719999999995</v>
      </c>
      <c r="EP13" s="902" t="str">
        <f>VLOOKUP(WWWW[[#This Row],[Site Name]],SiteDB6[[Site Name]:[Pcode]],3,FALSE)</f>
        <v>MMR001CMP043</v>
      </c>
      <c r="EQ13" s="907" t="str">
        <f t="shared" si="0"/>
        <v>Covered</v>
      </c>
      <c r="ER13" s="907" t="s">
        <v>3126</v>
      </c>
      <c r="ES13" s="907" t="s">
        <v>3126</v>
      </c>
      <c r="ET13" s="902">
        <f>VLOOKUP(WWWW[[#This Row],[Site Name]],SiteDB6[[Site Name]:[Pop
(Kachin/Shan-CCCM as of May 2023)]],16,FALSE)</f>
        <v>178</v>
      </c>
      <c r="EU13" s="902">
        <f>VLOOKUP(WWWW[[#This Row],[Site Name]],SiteDB6[[Site Name]:[Pop
(Kachin/Shan-CCCM as of May 2023)]],17,FALSE)</f>
        <v>1089</v>
      </c>
    </row>
    <row r="14" spans="1:151" hidden="1">
      <c r="A14" s="900" t="s">
        <v>2961</v>
      </c>
      <c r="B14" s="901" t="s">
        <v>141</v>
      </c>
      <c r="C14" s="901" t="s">
        <v>141</v>
      </c>
      <c r="D14" s="901" t="s">
        <v>241</v>
      </c>
      <c r="E14" s="901" t="s">
        <v>37</v>
      </c>
      <c r="F14" s="901" t="s">
        <v>148</v>
      </c>
      <c r="G14" s="902" t="str">
        <f>VLOOKUP(WWWW[[#This Row],[Site Name]],SiteDB6[[Site Name]:[Location Type]],8,FALSE)</f>
        <v>Camp</v>
      </c>
      <c r="H14" s="901" t="s">
        <v>149</v>
      </c>
      <c r="I14" s="903">
        <v>25</v>
      </c>
      <c r="J14" s="903">
        <v>128</v>
      </c>
      <c r="K14" s="904">
        <v>44811</v>
      </c>
      <c r="L14" s="905">
        <v>45175</v>
      </c>
      <c r="M14" s="903"/>
      <c r="N14" s="903">
        <v>1</v>
      </c>
      <c r="O14" s="903"/>
      <c r="P14" s="903"/>
      <c r="Q14" s="906" t="s">
        <v>41</v>
      </c>
      <c r="R14" s="903">
        <v>3</v>
      </c>
      <c r="S14" s="903">
        <v>3</v>
      </c>
      <c r="T14" s="441"/>
      <c r="U14" s="903"/>
      <c r="V14" s="903"/>
      <c r="W14" s="903">
        <v>1</v>
      </c>
      <c r="X14" s="903"/>
      <c r="Y14" s="903"/>
      <c r="Z14" s="903"/>
      <c r="AA14" s="903"/>
      <c r="AB14" s="903"/>
      <c r="AC14" s="903"/>
      <c r="AD14" s="903"/>
      <c r="AE14" s="903"/>
      <c r="AF14" s="903"/>
      <c r="AG14" s="903"/>
      <c r="AH14" s="903"/>
      <c r="AI14" s="903"/>
      <c r="AJ14" s="903"/>
      <c r="AK14" s="903"/>
      <c r="AL14" s="903"/>
      <c r="AM14" s="903"/>
      <c r="AN14" s="903"/>
      <c r="AO14" s="441"/>
      <c r="AP14" s="907"/>
      <c r="AQ14" s="903">
        <v>4</v>
      </c>
      <c r="AR14" s="903"/>
      <c r="AS14" s="908"/>
      <c r="AT14" s="903"/>
      <c r="AU14" s="903"/>
      <c r="AV14" s="903"/>
      <c r="AW14" s="903"/>
      <c r="AX14" s="903">
        <v>4</v>
      </c>
      <c r="AY14" s="902" t="s">
        <v>41</v>
      </c>
      <c r="AZ14" s="907" t="s">
        <v>137</v>
      </c>
      <c r="BA14" s="903"/>
      <c r="BB14" s="903"/>
      <c r="BC14" s="903"/>
      <c r="BD14" s="441"/>
      <c r="BE14" s="441"/>
      <c r="BF14" s="902"/>
      <c r="BG14" s="903">
        <v>1</v>
      </c>
      <c r="BH14" s="903"/>
      <c r="BI14" s="903"/>
      <c r="BJ14" s="903">
        <v>1</v>
      </c>
      <c r="BK14" s="903"/>
      <c r="BL14" s="903"/>
      <c r="BM14" s="903"/>
      <c r="BN14" s="903"/>
      <c r="BO14" s="903"/>
      <c r="BP14" s="902"/>
      <c r="BQ14" s="909"/>
      <c r="BR14" s="908"/>
      <c r="BS14" s="902"/>
      <c r="BT14" s="416"/>
      <c r="BU14" s="416"/>
      <c r="BV14" s="418"/>
      <c r="BW14" s="416"/>
      <c r="BX14" s="441"/>
      <c r="BY14" s="441"/>
      <c r="BZ14" s="441"/>
      <c r="CA14" s="441"/>
      <c r="CB14" s="441"/>
      <c r="CC14" s="693"/>
      <c r="CD14" s="441"/>
      <c r="CE14" s="910" t="str">
        <f>IFERROR(WWWW[[#This Row],['#_Water sources passed]]/WWWW[[#This Row],['#_Water sources tested for fecal coliform ]],"no test")</f>
        <v>no test</v>
      </c>
      <c r="CF14" s="908" t="str">
        <f>IFERROR(WWWW[[#This Row],['#_Household passed]]/WWWW[[#This Row],['#_Household water samples tested for fecal coliform]],"no test")</f>
        <v>no test</v>
      </c>
      <c r="CG14" s="909" t="str">
        <f>IF(AND(WWWW[[#This Row],[% of water sources passed]]="no test",WWWW[[#This Row],[% Household passed]]="no test"),"No Test","Tested")</f>
        <v>No Test</v>
      </c>
      <c r="CH14" s="909">
        <f>WWWW[[#This Row],['#_Constructed/existing protected hand dug well]]-WWWW[[#This Row],['#_Non-functional protected hand dug well]]</f>
        <v>0</v>
      </c>
      <c r="CI14" s="909">
        <f>(WWWW[[#This Row],['#_Constructed/Existing tube wells/boreholes/handpumps_WASH_agency]]+WWWW[[#This Row],['#_Non-Cluster partner water tube-wells/boreholes/handpumps]])-WWWW[[#This Row],['#_Non-functional tube wells/boreholes/handpumps]]</f>
        <v>1</v>
      </c>
      <c r="CJ14" s="909">
        <f>WWWW[[#This Row],['#_Constructed/Existingwater storage tank with gravity fed reticulation system]]-WWWW[[#This Row],['#_Non-functional storage tank gravity fed reticulation system]]</f>
        <v>0</v>
      </c>
      <c r="CK14" s="909">
        <f>(WWWW[[#This Row],['#_Water_Liters_supplied_by_Water boating or water trucking]]/90)/15</f>
        <v>0</v>
      </c>
      <c r="CL14" s="909">
        <f>WWWW[[#This Row],['#_Water_Liters_from_Constructed/Existing water distribution system from river or natural spring]]/90/15</f>
        <v>0</v>
      </c>
      <c r="CM14" s="417">
        <f>IF(WWWW[[#This Row],['#_of water points in TLS/CFS]]*500&gt;WWWW[[#This Row],[Total PoP ]],WWWW[[#This Row],[Total PoP ]],WWWW[[#This Row],['#_of water points in TLS/CFS]]*500)</f>
        <v>0</v>
      </c>
      <c r="CN14" s="417">
        <f>IF(WWWW[[#This Row],['#_of water points in THF]]*500&gt;WWWW[[#This Row],[Total PoP ]],WWWW[[#This Row],[Total PoP ]],WWWW[[#This Row],['#_of water points in THF]]*500)</f>
        <v>0</v>
      </c>
      <c r="CO14" s="417"/>
      <c r="CP14"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4"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4" s="908">
        <f>IF(WWWW[[#This Row],[Location Type 1]]="Village",WWWW[[#This Row],[Access to safe drinking water for Village]],WWWW[[#This Row],[Access to safe drinking water for Camp]])</f>
        <v>1</v>
      </c>
      <c r="CS14" s="906">
        <f>WWWW[[#This Row],[%Equitable and continuous access to sufficient quantity of safe drinking water]]*WWWW[[#This Row],[Total PoP ]]</f>
        <v>128</v>
      </c>
      <c r="CT14" s="908">
        <f>IF((WWWW[[#This Row],['#_Constructed/Existing protected/fenced ponds]]*250)/WWWW[[#This Row],[Total PoP ]]&gt;1,1,(WWWW[[#This Row],['#_Constructed/Existing protected/fenced ponds]]*250)/WWWW[[#This Row],[Total PoP ]])</f>
        <v>0</v>
      </c>
      <c r="CU14" s="906">
        <f>WWWW[[#This Row],[% Access to unimproved water points]]*WWWW[[#This Row],[Total PoP ]]</f>
        <v>0</v>
      </c>
      <c r="CV14"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4"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128</v>
      </c>
      <c r="CX14" s="906">
        <f>WWWW[[#This Row],[HRP1]]/500</f>
        <v>0.25600000000000001</v>
      </c>
      <c r="CY14" s="911">
        <f>1-WWWW[[#This Row],[% Equitable and continuous access to sufficient quantity of domestic water]]</f>
        <v>0</v>
      </c>
      <c r="CZ14" s="906">
        <f>WWWW[[#This Row],[%equitable and continuous access to sufficient quantity of safe drinking and domestic water''s GAP]]*WWWW[[#This Row],[Total PoP ]]</f>
        <v>0</v>
      </c>
      <c r="DA14" s="909">
        <f>IF(WWWW[[#This Row],[Total required water points]]-WWWW[[#This Row],['#Water points coverage]]&lt;0,0,WWWW[[#This Row],[Total required water points]]-WWWW[[#This Row],['#Water points coverage]])</f>
        <v>0.74399999999999999</v>
      </c>
      <c r="DB14" s="909">
        <f>ROUND(IF(WWWW[[#This Row],[Total PoP ]]&lt;500,1,WWWW[[#This Row],[Total PoP ]]/500),0)</f>
        <v>1</v>
      </c>
      <c r="DC14" s="909">
        <f>(WWWW[[#This Row],['#_Constructed latrines_by_WASHAgencies]]+WWWW[[#This Row],['#_Non Cluster partner latrines]])-WWWW[[#This Row],['#_Non-functional latrines]]</f>
        <v>4</v>
      </c>
      <c r="DD14" s="615">
        <f>WWWW[[#This Row],[HRP2]]/WWWW[[#This Row],[Total PoP ]]</f>
        <v>0.625</v>
      </c>
      <c r="DE14"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80</v>
      </c>
      <c r="DF14"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 s="417">
        <f>IF(WWWW[[#This Row],['# of functional latrines in THF supported by WASH partners during the reporting period2]]="",0,WWWW[[#This Row],['# of functional latrines in THF supported by WASH partners during the reporting period2]]*50)</f>
        <v>0</v>
      </c>
      <c r="DI14" s="909">
        <f>ROUND(IF(WWWW[[#This Row],[Location Type 1]]="camp",WWWW[[#This Row],[Total PoP ]]/20,IF(WWWW[[#This Row],[Location Type 1]]="Temporary Location",WWWW[[#This Row],[Total PoP ]]/50,(WWWW[[#This Row],[Total PoP ]]/6))),0)</f>
        <v>6</v>
      </c>
      <c r="DJ14" s="909">
        <f>IF(WWWW[[#This Row],[Total required Latrines]]-(WWWW[[#This Row],['#_Constructed latrines_by_WASHAgencies]]+WWWW[[#This Row],['#_Non Cluster partner latrines]])&lt;0,0,WWWW[[#This Row],[Total required Latrines]]-(WWWW[[#This Row],['#_Constructed latrines_by_WASHAgencies]]+WWWW[[#This Row],['#_Non Cluster partner latrines]]))</f>
        <v>2</v>
      </c>
      <c r="DK14" s="911">
        <f>1-WWWW[[#This Row],[% people access to functioning Latrine]]</f>
        <v>0.375</v>
      </c>
      <c r="DL14" s="910">
        <f>IF(OR(WWWW[[#This Row],['#_Non-functional latrines]]="",WWWW[[#This Row],['#_Non-functional latrines]]=0),0,WWWW[[#This Row],['#_Non-functional latrines]]/(WWWW[[#This Row],['#_Constructed latrines_by_WASHAgencies]]+WWWW[[#This Row],['#_Non Cluster partner latrines]]))</f>
        <v>0</v>
      </c>
      <c r="DM14" s="906">
        <f>IF(500*(WWWW[[#This Row],['#_male hygiene promoters]]+WWWW[[#This Row],['#_female hygiene promoters]])&gt;WWWW[[#This Row],[Total PoP ]],WWWW[[#This Row],[Total PoP ]],500*(WWWW[[#This Row],['#_male hygiene promoters]]+WWWW[[#This Row],['#_female hygiene promoters]]))</f>
        <v>0</v>
      </c>
      <c r="DN14"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 s="909">
        <f>IF(WWWW[[#This Row],['# People with access to soap]]&gt;WWWW[[#This Row],['# People with access to Sanity Pads]],WWWW[[#This Row],['# People with access to soap]],WWWW[[#This Row],['# People with access to Sanity Pads]])</f>
        <v>0</v>
      </c>
      <c r="DQ14"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 s="911">
        <f>IF(WWWW[[#This Row],[HRP3]]/WWWW[[#This Row],[Total PoP ]]&gt;1,1,WWWW[[#This Row],[HRP3]]/WWWW[[#This Row],[Total PoP ]])</f>
        <v>0</v>
      </c>
      <c r="DS14" s="910">
        <f>1-WWWW[[#This Row],[Hygiene Coverage%]]</f>
        <v>1</v>
      </c>
      <c r="DT14" s="908">
        <f>WWWW[[#This Row],['# people reached by regular dedicated hygiene promotion_5]]/WWWW[[#This Row],[Total PoP ]]</f>
        <v>0</v>
      </c>
      <c r="DU14"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 s="909">
        <f>WWWW[[#This Row],['#_Constructed/Existing hand washing stations]]-WWWW[[#This Row],['#_Non-Functional_hand_washing_stations]]</f>
        <v>1</v>
      </c>
      <c r="DX14" s="906">
        <f>IF(WWWW[[#This Row],['# Functional hand washing stations during reporting period]]*20&gt;WWWW[[#This Row],[Total HH]],WWWW[[#This Row],[Total HH]],WWWW[[#This Row],['# Functional hand washing stations during reporting period]]*20)</f>
        <v>20</v>
      </c>
      <c r="DY14" s="906">
        <f>IF(WWWW[[#This Row],[Is sufficient soap available for TLS? (Yes/No)]]="yes",WWWW[[#This Row],['#_Constructed/Existing hand washing stations at TLS/CFS/THF]],0)</f>
        <v>0</v>
      </c>
      <c r="DZ14" s="421">
        <f>IF(WWWW[[#This Row],['# Functional hand washing stations during reporting period]]*100&gt;WWWW[[#This Row],[Total PoP ]],WWWW[[#This Row],[Total PoP ]],WWWW[[#This Row],['# Functional hand washing stations during reporting period]]*100)</f>
        <v>100</v>
      </c>
      <c r="EA14" s="421" t="str">
        <f>IF(OR(WWWW[[#This Row],['#_students at TLS_CFS]]="",WWWW[[#This Row],['#_students at TLS_CFS]]=0),"No","Yes")</f>
        <v>No</v>
      </c>
      <c r="EB1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 s="566">
        <f>WWWW[[#This Row],[%_of_affected_people_surveyed_who_report_feeling_satistfied_with_the_latrine_design_and_sanitation_service]]*WWWW[[#This Row],[Total PoP ]]</f>
        <v>0</v>
      </c>
      <c r="ED14" s="566">
        <f>WWWW[[#This Row],[%_of_affected_people_surveyed_who_report_feeling_satistfied_with_the_water_point_design_and_water_service]]*WWWW[[#This Row],[Total PoP ]]</f>
        <v>0</v>
      </c>
      <c r="EE14" s="566">
        <f>WWWW[[#This Row],[%_of_complaints_received_that_result_in_timely_corrective_action_and_feedback_to_the_community]]*WWWW[[#This Row],[Total PoP ]]</f>
        <v>0</v>
      </c>
      <c r="EF1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 s="902" t="str">
        <f>VLOOKUP(WWWW[[#This Row],[Site Name]],SiteDB6[[Site Name]:[CCCM Management]],6,FALSE)</f>
        <v>Yes</v>
      </c>
      <c r="EJ14" s="902" t="str">
        <f>VLOOKUP(WWWW[[#This Row],[Site Name]],SiteDB6[[Site Name]:[CCCM Focal Agency]],7,FALSE)</f>
        <v>KBC-MYT</v>
      </c>
      <c r="EK14" s="902" t="str">
        <f>VLOOKUP(WWWW[[#This Row],[Site Name]],SiteDB6[[Site Name]:[Location Type 1]],9,FALSE)</f>
        <v>Camp</v>
      </c>
      <c r="EL14" s="902" t="str">
        <f>VLOOKUP(WWWW[[#This Row],[Site Name]],SiteDB6[[Site Name]:[Type of Accommodation]],10,FALSE)</f>
        <v>Camp</v>
      </c>
      <c r="EM14" s="902" t="str">
        <f>VLOOKUP(WWWW[[#This Row],[Site Name]],SiteDB6[[Site Name]:[Ethnic or GCA/NGCA]],11,FALSE)</f>
        <v>GCA</v>
      </c>
      <c r="EN14" s="902">
        <f>VLOOKUP(WWWW[[#This Row],[Site Name]],SiteDB6[[Site Name]:[Lat]],12,FALSE)</f>
        <v>25.51352</v>
      </c>
      <c r="EO14" s="902">
        <f>VLOOKUP(WWWW[[#This Row],[Site Name]],SiteDB6[[Site Name]:[Long]],13,FALSE)</f>
        <v>96.705960000000005</v>
      </c>
      <c r="EP14" s="902" t="str">
        <f>VLOOKUP(WWWW[[#This Row],[Site Name]],SiteDB6[[Site Name]:[Pcode]],3,FALSE)</f>
        <v>MMR001CMP148</v>
      </c>
      <c r="EQ14" s="907" t="str">
        <f t="shared" si="0"/>
        <v>Covered</v>
      </c>
      <c r="ER14" s="907" t="s">
        <v>3126</v>
      </c>
      <c r="ES14" s="907" t="s">
        <v>3126</v>
      </c>
      <c r="ET14" s="902">
        <f>VLOOKUP(WWWW[[#This Row],[Site Name]],SiteDB6[[Site Name]:[Pop
(Kachin/Shan-CCCM as of May 2023)]],16,FALSE)</f>
        <v>26</v>
      </c>
      <c r="EU14" s="902">
        <f>VLOOKUP(WWWW[[#This Row],[Site Name]],SiteDB6[[Site Name]:[Pop
(Kachin/Shan-CCCM as of May 2023)]],17,FALSE)</f>
        <v>128</v>
      </c>
    </row>
    <row r="15" spans="1:151" hidden="1">
      <c r="A15" s="900" t="s">
        <v>2961</v>
      </c>
      <c r="B15" s="901" t="s">
        <v>141</v>
      </c>
      <c r="C15" s="901" t="s">
        <v>141</v>
      </c>
      <c r="D15" s="901" t="s">
        <v>241</v>
      </c>
      <c r="E15" s="901" t="s">
        <v>37</v>
      </c>
      <c r="F15" s="901" t="s">
        <v>148</v>
      </c>
      <c r="G15" s="902" t="str">
        <f>VLOOKUP(WWWW[[#This Row],[Site Name]],SiteDB6[[Site Name]:[Location Type]],8,FALSE)</f>
        <v>Camp</v>
      </c>
      <c r="H15" s="901" t="s">
        <v>190</v>
      </c>
      <c r="I15" s="903">
        <v>24</v>
      </c>
      <c r="J15" s="903">
        <v>105</v>
      </c>
      <c r="K15" s="904">
        <v>44811</v>
      </c>
      <c r="L15" s="905">
        <v>45175</v>
      </c>
      <c r="M15" s="903"/>
      <c r="N15" s="903">
        <v>1</v>
      </c>
      <c r="O15" s="903"/>
      <c r="P15" s="903"/>
      <c r="Q15" s="906"/>
      <c r="R15" s="903">
        <v>2</v>
      </c>
      <c r="S15" s="903">
        <v>2</v>
      </c>
      <c r="T15" s="441">
        <v>1</v>
      </c>
      <c r="U15" s="903"/>
      <c r="V15" s="903"/>
      <c r="W15" s="903">
        <v>1</v>
      </c>
      <c r="X15" s="903"/>
      <c r="Y15" s="903"/>
      <c r="Z15" s="903"/>
      <c r="AA15" s="903"/>
      <c r="AB15" s="903"/>
      <c r="AC15" s="903"/>
      <c r="AD15" s="903"/>
      <c r="AE15" s="903"/>
      <c r="AF15" s="903"/>
      <c r="AG15" s="903"/>
      <c r="AH15" s="903"/>
      <c r="AI15" s="903"/>
      <c r="AJ15" s="903"/>
      <c r="AK15" s="903"/>
      <c r="AL15" s="903"/>
      <c r="AM15" s="903"/>
      <c r="AN15" s="903"/>
      <c r="AO15" s="441"/>
      <c r="AP15" s="907"/>
      <c r="AQ15" s="903"/>
      <c r="AR15" s="903"/>
      <c r="AS15" s="908"/>
      <c r="AT15" s="903"/>
      <c r="AU15" s="903"/>
      <c r="AV15" s="903"/>
      <c r="AW15" s="903"/>
      <c r="AX15" s="903"/>
      <c r="AY15" s="902" t="s">
        <v>140</v>
      </c>
      <c r="AZ15" s="907" t="s">
        <v>140</v>
      </c>
      <c r="BA15" s="903"/>
      <c r="BB15" s="903"/>
      <c r="BC15" s="903"/>
      <c r="BD15" s="441"/>
      <c r="BE15" s="441"/>
      <c r="BF15" s="902"/>
      <c r="BG15" s="903">
        <v>5</v>
      </c>
      <c r="BH15" s="903"/>
      <c r="BI15" s="903"/>
      <c r="BJ15" s="903">
        <v>3</v>
      </c>
      <c r="BK15" s="903"/>
      <c r="BL15" s="903"/>
      <c r="BM15" s="903"/>
      <c r="BN15" s="903"/>
      <c r="BO15" s="903"/>
      <c r="BP15" s="902"/>
      <c r="BQ15" s="909"/>
      <c r="BR15" s="908"/>
      <c r="BS15" s="902"/>
      <c r="BT15" s="416"/>
      <c r="BU15" s="416"/>
      <c r="BV15" s="418"/>
      <c r="BW15" s="416"/>
      <c r="BX15" s="441"/>
      <c r="BY15" s="441"/>
      <c r="BZ15" s="441"/>
      <c r="CA15" s="441"/>
      <c r="CB15" s="441"/>
      <c r="CC15" s="693"/>
      <c r="CD15" s="441"/>
      <c r="CE15" s="910" t="str">
        <f>IFERROR(WWWW[[#This Row],['#_Water sources passed]]/WWWW[[#This Row],['#_Water sources tested for fecal coliform ]],"no test")</f>
        <v>no test</v>
      </c>
      <c r="CF15" s="908" t="str">
        <f>IFERROR(WWWW[[#This Row],['#_Household passed]]/WWWW[[#This Row],['#_Household water samples tested for fecal coliform]],"no test")</f>
        <v>no test</v>
      </c>
      <c r="CG15" s="909" t="str">
        <f>IF(AND(WWWW[[#This Row],[% of water sources passed]]="no test",WWWW[[#This Row],[% Household passed]]="no test"),"No Test","Tested")</f>
        <v>No Test</v>
      </c>
      <c r="CH15" s="909">
        <f>WWWW[[#This Row],['#_Constructed/existing protected hand dug well]]-WWWW[[#This Row],['#_Non-functional protected hand dug well]]</f>
        <v>1</v>
      </c>
      <c r="CI15" s="909">
        <f>(WWWW[[#This Row],['#_Constructed/Existing tube wells/boreholes/handpumps_WASH_agency]]+WWWW[[#This Row],['#_Non-Cluster partner water tube-wells/boreholes/handpumps]])-WWWW[[#This Row],['#_Non-functional tube wells/boreholes/handpumps]]</f>
        <v>1</v>
      </c>
      <c r="CJ15" s="909">
        <f>WWWW[[#This Row],['#_Constructed/Existingwater storage tank with gravity fed reticulation system]]-WWWW[[#This Row],['#_Non-functional storage tank gravity fed reticulation system]]</f>
        <v>0</v>
      </c>
      <c r="CK15" s="909">
        <f>(WWWW[[#This Row],['#_Water_Liters_supplied_by_Water boating or water trucking]]/90)/15</f>
        <v>0</v>
      </c>
      <c r="CL15" s="909">
        <f>WWWW[[#This Row],['#_Water_Liters_from_Constructed/Existing water distribution system from river or natural spring]]/90/15</f>
        <v>0</v>
      </c>
      <c r="CM15" s="417">
        <f>IF(WWWW[[#This Row],['#_of water points in TLS/CFS]]*500&gt;WWWW[[#This Row],[Total PoP ]],WWWW[[#This Row],[Total PoP ]],WWWW[[#This Row],['#_of water points in TLS/CFS]]*500)</f>
        <v>0</v>
      </c>
      <c r="CN15" s="417">
        <f>IF(WWWW[[#This Row],['#_of water points in THF]]*500&gt;WWWW[[#This Row],[Total PoP ]],WWWW[[#This Row],[Total PoP ]],WWWW[[#This Row],['#_of water points in THF]]*500)</f>
        <v>0</v>
      </c>
      <c r="CO15" s="417"/>
      <c r="CP15"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5"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5" s="908">
        <f>IF(WWWW[[#This Row],[Location Type 1]]="Village",WWWW[[#This Row],[Access to safe drinking water for Village]],WWWW[[#This Row],[Access to safe drinking water for Camp]])</f>
        <v>1</v>
      </c>
      <c r="CS15" s="906">
        <f>WWWW[[#This Row],[%Equitable and continuous access to sufficient quantity of safe drinking water]]*WWWW[[#This Row],[Total PoP ]]</f>
        <v>105</v>
      </c>
      <c r="CT15" s="908">
        <f>IF((WWWW[[#This Row],['#_Constructed/Existing protected/fenced ponds]]*250)/WWWW[[#This Row],[Total PoP ]]&gt;1,1,(WWWW[[#This Row],['#_Constructed/Existing protected/fenced ponds]]*250)/WWWW[[#This Row],[Total PoP ]])</f>
        <v>0</v>
      </c>
      <c r="CU15" s="906">
        <f>WWWW[[#This Row],[% Access to unimproved water points]]*WWWW[[#This Row],[Total PoP ]]</f>
        <v>0</v>
      </c>
      <c r="CV15"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5"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105</v>
      </c>
      <c r="CX15" s="906">
        <f>WWWW[[#This Row],[HRP1]]/500</f>
        <v>0.21</v>
      </c>
      <c r="CY15" s="911">
        <f>1-WWWW[[#This Row],[% Equitable and continuous access to sufficient quantity of domestic water]]</f>
        <v>0</v>
      </c>
      <c r="CZ15" s="906">
        <f>WWWW[[#This Row],[%equitable and continuous access to sufficient quantity of safe drinking and domestic water''s GAP]]*WWWW[[#This Row],[Total PoP ]]</f>
        <v>0</v>
      </c>
      <c r="DA15" s="909">
        <f>IF(WWWW[[#This Row],[Total required water points]]-WWWW[[#This Row],['#Water points coverage]]&lt;0,0,WWWW[[#This Row],[Total required water points]]-WWWW[[#This Row],['#Water points coverage]])</f>
        <v>0.79</v>
      </c>
      <c r="DB15" s="909">
        <f>ROUND(IF(WWWW[[#This Row],[Total PoP ]]&lt;500,1,WWWW[[#This Row],[Total PoP ]]/500),0)</f>
        <v>1</v>
      </c>
      <c r="DC15" s="909">
        <f>(WWWW[[#This Row],['#_Constructed latrines_by_WASHAgencies]]+WWWW[[#This Row],['#_Non Cluster partner latrines]])-WWWW[[#This Row],['#_Non-functional latrines]]</f>
        <v>0</v>
      </c>
      <c r="DD15" s="615">
        <f>WWWW[[#This Row],[HRP2]]/WWWW[[#This Row],[Total PoP ]]</f>
        <v>0</v>
      </c>
      <c r="DE15"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5"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 s="417">
        <f>IF(WWWW[[#This Row],['# of functional latrines in THF supported by WASH partners during the reporting period2]]="",0,WWWW[[#This Row],['# of functional latrines in THF supported by WASH partners during the reporting period2]]*50)</f>
        <v>0</v>
      </c>
      <c r="DI15" s="909">
        <f>ROUND(IF(WWWW[[#This Row],[Location Type 1]]="camp",WWWW[[#This Row],[Total PoP ]]/20,IF(WWWW[[#This Row],[Location Type 1]]="Temporary Location",WWWW[[#This Row],[Total PoP ]]/50,(WWWW[[#This Row],[Total PoP ]]/6))),0)</f>
        <v>5</v>
      </c>
      <c r="DJ15" s="909">
        <f>IF(WWWW[[#This Row],[Total required Latrines]]-(WWWW[[#This Row],['#_Constructed latrines_by_WASHAgencies]]+WWWW[[#This Row],['#_Non Cluster partner latrines]])&lt;0,0,WWWW[[#This Row],[Total required Latrines]]-(WWWW[[#This Row],['#_Constructed latrines_by_WASHAgencies]]+WWWW[[#This Row],['#_Non Cluster partner latrines]]))</f>
        <v>5</v>
      </c>
      <c r="DK15" s="911">
        <f>1-WWWW[[#This Row],[% people access to functioning Latrine]]</f>
        <v>1</v>
      </c>
      <c r="DL15" s="910">
        <f>IF(OR(WWWW[[#This Row],['#_Non-functional latrines]]="",WWWW[[#This Row],['#_Non-functional latrines]]=0),0,WWWW[[#This Row],['#_Non-functional latrines]]/(WWWW[[#This Row],['#_Constructed latrines_by_WASHAgencies]]+WWWW[[#This Row],['#_Non Cluster partner latrines]]))</f>
        <v>0</v>
      </c>
      <c r="DM15" s="906">
        <f>IF(500*(WWWW[[#This Row],['#_male hygiene promoters]]+WWWW[[#This Row],['#_female hygiene promoters]])&gt;WWWW[[#This Row],[Total PoP ]],WWWW[[#This Row],[Total PoP ]],500*(WWWW[[#This Row],['#_male hygiene promoters]]+WWWW[[#This Row],['#_female hygiene promoters]]))</f>
        <v>0</v>
      </c>
      <c r="DN15"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 s="909">
        <f>IF(WWWW[[#This Row],['# People with access to soap]]&gt;WWWW[[#This Row],['# People with access to Sanity Pads]],WWWW[[#This Row],['# People with access to soap]],WWWW[[#This Row],['# People with access to Sanity Pads]])</f>
        <v>0</v>
      </c>
      <c r="DQ15"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5" s="911">
        <f>IF(WWWW[[#This Row],[HRP3]]/WWWW[[#This Row],[Total PoP ]]&gt;1,1,WWWW[[#This Row],[HRP3]]/WWWW[[#This Row],[Total PoP ]])</f>
        <v>0</v>
      </c>
      <c r="DS15" s="910">
        <f>1-WWWW[[#This Row],[Hygiene Coverage%]]</f>
        <v>1</v>
      </c>
      <c r="DT15" s="908">
        <f>WWWW[[#This Row],['# people reached by regular dedicated hygiene promotion_5]]/WWWW[[#This Row],[Total PoP ]]</f>
        <v>0</v>
      </c>
      <c r="DU15"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 s="909">
        <f>WWWW[[#This Row],['#_Constructed/Existing hand washing stations]]-WWWW[[#This Row],['#_Non-Functional_hand_washing_stations]]</f>
        <v>5</v>
      </c>
      <c r="DX15" s="906">
        <f>IF(WWWW[[#This Row],['# Functional hand washing stations during reporting period]]*20&gt;WWWW[[#This Row],[Total HH]],WWWW[[#This Row],[Total HH]],WWWW[[#This Row],['# Functional hand washing stations during reporting period]]*20)</f>
        <v>24</v>
      </c>
      <c r="DY15" s="906">
        <f>IF(WWWW[[#This Row],[Is sufficient soap available for TLS? (Yes/No)]]="yes",WWWW[[#This Row],['#_Constructed/Existing hand washing stations at TLS/CFS/THF]],0)</f>
        <v>0</v>
      </c>
      <c r="DZ15" s="421">
        <f>IF(WWWW[[#This Row],['# Functional hand washing stations during reporting period]]*100&gt;WWWW[[#This Row],[Total PoP ]],WWWW[[#This Row],[Total PoP ]],WWWW[[#This Row],['# Functional hand washing stations during reporting period]]*100)</f>
        <v>105</v>
      </c>
      <c r="EA15" s="421" t="str">
        <f>IF(OR(WWWW[[#This Row],['#_students at TLS_CFS]]="",WWWW[[#This Row],['#_students at TLS_CFS]]=0),"No","Yes")</f>
        <v>No</v>
      </c>
      <c r="EB1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 s="566">
        <f>WWWW[[#This Row],[%_of_affected_people_surveyed_who_report_feeling_satistfied_with_the_latrine_design_and_sanitation_service]]*WWWW[[#This Row],[Total PoP ]]</f>
        <v>0</v>
      </c>
      <c r="ED15" s="566">
        <f>WWWW[[#This Row],[%_of_affected_people_surveyed_who_report_feeling_satistfied_with_the_water_point_design_and_water_service]]*WWWW[[#This Row],[Total PoP ]]</f>
        <v>0</v>
      </c>
      <c r="EE15" s="566">
        <f>WWWW[[#This Row],[%_of_complaints_received_that_result_in_timely_corrective_action_and_feedback_to_the_community]]*WWWW[[#This Row],[Total PoP ]]</f>
        <v>0</v>
      </c>
      <c r="EF1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 s="902" t="str">
        <f>VLOOKUP(WWWW[[#This Row],[Site Name]],SiteDB6[[Site Name]:[CCCM Management]],6,FALSE)</f>
        <v>Yes</v>
      </c>
      <c r="EJ15" s="902" t="str">
        <f>VLOOKUP(WWWW[[#This Row],[Site Name]],SiteDB6[[Site Name]:[CCCM Focal Agency]],7,FALSE)</f>
        <v>KMSS-MYT</v>
      </c>
      <c r="EK15" s="902" t="str">
        <f>VLOOKUP(WWWW[[#This Row],[Site Name]],SiteDB6[[Site Name]:[Location Type 1]],9,FALSE)</f>
        <v>Camp</v>
      </c>
      <c r="EL15" s="902" t="str">
        <f>VLOOKUP(WWWW[[#This Row],[Site Name]],SiteDB6[[Site Name]:[Type of Accommodation]],10,FALSE)</f>
        <v>Camp</v>
      </c>
      <c r="EM15" s="902" t="str">
        <f>VLOOKUP(WWWW[[#This Row],[Site Name]],SiteDB6[[Site Name]:[Ethnic or GCA/NGCA]],11,FALSE)</f>
        <v>GCA</v>
      </c>
      <c r="EN15" s="902">
        <f>VLOOKUP(WWWW[[#This Row],[Site Name]],SiteDB6[[Site Name]:[Lat]],12,FALSE)</f>
        <v>25.920006000000001</v>
      </c>
      <c r="EO15" s="902">
        <f>VLOOKUP(WWWW[[#This Row],[Site Name]],SiteDB6[[Site Name]:[Long]],13,FALSE)</f>
        <v>96.662092000000001</v>
      </c>
      <c r="EP15" s="902" t="str">
        <f>VLOOKUP(WWWW[[#This Row],[Site Name]],SiteDB6[[Site Name]:[Pcode]],3,FALSE)</f>
        <v>MMR001CMP247</v>
      </c>
      <c r="EQ15" s="907" t="str">
        <f t="shared" si="0"/>
        <v>Covered</v>
      </c>
      <c r="ER15" s="907" t="s">
        <v>3126</v>
      </c>
      <c r="ES15" s="907" t="s">
        <v>3126</v>
      </c>
      <c r="ET15" s="902">
        <f>VLOOKUP(WWWW[[#This Row],[Site Name]],SiteDB6[[Site Name]:[Pop
(Kachin/Shan-CCCM as of May 2023)]],16,FALSE)</f>
        <v>24</v>
      </c>
      <c r="EU15" s="902">
        <f>VLOOKUP(WWWW[[#This Row],[Site Name]],SiteDB6[[Site Name]:[Pop
(Kachin/Shan-CCCM as of May 2023)]],17,FALSE)</f>
        <v>103</v>
      </c>
    </row>
    <row r="16" spans="1:151" hidden="1">
      <c r="A16" s="900" t="s">
        <v>2961</v>
      </c>
      <c r="B16" s="901" t="s">
        <v>141</v>
      </c>
      <c r="C16" s="901" t="s">
        <v>141</v>
      </c>
      <c r="D16" s="901" t="s">
        <v>241</v>
      </c>
      <c r="E16" s="901" t="s">
        <v>37</v>
      </c>
      <c r="F16" s="901" t="s">
        <v>148</v>
      </c>
      <c r="G16" s="902" t="str">
        <f>VLOOKUP(WWWW[[#This Row],[Site Name]],SiteDB6[[Site Name]:[Location Type]],8,FALSE)</f>
        <v>Camp</v>
      </c>
      <c r="H16" s="901" t="s">
        <v>188</v>
      </c>
      <c r="I16" s="903">
        <v>24</v>
      </c>
      <c r="J16" s="903">
        <v>116</v>
      </c>
      <c r="K16" s="904">
        <v>44811</v>
      </c>
      <c r="L16" s="905">
        <v>45175</v>
      </c>
      <c r="M16" s="903"/>
      <c r="N16" s="903">
        <v>1</v>
      </c>
      <c r="O16" s="903"/>
      <c r="P16" s="903"/>
      <c r="Q16" s="906" t="s">
        <v>41</v>
      </c>
      <c r="R16" s="903">
        <v>2</v>
      </c>
      <c r="S16" s="903">
        <v>2</v>
      </c>
      <c r="T16" s="441">
        <v>1</v>
      </c>
      <c r="U16" s="903"/>
      <c r="V16" s="903"/>
      <c r="W16" s="903">
        <v>2</v>
      </c>
      <c r="X16" s="903"/>
      <c r="Y16" s="903"/>
      <c r="Z16" s="903"/>
      <c r="AA16" s="903"/>
      <c r="AB16" s="903"/>
      <c r="AC16" s="903"/>
      <c r="AD16" s="903"/>
      <c r="AE16" s="903"/>
      <c r="AF16" s="903"/>
      <c r="AG16" s="903"/>
      <c r="AH16" s="903"/>
      <c r="AI16" s="903"/>
      <c r="AJ16" s="903"/>
      <c r="AK16" s="903"/>
      <c r="AL16" s="903"/>
      <c r="AM16" s="903"/>
      <c r="AN16" s="903"/>
      <c r="AO16" s="441"/>
      <c r="AP16" s="907"/>
      <c r="AQ16" s="903">
        <v>5</v>
      </c>
      <c r="AR16" s="903"/>
      <c r="AS16" s="908"/>
      <c r="AT16" s="903"/>
      <c r="AU16" s="903"/>
      <c r="AV16" s="903"/>
      <c r="AW16" s="903"/>
      <c r="AX16" s="903">
        <v>5</v>
      </c>
      <c r="AY16" s="902" t="s">
        <v>41</v>
      </c>
      <c r="AZ16" s="907" t="s">
        <v>899</v>
      </c>
      <c r="BA16" s="903"/>
      <c r="BB16" s="903"/>
      <c r="BC16" s="903"/>
      <c r="BD16" s="441"/>
      <c r="BE16" s="441"/>
      <c r="BF16" s="902"/>
      <c r="BG16" s="903">
        <v>2</v>
      </c>
      <c r="BH16" s="903"/>
      <c r="BI16" s="903"/>
      <c r="BJ16" s="903">
        <v>2</v>
      </c>
      <c r="BK16" s="903"/>
      <c r="BL16" s="903"/>
      <c r="BM16" s="903"/>
      <c r="BN16" s="903"/>
      <c r="BO16" s="903"/>
      <c r="BP16" s="902"/>
      <c r="BQ16" s="909"/>
      <c r="BR16" s="908"/>
      <c r="BS16" s="902"/>
      <c r="BT16" s="416"/>
      <c r="BU16" s="416"/>
      <c r="BV16" s="418"/>
      <c r="BW16" s="416"/>
      <c r="BX16" s="441"/>
      <c r="BY16" s="441"/>
      <c r="BZ16" s="441"/>
      <c r="CA16" s="441"/>
      <c r="CB16" s="441"/>
      <c r="CC16" s="693"/>
      <c r="CD16" s="441"/>
      <c r="CE16" s="910" t="str">
        <f>IFERROR(WWWW[[#This Row],['#_Water sources passed]]/WWWW[[#This Row],['#_Water sources tested for fecal coliform ]],"no test")</f>
        <v>no test</v>
      </c>
      <c r="CF16" s="908" t="str">
        <f>IFERROR(WWWW[[#This Row],['#_Household passed]]/WWWW[[#This Row],['#_Household water samples tested for fecal coliform]],"no test")</f>
        <v>no test</v>
      </c>
      <c r="CG16" s="909" t="str">
        <f>IF(AND(WWWW[[#This Row],[% of water sources passed]]="no test",WWWW[[#This Row],[% Household passed]]="no test"),"No Test","Tested")</f>
        <v>No Test</v>
      </c>
      <c r="CH16" s="909">
        <f>WWWW[[#This Row],['#_Constructed/existing protected hand dug well]]-WWWW[[#This Row],['#_Non-functional protected hand dug well]]</f>
        <v>1</v>
      </c>
      <c r="CI16" s="909">
        <f>(WWWW[[#This Row],['#_Constructed/Existing tube wells/boreholes/handpumps_WASH_agency]]+WWWW[[#This Row],['#_Non-Cluster partner water tube-wells/boreholes/handpumps]])-WWWW[[#This Row],['#_Non-functional tube wells/boreholes/handpumps]]</f>
        <v>2</v>
      </c>
      <c r="CJ16" s="909">
        <f>WWWW[[#This Row],['#_Constructed/Existingwater storage tank with gravity fed reticulation system]]-WWWW[[#This Row],['#_Non-functional storage tank gravity fed reticulation system]]</f>
        <v>0</v>
      </c>
      <c r="CK16" s="909">
        <f>(WWWW[[#This Row],['#_Water_Liters_supplied_by_Water boating or water trucking]]/90)/15</f>
        <v>0</v>
      </c>
      <c r="CL16" s="909">
        <f>WWWW[[#This Row],['#_Water_Liters_from_Constructed/Existing water distribution system from river or natural spring]]/90/15</f>
        <v>0</v>
      </c>
      <c r="CM16" s="417">
        <f>IF(WWWW[[#This Row],['#_of water points in TLS/CFS]]*500&gt;WWWW[[#This Row],[Total PoP ]],WWWW[[#This Row],[Total PoP ]],WWWW[[#This Row],['#_of water points in TLS/CFS]]*500)</f>
        <v>0</v>
      </c>
      <c r="CN16" s="417">
        <f>IF(WWWW[[#This Row],['#_of water points in THF]]*500&gt;WWWW[[#This Row],[Total PoP ]],WWWW[[#This Row],[Total PoP ]],WWWW[[#This Row],['#_of water points in THF]]*500)</f>
        <v>0</v>
      </c>
      <c r="CO16" s="417"/>
      <c r="CP16"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6"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6" s="908">
        <f>IF(WWWW[[#This Row],[Location Type 1]]="Village",WWWW[[#This Row],[Access to safe drinking water for Village]],WWWW[[#This Row],[Access to safe drinking water for Camp]])</f>
        <v>1</v>
      </c>
      <c r="CS16" s="906">
        <f>WWWW[[#This Row],[%Equitable and continuous access to sufficient quantity of safe drinking water]]*WWWW[[#This Row],[Total PoP ]]</f>
        <v>116</v>
      </c>
      <c r="CT16" s="908">
        <f>IF((WWWW[[#This Row],['#_Constructed/Existing protected/fenced ponds]]*250)/WWWW[[#This Row],[Total PoP ]]&gt;1,1,(WWWW[[#This Row],['#_Constructed/Existing protected/fenced ponds]]*250)/WWWW[[#This Row],[Total PoP ]])</f>
        <v>0</v>
      </c>
      <c r="CU16" s="906">
        <f>WWWW[[#This Row],[% Access to unimproved water points]]*WWWW[[#This Row],[Total PoP ]]</f>
        <v>0</v>
      </c>
      <c r="CV16"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6"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116</v>
      </c>
      <c r="CX16" s="906">
        <f>WWWW[[#This Row],[HRP1]]/500</f>
        <v>0.23200000000000001</v>
      </c>
      <c r="CY16" s="911">
        <f>1-WWWW[[#This Row],[% Equitable and continuous access to sufficient quantity of domestic water]]</f>
        <v>0</v>
      </c>
      <c r="CZ16" s="906">
        <f>WWWW[[#This Row],[%equitable and continuous access to sufficient quantity of safe drinking and domestic water''s GAP]]*WWWW[[#This Row],[Total PoP ]]</f>
        <v>0</v>
      </c>
      <c r="DA16" s="909">
        <f>IF(WWWW[[#This Row],[Total required water points]]-WWWW[[#This Row],['#Water points coverage]]&lt;0,0,WWWW[[#This Row],[Total required water points]]-WWWW[[#This Row],['#Water points coverage]])</f>
        <v>0.76800000000000002</v>
      </c>
      <c r="DB16" s="909">
        <f>ROUND(IF(WWWW[[#This Row],[Total PoP ]]&lt;500,1,WWWW[[#This Row],[Total PoP ]]/500),0)</f>
        <v>1</v>
      </c>
      <c r="DC16" s="909">
        <f>(WWWW[[#This Row],['#_Constructed latrines_by_WASHAgencies]]+WWWW[[#This Row],['#_Non Cluster partner latrines]])-WWWW[[#This Row],['#_Non-functional latrines]]</f>
        <v>5</v>
      </c>
      <c r="DD16" s="615">
        <f>WWWW[[#This Row],[HRP2]]/WWWW[[#This Row],[Total PoP ]]</f>
        <v>0.86206896551724133</v>
      </c>
      <c r="DE16"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16"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6"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 s="417">
        <f>IF(WWWW[[#This Row],['# of functional latrines in THF supported by WASH partners during the reporting period2]]="",0,WWWW[[#This Row],['# of functional latrines in THF supported by WASH partners during the reporting period2]]*50)</f>
        <v>0</v>
      </c>
      <c r="DI16" s="909">
        <f>ROUND(IF(WWWW[[#This Row],[Location Type 1]]="camp",WWWW[[#This Row],[Total PoP ]]/20,IF(WWWW[[#This Row],[Location Type 1]]="Temporary Location",WWWW[[#This Row],[Total PoP ]]/50,(WWWW[[#This Row],[Total PoP ]]/6))),0)</f>
        <v>6</v>
      </c>
      <c r="DJ16" s="909">
        <f>IF(WWWW[[#This Row],[Total required Latrines]]-(WWWW[[#This Row],['#_Constructed latrines_by_WASHAgencies]]+WWWW[[#This Row],['#_Non Cluster partner latrines]])&lt;0,0,WWWW[[#This Row],[Total required Latrines]]-(WWWW[[#This Row],['#_Constructed latrines_by_WASHAgencies]]+WWWW[[#This Row],['#_Non Cluster partner latrines]]))</f>
        <v>1</v>
      </c>
      <c r="DK16" s="911">
        <f>1-WWWW[[#This Row],[% people access to functioning Latrine]]</f>
        <v>0.13793103448275867</v>
      </c>
      <c r="DL16" s="910">
        <f>IF(OR(WWWW[[#This Row],['#_Non-functional latrines]]="",WWWW[[#This Row],['#_Non-functional latrines]]=0),0,WWWW[[#This Row],['#_Non-functional latrines]]/(WWWW[[#This Row],['#_Constructed latrines_by_WASHAgencies]]+WWWW[[#This Row],['#_Non Cluster partner latrines]]))</f>
        <v>0</v>
      </c>
      <c r="DM16" s="906">
        <f>IF(500*(WWWW[[#This Row],['#_male hygiene promoters]]+WWWW[[#This Row],['#_female hygiene promoters]])&gt;WWWW[[#This Row],[Total PoP ]],WWWW[[#This Row],[Total PoP ]],500*(WWWW[[#This Row],['#_male hygiene promoters]]+WWWW[[#This Row],['#_female hygiene promoters]]))</f>
        <v>0</v>
      </c>
      <c r="DN16"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 s="909">
        <f>IF(WWWW[[#This Row],['# People with access to soap]]&gt;WWWW[[#This Row],['# People with access to Sanity Pads]],WWWW[[#This Row],['# People with access to soap]],WWWW[[#This Row],['# People with access to Sanity Pads]])</f>
        <v>0</v>
      </c>
      <c r="DQ16"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6" s="911">
        <f>IF(WWWW[[#This Row],[HRP3]]/WWWW[[#This Row],[Total PoP ]]&gt;1,1,WWWW[[#This Row],[HRP3]]/WWWW[[#This Row],[Total PoP ]])</f>
        <v>0</v>
      </c>
      <c r="DS16" s="910">
        <f>1-WWWW[[#This Row],[Hygiene Coverage%]]</f>
        <v>1</v>
      </c>
      <c r="DT16" s="908">
        <f>WWWW[[#This Row],['# people reached by regular dedicated hygiene promotion_5]]/WWWW[[#This Row],[Total PoP ]]</f>
        <v>0</v>
      </c>
      <c r="DU16"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 s="909">
        <f>WWWW[[#This Row],['#_Constructed/Existing hand washing stations]]-WWWW[[#This Row],['#_Non-Functional_hand_washing_stations]]</f>
        <v>2</v>
      </c>
      <c r="DX16" s="906">
        <f>IF(WWWW[[#This Row],['# Functional hand washing stations during reporting period]]*20&gt;WWWW[[#This Row],[Total HH]],WWWW[[#This Row],[Total HH]],WWWW[[#This Row],['# Functional hand washing stations during reporting period]]*20)</f>
        <v>24</v>
      </c>
      <c r="DY16" s="906">
        <f>IF(WWWW[[#This Row],[Is sufficient soap available for TLS? (Yes/No)]]="yes",WWWW[[#This Row],['#_Constructed/Existing hand washing stations at TLS/CFS/THF]],0)</f>
        <v>0</v>
      </c>
      <c r="DZ16" s="421">
        <f>IF(WWWW[[#This Row],['# Functional hand washing stations during reporting period]]*100&gt;WWWW[[#This Row],[Total PoP ]],WWWW[[#This Row],[Total PoP ]],WWWW[[#This Row],['# Functional hand washing stations during reporting period]]*100)</f>
        <v>116</v>
      </c>
      <c r="EA16" s="421" t="str">
        <f>IF(OR(WWWW[[#This Row],['#_students at TLS_CFS]]="",WWWW[[#This Row],['#_students at TLS_CFS]]=0),"No","Yes")</f>
        <v>No</v>
      </c>
      <c r="EB1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6" s="566">
        <f>WWWW[[#This Row],[%_of_affected_people_surveyed_who_report_feeling_satistfied_with_the_latrine_design_and_sanitation_service]]*WWWW[[#This Row],[Total PoP ]]</f>
        <v>0</v>
      </c>
      <c r="ED16" s="566">
        <f>WWWW[[#This Row],[%_of_affected_people_surveyed_who_report_feeling_satistfied_with_the_water_point_design_and_water_service]]*WWWW[[#This Row],[Total PoP ]]</f>
        <v>0</v>
      </c>
      <c r="EE16" s="566">
        <f>WWWW[[#This Row],[%_of_complaints_received_that_result_in_timely_corrective_action_and_feedback_to_the_community]]*WWWW[[#This Row],[Total PoP ]]</f>
        <v>0</v>
      </c>
      <c r="EF1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 s="902" t="str">
        <f>VLOOKUP(WWWW[[#This Row],[Site Name]],SiteDB6[[Site Name]:[CCCM Management]],6,FALSE)</f>
        <v>Yes</v>
      </c>
      <c r="EJ16" s="902" t="str">
        <f>VLOOKUP(WWWW[[#This Row],[Site Name]],SiteDB6[[Site Name]:[CCCM Focal Agency]],7,FALSE)</f>
        <v>KBC-MYT</v>
      </c>
      <c r="EK16" s="902" t="str">
        <f>VLOOKUP(WWWW[[#This Row],[Site Name]],SiteDB6[[Site Name]:[Location Type 1]],9,FALSE)</f>
        <v>Camp</v>
      </c>
      <c r="EL16" s="902" t="str">
        <f>VLOOKUP(WWWW[[#This Row],[Site Name]],SiteDB6[[Site Name]:[Type of Accommodation]],10,FALSE)</f>
        <v>Camp</v>
      </c>
      <c r="EM16" s="902" t="str">
        <f>VLOOKUP(WWWW[[#This Row],[Site Name]],SiteDB6[[Site Name]:[Ethnic or GCA/NGCA]],11,FALSE)</f>
        <v>GCA</v>
      </c>
      <c r="EN16" s="902">
        <f>VLOOKUP(WWWW[[#This Row],[Site Name]],SiteDB6[[Site Name]:[Lat]],12,FALSE)</f>
        <v>25.920006000000001</v>
      </c>
      <c r="EO16" s="902">
        <f>VLOOKUP(WWWW[[#This Row],[Site Name]],SiteDB6[[Site Name]:[Long]],13,FALSE)</f>
        <v>96.662092000000001</v>
      </c>
      <c r="EP16" s="902" t="str">
        <f>VLOOKUP(WWWW[[#This Row],[Site Name]],SiteDB6[[Site Name]:[Pcode]],3,FALSE)</f>
        <v>MMR001CMP244</v>
      </c>
      <c r="EQ16" s="907" t="str">
        <f t="shared" si="0"/>
        <v>Covered</v>
      </c>
      <c r="ER16" s="907" t="s">
        <v>3126</v>
      </c>
      <c r="ES16" s="907" t="s">
        <v>3126</v>
      </c>
      <c r="ET16" s="902">
        <f>VLOOKUP(WWWW[[#This Row],[Site Name]],SiteDB6[[Site Name]:[Pop
(Kachin/Shan-CCCM as of May 2023)]],16,FALSE)</f>
        <v>24</v>
      </c>
      <c r="EU16" s="902">
        <f>VLOOKUP(WWWW[[#This Row],[Site Name]],SiteDB6[[Site Name]:[Pop
(Kachin/Shan-CCCM as of May 2023)]],17,FALSE)</f>
        <v>111</v>
      </c>
    </row>
    <row r="17" spans="1:151" hidden="1">
      <c r="A17" s="900" t="s">
        <v>2961</v>
      </c>
      <c r="B17" s="900" t="s">
        <v>141</v>
      </c>
      <c r="C17" s="901" t="s">
        <v>141</v>
      </c>
      <c r="D17" s="901" t="s">
        <v>3097</v>
      </c>
      <c r="E17" s="901" t="s">
        <v>37</v>
      </c>
      <c r="F17" s="901" t="s">
        <v>38</v>
      </c>
      <c r="G17" s="902" t="str">
        <f>VLOOKUP(WWWW[[#This Row],[Site Name]],SiteDB6[[Site Name]:[Location Type]],8,FALSE)</f>
        <v>Camp</v>
      </c>
      <c r="H17" s="901" t="s">
        <v>183</v>
      </c>
      <c r="I17" s="903">
        <v>365</v>
      </c>
      <c r="J17" s="903">
        <v>1517</v>
      </c>
      <c r="K17" s="904">
        <v>44896</v>
      </c>
      <c r="L17" s="905">
        <v>45016</v>
      </c>
      <c r="M17" s="903"/>
      <c r="N17" s="903"/>
      <c r="O17" s="903"/>
      <c r="P17" s="903"/>
      <c r="Q17" s="906" t="s">
        <v>41</v>
      </c>
      <c r="R17" s="903">
        <v>4</v>
      </c>
      <c r="S17" s="903">
        <v>4</v>
      </c>
      <c r="T17" s="441">
        <v>1</v>
      </c>
      <c r="U17" s="903"/>
      <c r="V17" s="903">
        <v>1</v>
      </c>
      <c r="W17" s="903">
        <v>1</v>
      </c>
      <c r="X17" s="903"/>
      <c r="Y17" s="903"/>
      <c r="Z17" s="903"/>
      <c r="AA17" s="903"/>
      <c r="AB17" s="903"/>
      <c r="AC17" s="903"/>
      <c r="AD17" s="903"/>
      <c r="AE17" s="903"/>
      <c r="AF17" s="903"/>
      <c r="AG17" s="903"/>
      <c r="AH17" s="903"/>
      <c r="AI17" s="903"/>
      <c r="AJ17" s="903"/>
      <c r="AK17" s="903"/>
      <c r="AL17" s="903"/>
      <c r="AM17" s="903"/>
      <c r="AN17" s="903"/>
      <c r="AO17" s="441"/>
      <c r="AP17" s="907" t="s">
        <v>140</v>
      </c>
      <c r="AQ17" s="903">
        <v>90</v>
      </c>
      <c r="AR17" s="903"/>
      <c r="AS17" s="908"/>
      <c r="AT17" s="903">
        <v>1</v>
      </c>
      <c r="AU17" s="903"/>
      <c r="AV17" s="903">
        <v>79</v>
      </c>
      <c r="AW17" s="903">
        <v>169.43503000000001</v>
      </c>
      <c r="AX17" s="903"/>
      <c r="AY17" s="902" t="s">
        <v>41</v>
      </c>
      <c r="AZ17" s="907" t="s">
        <v>137</v>
      </c>
      <c r="BA17" s="903"/>
      <c r="BB17" s="903"/>
      <c r="BC17" s="903"/>
      <c r="BD17" s="441"/>
      <c r="BE17" s="441"/>
      <c r="BF17" s="902" t="s">
        <v>140</v>
      </c>
      <c r="BG17" s="903">
        <v>25</v>
      </c>
      <c r="BH17" s="903">
        <v>10</v>
      </c>
      <c r="BI17" s="903">
        <v>2</v>
      </c>
      <c r="BJ17" s="903">
        <v>2</v>
      </c>
      <c r="BK17" s="903"/>
      <c r="BL17" s="903"/>
      <c r="BM17" s="903">
        <v>4</v>
      </c>
      <c r="BN17" s="903"/>
      <c r="BO17" s="903"/>
      <c r="BP17" s="902" t="s">
        <v>136</v>
      </c>
      <c r="BQ17" s="909"/>
      <c r="BR17" s="908">
        <v>0.3</v>
      </c>
      <c r="BS17" s="902" t="s">
        <v>140</v>
      </c>
      <c r="BT17" s="416">
        <v>0.8</v>
      </c>
      <c r="BU17" s="416">
        <v>0.8</v>
      </c>
      <c r="BV17" s="418">
        <v>20</v>
      </c>
      <c r="BW17" s="416">
        <v>0.8</v>
      </c>
      <c r="BX17" s="441"/>
      <c r="BY17" s="441"/>
      <c r="BZ17" s="441"/>
      <c r="CA17" s="441"/>
      <c r="CB17" s="441"/>
      <c r="CC17" s="693"/>
      <c r="CD17" s="441"/>
      <c r="CE17" s="910" t="str">
        <f>IFERROR(WWWW[[#This Row],['#_Water sources passed]]/WWWW[[#This Row],['#_Water sources tested for fecal coliform ]],"no test")</f>
        <v>no test</v>
      </c>
      <c r="CF17" s="908" t="str">
        <f>IFERROR(WWWW[[#This Row],['#_Household passed]]/WWWW[[#This Row],['#_Household water samples tested for fecal coliform]],"no test")</f>
        <v>no test</v>
      </c>
      <c r="CG17" s="909" t="str">
        <f>IF(AND(WWWW[[#This Row],[% of water sources passed]]="no test",WWWW[[#This Row],[% Household passed]]="no test"),"No Test","Tested")</f>
        <v>No Test</v>
      </c>
      <c r="CH17" s="909">
        <f>WWWW[[#This Row],['#_Constructed/existing protected hand dug well]]-WWWW[[#This Row],['#_Non-functional protected hand dug well]]</f>
        <v>1</v>
      </c>
      <c r="CI17" s="909">
        <f>(WWWW[[#This Row],['#_Constructed/Existing tube wells/boreholes/handpumps_WASH_agency]]+WWWW[[#This Row],['#_Non-Cluster partner water tube-wells/boreholes/handpumps]])-WWWW[[#This Row],['#_Non-functional tube wells/boreholes/handpumps]]</f>
        <v>1</v>
      </c>
      <c r="CJ17" s="909">
        <f>WWWW[[#This Row],['#_Constructed/Existingwater storage tank with gravity fed reticulation system]]-WWWW[[#This Row],['#_Non-functional storage tank gravity fed reticulation system]]</f>
        <v>0</v>
      </c>
      <c r="CK17" s="909">
        <f>(WWWW[[#This Row],['#_Water_Liters_supplied_by_Water boating or water trucking]]/90)/15</f>
        <v>0</v>
      </c>
      <c r="CL17" s="909">
        <f>WWWW[[#This Row],['#_Water_Liters_from_Constructed/Existing water distribution system from river or natural spring]]/90/15</f>
        <v>0</v>
      </c>
      <c r="CM17" s="417">
        <f>IF(WWWW[[#This Row],['#_of water points in TLS/CFS]]*500&gt;WWWW[[#This Row],[Total PoP ]],WWWW[[#This Row],[Total PoP ]],WWWW[[#This Row],['#_of water points in TLS/CFS]]*500)</f>
        <v>0</v>
      </c>
      <c r="CN17" s="417">
        <f>IF(WWWW[[#This Row],['#_of water points in THF]]*500&gt;WWWW[[#This Row],[Total PoP ]],WWWW[[#This Row],[Total PoP ]],WWWW[[#This Row],['#_of water points in THF]]*500)</f>
        <v>0</v>
      </c>
      <c r="CO17" s="417"/>
      <c r="CP17"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0.59327620303230055</v>
      </c>
      <c r="CQ17"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0.32959789057350031</v>
      </c>
      <c r="CR17" s="908">
        <f>IF(WWWW[[#This Row],[Location Type 1]]="Village",WWWW[[#This Row],[Access to safe drinking water for Village]],WWWW[[#This Row],[Access to safe drinking water for Camp]])</f>
        <v>0.59327620303230055</v>
      </c>
      <c r="CS17" s="906">
        <f>WWWW[[#This Row],[%Equitable and continuous access to sufficient quantity of safe drinking water]]*WWWW[[#This Row],[Total PoP ]]</f>
        <v>899.99999999999989</v>
      </c>
      <c r="CT17" s="908">
        <f>IF((WWWW[[#This Row],['#_Constructed/Existing protected/fenced ponds]]*250)/WWWW[[#This Row],[Total PoP ]]&gt;1,1,(WWWW[[#This Row],['#_Constructed/Existing protected/fenced ponds]]*250)/WWWW[[#This Row],[Total PoP ]])</f>
        <v>0</v>
      </c>
      <c r="CU17" s="906">
        <f>WWWW[[#This Row],[% Access to unimproved water points]]*WWWW[[#This Row],[Total PoP ]]</f>
        <v>0</v>
      </c>
      <c r="CV17"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0.59327620303230055</v>
      </c>
      <c r="CW17"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899.99999999999989</v>
      </c>
      <c r="CX17" s="906">
        <f>WWWW[[#This Row],[HRP1]]/500</f>
        <v>1.7999999999999998</v>
      </c>
      <c r="CY17" s="911">
        <f>1-WWWW[[#This Row],[% Equitable and continuous access to sufficient quantity of domestic water]]</f>
        <v>0.40672379696769945</v>
      </c>
      <c r="CZ17" s="906">
        <f>WWWW[[#This Row],[%equitable and continuous access to sufficient quantity of safe drinking and domestic water''s GAP]]*WWWW[[#This Row],[Total PoP ]]</f>
        <v>617.00000000000011</v>
      </c>
      <c r="DA17" s="909">
        <f>IF(WWWW[[#This Row],[Total required water points]]-WWWW[[#This Row],['#Water points coverage]]&lt;0,0,WWWW[[#This Row],[Total required water points]]-WWWW[[#This Row],['#Water points coverage]])</f>
        <v>1.2000000000000002</v>
      </c>
      <c r="DB17" s="909">
        <f>ROUND(IF(WWWW[[#This Row],[Total PoP ]]&lt;500,1,WWWW[[#This Row],[Total PoP ]]/500),0)</f>
        <v>3</v>
      </c>
      <c r="DC17" s="909">
        <f>(WWWW[[#This Row],['#_Constructed latrines_by_WASHAgencies]]+WWWW[[#This Row],['#_Non Cluster partner latrines]])-WWWW[[#This Row],['#_Non-functional latrines]]</f>
        <v>89</v>
      </c>
      <c r="DD17" s="615">
        <f>WWWW[[#This Row],[HRP2]]/WWWW[[#This Row],[Total PoP ]]</f>
        <v>1</v>
      </c>
      <c r="DE17"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1517</v>
      </c>
      <c r="DF17"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1517</v>
      </c>
      <c r="DG17"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 s="417">
        <f>IF(WWWW[[#This Row],['# of functional latrines in THF supported by WASH partners during the reporting period2]]="",0,WWWW[[#This Row],['# of functional latrines in THF supported by WASH partners during the reporting period2]]*50)</f>
        <v>0</v>
      </c>
      <c r="DI17" s="909">
        <f>ROUND(IF(WWWW[[#This Row],[Location Type 1]]="camp",WWWW[[#This Row],[Total PoP ]]/20,IF(WWWW[[#This Row],[Location Type 1]]="Temporary Location",WWWW[[#This Row],[Total PoP ]]/50,(WWWW[[#This Row],[Total PoP ]]/6))),0)</f>
        <v>76</v>
      </c>
      <c r="DJ17" s="909">
        <f>IF(WWWW[[#This Row],[Total required Latrines]]-(WWWW[[#This Row],['#_Constructed latrines_by_WASHAgencies]]+WWWW[[#This Row],['#_Non Cluster partner latrines]])&lt;0,0,WWWW[[#This Row],[Total required Latrines]]-(WWWW[[#This Row],['#_Constructed latrines_by_WASHAgencies]]+WWWW[[#This Row],['#_Non Cluster partner latrines]]))</f>
        <v>0</v>
      </c>
      <c r="DK17" s="911">
        <f>1-WWWW[[#This Row],[% people access to functioning Latrine]]</f>
        <v>0</v>
      </c>
      <c r="DL17" s="910">
        <f>IF(OR(WWWW[[#This Row],['#_Non-functional latrines]]="",WWWW[[#This Row],['#_Non-functional latrines]]=0),0,WWWW[[#This Row],['#_Non-functional latrines]]/(WWWW[[#This Row],['#_Constructed latrines_by_WASHAgencies]]+WWWW[[#This Row],['#_Non Cluster partner latrines]]))</f>
        <v>1.1111111111111112E-2</v>
      </c>
      <c r="DM17" s="906">
        <f>IF(500*(WWWW[[#This Row],['#_male hygiene promoters]]+WWWW[[#This Row],['#_female hygiene promoters]])&gt;WWWW[[#This Row],[Total PoP ]],WWWW[[#This Row],[Total PoP ]],500*(WWWW[[#This Row],['#_male hygiene promoters]]+WWWW[[#This Row],['#_female hygiene promoters]]))</f>
        <v>1517</v>
      </c>
      <c r="DN17"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7"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7" s="909">
        <f>IF(WWWW[[#This Row],['# People with access to soap]]&gt;WWWW[[#This Row],['# People with access to Sanity Pads]],WWWW[[#This Row],['# People with access to soap]],WWWW[[#This Row],['# People with access to Sanity Pads]])</f>
        <v>0</v>
      </c>
      <c r="DQ17" s="909">
        <f>IF(WWWW[[#This Row],['# people reached by regular dedicated hygiene promotion_5]]&gt;WWWW[[#This Row],['# People received regular supply of hygiene items_6]],WWWW[[#This Row],['# people reached by regular dedicated hygiene promotion_5]],WWWW[[#This Row],['# People received regular supply of hygiene items_6]])</f>
        <v>1517</v>
      </c>
      <c r="DR17" s="911">
        <f>IF(WWWW[[#This Row],[HRP3]]/WWWW[[#This Row],[Total PoP ]]&gt;1,1,WWWW[[#This Row],[HRP3]]/WWWW[[#This Row],[Total PoP ]])</f>
        <v>1</v>
      </c>
      <c r="DS17" s="910">
        <f>1-WWWW[[#This Row],[Hygiene Coverage%]]</f>
        <v>0</v>
      </c>
      <c r="DT17" s="908">
        <f>WWWW[[#This Row],['# people reached by regular dedicated hygiene promotion_5]]/WWWW[[#This Row],[Total PoP ]]</f>
        <v>1</v>
      </c>
      <c r="DU17"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7"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7" s="909">
        <f>WWWW[[#This Row],['#_Constructed/Existing hand washing stations]]-WWWW[[#This Row],['#_Non-Functional_hand_washing_stations]]</f>
        <v>15</v>
      </c>
      <c r="DX17" s="906">
        <f>IF(WWWW[[#This Row],['# Functional hand washing stations during reporting period]]*20&gt;WWWW[[#This Row],[Total HH]],WWWW[[#This Row],[Total HH]],WWWW[[#This Row],['# Functional hand washing stations during reporting period]]*20)</f>
        <v>300</v>
      </c>
      <c r="DY17" s="906">
        <f>IF(WWWW[[#This Row],[Is sufficient soap available for TLS? (Yes/No)]]="yes",WWWW[[#This Row],['#_Constructed/Existing hand washing stations at TLS/CFS/THF]],0)</f>
        <v>0</v>
      </c>
      <c r="DZ17" s="421">
        <f>IF(WWWW[[#This Row],['# Functional hand washing stations during reporting period]]*100&gt;WWWW[[#This Row],[Total PoP ]],WWWW[[#This Row],[Total PoP ]],WWWW[[#This Row],['# Functional hand washing stations during reporting period]]*100)</f>
        <v>1500</v>
      </c>
      <c r="EA17" s="421" t="str">
        <f>IF(OR(WWWW[[#This Row],['#_students at TLS_CFS]]="",WWWW[[#This Row],['#_students at TLS_CFS]]=0),"No","Yes")</f>
        <v>No</v>
      </c>
      <c r="EB17" s="615">
        <f>IF(WWWW[[#This Row],['#_of_affected_people_surveyed_who_report_feeling_informed_about_the_different_WASH_services_available_to_them]]="","",WWWW[[#This Row],['#_of_affected_people_surveyed_who_report_feeling_informed_about_the_different_WASH_services_available_to_them]]/WWWW[[#This Row],[Total PoP ]])</f>
        <v>1.3183915622940013E-2</v>
      </c>
      <c r="EC17" s="566">
        <f>WWWW[[#This Row],[%_of_affected_people_surveyed_who_report_feeling_satistfied_with_the_latrine_design_and_sanitation_service]]*WWWW[[#This Row],[Total PoP ]]</f>
        <v>1213.6000000000001</v>
      </c>
      <c r="ED17" s="566">
        <f>WWWW[[#This Row],[%_of_affected_people_surveyed_who_report_feeling_satistfied_with_the_water_point_design_and_water_service]]*WWWW[[#This Row],[Total PoP ]]</f>
        <v>1213.6000000000001</v>
      </c>
      <c r="EE17" s="566">
        <f>WWWW[[#This Row],[%_of_complaints_received_that_result_in_timely_corrective_action_and_feedback_to_the_community]]*WWWW[[#This Row],[Total PoP ]]</f>
        <v>1213.6000000000001</v>
      </c>
      <c r="EF1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1213.6000000000001</v>
      </c>
      <c r="EG1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7" s="902" t="str">
        <f>VLOOKUP(WWWW[[#This Row],[Site Name]],SiteDB6[[Site Name]:[CCCM Management]],6,FALSE)</f>
        <v>Yes</v>
      </c>
      <c r="EJ17" s="902" t="str">
        <f>VLOOKUP(WWWW[[#This Row],[Site Name]],SiteDB6[[Site Name]:[CCCM Focal Agency]],7,FALSE)</f>
        <v>KBC-BMO</v>
      </c>
      <c r="EK17" s="902" t="str">
        <f>VLOOKUP(WWWW[[#This Row],[Site Name]],SiteDB6[[Site Name]:[Location Type 1]],9,FALSE)</f>
        <v>Camp</v>
      </c>
      <c r="EL17" s="902" t="str">
        <f>VLOOKUP(WWWW[[#This Row],[Site Name]],SiteDB6[[Site Name]:[Type of Accommodation]],10,FALSE)</f>
        <v>Camp</v>
      </c>
      <c r="EM17" s="902" t="str">
        <f>VLOOKUP(WWWW[[#This Row],[Site Name]],SiteDB6[[Site Name]:[Ethnic or GCA/NGCA]],11,FALSE)</f>
        <v>GCA</v>
      </c>
      <c r="EN17" s="902">
        <f>VLOOKUP(WWWW[[#This Row],[Site Name]],SiteDB6[[Site Name]:[Lat]],12,FALSE)</f>
        <v>23.972453000000002</v>
      </c>
      <c r="EO17" s="902">
        <f>VLOOKUP(WWWW[[#This Row],[Site Name]],SiteDB6[[Site Name]:[Long]],13,FALSE)</f>
        <v>97.225881000000001</v>
      </c>
      <c r="EP17" s="902" t="str">
        <f>VLOOKUP(WWWW[[#This Row],[Site Name]],SiteDB6[[Site Name]:[Pcode]],3,FALSE)</f>
        <v>MMR001CMP218</v>
      </c>
      <c r="EQ17" s="907" t="str">
        <f t="shared" si="0"/>
        <v>Covered</v>
      </c>
      <c r="ER17" s="907" t="s">
        <v>3126</v>
      </c>
      <c r="ES17" s="907" t="s">
        <v>3126</v>
      </c>
      <c r="ET17" s="902">
        <f>VLOOKUP(WWWW[[#This Row],[Site Name]],SiteDB6[[Site Name]:[Pop
(Kachin/Shan-CCCM as of May 2023)]],16,FALSE)</f>
        <v>365</v>
      </c>
      <c r="EU17" s="902">
        <f>VLOOKUP(WWWW[[#This Row],[Site Name]],SiteDB6[[Site Name]:[Pop
(Kachin/Shan-CCCM as of May 2023)]],17,FALSE)</f>
        <v>1718</v>
      </c>
    </row>
    <row r="18" spans="1:151" hidden="1">
      <c r="A18" s="900" t="s">
        <v>2961</v>
      </c>
      <c r="B18" s="901" t="s">
        <v>141</v>
      </c>
      <c r="C18" s="901" t="s">
        <v>141</v>
      </c>
      <c r="D18" s="901" t="s">
        <v>241</v>
      </c>
      <c r="E18" s="901" t="s">
        <v>37</v>
      </c>
      <c r="F18" s="901" t="s">
        <v>152</v>
      </c>
      <c r="G18" s="902" t="str">
        <f>VLOOKUP(WWWW[[#This Row],[Site Name]],SiteDB6[[Site Name]:[Location Type]],8,FALSE)</f>
        <v>Camp</v>
      </c>
      <c r="H18" s="901" t="s">
        <v>153</v>
      </c>
      <c r="I18" s="903">
        <v>13</v>
      </c>
      <c r="J18" s="903">
        <v>74</v>
      </c>
      <c r="K18" s="904">
        <v>44811</v>
      </c>
      <c r="L18" s="905">
        <v>45175</v>
      </c>
      <c r="M18" s="903"/>
      <c r="N18" s="903">
        <v>1</v>
      </c>
      <c r="O18" s="903"/>
      <c r="P18" s="903"/>
      <c r="Q18" s="906" t="s">
        <v>41</v>
      </c>
      <c r="R18" s="903">
        <v>2</v>
      </c>
      <c r="S18" s="903">
        <v>3</v>
      </c>
      <c r="T18" s="441">
        <v>1</v>
      </c>
      <c r="U18" s="903"/>
      <c r="V18" s="903"/>
      <c r="W18" s="903">
        <v>1</v>
      </c>
      <c r="X18" s="903"/>
      <c r="Y18" s="903"/>
      <c r="Z18" s="903"/>
      <c r="AA18" s="903"/>
      <c r="AB18" s="903"/>
      <c r="AC18" s="903"/>
      <c r="AD18" s="903"/>
      <c r="AE18" s="903"/>
      <c r="AF18" s="903"/>
      <c r="AG18" s="903"/>
      <c r="AH18" s="903">
        <v>2</v>
      </c>
      <c r="AI18" s="903"/>
      <c r="AJ18" s="903"/>
      <c r="AK18" s="903"/>
      <c r="AL18" s="903"/>
      <c r="AM18" s="903"/>
      <c r="AN18" s="903"/>
      <c r="AO18" s="441"/>
      <c r="AP18" s="907"/>
      <c r="AQ18" s="903">
        <v>6</v>
      </c>
      <c r="AR18" s="903"/>
      <c r="AS18" s="908"/>
      <c r="AT18" s="903"/>
      <c r="AU18" s="903"/>
      <c r="AV18" s="903"/>
      <c r="AW18" s="903"/>
      <c r="AX18" s="903">
        <v>6</v>
      </c>
      <c r="AY18" s="902" t="s">
        <v>41</v>
      </c>
      <c r="AZ18" s="907" t="s">
        <v>899</v>
      </c>
      <c r="BA18" s="903"/>
      <c r="BB18" s="903"/>
      <c r="BC18" s="903"/>
      <c r="BD18" s="441"/>
      <c r="BE18" s="441"/>
      <c r="BF18" s="902"/>
      <c r="BG18" s="903">
        <v>4</v>
      </c>
      <c r="BH18" s="903"/>
      <c r="BI18" s="903"/>
      <c r="BJ18" s="903">
        <v>2</v>
      </c>
      <c r="BK18" s="903"/>
      <c r="BL18" s="903"/>
      <c r="BM18" s="903"/>
      <c r="BN18" s="903"/>
      <c r="BO18" s="903"/>
      <c r="BP18" s="902"/>
      <c r="BQ18" s="909"/>
      <c r="BR18" s="908"/>
      <c r="BS18" s="902"/>
      <c r="BT18" s="416"/>
      <c r="BU18" s="416"/>
      <c r="BV18" s="418"/>
      <c r="BW18" s="416"/>
      <c r="BX18" s="441"/>
      <c r="BY18" s="441"/>
      <c r="BZ18" s="441"/>
      <c r="CA18" s="441"/>
      <c r="CB18" s="441"/>
      <c r="CC18" s="693"/>
      <c r="CD18" s="441"/>
      <c r="CE18" s="910" t="str">
        <f>IFERROR(WWWW[[#This Row],['#_Water sources passed]]/WWWW[[#This Row],['#_Water sources tested for fecal coliform ]],"no test")</f>
        <v>no test</v>
      </c>
      <c r="CF18" s="908" t="str">
        <f>IFERROR(WWWW[[#This Row],['#_Household passed]]/WWWW[[#This Row],['#_Household water samples tested for fecal coliform]],"no test")</f>
        <v>no test</v>
      </c>
      <c r="CG18" s="909" t="str">
        <f>IF(AND(WWWW[[#This Row],[% of water sources passed]]="no test",WWWW[[#This Row],[% Household passed]]="no test"),"No Test","Tested")</f>
        <v>No Test</v>
      </c>
      <c r="CH18" s="909">
        <f>WWWW[[#This Row],['#_Constructed/existing protected hand dug well]]-WWWW[[#This Row],['#_Non-functional protected hand dug well]]</f>
        <v>1</v>
      </c>
      <c r="CI18" s="909">
        <f>(WWWW[[#This Row],['#_Constructed/Existing tube wells/boreholes/handpumps_WASH_agency]]+WWWW[[#This Row],['#_Non-Cluster partner water tube-wells/boreholes/handpumps]])-WWWW[[#This Row],['#_Non-functional tube wells/boreholes/handpumps]]</f>
        <v>1</v>
      </c>
      <c r="CJ18" s="909">
        <f>WWWW[[#This Row],['#_Constructed/Existingwater storage tank with gravity fed reticulation system]]-WWWW[[#This Row],['#_Non-functional storage tank gravity fed reticulation system]]</f>
        <v>0</v>
      </c>
      <c r="CK18" s="909">
        <f>(WWWW[[#This Row],['#_Water_Liters_supplied_by_Water boating or water trucking]]/90)/15</f>
        <v>0</v>
      </c>
      <c r="CL18" s="909">
        <f>WWWW[[#This Row],['#_Water_Liters_from_Constructed/Existing water distribution system from river or natural spring]]/90/15</f>
        <v>0</v>
      </c>
      <c r="CM18" s="417">
        <f>IF(WWWW[[#This Row],['#_of water points in TLS/CFS]]*500&gt;WWWW[[#This Row],[Total PoP ]],WWWW[[#This Row],[Total PoP ]],WWWW[[#This Row],['#_of water points in TLS/CFS]]*500)</f>
        <v>0</v>
      </c>
      <c r="CN18" s="417">
        <f>IF(WWWW[[#This Row],['#_of water points in THF]]*500&gt;WWWW[[#This Row],[Total PoP ]],WWWW[[#This Row],[Total PoP ]],WWWW[[#This Row],['#_of water points in THF]]*500)</f>
        <v>0</v>
      </c>
      <c r="CO18" s="417"/>
      <c r="CP18"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8"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8" s="908">
        <f>IF(WWWW[[#This Row],[Location Type 1]]="Village",WWWW[[#This Row],[Access to safe drinking water for Village]],WWWW[[#This Row],[Access to safe drinking water for Camp]])</f>
        <v>1</v>
      </c>
      <c r="CS18" s="906">
        <f>WWWW[[#This Row],[%Equitable and continuous access to sufficient quantity of safe drinking water]]*WWWW[[#This Row],[Total PoP ]]</f>
        <v>74</v>
      </c>
      <c r="CT18" s="908">
        <f>IF((WWWW[[#This Row],['#_Constructed/Existing protected/fenced ponds]]*250)/WWWW[[#This Row],[Total PoP ]]&gt;1,1,(WWWW[[#This Row],['#_Constructed/Existing protected/fenced ponds]]*250)/WWWW[[#This Row],[Total PoP ]])</f>
        <v>0</v>
      </c>
      <c r="CU18" s="906">
        <f>WWWW[[#This Row],[% Access to unimproved water points]]*WWWW[[#This Row],[Total PoP ]]</f>
        <v>0</v>
      </c>
      <c r="CV18"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8"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v>
      </c>
      <c r="CX18" s="906">
        <f>WWWW[[#This Row],[HRP1]]/500</f>
        <v>0.14799999999999999</v>
      </c>
      <c r="CY18" s="911">
        <f>1-WWWW[[#This Row],[% Equitable and continuous access to sufficient quantity of domestic water]]</f>
        <v>0</v>
      </c>
      <c r="CZ18" s="906">
        <f>WWWW[[#This Row],[%equitable and continuous access to sufficient quantity of safe drinking and domestic water''s GAP]]*WWWW[[#This Row],[Total PoP ]]</f>
        <v>0</v>
      </c>
      <c r="DA18" s="909">
        <f>IF(WWWW[[#This Row],[Total required water points]]-WWWW[[#This Row],['#Water points coverage]]&lt;0,0,WWWW[[#This Row],[Total required water points]]-WWWW[[#This Row],['#Water points coverage]])</f>
        <v>0.85199999999999998</v>
      </c>
      <c r="DB18" s="909">
        <f>ROUND(IF(WWWW[[#This Row],[Total PoP ]]&lt;500,1,WWWW[[#This Row],[Total PoP ]]/500),0)</f>
        <v>1</v>
      </c>
      <c r="DC18" s="909">
        <f>(WWWW[[#This Row],['#_Constructed latrines_by_WASHAgencies]]+WWWW[[#This Row],['#_Non Cluster partner latrines]])-WWWW[[#This Row],['#_Non-functional latrines]]</f>
        <v>6</v>
      </c>
      <c r="DD18" s="615">
        <f>WWWW[[#This Row],[HRP2]]/WWWW[[#This Row],[Total PoP ]]</f>
        <v>1</v>
      </c>
      <c r="DE18"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74</v>
      </c>
      <c r="DF18"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8"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8" s="417">
        <f>IF(WWWW[[#This Row],['# of functional latrines in THF supported by WASH partners during the reporting period2]]="",0,WWWW[[#This Row],['# of functional latrines in THF supported by WASH partners during the reporting period2]]*50)</f>
        <v>0</v>
      </c>
      <c r="DI18" s="909">
        <f>ROUND(IF(WWWW[[#This Row],[Location Type 1]]="camp",WWWW[[#This Row],[Total PoP ]]/20,IF(WWWW[[#This Row],[Location Type 1]]="Temporary Location",WWWW[[#This Row],[Total PoP ]]/50,(WWWW[[#This Row],[Total PoP ]]/6))),0)</f>
        <v>4</v>
      </c>
      <c r="DJ18" s="909">
        <f>IF(WWWW[[#This Row],[Total required Latrines]]-(WWWW[[#This Row],['#_Constructed latrines_by_WASHAgencies]]+WWWW[[#This Row],['#_Non Cluster partner latrines]])&lt;0,0,WWWW[[#This Row],[Total required Latrines]]-(WWWW[[#This Row],['#_Constructed latrines_by_WASHAgencies]]+WWWW[[#This Row],['#_Non Cluster partner latrines]]))</f>
        <v>0</v>
      </c>
      <c r="DK18" s="911">
        <f>1-WWWW[[#This Row],[% people access to functioning Latrine]]</f>
        <v>0</v>
      </c>
      <c r="DL18" s="910">
        <f>IF(OR(WWWW[[#This Row],['#_Non-functional latrines]]="",WWWW[[#This Row],['#_Non-functional latrines]]=0),0,WWWW[[#This Row],['#_Non-functional latrines]]/(WWWW[[#This Row],['#_Constructed latrines_by_WASHAgencies]]+WWWW[[#This Row],['#_Non Cluster partner latrines]]))</f>
        <v>0</v>
      </c>
      <c r="DM18" s="906">
        <f>IF(500*(WWWW[[#This Row],['#_male hygiene promoters]]+WWWW[[#This Row],['#_female hygiene promoters]])&gt;WWWW[[#This Row],[Total PoP ]],WWWW[[#This Row],[Total PoP ]],500*(WWWW[[#This Row],['#_male hygiene promoters]]+WWWW[[#This Row],['#_female hygiene promoters]]))</f>
        <v>0</v>
      </c>
      <c r="DN18"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8"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8" s="909">
        <f>IF(WWWW[[#This Row],['# People with access to soap]]&gt;WWWW[[#This Row],['# People with access to Sanity Pads]],WWWW[[#This Row],['# People with access to soap]],WWWW[[#This Row],['# People with access to Sanity Pads]])</f>
        <v>0</v>
      </c>
      <c r="DQ18"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8" s="911">
        <f>IF(WWWW[[#This Row],[HRP3]]/WWWW[[#This Row],[Total PoP ]]&gt;1,1,WWWW[[#This Row],[HRP3]]/WWWW[[#This Row],[Total PoP ]])</f>
        <v>0</v>
      </c>
      <c r="DS18" s="910">
        <f>1-WWWW[[#This Row],[Hygiene Coverage%]]</f>
        <v>1</v>
      </c>
      <c r="DT18" s="908">
        <f>WWWW[[#This Row],['# people reached by regular dedicated hygiene promotion_5]]/WWWW[[#This Row],[Total PoP ]]</f>
        <v>0</v>
      </c>
      <c r="DU18"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8"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8" s="909">
        <f>WWWW[[#This Row],['#_Constructed/Existing hand washing stations]]-WWWW[[#This Row],['#_Non-Functional_hand_washing_stations]]</f>
        <v>4</v>
      </c>
      <c r="DX18" s="906">
        <f>IF(WWWW[[#This Row],['# Functional hand washing stations during reporting period]]*20&gt;WWWW[[#This Row],[Total HH]],WWWW[[#This Row],[Total HH]],WWWW[[#This Row],['# Functional hand washing stations during reporting period]]*20)</f>
        <v>13</v>
      </c>
      <c r="DY18" s="906">
        <f>IF(WWWW[[#This Row],[Is sufficient soap available for TLS? (Yes/No)]]="yes",WWWW[[#This Row],['#_Constructed/Existing hand washing stations at TLS/CFS/THF]],0)</f>
        <v>0</v>
      </c>
      <c r="DZ18" s="421">
        <f>IF(WWWW[[#This Row],['# Functional hand washing stations during reporting period]]*100&gt;WWWW[[#This Row],[Total PoP ]],WWWW[[#This Row],[Total PoP ]],WWWW[[#This Row],['# Functional hand washing stations during reporting period]]*100)</f>
        <v>74</v>
      </c>
      <c r="EA18" s="421" t="str">
        <f>IF(OR(WWWW[[#This Row],['#_students at TLS_CFS]]="",WWWW[[#This Row],['#_students at TLS_CFS]]=0),"No","Yes")</f>
        <v>No</v>
      </c>
      <c r="EB1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8" s="566">
        <f>WWWW[[#This Row],[%_of_affected_people_surveyed_who_report_feeling_satistfied_with_the_latrine_design_and_sanitation_service]]*WWWW[[#This Row],[Total PoP ]]</f>
        <v>0</v>
      </c>
      <c r="ED18" s="566">
        <f>WWWW[[#This Row],[%_of_affected_people_surveyed_who_report_feeling_satistfied_with_the_water_point_design_and_water_service]]*WWWW[[#This Row],[Total PoP ]]</f>
        <v>0</v>
      </c>
      <c r="EE18" s="566">
        <f>WWWW[[#This Row],[%_of_complaints_received_that_result_in_timely_corrective_action_and_feedback_to_the_community]]*WWWW[[#This Row],[Total PoP ]]</f>
        <v>0</v>
      </c>
      <c r="EF1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8" s="902" t="str">
        <f>VLOOKUP(WWWW[[#This Row],[Site Name]],SiteDB6[[Site Name]:[CCCM Management]],6,FALSE)</f>
        <v>Yes</v>
      </c>
      <c r="EJ18" s="902" t="str">
        <f>VLOOKUP(WWWW[[#This Row],[Site Name]],SiteDB6[[Site Name]:[CCCM Focal Agency]],7,FALSE)</f>
        <v>KBC-MYT</v>
      </c>
      <c r="EK18" s="902" t="str">
        <f>VLOOKUP(WWWW[[#This Row],[Site Name]],SiteDB6[[Site Name]:[Location Type 1]],9,FALSE)</f>
        <v>Camp</v>
      </c>
      <c r="EL18" s="902" t="str">
        <f>VLOOKUP(WWWW[[#This Row],[Site Name]],SiteDB6[[Site Name]:[Type of Accommodation]],10,FALSE)</f>
        <v>Camp</v>
      </c>
      <c r="EM18" s="902" t="str">
        <f>VLOOKUP(WWWW[[#This Row],[Site Name]],SiteDB6[[Site Name]:[Ethnic or GCA/NGCA]],11,FALSE)</f>
        <v>GCA</v>
      </c>
      <c r="EN18" s="902">
        <f>VLOOKUP(WWWW[[#This Row],[Site Name]],SiteDB6[[Site Name]:[Lat]],12,FALSE)</f>
        <v>25.305669999999999</v>
      </c>
      <c r="EO18" s="902">
        <f>VLOOKUP(WWWW[[#This Row],[Site Name]],SiteDB6[[Site Name]:[Long]],13,FALSE)</f>
        <v>96.922619999999995</v>
      </c>
      <c r="EP18" s="902" t="str">
        <f>VLOOKUP(WWWW[[#This Row],[Site Name]],SiteDB6[[Site Name]:[Pcode]],3,FALSE)</f>
        <v>MMR001CMP078</v>
      </c>
      <c r="EQ18" s="907" t="str">
        <f t="shared" si="0"/>
        <v>Covered</v>
      </c>
      <c r="ER18" s="907" t="s">
        <v>3126</v>
      </c>
      <c r="ES18" s="907" t="s">
        <v>3126</v>
      </c>
      <c r="ET18" s="902">
        <f>VLOOKUP(WWWW[[#This Row],[Site Name]],SiteDB6[[Site Name]:[Pop
(Kachin/Shan-CCCM as of May 2023)]],16,FALSE)</f>
        <v>13</v>
      </c>
      <c r="EU18" s="902">
        <f>VLOOKUP(WWWW[[#This Row],[Site Name]],SiteDB6[[Site Name]:[Pop
(Kachin/Shan-CCCM as of May 2023)]],17,FALSE)</f>
        <v>77</v>
      </c>
    </row>
    <row r="19" spans="1:151" hidden="1">
      <c r="A19" s="900" t="s">
        <v>2961</v>
      </c>
      <c r="B19" s="901" t="s">
        <v>141</v>
      </c>
      <c r="C19" s="901" t="s">
        <v>141</v>
      </c>
      <c r="D19" s="901" t="s">
        <v>241</v>
      </c>
      <c r="E19" s="901" t="s">
        <v>37</v>
      </c>
      <c r="F19" s="901" t="s">
        <v>152</v>
      </c>
      <c r="G19" s="902" t="str">
        <f>VLOOKUP(WWWW[[#This Row],[Site Name]],SiteDB6[[Site Name]:[Location Type]],8,FALSE)</f>
        <v>Camp</v>
      </c>
      <c r="H19" s="901" t="s">
        <v>1608</v>
      </c>
      <c r="I19" s="903">
        <v>15</v>
      </c>
      <c r="J19" s="903">
        <v>76</v>
      </c>
      <c r="K19" s="904">
        <v>44811</v>
      </c>
      <c r="L19" s="905">
        <v>45175</v>
      </c>
      <c r="M19" s="903"/>
      <c r="N19" s="903">
        <v>1</v>
      </c>
      <c r="O19" s="903"/>
      <c r="P19" s="903"/>
      <c r="Q19" s="906" t="s">
        <v>41</v>
      </c>
      <c r="R19" s="903">
        <v>2</v>
      </c>
      <c r="S19" s="903">
        <v>3</v>
      </c>
      <c r="T19" s="441">
        <v>1</v>
      </c>
      <c r="U19" s="903"/>
      <c r="V19" s="903"/>
      <c r="W19" s="903">
        <v>1</v>
      </c>
      <c r="X19" s="903"/>
      <c r="Y19" s="903"/>
      <c r="Z19" s="903"/>
      <c r="AA19" s="903"/>
      <c r="AB19" s="903"/>
      <c r="AC19" s="903"/>
      <c r="AD19" s="903"/>
      <c r="AE19" s="903"/>
      <c r="AF19" s="903"/>
      <c r="AG19" s="903"/>
      <c r="AH19" s="903">
        <v>2</v>
      </c>
      <c r="AI19" s="903"/>
      <c r="AJ19" s="903"/>
      <c r="AK19" s="903"/>
      <c r="AL19" s="903"/>
      <c r="AM19" s="903"/>
      <c r="AN19" s="903"/>
      <c r="AO19" s="441"/>
      <c r="AP19" s="907"/>
      <c r="AQ19" s="903">
        <v>3</v>
      </c>
      <c r="AR19" s="903"/>
      <c r="AS19" s="908"/>
      <c r="AT19" s="903"/>
      <c r="AU19" s="903"/>
      <c r="AV19" s="903"/>
      <c r="AW19" s="903"/>
      <c r="AX19" s="903">
        <v>2</v>
      </c>
      <c r="AY19" s="902" t="s">
        <v>41</v>
      </c>
      <c r="AZ19" s="907" t="s">
        <v>137</v>
      </c>
      <c r="BA19" s="903"/>
      <c r="BB19" s="903"/>
      <c r="BC19" s="903"/>
      <c r="BD19" s="441"/>
      <c r="BE19" s="441"/>
      <c r="BF19" s="902"/>
      <c r="BG19" s="903">
        <v>2</v>
      </c>
      <c r="BH19" s="903"/>
      <c r="BI19" s="903"/>
      <c r="BJ19" s="903">
        <v>2</v>
      </c>
      <c r="BK19" s="903"/>
      <c r="BL19" s="903"/>
      <c r="BM19" s="903"/>
      <c r="BN19" s="903"/>
      <c r="BO19" s="903"/>
      <c r="BP19" s="902"/>
      <c r="BQ19" s="909"/>
      <c r="BR19" s="908"/>
      <c r="BS19" s="902"/>
      <c r="BT19" s="416"/>
      <c r="BU19" s="416"/>
      <c r="BV19" s="418"/>
      <c r="BW19" s="416"/>
      <c r="BX19" s="441"/>
      <c r="BY19" s="441"/>
      <c r="BZ19" s="441"/>
      <c r="CA19" s="441"/>
      <c r="CB19" s="441"/>
      <c r="CC19" s="693"/>
      <c r="CD19" s="441"/>
      <c r="CE19" s="910" t="str">
        <f>IFERROR(WWWW[[#This Row],['#_Water sources passed]]/WWWW[[#This Row],['#_Water sources tested for fecal coliform ]],"no test")</f>
        <v>no test</v>
      </c>
      <c r="CF19" s="908" t="str">
        <f>IFERROR(WWWW[[#This Row],['#_Household passed]]/WWWW[[#This Row],['#_Household water samples tested for fecal coliform]],"no test")</f>
        <v>no test</v>
      </c>
      <c r="CG19" s="909" t="str">
        <f>IF(AND(WWWW[[#This Row],[% of water sources passed]]="no test",WWWW[[#This Row],[% Household passed]]="no test"),"No Test","Tested")</f>
        <v>No Test</v>
      </c>
      <c r="CH19" s="909">
        <f>WWWW[[#This Row],['#_Constructed/existing protected hand dug well]]-WWWW[[#This Row],['#_Non-functional protected hand dug well]]</f>
        <v>1</v>
      </c>
      <c r="CI19" s="909">
        <f>(WWWW[[#This Row],['#_Constructed/Existing tube wells/boreholes/handpumps_WASH_agency]]+WWWW[[#This Row],['#_Non-Cluster partner water tube-wells/boreholes/handpumps]])-WWWW[[#This Row],['#_Non-functional tube wells/boreholes/handpumps]]</f>
        <v>1</v>
      </c>
      <c r="CJ19" s="909">
        <f>WWWW[[#This Row],['#_Constructed/Existingwater storage tank with gravity fed reticulation system]]-WWWW[[#This Row],['#_Non-functional storage tank gravity fed reticulation system]]</f>
        <v>0</v>
      </c>
      <c r="CK19" s="909">
        <f>(WWWW[[#This Row],['#_Water_Liters_supplied_by_Water boating or water trucking]]/90)/15</f>
        <v>0</v>
      </c>
      <c r="CL19" s="909">
        <f>WWWW[[#This Row],['#_Water_Liters_from_Constructed/Existing water distribution system from river or natural spring]]/90/15</f>
        <v>0</v>
      </c>
      <c r="CM19" s="417">
        <f>IF(WWWW[[#This Row],['#_of water points in TLS/CFS]]*500&gt;WWWW[[#This Row],[Total PoP ]],WWWW[[#This Row],[Total PoP ]],WWWW[[#This Row],['#_of water points in TLS/CFS]]*500)</f>
        <v>0</v>
      </c>
      <c r="CN19" s="417">
        <f>IF(WWWW[[#This Row],['#_of water points in THF]]*500&gt;WWWW[[#This Row],[Total PoP ]],WWWW[[#This Row],[Total PoP ]],WWWW[[#This Row],['#_of water points in THF]]*500)</f>
        <v>0</v>
      </c>
      <c r="CO19" s="417"/>
      <c r="CP19"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9"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9" s="908">
        <f>IF(WWWW[[#This Row],[Location Type 1]]="Village",WWWW[[#This Row],[Access to safe drinking water for Village]],WWWW[[#This Row],[Access to safe drinking water for Camp]])</f>
        <v>1</v>
      </c>
      <c r="CS19" s="906">
        <f>WWWW[[#This Row],[%Equitable and continuous access to sufficient quantity of safe drinking water]]*WWWW[[#This Row],[Total PoP ]]</f>
        <v>76</v>
      </c>
      <c r="CT19" s="908">
        <f>IF((WWWW[[#This Row],['#_Constructed/Existing protected/fenced ponds]]*250)/WWWW[[#This Row],[Total PoP ]]&gt;1,1,(WWWW[[#This Row],['#_Constructed/Existing protected/fenced ponds]]*250)/WWWW[[#This Row],[Total PoP ]])</f>
        <v>0</v>
      </c>
      <c r="CU19" s="906">
        <f>WWWW[[#This Row],[% Access to unimproved water points]]*WWWW[[#This Row],[Total PoP ]]</f>
        <v>0</v>
      </c>
      <c r="CV19"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9"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76</v>
      </c>
      <c r="CX19" s="906">
        <f>WWWW[[#This Row],[HRP1]]/500</f>
        <v>0.152</v>
      </c>
      <c r="CY19" s="911">
        <f>1-WWWW[[#This Row],[% Equitable and continuous access to sufficient quantity of domestic water]]</f>
        <v>0</v>
      </c>
      <c r="CZ19" s="906">
        <f>WWWW[[#This Row],[%equitable and continuous access to sufficient quantity of safe drinking and domestic water''s GAP]]*WWWW[[#This Row],[Total PoP ]]</f>
        <v>0</v>
      </c>
      <c r="DA19" s="909">
        <f>IF(WWWW[[#This Row],[Total required water points]]-WWWW[[#This Row],['#Water points coverage]]&lt;0,0,WWWW[[#This Row],[Total required water points]]-WWWW[[#This Row],['#Water points coverage]])</f>
        <v>0.84799999999999998</v>
      </c>
      <c r="DB19" s="909">
        <f>ROUND(IF(WWWW[[#This Row],[Total PoP ]]&lt;500,1,WWWW[[#This Row],[Total PoP ]]/500),0)</f>
        <v>1</v>
      </c>
      <c r="DC19" s="909">
        <f>(WWWW[[#This Row],['#_Constructed latrines_by_WASHAgencies]]+WWWW[[#This Row],['#_Non Cluster partner latrines]])-WWWW[[#This Row],['#_Non-functional latrines]]</f>
        <v>3</v>
      </c>
      <c r="DD19" s="615">
        <f>WWWW[[#This Row],[HRP2]]/WWWW[[#This Row],[Total PoP ]]</f>
        <v>0.78947368421052633</v>
      </c>
      <c r="DE19"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60</v>
      </c>
      <c r="DF19"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9"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 s="417">
        <f>IF(WWWW[[#This Row],['# of functional latrines in THF supported by WASH partners during the reporting period2]]="",0,WWWW[[#This Row],['# of functional latrines in THF supported by WASH partners during the reporting period2]]*50)</f>
        <v>0</v>
      </c>
      <c r="DI19" s="909">
        <f>ROUND(IF(WWWW[[#This Row],[Location Type 1]]="camp",WWWW[[#This Row],[Total PoP ]]/20,IF(WWWW[[#This Row],[Location Type 1]]="Temporary Location",WWWW[[#This Row],[Total PoP ]]/50,(WWWW[[#This Row],[Total PoP ]]/6))),0)</f>
        <v>4</v>
      </c>
      <c r="DJ19" s="909">
        <f>IF(WWWW[[#This Row],[Total required Latrines]]-(WWWW[[#This Row],['#_Constructed latrines_by_WASHAgencies]]+WWWW[[#This Row],['#_Non Cluster partner latrines]])&lt;0,0,WWWW[[#This Row],[Total required Latrines]]-(WWWW[[#This Row],['#_Constructed latrines_by_WASHAgencies]]+WWWW[[#This Row],['#_Non Cluster partner latrines]]))</f>
        <v>1</v>
      </c>
      <c r="DK19" s="911">
        <f>1-WWWW[[#This Row],[% people access to functioning Latrine]]</f>
        <v>0.21052631578947367</v>
      </c>
      <c r="DL19" s="910">
        <f>IF(OR(WWWW[[#This Row],['#_Non-functional latrines]]="",WWWW[[#This Row],['#_Non-functional latrines]]=0),0,WWWW[[#This Row],['#_Non-functional latrines]]/(WWWW[[#This Row],['#_Constructed latrines_by_WASHAgencies]]+WWWW[[#This Row],['#_Non Cluster partner latrines]]))</f>
        <v>0</v>
      </c>
      <c r="DM19" s="906">
        <f>IF(500*(WWWW[[#This Row],['#_male hygiene promoters]]+WWWW[[#This Row],['#_female hygiene promoters]])&gt;WWWW[[#This Row],[Total PoP ]],WWWW[[#This Row],[Total PoP ]],500*(WWWW[[#This Row],['#_male hygiene promoters]]+WWWW[[#This Row],['#_female hygiene promoters]]))</f>
        <v>0</v>
      </c>
      <c r="DN19"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9"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9" s="909">
        <f>IF(WWWW[[#This Row],['# People with access to soap]]&gt;WWWW[[#This Row],['# People with access to Sanity Pads]],WWWW[[#This Row],['# People with access to soap]],WWWW[[#This Row],['# People with access to Sanity Pads]])</f>
        <v>0</v>
      </c>
      <c r="DQ19"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9" s="911">
        <f>IF(WWWW[[#This Row],[HRP3]]/WWWW[[#This Row],[Total PoP ]]&gt;1,1,WWWW[[#This Row],[HRP3]]/WWWW[[#This Row],[Total PoP ]])</f>
        <v>0</v>
      </c>
      <c r="DS19" s="910">
        <f>1-WWWW[[#This Row],[Hygiene Coverage%]]</f>
        <v>1</v>
      </c>
      <c r="DT19" s="908">
        <f>WWWW[[#This Row],['# people reached by regular dedicated hygiene promotion_5]]/WWWW[[#This Row],[Total PoP ]]</f>
        <v>0</v>
      </c>
      <c r="DU19"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9"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9" s="909">
        <f>WWWW[[#This Row],['#_Constructed/Existing hand washing stations]]-WWWW[[#This Row],['#_Non-Functional_hand_washing_stations]]</f>
        <v>2</v>
      </c>
      <c r="DX19" s="906">
        <f>IF(WWWW[[#This Row],['# Functional hand washing stations during reporting period]]*20&gt;WWWW[[#This Row],[Total HH]],WWWW[[#This Row],[Total HH]],WWWW[[#This Row],['# Functional hand washing stations during reporting period]]*20)</f>
        <v>15</v>
      </c>
      <c r="DY19" s="906">
        <f>IF(WWWW[[#This Row],[Is sufficient soap available for TLS? (Yes/No)]]="yes",WWWW[[#This Row],['#_Constructed/Existing hand washing stations at TLS/CFS/THF]],0)</f>
        <v>0</v>
      </c>
      <c r="DZ19" s="421">
        <f>IF(WWWW[[#This Row],['# Functional hand washing stations during reporting period]]*100&gt;WWWW[[#This Row],[Total PoP ]],WWWW[[#This Row],[Total PoP ]],WWWW[[#This Row],['# Functional hand washing stations during reporting period]]*100)</f>
        <v>76</v>
      </c>
      <c r="EA19" s="421" t="str">
        <f>IF(OR(WWWW[[#This Row],['#_students at TLS_CFS]]="",WWWW[[#This Row],['#_students at TLS_CFS]]=0),"No","Yes")</f>
        <v>No</v>
      </c>
      <c r="EB1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9" s="566">
        <f>WWWW[[#This Row],[%_of_affected_people_surveyed_who_report_feeling_satistfied_with_the_latrine_design_and_sanitation_service]]*WWWW[[#This Row],[Total PoP ]]</f>
        <v>0</v>
      </c>
      <c r="ED19" s="566">
        <f>WWWW[[#This Row],[%_of_affected_people_surveyed_who_report_feeling_satistfied_with_the_water_point_design_and_water_service]]*WWWW[[#This Row],[Total PoP ]]</f>
        <v>0</v>
      </c>
      <c r="EE19" s="566">
        <f>WWWW[[#This Row],[%_of_complaints_received_that_result_in_timely_corrective_action_and_feedback_to_the_community]]*WWWW[[#This Row],[Total PoP ]]</f>
        <v>0</v>
      </c>
      <c r="EF1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9" s="902" t="str">
        <f>VLOOKUP(WWWW[[#This Row],[Site Name]],SiteDB6[[Site Name]:[CCCM Management]],6,FALSE)</f>
        <v>Yes</v>
      </c>
      <c r="EJ19" s="902" t="str">
        <f>VLOOKUP(WWWW[[#This Row],[Site Name]],SiteDB6[[Site Name]:[CCCM Focal Agency]],7,FALSE)</f>
        <v>KBC-MYT</v>
      </c>
      <c r="EK19" s="902" t="str">
        <f>VLOOKUP(WWWW[[#This Row],[Site Name]],SiteDB6[[Site Name]:[Location Type 1]],9,FALSE)</f>
        <v>Camp</v>
      </c>
      <c r="EL19" s="902" t="str">
        <f>VLOOKUP(WWWW[[#This Row],[Site Name]],SiteDB6[[Site Name]:[Type of Accommodation]],10,FALSE)</f>
        <v>Camp</v>
      </c>
      <c r="EM19" s="902" t="str">
        <f>VLOOKUP(WWWW[[#This Row],[Site Name]],SiteDB6[[Site Name]:[Ethnic or GCA/NGCA]],11,FALSE)</f>
        <v>GCA</v>
      </c>
      <c r="EN19" s="902">
        <f>VLOOKUP(WWWW[[#This Row],[Site Name]],SiteDB6[[Site Name]:[Lat]],12,FALSE)</f>
        <v>25.296579999999999</v>
      </c>
      <c r="EO19" s="902">
        <f>VLOOKUP(WWWW[[#This Row],[Site Name]],SiteDB6[[Site Name]:[Long]],13,FALSE)</f>
        <v>96.942279999999997</v>
      </c>
      <c r="EP19" s="902" t="str">
        <f>VLOOKUP(WWWW[[#This Row],[Site Name]],SiteDB6[[Site Name]:[Pcode]],3,FALSE)</f>
        <v>MMR001CMP077</v>
      </c>
      <c r="EQ19" s="907" t="str">
        <f t="shared" si="0"/>
        <v>Covered</v>
      </c>
      <c r="ER19" s="907" t="s">
        <v>3126</v>
      </c>
      <c r="ES19" s="907" t="s">
        <v>3126</v>
      </c>
      <c r="ET19" s="902">
        <f>VLOOKUP(WWWW[[#This Row],[Site Name]],SiteDB6[[Site Name]:[Pop
(Kachin/Shan-CCCM as of May 2023)]],16,FALSE)</f>
        <v>16</v>
      </c>
      <c r="EU19" s="902">
        <f>VLOOKUP(WWWW[[#This Row],[Site Name]],SiteDB6[[Site Name]:[Pop
(Kachin/Shan-CCCM as of May 2023)]],17,FALSE)</f>
        <v>74</v>
      </c>
    </row>
    <row r="20" spans="1:151" hidden="1">
      <c r="A20" s="900" t="s">
        <v>2961</v>
      </c>
      <c r="B20" s="901" t="s">
        <v>141</v>
      </c>
      <c r="C20" s="901" t="s">
        <v>141</v>
      </c>
      <c r="D20" s="901" t="s">
        <v>241</v>
      </c>
      <c r="E20" s="901" t="s">
        <v>37</v>
      </c>
      <c r="F20" s="901" t="s">
        <v>152</v>
      </c>
      <c r="G20" s="902" t="str">
        <f>VLOOKUP(WWWW[[#This Row],[Site Name]],SiteDB6[[Site Name]:[Location Type]],8,FALSE)</f>
        <v>Camp_not registered</v>
      </c>
      <c r="H20" s="901" t="s">
        <v>2592</v>
      </c>
      <c r="I20" s="903">
        <v>5</v>
      </c>
      <c r="J20" s="903">
        <v>32</v>
      </c>
      <c r="K20" s="904">
        <v>44811</v>
      </c>
      <c r="L20" s="905">
        <v>45175</v>
      </c>
      <c r="M20" s="903"/>
      <c r="N20" s="903">
        <v>1</v>
      </c>
      <c r="O20" s="903"/>
      <c r="P20" s="903"/>
      <c r="Q20" s="906" t="s">
        <v>41</v>
      </c>
      <c r="R20" s="903">
        <v>3</v>
      </c>
      <c r="S20" s="903"/>
      <c r="T20" s="441">
        <v>1</v>
      </c>
      <c r="U20" s="903"/>
      <c r="V20" s="903"/>
      <c r="W20" s="903">
        <v>1</v>
      </c>
      <c r="X20" s="903"/>
      <c r="Y20" s="903"/>
      <c r="Z20" s="903"/>
      <c r="AA20" s="903"/>
      <c r="AB20" s="903"/>
      <c r="AC20" s="903"/>
      <c r="AD20" s="903"/>
      <c r="AE20" s="903"/>
      <c r="AF20" s="903"/>
      <c r="AG20" s="903"/>
      <c r="AH20" s="903">
        <v>3</v>
      </c>
      <c r="AI20" s="903"/>
      <c r="AJ20" s="903"/>
      <c r="AK20" s="903"/>
      <c r="AL20" s="903"/>
      <c r="AM20" s="903"/>
      <c r="AN20" s="903"/>
      <c r="AO20" s="441"/>
      <c r="AP20" s="907"/>
      <c r="AQ20" s="903">
        <v>2</v>
      </c>
      <c r="AR20" s="903"/>
      <c r="AS20" s="908"/>
      <c r="AT20" s="903"/>
      <c r="AU20" s="903"/>
      <c r="AV20" s="903"/>
      <c r="AW20" s="903"/>
      <c r="AX20" s="903">
        <v>2</v>
      </c>
      <c r="AY20" s="902" t="s">
        <v>41</v>
      </c>
      <c r="AZ20" s="907" t="s">
        <v>137</v>
      </c>
      <c r="BA20" s="903"/>
      <c r="BB20" s="903"/>
      <c r="BC20" s="903"/>
      <c r="BD20" s="441"/>
      <c r="BE20" s="441"/>
      <c r="BF20" s="902"/>
      <c r="BG20" s="903">
        <v>1</v>
      </c>
      <c r="BH20" s="903"/>
      <c r="BI20" s="903"/>
      <c r="BJ20" s="903">
        <v>2</v>
      </c>
      <c r="BK20" s="903"/>
      <c r="BL20" s="903"/>
      <c r="BM20" s="903"/>
      <c r="BN20" s="903"/>
      <c r="BO20" s="903"/>
      <c r="BP20" s="902"/>
      <c r="BQ20" s="909"/>
      <c r="BR20" s="908"/>
      <c r="BS20" s="902"/>
      <c r="BT20" s="416"/>
      <c r="BU20" s="416"/>
      <c r="BV20" s="418"/>
      <c r="BW20" s="416"/>
      <c r="BX20" s="441"/>
      <c r="BY20" s="441"/>
      <c r="BZ20" s="441"/>
      <c r="CA20" s="441"/>
      <c r="CB20" s="441"/>
      <c r="CC20" s="693"/>
      <c r="CD20" s="441"/>
      <c r="CE20" s="910" t="str">
        <f>IFERROR(WWWW[[#This Row],['#_Water sources passed]]/WWWW[[#This Row],['#_Water sources tested for fecal coliform ]],"no test")</f>
        <v>no test</v>
      </c>
      <c r="CF20" s="908" t="str">
        <f>IFERROR(WWWW[[#This Row],['#_Household passed]]/WWWW[[#This Row],['#_Household water samples tested for fecal coliform]],"no test")</f>
        <v>no test</v>
      </c>
      <c r="CG20" s="909" t="str">
        <f>IF(AND(WWWW[[#This Row],[% of water sources passed]]="no test",WWWW[[#This Row],[% Household passed]]="no test"),"No Test","Tested")</f>
        <v>No Test</v>
      </c>
      <c r="CH20" s="909">
        <f>WWWW[[#This Row],['#_Constructed/existing protected hand dug well]]-WWWW[[#This Row],['#_Non-functional protected hand dug well]]</f>
        <v>1</v>
      </c>
      <c r="CI20" s="909">
        <f>(WWWW[[#This Row],['#_Constructed/Existing tube wells/boreholes/handpumps_WASH_agency]]+WWWW[[#This Row],['#_Non-Cluster partner water tube-wells/boreholes/handpumps]])-WWWW[[#This Row],['#_Non-functional tube wells/boreholes/handpumps]]</f>
        <v>1</v>
      </c>
      <c r="CJ20" s="909">
        <f>WWWW[[#This Row],['#_Constructed/Existingwater storage tank with gravity fed reticulation system]]-WWWW[[#This Row],['#_Non-functional storage tank gravity fed reticulation system]]</f>
        <v>0</v>
      </c>
      <c r="CK20" s="909">
        <f>(WWWW[[#This Row],['#_Water_Liters_supplied_by_Water boating or water trucking]]/90)/15</f>
        <v>0</v>
      </c>
      <c r="CL20" s="909">
        <f>WWWW[[#This Row],['#_Water_Liters_from_Constructed/Existing water distribution system from river or natural spring]]/90/15</f>
        <v>0</v>
      </c>
      <c r="CM20" s="417">
        <f>IF(WWWW[[#This Row],['#_of water points in TLS/CFS]]*500&gt;WWWW[[#This Row],[Total PoP ]],WWWW[[#This Row],[Total PoP ]],WWWW[[#This Row],['#_of water points in TLS/CFS]]*500)</f>
        <v>0</v>
      </c>
      <c r="CN20" s="417">
        <f>IF(WWWW[[#This Row],['#_of water points in THF]]*500&gt;WWWW[[#This Row],[Total PoP ]],WWWW[[#This Row],[Total PoP ]],WWWW[[#This Row],['#_of water points in THF]]*500)</f>
        <v>0</v>
      </c>
      <c r="CO20" s="417"/>
      <c r="CP20"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0"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0" s="908">
        <f>IF(WWWW[[#This Row],[Location Type 1]]="Village",WWWW[[#This Row],[Access to safe drinking water for Village]],WWWW[[#This Row],[Access to safe drinking water for Camp]])</f>
        <v>1</v>
      </c>
      <c r="CS20" s="906">
        <f>WWWW[[#This Row],[%Equitable and continuous access to sufficient quantity of safe drinking water]]*WWWW[[#This Row],[Total PoP ]]</f>
        <v>32</v>
      </c>
      <c r="CT20" s="908">
        <f>IF((WWWW[[#This Row],['#_Constructed/Existing protected/fenced ponds]]*250)/WWWW[[#This Row],[Total PoP ]]&gt;1,1,(WWWW[[#This Row],['#_Constructed/Existing protected/fenced ponds]]*250)/WWWW[[#This Row],[Total PoP ]])</f>
        <v>0</v>
      </c>
      <c r="CU20" s="906">
        <f>WWWW[[#This Row],[% Access to unimproved water points]]*WWWW[[#This Row],[Total PoP ]]</f>
        <v>0</v>
      </c>
      <c r="CV20"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0"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v>
      </c>
      <c r="CX20" s="906">
        <f>WWWW[[#This Row],[HRP1]]/500</f>
        <v>6.4000000000000001E-2</v>
      </c>
      <c r="CY20" s="911">
        <f>1-WWWW[[#This Row],[% Equitable and continuous access to sufficient quantity of domestic water]]</f>
        <v>0</v>
      </c>
      <c r="CZ20" s="906">
        <f>WWWW[[#This Row],[%equitable and continuous access to sufficient quantity of safe drinking and domestic water''s GAP]]*WWWW[[#This Row],[Total PoP ]]</f>
        <v>0</v>
      </c>
      <c r="DA20" s="909">
        <f>IF(WWWW[[#This Row],[Total required water points]]-WWWW[[#This Row],['#Water points coverage]]&lt;0,0,WWWW[[#This Row],[Total required water points]]-WWWW[[#This Row],['#Water points coverage]])</f>
        <v>0.93599999999999994</v>
      </c>
      <c r="DB20" s="909">
        <f>ROUND(IF(WWWW[[#This Row],[Total PoP ]]&lt;500,1,WWWW[[#This Row],[Total PoP ]]/500),0)</f>
        <v>1</v>
      </c>
      <c r="DC20" s="909">
        <f>(WWWW[[#This Row],['#_Constructed latrines_by_WASHAgencies]]+WWWW[[#This Row],['#_Non Cluster partner latrines]])-WWWW[[#This Row],['#_Non-functional latrines]]</f>
        <v>2</v>
      </c>
      <c r="DD20" s="615">
        <f>WWWW[[#This Row],[HRP2]]/WWWW[[#This Row],[Total PoP ]]</f>
        <v>1</v>
      </c>
      <c r="DE20"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32</v>
      </c>
      <c r="DF20"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0"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 s="417">
        <f>IF(WWWW[[#This Row],['# of functional latrines in THF supported by WASH partners during the reporting period2]]="",0,WWWW[[#This Row],['# of functional latrines in THF supported by WASH partners during the reporting period2]]*50)</f>
        <v>0</v>
      </c>
      <c r="DI20" s="909">
        <f>ROUND(IF(WWWW[[#This Row],[Location Type 1]]="camp",WWWW[[#This Row],[Total PoP ]]/20,IF(WWWW[[#This Row],[Location Type 1]]="Temporary Location",WWWW[[#This Row],[Total PoP ]]/50,(WWWW[[#This Row],[Total PoP ]]/6))),0)</f>
        <v>2</v>
      </c>
      <c r="DJ20" s="909">
        <f>IF(WWWW[[#This Row],[Total required Latrines]]-(WWWW[[#This Row],['#_Constructed latrines_by_WASHAgencies]]+WWWW[[#This Row],['#_Non Cluster partner latrines]])&lt;0,0,WWWW[[#This Row],[Total required Latrines]]-(WWWW[[#This Row],['#_Constructed latrines_by_WASHAgencies]]+WWWW[[#This Row],['#_Non Cluster partner latrines]]))</f>
        <v>0</v>
      </c>
      <c r="DK20" s="911">
        <f>1-WWWW[[#This Row],[% people access to functioning Latrine]]</f>
        <v>0</v>
      </c>
      <c r="DL20" s="910">
        <f>IF(OR(WWWW[[#This Row],['#_Non-functional latrines]]="",WWWW[[#This Row],['#_Non-functional latrines]]=0),0,WWWW[[#This Row],['#_Non-functional latrines]]/(WWWW[[#This Row],['#_Constructed latrines_by_WASHAgencies]]+WWWW[[#This Row],['#_Non Cluster partner latrines]]))</f>
        <v>0</v>
      </c>
      <c r="DM20" s="906">
        <f>IF(500*(WWWW[[#This Row],['#_male hygiene promoters]]+WWWW[[#This Row],['#_female hygiene promoters]])&gt;WWWW[[#This Row],[Total PoP ]],WWWW[[#This Row],[Total PoP ]],500*(WWWW[[#This Row],['#_male hygiene promoters]]+WWWW[[#This Row],['#_female hygiene promoters]]))</f>
        <v>0</v>
      </c>
      <c r="DN20"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0"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0" s="909">
        <f>IF(WWWW[[#This Row],['# People with access to soap]]&gt;WWWW[[#This Row],['# People with access to Sanity Pads]],WWWW[[#This Row],['# People with access to soap]],WWWW[[#This Row],['# People with access to Sanity Pads]])</f>
        <v>0</v>
      </c>
      <c r="DQ20"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0" s="911">
        <f>IF(WWWW[[#This Row],[HRP3]]/WWWW[[#This Row],[Total PoP ]]&gt;1,1,WWWW[[#This Row],[HRP3]]/WWWW[[#This Row],[Total PoP ]])</f>
        <v>0</v>
      </c>
      <c r="DS20" s="910">
        <f>1-WWWW[[#This Row],[Hygiene Coverage%]]</f>
        <v>1</v>
      </c>
      <c r="DT20" s="908">
        <f>WWWW[[#This Row],['# people reached by regular dedicated hygiene promotion_5]]/WWWW[[#This Row],[Total PoP ]]</f>
        <v>0</v>
      </c>
      <c r="DU20"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0"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0" s="909">
        <f>WWWW[[#This Row],['#_Constructed/Existing hand washing stations]]-WWWW[[#This Row],['#_Non-Functional_hand_washing_stations]]</f>
        <v>1</v>
      </c>
      <c r="DX20" s="906">
        <f>IF(WWWW[[#This Row],['# Functional hand washing stations during reporting period]]*20&gt;WWWW[[#This Row],[Total HH]],WWWW[[#This Row],[Total HH]],WWWW[[#This Row],['# Functional hand washing stations during reporting period]]*20)</f>
        <v>5</v>
      </c>
      <c r="DY20" s="906">
        <f>IF(WWWW[[#This Row],[Is sufficient soap available for TLS? (Yes/No)]]="yes",WWWW[[#This Row],['#_Constructed/Existing hand washing stations at TLS/CFS/THF]],0)</f>
        <v>0</v>
      </c>
      <c r="DZ20" s="421">
        <f>IF(WWWW[[#This Row],['# Functional hand washing stations during reporting period]]*100&gt;WWWW[[#This Row],[Total PoP ]],WWWW[[#This Row],[Total PoP ]],WWWW[[#This Row],['# Functional hand washing stations during reporting period]]*100)</f>
        <v>32</v>
      </c>
      <c r="EA20" s="421" t="str">
        <f>IF(OR(WWWW[[#This Row],['#_students at TLS_CFS]]="",WWWW[[#This Row],['#_students at TLS_CFS]]=0),"No","Yes")</f>
        <v>No</v>
      </c>
      <c r="EB2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0" s="566">
        <f>WWWW[[#This Row],[%_of_affected_people_surveyed_who_report_feeling_satistfied_with_the_latrine_design_and_sanitation_service]]*WWWW[[#This Row],[Total PoP ]]</f>
        <v>0</v>
      </c>
      <c r="ED20" s="566">
        <f>WWWW[[#This Row],[%_of_affected_people_surveyed_who_report_feeling_satistfied_with_the_water_point_design_and_water_service]]*WWWW[[#This Row],[Total PoP ]]</f>
        <v>0</v>
      </c>
      <c r="EE20" s="566">
        <f>WWWW[[#This Row],[%_of_complaints_received_that_result_in_timely_corrective_action_and_feedback_to_the_community]]*WWWW[[#This Row],[Total PoP ]]</f>
        <v>0</v>
      </c>
      <c r="EF2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0" s="902">
        <f>VLOOKUP(WWWW[[#This Row],[Site Name]],SiteDB6[[Site Name]:[CCCM Management]],6,FALSE)</f>
        <v>0</v>
      </c>
      <c r="EJ20" s="902">
        <f>VLOOKUP(WWWW[[#This Row],[Site Name]],SiteDB6[[Site Name]:[CCCM Focal Agency]],7,FALSE)</f>
        <v>0</v>
      </c>
      <c r="EK20" s="902" t="str">
        <f>VLOOKUP(WWWW[[#This Row],[Site Name]],SiteDB6[[Site Name]:[Location Type 1]],9,FALSE)</f>
        <v>Camp</v>
      </c>
      <c r="EL20" s="902" t="str">
        <f>VLOOKUP(WWWW[[#This Row],[Site Name]],SiteDB6[[Site Name]:[Type of Accommodation]],10,FALSE)</f>
        <v>Camp like setting</v>
      </c>
      <c r="EM20" s="902" t="str">
        <f>VLOOKUP(WWWW[[#This Row],[Site Name]],SiteDB6[[Site Name]:[Ethnic or GCA/NGCA]],11,FALSE)</f>
        <v>GCA</v>
      </c>
      <c r="EN20" s="902">
        <f>VLOOKUP(WWWW[[#This Row],[Site Name]],SiteDB6[[Site Name]:[Lat]],12,FALSE)</f>
        <v>0</v>
      </c>
      <c r="EO20" s="902">
        <f>VLOOKUP(WWWW[[#This Row],[Site Name]],SiteDB6[[Site Name]:[Long]],13,FALSE)</f>
        <v>0</v>
      </c>
      <c r="EP20" s="902">
        <f>VLOOKUP(WWWW[[#This Row],[Site Name]],SiteDB6[[Site Name]:[Pcode]],3,FALSE)</f>
        <v>0</v>
      </c>
      <c r="EQ20" s="907" t="str">
        <f t="shared" si="0"/>
        <v>Covered</v>
      </c>
      <c r="ER20" s="907" t="s">
        <v>3126</v>
      </c>
      <c r="ES20" s="907" t="s">
        <v>3126</v>
      </c>
      <c r="ET20" s="902">
        <f>VLOOKUP(WWWW[[#This Row],[Site Name]],SiteDB6[[Site Name]:[Pop
(Kachin/Shan-CCCM as of May 2023)]],16,FALSE)</f>
        <v>0</v>
      </c>
      <c r="EU20" s="902">
        <f>VLOOKUP(WWWW[[#This Row],[Site Name]],SiteDB6[[Site Name]:[Pop
(Kachin/Shan-CCCM as of May 2023)]],17,FALSE)</f>
        <v>0</v>
      </c>
    </row>
    <row r="21" spans="1:151" hidden="1">
      <c r="A21" s="900" t="s">
        <v>2961</v>
      </c>
      <c r="B21" s="901" t="s">
        <v>141</v>
      </c>
      <c r="C21" s="901" t="s">
        <v>141</v>
      </c>
      <c r="D21" s="901" t="s">
        <v>241</v>
      </c>
      <c r="E21" s="901" t="s">
        <v>37</v>
      </c>
      <c r="F21" s="901" t="s">
        <v>152</v>
      </c>
      <c r="G21" s="902" t="str">
        <f>VLOOKUP(WWWW[[#This Row],[Site Name]],SiteDB6[[Site Name]:[Location Type]],8,FALSE)</f>
        <v>Camp</v>
      </c>
      <c r="H21" s="901" t="s">
        <v>1607</v>
      </c>
      <c r="I21" s="903">
        <v>112</v>
      </c>
      <c r="J21" s="903">
        <v>607</v>
      </c>
      <c r="K21" s="904">
        <v>44811</v>
      </c>
      <c r="L21" s="905">
        <v>45175</v>
      </c>
      <c r="M21" s="903"/>
      <c r="N21" s="903">
        <v>2</v>
      </c>
      <c r="O21" s="903"/>
      <c r="P21" s="903"/>
      <c r="Q21" s="906" t="s">
        <v>41</v>
      </c>
      <c r="R21" s="903">
        <v>1</v>
      </c>
      <c r="S21" s="903">
        <v>2</v>
      </c>
      <c r="T21" s="441">
        <v>5</v>
      </c>
      <c r="U21" s="903"/>
      <c r="V21" s="903"/>
      <c r="W21" s="903">
        <v>3</v>
      </c>
      <c r="X21" s="903"/>
      <c r="Y21" s="903"/>
      <c r="Z21" s="903"/>
      <c r="AA21" s="903"/>
      <c r="AB21" s="903"/>
      <c r="AC21" s="903"/>
      <c r="AD21" s="903"/>
      <c r="AE21" s="903"/>
      <c r="AF21" s="903"/>
      <c r="AG21" s="903"/>
      <c r="AH21" s="903">
        <v>2</v>
      </c>
      <c r="AI21" s="903"/>
      <c r="AJ21" s="903"/>
      <c r="AK21" s="903"/>
      <c r="AL21" s="903"/>
      <c r="AM21" s="903"/>
      <c r="AN21" s="903"/>
      <c r="AO21" s="441"/>
      <c r="AP21" s="907"/>
      <c r="AQ21" s="903">
        <v>20</v>
      </c>
      <c r="AR21" s="903"/>
      <c r="AS21" s="908"/>
      <c r="AT21" s="903"/>
      <c r="AU21" s="903"/>
      <c r="AV21" s="903"/>
      <c r="AW21" s="903"/>
      <c r="AX21" s="903">
        <v>12</v>
      </c>
      <c r="AY21" s="902" t="s">
        <v>41</v>
      </c>
      <c r="AZ21" s="907" t="s">
        <v>137</v>
      </c>
      <c r="BA21" s="903"/>
      <c r="BB21" s="903"/>
      <c r="BC21" s="903"/>
      <c r="BD21" s="441"/>
      <c r="BE21" s="441"/>
      <c r="BF21" s="902"/>
      <c r="BG21" s="903">
        <v>4</v>
      </c>
      <c r="BH21" s="903"/>
      <c r="BI21" s="903"/>
      <c r="BJ21" s="903">
        <v>5</v>
      </c>
      <c r="BK21" s="903"/>
      <c r="BL21" s="903">
        <v>2</v>
      </c>
      <c r="BM21" s="903">
        <v>1</v>
      </c>
      <c r="BN21" s="903"/>
      <c r="BO21" s="903"/>
      <c r="BP21" s="902"/>
      <c r="BQ21" s="909"/>
      <c r="BR21" s="908"/>
      <c r="BS21" s="902"/>
      <c r="BT21" s="416"/>
      <c r="BU21" s="416"/>
      <c r="BV21" s="418"/>
      <c r="BW21" s="416"/>
      <c r="BX21" s="441"/>
      <c r="BY21" s="441"/>
      <c r="BZ21" s="441"/>
      <c r="CA21" s="441"/>
      <c r="CB21" s="441"/>
      <c r="CC21" s="693"/>
      <c r="CD21" s="441"/>
      <c r="CE21" s="910" t="str">
        <f>IFERROR(WWWW[[#This Row],['#_Water sources passed]]/WWWW[[#This Row],['#_Water sources tested for fecal coliform ]],"no test")</f>
        <v>no test</v>
      </c>
      <c r="CF21" s="908" t="str">
        <f>IFERROR(WWWW[[#This Row],['#_Household passed]]/WWWW[[#This Row],['#_Household water samples tested for fecal coliform]],"no test")</f>
        <v>no test</v>
      </c>
      <c r="CG21" s="909" t="str">
        <f>IF(AND(WWWW[[#This Row],[% of water sources passed]]="no test",WWWW[[#This Row],[% Household passed]]="no test"),"No Test","Tested")</f>
        <v>No Test</v>
      </c>
      <c r="CH21" s="909">
        <f>WWWW[[#This Row],['#_Constructed/existing protected hand dug well]]-WWWW[[#This Row],['#_Non-functional protected hand dug well]]</f>
        <v>5</v>
      </c>
      <c r="CI21" s="909">
        <f>(WWWW[[#This Row],['#_Constructed/Existing tube wells/boreholes/handpumps_WASH_agency]]+WWWW[[#This Row],['#_Non-Cluster partner water tube-wells/boreholes/handpumps]])-WWWW[[#This Row],['#_Non-functional tube wells/boreholes/handpumps]]</f>
        <v>3</v>
      </c>
      <c r="CJ21" s="909">
        <f>WWWW[[#This Row],['#_Constructed/Existingwater storage tank with gravity fed reticulation system]]-WWWW[[#This Row],['#_Non-functional storage tank gravity fed reticulation system]]</f>
        <v>0</v>
      </c>
      <c r="CK21" s="909">
        <f>(WWWW[[#This Row],['#_Water_Liters_supplied_by_Water boating or water trucking]]/90)/15</f>
        <v>0</v>
      </c>
      <c r="CL21" s="909">
        <f>WWWW[[#This Row],['#_Water_Liters_from_Constructed/Existing water distribution system from river or natural spring]]/90/15</f>
        <v>0</v>
      </c>
      <c r="CM21" s="417">
        <f>IF(WWWW[[#This Row],['#_of water points in TLS/CFS]]*500&gt;WWWW[[#This Row],[Total PoP ]],WWWW[[#This Row],[Total PoP ]],WWWW[[#This Row],['#_of water points in TLS/CFS]]*500)</f>
        <v>0</v>
      </c>
      <c r="CN21" s="417">
        <f>IF(WWWW[[#This Row],['#_of water points in THF]]*500&gt;WWWW[[#This Row],[Total PoP ]],WWWW[[#This Row],[Total PoP ]],WWWW[[#This Row],['#_of water points in THF]]*500)</f>
        <v>0</v>
      </c>
      <c r="CO21" s="417"/>
      <c r="CP21"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1"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1" s="908">
        <f>IF(WWWW[[#This Row],[Location Type 1]]="Village",WWWW[[#This Row],[Access to safe drinking water for Village]],WWWW[[#This Row],[Access to safe drinking water for Camp]])</f>
        <v>1</v>
      </c>
      <c r="CS21" s="906">
        <f>WWWW[[#This Row],[%Equitable and continuous access to sufficient quantity of safe drinking water]]*WWWW[[#This Row],[Total PoP ]]</f>
        <v>607</v>
      </c>
      <c r="CT21" s="908">
        <f>IF((WWWW[[#This Row],['#_Constructed/Existing protected/fenced ponds]]*250)/WWWW[[#This Row],[Total PoP ]]&gt;1,1,(WWWW[[#This Row],['#_Constructed/Existing protected/fenced ponds]]*250)/WWWW[[#This Row],[Total PoP ]])</f>
        <v>0</v>
      </c>
      <c r="CU21" s="906">
        <f>WWWW[[#This Row],[% Access to unimproved water points]]*WWWW[[#This Row],[Total PoP ]]</f>
        <v>0</v>
      </c>
      <c r="CV21"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1"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607</v>
      </c>
      <c r="CX21" s="906">
        <f>WWWW[[#This Row],[HRP1]]/500</f>
        <v>1.214</v>
      </c>
      <c r="CY21" s="911">
        <f>1-WWWW[[#This Row],[% Equitable and continuous access to sufficient quantity of domestic water]]</f>
        <v>0</v>
      </c>
      <c r="CZ21" s="906">
        <f>WWWW[[#This Row],[%equitable and continuous access to sufficient quantity of safe drinking and domestic water''s GAP]]*WWWW[[#This Row],[Total PoP ]]</f>
        <v>0</v>
      </c>
      <c r="DA21" s="909">
        <f>IF(WWWW[[#This Row],[Total required water points]]-WWWW[[#This Row],['#Water points coverage]]&lt;0,0,WWWW[[#This Row],[Total required water points]]-WWWW[[#This Row],['#Water points coverage]])</f>
        <v>0</v>
      </c>
      <c r="DB21" s="909">
        <f>ROUND(IF(WWWW[[#This Row],[Total PoP ]]&lt;500,1,WWWW[[#This Row],[Total PoP ]]/500),0)</f>
        <v>1</v>
      </c>
      <c r="DC21" s="909">
        <f>(WWWW[[#This Row],['#_Constructed latrines_by_WASHAgencies]]+WWWW[[#This Row],['#_Non Cluster partner latrines]])-WWWW[[#This Row],['#_Non-functional latrines]]</f>
        <v>20</v>
      </c>
      <c r="DD21" s="615">
        <f>WWWW[[#This Row],[HRP2]]/WWWW[[#This Row],[Total PoP ]]</f>
        <v>0.65897858319604607</v>
      </c>
      <c r="DE21"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400</v>
      </c>
      <c r="DF21"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1"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 s="417">
        <f>IF(WWWW[[#This Row],['# of functional latrines in THF supported by WASH partners during the reporting period2]]="",0,WWWW[[#This Row],['# of functional latrines in THF supported by WASH partners during the reporting period2]]*50)</f>
        <v>0</v>
      </c>
      <c r="DI21" s="909">
        <f>ROUND(IF(WWWW[[#This Row],[Location Type 1]]="camp",WWWW[[#This Row],[Total PoP ]]/20,IF(WWWW[[#This Row],[Location Type 1]]="Temporary Location",WWWW[[#This Row],[Total PoP ]]/50,(WWWW[[#This Row],[Total PoP ]]/6))),0)</f>
        <v>30</v>
      </c>
      <c r="DJ21" s="909">
        <f>IF(WWWW[[#This Row],[Total required Latrines]]-(WWWW[[#This Row],['#_Constructed latrines_by_WASHAgencies]]+WWWW[[#This Row],['#_Non Cluster partner latrines]])&lt;0,0,WWWW[[#This Row],[Total required Latrines]]-(WWWW[[#This Row],['#_Constructed latrines_by_WASHAgencies]]+WWWW[[#This Row],['#_Non Cluster partner latrines]]))</f>
        <v>10</v>
      </c>
      <c r="DK21" s="911">
        <f>1-WWWW[[#This Row],[% people access to functioning Latrine]]</f>
        <v>0.34102141680395393</v>
      </c>
      <c r="DL21" s="910">
        <f>IF(OR(WWWW[[#This Row],['#_Non-functional latrines]]="",WWWW[[#This Row],['#_Non-functional latrines]]=0),0,WWWW[[#This Row],['#_Non-functional latrines]]/(WWWW[[#This Row],['#_Constructed latrines_by_WASHAgencies]]+WWWW[[#This Row],['#_Non Cluster partner latrines]]))</f>
        <v>0</v>
      </c>
      <c r="DM21" s="906">
        <f>IF(500*(WWWW[[#This Row],['#_male hygiene promoters]]+WWWW[[#This Row],['#_female hygiene promoters]])&gt;WWWW[[#This Row],[Total PoP ]],WWWW[[#This Row],[Total PoP ]],500*(WWWW[[#This Row],['#_male hygiene promoters]]+WWWW[[#This Row],['#_female hygiene promoters]]))</f>
        <v>607</v>
      </c>
      <c r="DN21"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1"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1" s="909">
        <f>IF(WWWW[[#This Row],['# People with access to soap]]&gt;WWWW[[#This Row],['# People with access to Sanity Pads]],WWWW[[#This Row],['# People with access to soap]],WWWW[[#This Row],['# People with access to Sanity Pads]])</f>
        <v>0</v>
      </c>
      <c r="DQ21" s="909">
        <f>IF(WWWW[[#This Row],['# people reached by regular dedicated hygiene promotion_5]]&gt;WWWW[[#This Row],['# People received regular supply of hygiene items_6]],WWWW[[#This Row],['# people reached by regular dedicated hygiene promotion_5]],WWWW[[#This Row],['# People received regular supply of hygiene items_6]])</f>
        <v>607</v>
      </c>
      <c r="DR21" s="911">
        <f>IF(WWWW[[#This Row],[HRP3]]/WWWW[[#This Row],[Total PoP ]]&gt;1,1,WWWW[[#This Row],[HRP3]]/WWWW[[#This Row],[Total PoP ]])</f>
        <v>1</v>
      </c>
      <c r="DS21" s="910">
        <f>1-WWWW[[#This Row],[Hygiene Coverage%]]</f>
        <v>0</v>
      </c>
      <c r="DT21" s="908">
        <f>WWWW[[#This Row],['# people reached by regular dedicated hygiene promotion_5]]/WWWW[[#This Row],[Total PoP ]]</f>
        <v>1</v>
      </c>
      <c r="DU21"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1"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1" s="909">
        <f>WWWW[[#This Row],['#_Constructed/Existing hand washing stations]]-WWWW[[#This Row],['#_Non-Functional_hand_washing_stations]]</f>
        <v>4</v>
      </c>
      <c r="DX21" s="906">
        <f>IF(WWWW[[#This Row],['# Functional hand washing stations during reporting period]]*20&gt;WWWW[[#This Row],[Total HH]],WWWW[[#This Row],[Total HH]],WWWW[[#This Row],['# Functional hand washing stations during reporting period]]*20)</f>
        <v>80</v>
      </c>
      <c r="DY21" s="906">
        <f>IF(WWWW[[#This Row],[Is sufficient soap available for TLS? (Yes/No)]]="yes",WWWW[[#This Row],['#_Constructed/Existing hand washing stations at TLS/CFS/THF]],0)</f>
        <v>0</v>
      </c>
      <c r="DZ21" s="421">
        <f>IF(WWWW[[#This Row],['# Functional hand washing stations during reporting period]]*100&gt;WWWW[[#This Row],[Total PoP ]],WWWW[[#This Row],[Total PoP ]],WWWW[[#This Row],['# Functional hand washing stations during reporting period]]*100)</f>
        <v>400</v>
      </c>
      <c r="EA21" s="421" t="str">
        <f>IF(OR(WWWW[[#This Row],['#_students at TLS_CFS]]="",WWWW[[#This Row],['#_students at TLS_CFS]]=0),"No","Yes")</f>
        <v>No</v>
      </c>
      <c r="EB2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1" s="566">
        <f>WWWW[[#This Row],[%_of_affected_people_surveyed_who_report_feeling_satistfied_with_the_latrine_design_and_sanitation_service]]*WWWW[[#This Row],[Total PoP ]]</f>
        <v>0</v>
      </c>
      <c r="ED21" s="566">
        <f>WWWW[[#This Row],[%_of_affected_people_surveyed_who_report_feeling_satistfied_with_the_water_point_design_and_water_service]]*WWWW[[#This Row],[Total PoP ]]</f>
        <v>0</v>
      </c>
      <c r="EE21" s="566">
        <f>WWWW[[#This Row],[%_of_complaints_received_that_result_in_timely_corrective_action_and_feedback_to_the_community]]*WWWW[[#This Row],[Total PoP ]]</f>
        <v>0</v>
      </c>
      <c r="EF2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1" s="902">
        <f>VLOOKUP(WWWW[[#This Row],[Site Name]],SiteDB6[[Site Name]:[CCCM Management]],6,FALSE)</f>
        <v>0</v>
      </c>
      <c r="EJ21" s="902" t="str">
        <f>VLOOKUP(WWWW[[#This Row],[Site Name]],SiteDB6[[Site Name]:[CCCM Focal Agency]],7,FALSE)</f>
        <v>KBC-MYT</v>
      </c>
      <c r="EK21" s="902" t="str">
        <f>VLOOKUP(WWWW[[#This Row],[Site Name]],SiteDB6[[Site Name]:[Location Type 1]],9,FALSE)</f>
        <v>Camp</v>
      </c>
      <c r="EL21" s="902" t="str">
        <f>VLOOKUP(WWWW[[#This Row],[Site Name]],SiteDB6[[Site Name]:[Type of Accommodation]],10,FALSE)</f>
        <v>Camp</v>
      </c>
      <c r="EM21" s="902" t="str">
        <f>VLOOKUP(WWWW[[#This Row],[Site Name]],SiteDB6[[Site Name]:[Ethnic or GCA/NGCA]],11,FALSE)</f>
        <v>GCA</v>
      </c>
      <c r="EN21" s="902">
        <f>VLOOKUP(WWWW[[#This Row],[Site Name]],SiteDB6[[Site Name]:[Lat]],12,FALSE)</f>
        <v>25.2226</v>
      </c>
      <c r="EO21" s="902">
        <f>VLOOKUP(WWWW[[#This Row],[Site Name]],SiteDB6[[Site Name]:[Long]],13,FALSE)</f>
        <v>97.012299999999996</v>
      </c>
      <c r="EP21" s="902" t="str">
        <f>VLOOKUP(WWWW[[#This Row],[Site Name]],SiteDB6[[Site Name]:[Pcode]],3,FALSE)</f>
        <v>MMR001CMP261</v>
      </c>
      <c r="EQ21" s="907" t="str">
        <f t="shared" si="0"/>
        <v>Covered</v>
      </c>
      <c r="ER21" s="907" t="s">
        <v>3126</v>
      </c>
      <c r="ES21" s="907" t="s">
        <v>3126</v>
      </c>
      <c r="ET21" s="902">
        <f>VLOOKUP(WWWW[[#This Row],[Site Name]],SiteDB6[[Site Name]:[Pop
(Kachin/Shan-CCCM as of May 2023)]],16,FALSE)</f>
        <v>110</v>
      </c>
      <c r="EU21" s="902">
        <f>VLOOKUP(WWWW[[#This Row],[Site Name]],SiteDB6[[Site Name]:[Pop
(Kachin/Shan-CCCM as of May 2023)]],17,FALSE)</f>
        <v>590</v>
      </c>
    </row>
    <row r="22" spans="1:151" hidden="1">
      <c r="A22" s="900" t="s">
        <v>2961</v>
      </c>
      <c r="B22" s="901" t="s">
        <v>141</v>
      </c>
      <c r="C22" s="901" t="s">
        <v>141</v>
      </c>
      <c r="D22" s="901" t="s">
        <v>241</v>
      </c>
      <c r="E22" s="901" t="s">
        <v>37</v>
      </c>
      <c r="F22" s="901" t="s">
        <v>152</v>
      </c>
      <c r="G22" s="902" t="str">
        <f>VLOOKUP(WWWW[[#This Row],[Site Name]],SiteDB6[[Site Name]:[Location Type]],8,FALSE)</f>
        <v>Camp</v>
      </c>
      <c r="H22" s="901" t="s">
        <v>155</v>
      </c>
      <c r="I22" s="903">
        <v>10</v>
      </c>
      <c r="J22" s="903">
        <v>51</v>
      </c>
      <c r="K22" s="904">
        <v>44811</v>
      </c>
      <c r="L22" s="905">
        <v>45175</v>
      </c>
      <c r="M22" s="903"/>
      <c r="N22" s="903">
        <v>1</v>
      </c>
      <c r="O22" s="903"/>
      <c r="P22" s="903"/>
      <c r="Q22" s="906" t="s">
        <v>41</v>
      </c>
      <c r="R22" s="903">
        <v>2</v>
      </c>
      <c r="S22" s="903">
        <v>1</v>
      </c>
      <c r="T22" s="441">
        <v>2</v>
      </c>
      <c r="U22" s="903">
        <v>1</v>
      </c>
      <c r="V22" s="903"/>
      <c r="W22" s="903">
        <v>2</v>
      </c>
      <c r="X22" s="903"/>
      <c r="Y22" s="903"/>
      <c r="Z22" s="903"/>
      <c r="AA22" s="903"/>
      <c r="AB22" s="903"/>
      <c r="AC22" s="903"/>
      <c r="AD22" s="903"/>
      <c r="AE22" s="903"/>
      <c r="AF22" s="903"/>
      <c r="AG22" s="903"/>
      <c r="AH22" s="903">
        <v>3</v>
      </c>
      <c r="AI22" s="903"/>
      <c r="AJ22" s="903"/>
      <c r="AK22" s="903"/>
      <c r="AL22" s="903"/>
      <c r="AM22" s="903"/>
      <c r="AN22" s="903"/>
      <c r="AO22" s="441"/>
      <c r="AP22" s="907"/>
      <c r="AQ22" s="903">
        <v>4</v>
      </c>
      <c r="AR22" s="903"/>
      <c r="AS22" s="908"/>
      <c r="AT22" s="903"/>
      <c r="AU22" s="903"/>
      <c r="AV22" s="903"/>
      <c r="AW22" s="903"/>
      <c r="AX22" s="903">
        <v>3</v>
      </c>
      <c r="AY22" s="902" t="s">
        <v>41</v>
      </c>
      <c r="AZ22" s="907" t="s">
        <v>137</v>
      </c>
      <c r="BA22" s="903"/>
      <c r="BB22" s="903"/>
      <c r="BC22" s="903"/>
      <c r="BD22" s="441"/>
      <c r="BE22" s="441"/>
      <c r="BF22" s="902"/>
      <c r="BG22" s="903">
        <v>3</v>
      </c>
      <c r="BH22" s="903"/>
      <c r="BI22" s="903"/>
      <c r="BJ22" s="903">
        <v>2</v>
      </c>
      <c r="BK22" s="903"/>
      <c r="BL22" s="903"/>
      <c r="BM22" s="903"/>
      <c r="BN22" s="903"/>
      <c r="BO22" s="903"/>
      <c r="BP22" s="902"/>
      <c r="BQ22" s="909"/>
      <c r="BR22" s="908"/>
      <c r="BS22" s="902"/>
      <c r="BT22" s="416"/>
      <c r="BU22" s="416"/>
      <c r="BV22" s="418"/>
      <c r="BW22" s="416"/>
      <c r="BX22" s="441"/>
      <c r="BY22" s="441"/>
      <c r="BZ22" s="441"/>
      <c r="CA22" s="441"/>
      <c r="CB22" s="441"/>
      <c r="CC22" s="693"/>
      <c r="CD22" s="441"/>
      <c r="CE22" s="910" t="str">
        <f>IFERROR(WWWW[[#This Row],['#_Water sources passed]]/WWWW[[#This Row],['#_Water sources tested for fecal coliform ]],"no test")</f>
        <v>no test</v>
      </c>
      <c r="CF22" s="908" t="str">
        <f>IFERROR(WWWW[[#This Row],['#_Household passed]]/WWWW[[#This Row],['#_Household water samples tested for fecal coliform]],"no test")</f>
        <v>no test</v>
      </c>
      <c r="CG22" s="909" t="str">
        <f>IF(AND(WWWW[[#This Row],[% of water sources passed]]="no test",WWWW[[#This Row],[% Household passed]]="no test"),"No Test","Tested")</f>
        <v>No Test</v>
      </c>
      <c r="CH22" s="909">
        <f>WWWW[[#This Row],['#_Constructed/existing protected hand dug well]]-WWWW[[#This Row],['#_Non-functional protected hand dug well]]</f>
        <v>1</v>
      </c>
      <c r="CI22" s="909">
        <f>(WWWW[[#This Row],['#_Constructed/Existing tube wells/boreholes/handpumps_WASH_agency]]+WWWW[[#This Row],['#_Non-Cluster partner water tube-wells/boreholes/handpumps]])-WWWW[[#This Row],['#_Non-functional tube wells/boreholes/handpumps]]</f>
        <v>2</v>
      </c>
      <c r="CJ22" s="909">
        <f>WWWW[[#This Row],['#_Constructed/Existingwater storage tank with gravity fed reticulation system]]-WWWW[[#This Row],['#_Non-functional storage tank gravity fed reticulation system]]</f>
        <v>0</v>
      </c>
      <c r="CK22" s="909">
        <f>(WWWW[[#This Row],['#_Water_Liters_supplied_by_Water boating or water trucking]]/90)/15</f>
        <v>0</v>
      </c>
      <c r="CL22" s="909">
        <f>WWWW[[#This Row],['#_Water_Liters_from_Constructed/Existing water distribution system from river or natural spring]]/90/15</f>
        <v>0</v>
      </c>
      <c r="CM22" s="417">
        <f>IF(WWWW[[#This Row],['#_of water points in TLS/CFS]]*500&gt;WWWW[[#This Row],[Total PoP ]],WWWW[[#This Row],[Total PoP ]],WWWW[[#This Row],['#_of water points in TLS/CFS]]*500)</f>
        <v>0</v>
      </c>
      <c r="CN22" s="417">
        <f>IF(WWWW[[#This Row],['#_of water points in THF]]*500&gt;WWWW[[#This Row],[Total PoP ]],WWWW[[#This Row],[Total PoP ]],WWWW[[#This Row],['#_of water points in THF]]*500)</f>
        <v>0</v>
      </c>
      <c r="CO22" s="417"/>
      <c r="CP22"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2"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2" s="908">
        <f>IF(WWWW[[#This Row],[Location Type 1]]="Village",WWWW[[#This Row],[Access to safe drinking water for Village]],WWWW[[#This Row],[Access to safe drinking water for Camp]])</f>
        <v>1</v>
      </c>
      <c r="CS22" s="906">
        <f>WWWW[[#This Row],[%Equitable and continuous access to sufficient quantity of safe drinking water]]*WWWW[[#This Row],[Total PoP ]]</f>
        <v>51</v>
      </c>
      <c r="CT22" s="908">
        <f>IF((WWWW[[#This Row],['#_Constructed/Existing protected/fenced ponds]]*250)/WWWW[[#This Row],[Total PoP ]]&gt;1,1,(WWWW[[#This Row],['#_Constructed/Existing protected/fenced ponds]]*250)/WWWW[[#This Row],[Total PoP ]])</f>
        <v>0</v>
      </c>
      <c r="CU22" s="906">
        <f>WWWW[[#This Row],[% Access to unimproved water points]]*WWWW[[#This Row],[Total PoP ]]</f>
        <v>0</v>
      </c>
      <c r="CV22"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2"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51</v>
      </c>
      <c r="CX22" s="906">
        <f>WWWW[[#This Row],[HRP1]]/500</f>
        <v>0.10199999999999999</v>
      </c>
      <c r="CY22" s="911">
        <f>1-WWWW[[#This Row],[% Equitable and continuous access to sufficient quantity of domestic water]]</f>
        <v>0</v>
      </c>
      <c r="CZ22" s="906">
        <f>WWWW[[#This Row],[%equitable and continuous access to sufficient quantity of safe drinking and domestic water''s GAP]]*WWWW[[#This Row],[Total PoP ]]</f>
        <v>0</v>
      </c>
      <c r="DA22" s="909">
        <f>IF(WWWW[[#This Row],[Total required water points]]-WWWW[[#This Row],['#Water points coverage]]&lt;0,0,WWWW[[#This Row],[Total required water points]]-WWWW[[#This Row],['#Water points coverage]])</f>
        <v>0.89800000000000002</v>
      </c>
      <c r="DB22" s="909">
        <f>ROUND(IF(WWWW[[#This Row],[Total PoP ]]&lt;500,1,WWWW[[#This Row],[Total PoP ]]/500),0)</f>
        <v>1</v>
      </c>
      <c r="DC22" s="909">
        <f>(WWWW[[#This Row],['#_Constructed latrines_by_WASHAgencies]]+WWWW[[#This Row],['#_Non Cluster partner latrines]])-WWWW[[#This Row],['#_Non-functional latrines]]</f>
        <v>4</v>
      </c>
      <c r="DD22" s="615">
        <f>WWWW[[#This Row],[HRP2]]/WWWW[[#This Row],[Total PoP ]]</f>
        <v>1</v>
      </c>
      <c r="DE22"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51</v>
      </c>
      <c r="DF22"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2"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2" s="417">
        <f>IF(WWWW[[#This Row],['# of functional latrines in THF supported by WASH partners during the reporting period2]]="",0,WWWW[[#This Row],['# of functional latrines in THF supported by WASH partners during the reporting period2]]*50)</f>
        <v>0</v>
      </c>
      <c r="DI22" s="909">
        <f>ROUND(IF(WWWW[[#This Row],[Location Type 1]]="camp",WWWW[[#This Row],[Total PoP ]]/20,IF(WWWW[[#This Row],[Location Type 1]]="Temporary Location",WWWW[[#This Row],[Total PoP ]]/50,(WWWW[[#This Row],[Total PoP ]]/6))),0)</f>
        <v>3</v>
      </c>
      <c r="DJ22" s="909">
        <f>IF(WWWW[[#This Row],[Total required Latrines]]-(WWWW[[#This Row],['#_Constructed latrines_by_WASHAgencies]]+WWWW[[#This Row],['#_Non Cluster partner latrines]])&lt;0,0,WWWW[[#This Row],[Total required Latrines]]-(WWWW[[#This Row],['#_Constructed latrines_by_WASHAgencies]]+WWWW[[#This Row],['#_Non Cluster partner latrines]]))</f>
        <v>0</v>
      </c>
      <c r="DK22" s="911">
        <f>1-WWWW[[#This Row],[% people access to functioning Latrine]]</f>
        <v>0</v>
      </c>
      <c r="DL22" s="910">
        <f>IF(OR(WWWW[[#This Row],['#_Non-functional latrines]]="",WWWW[[#This Row],['#_Non-functional latrines]]=0),0,WWWW[[#This Row],['#_Non-functional latrines]]/(WWWW[[#This Row],['#_Constructed latrines_by_WASHAgencies]]+WWWW[[#This Row],['#_Non Cluster partner latrines]]))</f>
        <v>0</v>
      </c>
      <c r="DM22" s="906">
        <f>IF(500*(WWWW[[#This Row],['#_male hygiene promoters]]+WWWW[[#This Row],['#_female hygiene promoters]])&gt;WWWW[[#This Row],[Total PoP ]],WWWW[[#This Row],[Total PoP ]],500*(WWWW[[#This Row],['#_male hygiene promoters]]+WWWW[[#This Row],['#_female hygiene promoters]]))</f>
        <v>0</v>
      </c>
      <c r="DN22"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2"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2" s="909">
        <f>IF(WWWW[[#This Row],['# People with access to soap]]&gt;WWWW[[#This Row],['# People with access to Sanity Pads]],WWWW[[#This Row],['# People with access to soap]],WWWW[[#This Row],['# People with access to Sanity Pads]])</f>
        <v>0</v>
      </c>
      <c r="DQ22"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2" s="911">
        <f>IF(WWWW[[#This Row],[HRP3]]/WWWW[[#This Row],[Total PoP ]]&gt;1,1,WWWW[[#This Row],[HRP3]]/WWWW[[#This Row],[Total PoP ]])</f>
        <v>0</v>
      </c>
      <c r="DS22" s="910">
        <f>1-WWWW[[#This Row],[Hygiene Coverage%]]</f>
        <v>1</v>
      </c>
      <c r="DT22" s="908">
        <f>WWWW[[#This Row],['# people reached by regular dedicated hygiene promotion_5]]/WWWW[[#This Row],[Total PoP ]]</f>
        <v>0</v>
      </c>
      <c r="DU22"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2"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2" s="909">
        <f>WWWW[[#This Row],['#_Constructed/Existing hand washing stations]]-WWWW[[#This Row],['#_Non-Functional_hand_washing_stations]]</f>
        <v>3</v>
      </c>
      <c r="DX22" s="906">
        <f>IF(WWWW[[#This Row],['# Functional hand washing stations during reporting period]]*20&gt;WWWW[[#This Row],[Total HH]],WWWW[[#This Row],[Total HH]],WWWW[[#This Row],['# Functional hand washing stations during reporting period]]*20)</f>
        <v>10</v>
      </c>
      <c r="DY22" s="906">
        <f>IF(WWWW[[#This Row],[Is sufficient soap available for TLS? (Yes/No)]]="yes",WWWW[[#This Row],['#_Constructed/Existing hand washing stations at TLS/CFS/THF]],0)</f>
        <v>0</v>
      </c>
      <c r="DZ22" s="421">
        <f>IF(WWWW[[#This Row],['# Functional hand washing stations during reporting period]]*100&gt;WWWW[[#This Row],[Total PoP ]],WWWW[[#This Row],[Total PoP ]],WWWW[[#This Row],['# Functional hand washing stations during reporting period]]*100)</f>
        <v>51</v>
      </c>
      <c r="EA22" s="421" t="str">
        <f>IF(OR(WWWW[[#This Row],['#_students at TLS_CFS]]="",WWWW[[#This Row],['#_students at TLS_CFS]]=0),"No","Yes")</f>
        <v>No</v>
      </c>
      <c r="EB2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2" s="566">
        <f>WWWW[[#This Row],[%_of_affected_people_surveyed_who_report_feeling_satistfied_with_the_latrine_design_and_sanitation_service]]*WWWW[[#This Row],[Total PoP ]]</f>
        <v>0</v>
      </c>
      <c r="ED22" s="566">
        <f>WWWW[[#This Row],[%_of_affected_people_surveyed_who_report_feeling_satistfied_with_the_water_point_design_and_water_service]]*WWWW[[#This Row],[Total PoP ]]</f>
        <v>0</v>
      </c>
      <c r="EE22" s="566">
        <f>WWWW[[#This Row],[%_of_complaints_received_that_result_in_timely_corrective_action_and_feedback_to_the_community]]*WWWW[[#This Row],[Total PoP ]]</f>
        <v>0</v>
      </c>
      <c r="EF2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2" s="902" t="str">
        <f>VLOOKUP(WWWW[[#This Row],[Site Name]],SiteDB6[[Site Name]:[CCCM Management]],6,FALSE)</f>
        <v>Yes</v>
      </c>
      <c r="EJ22" s="902" t="str">
        <f>VLOOKUP(WWWW[[#This Row],[Site Name]],SiteDB6[[Site Name]:[CCCM Focal Agency]],7,FALSE)</f>
        <v>KBC-MYT</v>
      </c>
      <c r="EK22" s="902" t="str">
        <f>VLOOKUP(WWWW[[#This Row],[Site Name]],SiteDB6[[Site Name]:[Location Type 1]],9,FALSE)</f>
        <v>Camp</v>
      </c>
      <c r="EL22" s="902" t="str">
        <f>VLOOKUP(WWWW[[#This Row],[Site Name]],SiteDB6[[Site Name]:[Type of Accommodation]],10,FALSE)</f>
        <v>Camp</v>
      </c>
      <c r="EM22" s="902" t="str">
        <f>VLOOKUP(WWWW[[#This Row],[Site Name]],SiteDB6[[Site Name]:[Ethnic or GCA/NGCA]],11,FALSE)</f>
        <v>GCA</v>
      </c>
      <c r="EN22" s="902">
        <f>VLOOKUP(WWWW[[#This Row],[Site Name]],SiteDB6[[Site Name]:[Lat]],12,FALSE)</f>
        <v>25.30442</v>
      </c>
      <c r="EO22" s="902">
        <f>VLOOKUP(WWWW[[#This Row],[Site Name]],SiteDB6[[Site Name]:[Long]],13,FALSE)</f>
        <v>96.948740000000001</v>
      </c>
      <c r="EP22" s="902" t="str">
        <f>VLOOKUP(WWWW[[#This Row],[Site Name]],SiteDB6[[Site Name]:[Pcode]],3,FALSE)</f>
        <v>MMR001CMP079</v>
      </c>
      <c r="EQ22" s="907" t="str">
        <f t="shared" si="0"/>
        <v>Covered</v>
      </c>
      <c r="ER22" s="907" t="s">
        <v>3126</v>
      </c>
      <c r="ES22" s="907" t="s">
        <v>3126</v>
      </c>
      <c r="ET22" s="902">
        <f>VLOOKUP(WWWW[[#This Row],[Site Name]],SiteDB6[[Site Name]:[Pop
(Kachin/Shan-CCCM as of May 2023)]],16,FALSE)</f>
        <v>10</v>
      </c>
      <c r="EU22" s="902">
        <f>VLOOKUP(WWWW[[#This Row],[Site Name]],SiteDB6[[Site Name]:[Pop
(Kachin/Shan-CCCM as of May 2023)]],17,FALSE)</f>
        <v>48</v>
      </c>
    </row>
    <row r="23" spans="1:151" hidden="1">
      <c r="A23" s="900" t="s">
        <v>2961</v>
      </c>
      <c r="B23" s="901" t="s">
        <v>141</v>
      </c>
      <c r="C23" s="901" t="s">
        <v>141</v>
      </c>
      <c r="D23" s="901" t="s">
        <v>241</v>
      </c>
      <c r="E23" s="901" t="s">
        <v>37</v>
      </c>
      <c r="F23" s="901" t="s">
        <v>157</v>
      </c>
      <c r="G23" s="902" t="str">
        <f>VLOOKUP(WWWW[[#This Row],[Site Name]],SiteDB6[[Site Name]:[Location Type]],8,FALSE)</f>
        <v>Camp</v>
      </c>
      <c r="H23" s="901" t="s">
        <v>158</v>
      </c>
      <c r="I23" s="903">
        <v>27</v>
      </c>
      <c r="J23" s="903">
        <v>127</v>
      </c>
      <c r="K23" s="904">
        <v>44811</v>
      </c>
      <c r="L23" s="905">
        <v>45175</v>
      </c>
      <c r="M23" s="903"/>
      <c r="N23" s="903">
        <v>1</v>
      </c>
      <c r="O23" s="903"/>
      <c r="P23" s="903"/>
      <c r="Q23" s="906" t="s">
        <v>41</v>
      </c>
      <c r="R23" s="903">
        <v>2</v>
      </c>
      <c r="S23" s="903">
        <v>2</v>
      </c>
      <c r="T23" s="441">
        <v>2</v>
      </c>
      <c r="U23" s="903"/>
      <c r="V23" s="903"/>
      <c r="W23" s="903">
        <v>1</v>
      </c>
      <c r="X23" s="903"/>
      <c r="Y23" s="903"/>
      <c r="Z23" s="903"/>
      <c r="AA23" s="903"/>
      <c r="AB23" s="903"/>
      <c r="AC23" s="903"/>
      <c r="AD23" s="903"/>
      <c r="AE23" s="903"/>
      <c r="AF23" s="903"/>
      <c r="AG23" s="903"/>
      <c r="AH23" s="903"/>
      <c r="AI23" s="903"/>
      <c r="AJ23" s="903"/>
      <c r="AK23" s="903"/>
      <c r="AL23" s="903"/>
      <c r="AM23" s="903"/>
      <c r="AN23" s="903"/>
      <c r="AO23" s="441"/>
      <c r="AP23" s="907"/>
      <c r="AQ23" s="903">
        <v>5</v>
      </c>
      <c r="AR23" s="903"/>
      <c r="AS23" s="908"/>
      <c r="AT23" s="903"/>
      <c r="AU23" s="903"/>
      <c r="AV23" s="903"/>
      <c r="AW23" s="903"/>
      <c r="AX23" s="903"/>
      <c r="AY23" s="902" t="s">
        <v>41</v>
      </c>
      <c r="AZ23" s="907" t="s">
        <v>899</v>
      </c>
      <c r="BA23" s="903"/>
      <c r="BB23" s="903"/>
      <c r="BC23" s="903"/>
      <c r="BD23" s="441"/>
      <c r="BE23" s="441"/>
      <c r="BF23" s="902"/>
      <c r="BG23" s="903">
        <v>4</v>
      </c>
      <c r="BH23" s="903"/>
      <c r="BI23" s="903"/>
      <c r="BJ23" s="903">
        <v>2</v>
      </c>
      <c r="BK23" s="903"/>
      <c r="BL23" s="903"/>
      <c r="BM23" s="903"/>
      <c r="BN23" s="903"/>
      <c r="BO23" s="903"/>
      <c r="BP23" s="902"/>
      <c r="BQ23" s="909"/>
      <c r="BR23" s="908"/>
      <c r="BS23" s="902"/>
      <c r="BT23" s="416"/>
      <c r="BU23" s="416"/>
      <c r="BV23" s="418"/>
      <c r="BW23" s="416"/>
      <c r="BX23" s="441"/>
      <c r="BY23" s="441"/>
      <c r="BZ23" s="441"/>
      <c r="CA23" s="441"/>
      <c r="CB23" s="441"/>
      <c r="CC23" s="693"/>
      <c r="CD23" s="441"/>
      <c r="CE23" s="910" t="str">
        <f>IFERROR(WWWW[[#This Row],['#_Water sources passed]]/WWWW[[#This Row],['#_Water sources tested for fecal coliform ]],"no test")</f>
        <v>no test</v>
      </c>
      <c r="CF23" s="908" t="str">
        <f>IFERROR(WWWW[[#This Row],['#_Household passed]]/WWWW[[#This Row],['#_Household water samples tested for fecal coliform]],"no test")</f>
        <v>no test</v>
      </c>
      <c r="CG23" s="909" t="str">
        <f>IF(AND(WWWW[[#This Row],[% of water sources passed]]="no test",WWWW[[#This Row],[% Household passed]]="no test"),"No Test","Tested")</f>
        <v>No Test</v>
      </c>
      <c r="CH23" s="909">
        <f>WWWW[[#This Row],['#_Constructed/existing protected hand dug well]]-WWWW[[#This Row],['#_Non-functional protected hand dug well]]</f>
        <v>2</v>
      </c>
      <c r="CI23" s="909">
        <f>(WWWW[[#This Row],['#_Constructed/Existing tube wells/boreholes/handpumps_WASH_agency]]+WWWW[[#This Row],['#_Non-Cluster partner water tube-wells/boreholes/handpumps]])-WWWW[[#This Row],['#_Non-functional tube wells/boreholes/handpumps]]</f>
        <v>1</v>
      </c>
      <c r="CJ23" s="909">
        <f>WWWW[[#This Row],['#_Constructed/Existingwater storage tank with gravity fed reticulation system]]-WWWW[[#This Row],['#_Non-functional storage tank gravity fed reticulation system]]</f>
        <v>0</v>
      </c>
      <c r="CK23" s="909">
        <f>(WWWW[[#This Row],['#_Water_Liters_supplied_by_Water boating or water trucking]]/90)/15</f>
        <v>0</v>
      </c>
      <c r="CL23" s="909">
        <f>WWWW[[#This Row],['#_Water_Liters_from_Constructed/Existing water distribution system from river or natural spring]]/90/15</f>
        <v>0</v>
      </c>
      <c r="CM23" s="417">
        <f>IF(WWWW[[#This Row],['#_of water points in TLS/CFS]]*500&gt;WWWW[[#This Row],[Total PoP ]],WWWW[[#This Row],[Total PoP ]],WWWW[[#This Row],['#_of water points in TLS/CFS]]*500)</f>
        <v>0</v>
      </c>
      <c r="CN23" s="417">
        <f>IF(WWWW[[#This Row],['#_of water points in THF]]*500&gt;WWWW[[#This Row],[Total PoP ]],WWWW[[#This Row],[Total PoP ]],WWWW[[#This Row],['#_of water points in THF]]*500)</f>
        <v>0</v>
      </c>
      <c r="CO23" s="417"/>
      <c r="CP23"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3"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3" s="908">
        <f>IF(WWWW[[#This Row],[Location Type 1]]="Village",WWWW[[#This Row],[Access to safe drinking water for Village]],WWWW[[#This Row],[Access to safe drinking water for Camp]])</f>
        <v>1</v>
      </c>
      <c r="CS23" s="906">
        <f>WWWW[[#This Row],[%Equitable and continuous access to sufficient quantity of safe drinking water]]*WWWW[[#This Row],[Total PoP ]]</f>
        <v>127</v>
      </c>
      <c r="CT23" s="908">
        <f>IF((WWWW[[#This Row],['#_Constructed/Existing protected/fenced ponds]]*250)/WWWW[[#This Row],[Total PoP ]]&gt;1,1,(WWWW[[#This Row],['#_Constructed/Existing protected/fenced ponds]]*250)/WWWW[[#This Row],[Total PoP ]])</f>
        <v>0</v>
      </c>
      <c r="CU23" s="906">
        <f>WWWW[[#This Row],[% Access to unimproved water points]]*WWWW[[#This Row],[Total PoP ]]</f>
        <v>0</v>
      </c>
      <c r="CV23"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3"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127</v>
      </c>
      <c r="CX23" s="906">
        <f>WWWW[[#This Row],[HRP1]]/500</f>
        <v>0.254</v>
      </c>
      <c r="CY23" s="911">
        <f>1-WWWW[[#This Row],[% Equitable and continuous access to sufficient quantity of domestic water]]</f>
        <v>0</v>
      </c>
      <c r="CZ23" s="906">
        <f>WWWW[[#This Row],[%equitable and continuous access to sufficient quantity of safe drinking and domestic water''s GAP]]*WWWW[[#This Row],[Total PoP ]]</f>
        <v>0</v>
      </c>
      <c r="DA23" s="909">
        <f>IF(WWWW[[#This Row],[Total required water points]]-WWWW[[#This Row],['#Water points coverage]]&lt;0,0,WWWW[[#This Row],[Total required water points]]-WWWW[[#This Row],['#Water points coverage]])</f>
        <v>0.746</v>
      </c>
      <c r="DB23" s="909">
        <f>ROUND(IF(WWWW[[#This Row],[Total PoP ]]&lt;500,1,WWWW[[#This Row],[Total PoP ]]/500),0)</f>
        <v>1</v>
      </c>
      <c r="DC23" s="909">
        <f>(WWWW[[#This Row],['#_Constructed latrines_by_WASHAgencies]]+WWWW[[#This Row],['#_Non Cluster partner latrines]])-WWWW[[#This Row],['#_Non-functional latrines]]</f>
        <v>5</v>
      </c>
      <c r="DD23" s="615">
        <f>WWWW[[#This Row],[HRP2]]/WWWW[[#This Row],[Total PoP ]]</f>
        <v>0.78740157480314965</v>
      </c>
      <c r="DE23"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23"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3"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3" s="417">
        <f>IF(WWWW[[#This Row],['# of functional latrines in THF supported by WASH partners during the reporting period2]]="",0,WWWW[[#This Row],['# of functional latrines in THF supported by WASH partners during the reporting period2]]*50)</f>
        <v>0</v>
      </c>
      <c r="DI23" s="909">
        <f>ROUND(IF(WWWW[[#This Row],[Location Type 1]]="camp",WWWW[[#This Row],[Total PoP ]]/20,IF(WWWW[[#This Row],[Location Type 1]]="Temporary Location",WWWW[[#This Row],[Total PoP ]]/50,(WWWW[[#This Row],[Total PoP ]]/6))),0)</f>
        <v>6</v>
      </c>
      <c r="DJ23" s="909">
        <f>IF(WWWW[[#This Row],[Total required Latrines]]-(WWWW[[#This Row],['#_Constructed latrines_by_WASHAgencies]]+WWWW[[#This Row],['#_Non Cluster partner latrines]])&lt;0,0,WWWW[[#This Row],[Total required Latrines]]-(WWWW[[#This Row],['#_Constructed latrines_by_WASHAgencies]]+WWWW[[#This Row],['#_Non Cluster partner latrines]]))</f>
        <v>1</v>
      </c>
      <c r="DK23" s="911">
        <f>1-WWWW[[#This Row],[% people access to functioning Latrine]]</f>
        <v>0.21259842519685035</v>
      </c>
      <c r="DL23" s="910">
        <f>IF(OR(WWWW[[#This Row],['#_Non-functional latrines]]="",WWWW[[#This Row],['#_Non-functional latrines]]=0),0,WWWW[[#This Row],['#_Non-functional latrines]]/(WWWW[[#This Row],['#_Constructed latrines_by_WASHAgencies]]+WWWW[[#This Row],['#_Non Cluster partner latrines]]))</f>
        <v>0</v>
      </c>
      <c r="DM23" s="906">
        <f>IF(500*(WWWW[[#This Row],['#_male hygiene promoters]]+WWWW[[#This Row],['#_female hygiene promoters]])&gt;WWWW[[#This Row],[Total PoP ]],WWWW[[#This Row],[Total PoP ]],500*(WWWW[[#This Row],['#_male hygiene promoters]]+WWWW[[#This Row],['#_female hygiene promoters]]))</f>
        <v>0</v>
      </c>
      <c r="DN23"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3"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3" s="909">
        <f>IF(WWWW[[#This Row],['# People with access to soap]]&gt;WWWW[[#This Row],['# People with access to Sanity Pads]],WWWW[[#This Row],['# People with access to soap]],WWWW[[#This Row],['# People with access to Sanity Pads]])</f>
        <v>0</v>
      </c>
      <c r="DQ23"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3" s="911">
        <f>IF(WWWW[[#This Row],[HRP3]]/WWWW[[#This Row],[Total PoP ]]&gt;1,1,WWWW[[#This Row],[HRP3]]/WWWW[[#This Row],[Total PoP ]])</f>
        <v>0</v>
      </c>
      <c r="DS23" s="910">
        <f>1-WWWW[[#This Row],[Hygiene Coverage%]]</f>
        <v>1</v>
      </c>
      <c r="DT23" s="908">
        <f>WWWW[[#This Row],['# people reached by regular dedicated hygiene promotion_5]]/WWWW[[#This Row],[Total PoP ]]</f>
        <v>0</v>
      </c>
      <c r="DU23"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3"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3" s="909">
        <f>WWWW[[#This Row],['#_Constructed/Existing hand washing stations]]-WWWW[[#This Row],['#_Non-Functional_hand_washing_stations]]</f>
        <v>4</v>
      </c>
      <c r="DX23" s="906">
        <f>IF(WWWW[[#This Row],['# Functional hand washing stations during reporting period]]*20&gt;WWWW[[#This Row],[Total HH]],WWWW[[#This Row],[Total HH]],WWWW[[#This Row],['# Functional hand washing stations during reporting period]]*20)</f>
        <v>27</v>
      </c>
      <c r="DY23" s="906">
        <f>IF(WWWW[[#This Row],[Is sufficient soap available for TLS? (Yes/No)]]="yes",WWWW[[#This Row],['#_Constructed/Existing hand washing stations at TLS/CFS/THF]],0)</f>
        <v>0</v>
      </c>
      <c r="DZ23" s="421">
        <f>IF(WWWW[[#This Row],['# Functional hand washing stations during reporting period]]*100&gt;WWWW[[#This Row],[Total PoP ]],WWWW[[#This Row],[Total PoP ]],WWWW[[#This Row],['# Functional hand washing stations during reporting period]]*100)</f>
        <v>127</v>
      </c>
      <c r="EA23" s="421" t="str">
        <f>IF(OR(WWWW[[#This Row],['#_students at TLS_CFS]]="",WWWW[[#This Row],['#_students at TLS_CFS]]=0),"No","Yes")</f>
        <v>No</v>
      </c>
      <c r="EB2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3" s="566">
        <f>WWWW[[#This Row],[%_of_affected_people_surveyed_who_report_feeling_satistfied_with_the_latrine_design_and_sanitation_service]]*WWWW[[#This Row],[Total PoP ]]</f>
        <v>0</v>
      </c>
      <c r="ED23" s="566">
        <f>WWWW[[#This Row],[%_of_affected_people_surveyed_who_report_feeling_satistfied_with_the_water_point_design_and_water_service]]*WWWW[[#This Row],[Total PoP ]]</f>
        <v>0</v>
      </c>
      <c r="EE23" s="566">
        <f>WWWW[[#This Row],[%_of_complaints_received_that_result_in_timely_corrective_action_and_feedback_to_the_community]]*WWWW[[#This Row],[Total PoP ]]</f>
        <v>0</v>
      </c>
      <c r="EF2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3" s="902" t="str">
        <f>VLOOKUP(WWWW[[#This Row],[Site Name]],SiteDB6[[Site Name]:[CCCM Management]],6,FALSE)</f>
        <v>Yes</v>
      </c>
      <c r="EJ23" s="902" t="str">
        <f>VLOOKUP(WWWW[[#This Row],[Site Name]],SiteDB6[[Site Name]:[CCCM Focal Agency]],7,FALSE)</f>
        <v>KBC-MYT</v>
      </c>
      <c r="EK23" s="902" t="str">
        <f>VLOOKUP(WWWW[[#This Row],[Site Name]],SiteDB6[[Site Name]:[Location Type 1]],9,FALSE)</f>
        <v>Camp</v>
      </c>
      <c r="EL23" s="902" t="str">
        <f>VLOOKUP(WWWW[[#This Row],[Site Name]],SiteDB6[[Site Name]:[Type of Accommodation]],10,FALSE)</f>
        <v>Camp</v>
      </c>
      <c r="EM23" s="902" t="str">
        <f>VLOOKUP(WWWW[[#This Row],[Site Name]],SiteDB6[[Site Name]:[Ethnic or GCA/NGCA]],11,FALSE)</f>
        <v>GCA</v>
      </c>
      <c r="EN23" s="902">
        <f>VLOOKUP(WWWW[[#This Row],[Site Name]],SiteDB6[[Site Name]:[Lat]],12,FALSE)</f>
        <v>24.998349999999999</v>
      </c>
      <c r="EO23" s="902">
        <f>VLOOKUP(WWWW[[#This Row],[Site Name]],SiteDB6[[Site Name]:[Long]],13,FALSE)</f>
        <v>96.364949999999993</v>
      </c>
      <c r="EP23" s="902" t="str">
        <f>VLOOKUP(WWWW[[#This Row],[Site Name]],SiteDB6[[Site Name]:[Pcode]],3,FALSE)</f>
        <v>MMR001CMP152</v>
      </c>
      <c r="EQ23" s="907" t="str">
        <f t="shared" si="0"/>
        <v>Covered</v>
      </c>
      <c r="ER23" s="907" t="s">
        <v>3126</v>
      </c>
      <c r="ES23" s="907" t="s">
        <v>3126</v>
      </c>
      <c r="ET23" s="902">
        <f>VLOOKUP(WWWW[[#This Row],[Site Name]],SiteDB6[[Site Name]:[Pop
(Kachin/Shan-CCCM as of May 2023)]],16,FALSE)</f>
        <v>28</v>
      </c>
      <c r="EU23" s="902">
        <f>VLOOKUP(WWWW[[#This Row],[Site Name]],SiteDB6[[Site Name]:[Pop
(Kachin/Shan-CCCM as of May 2023)]],17,FALSE)</f>
        <v>131</v>
      </c>
    </row>
    <row r="24" spans="1:151" hidden="1">
      <c r="A24" s="900" t="s">
        <v>2961</v>
      </c>
      <c r="B24" s="900" t="s">
        <v>141</v>
      </c>
      <c r="C24" s="901" t="s">
        <v>141</v>
      </c>
      <c r="D24" s="901" t="s">
        <v>299</v>
      </c>
      <c r="E24" s="901" t="s">
        <v>37</v>
      </c>
      <c r="F24" s="901" t="s">
        <v>205</v>
      </c>
      <c r="G24" s="902" t="str">
        <f>VLOOKUP(WWWW[[#This Row],[Site Name]],SiteDB6[[Site Name]:[Location Type]],8,FALSE)</f>
        <v>Camp</v>
      </c>
      <c r="H24" s="901" t="s">
        <v>290</v>
      </c>
      <c r="I24" s="903">
        <v>1592</v>
      </c>
      <c r="J24" s="903">
        <v>8225</v>
      </c>
      <c r="K24" s="904">
        <v>44835</v>
      </c>
      <c r="L24" s="905">
        <v>45107</v>
      </c>
      <c r="M24" s="903"/>
      <c r="N24" s="903">
        <v>1</v>
      </c>
      <c r="O24" s="903"/>
      <c r="P24" s="903"/>
      <c r="Q24" s="906" t="s">
        <v>41</v>
      </c>
      <c r="R24" s="903">
        <v>8</v>
      </c>
      <c r="S24" s="903">
        <v>14</v>
      </c>
      <c r="T24" s="441">
        <v>2</v>
      </c>
      <c r="U24" s="903"/>
      <c r="V24" s="903"/>
      <c r="W24" s="903">
        <v>2</v>
      </c>
      <c r="X24" s="903"/>
      <c r="Y24" s="903"/>
      <c r="Z24" s="903"/>
      <c r="AA24" s="903">
        <v>5</v>
      </c>
      <c r="AB24" s="903">
        <v>2</v>
      </c>
      <c r="AC24" s="903"/>
      <c r="AD24" s="903"/>
      <c r="AE24" s="903">
        <v>3</v>
      </c>
      <c r="AF24" s="903"/>
      <c r="AG24" s="903"/>
      <c r="AH24" s="903"/>
      <c r="AI24" s="903"/>
      <c r="AJ24" s="903"/>
      <c r="AK24" s="903"/>
      <c r="AL24" s="903"/>
      <c r="AM24" s="903"/>
      <c r="AN24" s="903"/>
      <c r="AO24" s="441"/>
      <c r="AP24" s="907" t="s">
        <v>2867</v>
      </c>
      <c r="AQ24" s="903">
        <v>614</v>
      </c>
      <c r="AR24" s="903"/>
      <c r="AS24" s="908"/>
      <c r="AT24" s="903">
        <v>5</v>
      </c>
      <c r="AU24" s="903">
        <v>5</v>
      </c>
      <c r="AV24" s="903">
        <v>153</v>
      </c>
      <c r="AW24" s="903">
        <v>171.70627999999999</v>
      </c>
      <c r="AX24" s="903"/>
      <c r="AY24" s="902" t="s">
        <v>41</v>
      </c>
      <c r="AZ24" s="907" t="s">
        <v>137</v>
      </c>
      <c r="BA24" s="903"/>
      <c r="BB24" s="903"/>
      <c r="BC24" s="903"/>
      <c r="BD24" s="441"/>
      <c r="BE24" s="441"/>
      <c r="BF24" s="902" t="s">
        <v>140</v>
      </c>
      <c r="BG24" s="903">
        <v>130</v>
      </c>
      <c r="BH24" s="903">
        <v>60</v>
      </c>
      <c r="BI24" s="903"/>
      <c r="BJ24" s="903">
        <v>20</v>
      </c>
      <c r="BK24" s="903">
        <v>2</v>
      </c>
      <c r="BL24" s="903"/>
      <c r="BM24" s="903">
        <v>14</v>
      </c>
      <c r="BN24" s="903"/>
      <c r="BO24" s="903"/>
      <c r="BP24" s="902" t="s">
        <v>136</v>
      </c>
      <c r="BQ24" s="909"/>
      <c r="BR24" s="908">
        <v>0.6</v>
      </c>
      <c r="BS24" s="902" t="s">
        <v>140</v>
      </c>
      <c r="BT24" s="416">
        <v>0.7</v>
      </c>
      <c r="BU24" s="416">
        <v>0.8</v>
      </c>
      <c r="BV24" s="418">
        <v>50</v>
      </c>
      <c r="BW24" s="416">
        <v>0.8</v>
      </c>
      <c r="BX24" s="441"/>
      <c r="BY24" s="441"/>
      <c r="BZ24" s="441"/>
      <c r="CA24" s="441"/>
      <c r="CB24" s="441"/>
      <c r="CC24" s="693"/>
      <c r="CD24" s="441"/>
      <c r="CE24" s="910" t="str">
        <f>IFERROR(WWWW[[#This Row],['#_Water sources passed]]/WWWW[[#This Row],['#_Water sources tested for fecal coliform ]],"no test")</f>
        <v>no test</v>
      </c>
      <c r="CF24" s="908" t="str">
        <f>IFERROR(WWWW[[#This Row],['#_Household passed]]/WWWW[[#This Row],['#_Household water samples tested for fecal coliform]],"no test")</f>
        <v>no test</v>
      </c>
      <c r="CG24" s="909" t="str">
        <f>IF(AND(WWWW[[#This Row],[% of water sources passed]]="no test",WWWW[[#This Row],[% Household passed]]="no test"),"No Test","Tested")</f>
        <v>No Test</v>
      </c>
      <c r="CH24" s="909">
        <f>WWWW[[#This Row],['#_Constructed/existing protected hand dug well]]-WWWW[[#This Row],['#_Non-functional protected hand dug well]]</f>
        <v>2</v>
      </c>
      <c r="CI24" s="909">
        <f>(WWWW[[#This Row],['#_Constructed/Existing tube wells/boreholes/handpumps_WASH_agency]]+WWWW[[#This Row],['#_Non-Cluster partner water tube-wells/boreholes/handpumps]])-WWWW[[#This Row],['#_Non-functional tube wells/boreholes/handpumps]]</f>
        <v>2</v>
      </c>
      <c r="CJ24" s="909">
        <f>WWWW[[#This Row],['#_Constructed/Existingwater storage tank with gravity fed reticulation system]]-WWWW[[#This Row],['#_Non-functional storage tank gravity fed reticulation system]]</f>
        <v>3</v>
      </c>
      <c r="CK24" s="909">
        <f>(WWWW[[#This Row],['#_Water_Liters_supplied_by_Water boating or water trucking]]/90)/15</f>
        <v>0</v>
      </c>
      <c r="CL24" s="909">
        <f>WWWW[[#This Row],['#_Water_Liters_from_Constructed/Existing water distribution system from river or natural spring]]/90/15</f>
        <v>0</v>
      </c>
      <c r="CM24" s="417">
        <f>IF(WWWW[[#This Row],['#_of water points in TLS/CFS]]*500&gt;WWWW[[#This Row],[Total PoP ]],WWWW[[#This Row],[Total PoP ]],WWWW[[#This Row],['#_of water points in TLS/CFS]]*500)</f>
        <v>0</v>
      </c>
      <c r="CN24" s="417">
        <f>IF(WWWW[[#This Row],['#_of water points in THF]]*500&gt;WWWW[[#This Row],[Total PoP ]],WWWW[[#This Row],[Total PoP ]],WWWW[[#This Row],['#_of water points in THF]]*500)</f>
        <v>0</v>
      </c>
      <c r="CO24" s="417"/>
      <c r="CP24"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0.24316109422492402</v>
      </c>
      <c r="CQ24"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0.1458966565349544</v>
      </c>
      <c r="CR24" s="908">
        <f>IF(WWWW[[#This Row],[Location Type 1]]="Village",WWWW[[#This Row],[Access to safe drinking water for Village]],WWWW[[#This Row],[Access to safe drinking water for Camp]])</f>
        <v>0.24316109422492402</v>
      </c>
      <c r="CS24" s="906">
        <f>WWWW[[#This Row],[%Equitable and continuous access to sufficient quantity of safe drinking water]]*WWWW[[#This Row],[Total PoP ]]</f>
        <v>2000</v>
      </c>
      <c r="CT24" s="908">
        <f>IF((WWWW[[#This Row],['#_Constructed/Existing protected/fenced ponds]]*250)/WWWW[[#This Row],[Total PoP ]]&gt;1,1,(WWWW[[#This Row],['#_Constructed/Existing protected/fenced ponds]]*250)/WWWW[[#This Row],[Total PoP ]])</f>
        <v>9.1185410334346503E-2</v>
      </c>
      <c r="CU24" s="906">
        <f>WWWW[[#This Row],[% Access to unimproved water points]]*WWWW[[#This Row],[Total PoP ]]</f>
        <v>750</v>
      </c>
      <c r="CV24"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0.33434650455927051</v>
      </c>
      <c r="CW24"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2750</v>
      </c>
      <c r="CX24" s="906">
        <f>WWWW[[#This Row],[HRP1]]/500</f>
        <v>5.5</v>
      </c>
      <c r="CY24" s="911">
        <f>1-WWWW[[#This Row],[% Equitable and continuous access to sufficient quantity of domestic water]]</f>
        <v>0.66565349544072949</v>
      </c>
      <c r="CZ24" s="906">
        <f>WWWW[[#This Row],[%equitable and continuous access to sufficient quantity of safe drinking and domestic water''s GAP]]*WWWW[[#This Row],[Total PoP ]]</f>
        <v>5475</v>
      </c>
      <c r="DA24" s="909">
        <f>IF(WWWW[[#This Row],[Total required water points]]-WWWW[[#This Row],['#Water points coverage]]&lt;0,0,WWWW[[#This Row],[Total required water points]]-WWWW[[#This Row],['#Water points coverage]])</f>
        <v>10.5</v>
      </c>
      <c r="DB24" s="909">
        <f>ROUND(IF(WWWW[[#This Row],[Total PoP ]]&lt;500,1,WWWW[[#This Row],[Total PoP ]]/500),0)</f>
        <v>16</v>
      </c>
      <c r="DC24" s="909">
        <f>(WWWW[[#This Row],['#_Constructed latrines_by_WASHAgencies]]+WWWW[[#This Row],['#_Non Cluster partner latrines]])-WWWW[[#This Row],['#_Non-functional latrines]]</f>
        <v>609</v>
      </c>
      <c r="DD24" s="615">
        <f>WWWW[[#This Row],[HRP2]]/WWWW[[#This Row],[Total PoP ]]</f>
        <v>1</v>
      </c>
      <c r="DE24"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8225</v>
      </c>
      <c r="DF24"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3060</v>
      </c>
      <c r="DG24"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4" s="417">
        <f>IF(WWWW[[#This Row],['# of functional latrines in THF supported by WASH partners during the reporting period2]]="",0,WWWW[[#This Row],['# of functional latrines in THF supported by WASH partners during the reporting period2]]*50)</f>
        <v>0</v>
      </c>
      <c r="DI24" s="909">
        <f>ROUND(IF(WWWW[[#This Row],[Location Type 1]]="camp",WWWW[[#This Row],[Total PoP ]]/20,IF(WWWW[[#This Row],[Location Type 1]]="Temporary Location",WWWW[[#This Row],[Total PoP ]]/50,(WWWW[[#This Row],[Total PoP ]]/6))),0)</f>
        <v>411</v>
      </c>
      <c r="DJ24" s="909">
        <f>IF(WWWW[[#This Row],[Total required Latrines]]-(WWWW[[#This Row],['#_Constructed latrines_by_WASHAgencies]]+WWWW[[#This Row],['#_Non Cluster partner latrines]])&lt;0,0,WWWW[[#This Row],[Total required Latrines]]-(WWWW[[#This Row],['#_Constructed latrines_by_WASHAgencies]]+WWWW[[#This Row],['#_Non Cluster partner latrines]]))</f>
        <v>0</v>
      </c>
      <c r="DK24" s="911">
        <f>1-WWWW[[#This Row],[% people access to functioning Latrine]]</f>
        <v>0</v>
      </c>
      <c r="DL24" s="910">
        <f>IF(OR(WWWW[[#This Row],['#_Non-functional latrines]]="",WWWW[[#This Row],['#_Non-functional latrines]]=0),0,WWWW[[#This Row],['#_Non-functional latrines]]/(WWWW[[#This Row],['#_Constructed latrines_by_WASHAgencies]]+WWWW[[#This Row],['#_Non Cluster partner latrines]]))</f>
        <v>8.1433224755700327E-3</v>
      </c>
      <c r="DM24" s="906">
        <f>IF(500*(WWWW[[#This Row],['#_male hygiene promoters]]+WWWW[[#This Row],['#_female hygiene promoters]])&gt;WWWW[[#This Row],[Total PoP ]],WWWW[[#This Row],[Total PoP ]],500*(WWWW[[#This Row],['#_male hygiene promoters]]+WWWW[[#This Row],['#_female hygiene promoters]]))</f>
        <v>7000</v>
      </c>
      <c r="DN24"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4"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4" s="909">
        <f>IF(WWWW[[#This Row],['# People with access to soap]]&gt;WWWW[[#This Row],['# People with access to Sanity Pads]],WWWW[[#This Row],['# People with access to soap]],WWWW[[#This Row],['# People with access to Sanity Pads]])</f>
        <v>0</v>
      </c>
      <c r="DQ24" s="909">
        <f>IF(WWWW[[#This Row],['# people reached by regular dedicated hygiene promotion_5]]&gt;WWWW[[#This Row],['# People received regular supply of hygiene items_6]],WWWW[[#This Row],['# people reached by regular dedicated hygiene promotion_5]],WWWW[[#This Row],['# People received regular supply of hygiene items_6]])</f>
        <v>7000</v>
      </c>
      <c r="DR24" s="911">
        <f>IF(WWWW[[#This Row],[HRP3]]/WWWW[[#This Row],[Total PoP ]]&gt;1,1,WWWW[[#This Row],[HRP3]]/WWWW[[#This Row],[Total PoP ]])</f>
        <v>0.85106382978723405</v>
      </c>
      <c r="DS24" s="910">
        <f>1-WWWW[[#This Row],[Hygiene Coverage%]]</f>
        <v>0.14893617021276595</v>
      </c>
      <c r="DT24" s="908">
        <f>WWWW[[#This Row],['# people reached by regular dedicated hygiene promotion_5]]/WWWW[[#This Row],[Total PoP ]]</f>
        <v>0.85106382978723405</v>
      </c>
      <c r="DU24"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4"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4" s="909">
        <f>WWWW[[#This Row],['#_Constructed/Existing hand washing stations]]-WWWW[[#This Row],['#_Non-Functional_hand_washing_stations]]</f>
        <v>70</v>
      </c>
      <c r="DX24" s="906">
        <f>IF(WWWW[[#This Row],['# Functional hand washing stations during reporting period]]*20&gt;WWWW[[#This Row],[Total HH]],WWWW[[#This Row],[Total HH]],WWWW[[#This Row],['# Functional hand washing stations during reporting period]]*20)</f>
        <v>1400</v>
      </c>
      <c r="DY24" s="906">
        <f>IF(WWWW[[#This Row],[Is sufficient soap available for TLS? (Yes/No)]]="yes",WWWW[[#This Row],['#_Constructed/Existing hand washing stations at TLS/CFS/THF]],0)</f>
        <v>0</v>
      </c>
      <c r="DZ24" s="421">
        <f>IF(WWWW[[#This Row],['# Functional hand washing stations during reporting period]]*100&gt;WWWW[[#This Row],[Total PoP ]],WWWW[[#This Row],[Total PoP ]],WWWW[[#This Row],['# Functional hand washing stations during reporting period]]*100)</f>
        <v>7000</v>
      </c>
      <c r="EA24" s="421" t="str">
        <f>IF(OR(WWWW[[#This Row],['#_students at TLS_CFS]]="",WWWW[[#This Row],['#_students at TLS_CFS]]=0),"No","Yes")</f>
        <v>No</v>
      </c>
      <c r="EB24" s="615">
        <f>IF(WWWW[[#This Row],['#_of_affected_people_surveyed_who_report_feeling_informed_about_the_different_WASH_services_available_to_them]]="","",WWWW[[#This Row],['#_of_affected_people_surveyed_who_report_feeling_informed_about_the_different_WASH_services_available_to_them]]/WWWW[[#This Row],[Total PoP ]])</f>
        <v>6.0790273556231003E-3</v>
      </c>
      <c r="EC24" s="566">
        <f>WWWW[[#This Row],[%_of_affected_people_surveyed_who_report_feeling_satistfied_with_the_latrine_design_and_sanitation_service]]*WWWW[[#This Row],[Total PoP ]]</f>
        <v>5757.5</v>
      </c>
      <c r="ED24" s="566">
        <f>WWWW[[#This Row],[%_of_affected_people_surveyed_who_report_feeling_satistfied_with_the_water_point_design_and_water_service]]*WWWW[[#This Row],[Total PoP ]]</f>
        <v>6580</v>
      </c>
      <c r="EE24" s="566">
        <f>WWWW[[#This Row],[%_of_complaints_received_that_result_in_timely_corrective_action_and_feedback_to_the_community]]*WWWW[[#This Row],[Total PoP ]]</f>
        <v>6580</v>
      </c>
      <c r="EF2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6580</v>
      </c>
      <c r="EG2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4" s="902" t="str">
        <f>VLOOKUP(WWWW[[#This Row],[Site Name]],SiteDB6[[Site Name]:[CCCM Management]],6,FALSE)</f>
        <v>Yes</v>
      </c>
      <c r="EJ24" s="902" t="str">
        <f>VLOOKUP(WWWW[[#This Row],[Site Name]],SiteDB6[[Site Name]:[CCCM Focal Agency]],7,FALSE)</f>
        <v>KMSS-MYT</v>
      </c>
      <c r="EK24" s="902" t="str">
        <f>VLOOKUP(WWWW[[#This Row],[Site Name]],SiteDB6[[Site Name]:[Location Type 1]],9,FALSE)</f>
        <v>Camp</v>
      </c>
      <c r="EL24" s="902" t="str">
        <f>VLOOKUP(WWWW[[#This Row],[Site Name]],SiteDB6[[Site Name]:[Type of Accommodation]],10,FALSE)</f>
        <v>Camp</v>
      </c>
      <c r="EM24" s="902" t="str">
        <f>VLOOKUP(WWWW[[#This Row],[Site Name]],SiteDB6[[Site Name]:[Ethnic or GCA/NGCA]],11,FALSE)</f>
        <v>NGCA</v>
      </c>
      <c r="EN24" s="902">
        <f>VLOOKUP(WWWW[[#This Row],[Site Name]],SiteDB6[[Site Name]:[Lat]],12,FALSE)</f>
        <v>24.688338999999999</v>
      </c>
      <c r="EO24" s="902">
        <f>VLOOKUP(WWWW[[#This Row],[Site Name]],SiteDB6[[Site Name]:[Long]],13,FALSE)</f>
        <v>97.568331999999998</v>
      </c>
      <c r="EP24" s="902" t="str">
        <f>VLOOKUP(WWWW[[#This Row],[Site Name]],SiteDB6[[Site Name]:[Pcode]],3,FALSE)</f>
        <v>MMR001CMP121</v>
      </c>
      <c r="EQ24" s="907" t="str">
        <f t="shared" si="0"/>
        <v>Covered</v>
      </c>
      <c r="ER24" s="907" t="s">
        <v>3126</v>
      </c>
      <c r="ES24" s="907" t="s">
        <v>3126</v>
      </c>
      <c r="ET24" s="902"/>
      <c r="EU24" s="902"/>
    </row>
    <row r="25" spans="1:151" hidden="1">
      <c r="A25" s="900" t="s">
        <v>2961</v>
      </c>
      <c r="B25" s="900" t="s">
        <v>141</v>
      </c>
      <c r="C25" s="901" t="s">
        <v>141</v>
      </c>
      <c r="D25" s="901" t="s">
        <v>241</v>
      </c>
      <c r="E25" s="901" t="s">
        <v>37</v>
      </c>
      <c r="F25" s="901" t="s">
        <v>205</v>
      </c>
      <c r="G25" s="902" t="s">
        <v>3064</v>
      </c>
      <c r="H25" s="901" t="s">
        <v>289</v>
      </c>
      <c r="I25" s="903">
        <v>440</v>
      </c>
      <c r="J25" s="903">
        <v>2199</v>
      </c>
      <c r="K25" s="904">
        <v>44105</v>
      </c>
      <c r="L25" s="905">
        <v>44681</v>
      </c>
      <c r="M25" s="903"/>
      <c r="N25" s="903"/>
      <c r="O25" s="903"/>
      <c r="P25" s="903"/>
      <c r="Q25" s="906" t="s">
        <v>41</v>
      </c>
      <c r="R25" s="903"/>
      <c r="S25" s="903"/>
      <c r="T25" s="441"/>
      <c r="U25" s="903"/>
      <c r="V25" s="903"/>
      <c r="W25" s="903">
        <v>1</v>
      </c>
      <c r="X25" s="903"/>
      <c r="Y25" s="903"/>
      <c r="Z25" s="903"/>
      <c r="AA25" s="903"/>
      <c r="AB25" s="903"/>
      <c r="AC25" s="903"/>
      <c r="AD25" s="903"/>
      <c r="AE25" s="903"/>
      <c r="AF25" s="903"/>
      <c r="AG25" s="903"/>
      <c r="AH25" s="903"/>
      <c r="AI25" s="903"/>
      <c r="AJ25" s="903"/>
      <c r="AK25" s="903"/>
      <c r="AL25" s="903"/>
      <c r="AM25" s="903">
        <v>20</v>
      </c>
      <c r="AN25" s="903"/>
      <c r="AO25" s="441"/>
      <c r="AP25" s="907"/>
      <c r="AQ25" s="903"/>
      <c r="AR25" s="903"/>
      <c r="AS25" s="908"/>
      <c r="AT25" s="903"/>
      <c r="AU25" s="903"/>
      <c r="AV25" s="903"/>
      <c r="AW25" s="903"/>
      <c r="AX25" s="903"/>
      <c r="AY25" s="902" t="s">
        <v>140</v>
      </c>
      <c r="AZ25" s="907" t="s">
        <v>140</v>
      </c>
      <c r="BA25" s="903"/>
      <c r="BB25" s="903"/>
      <c r="BC25" s="903">
        <v>51</v>
      </c>
      <c r="BD25" s="441"/>
      <c r="BE25" s="441"/>
      <c r="BF25" s="902"/>
      <c r="BG25" s="903">
        <v>3</v>
      </c>
      <c r="BH25" s="903"/>
      <c r="BI25" s="903"/>
      <c r="BJ25" s="903">
        <v>2</v>
      </c>
      <c r="BK25" s="903"/>
      <c r="BL25" s="903"/>
      <c r="BM25" s="903"/>
      <c r="BN25" s="903"/>
      <c r="BO25" s="903"/>
      <c r="BP25" s="902"/>
      <c r="BQ25" s="909"/>
      <c r="BR25" s="908"/>
      <c r="BS25" s="902"/>
      <c r="BT25" s="416"/>
      <c r="BU25" s="416"/>
      <c r="BV25" s="418"/>
      <c r="BW25" s="416"/>
      <c r="BX25" s="441"/>
      <c r="BY25" s="441"/>
      <c r="BZ25" s="441"/>
      <c r="CA25" s="441"/>
      <c r="CB25" s="441"/>
      <c r="CC25" s="693"/>
      <c r="CD25" s="441"/>
      <c r="CE25" s="910" t="str">
        <f>IFERROR(WWWW[[#This Row],['#_Water sources passed]]/WWWW[[#This Row],['#_Water sources tested for fecal coliform ]],"no test")</f>
        <v>no test</v>
      </c>
      <c r="CF25" s="908" t="str">
        <f>IFERROR(WWWW[[#This Row],['#_Household passed]]/WWWW[[#This Row],['#_Household water samples tested for fecal coliform]],"no test")</f>
        <v>no test</v>
      </c>
      <c r="CG25" s="909" t="str">
        <f>IF(AND(WWWW[[#This Row],[% of water sources passed]]="no test",WWWW[[#This Row],[% Household passed]]="no test"),"No Test","Tested")</f>
        <v>No Test</v>
      </c>
      <c r="CH25" s="909">
        <f>WWWW[[#This Row],['#_Constructed/existing protected hand dug well]]-WWWW[[#This Row],['#_Non-functional protected hand dug well]]</f>
        <v>0</v>
      </c>
      <c r="CI25" s="909">
        <f>(WWWW[[#This Row],['#_Constructed/Existing tube wells/boreholes/handpumps_WASH_agency]]+WWWW[[#This Row],['#_Non-Cluster partner water tube-wells/boreholes/handpumps]])-WWWW[[#This Row],['#_Non-functional tube wells/boreholes/handpumps]]</f>
        <v>1</v>
      </c>
      <c r="CJ25" s="909">
        <f>WWWW[[#This Row],['#_Constructed/Existingwater storage tank with gravity fed reticulation system]]-WWWW[[#This Row],['#_Non-functional storage tank gravity fed reticulation system]]</f>
        <v>0</v>
      </c>
      <c r="CK25" s="909">
        <f>(WWWW[[#This Row],['#_Water_Liters_supplied_by_Water boating or water trucking]]/90)/15</f>
        <v>0</v>
      </c>
      <c r="CL25" s="909">
        <f>WWWW[[#This Row],['#_Water_Liters_from_Constructed/Existing water distribution system from river or natural spring]]/90/15</f>
        <v>0</v>
      </c>
      <c r="CM25" s="417">
        <f>IF(WWWW[[#This Row],['#_of water points in TLS/CFS]]*500&gt;WWWW[[#This Row],[Total PoP ]],WWWW[[#This Row],[Total PoP ]],WWWW[[#This Row],['#_of water points in TLS/CFS]]*500)</f>
        <v>0</v>
      </c>
      <c r="CN25" s="417">
        <f>IF(WWWW[[#This Row],['#_of water points in THF]]*500&gt;WWWW[[#This Row],[Total PoP ]],WWWW[[#This Row],[Total PoP ]],WWWW[[#This Row],['#_of water points in THF]]*500)</f>
        <v>0</v>
      </c>
      <c r="CO25" s="417"/>
      <c r="CP25"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0.22737608003638018</v>
      </c>
      <c r="CQ25"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0.11368804001819009</v>
      </c>
      <c r="CR25" s="908">
        <f>IF(WWWW[[#This Row],[Location Type 1]]="Village",WWWW[[#This Row],[Access to safe drinking water for Village]],WWWW[[#This Row],[Access to safe drinking water for Camp]])</f>
        <v>0.22737608003638018</v>
      </c>
      <c r="CS25" s="906">
        <f>WWWW[[#This Row],[%Equitable and continuous access to sufficient quantity of safe drinking water]]*WWWW[[#This Row],[Total PoP ]]</f>
        <v>500</v>
      </c>
      <c r="CT25" s="908">
        <f>IF((WWWW[[#This Row],['#_Constructed/Existing protected/fenced ponds]]*250)/WWWW[[#This Row],[Total PoP ]]&gt;1,1,(WWWW[[#This Row],['#_Constructed/Existing protected/fenced ponds]]*250)/WWWW[[#This Row],[Total PoP ]])</f>
        <v>0</v>
      </c>
      <c r="CU25" s="906">
        <f>WWWW[[#This Row],[% Access to unimproved water points]]*WWWW[[#This Row],[Total PoP ]]</f>
        <v>0</v>
      </c>
      <c r="CV25"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0.22737608003638018</v>
      </c>
      <c r="CW25"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X25" s="906">
        <f>WWWW[[#This Row],[HRP1]]/500</f>
        <v>1</v>
      </c>
      <c r="CY25" s="911">
        <f>1-WWWW[[#This Row],[% Equitable and continuous access to sufficient quantity of domestic water]]</f>
        <v>0.77262391996361979</v>
      </c>
      <c r="CZ25" s="906">
        <f>WWWW[[#This Row],[%equitable and continuous access to sufficient quantity of safe drinking and domestic water''s GAP]]*WWWW[[#This Row],[Total PoP ]]</f>
        <v>1699</v>
      </c>
      <c r="DA25" s="909">
        <f>IF(WWWW[[#This Row],[Total required water points]]-WWWW[[#This Row],['#Water points coverage]]&lt;0,0,WWWW[[#This Row],[Total required water points]]-WWWW[[#This Row],['#Water points coverage]])</f>
        <v>3</v>
      </c>
      <c r="DB25" s="909">
        <f>ROUND(IF(WWWW[[#This Row],[Total PoP ]]&lt;500,1,WWWW[[#This Row],[Total PoP ]]/500),0)</f>
        <v>4</v>
      </c>
      <c r="DC25" s="909">
        <f>(WWWW[[#This Row],['#_Constructed latrines_by_WASHAgencies]]+WWWW[[#This Row],['#_Non Cluster partner latrines]])-WWWW[[#This Row],['#_Non-functional latrines]]</f>
        <v>0</v>
      </c>
      <c r="DD25" s="615">
        <f>WWWW[[#This Row],[HRP2]]/WWWW[[#This Row],[Total PoP ]]</f>
        <v>0</v>
      </c>
      <c r="DE25"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5"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5"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5" s="417">
        <f>IF(WWWW[[#This Row],['# of functional latrines in THF supported by WASH partners during the reporting period2]]="",0,WWWW[[#This Row],['# of functional latrines in THF supported by WASH partners during the reporting period2]]*50)</f>
        <v>0</v>
      </c>
      <c r="DI25" s="909">
        <f>ROUND(IF(WWWW[[#This Row],[Location Type 1]]="camp",WWWW[[#This Row],[Total PoP ]]/20,IF(WWWW[[#This Row],[Location Type 1]]="Temporary Location",WWWW[[#This Row],[Total PoP ]]/50,(WWWW[[#This Row],[Total PoP ]]/6))),0)</f>
        <v>110</v>
      </c>
      <c r="DJ25" s="909">
        <f>IF(WWWW[[#This Row],[Total required Latrines]]-(WWWW[[#This Row],['#_Constructed latrines_by_WASHAgencies]]+WWWW[[#This Row],['#_Non Cluster partner latrines]])&lt;0,0,WWWW[[#This Row],[Total required Latrines]]-(WWWW[[#This Row],['#_Constructed latrines_by_WASHAgencies]]+WWWW[[#This Row],['#_Non Cluster partner latrines]]))</f>
        <v>110</v>
      </c>
      <c r="DK25" s="911">
        <f>1-WWWW[[#This Row],[% people access to functioning Latrine]]</f>
        <v>1</v>
      </c>
      <c r="DL25" s="910">
        <f>IF(OR(WWWW[[#This Row],['#_Non-functional latrines]]="",WWWW[[#This Row],['#_Non-functional latrines]]=0),0,WWWW[[#This Row],['#_Non-functional latrines]]/(WWWW[[#This Row],['#_Constructed latrines_by_WASHAgencies]]+WWWW[[#This Row],['#_Non Cluster partner latrines]]))</f>
        <v>0</v>
      </c>
      <c r="DM25" s="906">
        <f>IF(500*(WWWW[[#This Row],['#_male hygiene promoters]]+WWWW[[#This Row],['#_female hygiene promoters]])&gt;WWWW[[#This Row],[Total PoP ]],WWWW[[#This Row],[Total PoP ]],500*(WWWW[[#This Row],['#_male hygiene promoters]]+WWWW[[#This Row],['#_female hygiene promoters]]))</f>
        <v>0</v>
      </c>
      <c r="DN25"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5"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5" s="909">
        <f>IF(WWWW[[#This Row],['# People with access to soap]]&gt;WWWW[[#This Row],['# People with access to Sanity Pads]],WWWW[[#This Row],['# People with access to soap]],WWWW[[#This Row],['# People with access to Sanity Pads]])</f>
        <v>0</v>
      </c>
      <c r="DQ25"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5" s="911">
        <f>IF(WWWW[[#This Row],[HRP3]]/WWWW[[#This Row],[Total PoP ]]&gt;1,1,WWWW[[#This Row],[HRP3]]/WWWW[[#This Row],[Total PoP ]])</f>
        <v>0</v>
      </c>
      <c r="DS25" s="910">
        <f>1-WWWW[[#This Row],[Hygiene Coverage%]]</f>
        <v>1</v>
      </c>
      <c r="DT25" s="908">
        <f>WWWW[[#This Row],['# people reached by regular dedicated hygiene promotion_5]]/WWWW[[#This Row],[Total PoP ]]</f>
        <v>0</v>
      </c>
      <c r="DU25"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5"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5" s="909">
        <f>WWWW[[#This Row],['#_Constructed/Existing hand washing stations]]-WWWW[[#This Row],['#_Non-Functional_hand_washing_stations]]</f>
        <v>3</v>
      </c>
      <c r="DX25" s="906">
        <f>IF(WWWW[[#This Row],['# Functional hand washing stations during reporting period]]*20&gt;WWWW[[#This Row],[Total HH]],WWWW[[#This Row],[Total HH]],WWWW[[#This Row],['# Functional hand washing stations during reporting period]]*20)</f>
        <v>60</v>
      </c>
      <c r="DY25" s="906">
        <f>IF(WWWW[[#This Row],[Is sufficient soap available for TLS? (Yes/No)]]="yes",WWWW[[#This Row],['#_Constructed/Existing hand washing stations at TLS/CFS/THF]],0)</f>
        <v>0</v>
      </c>
      <c r="DZ25" s="421">
        <f>IF(WWWW[[#This Row],['# Functional hand washing stations during reporting period]]*100&gt;WWWW[[#This Row],[Total PoP ]],WWWW[[#This Row],[Total PoP ]],WWWW[[#This Row],['# Functional hand washing stations during reporting period]]*100)</f>
        <v>300</v>
      </c>
      <c r="EA25" s="421" t="str">
        <f>IF(OR(WWWW[[#This Row],['#_students at TLS_CFS]]="",WWWW[[#This Row],['#_students at TLS_CFS]]=0),"No","Yes")</f>
        <v>No</v>
      </c>
      <c r="EB2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5" s="566">
        <f>WWWW[[#This Row],[%_of_affected_people_surveyed_who_report_feeling_satistfied_with_the_latrine_design_and_sanitation_service]]*WWWW[[#This Row],[Total PoP ]]</f>
        <v>0</v>
      </c>
      <c r="ED25" s="566">
        <f>WWWW[[#This Row],[%_of_affected_people_surveyed_who_report_feeling_satistfied_with_the_water_point_design_and_water_service]]*WWWW[[#This Row],[Total PoP ]]</f>
        <v>0</v>
      </c>
      <c r="EE25" s="566">
        <f>WWWW[[#This Row],[%_of_complaints_received_that_result_in_timely_corrective_action_and_feedback_to_the_community]]*WWWW[[#This Row],[Total PoP ]]</f>
        <v>0</v>
      </c>
      <c r="EF2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5" s="902">
        <f>VLOOKUP(WWWW[[#This Row],[Site Name]],SiteDB6[[Site Name]:[CCCM Management]],6,FALSE)</f>
        <v>0</v>
      </c>
      <c r="EJ25" s="902">
        <f>VLOOKUP(WWWW[[#This Row],[Site Name]],SiteDB6[[Site Name]:[CCCM Focal Agency]],7,FALSE)</f>
        <v>0</v>
      </c>
      <c r="EK25" s="902" t="str">
        <f>VLOOKUP(WWWW[[#This Row],[Site Name]],SiteDB6[[Site Name]:[Location Type 1]],9,FALSE)</f>
        <v>Camp</v>
      </c>
      <c r="EL25" s="902" t="str">
        <f>VLOOKUP(WWWW[[#This Row],[Site Name]],SiteDB6[[Site Name]:[Type of Accommodation]],10,FALSE)</f>
        <v>School</v>
      </c>
      <c r="EM25" s="902" t="str">
        <f>VLOOKUP(WWWW[[#This Row],[Site Name]],SiteDB6[[Site Name]:[Ethnic or GCA/NGCA]],11,FALSE)</f>
        <v>NGCA</v>
      </c>
      <c r="EN25" s="902">
        <f>VLOOKUP(WWWW[[#This Row],[Site Name]],SiteDB6[[Site Name]:[Lat]],12,FALSE)</f>
        <v>0</v>
      </c>
      <c r="EO25" s="902">
        <f>VLOOKUP(WWWW[[#This Row],[Site Name]],SiteDB6[[Site Name]:[Long]],13,FALSE)</f>
        <v>0</v>
      </c>
      <c r="EP25" s="902">
        <f>VLOOKUP(WWWW[[#This Row],[Site Name]],SiteDB6[[Site Name]:[Pcode]],3,FALSE)</f>
        <v>0</v>
      </c>
      <c r="EQ25" s="907" t="str">
        <f t="shared" si="0"/>
        <v>Covered</v>
      </c>
      <c r="ER25" s="907" t="s">
        <v>3126</v>
      </c>
      <c r="ES25" s="907" t="s">
        <v>3126</v>
      </c>
      <c r="ET25" s="902">
        <f>VLOOKUP(WWWW[[#This Row],[Site Name]],SiteDB6[[Site Name]:[Pop
(Kachin/Shan-CCCM as of May 2023)]],16,FALSE)</f>
        <v>0</v>
      </c>
      <c r="EU25" s="902">
        <f>VLOOKUP(WWWW[[#This Row],[Site Name]],SiteDB6[[Site Name]:[Pop
(Kachin/Shan-CCCM as of May 2023)]],17,FALSE)</f>
        <v>0</v>
      </c>
    </row>
    <row r="26" spans="1:151" hidden="1">
      <c r="A26" s="900" t="s">
        <v>2961</v>
      </c>
      <c r="B26" s="901" t="s">
        <v>141</v>
      </c>
      <c r="C26" s="901" t="s">
        <v>141</v>
      </c>
      <c r="D26" s="901" t="s">
        <v>241</v>
      </c>
      <c r="E26" s="901" t="s">
        <v>37</v>
      </c>
      <c r="F26" s="901" t="s">
        <v>159</v>
      </c>
      <c r="G26" s="902" t="str">
        <f>VLOOKUP(WWWW[[#This Row],[Site Name]],SiteDB6[[Site Name]:[Location Type]],8,FALSE)</f>
        <v>Camp</v>
      </c>
      <c r="H26" s="901" t="s">
        <v>160</v>
      </c>
      <c r="I26" s="903">
        <v>43</v>
      </c>
      <c r="J26" s="903">
        <v>198</v>
      </c>
      <c r="K26" s="904">
        <v>44811</v>
      </c>
      <c r="L26" s="905">
        <v>45175</v>
      </c>
      <c r="M26" s="903"/>
      <c r="N26" s="903">
        <v>1</v>
      </c>
      <c r="O26" s="903"/>
      <c r="P26" s="903"/>
      <c r="Q26" s="906" t="s">
        <v>41</v>
      </c>
      <c r="R26" s="903">
        <v>2</v>
      </c>
      <c r="S26" s="903">
        <v>2</v>
      </c>
      <c r="T26" s="441">
        <v>3</v>
      </c>
      <c r="U26" s="903"/>
      <c r="V26" s="903"/>
      <c r="W26" s="903">
        <v>3</v>
      </c>
      <c r="X26" s="903"/>
      <c r="Y26" s="903"/>
      <c r="Z26" s="903"/>
      <c r="AA26" s="903"/>
      <c r="AB26" s="903"/>
      <c r="AC26" s="903"/>
      <c r="AD26" s="903"/>
      <c r="AE26" s="903">
        <v>3</v>
      </c>
      <c r="AF26" s="903"/>
      <c r="AG26" s="903"/>
      <c r="AH26" s="903">
        <v>3</v>
      </c>
      <c r="AI26" s="903"/>
      <c r="AJ26" s="903"/>
      <c r="AK26" s="903"/>
      <c r="AL26" s="903"/>
      <c r="AM26" s="903"/>
      <c r="AN26" s="903"/>
      <c r="AO26" s="441"/>
      <c r="AP26" s="907"/>
      <c r="AQ26" s="903">
        <v>6</v>
      </c>
      <c r="AR26" s="903"/>
      <c r="AS26" s="908"/>
      <c r="AT26" s="903"/>
      <c r="AU26" s="903"/>
      <c r="AV26" s="903"/>
      <c r="AW26" s="903"/>
      <c r="AX26" s="903">
        <v>6</v>
      </c>
      <c r="AY26" s="902" t="s">
        <v>41</v>
      </c>
      <c r="AZ26" s="907" t="s">
        <v>137</v>
      </c>
      <c r="BA26" s="903"/>
      <c r="BB26" s="903"/>
      <c r="BC26" s="903"/>
      <c r="BD26" s="441"/>
      <c r="BE26" s="441"/>
      <c r="BF26" s="902"/>
      <c r="BG26" s="903">
        <v>5</v>
      </c>
      <c r="BH26" s="903"/>
      <c r="BI26" s="903"/>
      <c r="BJ26" s="903">
        <v>3</v>
      </c>
      <c r="BK26" s="903"/>
      <c r="BL26" s="903">
        <v>1</v>
      </c>
      <c r="BM26" s="903"/>
      <c r="BN26" s="903"/>
      <c r="BO26" s="903"/>
      <c r="BP26" s="902"/>
      <c r="BQ26" s="909"/>
      <c r="BR26" s="908"/>
      <c r="BS26" s="902"/>
      <c r="BT26" s="416"/>
      <c r="BU26" s="416"/>
      <c r="BV26" s="418"/>
      <c r="BW26" s="416"/>
      <c r="BX26" s="441"/>
      <c r="BY26" s="441"/>
      <c r="BZ26" s="441"/>
      <c r="CA26" s="441"/>
      <c r="CB26" s="441"/>
      <c r="CC26" s="693"/>
      <c r="CD26" s="441"/>
      <c r="CE26" s="910" t="str">
        <f>IFERROR(WWWW[[#This Row],['#_Water sources passed]]/WWWW[[#This Row],['#_Water sources tested for fecal coliform ]],"no test")</f>
        <v>no test</v>
      </c>
      <c r="CF26" s="908" t="str">
        <f>IFERROR(WWWW[[#This Row],['#_Household passed]]/WWWW[[#This Row],['#_Household water samples tested for fecal coliform]],"no test")</f>
        <v>no test</v>
      </c>
      <c r="CG26" s="909" t="str">
        <f>IF(AND(WWWW[[#This Row],[% of water sources passed]]="no test",WWWW[[#This Row],[% Household passed]]="no test"),"No Test","Tested")</f>
        <v>No Test</v>
      </c>
      <c r="CH26" s="909">
        <f>WWWW[[#This Row],['#_Constructed/existing protected hand dug well]]-WWWW[[#This Row],['#_Non-functional protected hand dug well]]</f>
        <v>3</v>
      </c>
      <c r="CI26" s="909">
        <f>(WWWW[[#This Row],['#_Constructed/Existing tube wells/boreholes/handpumps_WASH_agency]]+WWWW[[#This Row],['#_Non-Cluster partner water tube-wells/boreholes/handpumps]])-WWWW[[#This Row],['#_Non-functional tube wells/boreholes/handpumps]]</f>
        <v>3</v>
      </c>
      <c r="CJ26" s="909">
        <f>WWWW[[#This Row],['#_Constructed/Existingwater storage tank with gravity fed reticulation system]]-WWWW[[#This Row],['#_Non-functional storage tank gravity fed reticulation system]]</f>
        <v>0</v>
      </c>
      <c r="CK26" s="909">
        <f>(WWWW[[#This Row],['#_Water_Liters_supplied_by_Water boating or water trucking]]/90)/15</f>
        <v>0</v>
      </c>
      <c r="CL26" s="909">
        <f>WWWW[[#This Row],['#_Water_Liters_from_Constructed/Existing water distribution system from river or natural spring]]/90/15</f>
        <v>0</v>
      </c>
      <c r="CM26" s="417">
        <f>IF(WWWW[[#This Row],['#_of water points in TLS/CFS]]*500&gt;WWWW[[#This Row],[Total PoP ]],WWWW[[#This Row],[Total PoP ]],WWWW[[#This Row],['#_of water points in TLS/CFS]]*500)</f>
        <v>0</v>
      </c>
      <c r="CN26" s="417">
        <f>IF(WWWW[[#This Row],['#_of water points in THF]]*500&gt;WWWW[[#This Row],[Total PoP ]],WWWW[[#This Row],[Total PoP ]],WWWW[[#This Row],['#_of water points in THF]]*500)</f>
        <v>0</v>
      </c>
      <c r="CO26" s="417"/>
      <c r="CP26"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6"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6" s="908">
        <f>IF(WWWW[[#This Row],[Location Type 1]]="Village",WWWW[[#This Row],[Access to safe drinking water for Village]],WWWW[[#This Row],[Access to safe drinking water for Camp]])</f>
        <v>1</v>
      </c>
      <c r="CS26" s="906">
        <f>WWWW[[#This Row],[%Equitable and continuous access to sufficient quantity of safe drinking water]]*WWWW[[#This Row],[Total PoP ]]</f>
        <v>198</v>
      </c>
      <c r="CT26" s="908">
        <f>IF((WWWW[[#This Row],['#_Constructed/Existing protected/fenced ponds]]*250)/WWWW[[#This Row],[Total PoP ]]&gt;1,1,(WWWW[[#This Row],['#_Constructed/Existing protected/fenced ponds]]*250)/WWWW[[#This Row],[Total PoP ]])</f>
        <v>1</v>
      </c>
      <c r="CU26" s="906">
        <f>WWWW[[#This Row],[% Access to unimproved water points]]*WWWW[[#This Row],[Total PoP ]]</f>
        <v>198</v>
      </c>
      <c r="CV26"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6"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198</v>
      </c>
      <c r="CX26" s="906">
        <f>WWWW[[#This Row],[HRP1]]/500</f>
        <v>0.39600000000000002</v>
      </c>
      <c r="CY26" s="911">
        <f>1-WWWW[[#This Row],[% Equitable and continuous access to sufficient quantity of domestic water]]</f>
        <v>0</v>
      </c>
      <c r="CZ26" s="906">
        <f>WWWW[[#This Row],[%equitable and continuous access to sufficient quantity of safe drinking and domestic water''s GAP]]*WWWW[[#This Row],[Total PoP ]]</f>
        <v>0</v>
      </c>
      <c r="DA26" s="909">
        <f>IF(WWWW[[#This Row],[Total required water points]]-WWWW[[#This Row],['#Water points coverage]]&lt;0,0,WWWW[[#This Row],[Total required water points]]-WWWW[[#This Row],['#Water points coverage]])</f>
        <v>0.60399999999999998</v>
      </c>
      <c r="DB26" s="909">
        <f>ROUND(IF(WWWW[[#This Row],[Total PoP ]]&lt;500,1,WWWW[[#This Row],[Total PoP ]]/500),0)</f>
        <v>1</v>
      </c>
      <c r="DC26" s="909">
        <f>(WWWW[[#This Row],['#_Constructed latrines_by_WASHAgencies]]+WWWW[[#This Row],['#_Non Cluster partner latrines]])-WWWW[[#This Row],['#_Non-functional latrines]]</f>
        <v>6</v>
      </c>
      <c r="DD26" s="615">
        <f>WWWW[[#This Row],[HRP2]]/WWWW[[#This Row],[Total PoP ]]</f>
        <v>0.60606060606060608</v>
      </c>
      <c r="DE26"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120</v>
      </c>
      <c r="DF26"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6"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6" s="417">
        <f>IF(WWWW[[#This Row],['# of functional latrines in THF supported by WASH partners during the reporting period2]]="",0,WWWW[[#This Row],['# of functional latrines in THF supported by WASH partners during the reporting period2]]*50)</f>
        <v>0</v>
      </c>
      <c r="DI26" s="909">
        <f>ROUND(IF(WWWW[[#This Row],[Location Type 1]]="camp",WWWW[[#This Row],[Total PoP ]]/20,IF(WWWW[[#This Row],[Location Type 1]]="Temporary Location",WWWW[[#This Row],[Total PoP ]]/50,(WWWW[[#This Row],[Total PoP ]]/6))),0)</f>
        <v>10</v>
      </c>
      <c r="DJ26" s="909">
        <f>IF(WWWW[[#This Row],[Total required Latrines]]-(WWWW[[#This Row],['#_Constructed latrines_by_WASHAgencies]]+WWWW[[#This Row],['#_Non Cluster partner latrines]])&lt;0,0,WWWW[[#This Row],[Total required Latrines]]-(WWWW[[#This Row],['#_Constructed latrines_by_WASHAgencies]]+WWWW[[#This Row],['#_Non Cluster partner latrines]]))</f>
        <v>4</v>
      </c>
      <c r="DK26" s="911">
        <f>1-WWWW[[#This Row],[% people access to functioning Latrine]]</f>
        <v>0.39393939393939392</v>
      </c>
      <c r="DL26" s="910">
        <f>IF(OR(WWWW[[#This Row],['#_Non-functional latrines]]="",WWWW[[#This Row],['#_Non-functional latrines]]=0),0,WWWW[[#This Row],['#_Non-functional latrines]]/(WWWW[[#This Row],['#_Constructed latrines_by_WASHAgencies]]+WWWW[[#This Row],['#_Non Cluster partner latrines]]))</f>
        <v>0</v>
      </c>
      <c r="DM26" s="906">
        <f>IF(500*(WWWW[[#This Row],['#_male hygiene promoters]]+WWWW[[#This Row],['#_female hygiene promoters]])&gt;WWWW[[#This Row],[Total PoP ]],WWWW[[#This Row],[Total PoP ]],500*(WWWW[[#This Row],['#_male hygiene promoters]]+WWWW[[#This Row],['#_female hygiene promoters]]))</f>
        <v>198</v>
      </c>
      <c r="DN26"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6"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6" s="909">
        <f>IF(WWWW[[#This Row],['# People with access to soap]]&gt;WWWW[[#This Row],['# People with access to Sanity Pads]],WWWW[[#This Row],['# People with access to soap]],WWWW[[#This Row],['# People with access to Sanity Pads]])</f>
        <v>0</v>
      </c>
      <c r="DQ26" s="909">
        <f>IF(WWWW[[#This Row],['# people reached by regular dedicated hygiene promotion_5]]&gt;WWWW[[#This Row],['# People received regular supply of hygiene items_6]],WWWW[[#This Row],['# people reached by regular dedicated hygiene promotion_5]],WWWW[[#This Row],['# People received regular supply of hygiene items_6]])</f>
        <v>198</v>
      </c>
      <c r="DR26" s="911">
        <f>IF(WWWW[[#This Row],[HRP3]]/WWWW[[#This Row],[Total PoP ]]&gt;1,1,WWWW[[#This Row],[HRP3]]/WWWW[[#This Row],[Total PoP ]])</f>
        <v>1</v>
      </c>
      <c r="DS26" s="910">
        <f>1-WWWW[[#This Row],[Hygiene Coverage%]]</f>
        <v>0</v>
      </c>
      <c r="DT26" s="908">
        <f>WWWW[[#This Row],['# people reached by regular dedicated hygiene promotion_5]]/WWWW[[#This Row],[Total PoP ]]</f>
        <v>1</v>
      </c>
      <c r="DU26"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6"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6" s="909">
        <f>WWWW[[#This Row],['#_Constructed/Existing hand washing stations]]-WWWW[[#This Row],['#_Non-Functional_hand_washing_stations]]</f>
        <v>5</v>
      </c>
      <c r="DX26" s="906">
        <f>IF(WWWW[[#This Row],['# Functional hand washing stations during reporting period]]*20&gt;WWWW[[#This Row],[Total HH]],WWWW[[#This Row],[Total HH]],WWWW[[#This Row],['# Functional hand washing stations during reporting period]]*20)</f>
        <v>43</v>
      </c>
      <c r="DY26" s="906">
        <f>IF(WWWW[[#This Row],[Is sufficient soap available for TLS? (Yes/No)]]="yes",WWWW[[#This Row],['#_Constructed/Existing hand washing stations at TLS/CFS/THF]],0)</f>
        <v>0</v>
      </c>
      <c r="DZ26" s="421">
        <f>IF(WWWW[[#This Row],['# Functional hand washing stations during reporting period]]*100&gt;WWWW[[#This Row],[Total PoP ]],WWWW[[#This Row],[Total PoP ]],WWWW[[#This Row],['# Functional hand washing stations during reporting period]]*100)</f>
        <v>198</v>
      </c>
      <c r="EA26" s="421" t="str">
        <f>IF(OR(WWWW[[#This Row],['#_students at TLS_CFS]]="",WWWW[[#This Row],['#_students at TLS_CFS]]=0),"No","Yes")</f>
        <v>No</v>
      </c>
      <c r="EB2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6" s="566">
        <f>WWWW[[#This Row],[%_of_affected_people_surveyed_who_report_feeling_satistfied_with_the_latrine_design_and_sanitation_service]]*WWWW[[#This Row],[Total PoP ]]</f>
        <v>0</v>
      </c>
      <c r="ED26" s="566">
        <f>WWWW[[#This Row],[%_of_affected_people_surveyed_who_report_feeling_satistfied_with_the_water_point_design_and_water_service]]*WWWW[[#This Row],[Total PoP ]]</f>
        <v>0</v>
      </c>
      <c r="EE26" s="566">
        <f>WWWW[[#This Row],[%_of_complaints_received_that_result_in_timely_corrective_action_and_feedback_to_the_community]]*WWWW[[#This Row],[Total PoP ]]</f>
        <v>0</v>
      </c>
      <c r="EF2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6" s="902" t="str">
        <f>VLOOKUP(WWWW[[#This Row],[Site Name]],SiteDB6[[Site Name]:[CCCM Management]],6,FALSE)</f>
        <v>Yes</v>
      </c>
      <c r="EJ26" s="902" t="str">
        <f>VLOOKUP(WWWW[[#This Row],[Site Name]],SiteDB6[[Site Name]:[CCCM Focal Agency]],7,FALSE)</f>
        <v>KBC-MYT</v>
      </c>
      <c r="EK26" s="902" t="str">
        <f>VLOOKUP(WWWW[[#This Row],[Site Name]],SiteDB6[[Site Name]:[Location Type 1]],9,FALSE)</f>
        <v>Camp</v>
      </c>
      <c r="EL26" s="902" t="str">
        <f>VLOOKUP(WWWW[[#This Row],[Site Name]],SiteDB6[[Site Name]:[Type of Accommodation]],10,FALSE)</f>
        <v>Camp</v>
      </c>
      <c r="EM26" s="902" t="str">
        <f>VLOOKUP(WWWW[[#This Row],[Site Name]],SiteDB6[[Site Name]:[Ethnic or GCA/NGCA]],11,FALSE)</f>
        <v>GCA</v>
      </c>
      <c r="EN26" s="902">
        <f>VLOOKUP(WWWW[[#This Row],[Site Name]],SiteDB6[[Site Name]:[Lat]],12,FALSE)</f>
        <v>25.3959740909091</v>
      </c>
      <c r="EO26" s="902">
        <f>VLOOKUP(WWWW[[#This Row],[Site Name]],SiteDB6[[Site Name]:[Long]],13,FALSE)</f>
        <v>97.382997575757599</v>
      </c>
      <c r="EP26" s="902" t="str">
        <f>VLOOKUP(WWWW[[#This Row],[Site Name]],SiteDB6[[Site Name]:[Pcode]],3,FALSE)</f>
        <v>MMR001CMP010</v>
      </c>
      <c r="EQ26" s="907" t="str">
        <f t="shared" si="0"/>
        <v>Covered</v>
      </c>
      <c r="ER26" s="907" t="s">
        <v>3126</v>
      </c>
      <c r="ES26" s="907" t="s">
        <v>3126</v>
      </c>
      <c r="ET26" s="902">
        <f>VLOOKUP(WWWW[[#This Row],[Site Name]],SiteDB6[[Site Name]:[Pop
(Kachin/Shan-CCCM as of May 2023)]],16,FALSE)</f>
        <v>43</v>
      </c>
      <c r="EU26" s="902">
        <f>VLOOKUP(WWWW[[#This Row],[Site Name]],SiteDB6[[Site Name]:[Pop
(Kachin/Shan-CCCM as of May 2023)]],17,FALSE)</f>
        <v>192</v>
      </c>
    </row>
    <row r="27" spans="1:151" hidden="1">
      <c r="A27" s="900" t="s">
        <v>2961</v>
      </c>
      <c r="B27" s="901" t="s">
        <v>141</v>
      </c>
      <c r="C27" s="901" t="s">
        <v>141</v>
      </c>
      <c r="D27" s="901" t="s">
        <v>241</v>
      </c>
      <c r="E27" s="901" t="s">
        <v>37</v>
      </c>
      <c r="F27" s="901" t="s">
        <v>159</v>
      </c>
      <c r="G27" s="902" t="str">
        <f>VLOOKUP(WWWW[[#This Row],[Site Name]],SiteDB6[[Site Name]:[Location Type]],8,FALSE)</f>
        <v>Camp</v>
      </c>
      <c r="H27" s="901" t="s">
        <v>161</v>
      </c>
      <c r="I27" s="903">
        <v>136</v>
      </c>
      <c r="J27" s="903">
        <v>742</v>
      </c>
      <c r="K27" s="904">
        <v>44811</v>
      </c>
      <c r="L27" s="905">
        <v>45175</v>
      </c>
      <c r="M27" s="903"/>
      <c r="N27" s="903">
        <v>3</v>
      </c>
      <c r="O27" s="903"/>
      <c r="P27" s="903"/>
      <c r="Q27" s="906" t="s">
        <v>41</v>
      </c>
      <c r="R27" s="903">
        <v>1</v>
      </c>
      <c r="S27" s="903">
        <v>4</v>
      </c>
      <c r="T27" s="441">
        <v>7</v>
      </c>
      <c r="U27" s="903"/>
      <c r="V27" s="903"/>
      <c r="W27" s="903">
        <v>4</v>
      </c>
      <c r="X27" s="903"/>
      <c r="Y27" s="903"/>
      <c r="Z27" s="903"/>
      <c r="AA27" s="903"/>
      <c r="AB27" s="903"/>
      <c r="AC27" s="903"/>
      <c r="AD27" s="903"/>
      <c r="AE27" s="903"/>
      <c r="AF27" s="903"/>
      <c r="AG27" s="903"/>
      <c r="AH27" s="903">
        <v>5</v>
      </c>
      <c r="AI27" s="903"/>
      <c r="AJ27" s="903"/>
      <c r="AK27" s="903"/>
      <c r="AL27" s="903"/>
      <c r="AM27" s="903"/>
      <c r="AN27" s="903"/>
      <c r="AO27" s="441"/>
      <c r="AP27" s="907"/>
      <c r="AQ27" s="903">
        <v>45</v>
      </c>
      <c r="AR27" s="903"/>
      <c r="AS27" s="908"/>
      <c r="AT27" s="903"/>
      <c r="AU27" s="903"/>
      <c r="AV27" s="903"/>
      <c r="AW27" s="903"/>
      <c r="AX27" s="903">
        <v>45</v>
      </c>
      <c r="AY27" s="902" t="s">
        <v>41</v>
      </c>
      <c r="AZ27" s="907" t="s">
        <v>137</v>
      </c>
      <c r="BA27" s="903"/>
      <c r="BB27" s="903"/>
      <c r="BC27" s="903"/>
      <c r="BD27" s="441"/>
      <c r="BE27" s="441"/>
      <c r="BF27" s="902"/>
      <c r="BG27" s="903">
        <v>7</v>
      </c>
      <c r="BH27" s="903"/>
      <c r="BI27" s="903"/>
      <c r="BJ27" s="903">
        <v>7</v>
      </c>
      <c r="BK27" s="903"/>
      <c r="BL27" s="903">
        <v>1</v>
      </c>
      <c r="BM27" s="903"/>
      <c r="BN27" s="903"/>
      <c r="BO27" s="903"/>
      <c r="BP27" s="902"/>
      <c r="BQ27" s="909"/>
      <c r="BR27" s="908"/>
      <c r="BS27" s="902"/>
      <c r="BT27" s="416"/>
      <c r="BU27" s="416"/>
      <c r="BV27" s="418"/>
      <c r="BW27" s="416"/>
      <c r="BX27" s="441"/>
      <c r="BY27" s="441"/>
      <c r="BZ27" s="441"/>
      <c r="CA27" s="441"/>
      <c r="CB27" s="441"/>
      <c r="CC27" s="693"/>
      <c r="CD27" s="441"/>
      <c r="CE27" s="910" t="str">
        <f>IFERROR(WWWW[[#This Row],['#_Water sources passed]]/WWWW[[#This Row],['#_Water sources tested for fecal coliform ]],"no test")</f>
        <v>no test</v>
      </c>
      <c r="CF27" s="908" t="str">
        <f>IFERROR(WWWW[[#This Row],['#_Household passed]]/WWWW[[#This Row],['#_Household water samples tested for fecal coliform]],"no test")</f>
        <v>no test</v>
      </c>
      <c r="CG27" s="909" t="str">
        <f>IF(AND(WWWW[[#This Row],[% of water sources passed]]="no test",WWWW[[#This Row],[% Household passed]]="no test"),"No Test","Tested")</f>
        <v>No Test</v>
      </c>
      <c r="CH27" s="909">
        <f>WWWW[[#This Row],['#_Constructed/existing protected hand dug well]]-WWWW[[#This Row],['#_Non-functional protected hand dug well]]</f>
        <v>7</v>
      </c>
      <c r="CI27" s="909">
        <f>(WWWW[[#This Row],['#_Constructed/Existing tube wells/boreholes/handpumps_WASH_agency]]+WWWW[[#This Row],['#_Non-Cluster partner water tube-wells/boreholes/handpumps]])-WWWW[[#This Row],['#_Non-functional tube wells/boreholes/handpumps]]</f>
        <v>4</v>
      </c>
      <c r="CJ27" s="909">
        <f>WWWW[[#This Row],['#_Constructed/Existingwater storage tank with gravity fed reticulation system]]-WWWW[[#This Row],['#_Non-functional storage tank gravity fed reticulation system]]</f>
        <v>0</v>
      </c>
      <c r="CK27" s="909">
        <f>(WWWW[[#This Row],['#_Water_Liters_supplied_by_Water boating or water trucking]]/90)/15</f>
        <v>0</v>
      </c>
      <c r="CL27" s="909">
        <f>WWWW[[#This Row],['#_Water_Liters_from_Constructed/Existing water distribution system from river or natural spring]]/90/15</f>
        <v>0</v>
      </c>
      <c r="CM27" s="417">
        <f>IF(WWWW[[#This Row],['#_of water points in TLS/CFS]]*500&gt;WWWW[[#This Row],[Total PoP ]],WWWW[[#This Row],[Total PoP ]],WWWW[[#This Row],['#_of water points in TLS/CFS]]*500)</f>
        <v>0</v>
      </c>
      <c r="CN27" s="417">
        <f>IF(WWWW[[#This Row],['#_of water points in THF]]*500&gt;WWWW[[#This Row],[Total PoP ]],WWWW[[#This Row],[Total PoP ]],WWWW[[#This Row],['#_of water points in THF]]*500)</f>
        <v>0</v>
      </c>
      <c r="CO27" s="417"/>
      <c r="CP27"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7"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7" s="908">
        <f>IF(WWWW[[#This Row],[Location Type 1]]="Village",WWWW[[#This Row],[Access to safe drinking water for Village]],WWWW[[#This Row],[Access to safe drinking water for Camp]])</f>
        <v>1</v>
      </c>
      <c r="CS27" s="906">
        <f>WWWW[[#This Row],[%Equitable and continuous access to sufficient quantity of safe drinking water]]*WWWW[[#This Row],[Total PoP ]]</f>
        <v>742</v>
      </c>
      <c r="CT27" s="908">
        <f>IF((WWWW[[#This Row],['#_Constructed/Existing protected/fenced ponds]]*250)/WWWW[[#This Row],[Total PoP ]]&gt;1,1,(WWWW[[#This Row],['#_Constructed/Existing protected/fenced ponds]]*250)/WWWW[[#This Row],[Total PoP ]])</f>
        <v>0</v>
      </c>
      <c r="CU27" s="906">
        <f>WWWW[[#This Row],[% Access to unimproved water points]]*WWWW[[#This Row],[Total PoP ]]</f>
        <v>0</v>
      </c>
      <c r="CV27"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7"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742</v>
      </c>
      <c r="CX27" s="906">
        <f>WWWW[[#This Row],[HRP1]]/500</f>
        <v>1.484</v>
      </c>
      <c r="CY27" s="911">
        <f>1-WWWW[[#This Row],[% Equitable and continuous access to sufficient quantity of domestic water]]</f>
        <v>0</v>
      </c>
      <c r="CZ27" s="906">
        <f>WWWW[[#This Row],[%equitable and continuous access to sufficient quantity of safe drinking and domestic water''s GAP]]*WWWW[[#This Row],[Total PoP ]]</f>
        <v>0</v>
      </c>
      <c r="DA27" s="909">
        <f>IF(WWWW[[#This Row],[Total required water points]]-WWWW[[#This Row],['#Water points coverage]]&lt;0,0,WWWW[[#This Row],[Total required water points]]-WWWW[[#This Row],['#Water points coverage]])</f>
        <v>0</v>
      </c>
      <c r="DB27" s="909">
        <f>ROUND(IF(WWWW[[#This Row],[Total PoP ]]&lt;500,1,WWWW[[#This Row],[Total PoP ]]/500),0)</f>
        <v>1</v>
      </c>
      <c r="DC27" s="909">
        <f>(WWWW[[#This Row],['#_Constructed latrines_by_WASHAgencies]]+WWWW[[#This Row],['#_Non Cluster partner latrines]])-WWWW[[#This Row],['#_Non-functional latrines]]</f>
        <v>45</v>
      </c>
      <c r="DD27" s="615">
        <f>WWWW[[#This Row],[HRP2]]/WWWW[[#This Row],[Total PoP ]]</f>
        <v>1</v>
      </c>
      <c r="DE27"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742</v>
      </c>
      <c r="DF27"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7"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7" s="417">
        <f>IF(WWWW[[#This Row],['# of functional latrines in THF supported by WASH partners during the reporting period2]]="",0,WWWW[[#This Row],['# of functional latrines in THF supported by WASH partners during the reporting period2]]*50)</f>
        <v>0</v>
      </c>
      <c r="DI27" s="909">
        <f>ROUND(IF(WWWW[[#This Row],[Location Type 1]]="camp",WWWW[[#This Row],[Total PoP ]]/20,IF(WWWW[[#This Row],[Location Type 1]]="Temporary Location",WWWW[[#This Row],[Total PoP ]]/50,(WWWW[[#This Row],[Total PoP ]]/6))),0)</f>
        <v>37</v>
      </c>
      <c r="DJ27" s="909">
        <f>IF(WWWW[[#This Row],[Total required Latrines]]-(WWWW[[#This Row],['#_Constructed latrines_by_WASHAgencies]]+WWWW[[#This Row],['#_Non Cluster partner latrines]])&lt;0,0,WWWW[[#This Row],[Total required Latrines]]-(WWWW[[#This Row],['#_Constructed latrines_by_WASHAgencies]]+WWWW[[#This Row],['#_Non Cluster partner latrines]]))</f>
        <v>0</v>
      </c>
      <c r="DK27" s="911">
        <f>1-WWWW[[#This Row],[% people access to functioning Latrine]]</f>
        <v>0</v>
      </c>
      <c r="DL27" s="910">
        <f>IF(OR(WWWW[[#This Row],['#_Non-functional latrines]]="",WWWW[[#This Row],['#_Non-functional latrines]]=0),0,WWWW[[#This Row],['#_Non-functional latrines]]/(WWWW[[#This Row],['#_Constructed latrines_by_WASHAgencies]]+WWWW[[#This Row],['#_Non Cluster partner latrines]]))</f>
        <v>0</v>
      </c>
      <c r="DM27" s="906">
        <f>IF(500*(WWWW[[#This Row],['#_male hygiene promoters]]+WWWW[[#This Row],['#_female hygiene promoters]])&gt;WWWW[[#This Row],[Total PoP ]],WWWW[[#This Row],[Total PoP ]],500*(WWWW[[#This Row],['#_male hygiene promoters]]+WWWW[[#This Row],['#_female hygiene promoters]]))</f>
        <v>500</v>
      </c>
      <c r="DN27"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7"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7" s="909">
        <f>IF(WWWW[[#This Row],['# People with access to soap]]&gt;WWWW[[#This Row],['# People with access to Sanity Pads]],WWWW[[#This Row],['# People with access to soap]],WWWW[[#This Row],['# People with access to Sanity Pads]])</f>
        <v>0</v>
      </c>
      <c r="DQ27" s="909">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27" s="911">
        <f>IF(WWWW[[#This Row],[HRP3]]/WWWW[[#This Row],[Total PoP ]]&gt;1,1,WWWW[[#This Row],[HRP3]]/WWWW[[#This Row],[Total PoP ]])</f>
        <v>0.67385444743935308</v>
      </c>
      <c r="DS27" s="910">
        <f>1-WWWW[[#This Row],[Hygiene Coverage%]]</f>
        <v>0.32614555256064692</v>
      </c>
      <c r="DT27" s="908">
        <f>WWWW[[#This Row],['# people reached by regular dedicated hygiene promotion_5]]/WWWW[[#This Row],[Total PoP ]]</f>
        <v>0.67385444743935308</v>
      </c>
      <c r="DU27"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7"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7" s="909">
        <f>WWWW[[#This Row],['#_Constructed/Existing hand washing stations]]-WWWW[[#This Row],['#_Non-Functional_hand_washing_stations]]</f>
        <v>7</v>
      </c>
      <c r="DX27" s="906">
        <f>IF(WWWW[[#This Row],['# Functional hand washing stations during reporting period]]*20&gt;WWWW[[#This Row],[Total HH]],WWWW[[#This Row],[Total HH]],WWWW[[#This Row],['# Functional hand washing stations during reporting period]]*20)</f>
        <v>136</v>
      </c>
      <c r="DY27" s="906">
        <f>IF(WWWW[[#This Row],[Is sufficient soap available for TLS? (Yes/No)]]="yes",WWWW[[#This Row],['#_Constructed/Existing hand washing stations at TLS/CFS/THF]],0)</f>
        <v>0</v>
      </c>
      <c r="DZ27" s="421">
        <f>IF(WWWW[[#This Row],['# Functional hand washing stations during reporting period]]*100&gt;WWWW[[#This Row],[Total PoP ]],WWWW[[#This Row],[Total PoP ]],WWWW[[#This Row],['# Functional hand washing stations during reporting period]]*100)</f>
        <v>700</v>
      </c>
      <c r="EA27" s="421" t="str">
        <f>IF(OR(WWWW[[#This Row],['#_students at TLS_CFS]]="",WWWW[[#This Row],['#_students at TLS_CFS]]=0),"No","Yes")</f>
        <v>No</v>
      </c>
      <c r="EB2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7" s="566">
        <f>WWWW[[#This Row],[%_of_affected_people_surveyed_who_report_feeling_satistfied_with_the_latrine_design_and_sanitation_service]]*WWWW[[#This Row],[Total PoP ]]</f>
        <v>0</v>
      </c>
      <c r="ED27" s="566">
        <f>WWWW[[#This Row],[%_of_affected_people_surveyed_who_report_feeling_satistfied_with_the_water_point_design_and_water_service]]*WWWW[[#This Row],[Total PoP ]]</f>
        <v>0</v>
      </c>
      <c r="EE27" s="566">
        <f>WWWW[[#This Row],[%_of_complaints_received_that_result_in_timely_corrective_action_and_feedback_to_the_community]]*WWWW[[#This Row],[Total PoP ]]</f>
        <v>0</v>
      </c>
      <c r="EF2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7" s="902" t="str">
        <f>VLOOKUP(WWWW[[#This Row],[Site Name]],SiteDB6[[Site Name]:[CCCM Management]],6,FALSE)</f>
        <v>Yes</v>
      </c>
      <c r="EJ27" s="902" t="str">
        <f>VLOOKUP(WWWW[[#This Row],[Site Name]],SiteDB6[[Site Name]:[CCCM Focal Agency]],7,FALSE)</f>
        <v>KBC-MYT</v>
      </c>
      <c r="EK27" s="902" t="str">
        <f>VLOOKUP(WWWW[[#This Row],[Site Name]],SiteDB6[[Site Name]:[Location Type 1]],9,FALSE)</f>
        <v>Camp</v>
      </c>
      <c r="EL27" s="902" t="str">
        <f>VLOOKUP(WWWW[[#This Row],[Site Name]],SiteDB6[[Site Name]:[Type of Accommodation]],10,FALSE)</f>
        <v>Camp</v>
      </c>
      <c r="EM27" s="902" t="str">
        <f>VLOOKUP(WWWW[[#This Row],[Site Name]],SiteDB6[[Site Name]:[Ethnic or GCA/NGCA]],11,FALSE)</f>
        <v>GCA</v>
      </c>
      <c r="EN27" s="902">
        <f>VLOOKUP(WWWW[[#This Row],[Site Name]],SiteDB6[[Site Name]:[Lat]],12,FALSE)</f>
        <v>25.397850999999999</v>
      </c>
      <c r="EO27" s="902">
        <f>VLOOKUP(WWWW[[#This Row],[Site Name]],SiteDB6[[Site Name]:[Long]],13,FALSE)</f>
        <v>97.370900000000006</v>
      </c>
      <c r="EP27" s="902" t="str">
        <f>VLOOKUP(WWWW[[#This Row],[Site Name]],SiteDB6[[Site Name]:[Pcode]],3,FALSE)</f>
        <v>MMR001CMP018</v>
      </c>
      <c r="EQ27" s="907" t="str">
        <f t="shared" si="0"/>
        <v>Covered</v>
      </c>
      <c r="ER27" s="907" t="s">
        <v>3126</v>
      </c>
      <c r="ES27" s="907" t="s">
        <v>3126</v>
      </c>
      <c r="ET27" s="902">
        <f>VLOOKUP(WWWW[[#This Row],[Site Name]],SiteDB6[[Site Name]:[Pop
(Kachin/Shan-CCCM as of May 2023)]],16,FALSE)</f>
        <v>134</v>
      </c>
      <c r="EU27" s="902">
        <f>VLOOKUP(WWWW[[#This Row],[Site Name]],SiteDB6[[Site Name]:[Pop
(Kachin/Shan-CCCM as of May 2023)]],17,FALSE)</f>
        <v>732</v>
      </c>
    </row>
    <row r="28" spans="1:151" hidden="1">
      <c r="A28" s="900" t="s">
        <v>2961</v>
      </c>
      <c r="B28" s="901" t="s">
        <v>141</v>
      </c>
      <c r="C28" s="901" t="s">
        <v>141</v>
      </c>
      <c r="D28" s="901" t="s">
        <v>241</v>
      </c>
      <c r="E28" s="901" t="s">
        <v>37</v>
      </c>
      <c r="F28" s="901" t="s">
        <v>159</v>
      </c>
      <c r="G28" s="902" t="str">
        <f>VLOOKUP(WWWW[[#This Row],[Site Name]],SiteDB6[[Site Name]:[Location Type]],8,FALSE)</f>
        <v>Camp</v>
      </c>
      <c r="H28" s="901" t="s">
        <v>163</v>
      </c>
      <c r="I28" s="903">
        <v>133</v>
      </c>
      <c r="J28" s="903">
        <v>678</v>
      </c>
      <c r="K28" s="904">
        <v>44811</v>
      </c>
      <c r="L28" s="905">
        <v>45175</v>
      </c>
      <c r="M28" s="903"/>
      <c r="N28" s="903">
        <v>2</v>
      </c>
      <c r="O28" s="903"/>
      <c r="P28" s="903"/>
      <c r="Q28" s="906" t="s">
        <v>41</v>
      </c>
      <c r="R28" s="903">
        <v>2</v>
      </c>
      <c r="S28" s="903">
        <v>3</v>
      </c>
      <c r="T28" s="441">
        <v>1</v>
      </c>
      <c r="U28" s="903"/>
      <c r="V28" s="903"/>
      <c r="W28" s="903">
        <v>3</v>
      </c>
      <c r="X28" s="903"/>
      <c r="Y28" s="903"/>
      <c r="Z28" s="903"/>
      <c r="AA28" s="903"/>
      <c r="AB28" s="903"/>
      <c r="AC28" s="903"/>
      <c r="AD28" s="903"/>
      <c r="AE28" s="903"/>
      <c r="AF28" s="903"/>
      <c r="AG28" s="903"/>
      <c r="AH28" s="903">
        <v>2</v>
      </c>
      <c r="AI28" s="903"/>
      <c r="AJ28" s="903"/>
      <c r="AK28" s="903"/>
      <c r="AL28" s="903"/>
      <c r="AM28" s="903"/>
      <c r="AN28" s="903"/>
      <c r="AO28" s="441"/>
      <c r="AP28" s="907"/>
      <c r="AQ28" s="903">
        <v>8</v>
      </c>
      <c r="AR28" s="903"/>
      <c r="AS28" s="908"/>
      <c r="AT28" s="903"/>
      <c r="AU28" s="903"/>
      <c r="AV28" s="903"/>
      <c r="AW28" s="903"/>
      <c r="AX28" s="903">
        <v>8</v>
      </c>
      <c r="AY28" s="902" t="s">
        <v>41</v>
      </c>
      <c r="AZ28" s="907" t="s">
        <v>899</v>
      </c>
      <c r="BA28" s="903"/>
      <c r="BB28" s="903"/>
      <c r="BC28" s="903"/>
      <c r="BD28" s="441"/>
      <c r="BE28" s="441"/>
      <c r="BF28" s="902"/>
      <c r="BG28" s="903">
        <v>3</v>
      </c>
      <c r="BH28" s="903"/>
      <c r="BI28" s="903"/>
      <c r="BJ28" s="903">
        <v>2</v>
      </c>
      <c r="BK28" s="903"/>
      <c r="BL28" s="903"/>
      <c r="BM28" s="903"/>
      <c r="BN28" s="903"/>
      <c r="BO28" s="903"/>
      <c r="BP28" s="902"/>
      <c r="BQ28" s="909"/>
      <c r="BR28" s="908"/>
      <c r="BS28" s="902"/>
      <c r="BT28" s="416"/>
      <c r="BU28" s="416"/>
      <c r="BV28" s="418"/>
      <c r="BW28" s="416"/>
      <c r="BX28" s="441"/>
      <c r="BY28" s="441"/>
      <c r="BZ28" s="441"/>
      <c r="CA28" s="441"/>
      <c r="CB28" s="441"/>
      <c r="CC28" s="693"/>
      <c r="CD28" s="441"/>
      <c r="CE28" s="910" t="str">
        <f>IFERROR(WWWW[[#This Row],['#_Water sources passed]]/WWWW[[#This Row],['#_Water sources tested for fecal coliform ]],"no test")</f>
        <v>no test</v>
      </c>
      <c r="CF28" s="908" t="str">
        <f>IFERROR(WWWW[[#This Row],['#_Household passed]]/WWWW[[#This Row],['#_Household water samples tested for fecal coliform]],"no test")</f>
        <v>no test</v>
      </c>
      <c r="CG28" s="909" t="str">
        <f>IF(AND(WWWW[[#This Row],[% of water sources passed]]="no test",WWWW[[#This Row],[% Household passed]]="no test"),"No Test","Tested")</f>
        <v>No Test</v>
      </c>
      <c r="CH28" s="909">
        <f>WWWW[[#This Row],['#_Constructed/existing protected hand dug well]]-WWWW[[#This Row],['#_Non-functional protected hand dug well]]</f>
        <v>1</v>
      </c>
      <c r="CI28" s="909">
        <f>(WWWW[[#This Row],['#_Constructed/Existing tube wells/boreholes/handpumps_WASH_agency]]+WWWW[[#This Row],['#_Non-Cluster partner water tube-wells/boreholes/handpumps]])-WWWW[[#This Row],['#_Non-functional tube wells/boreholes/handpumps]]</f>
        <v>3</v>
      </c>
      <c r="CJ28" s="909">
        <f>WWWW[[#This Row],['#_Constructed/Existingwater storage tank with gravity fed reticulation system]]-WWWW[[#This Row],['#_Non-functional storage tank gravity fed reticulation system]]</f>
        <v>0</v>
      </c>
      <c r="CK28" s="909">
        <f>(WWWW[[#This Row],['#_Water_Liters_supplied_by_Water boating or water trucking]]/90)/15</f>
        <v>0</v>
      </c>
      <c r="CL28" s="909">
        <f>WWWW[[#This Row],['#_Water_Liters_from_Constructed/Existing water distribution system from river or natural spring]]/90/15</f>
        <v>0</v>
      </c>
      <c r="CM28" s="417">
        <f>IF(WWWW[[#This Row],['#_of water points in TLS/CFS]]*500&gt;WWWW[[#This Row],[Total PoP ]],WWWW[[#This Row],[Total PoP ]],WWWW[[#This Row],['#_of water points in TLS/CFS]]*500)</f>
        <v>0</v>
      </c>
      <c r="CN28" s="417">
        <f>IF(WWWW[[#This Row],['#_of water points in THF]]*500&gt;WWWW[[#This Row],[Total PoP ]],WWWW[[#This Row],[Total PoP ]],WWWW[[#This Row],['#_of water points in THF]]*500)</f>
        <v>0</v>
      </c>
      <c r="CO28" s="417"/>
      <c r="CP28"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8"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8" s="908">
        <f>IF(WWWW[[#This Row],[Location Type 1]]="Village",WWWW[[#This Row],[Access to safe drinking water for Village]],WWWW[[#This Row],[Access to safe drinking water for Camp]])</f>
        <v>1</v>
      </c>
      <c r="CS28" s="906">
        <f>WWWW[[#This Row],[%Equitable and continuous access to sufficient quantity of safe drinking water]]*WWWW[[#This Row],[Total PoP ]]</f>
        <v>678</v>
      </c>
      <c r="CT28" s="908">
        <f>IF((WWWW[[#This Row],['#_Constructed/Existing protected/fenced ponds]]*250)/WWWW[[#This Row],[Total PoP ]]&gt;1,1,(WWWW[[#This Row],['#_Constructed/Existing protected/fenced ponds]]*250)/WWWW[[#This Row],[Total PoP ]])</f>
        <v>0</v>
      </c>
      <c r="CU28" s="906">
        <f>WWWW[[#This Row],[% Access to unimproved water points]]*WWWW[[#This Row],[Total PoP ]]</f>
        <v>0</v>
      </c>
      <c r="CV28"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8"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678</v>
      </c>
      <c r="CX28" s="906">
        <f>WWWW[[#This Row],[HRP1]]/500</f>
        <v>1.3560000000000001</v>
      </c>
      <c r="CY28" s="911">
        <f>1-WWWW[[#This Row],[% Equitable and continuous access to sufficient quantity of domestic water]]</f>
        <v>0</v>
      </c>
      <c r="CZ28" s="906">
        <f>WWWW[[#This Row],[%equitable and continuous access to sufficient quantity of safe drinking and domestic water''s GAP]]*WWWW[[#This Row],[Total PoP ]]</f>
        <v>0</v>
      </c>
      <c r="DA28" s="909">
        <f>IF(WWWW[[#This Row],[Total required water points]]-WWWW[[#This Row],['#Water points coverage]]&lt;0,0,WWWW[[#This Row],[Total required water points]]-WWWW[[#This Row],['#Water points coverage]])</f>
        <v>0</v>
      </c>
      <c r="DB28" s="909">
        <f>ROUND(IF(WWWW[[#This Row],[Total PoP ]]&lt;500,1,WWWW[[#This Row],[Total PoP ]]/500),0)</f>
        <v>1</v>
      </c>
      <c r="DC28" s="909">
        <f>(WWWW[[#This Row],['#_Constructed latrines_by_WASHAgencies]]+WWWW[[#This Row],['#_Non Cluster partner latrines]])-WWWW[[#This Row],['#_Non-functional latrines]]</f>
        <v>8</v>
      </c>
      <c r="DD28" s="615">
        <f>WWWW[[#This Row],[HRP2]]/WWWW[[#This Row],[Total PoP ]]</f>
        <v>0.2359882005899705</v>
      </c>
      <c r="DE28"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160</v>
      </c>
      <c r="DF28"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8"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8" s="417">
        <f>IF(WWWW[[#This Row],['# of functional latrines in THF supported by WASH partners during the reporting period2]]="",0,WWWW[[#This Row],['# of functional latrines in THF supported by WASH partners during the reporting period2]]*50)</f>
        <v>0</v>
      </c>
      <c r="DI28" s="909">
        <f>ROUND(IF(WWWW[[#This Row],[Location Type 1]]="camp",WWWW[[#This Row],[Total PoP ]]/20,IF(WWWW[[#This Row],[Location Type 1]]="Temporary Location",WWWW[[#This Row],[Total PoP ]]/50,(WWWW[[#This Row],[Total PoP ]]/6))),0)</f>
        <v>34</v>
      </c>
      <c r="DJ28" s="909">
        <f>IF(WWWW[[#This Row],[Total required Latrines]]-(WWWW[[#This Row],['#_Constructed latrines_by_WASHAgencies]]+WWWW[[#This Row],['#_Non Cluster partner latrines]])&lt;0,0,WWWW[[#This Row],[Total required Latrines]]-(WWWW[[#This Row],['#_Constructed latrines_by_WASHAgencies]]+WWWW[[#This Row],['#_Non Cluster partner latrines]]))</f>
        <v>26</v>
      </c>
      <c r="DK28" s="911">
        <f>1-WWWW[[#This Row],[% people access to functioning Latrine]]</f>
        <v>0.7640117994100295</v>
      </c>
      <c r="DL28" s="910">
        <f>IF(OR(WWWW[[#This Row],['#_Non-functional latrines]]="",WWWW[[#This Row],['#_Non-functional latrines]]=0),0,WWWW[[#This Row],['#_Non-functional latrines]]/(WWWW[[#This Row],['#_Constructed latrines_by_WASHAgencies]]+WWWW[[#This Row],['#_Non Cluster partner latrines]]))</f>
        <v>0</v>
      </c>
      <c r="DM28" s="906">
        <f>IF(500*(WWWW[[#This Row],['#_male hygiene promoters]]+WWWW[[#This Row],['#_female hygiene promoters]])&gt;WWWW[[#This Row],[Total PoP ]],WWWW[[#This Row],[Total PoP ]],500*(WWWW[[#This Row],['#_male hygiene promoters]]+WWWW[[#This Row],['#_female hygiene promoters]]))</f>
        <v>0</v>
      </c>
      <c r="DN28"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8"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8" s="909">
        <f>IF(WWWW[[#This Row],['# People with access to soap]]&gt;WWWW[[#This Row],['# People with access to Sanity Pads]],WWWW[[#This Row],['# People with access to soap]],WWWW[[#This Row],['# People with access to Sanity Pads]])</f>
        <v>0</v>
      </c>
      <c r="DQ28"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8" s="911">
        <f>IF(WWWW[[#This Row],[HRP3]]/WWWW[[#This Row],[Total PoP ]]&gt;1,1,WWWW[[#This Row],[HRP3]]/WWWW[[#This Row],[Total PoP ]])</f>
        <v>0</v>
      </c>
      <c r="DS28" s="910">
        <f>1-WWWW[[#This Row],[Hygiene Coverage%]]</f>
        <v>1</v>
      </c>
      <c r="DT28" s="908">
        <f>WWWW[[#This Row],['# people reached by regular dedicated hygiene promotion_5]]/WWWW[[#This Row],[Total PoP ]]</f>
        <v>0</v>
      </c>
      <c r="DU28"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8"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8" s="909">
        <f>WWWW[[#This Row],['#_Constructed/Existing hand washing stations]]-WWWW[[#This Row],['#_Non-Functional_hand_washing_stations]]</f>
        <v>3</v>
      </c>
      <c r="DX28" s="906">
        <f>IF(WWWW[[#This Row],['# Functional hand washing stations during reporting period]]*20&gt;WWWW[[#This Row],[Total HH]],WWWW[[#This Row],[Total HH]],WWWW[[#This Row],['# Functional hand washing stations during reporting period]]*20)</f>
        <v>60</v>
      </c>
      <c r="DY28" s="906">
        <f>IF(WWWW[[#This Row],[Is sufficient soap available for TLS? (Yes/No)]]="yes",WWWW[[#This Row],['#_Constructed/Existing hand washing stations at TLS/CFS/THF]],0)</f>
        <v>0</v>
      </c>
      <c r="DZ28" s="421">
        <f>IF(WWWW[[#This Row],['# Functional hand washing stations during reporting period]]*100&gt;WWWW[[#This Row],[Total PoP ]],WWWW[[#This Row],[Total PoP ]],WWWW[[#This Row],['# Functional hand washing stations during reporting period]]*100)</f>
        <v>300</v>
      </c>
      <c r="EA28" s="421" t="str">
        <f>IF(OR(WWWW[[#This Row],['#_students at TLS_CFS]]="",WWWW[[#This Row],['#_students at TLS_CFS]]=0),"No","Yes")</f>
        <v>No</v>
      </c>
      <c r="EB2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8" s="566">
        <f>WWWW[[#This Row],[%_of_affected_people_surveyed_who_report_feeling_satistfied_with_the_latrine_design_and_sanitation_service]]*WWWW[[#This Row],[Total PoP ]]</f>
        <v>0</v>
      </c>
      <c r="ED28" s="566">
        <f>WWWW[[#This Row],[%_of_affected_people_surveyed_who_report_feeling_satistfied_with_the_water_point_design_and_water_service]]*WWWW[[#This Row],[Total PoP ]]</f>
        <v>0</v>
      </c>
      <c r="EE28" s="566">
        <f>WWWW[[#This Row],[%_of_complaints_received_that_result_in_timely_corrective_action_and_feedback_to_the_community]]*WWWW[[#This Row],[Total PoP ]]</f>
        <v>0</v>
      </c>
      <c r="EF2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8" s="902" t="str">
        <f>VLOOKUP(WWWW[[#This Row],[Site Name]],SiteDB6[[Site Name]:[CCCM Management]],6,FALSE)</f>
        <v>Yes</v>
      </c>
      <c r="EJ28" s="902" t="str">
        <f>VLOOKUP(WWWW[[#This Row],[Site Name]],SiteDB6[[Site Name]:[CCCM Focal Agency]],7,FALSE)</f>
        <v>KBC-MYT</v>
      </c>
      <c r="EK28" s="902" t="str">
        <f>VLOOKUP(WWWW[[#This Row],[Site Name]],SiteDB6[[Site Name]:[Location Type 1]],9,FALSE)</f>
        <v>Camp</v>
      </c>
      <c r="EL28" s="902" t="str">
        <f>VLOOKUP(WWWW[[#This Row],[Site Name]],SiteDB6[[Site Name]:[Type of Accommodation]],10,FALSE)</f>
        <v>Camp</v>
      </c>
      <c r="EM28" s="902" t="str">
        <f>VLOOKUP(WWWW[[#This Row],[Site Name]],SiteDB6[[Site Name]:[Ethnic or GCA/NGCA]],11,FALSE)</f>
        <v>GCA</v>
      </c>
      <c r="EN28" s="902">
        <f>VLOOKUP(WWWW[[#This Row],[Site Name]],SiteDB6[[Site Name]:[Lat]],12,FALSE)</f>
        <v>25.362420757575801</v>
      </c>
      <c r="EO28" s="902">
        <f>VLOOKUP(WWWW[[#This Row],[Site Name]],SiteDB6[[Site Name]:[Long]],13,FALSE)</f>
        <v>97.409035000000003</v>
      </c>
      <c r="EP28" s="902" t="str">
        <f>VLOOKUP(WWWW[[#This Row],[Site Name]],SiteDB6[[Site Name]:[Pcode]],3,FALSE)</f>
        <v>MMR001CMP015</v>
      </c>
      <c r="EQ28" s="907" t="str">
        <f t="shared" si="0"/>
        <v>Covered</v>
      </c>
      <c r="ER28" s="907" t="s">
        <v>3126</v>
      </c>
      <c r="ES28" s="907" t="s">
        <v>3126</v>
      </c>
      <c r="ET28" s="902">
        <f>VLOOKUP(WWWW[[#This Row],[Site Name]],SiteDB6[[Site Name]:[Pop
(Kachin/Shan-CCCM as of May 2023)]],16,FALSE)</f>
        <v>122</v>
      </c>
      <c r="EU28" s="902">
        <f>VLOOKUP(WWWW[[#This Row],[Site Name]],SiteDB6[[Site Name]:[Pop
(Kachin/Shan-CCCM as of May 2023)]],17,FALSE)</f>
        <v>625</v>
      </c>
    </row>
    <row r="29" spans="1:151" hidden="1">
      <c r="A29" s="900" t="s">
        <v>2961</v>
      </c>
      <c r="B29" s="901" t="s">
        <v>141</v>
      </c>
      <c r="C29" s="901" t="s">
        <v>141</v>
      </c>
      <c r="D29" s="901" t="s">
        <v>241</v>
      </c>
      <c r="E29" s="901" t="s">
        <v>37</v>
      </c>
      <c r="F29" s="901" t="s">
        <v>159</v>
      </c>
      <c r="G29" s="902" t="str">
        <f>VLOOKUP(WWWW[[#This Row],[Site Name]],SiteDB6[[Site Name]:[Location Type]],8,FALSE)</f>
        <v>Camp</v>
      </c>
      <c r="H29" s="901" t="s">
        <v>165</v>
      </c>
      <c r="I29" s="903">
        <v>58</v>
      </c>
      <c r="J29" s="903">
        <v>322</v>
      </c>
      <c r="K29" s="904">
        <v>44811</v>
      </c>
      <c r="L29" s="905">
        <v>45175</v>
      </c>
      <c r="M29" s="903"/>
      <c r="N29" s="903">
        <v>1</v>
      </c>
      <c r="O29" s="903"/>
      <c r="P29" s="903"/>
      <c r="Q29" s="906" t="s">
        <v>41</v>
      </c>
      <c r="R29" s="903">
        <v>1</v>
      </c>
      <c r="S29" s="903">
        <v>2</v>
      </c>
      <c r="T29" s="441">
        <v>3</v>
      </c>
      <c r="U29" s="903"/>
      <c r="V29" s="903"/>
      <c r="W29" s="903"/>
      <c r="X29" s="903"/>
      <c r="Y29" s="903"/>
      <c r="Z29" s="903"/>
      <c r="AA29" s="903"/>
      <c r="AB29" s="903"/>
      <c r="AC29" s="903"/>
      <c r="AD29" s="903"/>
      <c r="AE29" s="903"/>
      <c r="AF29" s="903"/>
      <c r="AG29" s="903"/>
      <c r="AH29" s="903">
        <v>2</v>
      </c>
      <c r="AI29" s="903"/>
      <c r="AJ29" s="903"/>
      <c r="AK29" s="903"/>
      <c r="AL29" s="903"/>
      <c r="AM29" s="903"/>
      <c r="AN29" s="903"/>
      <c r="AO29" s="441"/>
      <c r="AP29" s="907"/>
      <c r="AQ29" s="903">
        <v>7</v>
      </c>
      <c r="AR29" s="903"/>
      <c r="AS29" s="908"/>
      <c r="AT29" s="903"/>
      <c r="AU29" s="903"/>
      <c r="AV29" s="903"/>
      <c r="AW29" s="903"/>
      <c r="AX29" s="903">
        <v>7</v>
      </c>
      <c r="AY29" s="902" t="s">
        <v>41</v>
      </c>
      <c r="AZ29" s="907" t="s">
        <v>899</v>
      </c>
      <c r="BA29" s="903"/>
      <c r="BB29" s="903"/>
      <c r="BC29" s="903"/>
      <c r="BD29" s="441"/>
      <c r="BE29" s="441"/>
      <c r="BF29" s="902"/>
      <c r="BG29" s="903">
        <v>3</v>
      </c>
      <c r="BH29" s="903"/>
      <c r="BI29" s="903"/>
      <c r="BJ29" s="903">
        <v>2</v>
      </c>
      <c r="BK29" s="903"/>
      <c r="BL29" s="903"/>
      <c r="BM29" s="903"/>
      <c r="BN29" s="903"/>
      <c r="BO29" s="903"/>
      <c r="BP29" s="902"/>
      <c r="BQ29" s="909"/>
      <c r="BR29" s="908"/>
      <c r="BS29" s="902"/>
      <c r="BT29" s="416"/>
      <c r="BU29" s="416"/>
      <c r="BV29" s="418"/>
      <c r="BW29" s="416"/>
      <c r="BX29" s="441"/>
      <c r="BY29" s="441"/>
      <c r="BZ29" s="441"/>
      <c r="CA29" s="441"/>
      <c r="CB29" s="441"/>
      <c r="CC29" s="693"/>
      <c r="CD29" s="441"/>
      <c r="CE29" s="910" t="str">
        <f>IFERROR(WWWW[[#This Row],['#_Water sources passed]]/WWWW[[#This Row],['#_Water sources tested for fecal coliform ]],"no test")</f>
        <v>no test</v>
      </c>
      <c r="CF29" s="908" t="str">
        <f>IFERROR(WWWW[[#This Row],['#_Household passed]]/WWWW[[#This Row],['#_Household water samples tested for fecal coliform]],"no test")</f>
        <v>no test</v>
      </c>
      <c r="CG29" s="909" t="str">
        <f>IF(AND(WWWW[[#This Row],[% of water sources passed]]="no test",WWWW[[#This Row],[% Household passed]]="no test"),"No Test","Tested")</f>
        <v>No Test</v>
      </c>
      <c r="CH29" s="909">
        <f>WWWW[[#This Row],['#_Constructed/existing protected hand dug well]]-WWWW[[#This Row],['#_Non-functional protected hand dug well]]</f>
        <v>3</v>
      </c>
      <c r="CI29" s="909">
        <f>(WWWW[[#This Row],['#_Constructed/Existing tube wells/boreholes/handpumps_WASH_agency]]+WWWW[[#This Row],['#_Non-Cluster partner water tube-wells/boreholes/handpumps]])-WWWW[[#This Row],['#_Non-functional tube wells/boreholes/handpumps]]</f>
        <v>0</v>
      </c>
      <c r="CJ29" s="909">
        <f>WWWW[[#This Row],['#_Constructed/Existingwater storage tank with gravity fed reticulation system]]-WWWW[[#This Row],['#_Non-functional storage tank gravity fed reticulation system]]</f>
        <v>0</v>
      </c>
      <c r="CK29" s="909">
        <f>(WWWW[[#This Row],['#_Water_Liters_supplied_by_Water boating or water trucking]]/90)/15</f>
        <v>0</v>
      </c>
      <c r="CL29" s="909">
        <f>WWWW[[#This Row],['#_Water_Liters_from_Constructed/Existing water distribution system from river or natural spring]]/90/15</f>
        <v>0</v>
      </c>
      <c r="CM29" s="417">
        <f>IF(WWWW[[#This Row],['#_of water points in TLS/CFS]]*500&gt;WWWW[[#This Row],[Total PoP ]],WWWW[[#This Row],[Total PoP ]],WWWW[[#This Row],['#_of water points in TLS/CFS]]*500)</f>
        <v>0</v>
      </c>
      <c r="CN29" s="417">
        <f>IF(WWWW[[#This Row],['#_of water points in THF]]*500&gt;WWWW[[#This Row],[Total PoP ]],WWWW[[#This Row],[Total PoP ]],WWWW[[#This Row],['#_of water points in THF]]*500)</f>
        <v>0</v>
      </c>
      <c r="CO29" s="417"/>
      <c r="CP29"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9"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9" s="908">
        <f>IF(WWWW[[#This Row],[Location Type 1]]="Village",WWWW[[#This Row],[Access to safe drinking water for Village]],WWWW[[#This Row],[Access to safe drinking water for Camp]])</f>
        <v>1</v>
      </c>
      <c r="CS29" s="906">
        <f>WWWW[[#This Row],[%Equitable and continuous access to sufficient quantity of safe drinking water]]*WWWW[[#This Row],[Total PoP ]]</f>
        <v>322</v>
      </c>
      <c r="CT29" s="908">
        <f>IF((WWWW[[#This Row],['#_Constructed/Existing protected/fenced ponds]]*250)/WWWW[[#This Row],[Total PoP ]]&gt;1,1,(WWWW[[#This Row],['#_Constructed/Existing protected/fenced ponds]]*250)/WWWW[[#This Row],[Total PoP ]])</f>
        <v>0</v>
      </c>
      <c r="CU29" s="906">
        <f>WWWW[[#This Row],[% Access to unimproved water points]]*WWWW[[#This Row],[Total PoP ]]</f>
        <v>0</v>
      </c>
      <c r="CV29"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9"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322</v>
      </c>
      <c r="CX29" s="906">
        <f>WWWW[[#This Row],[HRP1]]/500</f>
        <v>0.64400000000000002</v>
      </c>
      <c r="CY29" s="911">
        <f>1-WWWW[[#This Row],[% Equitable and continuous access to sufficient quantity of domestic water]]</f>
        <v>0</v>
      </c>
      <c r="CZ29" s="906">
        <f>WWWW[[#This Row],[%equitable and continuous access to sufficient quantity of safe drinking and domestic water''s GAP]]*WWWW[[#This Row],[Total PoP ]]</f>
        <v>0</v>
      </c>
      <c r="DA29" s="909">
        <f>IF(WWWW[[#This Row],[Total required water points]]-WWWW[[#This Row],['#Water points coverage]]&lt;0,0,WWWW[[#This Row],[Total required water points]]-WWWW[[#This Row],['#Water points coverage]])</f>
        <v>0.35599999999999998</v>
      </c>
      <c r="DB29" s="909">
        <f>ROUND(IF(WWWW[[#This Row],[Total PoP ]]&lt;500,1,WWWW[[#This Row],[Total PoP ]]/500),0)</f>
        <v>1</v>
      </c>
      <c r="DC29" s="909">
        <f>(WWWW[[#This Row],['#_Constructed latrines_by_WASHAgencies]]+WWWW[[#This Row],['#_Non Cluster partner latrines]])-WWWW[[#This Row],['#_Non-functional latrines]]</f>
        <v>7</v>
      </c>
      <c r="DD29" s="615">
        <f>WWWW[[#This Row],[HRP2]]/WWWW[[#This Row],[Total PoP ]]</f>
        <v>0.43478260869565216</v>
      </c>
      <c r="DE29"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140</v>
      </c>
      <c r="DF29"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9"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9" s="417">
        <f>IF(WWWW[[#This Row],['# of functional latrines in THF supported by WASH partners during the reporting period2]]="",0,WWWW[[#This Row],['# of functional latrines in THF supported by WASH partners during the reporting period2]]*50)</f>
        <v>0</v>
      </c>
      <c r="DI29" s="909">
        <f>ROUND(IF(WWWW[[#This Row],[Location Type 1]]="camp",WWWW[[#This Row],[Total PoP ]]/20,IF(WWWW[[#This Row],[Location Type 1]]="Temporary Location",WWWW[[#This Row],[Total PoP ]]/50,(WWWW[[#This Row],[Total PoP ]]/6))),0)</f>
        <v>16</v>
      </c>
      <c r="DJ29" s="909">
        <f>IF(WWWW[[#This Row],[Total required Latrines]]-(WWWW[[#This Row],['#_Constructed latrines_by_WASHAgencies]]+WWWW[[#This Row],['#_Non Cluster partner latrines]])&lt;0,0,WWWW[[#This Row],[Total required Latrines]]-(WWWW[[#This Row],['#_Constructed latrines_by_WASHAgencies]]+WWWW[[#This Row],['#_Non Cluster partner latrines]]))</f>
        <v>9</v>
      </c>
      <c r="DK29" s="911">
        <f>1-WWWW[[#This Row],[% people access to functioning Latrine]]</f>
        <v>0.56521739130434789</v>
      </c>
      <c r="DL29" s="910">
        <f>IF(OR(WWWW[[#This Row],['#_Non-functional latrines]]="",WWWW[[#This Row],['#_Non-functional latrines]]=0),0,WWWW[[#This Row],['#_Non-functional latrines]]/(WWWW[[#This Row],['#_Constructed latrines_by_WASHAgencies]]+WWWW[[#This Row],['#_Non Cluster partner latrines]]))</f>
        <v>0</v>
      </c>
      <c r="DM29" s="906">
        <f>IF(500*(WWWW[[#This Row],['#_male hygiene promoters]]+WWWW[[#This Row],['#_female hygiene promoters]])&gt;WWWW[[#This Row],[Total PoP ]],WWWW[[#This Row],[Total PoP ]],500*(WWWW[[#This Row],['#_male hygiene promoters]]+WWWW[[#This Row],['#_female hygiene promoters]]))</f>
        <v>0</v>
      </c>
      <c r="DN29"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9"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9" s="909">
        <f>IF(WWWW[[#This Row],['# People with access to soap]]&gt;WWWW[[#This Row],['# People with access to Sanity Pads]],WWWW[[#This Row],['# People with access to soap]],WWWW[[#This Row],['# People with access to Sanity Pads]])</f>
        <v>0</v>
      </c>
      <c r="DQ29"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9" s="911">
        <f>IF(WWWW[[#This Row],[HRP3]]/WWWW[[#This Row],[Total PoP ]]&gt;1,1,WWWW[[#This Row],[HRP3]]/WWWW[[#This Row],[Total PoP ]])</f>
        <v>0</v>
      </c>
      <c r="DS29" s="910">
        <f>1-WWWW[[#This Row],[Hygiene Coverage%]]</f>
        <v>1</v>
      </c>
      <c r="DT29" s="908">
        <f>WWWW[[#This Row],['# people reached by regular dedicated hygiene promotion_5]]/WWWW[[#This Row],[Total PoP ]]</f>
        <v>0</v>
      </c>
      <c r="DU29"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9"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9" s="909">
        <f>WWWW[[#This Row],['#_Constructed/Existing hand washing stations]]-WWWW[[#This Row],['#_Non-Functional_hand_washing_stations]]</f>
        <v>3</v>
      </c>
      <c r="DX29" s="906">
        <f>IF(WWWW[[#This Row],['# Functional hand washing stations during reporting period]]*20&gt;WWWW[[#This Row],[Total HH]],WWWW[[#This Row],[Total HH]],WWWW[[#This Row],['# Functional hand washing stations during reporting period]]*20)</f>
        <v>58</v>
      </c>
      <c r="DY29" s="906">
        <f>IF(WWWW[[#This Row],[Is sufficient soap available for TLS? (Yes/No)]]="yes",WWWW[[#This Row],['#_Constructed/Existing hand washing stations at TLS/CFS/THF]],0)</f>
        <v>0</v>
      </c>
      <c r="DZ29" s="421">
        <f>IF(WWWW[[#This Row],['# Functional hand washing stations during reporting period]]*100&gt;WWWW[[#This Row],[Total PoP ]],WWWW[[#This Row],[Total PoP ]],WWWW[[#This Row],['# Functional hand washing stations during reporting period]]*100)</f>
        <v>300</v>
      </c>
      <c r="EA29" s="421" t="str">
        <f>IF(OR(WWWW[[#This Row],['#_students at TLS_CFS]]="",WWWW[[#This Row],['#_students at TLS_CFS]]=0),"No","Yes")</f>
        <v>No</v>
      </c>
      <c r="EB2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9" s="566">
        <f>WWWW[[#This Row],[%_of_affected_people_surveyed_who_report_feeling_satistfied_with_the_latrine_design_and_sanitation_service]]*WWWW[[#This Row],[Total PoP ]]</f>
        <v>0</v>
      </c>
      <c r="ED29" s="566">
        <f>WWWW[[#This Row],[%_of_affected_people_surveyed_who_report_feeling_satistfied_with_the_water_point_design_and_water_service]]*WWWW[[#This Row],[Total PoP ]]</f>
        <v>0</v>
      </c>
      <c r="EE29" s="566">
        <f>WWWW[[#This Row],[%_of_complaints_received_that_result_in_timely_corrective_action_and_feedback_to_the_community]]*WWWW[[#This Row],[Total PoP ]]</f>
        <v>0</v>
      </c>
      <c r="EF2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9" s="902" t="str">
        <f>VLOOKUP(WWWW[[#This Row],[Site Name]],SiteDB6[[Site Name]:[CCCM Management]],6,FALSE)</f>
        <v>Yes</v>
      </c>
      <c r="EJ29" s="902" t="str">
        <f>VLOOKUP(WWWW[[#This Row],[Site Name]],SiteDB6[[Site Name]:[CCCM Focal Agency]],7,FALSE)</f>
        <v>KBC-MYT</v>
      </c>
      <c r="EK29" s="902" t="str">
        <f>VLOOKUP(WWWW[[#This Row],[Site Name]],SiteDB6[[Site Name]:[Location Type 1]],9,FALSE)</f>
        <v>Camp</v>
      </c>
      <c r="EL29" s="902" t="str">
        <f>VLOOKUP(WWWW[[#This Row],[Site Name]],SiteDB6[[Site Name]:[Type of Accommodation]],10,FALSE)</f>
        <v>Camp</v>
      </c>
      <c r="EM29" s="902" t="str">
        <f>VLOOKUP(WWWW[[#This Row],[Site Name]],SiteDB6[[Site Name]:[Ethnic or GCA/NGCA]],11,FALSE)</f>
        <v>GCA</v>
      </c>
      <c r="EN29" s="902">
        <f>VLOOKUP(WWWW[[#This Row],[Site Name]],SiteDB6[[Site Name]:[Lat]],12,FALSE)</f>
        <v>25.360463124999999</v>
      </c>
      <c r="EO29" s="902">
        <f>VLOOKUP(WWWW[[#This Row],[Site Name]],SiteDB6[[Site Name]:[Long]],13,FALSE)</f>
        <v>97.4113064583333</v>
      </c>
      <c r="EP29" s="902" t="str">
        <f>VLOOKUP(WWWW[[#This Row],[Site Name]],SiteDB6[[Site Name]:[Pcode]],3,FALSE)</f>
        <v>MMR001CMP016</v>
      </c>
      <c r="EQ29" s="907" t="str">
        <f t="shared" si="0"/>
        <v>Covered</v>
      </c>
      <c r="ER29" s="907" t="s">
        <v>3126</v>
      </c>
      <c r="ES29" s="907" t="s">
        <v>3126</v>
      </c>
      <c r="ET29" s="902">
        <f>VLOOKUP(WWWW[[#This Row],[Site Name]],SiteDB6[[Site Name]:[Pop
(Kachin/Shan-CCCM as of May 2023)]],16,FALSE)</f>
        <v>49</v>
      </c>
      <c r="EU29" s="902">
        <f>VLOOKUP(WWWW[[#This Row],[Site Name]],SiteDB6[[Site Name]:[Pop
(Kachin/Shan-CCCM as of May 2023)]],17,FALSE)</f>
        <v>277</v>
      </c>
    </row>
    <row r="30" spans="1:151" hidden="1">
      <c r="A30" s="900" t="s">
        <v>2961</v>
      </c>
      <c r="B30" s="901" t="s">
        <v>141</v>
      </c>
      <c r="C30" s="901" t="s">
        <v>141</v>
      </c>
      <c r="D30" s="901" t="s">
        <v>241</v>
      </c>
      <c r="E30" s="901" t="s">
        <v>37</v>
      </c>
      <c r="F30" s="901" t="s">
        <v>159</v>
      </c>
      <c r="G30" s="902" t="str">
        <f>VLOOKUP(WWWW[[#This Row],[Site Name]],SiteDB6[[Site Name]:[Location Type]],8,FALSE)</f>
        <v>Camp</v>
      </c>
      <c r="H30" s="901" t="s">
        <v>167</v>
      </c>
      <c r="I30" s="903">
        <v>72</v>
      </c>
      <c r="J30" s="903">
        <v>320</v>
      </c>
      <c r="K30" s="904">
        <v>44811</v>
      </c>
      <c r="L30" s="905">
        <v>45175</v>
      </c>
      <c r="M30" s="903"/>
      <c r="N30" s="903">
        <v>1</v>
      </c>
      <c r="O30" s="903"/>
      <c r="P30" s="903"/>
      <c r="Q30" s="906" t="s">
        <v>41</v>
      </c>
      <c r="R30" s="903">
        <v>2</v>
      </c>
      <c r="S30" s="903">
        <v>2</v>
      </c>
      <c r="T30" s="441">
        <v>2</v>
      </c>
      <c r="U30" s="903"/>
      <c r="V30" s="903"/>
      <c r="W30" s="903">
        <v>2</v>
      </c>
      <c r="X30" s="903"/>
      <c r="Y30" s="903"/>
      <c r="Z30" s="903"/>
      <c r="AA30" s="903"/>
      <c r="AB30" s="903"/>
      <c r="AC30" s="903"/>
      <c r="AD30" s="903"/>
      <c r="AE30" s="903"/>
      <c r="AF30" s="903"/>
      <c r="AG30" s="903"/>
      <c r="AH30" s="903">
        <v>3</v>
      </c>
      <c r="AI30" s="903"/>
      <c r="AJ30" s="903"/>
      <c r="AK30" s="903"/>
      <c r="AL30" s="903"/>
      <c r="AM30" s="903"/>
      <c r="AN30" s="903"/>
      <c r="AO30" s="441"/>
      <c r="AP30" s="907"/>
      <c r="AQ30" s="903">
        <v>15</v>
      </c>
      <c r="AR30" s="903"/>
      <c r="AS30" s="908"/>
      <c r="AT30" s="903"/>
      <c r="AU30" s="903"/>
      <c r="AV30" s="903"/>
      <c r="AW30" s="903"/>
      <c r="AX30" s="903">
        <v>15</v>
      </c>
      <c r="AY30" s="902" t="s">
        <v>41</v>
      </c>
      <c r="AZ30" s="907" t="s">
        <v>137</v>
      </c>
      <c r="BA30" s="903"/>
      <c r="BB30" s="903"/>
      <c r="BC30" s="903"/>
      <c r="BD30" s="441"/>
      <c r="BE30" s="441"/>
      <c r="BF30" s="902"/>
      <c r="BG30" s="903">
        <v>1</v>
      </c>
      <c r="BH30" s="903"/>
      <c r="BI30" s="903"/>
      <c r="BJ30" s="903">
        <v>1</v>
      </c>
      <c r="BK30" s="903"/>
      <c r="BL30" s="903"/>
      <c r="BM30" s="903"/>
      <c r="BN30" s="903"/>
      <c r="BO30" s="903"/>
      <c r="BP30" s="902"/>
      <c r="BQ30" s="909"/>
      <c r="BR30" s="908"/>
      <c r="BS30" s="902"/>
      <c r="BT30" s="416"/>
      <c r="BU30" s="416"/>
      <c r="BV30" s="418"/>
      <c r="BW30" s="416"/>
      <c r="BX30" s="441"/>
      <c r="BY30" s="441"/>
      <c r="BZ30" s="441"/>
      <c r="CA30" s="441"/>
      <c r="CB30" s="441"/>
      <c r="CC30" s="693"/>
      <c r="CD30" s="441"/>
      <c r="CE30" s="910" t="str">
        <f>IFERROR(WWWW[[#This Row],['#_Water sources passed]]/WWWW[[#This Row],['#_Water sources tested for fecal coliform ]],"no test")</f>
        <v>no test</v>
      </c>
      <c r="CF30" s="908" t="str">
        <f>IFERROR(WWWW[[#This Row],['#_Household passed]]/WWWW[[#This Row],['#_Household water samples tested for fecal coliform]],"no test")</f>
        <v>no test</v>
      </c>
      <c r="CG30" s="909" t="str">
        <f>IF(AND(WWWW[[#This Row],[% of water sources passed]]="no test",WWWW[[#This Row],[% Household passed]]="no test"),"No Test","Tested")</f>
        <v>No Test</v>
      </c>
      <c r="CH30" s="909">
        <f>WWWW[[#This Row],['#_Constructed/existing protected hand dug well]]-WWWW[[#This Row],['#_Non-functional protected hand dug well]]</f>
        <v>2</v>
      </c>
      <c r="CI30" s="909">
        <f>(WWWW[[#This Row],['#_Constructed/Existing tube wells/boreholes/handpumps_WASH_agency]]+WWWW[[#This Row],['#_Non-Cluster partner water tube-wells/boreholes/handpumps]])-WWWW[[#This Row],['#_Non-functional tube wells/boreholes/handpumps]]</f>
        <v>2</v>
      </c>
      <c r="CJ30" s="909">
        <f>WWWW[[#This Row],['#_Constructed/Existingwater storage tank with gravity fed reticulation system]]-WWWW[[#This Row],['#_Non-functional storage tank gravity fed reticulation system]]</f>
        <v>0</v>
      </c>
      <c r="CK30" s="909">
        <f>(WWWW[[#This Row],['#_Water_Liters_supplied_by_Water boating or water trucking]]/90)/15</f>
        <v>0</v>
      </c>
      <c r="CL30" s="909">
        <f>WWWW[[#This Row],['#_Water_Liters_from_Constructed/Existing water distribution system from river or natural spring]]/90/15</f>
        <v>0</v>
      </c>
      <c r="CM30" s="417">
        <f>IF(WWWW[[#This Row],['#_of water points in TLS/CFS]]*500&gt;WWWW[[#This Row],[Total PoP ]],WWWW[[#This Row],[Total PoP ]],WWWW[[#This Row],['#_of water points in TLS/CFS]]*500)</f>
        <v>0</v>
      </c>
      <c r="CN30" s="417">
        <f>IF(WWWW[[#This Row],['#_of water points in THF]]*500&gt;WWWW[[#This Row],[Total PoP ]],WWWW[[#This Row],[Total PoP ]],WWWW[[#This Row],['#_of water points in THF]]*500)</f>
        <v>0</v>
      </c>
      <c r="CO30" s="417"/>
      <c r="CP30"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0"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0" s="908">
        <f>IF(WWWW[[#This Row],[Location Type 1]]="Village",WWWW[[#This Row],[Access to safe drinking water for Village]],WWWW[[#This Row],[Access to safe drinking water for Camp]])</f>
        <v>1</v>
      </c>
      <c r="CS30" s="906">
        <f>WWWW[[#This Row],[%Equitable and continuous access to sufficient quantity of safe drinking water]]*WWWW[[#This Row],[Total PoP ]]</f>
        <v>320</v>
      </c>
      <c r="CT30" s="908">
        <f>IF((WWWW[[#This Row],['#_Constructed/Existing protected/fenced ponds]]*250)/WWWW[[#This Row],[Total PoP ]]&gt;1,1,(WWWW[[#This Row],['#_Constructed/Existing protected/fenced ponds]]*250)/WWWW[[#This Row],[Total PoP ]])</f>
        <v>0</v>
      </c>
      <c r="CU30" s="906">
        <f>WWWW[[#This Row],[% Access to unimproved water points]]*WWWW[[#This Row],[Total PoP ]]</f>
        <v>0</v>
      </c>
      <c r="CV30"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0"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320</v>
      </c>
      <c r="CX30" s="906">
        <f>WWWW[[#This Row],[HRP1]]/500</f>
        <v>0.64</v>
      </c>
      <c r="CY30" s="911">
        <f>1-WWWW[[#This Row],[% Equitable and continuous access to sufficient quantity of domestic water]]</f>
        <v>0</v>
      </c>
      <c r="CZ30" s="906">
        <f>WWWW[[#This Row],[%equitable and continuous access to sufficient quantity of safe drinking and domestic water''s GAP]]*WWWW[[#This Row],[Total PoP ]]</f>
        <v>0</v>
      </c>
      <c r="DA30" s="909">
        <f>IF(WWWW[[#This Row],[Total required water points]]-WWWW[[#This Row],['#Water points coverage]]&lt;0,0,WWWW[[#This Row],[Total required water points]]-WWWW[[#This Row],['#Water points coverage]])</f>
        <v>0.36</v>
      </c>
      <c r="DB30" s="909">
        <f>ROUND(IF(WWWW[[#This Row],[Total PoP ]]&lt;500,1,WWWW[[#This Row],[Total PoP ]]/500),0)</f>
        <v>1</v>
      </c>
      <c r="DC30" s="909">
        <f>(WWWW[[#This Row],['#_Constructed latrines_by_WASHAgencies]]+WWWW[[#This Row],['#_Non Cluster partner latrines]])-WWWW[[#This Row],['#_Non-functional latrines]]</f>
        <v>15</v>
      </c>
      <c r="DD30" s="615">
        <f>WWWW[[#This Row],[HRP2]]/WWWW[[#This Row],[Total PoP ]]</f>
        <v>0.9375</v>
      </c>
      <c r="DE30"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300</v>
      </c>
      <c r="DF30"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0"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0" s="417">
        <f>IF(WWWW[[#This Row],['# of functional latrines in THF supported by WASH partners during the reporting period2]]="",0,WWWW[[#This Row],['# of functional latrines in THF supported by WASH partners during the reporting period2]]*50)</f>
        <v>0</v>
      </c>
      <c r="DI30" s="909">
        <f>ROUND(IF(WWWW[[#This Row],[Location Type 1]]="camp",WWWW[[#This Row],[Total PoP ]]/20,IF(WWWW[[#This Row],[Location Type 1]]="Temporary Location",WWWW[[#This Row],[Total PoP ]]/50,(WWWW[[#This Row],[Total PoP ]]/6))),0)</f>
        <v>16</v>
      </c>
      <c r="DJ30" s="909">
        <f>IF(WWWW[[#This Row],[Total required Latrines]]-(WWWW[[#This Row],['#_Constructed latrines_by_WASHAgencies]]+WWWW[[#This Row],['#_Non Cluster partner latrines]])&lt;0,0,WWWW[[#This Row],[Total required Latrines]]-(WWWW[[#This Row],['#_Constructed latrines_by_WASHAgencies]]+WWWW[[#This Row],['#_Non Cluster partner latrines]]))</f>
        <v>1</v>
      </c>
      <c r="DK30" s="911">
        <f>1-WWWW[[#This Row],[% people access to functioning Latrine]]</f>
        <v>6.25E-2</v>
      </c>
      <c r="DL30" s="910">
        <f>IF(OR(WWWW[[#This Row],['#_Non-functional latrines]]="",WWWW[[#This Row],['#_Non-functional latrines]]=0),0,WWWW[[#This Row],['#_Non-functional latrines]]/(WWWW[[#This Row],['#_Constructed latrines_by_WASHAgencies]]+WWWW[[#This Row],['#_Non Cluster partner latrines]]))</f>
        <v>0</v>
      </c>
      <c r="DM30" s="906">
        <f>IF(500*(WWWW[[#This Row],['#_male hygiene promoters]]+WWWW[[#This Row],['#_female hygiene promoters]])&gt;WWWW[[#This Row],[Total PoP ]],WWWW[[#This Row],[Total PoP ]],500*(WWWW[[#This Row],['#_male hygiene promoters]]+WWWW[[#This Row],['#_female hygiene promoters]]))</f>
        <v>0</v>
      </c>
      <c r="DN30"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0"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0" s="909">
        <f>IF(WWWW[[#This Row],['# People with access to soap]]&gt;WWWW[[#This Row],['# People with access to Sanity Pads]],WWWW[[#This Row],['# People with access to soap]],WWWW[[#This Row],['# People with access to Sanity Pads]])</f>
        <v>0</v>
      </c>
      <c r="DQ30"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0" s="911">
        <f>IF(WWWW[[#This Row],[HRP3]]/WWWW[[#This Row],[Total PoP ]]&gt;1,1,WWWW[[#This Row],[HRP3]]/WWWW[[#This Row],[Total PoP ]])</f>
        <v>0</v>
      </c>
      <c r="DS30" s="910">
        <f>1-WWWW[[#This Row],[Hygiene Coverage%]]</f>
        <v>1</v>
      </c>
      <c r="DT30" s="908">
        <f>WWWW[[#This Row],['# people reached by regular dedicated hygiene promotion_5]]/WWWW[[#This Row],[Total PoP ]]</f>
        <v>0</v>
      </c>
      <c r="DU30"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0"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0" s="909">
        <f>WWWW[[#This Row],['#_Constructed/Existing hand washing stations]]-WWWW[[#This Row],['#_Non-Functional_hand_washing_stations]]</f>
        <v>1</v>
      </c>
      <c r="DX30" s="906">
        <f>IF(WWWW[[#This Row],['# Functional hand washing stations during reporting period]]*20&gt;WWWW[[#This Row],[Total HH]],WWWW[[#This Row],[Total HH]],WWWW[[#This Row],['# Functional hand washing stations during reporting period]]*20)</f>
        <v>20</v>
      </c>
      <c r="DY30" s="906">
        <f>IF(WWWW[[#This Row],[Is sufficient soap available for TLS? (Yes/No)]]="yes",WWWW[[#This Row],['#_Constructed/Existing hand washing stations at TLS/CFS/THF]],0)</f>
        <v>0</v>
      </c>
      <c r="DZ30" s="421">
        <f>IF(WWWW[[#This Row],['# Functional hand washing stations during reporting period]]*100&gt;WWWW[[#This Row],[Total PoP ]],WWWW[[#This Row],[Total PoP ]],WWWW[[#This Row],['# Functional hand washing stations during reporting period]]*100)</f>
        <v>100</v>
      </c>
      <c r="EA30" s="421" t="str">
        <f>IF(OR(WWWW[[#This Row],['#_students at TLS_CFS]]="",WWWW[[#This Row],['#_students at TLS_CFS]]=0),"No","Yes")</f>
        <v>No</v>
      </c>
      <c r="EB3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0" s="566">
        <f>WWWW[[#This Row],[%_of_affected_people_surveyed_who_report_feeling_satistfied_with_the_latrine_design_and_sanitation_service]]*WWWW[[#This Row],[Total PoP ]]</f>
        <v>0</v>
      </c>
      <c r="ED30" s="566">
        <f>WWWW[[#This Row],[%_of_affected_people_surveyed_who_report_feeling_satistfied_with_the_water_point_design_and_water_service]]*WWWW[[#This Row],[Total PoP ]]</f>
        <v>0</v>
      </c>
      <c r="EE30" s="566">
        <f>WWWW[[#This Row],[%_of_complaints_received_that_result_in_timely_corrective_action_and_feedback_to_the_community]]*WWWW[[#This Row],[Total PoP ]]</f>
        <v>0</v>
      </c>
      <c r="EF3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0" s="902" t="str">
        <f>VLOOKUP(WWWW[[#This Row],[Site Name]],SiteDB6[[Site Name]:[CCCM Management]],6,FALSE)</f>
        <v>Yes</v>
      </c>
      <c r="EJ30" s="902" t="str">
        <f>VLOOKUP(WWWW[[#This Row],[Site Name]],SiteDB6[[Site Name]:[CCCM Focal Agency]],7,FALSE)</f>
        <v>KBC-MYT</v>
      </c>
      <c r="EK30" s="902" t="str">
        <f>VLOOKUP(WWWW[[#This Row],[Site Name]],SiteDB6[[Site Name]:[Location Type 1]],9,FALSE)</f>
        <v>Camp</v>
      </c>
      <c r="EL30" s="902" t="str">
        <f>VLOOKUP(WWWW[[#This Row],[Site Name]],SiteDB6[[Site Name]:[Type of Accommodation]],10,FALSE)</f>
        <v>Camp</v>
      </c>
      <c r="EM30" s="902" t="str">
        <f>VLOOKUP(WWWW[[#This Row],[Site Name]],SiteDB6[[Site Name]:[Ethnic or GCA/NGCA]],11,FALSE)</f>
        <v>GCA</v>
      </c>
      <c r="EN30" s="902">
        <f>VLOOKUP(WWWW[[#This Row],[Site Name]],SiteDB6[[Site Name]:[Lat]],12,FALSE)</f>
        <v>25.422194000000001</v>
      </c>
      <c r="EO30" s="902">
        <f>VLOOKUP(WWWW[[#This Row],[Site Name]],SiteDB6[[Site Name]:[Long]],13,FALSE)</f>
        <v>97.394547000000003</v>
      </c>
      <c r="EP30" s="902" t="str">
        <f>VLOOKUP(WWWW[[#This Row],[Site Name]],SiteDB6[[Site Name]:[Pcode]],3,FALSE)</f>
        <v>MMR001CMP002</v>
      </c>
      <c r="EQ30" s="907" t="str">
        <f t="shared" si="0"/>
        <v>Covered</v>
      </c>
      <c r="ER30" s="907" t="s">
        <v>3126</v>
      </c>
      <c r="ES30" s="907" t="s">
        <v>3126</v>
      </c>
      <c r="ET30" s="902">
        <f>VLOOKUP(WWWW[[#This Row],[Site Name]],SiteDB6[[Site Name]:[Pop
(Kachin/Shan-CCCM as of May 2023)]],16,FALSE)</f>
        <v>39</v>
      </c>
      <c r="EU30" s="902">
        <f>VLOOKUP(WWWW[[#This Row],[Site Name]],SiteDB6[[Site Name]:[Pop
(Kachin/Shan-CCCM as of May 2023)]],17,FALSE)</f>
        <v>180</v>
      </c>
    </row>
    <row r="31" spans="1:151" hidden="1">
      <c r="A31" s="900" t="s">
        <v>2961</v>
      </c>
      <c r="B31" s="901" t="s">
        <v>141</v>
      </c>
      <c r="C31" s="901" t="s">
        <v>141</v>
      </c>
      <c r="D31" s="901" t="s">
        <v>241</v>
      </c>
      <c r="E31" s="901" t="s">
        <v>37</v>
      </c>
      <c r="F31" s="901" t="s">
        <v>159</v>
      </c>
      <c r="G31" s="902" t="str">
        <f>VLOOKUP(WWWW[[#This Row],[Site Name]],SiteDB6[[Site Name]:[Location Type]],8,FALSE)</f>
        <v>Camp</v>
      </c>
      <c r="H31" s="901" t="s">
        <v>170</v>
      </c>
      <c r="I31" s="903">
        <v>99</v>
      </c>
      <c r="J31" s="903">
        <v>543</v>
      </c>
      <c r="K31" s="904">
        <v>44811</v>
      </c>
      <c r="L31" s="905">
        <v>45175</v>
      </c>
      <c r="M31" s="903"/>
      <c r="N31" s="903">
        <v>1</v>
      </c>
      <c r="O31" s="903"/>
      <c r="P31" s="903"/>
      <c r="Q31" s="906" t="s">
        <v>41</v>
      </c>
      <c r="R31" s="903">
        <v>2</v>
      </c>
      <c r="S31" s="903">
        <v>2</v>
      </c>
      <c r="T31" s="441">
        <v>2</v>
      </c>
      <c r="U31" s="903"/>
      <c r="V31" s="903"/>
      <c r="W31" s="903">
        <v>3</v>
      </c>
      <c r="X31" s="903"/>
      <c r="Y31" s="903"/>
      <c r="Z31" s="903"/>
      <c r="AA31" s="903"/>
      <c r="AB31" s="903"/>
      <c r="AC31" s="903"/>
      <c r="AD31" s="903"/>
      <c r="AE31" s="903"/>
      <c r="AF31" s="903"/>
      <c r="AG31" s="903"/>
      <c r="AH31" s="903">
        <v>2</v>
      </c>
      <c r="AI31" s="903"/>
      <c r="AJ31" s="903"/>
      <c r="AK31" s="903"/>
      <c r="AL31" s="903"/>
      <c r="AM31" s="903"/>
      <c r="AN31" s="903"/>
      <c r="AO31" s="441"/>
      <c r="AP31" s="907"/>
      <c r="AQ31" s="903">
        <v>11</v>
      </c>
      <c r="AR31" s="903"/>
      <c r="AS31" s="908"/>
      <c r="AT31" s="903"/>
      <c r="AU31" s="903"/>
      <c r="AV31" s="903"/>
      <c r="AW31" s="903"/>
      <c r="AX31" s="903">
        <v>11</v>
      </c>
      <c r="AY31" s="902" t="s">
        <v>41</v>
      </c>
      <c r="AZ31" s="907" t="s">
        <v>137</v>
      </c>
      <c r="BA31" s="903"/>
      <c r="BB31" s="903"/>
      <c r="BC31" s="903"/>
      <c r="BD31" s="441"/>
      <c r="BE31" s="441"/>
      <c r="BF31" s="902"/>
      <c r="BG31" s="903">
        <v>3</v>
      </c>
      <c r="BH31" s="903"/>
      <c r="BI31" s="903"/>
      <c r="BJ31" s="903">
        <v>2</v>
      </c>
      <c r="BK31" s="903"/>
      <c r="BL31" s="903">
        <v>1</v>
      </c>
      <c r="BM31" s="903"/>
      <c r="BN31" s="903"/>
      <c r="BO31" s="903"/>
      <c r="BP31" s="902"/>
      <c r="BQ31" s="909"/>
      <c r="BR31" s="908"/>
      <c r="BS31" s="902"/>
      <c r="BT31" s="416"/>
      <c r="BU31" s="416"/>
      <c r="BV31" s="418"/>
      <c r="BW31" s="416"/>
      <c r="BX31" s="441"/>
      <c r="BY31" s="441"/>
      <c r="BZ31" s="441"/>
      <c r="CA31" s="441"/>
      <c r="CB31" s="441"/>
      <c r="CC31" s="693"/>
      <c r="CD31" s="441"/>
      <c r="CE31" s="910" t="str">
        <f>IFERROR(WWWW[[#This Row],['#_Water sources passed]]/WWWW[[#This Row],['#_Water sources tested for fecal coliform ]],"no test")</f>
        <v>no test</v>
      </c>
      <c r="CF31" s="908" t="str">
        <f>IFERROR(WWWW[[#This Row],['#_Household passed]]/WWWW[[#This Row],['#_Household water samples tested for fecal coliform]],"no test")</f>
        <v>no test</v>
      </c>
      <c r="CG31" s="909" t="str">
        <f>IF(AND(WWWW[[#This Row],[% of water sources passed]]="no test",WWWW[[#This Row],[% Household passed]]="no test"),"No Test","Tested")</f>
        <v>No Test</v>
      </c>
      <c r="CH31" s="909">
        <f>WWWW[[#This Row],['#_Constructed/existing protected hand dug well]]-WWWW[[#This Row],['#_Non-functional protected hand dug well]]</f>
        <v>2</v>
      </c>
      <c r="CI31" s="909">
        <f>(WWWW[[#This Row],['#_Constructed/Existing tube wells/boreholes/handpumps_WASH_agency]]+WWWW[[#This Row],['#_Non-Cluster partner water tube-wells/boreholes/handpumps]])-WWWW[[#This Row],['#_Non-functional tube wells/boreholes/handpumps]]</f>
        <v>3</v>
      </c>
      <c r="CJ31" s="909">
        <f>WWWW[[#This Row],['#_Constructed/Existingwater storage tank with gravity fed reticulation system]]-WWWW[[#This Row],['#_Non-functional storage tank gravity fed reticulation system]]</f>
        <v>0</v>
      </c>
      <c r="CK31" s="909">
        <f>(WWWW[[#This Row],['#_Water_Liters_supplied_by_Water boating or water trucking]]/90)/15</f>
        <v>0</v>
      </c>
      <c r="CL31" s="909">
        <f>WWWW[[#This Row],['#_Water_Liters_from_Constructed/Existing water distribution system from river or natural spring]]/90/15</f>
        <v>0</v>
      </c>
      <c r="CM31" s="417">
        <f>IF(WWWW[[#This Row],['#_of water points in TLS/CFS]]*500&gt;WWWW[[#This Row],[Total PoP ]],WWWW[[#This Row],[Total PoP ]],WWWW[[#This Row],['#_of water points in TLS/CFS]]*500)</f>
        <v>0</v>
      </c>
      <c r="CN31" s="417">
        <f>IF(WWWW[[#This Row],['#_of water points in THF]]*500&gt;WWWW[[#This Row],[Total PoP ]],WWWW[[#This Row],[Total PoP ]],WWWW[[#This Row],['#_of water points in THF]]*500)</f>
        <v>0</v>
      </c>
      <c r="CO31" s="417"/>
      <c r="CP31"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1"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1" s="908">
        <f>IF(WWWW[[#This Row],[Location Type 1]]="Village",WWWW[[#This Row],[Access to safe drinking water for Village]],WWWW[[#This Row],[Access to safe drinking water for Camp]])</f>
        <v>1</v>
      </c>
      <c r="CS31" s="906">
        <f>WWWW[[#This Row],[%Equitable and continuous access to sufficient quantity of safe drinking water]]*WWWW[[#This Row],[Total PoP ]]</f>
        <v>543</v>
      </c>
      <c r="CT31" s="908">
        <f>IF((WWWW[[#This Row],['#_Constructed/Existing protected/fenced ponds]]*250)/WWWW[[#This Row],[Total PoP ]]&gt;1,1,(WWWW[[#This Row],['#_Constructed/Existing protected/fenced ponds]]*250)/WWWW[[#This Row],[Total PoP ]])</f>
        <v>0</v>
      </c>
      <c r="CU31" s="906">
        <f>WWWW[[#This Row],[% Access to unimproved water points]]*WWWW[[#This Row],[Total PoP ]]</f>
        <v>0</v>
      </c>
      <c r="CV31"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1"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543</v>
      </c>
      <c r="CX31" s="906">
        <f>WWWW[[#This Row],[HRP1]]/500</f>
        <v>1.0860000000000001</v>
      </c>
      <c r="CY31" s="911">
        <f>1-WWWW[[#This Row],[% Equitable and continuous access to sufficient quantity of domestic water]]</f>
        <v>0</v>
      </c>
      <c r="CZ31" s="906">
        <f>WWWW[[#This Row],[%equitable and continuous access to sufficient quantity of safe drinking and domestic water''s GAP]]*WWWW[[#This Row],[Total PoP ]]</f>
        <v>0</v>
      </c>
      <c r="DA31" s="909">
        <f>IF(WWWW[[#This Row],[Total required water points]]-WWWW[[#This Row],['#Water points coverage]]&lt;0,0,WWWW[[#This Row],[Total required water points]]-WWWW[[#This Row],['#Water points coverage]])</f>
        <v>0</v>
      </c>
      <c r="DB31" s="909">
        <f>ROUND(IF(WWWW[[#This Row],[Total PoP ]]&lt;500,1,WWWW[[#This Row],[Total PoP ]]/500),0)</f>
        <v>1</v>
      </c>
      <c r="DC31" s="909">
        <f>(WWWW[[#This Row],['#_Constructed latrines_by_WASHAgencies]]+WWWW[[#This Row],['#_Non Cluster partner latrines]])-WWWW[[#This Row],['#_Non-functional latrines]]</f>
        <v>11</v>
      </c>
      <c r="DD31" s="615">
        <f>WWWW[[#This Row],[HRP2]]/WWWW[[#This Row],[Total PoP ]]</f>
        <v>0.40515653775322286</v>
      </c>
      <c r="DE31"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220</v>
      </c>
      <c r="DF31"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1"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1" s="417">
        <f>IF(WWWW[[#This Row],['# of functional latrines in THF supported by WASH partners during the reporting period2]]="",0,WWWW[[#This Row],['# of functional latrines in THF supported by WASH partners during the reporting period2]]*50)</f>
        <v>0</v>
      </c>
      <c r="DI31" s="909">
        <f>ROUND(IF(WWWW[[#This Row],[Location Type 1]]="camp",WWWW[[#This Row],[Total PoP ]]/20,IF(WWWW[[#This Row],[Location Type 1]]="Temporary Location",WWWW[[#This Row],[Total PoP ]]/50,(WWWW[[#This Row],[Total PoP ]]/6))),0)</f>
        <v>27</v>
      </c>
      <c r="DJ31" s="909">
        <f>IF(WWWW[[#This Row],[Total required Latrines]]-(WWWW[[#This Row],['#_Constructed latrines_by_WASHAgencies]]+WWWW[[#This Row],['#_Non Cluster partner latrines]])&lt;0,0,WWWW[[#This Row],[Total required Latrines]]-(WWWW[[#This Row],['#_Constructed latrines_by_WASHAgencies]]+WWWW[[#This Row],['#_Non Cluster partner latrines]]))</f>
        <v>16</v>
      </c>
      <c r="DK31" s="911">
        <f>1-WWWW[[#This Row],[% people access to functioning Latrine]]</f>
        <v>0.59484346224677709</v>
      </c>
      <c r="DL31" s="910">
        <f>IF(OR(WWWW[[#This Row],['#_Non-functional latrines]]="",WWWW[[#This Row],['#_Non-functional latrines]]=0),0,WWWW[[#This Row],['#_Non-functional latrines]]/(WWWW[[#This Row],['#_Constructed latrines_by_WASHAgencies]]+WWWW[[#This Row],['#_Non Cluster partner latrines]]))</f>
        <v>0</v>
      </c>
      <c r="DM31" s="906">
        <f>IF(500*(WWWW[[#This Row],['#_male hygiene promoters]]+WWWW[[#This Row],['#_female hygiene promoters]])&gt;WWWW[[#This Row],[Total PoP ]],WWWW[[#This Row],[Total PoP ]],500*(WWWW[[#This Row],['#_male hygiene promoters]]+WWWW[[#This Row],['#_female hygiene promoters]]))</f>
        <v>500</v>
      </c>
      <c r="DN31"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1"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1" s="909">
        <f>IF(WWWW[[#This Row],['# People with access to soap]]&gt;WWWW[[#This Row],['# People with access to Sanity Pads]],WWWW[[#This Row],['# People with access to soap]],WWWW[[#This Row],['# People with access to Sanity Pads]])</f>
        <v>0</v>
      </c>
      <c r="DQ31" s="909">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31" s="911">
        <f>IF(WWWW[[#This Row],[HRP3]]/WWWW[[#This Row],[Total PoP ]]&gt;1,1,WWWW[[#This Row],[HRP3]]/WWWW[[#This Row],[Total PoP ]])</f>
        <v>0.92081031307550643</v>
      </c>
      <c r="DS31" s="910">
        <f>1-WWWW[[#This Row],[Hygiene Coverage%]]</f>
        <v>7.9189686924493574E-2</v>
      </c>
      <c r="DT31" s="908">
        <f>WWWW[[#This Row],['# people reached by regular dedicated hygiene promotion_5]]/WWWW[[#This Row],[Total PoP ]]</f>
        <v>0.92081031307550643</v>
      </c>
      <c r="DU31"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1"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1" s="909">
        <f>WWWW[[#This Row],['#_Constructed/Existing hand washing stations]]-WWWW[[#This Row],['#_Non-Functional_hand_washing_stations]]</f>
        <v>3</v>
      </c>
      <c r="DX31" s="906">
        <f>IF(WWWW[[#This Row],['# Functional hand washing stations during reporting period]]*20&gt;WWWW[[#This Row],[Total HH]],WWWW[[#This Row],[Total HH]],WWWW[[#This Row],['# Functional hand washing stations during reporting period]]*20)</f>
        <v>60</v>
      </c>
      <c r="DY31" s="906">
        <f>IF(WWWW[[#This Row],[Is sufficient soap available for TLS? (Yes/No)]]="yes",WWWW[[#This Row],['#_Constructed/Existing hand washing stations at TLS/CFS/THF]],0)</f>
        <v>0</v>
      </c>
      <c r="DZ31" s="421">
        <f>IF(WWWW[[#This Row],['# Functional hand washing stations during reporting period]]*100&gt;WWWW[[#This Row],[Total PoP ]],WWWW[[#This Row],[Total PoP ]],WWWW[[#This Row],['# Functional hand washing stations during reporting period]]*100)</f>
        <v>300</v>
      </c>
      <c r="EA31" s="421" t="str">
        <f>IF(OR(WWWW[[#This Row],['#_students at TLS_CFS]]="",WWWW[[#This Row],['#_students at TLS_CFS]]=0),"No","Yes")</f>
        <v>No</v>
      </c>
      <c r="EB3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1" s="566">
        <f>WWWW[[#This Row],[%_of_affected_people_surveyed_who_report_feeling_satistfied_with_the_latrine_design_and_sanitation_service]]*WWWW[[#This Row],[Total PoP ]]</f>
        <v>0</v>
      </c>
      <c r="ED31" s="566">
        <f>WWWW[[#This Row],[%_of_affected_people_surveyed_who_report_feeling_satistfied_with_the_water_point_design_and_water_service]]*WWWW[[#This Row],[Total PoP ]]</f>
        <v>0</v>
      </c>
      <c r="EE31" s="566">
        <f>WWWW[[#This Row],[%_of_complaints_received_that_result_in_timely_corrective_action_and_feedback_to_the_community]]*WWWW[[#This Row],[Total PoP ]]</f>
        <v>0</v>
      </c>
      <c r="EF3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1" s="902" t="str">
        <f>VLOOKUP(WWWW[[#This Row],[Site Name]],SiteDB6[[Site Name]:[CCCM Management]],6,FALSE)</f>
        <v>Yes</v>
      </c>
      <c r="EJ31" s="902" t="str">
        <f>VLOOKUP(WWWW[[#This Row],[Site Name]],SiteDB6[[Site Name]:[CCCM Focal Agency]],7,FALSE)</f>
        <v>KBC-MYT</v>
      </c>
      <c r="EK31" s="902" t="str">
        <f>VLOOKUP(WWWW[[#This Row],[Site Name]],SiteDB6[[Site Name]:[Location Type 1]],9,FALSE)</f>
        <v>Camp</v>
      </c>
      <c r="EL31" s="902" t="str">
        <f>VLOOKUP(WWWW[[#This Row],[Site Name]],SiteDB6[[Site Name]:[Type of Accommodation]],10,FALSE)</f>
        <v>Camp</v>
      </c>
      <c r="EM31" s="902" t="str">
        <f>VLOOKUP(WWWW[[#This Row],[Site Name]],SiteDB6[[Site Name]:[Ethnic or GCA/NGCA]],11,FALSE)</f>
        <v>GCA</v>
      </c>
      <c r="EN31" s="902">
        <f>VLOOKUP(WWWW[[#This Row],[Site Name]],SiteDB6[[Site Name]:[Lat]],12,FALSE)</f>
        <v>25.415482000000001</v>
      </c>
      <c r="EO31" s="902">
        <f>VLOOKUP(WWWW[[#This Row],[Site Name]],SiteDB6[[Site Name]:[Long]],13,FALSE)</f>
        <v>97.386718999999999</v>
      </c>
      <c r="EP31" s="902" t="str">
        <f>VLOOKUP(WWWW[[#This Row],[Site Name]],SiteDB6[[Site Name]:[Pcode]],3,FALSE)</f>
        <v>MMR001CMP001</v>
      </c>
      <c r="EQ31" s="907" t="str">
        <f t="shared" si="0"/>
        <v>Covered</v>
      </c>
      <c r="ER31" s="907" t="s">
        <v>3126</v>
      </c>
      <c r="ES31" s="907" t="s">
        <v>3126</v>
      </c>
      <c r="ET31" s="902">
        <f>VLOOKUP(WWWW[[#This Row],[Site Name]],SiteDB6[[Site Name]:[Pop
(Kachin/Shan-CCCM as of May 2023)]],16,FALSE)</f>
        <v>97</v>
      </c>
      <c r="EU31" s="902">
        <f>VLOOKUP(WWWW[[#This Row],[Site Name]],SiteDB6[[Site Name]:[Pop
(Kachin/Shan-CCCM as of May 2023)]],17,FALSE)</f>
        <v>539</v>
      </c>
    </row>
    <row r="32" spans="1:151" hidden="1">
      <c r="A32" s="900" t="s">
        <v>2961</v>
      </c>
      <c r="B32" s="901" t="s">
        <v>141</v>
      </c>
      <c r="C32" s="901" t="s">
        <v>141</v>
      </c>
      <c r="D32" s="901" t="s">
        <v>241</v>
      </c>
      <c r="E32" s="901" t="s">
        <v>37</v>
      </c>
      <c r="F32" s="901" t="s">
        <v>159</v>
      </c>
      <c r="G32" s="902" t="str">
        <f>VLOOKUP(WWWW[[#This Row],[Site Name]],SiteDB6[[Site Name]:[Location Type]],8,FALSE)</f>
        <v>Camp</v>
      </c>
      <c r="H32" s="901" t="s">
        <v>171</v>
      </c>
      <c r="I32" s="903">
        <v>32</v>
      </c>
      <c r="J32" s="903">
        <v>169</v>
      </c>
      <c r="K32" s="904">
        <v>44811</v>
      </c>
      <c r="L32" s="905">
        <v>45175</v>
      </c>
      <c r="M32" s="903"/>
      <c r="N32" s="903">
        <v>1</v>
      </c>
      <c r="O32" s="903"/>
      <c r="P32" s="903"/>
      <c r="Q32" s="906" t="s">
        <v>41</v>
      </c>
      <c r="R32" s="903">
        <v>2</v>
      </c>
      <c r="S32" s="903">
        <v>2</v>
      </c>
      <c r="T32" s="441">
        <v>3</v>
      </c>
      <c r="U32" s="903"/>
      <c r="V32" s="903"/>
      <c r="W32" s="903">
        <v>4</v>
      </c>
      <c r="X32" s="903"/>
      <c r="Y32" s="903"/>
      <c r="Z32" s="903"/>
      <c r="AA32" s="903"/>
      <c r="AB32" s="903"/>
      <c r="AC32" s="903"/>
      <c r="AD32" s="903"/>
      <c r="AE32" s="903"/>
      <c r="AF32" s="903"/>
      <c r="AG32" s="903"/>
      <c r="AH32" s="903">
        <v>3</v>
      </c>
      <c r="AI32" s="903"/>
      <c r="AJ32" s="903"/>
      <c r="AK32" s="903"/>
      <c r="AL32" s="903"/>
      <c r="AM32" s="903"/>
      <c r="AN32" s="903"/>
      <c r="AO32" s="441"/>
      <c r="AP32" s="907"/>
      <c r="AQ32" s="903">
        <v>5</v>
      </c>
      <c r="AR32" s="903"/>
      <c r="AS32" s="908"/>
      <c r="AT32" s="903"/>
      <c r="AU32" s="903"/>
      <c r="AV32" s="903"/>
      <c r="AW32" s="903"/>
      <c r="AX32" s="903">
        <v>5</v>
      </c>
      <c r="AY32" s="902" t="s">
        <v>41</v>
      </c>
      <c r="AZ32" s="907" t="s">
        <v>137</v>
      </c>
      <c r="BA32" s="903"/>
      <c r="BB32" s="903"/>
      <c r="BC32" s="903"/>
      <c r="BD32" s="441"/>
      <c r="BE32" s="441"/>
      <c r="BF32" s="902"/>
      <c r="BG32" s="903">
        <v>1</v>
      </c>
      <c r="BH32" s="903"/>
      <c r="BI32" s="903"/>
      <c r="BJ32" s="903">
        <v>3</v>
      </c>
      <c r="BK32" s="903"/>
      <c r="BL32" s="903"/>
      <c r="BM32" s="903"/>
      <c r="BN32" s="903"/>
      <c r="BO32" s="903"/>
      <c r="BP32" s="902"/>
      <c r="BQ32" s="909"/>
      <c r="BR32" s="908"/>
      <c r="BS32" s="902"/>
      <c r="BT32" s="416"/>
      <c r="BU32" s="416"/>
      <c r="BV32" s="418"/>
      <c r="BW32" s="416"/>
      <c r="BX32" s="441"/>
      <c r="BY32" s="441"/>
      <c r="BZ32" s="441"/>
      <c r="CA32" s="441"/>
      <c r="CB32" s="441"/>
      <c r="CC32" s="693"/>
      <c r="CD32" s="441"/>
      <c r="CE32" s="910" t="str">
        <f>IFERROR(WWWW[[#This Row],['#_Water sources passed]]/WWWW[[#This Row],['#_Water sources tested for fecal coliform ]],"no test")</f>
        <v>no test</v>
      </c>
      <c r="CF32" s="908" t="str">
        <f>IFERROR(WWWW[[#This Row],['#_Household passed]]/WWWW[[#This Row],['#_Household water samples tested for fecal coliform]],"no test")</f>
        <v>no test</v>
      </c>
      <c r="CG32" s="909" t="str">
        <f>IF(AND(WWWW[[#This Row],[% of water sources passed]]="no test",WWWW[[#This Row],[% Household passed]]="no test"),"No Test","Tested")</f>
        <v>No Test</v>
      </c>
      <c r="CH32" s="909">
        <f>WWWW[[#This Row],['#_Constructed/existing protected hand dug well]]-WWWW[[#This Row],['#_Non-functional protected hand dug well]]</f>
        <v>3</v>
      </c>
      <c r="CI32" s="909">
        <f>(WWWW[[#This Row],['#_Constructed/Existing tube wells/boreholes/handpumps_WASH_agency]]+WWWW[[#This Row],['#_Non-Cluster partner water tube-wells/boreholes/handpumps]])-WWWW[[#This Row],['#_Non-functional tube wells/boreholes/handpumps]]</f>
        <v>4</v>
      </c>
      <c r="CJ32" s="909">
        <f>WWWW[[#This Row],['#_Constructed/Existingwater storage tank with gravity fed reticulation system]]-WWWW[[#This Row],['#_Non-functional storage tank gravity fed reticulation system]]</f>
        <v>0</v>
      </c>
      <c r="CK32" s="909">
        <f>(WWWW[[#This Row],['#_Water_Liters_supplied_by_Water boating or water trucking]]/90)/15</f>
        <v>0</v>
      </c>
      <c r="CL32" s="909">
        <f>WWWW[[#This Row],['#_Water_Liters_from_Constructed/Existing water distribution system from river or natural spring]]/90/15</f>
        <v>0</v>
      </c>
      <c r="CM32" s="417">
        <f>IF(WWWW[[#This Row],['#_of water points in TLS/CFS]]*500&gt;WWWW[[#This Row],[Total PoP ]],WWWW[[#This Row],[Total PoP ]],WWWW[[#This Row],['#_of water points in TLS/CFS]]*500)</f>
        <v>0</v>
      </c>
      <c r="CN32" s="417">
        <f>IF(WWWW[[#This Row],['#_of water points in THF]]*500&gt;WWWW[[#This Row],[Total PoP ]],WWWW[[#This Row],[Total PoP ]],WWWW[[#This Row],['#_of water points in THF]]*500)</f>
        <v>0</v>
      </c>
      <c r="CO32" s="417"/>
      <c r="CP32"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2"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2" s="908">
        <f>IF(WWWW[[#This Row],[Location Type 1]]="Village",WWWW[[#This Row],[Access to safe drinking water for Village]],WWWW[[#This Row],[Access to safe drinking water for Camp]])</f>
        <v>1</v>
      </c>
      <c r="CS32" s="906">
        <f>WWWW[[#This Row],[%Equitable and continuous access to sufficient quantity of safe drinking water]]*WWWW[[#This Row],[Total PoP ]]</f>
        <v>169</v>
      </c>
      <c r="CT32" s="908">
        <f>IF((WWWW[[#This Row],['#_Constructed/Existing protected/fenced ponds]]*250)/WWWW[[#This Row],[Total PoP ]]&gt;1,1,(WWWW[[#This Row],['#_Constructed/Existing protected/fenced ponds]]*250)/WWWW[[#This Row],[Total PoP ]])</f>
        <v>0</v>
      </c>
      <c r="CU32" s="906">
        <f>WWWW[[#This Row],[% Access to unimproved water points]]*WWWW[[#This Row],[Total PoP ]]</f>
        <v>0</v>
      </c>
      <c r="CV32"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2"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169</v>
      </c>
      <c r="CX32" s="906">
        <f>WWWW[[#This Row],[HRP1]]/500</f>
        <v>0.33800000000000002</v>
      </c>
      <c r="CY32" s="911">
        <f>1-WWWW[[#This Row],[% Equitable and continuous access to sufficient quantity of domestic water]]</f>
        <v>0</v>
      </c>
      <c r="CZ32" s="906">
        <f>WWWW[[#This Row],[%equitable and continuous access to sufficient quantity of safe drinking and domestic water''s GAP]]*WWWW[[#This Row],[Total PoP ]]</f>
        <v>0</v>
      </c>
      <c r="DA32" s="909">
        <f>IF(WWWW[[#This Row],[Total required water points]]-WWWW[[#This Row],['#Water points coverage]]&lt;0,0,WWWW[[#This Row],[Total required water points]]-WWWW[[#This Row],['#Water points coverage]])</f>
        <v>0.66199999999999992</v>
      </c>
      <c r="DB32" s="909">
        <f>ROUND(IF(WWWW[[#This Row],[Total PoP ]]&lt;500,1,WWWW[[#This Row],[Total PoP ]]/500),0)</f>
        <v>1</v>
      </c>
      <c r="DC32" s="909">
        <f>(WWWW[[#This Row],['#_Constructed latrines_by_WASHAgencies]]+WWWW[[#This Row],['#_Non Cluster partner latrines]])-WWWW[[#This Row],['#_Non-functional latrines]]</f>
        <v>5</v>
      </c>
      <c r="DD32" s="615">
        <f>WWWW[[#This Row],[HRP2]]/WWWW[[#This Row],[Total PoP ]]</f>
        <v>0.59171597633136097</v>
      </c>
      <c r="DE32"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32"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2"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2" s="417">
        <f>IF(WWWW[[#This Row],['# of functional latrines in THF supported by WASH partners during the reporting period2]]="",0,WWWW[[#This Row],['# of functional latrines in THF supported by WASH partners during the reporting period2]]*50)</f>
        <v>0</v>
      </c>
      <c r="DI32" s="909">
        <f>ROUND(IF(WWWW[[#This Row],[Location Type 1]]="camp",WWWW[[#This Row],[Total PoP ]]/20,IF(WWWW[[#This Row],[Location Type 1]]="Temporary Location",WWWW[[#This Row],[Total PoP ]]/50,(WWWW[[#This Row],[Total PoP ]]/6))),0)</f>
        <v>8</v>
      </c>
      <c r="DJ32" s="909">
        <f>IF(WWWW[[#This Row],[Total required Latrines]]-(WWWW[[#This Row],['#_Constructed latrines_by_WASHAgencies]]+WWWW[[#This Row],['#_Non Cluster partner latrines]])&lt;0,0,WWWW[[#This Row],[Total required Latrines]]-(WWWW[[#This Row],['#_Constructed latrines_by_WASHAgencies]]+WWWW[[#This Row],['#_Non Cluster partner latrines]]))</f>
        <v>3</v>
      </c>
      <c r="DK32" s="911">
        <f>1-WWWW[[#This Row],[% people access to functioning Latrine]]</f>
        <v>0.40828402366863903</v>
      </c>
      <c r="DL32" s="910">
        <f>IF(OR(WWWW[[#This Row],['#_Non-functional latrines]]="",WWWW[[#This Row],['#_Non-functional latrines]]=0),0,WWWW[[#This Row],['#_Non-functional latrines]]/(WWWW[[#This Row],['#_Constructed latrines_by_WASHAgencies]]+WWWW[[#This Row],['#_Non Cluster partner latrines]]))</f>
        <v>0</v>
      </c>
      <c r="DM32" s="906">
        <f>IF(500*(WWWW[[#This Row],['#_male hygiene promoters]]+WWWW[[#This Row],['#_female hygiene promoters]])&gt;WWWW[[#This Row],[Total PoP ]],WWWW[[#This Row],[Total PoP ]],500*(WWWW[[#This Row],['#_male hygiene promoters]]+WWWW[[#This Row],['#_female hygiene promoters]]))</f>
        <v>0</v>
      </c>
      <c r="DN32"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2"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2" s="909">
        <f>IF(WWWW[[#This Row],['# People with access to soap]]&gt;WWWW[[#This Row],['# People with access to Sanity Pads]],WWWW[[#This Row],['# People with access to soap]],WWWW[[#This Row],['# People with access to Sanity Pads]])</f>
        <v>0</v>
      </c>
      <c r="DQ32"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2" s="911">
        <f>IF(WWWW[[#This Row],[HRP3]]/WWWW[[#This Row],[Total PoP ]]&gt;1,1,WWWW[[#This Row],[HRP3]]/WWWW[[#This Row],[Total PoP ]])</f>
        <v>0</v>
      </c>
      <c r="DS32" s="910">
        <f>1-WWWW[[#This Row],[Hygiene Coverage%]]</f>
        <v>1</v>
      </c>
      <c r="DT32" s="908">
        <f>WWWW[[#This Row],['# people reached by regular dedicated hygiene promotion_5]]/WWWW[[#This Row],[Total PoP ]]</f>
        <v>0</v>
      </c>
      <c r="DU32"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2"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2" s="909">
        <f>WWWW[[#This Row],['#_Constructed/Existing hand washing stations]]-WWWW[[#This Row],['#_Non-Functional_hand_washing_stations]]</f>
        <v>1</v>
      </c>
      <c r="DX32" s="906">
        <f>IF(WWWW[[#This Row],['# Functional hand washing stations during reporting period]]*20&gt;WWWW[[#This Row],[Total HH]],WWWW[[#This Row],[Total HH]],WWWW[[#This Row],['# Functional hand washing stations during reporting period]]*20)</f>
        <v>20</v>
      </c>
      <c r="DY32" s="906">
        <f>IF(WWWW[[#This Row],[Is sufficient soap available for TLS? (Yes/No)]]="yes",WWWW[[#This Row],['#_Constructed/Existing hand washing stations at TLS/CFS/THF]],0)</f>
        <v>0</v>
      </c>
      <c r="DZ32" s="421">
        <f>IF(WWWW[[#This Row],['# Functional hand washing stations during reporting period]]*100&gt;WWWW[[#This Row],[Total PoP ]],WWWW[[#This Row],[Total PoP ]],WWWW[[#This Row],['# Functional hand washing stations during reporting period]]*100)</f>
        <v>100</v>
      </c>
      <c r="EA32" s="421" t="str">
        <f>IF(OR(WWWW[[#This Row],['#_students at TLS_CFS]]="",WWWW[[#This Row],['#_students at TLS_CFS]]=0),"No","Yes")</f>
        <v>No</v>
      </c>
      <c r="EB3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2" s="566">
        <f>WWWW[[#This Row],[%_of_affected_people_surveyed_who_report_feeling_satistfied_with_the_latrine_design_and_sanitation_service]]*WWWW[[#This Row],[Total PoP ]]</f>
        <v>0</v>
      </c>
      <c r="ED32" s="566">
        <f>WWWW[[#This Row],[%_of_affected_people_surveyed_who_report_feeling_satistfied_with_the_water_point_design_and_water_service]]*WWWW[[#This Row],[Total PoP ]]</f>
        <v>0</v>
      </c>
      <c r="EE32" s="566">
        <f>WWWW[[#This Row],[%_of_complaints_received_that_result_in_timely_corrective_action_and_feedback_to_the_community]]*WWWW[[#This Row],[Total PoP ]]</f>
        <v>0</v>
      </c>
      <c r="EF3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2" s="902" t="str">
        <f>VLOOKUP(WWWW[[#This Row],[Site Name]],SiteDB6[[Site Name]:[CCCM Management]],6,FALSE)</f>
        <v>Yes</v>
      </c>
      <c r="EJ32" s="902" t="str">
        <f>VLOOKUP(WWWW[[#This Row],[Site Name]],SiteDB6[[Site Name]:[CCCM Focal Agency]],7,FALSE)</f>
        <v>KBC-MYT</v>
      </c>
      <c r="EK32" s="902" t="str">
        <f>VLOOKUP(WWWW[[#This Row],[Site Name]],SiteDB6[[Site Name]:[Location Type 1]],9,FALSE)</f>
        <v>Camp</v>
      </c>
      <c r="EL32" s="902" t="str">
        <f>VLOOKUP(WWWW[[#This Row],[Site Name]],SiteDB6[[Site Name]:[Type of Accommodation]],10,FALSE)</f>
        <v>Camp</v>
      </c>
      <c r="EM32" s="902" t="str">
        <f>VLOOKUP(WWWW[[#This Row],[Site Name]],SiteDB6[[Site Name]:[Ethnic or GCA/NGCA]],11,FALSE)</f>
        <v>GCA</v>
      </c>
      <c r="EN32" s="902">
        <f>VLOOKUP(WWWW[[#This Row],[Site Name]],SiteDB6[[Site Name]:[Lat]],12,FALSE)</f>
        <v>25.404752999999999</v>
      </c>
      <c r="EO32" s="902">
        <f>VLOOKUP(WWWW[[#This Row],[Site Name]],SiteDB6[[Site Name]:[Long]],13,FALSE)</f>
        <v>97.377662999999998</v>
      </c>
      <c r="EP32" s="902" t="str">
        <f>VLOOKUP(WWWW[[#This Row],[Site Name]],SiteDB6[[Site Name]:[Pcode]],3,FALSE)</f>
        <v>MMR001CMP003</v>
      </c>
      <c r="EQ32" s="907" t="str">
        <f t="shared" si="0"/>
        <v>Covered</v>
      </c>
      <c r="ER32" s="907" t="s">
        <v>3126</v>
      </c>
      <c r="ES32" s="907" t="s">
        <v>3126</v>
      </c>
      <c r="ET32" s="902">
        <f>VLOOKUP(WWWW[[#This Row],[Site Name]],SiteDB6[[Site Name]:[Pop
(Kachin/Shan-CCCM as of May 2023)]],16,FALSE)</f>
        <v>28</v>
      </c>
      <c r="EU32" s="902">
        <f>VLOOKUP(WWWW[[#This Row],[Site Name]],SiteDB6[[Site Name]:[Pop
(Kachin/Shan-CCCM as of May 2023)]],17,FALSE)</f>
        <v>137</v>
      </c>
    </row>
    <row r="33" spans="1:151" hidden="1">
      <c r="A33" s="900" t="s">
        <v>2961</v>
      </c>
      <c r="B33" s="901" t="s">
        <v>141</v>
      </c>
      <c r="C33" s="901" t="s">
        <v>141</v>
      </c>
      <c r="D33" s="901" t="s">
        <v>241</v>
      </c>
      <c r="E33" s="901" t="s">
        <v>37</v>
      </c>
      <c r="F33" s="901" t="s">
        <v>159</v>
      </c>
      <c r="G33" s="902" t="str">
        <f>VLOOKUP(WWWW[[#This Row],[Site Name]],SiteDB6[[Site Name]:[Location Type]],8,FALSE)</f>
        <v>Camp</v>
      </c>
      <c r="H33" s="901" t="s">
        <v>172</v>
      </c>
      <c r="I33" s="903">
        <v>47</v>
      </c>
      <c r="J33" s="903">
        <v>241</v>
      </c>
      <c r="K33" s="904">
        <v>44811</v>
      </c>
      <c r="L33" s="905">
        <v>45175</v>
      </c>
      <c r="M33" s="903"/>
      <c r="N33" s="903">
        <v>1</v>
      </c>
      <c r="O33" s="903"/>
      <c r="P33" s="903"/>
      <c r="Q33" s="906" t="s">
        <v>41</v>
      </c>
      <c r="R33" s="903">
        <v>2</v>
      </c>
      <c r="S33" s="903">
        <v>3</v>
      </c>
      <c r="T33" s="441">
        <v>2</v>
      </c>
      <c r="U33" s="903"/>
      <c r="V33" s="903"/>
      <c r="W33" s="903">
        <v>1</v>
      </c>
      <c r="X33" s="903"/>
      <c r="Y33" s="903"/>
      <c r="Z33" s="903"/>
      <c r="AA33" s="903"/>
      <c r="AB33" s="903"/>
      <c r="AC33" s="903"/>
      <c r="AD33" s="903"/>
      <c r="AE33" s="903"/>
      <c r="AF33" s="903"/>
      <c r="AG33" s="903"/>
      <c r="AH33" s="903">
        <v>3</v>
      </c>
      <c r="AI33" s="903"/>
      <c r="AJ33" s="903"/>
      <c r="AK33" s="903"/>
      <c r="AL33" s="903"/>
      <c r="AM33" s="903"/>
      <c r="AN33" s="903"/>
      <c r="AO33" s="441"/>
      <c r="AP33" s="907"/>
      <c r="AQ33" s="903">
        <v>13</v>
      </c>
      <c r="AR33" s="903"/>
      <c r="AS33" s="908"/>
      <c r="AT33" s="903"/>
      <c r="AU33" s="903"/>
      <c r="AV33" s="903"/>
      <c r="AW33" s="903"/>
      <c r="AX33" s="903">
        <v>13</v>
      </c>
      <c r="AY33" s="902" t="s">
        <v>41</v>
      </c>
      <c r="AZ33" s="907" t="s">
        <v>137</v>
      </c>
      <c r="BA33" s="903"/>
      <c r="BB33" s="903"/>
      <c r="BC33" s="903"/>
      <c r="BD33" s="441"/>
      <c r="BE33" s="441"/>
      <c r="BF33" s="902"/>
      <c r="BG33" s="903">
        <v>1</v>
      </c>
      <c r="BH33" s="903"/>
      <c r="BI33" s="903"/>
      <c r="BJ33" s="903">
        <v>1</v>
      </c>
      <c r="BK33" s="903"/>
      <c r="BL33" s="903"/>
      <c r="BM33" s="903"/>
      <c r="BN33" s="903"/>
      <c r="BO33" s="903"/>
      <c r="BP33" s="902"/>
      <c r="BQ33" s="909"/>
      <c r="BR33" s="908"/>
      <c r="BS33" s="902"/>
      <c r="BT33" s="416"/>
      <c r="BU33" s="416"/>
      <c r="BV33" s="418"/>
      <c r="BW33" s="416"/>
      <c r="BX33" s="441"/>
      <c r="BY33" s="441"/>
      <c r="BZ33" s="441"/>
      <c r="CA33" s="441"/>
      <c r="CB33" s="441"/>
      <c r="CC33" s="693"/>
      <c r="CD33" s="441"/>
      <c r="CE33" s="910" t="str">
        <f>IFERROR(WWWW[[#This Row],['#_Water sources passed]]/WWWW[[#This Row],['#_Water sources tested for fecal coliform ]],"no test")</f>
        <v>no test</v>
      </c>
      <c r="CF33" s="908" t="str">
        <f>IFERROR(WWWW[[#This Row],['#_Household passed]]/WWWW[[#This Row],['#_Household water samples tested for fecal coliform]],"no test")</f>
        <v>no test</v>
      </c>
      <c r="CG33" s="909" t="str">
        <f>IF(AND(WWWW[[#This Row],[% of water sources passed]]="no test",WWWW[[#This Row],[% Household passed]]="no test"),"No Test","Tested")</f>
        <v>No Test</v>
      </c>
      <c r="CH33" s="909">
        <f>WWWW[[#This Row],['#_Constructed/existing protected hand dug well]]-WWWW[[#This Row],['#_Non-functional protected hand dug well]]</f>
        <v>2</v>
      </c>
      <c r="CI33" s="909">
        <f>(WWWW[[#This Row],['#_Constructed/Existing tube wells/boreholes/handpumps_WASH_agency]]+WWWW[[#This Row],['#_Non-Cluster partner water tube-wells/boreholes/handpumps]])-WWWW[[#This Row],['#_Non-functional tube wells/boreholes/handpumps]]</f>
        <v>1</v>
      </c>
      <c r="CJ33" s="909">
        <f>WWWW[[#This Row],['#_Constructed/Existingwater storage tank with gravity fed reticulation system]]-WWWW[[#This Row],['#_Non-functional storage tank gravity fed reticulation system]]</f>
        <v>0</v>
      </c>
      <c r="CK33" s="909">
        <f>(WWWW[[#This Row],['#_Water_Liters_supplied_by_Water boating or water trucking]]/90)/15</f>
        <v>0</v>
      </c>
      <c r="CL33" s="909">
        <f>WWWW[[#This Row],['#_Water_Liters_from_Constructed/Existing water distribution system from river or natural spring]]/90/15</f>
        <v>0</v>
      </c>
      <c r="CM33" s="417">
        <f>IF(WWWW[[#This Row],['#_of water points in TLS/CFS]]*500&gt;WWWW[[#This Row],[Total PoP ]],WWWW[[#This Row],[Total PoP ]],WWWW[[#This Row],['#_of water points in TLS/CFS]]*500)</f>
        <v>0</v>
      </c>
      <c r="CN33" s="417">
        <f>IF(WWWW[[#This Row],['#_of water points in THF]]*500&gt;WWWW[[#This Row],[Total PoP ]],WWWW[[#This Row],[Total PoP ]],WWWW[[#This Row],['#_of water points in THF]]*500)</f>
        <v>0</v>
      </c>
      <c r="CO33" s="417"/>
      <c r="CP33"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3"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3" s="908">
        <f>IF(WWWW[[#This Row],[Location Type 1]]="Village",WWWW[[#This Row],[Access to safe drinking water for Village]],WWWW[[#This Row],[Access to safe drinking water for Camp]])</f>
        <v>1</v>
      </c>
      <c r="CS33" s="906">
        <f>WWWW[[#This Row],[%Equitable and continuous access to sufficient quantity of safe drinking water]]*WWWW[[#This Row],[Total PoP ]]</f>
        <v>241</v>
      </c>
      <c r="CT33" s="908">
        <f>IF((WWWW[[#This Row],['#_Constructed/Existing protected/fenced ponds]]*250)/WWWW[[#This Row],[Total PoP ]]&gt;1,1,(WWWW[[#This Row],['#_Constructed/Existing protected/fenced ponds]]*250)/WWWW[[#This Row],[Total PoP ]])</f>
        <v>0</v>
      </c>
      <c r="CU33" s="906">
        <f>WWWW[[#This Row],[% Access to unimproved water points]]*WWWW[[#This Row],[Total PoP ]]</f>
        <v>0</v>
      </c>
      <c r="CV33"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3"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241</v>
      </c>
      <c r="CX33" s="906">
        <f>WWWW[[#This Row],[HRP1]]/500</f>
        <v>0.48199999999999998</v>
      </c>
      <c r="CY33" s="911">
        <f>1-WWWW[[#This Row],[% Equitable and continuous access to sufficient quantity of domestic water]]</f>
        <v>0</v>
      </c>
      <c r="CZ33" s="906">
        <f>WWWW[[#This Row],[%equitable and continuous access to sufficient quantity of safe drinking and domestic water''s GAP]]*WWWW[[#This Row],[Total PoP ]]</f>
        <v>0</v>
      </c>
      <c r="DA33" s="909">
        <f>IF(WWWW[[#This Row],[Total required water points]]-WWWW[[#This Row],['#Water points coverage]]&lt;0,0,WWWW[[#This Row],[Total required water points]]-WWWW[[#This Row],['#Water points coverage]])</f>
        <v>0.51800000000000002</v>
      </c>
      <c r="DB33" s="909">
        <f>ROUND(IF(WWWW[[#This Row],[Total PoP ]]&lt;500,1,WWWW[[#This Row],[Total PoP ]]/500),0)</f>
        <v>1</v>
      </c>
      <c r="DC33" s="909">
        <f>(WWWW[[#This Row],['#_Constructed latrines_by_WASHAgencies]]+WWWW[[#This Row],['#_Non Cluster partner latrines]])-WWWW[[#This Row],['#_Non-functional latrines]]</f>
        <v>13</v>
      </c>
      <c r="DD33" s="615">
        <f>WWWW[[#This Row],[HRP2]]/WWWW[[#This Row],[Total PoP ]]</f>
        <v>1</v>
      </c>
      <c r="DE33"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241</v>
      </c>
      <c r="DF33"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3"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3" s="417">
        <f>IF(WWWW[[#This Row],['# of functional latrines in THF supported by WASH partners during the reporting period2]]="",0,WWWW[[#This Row],['# of functional latrines in THF supported by WASH partners during the reporting period2]]*50)</f>
        <v>0</v>
      </c>
      <c r="DI33" s="909">
        <f>ROUND(IF(WWWW[[#This Row],[Location Type 1]]="camp",WWWW[[#This Row],[Total PoP ]]/20,IF(WWWW[[#This Row],[Location Type 1]]="Temporary Location",WWWW[[#This Row],[Total PoP ]]/50,(WWWW[[#This Row],[Total PoP ]]/6))),0)</f>
        <v>12</v>
      </c>
      <c r="DJ33" s="909">
        <f>IF(WWWW[[#This Row],[Total required Latrines]]-(WWWW[[#This Row],['#_Constructed latrines_by_WASHAgencies]]+WWWW[[#This Row],['#_Non Cluster partner latrines]])&lt;0,0,WWWW[[#This Row],[Total required Latrines]]-(WWWW[[#This Row],['#_Constructed latrines_by_WASHAgencies]]+WWWW[[#This Row],['#_Non Cluster partner latrines]]))</f>
        <v>0</v>
      </c>
      <c r="DK33" s="911">
        <f>1-WWWW[[#This Row],[% people access to functioning Latrine]]</f>
        <v>0</v>
      </c>
      <c r="DL33" s="910">
        <f>IF(OR(WWWW[[#This Row],['#_Non-functional latrines]]="",WWWW[[#This Row],['#_Non-functional latrines]]=0),0,WWWW[[#This Row],['#_Non-functional latrines]]/(WWWW[[#This Row],['#_Constructed latrines_by_WASHAgencies]]+WWWW[[#This Row],['#_Non Cluster partner latrines]]))</f>
        <v>0</v>
      </c>
      <c r="DM33" s="906">
        <f>IF(500*(WWWW[[#This Row],['#_male hygiene promoters]]+WWWW[[#This Row],['#_female hygiene promoters]])&gt;WWWW[[#This Row],[Total PoP ]],WWWW[[#This Row],[Total PoP ]],500*(WWWW[[#This Row],['#_male hygiene promoters]]+WWWW[[#This Row],['#_female hygiene promoters]]))</f>
        <v>0</v>
      </c>
      <c r="DN33"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3"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3" s="909">
        <f>IF(WWWW[[#This Row],['# People with access to soap]]&gt;WWWW[[#This Row],['# People with access to Sanity Pads]],WWWW[[#This Row],['# People with access to soap]],WWWW[[#This Row],['# People with access to Sanity Pads]])</f>
        <v>0</v>
      </c>
      <c r="DQ33"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3" s="911">
        <f>IF(WWWW[[#This Row],[HRP3]]/WWWW[[#This Row],[Total PoP ]]&gt;1,1,WWWW[[#This Row],[HRP3]]/WWWW[[#This Row],[Total PoP ]])</f>
        <v>0</v>
      </c>
      <c r="DS33" s="910">
        <f>1-WWWW[[#This Row],[Hygiene Coverage%]]</f>
        <v>1</v>
      </c>
      <c r="DT33" s="908">
        <f>WWWW[[#This Row],['# people reached by regular dedicated hygiene promotion_5]]/WWWW[[#This Row],[Total PoP ]]</f>
        <v>0</v>
      </c>
      <c r="DU33"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3"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3" s="909">
        <f>WWWW[[#This Row],['#_Constructed/Existing hand washing stations]]-WWWW[[#This Row],['#_Non-Functional_hand_washing_stations]]</f>
        <v>1</v>
      </c>
      <c r="DX33" s="906">
        <f>IF(WWWW[[#This Row],['# Functional hand washing stations during reporting period]]*20&gt;WWWW[[#This Row],[Total HH]],WWWW[[#This Row],[Total HH]],WWWW[[#This Row],['# Functional hand washing stations during reporting period]]*20)</f>
        <v>20</v>
      </c>
      <c r="DY33" s="906">
        <f>IF(WWWW[[#This Row],[Is sufficient soap available for TLS? (Yes/No)]]="yes",WWWW[[#This Row],['#_Constructed/Existing hand washing stations at TLS/CFS/THF]],0)</f>
        <v>0</v>
      </c>
      <c r="DZ33" s="421">
        <f>IF(WWWW[[#This Row],['# Functional hand washing stations during reporting period]]*100&gt;WWWW[[#This Row],[Total PoP ]],WWWW[[#This Row],[Total PoP ]],WWWW[[#This Row],['# Functional hand washing stations during reporting period]]*100)</f>
        <v>100</v>
      </c>
      <c r="EA33" s="421" t="str">
        <f>IF(OR(WWWW[[#This Row],['#_students at TLS_CFS]]="",WWWW[[#This Row],['#_students at TLS_CFS]]=0),"No","Yes")</f>
        <v>No</v>
      </c>
      <c r="EB3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3" s="566">
        <f>WWWW[[#This Row],[%_of_affected_people_surveyed_who_report_feeling_satistfied_with_the_latrine_design_and_sanitation_service]]*WWWW[[#This Row],[Total PoP ]]</f>
        <v>0</v>
      </c>
      <c r="ED33" s="566">
        <f>WWWW[[#This Row],[%_of_affected_people_surveyed_who_report_feeling_satistfied_with_the_water_point_design_and_water_service]]*WWWW[[#This Row],[Total PoP ]]</f>
        <v>0</v>
      </c>
      <c r="EE33" s="566">
        <f>WWWW[[#This Row],[%_of_complaints_received_that_result_in_timely_corrective_action_and_feedback_to_the_community]]*WWWW[[#This Row],[Total PoP ]]</f>
        <v>0</v>
      </c>
      <c r="EF3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3" s="902" t="str">
        <f>VLOOKUP(WWWW[[#This Row],[Site Name]],SiteDB6[[Site Name]:[CCCM Management]],6,FALSE)</f>
        <v>Yes</v>
      </c>
      <c r="EJ33" s="902" t="str">
        <f>VLOOKUP(WWWW[[#This Row],[Site Name]],SiteDB6[[Site Name]:[CCCM Focal Agency]],7,FALSE)</f>
        <v>KBC-MYT</v>
      </c>
      <c r="EK33" s="902" t="str">
        <f>VLOOKUP(WWWW[[#This Row],[Site Name]],SiteDB6[[Site Name]:[Location Type 1]],9,FALSE)</f>
        <v>Camp</v>
      </c>
      <c r="EL33" s="902" t="str">
        <f>VLOOKUP(WWWW[[#This Row],[Site Name]],SiteDB6[[Site Name]:[Type of Accommodation]],10,FALSE)</f>
        <v>Camp</v>
      </c>
      <c r="EM33" s="902" t="str">
        <f>VLOOKUP(WWWW[[#This Row],[Site Name]],SiteDB6[[Site Name]:[Ethnic or GCA/NGCA]],11,FALSE)</f>
        <v>GCA</v>
      </c>
      <c r="EN33" s="902">
        <f>VLOOKUP(WWWW[[#This Row],[Site Name]],SiteDB6[[Site Name]:[Lat]],12,FALSE)</f>
        <v>25.437125999999999</v>
      </c>
      <c r="EO33" s="902">
        <f>VLOOKUP(WWWW[[#This Row],[Site Name]],SiteDB6[[Site Name]:[Long]],13,FALSE)</f>
        <v>97.387276</v>
      </c>
      <c r="EP33" s="902" t="str">
        <f>VLOOKUP(WWWW[[#This Row],[Site Name]],SiteDB6[[Site Name]:[Pcode]],3,FALSE)</f>
        <v>MMR001CMP005</v>
      </c>
      <c r="EQ33" s="907" t="str">
        <f t="shared" si="0"/>
        <v>Covered</v>
      </c>
      <c r="ER33" s="907" t="s">
        <v>3126</v>
      </c>
      <c r="ES33" s="907" t="s">
        <v>3126</v>
      </c>
      <c r="ET33" s="902">
        <f>VLOOKUP(WWWW[[#This Row],[Site Name]],SiteDB6[[Site Name]:[Pop
(Kachin/Shan-CCCM as of May 2023)]],16,FALSE)</f>
        <v>47</v>
      </c>
      <c r="EU33" s="902">
        <f>VLOOKUP(WWWW[[#This Row],[Site Name]],SiteDB6[[Site Name]:[Pop
(Kachin/Shan-CCCM as of May 2023)]],17,FALSE)</f>
        <v>240</v>
      </c>
    </row>
    <row r="34" spans="1:151" hidden="1">
      <c r="A34" s="900" t="s">
        <v>2961</v>
      </c>
      <c r="B34" s="901" t="s">
        <v>141</v>
      </c>
      <c r="C34" s="901" t="s">
        <v>141</v>
      </c>
      <c r="D34" s="901" t="s">
        <v>241</v>
      </c>
      <c r="E34" s="901" t="s">
        <v>37</v>
      </c>
      <c r="F34" s="901" t="s">
        <v>159</v>
      </c>
      <c r="G34" s="902" t="str">
        <f>VLOOKUP(WWWW[[#This Row],[Site Name]],SiteDB6[[Site Name]:[Location Type]],8,FALSE)</f>
        <v>Camp</v>
      </c>
      <c r="H34" s="901" t="s">
        <v>1609</v>
      </c>
      <c r="I34" s="903">
        <v>156</v>
      </c>
      <c r="J34" s="903">
        <v>973</v>
      </c>
      <c r="K34" s="904">
        <v>44811</v>
      </c>
      <c r="L34" s="905">
        <v>45175</v>
      </c>
      <c r="M34" s="903"/>
      <c r="N34" s="903">
        <v>2</v>
      </c>
      <c r="O34" s="903"/>
      <c r="P34" s="903"/>
      <c r="Q34" s="906" t="s">
        <v>41</v>
      </c>
      <c r="R34" s="903">
        <v>2</v>
      </c>
      <c r="S34" s="903">
        <v>3</v>
      </c>
      <c r="T34" s="441">
        <v>2</v>
      </c>
      <c r="U34" s="903"/>
      <c r="V34" s="903"/>
      <c r="W34" s="903">
        <v>3</v>
      </c>
      <c r="X34" s="903"/>
      <c r="Y34" s="903"/>
      <c r="Z34" s="903"/>
      <c r="AA34" s="903"/>
      <c r="AB34" s="903"/>
      <c r="AC34" s="903"/>
      <c r="AD34" s="903"/>
      <c r="AE34" s="903"/>
      <c r="AF34" s="903"/>
      <c r="AG34" s="903"/>
      <c r="AH34" s="903">
        <v>4</v>
      </c>
      <c r="AI34" s="903"/>
      <c r="AJ34" s="903"/>
      <c r="AK34" s="903"/>
      <c r="AL34" s="903"/>
      <c r="AM34" s="903"/>
      <c r="AN34" s="903"/>
      <c r="AO34" s="441"/>
      <c r="AP34" s="907"/>
      <c r="AQ34" s="903">
        <v>28</v>
      </c>
      <c r="AR34" s="903"/>
      <c r="AS34" s="908"/>
      <c r="AT34" s="903"/>
      <c r="AU34" s="903"/>
      <c r="AV34" s="903"/>
      <c r="AW34" s="903"/>
      <c r="AX34" s="903">
        <v>10</v>
      </c>
      <c r="AY34" s="902" t="s">
        <v>41</v>
      </c>
      <c r="AZ34" s="907" t="s">
        <v>137</v>
      </c>
      <c r="BA34" s="903"/>
      <c r="BB34" s="903"/>
      <c r="BC34" s="903"/>
      <c r="BD34" s="441"/>
      <c r="BE34" s="441"/>
      <c r="BF34" s="902"/>
      <c r="BG34" s="903">
        <v>3</v>
      </c>
      <c r="BH34" s="903"/>
      <c r="BI34" s="903"/>
      <c r="BJ34" s="903">
        <v>2</v>
      </c>
      <c r="BK34" s="903"/>
      <c r="BL34" s="903">
        <v>1</v>
      </c>
      <c r="BM34" s="903"/>
      <c r="BN34" s="903"/>
      <c r="BO34" s="903"/>
      <c r="BP34" s="902"/>
      <c r="BQ34" s="909"/>
      <c r="BR34" s="908"/>
      <c r="BS34" s="902"/>
      <c r="BT34" s="416"/>
      <c r="BU34" s="416"/>
      <c r="BV34" s="418"/>
      <c r="BW34" s="416"/>
      <c r="BX34" s="441"/>
      <c r="BY34" s="441"/>
      <c r="BZ34" s="441"/>
      <c r="CA34" s="441"/>
      <c r="CB34" s="441"/>
      <c r="CC34" s="693"/>
      <c r="CD34" s="441"/>
      <c r="CE34" s="910" t="str">
        <f>IFERROR(WWWW[[#This Row],['#_Water sources passed]]/WWWW[[#This Row],['#_Water sources tested for fecal coliform ]],"no test")</f>
        <v>no test</v>
      </c>
      <c r="CF34" s="908" t="str">
        <f>IFERROR(WWWW[[#This Row],['#_Household passed]]/WWWW[[#This Row],['#_Household water samples tested for fecal coliform]],"no test")</f>
        <v>no test</v>
      </c>
      <c r="CG34" s="909" t="str">
        <f>IF(AND(WWWW[[#This Row],[% of water sources passed]]="no test",WWWW[[#This Row],[% Household passed]]="no test"),"No Test","Tested")</f>
        <v>No Test</v>
      </c>
      <c r="CH34" s="909">
        <f>WWWW[[#This Row],['#_Constructed/existing protected hand dug well]]-WWWW[[#This Row],['#_Non-functional protected hand dug well]]</f>
        <v>2</v>
      </c>
      <c r="CI34" s="909">
        <f>(WWWW[[#This Row],['#_Constructed/Existing tube wells/boreholes/handpumps_WASH_agency]]+WWWW[[#This Row],['#_Non-Cluster partner water tube-wells/boreholes/handpumps]])-WWWW[[#This Row],['#_Non-functional tube wells/boreholes/handpumps]]</f>
        <v>3</v>
      </c>
      <c r="CJ34" s="909">
        <f>WWWW[[#This Row],['#_Constructed/Existingwater storage tank with gravity fed reticulation system]]-WWWW[[#This Row],['#_Non-functional storage tank gravity fed reticulation system]]</f>
        <v>0</v>
      </c>
      <c r="CK34" s="909">
        <f>(WWWW[[#This Row],['#_Water_Liters_supplied_by_Water boating or water trucking]]/90)/15</f>
        <v>0</v>
      </c>
      <c r="CL34" s="909">
        <f>WWWW[[#This Row],['#_Water_Liters_from_Constructed/Existing water distribution system from river or natural spring]]/90/15</f>
        <v>0</v>
      </c>
      <c r="CM34" s="417">
        <f>IF(WWWW[[#This Row],['#_of water points in TLS/CFS]]*500&gt;WWWW[[#This Row],[Total PoP ]],WWWW[[#This Row],[Total PoP ]],WWWW[[#This Row],['#_of water points in TLS/CFS]]*500)</f>
        <v>0</v>
      </c>
      <c r="CN34" s="417">
        <f>IF(WWWW[[#This Row],['#_of water points in THF]]*500&gt;WWWW[[#This Row],[Total PoP ]],WWWW[[#This Row],[Total PoP ]],WWWW[[#This Row],['#_of water points in THF]]*500)</f>
        <v>0</v>
      </c>
      <c r="CO34" s="417"/>
      <c r="CP34"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4"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4" s="908">
        <f>IF(WWWW[[#This Row],[Location Type 1]]="Village",WWWW[[#This Row],[Access to safe drinking water for Village]],WWWW[[#This Row],[Access to safe drinking water for Camp]])</f>
        <v>1</v>
      </c>
      <c r="CS34" s="906">
        <f>WWWW[[#This Row],[%Equitable and continuous access to sufficient quantity of safe drinking water]]*WWWW[[#This Row],[Total PoP ]]</f>
        <v>973</v>
      </c>
      <c r="CT34" s="908">
        <f>IF((WWWW[[#This Row],['#_Constructed/Existing protected/fenced ponds]]*250)/WWWW[[#This Row],[Total PoP ]]&gt;1,1,(WWWW[[#This Row],['#_Constructed/Existing protected/fenced ponds]]*250)/WWWW[[#This Row],[Total PoP ]])</f>
        <v>0</v>
      </c>
      <c r="CU34" s="906">
        <f>WWWW[[#This Row],[% Access to unimproved water points]]*WWWW[[#This Row],[Total PoP ]]</f>
        <v>0</v>
      </c>
      <c r="CV34"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4"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973</v>
      </c>
      <c r="CX34" s="906">
        <f>WWWW[[#This Row],[HRP1]]/500</f>
        <v>1.946</v>
      </c>
      <c r="CY34" s="911">
        <f>1-WWWW[[#This Row],[% Equitable and continuous access to sufficient quantity of domestic water]]</f>
        <v>0</v>
      </c>
      <c r="CZ34" s="906">
        <f>WWWW[[#This Row],[%equitable and continuous access to sufficient quantity of safe drinking and domestic water''s GAP]]*WWWW[[#This Row],[Total PoP ]]</f>
        <v>0</v>
      </c>
      <c r="DA34" s="909">
        <f>IF(WWWW[[#This Row],[Total required water points]]-WWWW[[#This Row],['#Water points coverage]]&lt;0,0,WWWW[[#This Row],[Total required water points]]-WWWW[[#This Row],['#Water points coverage]])</f>
        <v>5.4000000000000048E-2</v>
      </c>
      <c r="DB34" s="909">
        <f>ROUND(IF(WWWW[[#This Row],[Total PoP ]]&lt;500,1,WWWW[[#This Row],[Total PoP ]]/500),0)</f>
        <v>2</v>
      </c>
      <c r="DC34" s="909">
        <f>(WWWW[[#This Row],['#_Constructed latrines_by_WASHAgencies]]+WWWW[[#This Row],['#_Non Cluster partner latrines]])-WWWW[[#This Row],['#_Non-functional latrines]]</f>
        <v>28</v>
      </c>
      <c r="DD34" s="615">
        <f>WWWW[[#This Row],[HRP2]]/WWWW[[#This Row],[Total PoP ]]</f>
        <v>0.57553956834532372</v>
      </c>
      <c r="DE34"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560</v>
      </c>
      <c r="DF34"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4"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4" s="417">
        <f>IF(WWWW[[#This Row],['# of functional latrines in THF supported by WASH partners during the reporting period2]]="",0,WWWW[[#This Row],['# of functional latrines in THF supported by WASH partners during the reporting period2]]*50)</f>
        <v>0</v>
      </c>
      <c r="DI34" s="909">
        <f>ROUND(IF(WWWW[[#This Row],[Location Type 1]]="camp",WWWW[[#This Row],[Total PoP ]]/20,IF(WWWW[[#This Row],[Location Type 1]]="Temporary Location",WWWW[[#This Row],[Total PoP ]]/50,(WWWW[[#This Row],[Total PoP ]]/6))),0)</f>
        <v>49</v>
      </c>
      <c r="DJ34" s="909">
        <f>IF(WWWW[[#This Row],[Total required Latrines]]-(WWWW[[#This Row],['#_Constructed latrines_by_WASHAgencies]]+WWWW[[#This Row],['#_Non Cluster partner latrines]])&lt;0,0,WWWW[[#This Row],[Total required Latrines]]-(WWWW[[#This Row],['#_Constructed latrines_by_WASHAgencies]]+WWWW[[#This Row],['#_Non Cluster partner latrines]]))</f>
        <v>21</v>
      </c>
      <c r="DK34" s="911">
        <f>1-WWWW[[#This Row],[% people access to functioning Latrine]]</f>
        <v>0.42446043165467628</v>
      </c>
      <c r="DL34" s="910">
        <f>IF(OR(WWWW[[#This Row],['#_Non-functional latrines]]="",WWWW[[#This Row],['#_Non-functional latrines]]=0),0,WWWW[[#This Row],['#_Non-functional latrines]]/(WWWW[[#This Row],['#_Constructed latrines_by_WASHAgencies]]+WWWW[[#This Row],['#_Non Cluster partner latrines]]))</f>
        <v>0</v>
      </c>
      <c r="DM34" s="906">
        <f>IF(500*(WWWW[[#This Row],['#_male hygiene promoters]]+WWWW[[#This Row],['#_female hygiene promoters]])&gt;WWWW[[#This Row],[Total PoP ]],WWWW[[#This Row],[Total PoP ]],500*(WWWW[[#This Row],['#_male hygiene promoters]]+WWWW[[#This Row],['#_female hygiene promoters]]))</f>
        <v>500</v>
      </c>
      <c r="DN34"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4"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4" s="909">
        <f>IF(WWWW[[#This Row],['# People with access to soap]]&gt;WWWW[[#This Row],['# People with access to Sanity Pads]],WWWW[[#This Row],['# People with access to soap]],WWWW[[#This Row],['# People with access to Sanity Pads]])</f>
        <v>0</v>
      </c>
      <c r="DQ34" s="909">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34" s="911">
        <f>IF(WWWW[[#This Row],[HRP3]]/WWWW[[#This Row],[Total PoP ]]&gt;1,1,WWWW[[#This Row],[HRP3]]/WWWW[[#This Row],[Total PoP ]])</f>
        <v>0.51387461459403905</v>
      </c>
      <c r="DS34" s="910">
        <f>1-WWWW[[#This Row],[Hygiene Coverage%]]</f>
        <v>0.48612538540596095</v>
      </c>
      <c r="DT34" s="908">
        <f>WWWW[[#This Row],['# people reached by regular dedicated hygiene promotion_5]]/WWWW[[#This Row],[Total PoP ]]</f>
        <v>0.51387461459403905</v>
      </c>
      <c r="DU34"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4"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4" s="909">
        <f>WWWW[[#This Row],['#_Constructed/Existing hand washing stations]]-WWWW[[#This Row],['#_Non-Functional_hand_washing_stations]]</f>
        <v>3</v>
      </c>
      <c r="DX34" s="906">
        <f>IF(WWWW[[#This Row],['# Functional hand washing stations during reporting period]]*20&gt;WWWW[[#This Row],[Total HH]],WWWW[[#This Row],[Total HH]],WWWW[[#This Row],['# Functional hand washing stations during reporting period]]*20)</f>
        <v>60</v>
      </c>
      <c r="DY34" s="906">
        <f>IF(WWWW[[#This Row],[Is sufficient soap available for TLS? (Yes/No)]]="yes",WWWW[[#This Row],['#_Constructed/Existing hand washing stations at TLS/CFS/THF]],0)</f>
        <v>0</v>
      </c>
      <c r="DZ34" s="421">
        <f>IF(WWWW[[#This Row],['# Functional hand washing stations during reporting period]]*100&gt;WWWW[[#This Row],[Total PoP ]],WWWW[[#This Row],[Total PoP ]],WWWW[[#This Row],['# Functional hand washing stations during reporting period]]*100)</f>
        <v>300</v>
      </c>
      <c r="EA34" s="421" t="str">
        <f>IF(OR(WWWW[[#This Row],['#_students at TLS_CFS]]="",WWWW[[#This Row],['#_students at TLS_CFS]]=0),"No","Yes")</f>
        <v>No</v>
      </c>
      <c r="EB3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4" s="566">
        <f>WWWW[[#This Row],[%_of_affected_people_surveyed_who_report_feeling_satistfied_with_the_latrine_design_and_sanitation_service]]*WWWW[[#This Row],[Total PoP ]]</f>
        <v>0</v>
      </c>
      <c r="ED34" s="566">
        <f>WWWW[[#This Row],[%_of_affected_people_surveyed_who_report_feeling_satistfied_with_the_water_point_design_and_water_service]]*WWWW[[#This Row],[Total PoP ]]</f>
        <v>0</v>
      </c>
      <c r="EE34" s="566">
        <f>WWWW[[#This Row],[%_of_complaints_received_that_result_in_timely_corrective_action_and_feedback_to_the_community]]*WWWW[[#This Row],[Total PoP ]]</f>
        <v>0</v>
      </c>
      <c r="EF3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4" s="902" t="str">
        <f>VLOOKUP(WWWW[[#This Row],[Site Name]],SiteDB6[[Site Name]:[CCCM Management]],6,FALSE)</f>
        <v>Yes</v>
      </c>
      <c r="EJ34" s="902" t="str">
        <f>VLOOKUP(WWWW[[#This Row],[Site Name]],SiteDB6[[Site Name]:[CCCM Focal Agency]],7,FALSE)</f>
        <v>KBC-MYT</v>
      </c>
      <c r="EK34" s="902" t="str">
        <f>VLOOKUP(WWWW[[#This Row],[Site Name]],SiteDB6[[Site Name]:[Location Type 1]],9,FALSE)</f>
        <v>Camp</v>
      </c>
      <c r="EL34" s="902" t="str">
        <f>VLOOKUP(WWWW[[#This Row],[Site Name]],SiteDB6[[Site Name]:[Type of Accommodation]],10,FALSE)</f>
        <v>Camp</v>
      </c>
      <c r="EM34" s="902" t="str">
        <f>VLOOKUP(WWWW[[#This Row],[Site Name]],SiteDB6[[Site Name]:[Ethnic or GCA/NGCA]],11,FALSE)</f>
        <v>GCA</v>
      </c>
      <c r="EN34" s="902">
        <f>VLOOKUP(WWWW[[#This Row],[Site Name]],SiteDB6[[Site Name]:[Lat]],12,FALSE)</f>
        <v>25.480989999999998</v>
      </c>
      <c r="EO34" s="902">
        <f>VLOOKUP(WWWW[[#This Row],[Site Name]],SiteDB6[[Site Name]:[Long]],13,FALSE)</f>
        <v>97.431079999999994</v>
      </c>
      <c r="EP34" s="902" t="str">
        <f>VLOOKUP(WWWW[[#This Row],[Site Name]],SiteDB6[[Site Name]:[Pcode]],3,FALSE)</f>
        <v>MMR001CMP263</v>
      </c>
      <c r="EQ34" s="907" t="str">
        <f t="shared" si="0"/>
        <v>Covered</v>
      </c>
      <c r="ER34" s="907" t="s">
        <v>3126</v>
      </c>
      <c r="ES34" s="907" t="s">
        <v>3126</v>
      </c>
      <c r="ET34" s="902">
        <f>VLOOKUP(WWWW[[#This Row],[Site Name]],SiteDB6[[Site Name]:[Pop
(Kachin/Shan-CCCM as of May 2023)]],16,FALSE)</f>
        <v>197</v>
      </c>
      <c r="EU34" s="902">
        <f>VLOOKUP(WWWW[[#This Row],[Site Name]],SiteDB6[[Site Name]:[Pop
(Kachin/Shan-CCCM as of May 2023)]],17,FALSE)</f>
        <v>981</v>
      </c>
    </row>
    <row r="35" spans="1:151" hidden="1">
      <c r="A35" s="900" t="s">
        <v>2961</v>
      </c>
      <c r="B35" s="901" t="s">
        <v>141</v>
      </c>
      <c r="C35" s="901" t="s">
        <v>141</v>
      </c>
      <c r="D35" s="901" t="s">
        <v>2945</v>
      </c>
      <c r="E35" s="901" t="s">
        <v>37</v>
      </c>
      <c r="F35" s="901" t="s">
        <v>214</v>
      </c>
      <c r="G35" s="902" t="str">
        <f>VLOOKUP(WWWW[[#This Row],[Site Name]],SiteDB6[[Site Name]:[Location Type]],8,FALSE)</f>
        <v>Camp</v>
      </c>
      <c r="H35" s="901" t="s">
        <v>1585</v>
      </c>
      <c r="I35" s="903">
        <v>386</v>
      </c>
      <c r="J35" s="903">
        <v>1397</v>
      </c>
      <c r="K35" s="904">
        <v>44811</v>
      </c>
      <c r="L35" s="905">
        <v>45175</v>
      </c>
      <c r="M35" s="903"/>
      <c r="N35" s="903"/>
      <c r="O35" s="903"/>
      <c r="P35" s="903"/>
      <c r="Q35" s="906"/>
      <c r="R35" s="903">
        <v>19</v>
      </c>
      <c r="S35" s="903">
        <v>55</v>
      </c>
      <c r="T35" s="441">
        <v>13</v>
      </c>
      <c r="U35" s="903"/>
      <c r="V35" s="903"/>
      <c r="W35" s="903">
        <v>1</v>
      </c>
      <c r="X35" s="903"/>
      <c r="Y35" s="903"/>
      <c r="Z35" s="903"/>
      <c r="AA35" s="903"/>
      <c r="AB35" s="903"/>
      <c r="AC35" s="903"/>
      <c r="AD35" s="903"/>
      <c r="AE35" s="903"/>
      <c r="AF35" s="903"/>
      <c r="AG35" s="903"/>
      <c r="AH35" s="903"/>
      <c r="AI35" s="903"/>
      <c r="AJ35" s="903"/>
      <c r="AK35" s="903"/>
      <c r="AL35" s="903"/>
      <c r="AM35" s="903"/>
      <c r="AN35" s="903"/>
      <c r="AO35" s="441"/>
      <c r="AP35" s="907"/>
      <c r="AQ35" s="903">
        <v>5</v>
      </c>
      <c r="AR35" s="903"/>
      <c r="AS35" s="908"/>
      <c r="AT35" s="903"/>
      <c r="AU35" s="903"/>
      <c r="AV35" s="903"/>
      <c r="AW35" s="903"/>
      <c r="AX35" s="903"/>
      <c r="AY35" s="902" t="s">
        <v>41</v>
      </c>
      <c r="AZ35" s="907" t="s">
        <v>140</v>
      </c>
      <c r="BA35" s="903"/>
      <c r="BB35" s="903"/>
      <c r="BC35" s="903">
        <v>50</v>
      </c>
      <c r="BD35" s="441"/>
      <c r="BE35" s="441"/>
      <c r="BF35" s="902"/>
      <c r="BG35" s="903">
        <v>1</v>
      </c>
      <c r="BH35" s="903"/>
      <c r="BI35" s="903"/>
      <c r="BJ35" s="903">
        <v>3</v>
      </c>
      <c r="BK35" s="903"/>
      <c r="BL35" s="903"/>
      <c r="BM35" s="903"/>
      <c r="BN35" s="903"/>
      <c r="BO35" s="903"/>
      <c r="BP35" s="902"/>
      <c r="BQ35" s="909"/>
      <c r="BR35" s="908"/>
      <c r="BS35" s="902"/>
      <c r="BT35" s="416"/>
      <c r="BU35" s="416"/>
      <c r="BV35" s="418"/>
      <c r="BW35" s="416"/>
      <c r="BX35" s="441"/>
      <c r="BY35" s="441"/>
      <c r="BZ35" s="441"/>
      <c r="CA35" s="441"/>
      <c r="CB35" s="441"/>
      <c r="CC35" s="693"/>
      <c r="CD35" s="441"/>
      <c r="CE35" s="910" t="str">
        <f>IFERROR(WWWW[[#This Row],['#_Water sources passed]]/WWWW[[#This Row],['#_Water sources tested for fecal coliform ]],"no test")</f>
        <v>no test</v>
      </c>
      <c r="CF35" s="908" t="str">
        <f>IFERROR(WWWW[[#This Row],['#_Household passed]]/WWWW[[#This Row],['#_Household water samples tested for fecal coliform]],"no test")</f>
        <v>no test</v>
      </c>
      <c r="CG35" s="909" t="str">
        <f>IF(AND(WWWW[[#This Row],[% of water sources passed]]="no test",WWWW[[#This Row],[% Household passed]]="no test"),"No Test","Tested")</f>
        <v>No Test</v>
      </c>
      <c r="CH35" s="909">
        <f>WWWW[[#This Row],['#_Constructed/existing protected hand dug well]]-WWWW[[#This Row],['#_Non-functional protected hand dug well]]</f>
        <v>13</v>
      </c>
      <c r="CI35" s="909">
        <f>(WWWW[[#This Row],['#_Constructed/Existing tube wells/boreholes/handpumps_WASH_agency]]+WWWW[[#This Row],['#_Non-Cluster partner water tube-wells/boreholes/handpumps]])-WWWW[[#This Row],['#_Non-functional tube wells/boreholes/handpumps]]</f>
        <v>1</v>
      </c>
      <c r="CJ35" s="909">
        <f>WWWW[[#This Row],['#_Constructed/Existingwater storage tank with gravity fed reticulation system]]-WWWW[[#This Row],['#_Non-functional storage tank gravity fed reticulation system]]</f>
        <v>0</v>
      </c>
      <c r="CK35" s="909">
        <f>(WWWW[[#This Row],['#_Water_Liters_supplied_by_Water boating or water trucking]]/90)/15</f>
        <v>0</v>
      </c>
      <c r="CL35" s="909">
        <f>WWWW[[#This Row],['#_Water_Liters_from_Constructed/Existing water distribution system from river or natural spring]]/90/15</f>
        <v>0</v>
      </c>
      <c r="CM35" s="417">
        <f>IF(WWWW[[#This Row],['#_of water points in TLS/CFS]]*500&gt;WWWW[[#This Row],[Total PoP ]],WWWW[[#This Row],[Total PoP ]],WWWW[[#This Row],['#_of water points in TLS/CFS]]*500)</f>
        <v>0</v>
      </c>
      <c r="CN35" s="417">
        <f>IF(WWWW[[#This Row],['#_of water points in THF]]*500&gt;WWWW[[#This Row],[Total PoP ]],WWWW[[#This Row],[Total PoP ]],WWWW[[#This Row],['#_of water points in THF]]*500)</f>
        <v>0</v>
      </c>
      <c r="CO35" s="417"/>
      <c r="CP35"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5"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5" s="908">
        <f>IF(WWWW[[#This Row],[Location Type 1]]="Village",WWWW[[#This Row],[Access to safe drinking water for Village]],WWWW[[#This Row],[Access to safe drinking water for Camp]])</f>
        <v>1</v>
      </c>
      <c r="CS35" s="906">
        <f>WWWW[[#This Row],[%Equitable and continuous access to sufficient quantity of safe drinking water]]*WWWW[[#This Row],[Total PoP ]]</f>
        <v>1397</v>
      </c>
      <c r="CT35" s="908">
        <f>IF((WWWW[[#This Row],['#_Constructed/Existing protected/fenced ponds]]*250)/WWWW[[#This Row],[Total PoP ]]&gt;1,1,(WWWW[[#This Row],['#_Constructed/Existing protected/fenced ponds]]*250)/WWWW[[#This Row],[Total PoP ]])</f>
        <v>0</v>
      </c>
      <c r="CU35" s="906">
        <f>WWWW[[#This Row],[% Access to unimproved water points]]*WWWW[[#This Row],[Total PoP ]]</f>
        <v>0</v>
      </c>
      <c r="CV35"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5"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1397</v>
      </c>
      <c r="CX35" s="906">
        <f>WWWW[[#This Row],[HRP1]]/500</f>
        <v>2.794</v>
      </c>
      <c r="CY35" s="911">
        <f>1-WWWW[[#This Row],[% Equitable and continuous access to sufficient quantity of domestic water]]</f>
        <v>0</v>
      </c>
      <c r="CZ35" s="906">
        <f>WWWW[[#This Row],[%equitable and continuous access to sufficient quantity of safe drinking and domestic water''s GAP]]*WWWW[[#This Row],[Total PoP ]]</f>
        <v>0</v>
      </c>
      <c r="DA35" s="909">
        <f>IF(WWWW[[#This Row],[Total required water points]]-WWWW[[#This Row],['#Water points coverage]]&lt;0,0,WWWW[[#This Row],[Total required water points]]-WWWW[[#This Row],['#Water points coverage]])</f>
        <v>0.20599999999999996</v>
      </c>
      <c r="DB35" s="909">
        <f>ROUND(IF(WWWW[[#This Row],[Total PoP ]]&lt;500,1,WWWW[[#This Row],[Total PoP ]]/500),0)</f>
        <v>3</v>
      </c>
      <c r="DC35" s="909">
        <f>(WWWW[[#This Row],['#_Constructed latrines_by_WASHAgencies]]+WWWW[[#This Row],['#_Non Cluster partner latrines]])-WWWW[[#This Row],['#_Non-functional latrines]]</f>
        <v>5</v>
      </c>
      <c r="DD35" s="615">
        <f>WWWW[[#This Row],[HRP2]]/WWWW[[#This Row],[Total PoP ]]</f>
        <v>7.158196134574088E-2</v>
      </c>
      <c r="DE35"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35"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5"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5" s="417">
        <f>IF(WWWW[[#This Row],['# of functional latrines in THF supported by WASH partners during the reporting period2]]="",0,WWWW[[#This Row],['# of functional latrines in THF supported by WASH partners during the reporting period2]]*50)</f>
        <v>0</v>
      </c>
      <c r="DI35" s="909">
        <f>ROUND(IF(WWWW[[#This Row],[Location Type 1]]="camp",WWWW[[#This Row],[Total PoP ]]/20,IF(WWWW[[#This Row],[Location Type 1]]="Temporary Location",WWWW[[#This Row],[Total PoP ]]/50,(WWWW[[#This Row],[Total PoP ]]/6))),0)</f>
        <v>70</v>
      </c>
      <c r="DJ35" s="909">
        <f>IF(WWWW[[#This Row],[Total required Latrines]]-(WWWW[[#This Row],['#_Constructed latrines_by_WASHAgencies]]+WWWW[[#This Row],['#_Non Cluster partner latrines]])&lt;0,0,WWWW[[#This Row],[Total required Latrines]]-(WWWW[[#This Row],['#_Constructed latrines_by_WASHAgencies]]+WWWW[[#This Row],['#_Non Cluster partner latrines]]))</f>
        <v>65</v>
      </c>
      <c r="DK35" s="911">
        <f>1-WWWW[[#This Row],[% people access to functioning Latrine]]</f>
        <v>0.92841803865425909</v>
      </c>
      <c r="DL35" s="910">
        <f>IF(OR(WWWW[[#This Row],['#_Non-functional latrines]]="",WWWW[[#This Row],['#_Non-functional latrines]]=0),0,WWWW[[#This Row],['#_Non-functional latrines]]/(WWWW[[#This Row],['#_Constructed latrines_by_WASHAgencies]]+WWWW[[#This Row],['#_Non Cluster partner latrines]]))</f>
        <v>0</v>
      </c>
      <c r="DM35" s="906">
        <f>IF(500*(WWWW[[#This Row],['#_male hygiene promoters]]+WWWW[[#This Row],['#_female hygiene promoters]])&gt;WWWW[[#This Row],[Total PoP ]],WWWW[[#This Row],[Total PoP ]],500*(WWWW[[#This Row],['#_male hygiene promoters]]+WWWW[[#This Row],['#_female hygiene promoters]]))</f>
        <v>0</v>
      </c>
      <c r="DN35"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5"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5" s="909">
        <f>IF(WWWW[[#This Row],['# People with access to soap]]&gt;WWWW[[#This Row],['# People with access to Sanity Pads]],WWWW[[#This Row],['# People with access to soap]],WWWW[[#This Row],['# People with access to Sanity Pads]])</f>
        <v>0</v>
      </c>
      <c r="DQ35"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5" s="911">
        <f>IF(WWWW[[#This Row],[HRP3]]/WWWW[[#This Row],[Total PoP ]]&gt;1,1,WWWW[[#This Row],[HRP3]]/WWWW[[#This Row],[Total PoP ]])</f>
        <v>0</v>
      </c>
      <c r="DS35" s="910">
        <f>1-WWWW[[#This Row],[Hygiene Coverage%]]</f>
        <v>1</v>
      </c>
      <c r="DT35" s="908">
        <f>WWWW[[#This Row],['# people reached by regular dedicated hygiene promotion_5]]/WWWW[[#This Row],[Total PoP ]]</f>
        <v>0</v>
      </c>
      <c r="DU35"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5"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5" s="909">
        <f>WWWW[[#This Row],['#_Constructed/Existing hand washing stations]]-WWWW[[#This Row],['#_Non-Functional_hand_washing_stations]]</f>
        <v>1</v>
      </c>
      <c r="DX35" s="906">
        <f>IF(WWWW[[#This Row],['# Functional hand washing stations during reporting period]]*20&gt;WWWW[[#This Row],[Total HH]],WWWW[[#This Row],[Total HH]],WWWW[[#This Row],['# Functional hand washing stations during reporting period]]*20)</f>
        <v>20</v>
      </c>
      <c r="DY35" s="906">
        <f>IF(WWWW[[#This Row],[Is sufficient soap available for TLS? (Yes/No)]]="yes",WWWW[[#This Row],['#_Constructed/Existing hand washing stations at TLS/CFS/THF]],0)</f>
        <v>0</v>
      </c>
      <c r="DZ35" s="421">
        <f>IF(WWWW[[#This Row],['# Functional hand washing stations during reporting period]]*100&gt;WWWW[[#This Row],[Total PoP ]],WWWW[[#This Row],[Total PoP ]],WWWW[[#This Row],['# Functional hand washing stations during reporting period]]*100)</f>
        <v>100</v>
      </c>
      <c r="EA35" s="421" t="str">
        <f>IF(OR(WWWW[[#This Row],['#_students at TLS_CFS]]="",WWWW[[#This Row],['#_students at TLS_CFS]]=0),"No","Yes")</f>
        <v>No</v>
      </c>
      <c r="EB3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5" s="566">
        <f>WWWW[[#This Row],[%_of_affected_people_surveyed_who_report_feeling_satistfied_with_the_latrine_design_and_sanitation_service]]*WWWW[[#This Row],[Total PoP ]]</f>
        <v>0</v>
      </c>
      <c r="ED35" s="566">
        <f>WWWW[[#This Row],[%_of_affected_people_surveyed_who_report_feeling_satistfied_with_the_water_point_design_and_water_service]]*WWWW[[#This Row],[Total PoP ]]</f>
        <v>0</v>
      </c>
      <c r="EE35" s="566">
        <f>WWWW[[#This Row],[%_of_complaints_received_that_result_in_timely_corrective_action_and_feedback_to_the_community]]*WWWW[[#This Row],[Total PoP ]]</f>
        <v>0</v>
      </c>
      <c r="EF3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5" s="902">
        <f>VLOOKUP(WWWW[[#This Row],[Site Name]],SiteDB6[[Site Name]:[CCCM Management]],6,FALSE)</f>
        <v>0</v>
      </c>
      <c r="EJ35" s="902" t="str">
        <f>VLOOKUP(WWWW[[#This Row],[Site Name]],SiteDB6[[Site Name]:[CCCM Focal Agency]],7,FALSE)</f>
        <v>uncovered</v>
      </c>
      <c r="EK35" s="902" t="str">
        <f>VLOOKUP(WWWW[[#This Row],[Site Name]],SiteDB6[[Site Name]:[Location Type 1]],9,FALSE)</f>
        <v>Camp</v>
      </c>
      <c r="EL35" s="902" t="str">
        <f>VLOOKUP(WWWW[[#This Row],[Site Name]],SiteDB6[[Site Name]:[Type of Accommodation]],10,FALSE)</f>
        <v>Camp like setting</v>
      </c>
      <c r="EM35" s="902" t="str">
        <f>VLOOKUP(WWWW[[#This Row],[Site Name]],SiteDB6[[Site Name]:[Ethnic or GCA/NGCA]],11,FALSE)</f>
        <v>NGCA</v>
      </c>
      <c r="EN35" s="902">
        <f>VLOOKUP(WWWW[[#This Row],[Site Name]],SiteDB6[[Site Name]:[Lat]],12,FALSE)</f>
        <v>24.590350000000001</v>
      </c>
      <c r="EO35" s="902">
        <f>VLOOKUP(WWWW[[#This Row],[Site Name]],SiteDB6[[Site Name]:[Long]],13,FALSE)</f>
        <v>96.95626</v>
      </c>
      <c r="EP35" s="902" t="str">
        <f>VLOOKUP(WWWW[[#This Row],[Site Name]],SiteDB6[[Site Name]:[Pcode]],3,FALSE)</f>
        <v>MMR001CMP273</v>
      </c>
      <c r="EQ35" s="907" t="str">
        <f t="shared" si="0"/>
        <v>Covered</v>
      </c>
      <c r="ER35" s="907" t="s">
        <v>3126</v>
      </c>
      <c r="ES35" s="907" t="s">
        <v>3126</v>
      </c>
      <c r="ET35" s="902">
        <f>VLOOKUP(WWWW[[#This Row],[Site Name]],SiteDB6[[Site Name]:[Pop
(Kachin/Shan-CCCM as of May 2023)]],16,FALSE)</f>
        <v>292</v>
      </c>
      <c r="EU35" s="902">
        <f>VLOOKUP(WWWW[[#This Row],[Site Name]],SiteDB6[[Site Name]:[Pop
(Kachin/Shan-CCCM as of May 2023)]],17,FALSE)</f>
        <v>1299</v>
      </c>
    </row>
    <row r="36" spans="1:151" hidden="1">
      <c r="A36" s="900" t="s">
        <v>2961</v>
      </c>
      <c r="B36" s="901" t="s">
        <v>141</v>
      </c>
      <c r="C36" s="901" t="s">
        <v>141</v>
      </c>
      <c r="D36" s="901" t="s">
        <v>241</v>
      </c>
      <c r="E36" s="901" t="s">
        <v>37</v>
      </c>
      <c r="F36" s="901" t="s">
        <v>184</v>
      </c>
      <c r="G36" s="902" t="str">
        <f>VLOOKUP(WWWW[[#This Row],[Site Name]],SiteDB6[[Site Name]:[Location Type]],8,FALSE)</f>
        <v>Camp</v>
      </c>
      <c r="H36" s="901" t="s">
        <v>185</v>
      </c>
      <c r="I36" s="903">
        <v>116</v>
      </c>
      <c r="J36" s="903">
        <v>673</v>
      </c>
      <c r="K36" s="904">
        <v>44811</v>
      </c>
      <c r="L36" s="905">
        <v>45175</v>
      </c>
      <c r="M36" s="903"/>
      <c r="N36" s="903">
        <v>2</v>
      </c>
      <c r="O36" s="903"/>
      <c r="P36" s="903"/>
      <c r="Q36" s="906" t="s">
        <v>41</v>
      </c>
      <c r="R36" s="903">
        <v>3</v>
      </c>
      <c r="S36" s="903">
        <v>1</v>
      </c>
      <c r="T36" s="441">
        <v>27</v>
      </c>
      <c r="U36" s="903">
        <v>12</v>
      </c>
      <c r="V36" s="903"/>
      <c r="W36" s="903"/>
      <c r="X36" s="903"/>
      <c r="Y36" s="903"/>
      <c r="Z36" s="903"/>
      <c r="AA36" s="903"/>
      <c r="AB36" s="903"/>
      <c r="AC36" s="903"/>
      <c r="AD36" s="903"/>
      <c r="AE36" s="903"/>
      <c r="AF36" s="903"/>
      <c r="AG36" s="903"/>
      <c r="AH36" s="903"/>
      <c r="AI36" s="903"/>
      <c r="AJ36" s="903"/>
      <c r="AK36" s="903"/>
      <c r="AL36" s="903"/>
      <c r="AM36" s="903"/>
      <c r="AN36" s="903"/>
      <c r="AO36" s="441"/>
      <c r="AP36" s="907"/>
      <c r="AQ36" s="903">
        <v>65</v>
      </c>
      <c r="AR36" s="903">
        <v>15</v>
      </c>
      <c r="AS36" s="908"/>
      <c r="AT36" s="903"/>
      <c r="AU36" s="903"/>
      <c r="AV36" s="903"/>
      <c r="AW36" s="903"/>
      <c r="AX36" s="903"/>
      <c r="AY36" s="902" t="s">
        <v>41</v>
      </c>
      <c r="AZ36" s="907" t="s">
        <v>137</v>
      </c>
      <c r="BA36" s="903"/>
      <c r="BB36" s="903">
        <v>2</v>
      </c>
      <c r="BC36" s="903"/>
      <c r="BD36" s="441"/>
      <c r="BE36" s="441"/>
      <c r="BF36" s="902"/>
      <c r="BG36" s="903">
        <v>3</v>
      </c>
      <c r="BH36" s="903"/>
      <c r="BI36" s="903"/>
      <c r="BJ36" s="903">
        <v>2</v>
      </c>
      <c r="BK36" s="903"/>
      <c r="BL36" s="903">
        <v>1</v>
      </c>
      <c r="BM36" s="903"/>
      <c r="BN36" s="903"/>
      <c r="BO36" s="903"/>
      <c r="BP36" s="902"/>
      <c r="BQ36" s="909"/>
      <c r="BR36" s="908"/>
      <c r="BS36" s="902"/>
      <c r="BT36" s="416"/>
      <c r="BU36" s="416"/>
      <c r="BV36" s="418"/>
      <c r="BW36" s="416"/>
      <c r="BX36" s="441"/>
      <c r="BY36" s="441"/>
      <c r="BZ36" s="441"/>
      <c r="CA36" s="441"/>
      <c r="CB36" s="441"/>
      <c r="CC36" s="693"/>
      <c r="CD36" s="441"/>
      <c r="CE36" s="910" t="str">
        <f>IFERROR(WWWW[[#This Row],['#_Water sources passed]]/WWWW[[#This Row],['#_Water sources tested for fecal coliform ]],"no test")</f>
        <v>no test</v>
      </c>
      <c r="CF36" s="908" t="str">
        <f>IFERROR(WWWW[[#This Row],['#_Household passed]]/WWWW[[#This Row],['#_Household water samples tested for fecal coliform]],"no test")</f>
        <v>no test</v>
      </c>
      <c r="CG36" s="909" t="str">
        <f>IF(AND(WWWW[[#This Row],[% of water sources passed]]="no test",WWWW[[#This Row],[% Household passed]]="no test"),"No Test","Tested")</f>
        <v>No Test</v>
      </c>
      <c r="CH36" s="909">
        <f>WWWW[[#This Row],['#_Constructed/existing protected hand dug well]]-WWWW[[#This Row],['#_Non-functional protected hand dug well]]</f>
        <v>15</v>
      </c>
      <c r="CI36" s="909">
        <f>(WWWW[[#This Row],['#_Constructed/Existing tube wells/boreholes/handpumps_WASH_agency]]+WWWW[[#This Row],['#_Non-Cluster partner water tube-wells/boreholes/handpumps]])-WWWW[[#This Row],['#_Non-functional tube wells/boreholes/handpumps]]</f>
        <v>0</v>
      </c>
      <c r="CJ36" s="909">
        <f>WWWW[[#This Row],['#_Constructed/Existingwater storage tank with gravity fed reticulation system]]-WWWW[[#This Row],['#_Non-functional storage tank gravity fed reticulation system]]</f>
        <v>0</v>
      </c>
      <c r="CK36" s="909">
        <f>(WWWW[[#This Row],['#_Water_Liters_supplied_by_Water boating or water trucking]]/90)/15</f>
        <v>0</v>
      </c>
      <c r="CL36" s="909">
        <f>WWWW[[#This Row],['#_Water_Liters_from_Constructed/Existing water distribution system from river or natural spring]]/90/15</f>
        <v>0</v>
      </c>
      <c r="CM36" s="417">
        <f>IF(WWWW[[#This Row],['#_of water points in TLS/CFS]]*500&gt;WWWW[[#This Row],[Total PoP ]],WWWW[[#This Row],[Total PoP ]],WWWW[[#This Row],['#_of water points in TLS/CFS]]*500)</f>
        <v>0</v>
      </c>
      <c r="CN36" s="417">
        <f>IF(WWWW[[#This Row],['#_of water points in THF]]*500&gt;WWWW[[#This Row],[Total PoP ]],WWWW[[#This Row],[Total PoP ]],WWWW[[#This Row],['#_of water points in THF]]*500)</f>
        <v>0</v>
      </c>
      <c r="CO36" s="417"/>
      <c r="CP36"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6"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6" s="908">
        <f>IF(WWWW[[#This Row],[Location Type 1]]="Village",WWWW[[#This Row],[Access to safe drinking water for Village]],WWWW[[#This Row],[Access to safe drinking water for Camp]])</f>
        <v>1</v>
      </c>
      <c r="CS36" s="906">
        <f>WWWW[[#This Row],[%Equitable and continuous access to sufficient quantity of safe drinking water]]*WWWW[[#This Row],[Total PoP ]]</f>
        <v>673</v>
      </c>
      <c r="CT36" s="908">
        <f>IF((WWWW[[#This Row],['#_Constructed/Existing protected/fenced ponds]]*250)/WWWW[[#This Row],[Total PoP ]]&gt;1,1,(WWWW[[#This Row],['#_Constructed/Existing protected/fenced ponds]]*250)/WWWW[[#This Row],[Total PoP ]])</f>
        <v>0</v>
      </c>
      <c r="CU36" s="906">
        <f>WWWW[[#This Row],[% Access to unimproved water points]]*WWWW[[#This Row],[Total PoP ]]</f>
        <v>0</v>
      </c>
      <c r="CV36"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6"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673</v>
      </c>
      <c r="CX36" s="906">
        <f>WWWW[[#This Row],[HRP1]]/500</f>
        <v>1.3460000000000001</v>
      </c>
      <c r="CY36" s="911">
        <f>1-WWWW[[#This Row],[% Equitable and continuous access to sufficient quantity of domestic water]]</f>
        <v>0</v>
      </c>
      <c r="CZ36" s="906">
        <f>WWWW[[#This Row],[%equitable and continuous access to sufficient quantity of safe drinking and domestic water''s GAP]]*WWWW[[#This Row],[Total PoP ]]</f>
        <v>0</v>
      </c>
      <c r="DA36" s="909">
        <f>IF(WWWW[[#This Row],[Total required water points]]-WWWW[[#This Row],['#Water points coverage]]&lt;0,0,WWWW[[#This Row],[Total required water points]]-WWWW[[#This Row],['#Water points coverage]])</f>
        <v>0</v>
      </c>
      <c r="DB36" s="909">
        <f>ROUND(IF(WWWW[[#This Row],[Total PoP ]]&lt;500,1,WWWW[[#This Row],[Total PoP ]]/500),0)</f>
        <v>1</v>
      </c>
      <c r="DC36" s="909">
        <f>(WWWW[[#This Row],['#_Constructed latrines_by_WASHAgencies]]+WWWW[[#This Row],['#_Non Cluster partner latrines]])-WWWW[[#This Row],['#_Non-functional latrines]]</f>
        <v>80</v>
      </c>
      <c r="DD36" s="615">
        <f>WWWW[[#This Row],[HRP2]]/WWWW[[#This Row],[Total PoP ]]</f>
        <v>1</v>
      </c>
      <c r="DE36"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673</v>
      </c>
      <c r="DF36"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6"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6" s="417">
        <f>IF(WWWW[[#This Row],['# of functional latrines in THF supported by WASH partners during the reporting period2]]="",0,WWWW[[#This Row],['# of functional latrines in THF supported by WASH partners during the reporting period2]]*50)</f>
        <v>0</v>
      </c>
      <c r="DI36" s="909">
        <f>ROUND(IF(WWWW[[#This Row],[Location Type 1]]="camp",WWWW[[#This Row],[Total PoP ]]/20,IF(WWWW[[#This Row],[Location Type 1]]="Temporary Location",WWWW[[#This Row],[Total PoP ]]/50,(WWWW[[#This Row],[Total PoP ]]/6))),0)</f>
        <v>34</v>
      </c>
      <c r="DJ36" s="909">
        <f>IF(WWWW[[#This Row],[Total required Latrines]]-(WWWW[[#This Row],['#_Constructed latrines_by_WASHAgencies]]+WWWW[[#This Row],['#_Non Cluster partner latrines]])&lt;0,0,WWWW[[#This Row],[Total required Latrines]]-(WWWW[[#This Row],['#_Constructed latrines_by_WASHAgencies]]+WWWW[[#This Row],['#_Non Cluster partner latrines]]))</f>
        <v>0</v>
      </c>
      <c r="DK36" s="911">
        <f>1-WWWW[[#This Row],[% people access to functioning Latrine]]</f>
        <v>0</v>
      </c>
      <c r="DL36" s="910">
        <f>IF(OR(WWWW[[#This Row],['#_Non-functional latrines]]="",WWWW[[#This Row],['#_Non-functional latrines]]=0),0,WWWW[[#This Row],['#_Non-functional latrines]]/(WWWW[[#This Row],['#_Constructed latrines_by_WASHAgencies]]+WWWW[[#This Row],['#_Non Cluster partner latrines]]))</f>
        <v>0</v>
      </c>
      <c r="DM36" s="906">
        <f>IF(500*(WWWW[[#This Row],['#_male hygiene promoters]]+WWWW[[#This Row],['#_female hygiene promoters]])&gt;WWWW[[#This Row],[Total PoP ]],WWWW[[#This Row],[Total PoP ]],500*(WWWW[[#This Row],['#_male hygiene promoters]]+WWWW[[#This Row],['#_female hygiene promoters]]))</f>
        <v>500</v>
      </c>
      <c r="DN36"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6"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6" s="909">
        <f>IF(WWWW[[#This Row],['# People with access to soap]]&gt;WWWW[[#This Row],['# People with access to Sanity Pads]],WWWW[[#This Row],['# People with access to soap]],WWWW[[#This Row],['# People with access to Sanity Pads]])</f>
        <v>0</v>
      </c>
      <c r="DQ36" s="909">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36" s="911">
        <f>IF(WWWW[[#This Row],[HRP3]]/WWWW[[#This Row],[Total PoP ]]&gt;1,1,WWWW[[#This Row],[HRP3]]/WWWW[[#This Row],[Total PoP ]])</f>
        <v>0.74294205052005946</v>
      </c>
      <c r="DS36" s="910">
        <f>1-WWWW[[#This Row],[Hygiene Coverage%]]</f>
        <v>0.25705794947994054</v>
      </c>
      <c r="DT36" s="908">
        <f>WWWW[[#This Row],['# people reached by regular dedicated hygiene promotion_5]]/WWWW[[#This Row],[Total PoP ]]</f>
        <v>0.74294205052005946</v>
      </c>
      <c r="DU36"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6"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6" s="909">
        <f>WWWW[[#This Row],['#_Constructed/Existing hand washing stations]]-WWWW[[#This Row],['#_Non-Functional_hand_washing_stations]]</f>
        <v>3</v>
      </c>
      <c r="DX36" s="906">
        <f>IF(WWWW[[#This Row],['# Functional hand washing stations during reporting period]]*20&gt;WWWW[[#This Row],[Total HH]],WWWW[[#This Row],[Total HH]],WWWW[[#This Row],['# Functional hand washing stations during reporting period]]*20)</f>
        <v>60</v>
      </c>
      <c r="DY36" s="906">
        <f>IF(WWWW[[#This Row],[Is sufficient soap available for TLS? (Yes/No)]]="yes",WWWW[[#This Row],['#_Constructed/Existing hand washing stations at TLS/CFS/THF]],0)</f>
        <v>0</v>
      </c>
      <c r="DZ36" s="421">
        <f>IF(WWWW[[#This Row],['# Functional hand washing stations during reporting period]]*100&gt;WWWW[[#This Row],[Total PoP ]],WWWW[[#This Row],[Total PoP ]],WWWW[[#This Row],['# Functional hand washing stations during reporting period]]*100)</f>
        <v>300</v>
      </c>
      <c r="EA36" s="421" t="str">
        <f>IF(OR(WWWW[[#This Row],['#_students at TLS_CFS]]="",WWWW[[#This Row],['#_students at TLS_CFS]]=0),"No","Yes")</f>
        <v>No</v>
      </c>
      <c r="EB3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6" s="566">
        <f>WWWW[[#This Row],[%_of_affected_people_surveyed_who_report_feeling_satistfied_with_the_latrine_design_and_sanitation_service]]*WWWW[[#This Row],[Total PoP ]]</f>
        <v>0</v>
      </c>
      <c r="ED36" s="566">
        <f>WWWW[[#This Row],[%_of_affected_people_surveyed_who_report_feeling_satistfied_with_the_water_point_design_and_water_service]]*WWWW[[#This Row],[Total PoP ]]</f>
        <v>0</v>
      </c>
      <c r="EE36" s="566">
        <f>WWWW[[#This Row],[%_of_complaints_received_that_result_in_timely_corrective_action_and_feedback_to_the_community]]*WWWW[[#This Row],[Total PoP ]]</f>
        <v>0</v>
      </c>
      <c r="EF3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6" s="902" t="str">
        <f>VLOOKUP(WWWW[[#This Row],[Site Name]],SiteDB6[[Site Name]:[CCCM Management]],6,FALSE)</f>
        <v>Yes</v>
      </c>
      <c r="EJ36" s="902" t="str">
        <f>VLOOKUP(WWWW[[#This Row],[Site Name]],SiteDB6[[Site Name]:[CCCM Focal Agency]],7,FALSE)</f>
        <v>KBC-MYT</v>
      </c>
      <c r="EK36" s="902" t="str">
        <f>VLOOKUP(WWWW[[#This Row],[Site Name]],SiteDB6[[Site Name]:[Location Type 1]],9,FALSE)</f>
        <v>Camp</v>
      </c>
      <c r="EL36" s="902" t="str">
        <f>VLOOKUP(WWWW[[#This Row],[Site Name]],SiteDB6[[Site Name]:[Type of Accommodation]],10,FALSE)</f>
        <v>Camp</v>
      </c>
      <c r="EM36" s="902" t="str">
        <f>VLOOKUP(WWWW[[#This Row],[Site Name]],SiteDB6[[Site Name]:[Ethnic or GCA/NGCA]],11,FALSE)</f>
        <v>NGCA</v>
      </c>
      <c r="EN36" s="902">
        <f>VLOOKUP(WWWW[[#This Row],[Site Name]],SiteDB6[[Site Name]:[Lat]],12,FALSE)</f>
        <v>26.569633</v>
      </c>
      <c r="EO36" s="902">
        <f>VLOOKUP(WWWW[[#This Row],[Site Name]],SiteDB6[[Site Name]:[Long]],13,FALSE)</f>
        <v>97.745480999999998</v>
      </c>
      <c r="EP36" s="902" t="str">
        <f>VLOOKUP(WWWW[[#This Row],[Site Name]],SiteDB6[[Site Name]:[Pcode]],3,FALSE)</f>
        <v>MMR001CMP238</v>
      </c>
      <c r="EQ36" s="907" t="str">
        <f t="shared" si="0"/>
        <v>Covered</v>
      </c>
      <c r="ER36" s="907" t="s">
        <v>3126</v>
      </c>
      <c r="ES36" s="907" t="s">
        <v>3126</v>
      </c>
      <c r="ET36" s="902">
        <f>VLOOKUP(WWWW[[#This Row],[Site Name]],SiteDB6[[Site Name]:[Pop
(Kachin/Shan-CCCM as of May 2023)]],16,FALSE)</f>
        <v>123</v>
      </c>
      <c r="EU36" s="902">
        <f>VLOOKUP(WWWW[[#This Row],[Site Name]],SiteDB6[[Site Name]:[Pop
(Kachin/Shan-CCCM as of May 2023)]],17,FALSE)</f>
        <v>646</v>
      </c>
    </row>
    <row r="37" spans="1:151" hidden="1">
      <c r="A37" s="900" t="s">
        <v>2961</v>
      </c>
      <c r="B37" s="901" t="s">
        <v>141</v>
      </c>
      <c r="C37" s="901" t="s">
        <v>141</v>
      </c>
      <c r="D37" s="901" t="s">
        <v>241</v>
      </c>
      <c r="E37" s="901" t="s">
        <v>37</v>
      </c>
      <c r="F37" s="901" t="s">
        <v>184</v>
      </c>
      <c r="G37" s="902" t="str">
        <f>VLOOKUP(WWWW[[#This Row],[Site Name]],SiteDB6[[Site Name]:[Location Type]],8,FALSE)</f>
        <v>Camp</v>
      </c>
      <c r="H37" s="901" t="s">
        <v>187</v>
      </c>
      <c r="I37" s="903">
        <v>71</v>
      </c>
      <c r="J37" s="903">
        <v>362</v>
      </c>
      <c r="K37" s="904">
        <v>44811</v>
      </c>
      <c r="L37" s="905">
        <v>45175</v>
      </c>
      <c r="M37" s="903"/>
      <c r="N37" s="903">
        <v>2</v>
      </c>
      <c r="O37" s="903"/>
      <c r="P37" s="903"/>
      <c r="Q37" s="906" t="s">
        <v>41</v>
      </c>
      <c r="R37" s="903">
        <v>3</v>
      </c>
      <c r="S37" s="903">
        <v>2</v>
      </c>
      <c r="T37" s="441">
        <v>16</v>
      </c>
      <c r="U37" s="903">
        <v>8</v>
      </c>
      <c r="V37" s="903"/>
      <c r="W37" s="903"/>
      <c r="X37" s="903"/>
      <c r="Y37" s="903"/>
      <c r="Z37" s="903"/>
      <c r="AA37" s="903"/>
      <c r="AB37" s="903"/>
      <c r="AC37" s="903"/>
      <c r="AD37" s="903"/>
      <c r="AE37" s="903"/>
      <c r="AF37" s="903"/>
      <c r="AG37" s="903"/>
      <c r="AH37" s="903"/>
      <c r="AI37" s="903"/>
      <c r="AJ37" s="903"/>
      <c r="AK37" s="903"/>
      <c r="AL37" s="903"/>
      <c r="AM37" s="903"/>
      <c r="AN37" s="903"/>
      <c r="AO37" s="441"/>
      <c r="AP37" s="907"/>
      <c r="AQ37" s="903">
        <v>73</v>
      </c>
      <c r="AR37" s="903">
        <v>23</v>
      </c>
      <c r="AS37" s="908"/>
      <c r="AT37" s="903"/>
      <c r="AU37" s="903"/>
      <c r="AV37" s="903"/>
      <c r="AW37" s="903"/>
      <c r="AX37" s="903"/>
      <c r="AY37" s="902" t="s">
        <v>41</v>
      </c>
      <c r="AZ37" s="907" t="s">
        <v>137</v>
      </c>
      <c r="BA37" s="903"/>
      <c r="BB37" s="903">
        <v>24</v>
      </c>
      <c r="BC37" s="903">
        <v>5</v>
      </c>
      <c r="BD37" s="441">
        <v>5</v>
      </c>
      <c r="BE37" s="441"/>
      <c r="BF37" s="902"/>
      <c r="BG37" s="903">
        <v>1</v>
      </c>
      <c r="BH37" s="903"/>
      <c r="BI37" s="903"/>
      <c r="BJ37" s="903">
        <v>1</v>
      </c>
      <c r="BK37" s="903"/>
      <c r="BL37" s="903"/>
      <c r="BM37" s="903"/>
      <c r="BN37" s="903"/>
      <c r="BO37" s="903"/>
      <c r="BP37" s="902"/>
      <c r="BQ37" s="909"/>
      <c r="BR37" s="908"/>
      <c r="BS37" s="902"/>
      <c r="BT37" s="416"/>
      <c r="BU37" s="416"/>
      <c r="BV37" s="418"/>
      <c r="BW37" s="416"/>
      <c r="BX37" s="441"/>
      <c r="BY37" s="441"/>
      <c r="BZ37" s="441"/>
      <c r="CA37" s="441"/>
      <c r="CB37" s="441"/>
      <c r="CC37" s="693"/>
      <c r="CD37" s="441"/>
      <c r="CE37" s="910" t="str">
        <f>IFERROR(WWWW[[#This Row],['#_Water sources passed]]/WWWW[[#This Row],['#_Water sources tested for fecal coliform ]],"no test")</f>
        <v>no test</v>
      </c>
      <c r="CF37" s="908" t="str">
        <f>IFERROR(WWWW[[#This Row],['#_Household passed]]/WWWW[[#This Row],['#_Household water samples tested for fecal coliform]],"no test")</f>
        <v>no test</v>
      </c>
      <c r="CG37" s="909" t="str">
        <f>IF(AND(WWWW[[#This Row],[% of water sources passed]]="no test",WWWW[[#This Row],[% Household passed]]="no test"),"No Test","Tested")</f>
        <v>No Test</v>
      </c>
      <c r="CH37" s="909">
        <f>WWWW[[#This Row],['#_Constructed/existing protected hand dug well]]-WWWW[[#This Row],['#_Non-functional protected hand dug well]]</f>
        <v>8</v>
      </c>
      <c r="CI37" s="909">
        <f>(WWWW[[#This Row],['#_Constructed/Existing tube wells/boreholes/handpumps_WASH_agency]]+WWWW[[#This Row],['#_Non-Cluster partner water tube-wells/boreholes/handpumps]])-WWWW[[#This Row],['#_Non-functional tube wells/boreholes/handpumps]]</f>
        <v>0</v>
      </c>
      <c r="CJ37" s="909">
        <f>WWWW[[#This Row],['#_Constructed/Existingwater storage tank with gravity fed reticulation system]]-WWWW[[#This Row],['#_Non-functional storage tank gravity fed reticulation system]]</f>
        <v>0</v>
      </c>
      <c r="CK37" s="909">
        <f>(WWWW[[#This Row],['#_Water_Liters_supplied_by_Water boating or water trucking]]/90)/15</f>
        <v>0</v>
      </c>
      <c r="CL37" s="909">
        <f>WWWW[[#This Row],['#_Water_Liters_from_Constructed/Existing water distribution system from river or natural spring]]/90/15</f>
        <v>0</v>
      </c>
      <c r="CM37" s="417">
        <f>IF(WWWW[[#This Row],['#_of water points in TLS/CFS]]*500&gt;WWWW[[#This Row],[Total PoP ]],WWWW[[#This Row],[Total PoP ]],WWWW[[#This Row],['#_of water points in TLS/CFS]]*500)</f>
        <v>0</v>
      </c>
      <c r="CN37" s="417">
        <f>IF(WWWW[[#This Row],['#_of water points in THF]]*500&gt;WWWW[[#This Row],[Total PoP ]],WWWW[[#This Row],[Total PoP ]],WWWW[[#This Row],['#_of water points in THF]]*500)</f>
        <v>0</v>
      </c>
      <c r="CO37" s="417"/>
      <c r="CP37"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7"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7" s="908">
        <f>IF(WWWW[[#This Row],[Location Type 1]]="Village",WWWW[[#This Row],[Access to safe drinking water for Village]],WWWW[[#This Row],[Access to safe drinking water for Camp]])</f>
        <v>1</v>
      </c>
      <c r="CS37" s="906">
        <f>WWWW[[#This Row],[%Equitable and continuous access to sufficient quantity of safe drinking water]]*WWWW[[#This Row],[Total PoP ]]</f>
        <v>362</v>
      </c>
      <c r="CT37" s="908">
        <f>IF((WWWW[[#This Row],['#_Constructed/Existing protected/fenced ponds]]*250)/WWWW[[#This Row],[Total PoP ]]&gt;1,1,(WWWW[[#This Row],['#_Constructed/Existing protected/fenced ponds]]*250)/WWWW[[#This Row],[Total PoP ]])</f>
        <v>0</v>
      </c>
      <c r="CU37" s="906">
        <f>WWWW[[#This Row],[% Access to unimproved water points]]*WWWW[[#This Row],[Total PoP ]]</f>
        <v>0</v>
      </c>
      <c r="CV37"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7"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362</v>
      </c>
      <c r="CX37" s="906">
        <f>WWWW[[#This Row],[HRP1]]/500</f>
        <v>0.72399999999999998</v>
      </c>
      <c r="CY37" s="911">
        <f>1-WWWW[[#This Row],[% Equitable and continuous access to sufficient quantity of domestic water]]</f>
        <v>0</v>
      </c>
      <c r="CZ37" s="906">
        <f>WWWW[[#This Row],[%equitable and continuous access to sufficient quantity of safe drinking and domestic water''s GAP]]*WWWW[[#This Row],[Total PoP ]]</f>
        <v>0</v>
      </c>
      <c r="DA37" s="909">
        <f>IF(WWWW[[#This Row],[Total required water points]]-WWWW[[#This Row],['#Water points coverage]]&lt;0,0,WWWW[[#This Row],[Total required water points]]-WWWW[[#This Row],['#Water points coverage]])</f>
        <v>0.27600000000000002</v>
      </c>
      <c r="DB37" s="909">
        <f>ROUND(IF(WWWW[[#This Row],[Total PoP ]]&lt;500,1,WWWW[[#This Row],[Total PoP ]]/500),0)</f>
        <v>1</v>
      </c>
      <c r="DC37" s="909">
        <f>(WWWW[[#This Row],['#_Constructed latrines_by_WASHAgencies]]+WWWW[[#This Row],['#_Non Cluster partner latrines]])-WWWW[[#This Row],['#_Non-functional latrines]]</f>
        <v>96</v>
      </c>
      <c r="DD37" s="615">
        <f>WWWW[[#This Row],[HRP2]]/WWWW[[#This Row],[Total PoP ]]</f>
        <v>1</v>
      </c>
      <c r="DE37"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362</v>
      </c>
      <c r="DF37"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7"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7" s="417">
        <f>IF(WWWW[[#This Row],['# of functional latrines in THF supported by WASH partners during the reporting period2]]="",0,WWWW[[#This Row],['# of functional latrines in THF supported by WASH partners during the reporting period2]]*50)</f>
        <v>250</v>
      </c>
      <c r="DI37" s="909">
        <f>ROUND(IF(WWWW[[#This Row],[Location Type 1]]="camp",WWWW[[#This Row],[Total PoP ]]/20,IF(WWWW[[#This Row],[Location Type 1]]="Temporary Location",WWWW[[#This Row],[Total PoP ]]/50,(WWWW[[#This Row],[Total PoP ]]/6))),0)</f>
        <v>18</v>
      </c>
      <c r="DJ37" s="909">
        <f>IF(WWWW[[#This Row],[Total required Latrines]]-(WWWW[[#This Row],['#_Constructed latrines_by_WASHAgencies]]+WWWW[[#This Row],['#_Non Cluster partner latrines]])&lt;0,0,WWWW[[#This Row],[Total required Latrines]]-(WWWW[[#This Row],['#_Constructed latrines_by_WASHAgencies]]+WWWW[[#This Row],['#_Non Cluster partner latrines]]))</f>
        <v>0</v>
      </c>
      <c r="DK37" s="911">
        <f>1-WWWW[[#This Row],[% people access to functioning Latrine]]</f>
        <v>0</v>
      </c>
      <c r="DL37" s="910">
        <f>IF(OR(WWWW[[#This Row],['#_Non-functional latrines]]="",WWWW[[#This Row],['#_Non-functional latrines]]=0),0,WWWW[[#This Row],['#_Non-functional latrines]]/(WWWW[[#This Row],['#_Constructed latrines_by_WASHAgencies]]+WWWW[[#This Row],['#_Non Cluster partner latrines]]))</f>
        <v>0</v>
      </c>
      <c r="DM37" s="906">
        <f>IF(500*(WWWW[[#This Row],['#_male hygiene promoters]]+WWWW[[#This Row],['#_female hygiene promoters]])&gt;WWWW[[#This Row],[Total PoP ]],WWWW[[#This Row],[Total PoP ]],500*(WWWW[[#This Row],['#_male hygiene promoters]]+WWWW[[#This Row],['#_female hygiene promoters]]))</f>
        <v>0</v>
      </c>
      <c r="DN37"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7"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7" s="909">
        <f>IF(WWWW[[#This Row],['# People with access to soap]]&gt;WWWW[[#This Row],['# People with access to Sanity Pads]],WWWW[[#This Row],['# People with access to soap]],WWWW[[#This Row],['# People with access to Sanity Pads]])</f>
        <v>0</v>
      </c>
      <c r="DQ37"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7" s="911">
        <f>IF(WWWW[[#This Row],[HRP3]]/WWWW[[#This Row],[Total PoP ]]&gt;1,1,WWWW[[#This Row],[HRP3]]/WWWW[[#This Row],[Total PoP ]])</f>
        <v>0</v>
      </c>
      <c r="DS37" s="910">
        <f>1-WWWW[[#This Row],[Hygiene Coverage%]]</f>
        <v>1</v>
      </c>
      <c r="DT37" s="908">
        <f>WWWW[[#This Row],['# people reached by regular dedicated hygiene promotion_5]]/WWWW[[#This Row],[Total PoP ]]</f>
        <v>0</v>
      </c>
      <c r="DU37"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7"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7" s="909">
        <f>WWWW[[#This Row],['#_Constructed/Existing hand washing stations]]-WWWW[[#This Row],['#_Non-Functional_hand_washing_stations]]</f>
        <v>1</v>
      </c>
      <c r="DX37" s="906">
        <f>IF(WWWW[[#This Row],['# Functional hand washing stations during reporting period]]*20&gt;WWWW[[#This Row],[Total HH]],WWWW[[#This Row],[Total HH]],WWWW[[#This Row],['# Functional hand washing stations during reporting period]]*20)</f>
        <v>20</v>
      </c>
      <c r="DY37" s="906">
        <f>IF(WWWW[[#This Row],[Is sufficient soap available for TLS? (Yes/No)]]="yes",WWWW[[#This Row],['#_Constructed/Existing hand washing stations at TLS/CFS/THF]],0)</f>
        <v>0</v>
      </c>
      <c r="DZ37" s="421">
        <f>IF(WWWW[[#This Row],['# Functional hand washing stations during reporting period]]*100&gt;WWWW[[#This Row],[Total PoP ]],WWWW[[#This Row],[Total PoP ]],WWWW[[#This Row],['# Functional hand washing stations during reporting period]]*100)</f>
        <v>100</v>
      </c>
      <c r="EA37" s="421" t="str">
        <f>IF(OR(WWWW[[#This Row],['#_students at TLS_CFS]]="",WWWW[[#This Row],['#_students at TLS_CFS]]=0),"No","Yes")</f>
        <v>No</v>
      </c>
      <c r="EB3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7" s="566">
        <f>WWWW[[#This Row],[%_of_affected_people_surveyed_who_report_feeling_satistfied_with_the_latrine_design_and_sanitation_service]]*WWWW[[#This Row],[Total PoP ]]</f>
        <v>0</v>
      </c>
      <c r="ED37" s="566">
        <f>WWWW[[#This Row],[%_of_affected_people_surveyed_who_report_feeling_satistfied_with_the_water_point_design_and_water_service]]*WWWW[[#This Row],[Total PoP ]]</f>
        <v>0</v>
      </c>
      <c r="EE37" s="566">
        <f>WWWW[[#This Row],[%_of_complaints_received_that_result_in_timely_corrective_action_and_feedback_to_the_community]]*WWWW[[#This Row],[Total PoP ]]</f>
        <v>0</v>
      </c>
      <c r="EF3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250</v>
      </c>
      <c r="EI37" s="902" t="str">
        <f>VLOOKUP(WWWW[[#This Row],[Site Name]],SiteDB6[[Site Name]:[CCCM Management]],6,FALSE)</f>
        <v>Yes</v>
      </c>
      <c r="EJ37" s="902" t="str">
        <f>VLOOKUP(WWWW[[#This Row],[Site Name]],SiteDB6[[Site Name]:[CCCM Focal Agency]],7,FALSE)</f>
        <v>KBC-MYT</v>
      </c>
      <c r="EK37" s="902" t="str">
        <f>VLOOKUP(WWWW[[#This Row],[Site Name]],SiteDB6[[Site Name]:[Location Type 1]],9,FALSE)</f>
        <v>Camp</v>
      </c>
      <c r="EL37" s="902" t="str">
        <f>VLOOKUP(WWWW[[#This Row],[Site Name]],SiteDB6[[Site Name]:[Type of Accommodation]],10,FALSE)</f>
        <v>Camp</v>
      </c>
      <c r="EM37" s="902" t="str">
        <f>VLOOKUP(WWWW[[#This Row],[Site Name]],SiteDB6[[Site Name]:[Ethnic or GCA/NGCA]],11,FALSE)</f>
        <v>NGCA</v>
      </c>
      <c r="EN37" s="902">
        <f>VLOOKUP(WWWW[[#This Row],[Site Name]],SiteDB6[[Site Name]:[Lat]],12,FALSE)</f>
        <v>26.548506</v>
      </c>
      <c r="EO37" s="902">
        <f>VLOOKUP(WWWW[[#This Row],[Site Name]],SiteDB6[[Site Name]:[Long]],13,FALSE)</f>
        <v>97.75609</v>
      </c>
      <c r="EP37" s="902" t="str">
        <f>VLOOKUP(WWWW[[#This Row],[Site Name]],SiteDB6[[Site Name]:[Pcode]],3,FALSE)</f>
        <v>MMR001CMP239</v>
      </c>
      <c r="EQ37" s="907" t="str">
        <f t="shared" si="0"/>
        <v>Covered</v>
      </c>
      <c r="ER37" s="907" t="s">
        <v>3126</v>
      </c>
      <c r="ES37" s="907" t="s">
        <v>3126</v>
      </c>
      <c r="ET37" s="902">
        <f>VLOOKUP(WWWW[[#This Row],[Site Name]],SiteDB6[[Site Name]:[Pop
(Kachin/Shan-CCCM as of May 2023)]],16,FALSE)</f>
        <v>72</v>
      </c>
      <c r="EU37" s="902">
        <f>VLOOKUP(WWWW[[#This Row],[Site Name]],SiteDB6[[Site Name]:[Pop
(Kachin/Shan-CCCM as of May 2023)]],17,FALSE)</f>
        <v>341</v>
      </c>
    </row>
    <row r="38" spans="1:151" hidden="1">
      <c r="A38" s="900" t="s">
        <v>2961</v>
      </c>
      <c r="B38" s="901" t="s">
        <v>141</v>
      </c>
      <c r="C38" s="901" t="s">
        <v>141</v>
      </c>
      <c r="D38" s="901" t="s">
        <v>241</v>
      </c>
      <c r="E38" s="901" t="s">
        <v>37</v>
      </c>
      <c r="F38" s="901" t="s">
        <v>858</v>
      </c>
      <c r="G38" s="902" t="str">
        <f>VLOOKUP(WWWW[[#This Row],[Site Name]],SiteDB6[[Site Name]:[Location Type]],8,FALSE)</f>
        <v>Camp</v>
      </c>
      <c r="H38" s="901" t="s">
        <v>1610</v>
      </c>
      <c r="I38" s="903">
        <v>96</v>
      </c>
      <c r="J38" s="903">
        <v>413</v>
      </c>
      <c r="K38" s="904">
        <v>44811</v>
      </c>
      <c r="L38" s="905">
        <v>45175</v>
      </c>
      <c r="M38" s="903"/>
      <c r="N38" s="903">
        <v>2</v>
      </c>
      <c r="O38" s="903"/>
      <c r="P38" s="903"/>
      <c r="Q38" s="906" t="s">
        <v>41</v>
      </c>
      <c r="R38" s="903">
        <v>2</v>
      </c>
      <c r="S38" s="903">
        <v>2</v>
      </c>
      <c r="T38" s="441">
        <v>4</v>
      </c>
      <c r="U38" s="903"/>
      <c r="V38" s="903"/>
      <c r="W38" s="903">
        <v>3</v>
      </c>
      <c r="X38" s="903"/>
      <c r="Y38" s="903"/>
      <c r="Z38" s="903"/>
      <c r="AA38" s="903"/>
      <c r="AB38" s="903"/>
      <c r="AC38" s="903"/>
      <c r="AD38" s="903"/>
      <c r="AE38" s="903"/>
      <c r="AF38" s="903"/>
      <c r="AG38" s="903"/>
      <c r="AH38" s="903"/>
      <c r="AI38" s="903"/>
      <c r="AJ38" s="903"/>
      <c r="AK38" s="903"/>
      <c r="AL38" s="903"/>
      <c r="AM38" s="903"/>
      <c r="AN38" s="903"/>
      <c r="AO38" s="441"/>
      <c r="AP38" s="907"/>
      <c r="AQ38" s="903">
        <v>30</v>
      </c>
      <c r="AR38" s="903">
        <v>30</v>
      </c>
      <c r="AS38" s="908"/>
      <c r="AT38" s="903"/>
      <c r="AU38" s="903"/>
      <c r="AV38" s="903"/>
      <c r="AW38" s="903"/>
      <c r="AX38" s="903"/>
      <c r="AY38" s="902" t="s">
        <v>140</v>
      </c>
      <c r="AZ38" s="907" t="s">
        <v>140</v>
      </c>
      <c r="BA38" s="903"/>
      <c r="BB38" s="903"/>
      <c r="BC38" s="903"/>
      <c r="BD38" s="441"/>
      <c r="BE38" s="441"/>
      <c r="BF38" s="902"/>
      <c r="BG38" s="903">
        <v>3</v>
      </c>
      <c r="BH38" s="903"/>
      <c r="BI38" s="903">
        <v>5</v>
      </c>
      <c r="BJ38" s="903">
        <v>3</v>
      </c>
      <c r="BK38" s="903"/>
      <c r="BL38" s="903"/>
      <c r="BM38" s="903"/>
      <c r="BN38" s="903"/>
      <c r="BO38" s="903"/>
      <c r="BP38" s="902"/>
      <c r="BQ38" s="909"/>
      <c r="BR38" s="908"/>
      <c r="BS38" s="902"/>
      <c r="BT38" s="416"/>
      <c r="BU38" s="416"/>
      <c r="BV38" s="418"/>
      <c r="BW38" s="416"/>
      <c r="BX38" s="441"/>
      <c r="BY38" s="441"/>
      <c r="BZ38" s="441"/>
      <c r="CA38" s="441"/>
      <c r="CB38" s="441"/>
      <c r="CC38" s="693"/>
      <c r="CD38" s="441"/>
      <c r="CE38" s="910" t="str">
        <f>IFERROR(WWWW[[#This Row],['#_Water sources passed]]/WWWW[[#This Row],['#_Water sources tested for fecal coliform ]],"no test")</f>
        <v>no test</v>
      </c>
      <c r="CF38" s="908" t="str">
        <f>IFERROR(WWWW[[#This Row],['#_Household passed]]/WWWW[[#This Row],['#_Household water samples tested for fecal coliform]],"no test")</f>
        <v>no test</v>
      </c>
      <c r="CG38" s="909" t="str">
        <f>IF(AND(WWWW[[#This Row],[% of water sources passed]]="no test",WWWW[[#This Row],[% Household passed]]="no test"),"No Test","Tested")</f>
        <v>No Test</v>
      </c>
      <c r="CH38" s="909">
        <f>WWWW[[#This Row],['#_Constructed/existing protected hand dug well]]-WWWW[[#This Row],['#_Non-functional protected hand dug well]]</f>
        <v>4</v>
      </c>
      <c r="CI38" s="909">
        <f>(WWWW[[#This Row],['#_Constructed/Existing tube wells/boreholes/handpumps_WASH_agency]]+WWWW[[#This Row],['#_Non-Cluster partner water tube-wells/boreholes/handpumps]])-WWWW[[#This Row],['#_Non-functional tube wells/boreholes/handpumps]]</f>
        <v>3</v>
      </c>
      <c r="CJ38" s="909">
        <f>WWWW[[#This Row],['#_Constructed/Existingwater storage tank with gravity fed reticulation system]]-WWWW[[#This Row],['#_Non-functional storage tank gravity fed reticulation system]]</f>
        <v>0</v>
      </c>
      <c r="CK38" s="909">
        <f>(WWWW[[#This Row],['#_Water_Liters_supplied_by_Water boating or water trucking]]/90)/15</f>
        <v>0</v>
      </c>
      <c r="CL38" s="909">
        <f>WWWW[[#This Row],['#_Water_Liters_from_Constructed/Existing water distribution system from river or natural spring]]/90/15</f>
        <v>0</v>
      </c>
      <c r="CM38" s="417">
        <f>IF(WWWW[[#This Row],['#_of water points in TLS/CFS]]*500&gt;WWWW[[#This Row],[Total PoP ]],WWWW[[#This Row],[Total PoP ]],WWWW[[#This Row],['#_of water points in TLS/CFS]]*500)</f>
        <v>0</v>
      </c>
      <c r="CN38" s="417">
        <f>IF(WWWW[[#This Row],['#_of water points in THF]]*500&gt;WWWW[[#This Row],[Total PoP ]],WWWW[[#This Row],[Total PoP ]],WWWW[[#This Row],['#_of water points in THF]]*500)</f>
        <v>0</v>
      </c>
      <c r="CO38" s="417"/>
      <c r="CP38"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8"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8" s="908">
        <f>IF(WWWW[[#This Row],[Location Type 1]]="Village",WWWW[[#This Row],[Access to safe drinking water for Village]],WWWW[[#This Row],[Access to safe drinking water for Camp]])</f>
        <v>1</v>
      </c>
      <c r="CS38" s="906">
        <f>WWWW[[#This Row],[%Equitable and continuous access to sufficient quantity of safe drinking water]]*WWWW[[#This Row],[Total PoP ]]</f>
        <v>413</v>
      </c>
      <c r="CT38" s="908">
        <f>IF((WWWW[[#This Row],['#_Constructed/Existing protected/fenced ponds]]*250)/WWWW[[#This Row],[Total PoP ]]&gt;1,1,(WWWW[[#This Row],['#_Constructed/Existing protected/fenced ponds]]*250)/WWWW[[#This Row],[Total PoP ]])</f>
        <v>0</v>
      </c>
      <c r="CU38" s="906">
        <f>WWWW[[#This Row],[% Access to unimproved water points]]*WWWW[[#This Row],[Total PoP ]]</f>
        <v>0</v>
      </c>
      <c r="CV38"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8"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413</v>
      </c>
      <c r="CX38" s="906">
        <f>WWWW[[#This Row],[HRP1]]/500</f>
        <v>0.82599999999999996</v>
      </c>
      <c r="CY38" s="911">
        <f>1-WWWW[[#This Row],[% Equitable and continuous access to sufficient quantity of domestic water]]</f>
        <v>0</v>
      </c>
      <c r="CZ38" s="906">
        <f>WWWW[[#This Row],[%equitable and continuous access to sufficient quantity of safe drinking and domestic water''s GAP]]*WWWW[[#This Row],[Total PoP ]]</f>
        <v>0</v>
      </c>
      <c r="DA38" s="909">
        <f>IF(WWWW[[#This Row],[Total required water points]]-WWWW[[#This Row],['#Water points coverage]]&lt;0,0,WWWW[[#This Row],[Total required water points]]-WWWW[[#This Row],['#Water points coverage]])</f>
        <v>0.17400000000000004</v>
      </c>
      <c r="DB38" s="909">
        <f>ROUND(IF(WWWW[[#This Row],[Total PoP ]]&lt;500,1,WWWW[[#This Row],[Total PoP ]]/500),0)</f>
        <v>1</v>
      </c>
      <c r="DC38" s="909">
        <f>(WWWW[[#This Row],['#_Constructed latrines_by_WASHAgencies]]+WWWW[[#This Row],['#_Non Cluster partner latrines]])-WWWW[[#This Row],['#_Non-functional latrines]]</f>
        <v>60</v>
      </c>
      <c r="DD38" s="615">
        <f>WWWW[[#This Row],[HRP2]]/WWWW[[#This Row],[Total PoP ]]</f>
        <v>1</v>
      </c>
      <c r="DE38"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413</v>
      </c>
      <c r="DF38"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8"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8" s="417">
        <f>IF(WWWW[[#This Row],['# of functional latrines in THF supported by WASH partners during the reporting period2]]="",0,WWWW[[#This Row],['# of functional latrines in THF supported by WASH partners during the reporting period2]]*50)</f>
        <v>0</v>
      </c>
      <c r="DI38" s="909">
        <f>ROUND(IF(WWWW[[#This Row],[Location Type 1]]="camp",WWWW[[#This Row],[Total PoP ]]/20,IF(WWWW[[#This Row],[Location Type 1]]="Temporary Location",WWWW[[#This Row],[Total PoP ]]/50,(WWWW[[#This Row],[Total PoP ]]/6))),0)</f>
        <v>21</v>
      </c>
      <c r="DJ38" s="909">
        <f>IF(WWWW[[#This Row],[Total required Latrines]]-(WWWW[[#This Row],['#_Constructed latrines_by_WASHAgencies]]+WWWW[[#This Row],['#_Non Cluster partner latrines]])&lt;0,0,WWWW[[#This Row],[Total required Latrines]]-(WWWW[[#This Row],['#_Constructed latrines_by_WASHAgencies]]+WWWW[[#This Row],['#_Non Cluster partner latrines]]))</f>
        <v>0</v>
      </c>
      <c r="DK38" s="911">
        <f>1-WWWW[[#This Row],[% people access to functioning Latrine]]</f>
        <v>0</v>
      </c>
      <c r="DL38" s="910">
        <f>IF(OR(WWWW[[#This Row],['#_Non-functional latrines]]="",WWWW[[#This Row],['#_Non-functional latrines]]=0),0,WWWW[[#This Row],['#_Non-functional latrines]]/(WWWW[[#This Row],['#_Constructed latrines_by_WASHAgencies]]+WWWW[[#This Row],['#_Non Cluster partner latrines]]))</f>
        <v>0</v>
      </c>
      <c r="DM38" s="906">
        <f>IF(500*(WWWW[[#This Row],['#_male hygiene promoters]]+WWWW[[#This Row],['#_female hygiene promoters]])&gt;WWWW[[#This Row],[Total PoP ]],WWWW[[#This Row],[Total PoP ]],500*(WWWW[[#This Row],['#_male hygiene promoters]]+WWWW[[#This Row],['#_female hygiene promoters]]))</f>
        <v>0</v>
      </c>
      <c r="DN38"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8"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8" s="909">
        <f>IF(WWWW[[#This Row],['# People with access to soap]]&gt;WWWW[[#This Row],['# People with access to Sanity Pads]],WWWW[[#This Row],['# People with access to soap]],WWWW[[#This Row],['# People with access to Sanity Pads]])</f>
        <v>0</v>
      </c>
      <c r="DQ38"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8" s="911">
        <f>IF(WWWW[[#This Row],[HRP3]]/WWWW[[#This Row],[Total PoP ]]&gt;1,1,WWWW[[#This Row],[HRP3]]/WWWW[[#This Row],[Total PoP ]])</f>
        <v>0</v>
      </c>
      <c r="DS38" s="910">
        <f>1-WWWW[[#This Row],[Hygiene Coverage%]]</f>
        <v>1</v>
      </c>
      <c r="DT38" s="908">
        <f>WWWW[[#This Row],['# people reached by regular dedicated hygiene promotion_5]]/WWWW[[#This Row],[Total PoP ]]</f>
        <v>0</v>
      </c>
      <c r="DU38"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8"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8" s="909">
        <f>WWWW[[#This Row],['#_Constructed/Existing hand washing stations]]-WWWW[[#This Row],['#_Non-Functional_hand_washing_stations]]</f>
        <v>3</v>
      </c>
      <c r="DX38" s="906">
        <f>IF(WWWW[[#This Row],['# Functional hand washing stations during reporting period]]*20&gt;WWWW[[#This Row],[Total HH]],WWWW[[#This Row],[Total HH]],WWWW[[#This Row],['# Functional hand washing stations during reporting period]]*20)</f>
        <v>60</v>
      </c>
      <c r="DY38" s="906">
        <f>IF(WWWW[[#This Row],[Is sufficient soap available for TLS? (Yes/No)]]="yes",WWWW[[#This Row],['#_Constructed/Existing hand washing stations at TLS/CFS/THF]],0)</f>
        <v>0</v>
      </c>
      <c r="DZ38" s="421">
        <f>IF(WWWW[[#This Row],['# Functional hand washing stations during reporting period]]*100&gt;WWWW[[#This Row],[Total PoP ]],WWWW[[#This Row],[Total PoP ]],WWWW[[#This Row],['# Functional hand washing stations during reporting period]]*100)</f>
        <v>300</v>
      </c>
      <c r="EA38" s="421" t="str">
        <f>IF(OR(WWWW[[#This Row],['#_students at TLS_CFS]]="",WWWW[[#This Row],['#_students at TLS_CFS]]=0),"No","Yes")</f>
        <v>No</v>
      </c>
      <c r="EB3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8" s="566">
        <f>WWWW[[#This Row],[%_of_affected_people_surveyed_who_report_feeling_satistfied_with_the_latrine_design_and_sanitation_service]]*WWWW[[#This Row],[Total PoP ]]</f>
        <v>0</v>
      </c>
      <c r="ED38" s="566">
        <f>WWWW[[#This Row],[%_of_affected_people_surveyed_who_report_feeling_satistfied_with_the_water_point_design_and_water_service]]*WWWW[[#This Row],[Total PoP ]]</f>
        <v>0</v>
      </c>
      <c r="EE38" s="566">
        <f>WWWW[[#This Row],[%_of_complaints_received_that_result_in_timely_corrective_action_and_feedback_to_the_community]]*WWWW[[#This Row],[Total PoP ]]</f>
        <v>0</v>
      </c>
      <c r="EF3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8" s="902" t="str">
        <f>VLOOKUP(WWWW[[#This Row],[Site Name]],SiteDB6[[Site Name]:[CCCM Management]],6,FALSE)</f>
        <v>Yes</v>
      </c>
      <c r="EJ38" s="902" t="str">
        <f>VLOOKUP(WWWW[[#This Row],[Site Name]],SiteDB6[[Site Name]:[CCCM Focal Agency]],7,FALSE)</f>
        <v>KBC-MYT</v>
      </c>
      <c r="EK38" s="902" t="str">
        <f>VLOOKUP(WWWW[[#This Row],[Site Name]],SiteDB6[[Site Name]:[Location Type 1]],9,FALSE)</f>
        <v>Camp</v>
      </c>
      <c r="EL38" s="902" t="str">
        <f>VLOOKUP(WWWW[[#This Row],[Site Name]],SiteDB6[[Site Name]:[Type of Accommodation]],10,FALSE)</f>
        <v>Camp</v>
      </c>
      <c r="EM38" s="902" t="str">
        <f>VLOOKUP(WWWW[[#This Row],[Site Name]],SiteDB6[[Site Name]:[Ethnic or GCA/NGCA]],11,FALSE)</f>
        <v>GCA</v>
      </c>
      <c r="EN38" s="902">
        <f>VLOOKUP(WWWW[[#This Row],[Site Name]],SiteDB6[[Site Name]:[Lat]],12,FALSE)</f>
        <v>26.356223</v>
      </c>
      <c r="EO38" s="902">
        <f>VLOOKUP(WWWW[[#This Row],[Site Name]],SiteDB6[[Site Name]:[Long]],13,FALSE)</f>
        <v>96.721439000000004</v>
      </c>
      <c r="EP38" s="902" t="str">
        <f>VLOOKUP(WWWW[[#This Row],[Site Name]],SiteDB6[[Site Name]:[Pcode]],3,FALSE)</f>
        <v>MMR001CMP253</v>
      </c>
      <c r="EQ38" s="907" t="str">
        <f t="shared" si="0"/>
        <v>Covered</v>
      </c>
      <c r="ER38" s="907" t="s">
        <v>3126</v>
      </c>
      <c r="ES38" s="907" t="s">
        <v>3126</v>
      </c>
      <c r="ET38" s="902">
        <f>VLOOKUP(WWWW[[#This Row],[Site Name]],SiteDB6[[Site Name]:[Pop
(Kachin/Shan-CCCM as of May 2023)]],16,FALSE)</f>
        <v>108</v>
      </c>
      <c r="EU38" s="902">
        <f>VLOOKUP(WWWW[[#This Row],[Site Name]],SiteDB6[[Site Name]:[Pop
(Kachin/Shan-CCCM as of May 2023)]],17,FALSE)</f>
        <v>479</v>
      </c>
    </row>
    <row r="39" spans="1:151" hidden="1">
      <c r="A39" s="900" t="s">
        <v>2961</v>
      </c>
      <c r="B39" s="901" t="s">
        <v>141</v>
      </c>
      <c r="C39" s="901" t="s">
        <v>141</v>
      </c>
      <c r="D39" s="901" t="s">
        <v>241</v>
      </c>
      <c r="E39" s="901" t="s">
        <v>37</v>
      </c>
      <c r="F39" s="901" t="s">
        <v>142</v>
      </c>
      <c r="G39" s="902" t="str">
        <f>VLOOKUP(WWWW[[#This Row],[Site Name]],SiteDB6[[Site Name]:[Location Type]],8,FALSE)</f>
        <v>Camp</v>
      </c>
      <c r="H39" s="901" t="s">
        <v>176</v>
      </c>
      <c r="I39" s="903">
        <v>27</v>
      </c>
      <c r="J39" s="903">
        <v>140</v>
      </c>
      <c r="K39" s="904">
        <v>44811</v>
      </c>
      <c r="L39" s="905">
        <v>45175</v>
      </c>
      <c r="M39" s="903"/>
      <c r="N39" s="903">
        <v>1</v>
      </c>
      <c r="O39" s="903"/>
      <c r="P39" s="903"/>
      <c r="Q39" s="906" t="s">
        <v>41</v>
      </c>
      <c r="R39" s="903">
        <v>3</v>
      </c>
      <c r="S39" s="903">
        <v>4</v>
      </c>
      <c r="T39" s="441">
        <v>2</v>
      </c>
      <c r="U39" s="903"/>
      <c r="V39" s="903"/>
      <c r="W39" s="903">
        <v>1</v>
      </c>
      <c r="X39" s="903"/>
      <c r="Y39" s="903"/>
      <c r="Z39" s="903"/>
      <c r="AA39" s="903"/>
      <c r="AB39" s="903"/>
      <c r="AC39" s="903"/>
      <c r="AD39" s="903"/>
      <c r="AE39" s="903"/>
      <c r="AF39" s="903"/>
      <c r="AG39" s="903"/>
      <c r="AH39" s="903">
        <v>3</v>
      </c>
      <c r="AI39" s="903"/>
      <c r="AJ39" s="903"/>
      <c r="AK39" s="903"/>
      <c r="AL39" s="903"/>
      <c r="AM39" s="903"/>
      <c r="AN39" s="903"/>
      <c r="AO39" s="441"/>
      <c r="AP39" s="907"/>
      <c r="AQ39" s="903">
        <v>6</v>
      </c>
      <c r="AR39" s="903"/>
      <c r="AS39" s="908"/>
      <c r="AT39" s="903"/>
      <c r="AU39" s="903"/>
      <c r="AV39" s="903"/>
      <c r="AW39" s="903"/>
      <c r="AX39" s="903">
        <v>6</v>
      </c>
      <c r="AY39" s="902" t="s">
        <v>41</v>
      </c>
      <c r="AZ39" s="907" t="s">
        <v>137</v>
      </c>
      <c r="BA39" s="903"/>
      <c r="BB39" s="903"/>
      <c r="BC39" s="903"/>
      <c r="BD39" s="441"/>
      <c r="BE39" s="441"/>
      <c r="BF39" s="902"/>
      <c r="BG39" s="903">
        <v>8</v>
      </c>
      <c r="BH39" s="903"/>
      <c r="BI39" s="903"/>
      <c r="BJ39" s="903">
        <v>3</v>
      </c>
      <c r="BK39" s="903"/>
      <c r="BL39" s="903"/>
      <c r="BM39" s="903">
        <v>1</v>
      </c>
      <c r="BN39" s="903"/>
      <c r="BO39" s="903"/>
      <c r="BP39" s="902"/>
      <c r="BQ39" s="909"/>
      <c r="BR39" s="908"/>
      <c r="BS39" s="902"/>
      <c r="BT39" s="416"/>
      <c r="BU39" s="416"/>
      <c r="BV39" s="418"/>
      <c r="BW39" s="416"/>
      <c r="BX39" s="441"/>
      <c r="BY39" s="441"/>
      <c r="BZ39" s="441"/>
      <c r="CA39" s="441"/>
      <c r="CB39" s="441"/>
      <c r="CC39" s="693"/>
      <c r="CD39" s="441"/>
      <c r="CE39" s="910" t="str">
        <f>IFERROR(WWWW[[#This Row],['#_Water sources passed]]/WWWW[[#This Row],['#_Water sources tested for fecal coliform ]],"no test")</f>
        <v>no test</v>
      </c>
      <c r="CF39" s="908" t="str">
        <f>IFERROR(WWWW[[#This Row],['#_Household passed]]/WWWW[[#This Row],['#_Household water samples tested for fecal coliform]],"no test")</f>
        <v>no test</v>
      </c>
      <c r="CG39" s="909" t="str">
        <f>IF(AND(WWWW[[#This Row],[% of water sources passed]]="no test",WWWW[[#This Row],[% Household passed]]="no test"),"No Test","Tested")</f>
        <v>No Test</v>
      </c>
      <c r="CH39" s="909">
        <f>WWWW[[#This Row],['#_Constructed/existing protected hand dug well]]-WWWW[[#This Row],['#_Non-functional protected hand dug well]]</f>
        <v>2</v>
      </c>
      <c r="CI39" s="909">
        <f>(WWWW[[#This Row],['#_Constructed/Existing tube wells/boreholes/handpumps_WASH_agency]]+WWWW[[#This Row],['#_Non-Cluster partner water tube-wells/boreholes/handpumps]])-WWWW[[#This Row],['#_Non-functional tube wells/boreholes/handpumps]]</f>
        <v>1</v>
      </c>
      <c r="CJ39" s="909">
        <f>WWWW[[#This Row],['#_Constructed/Existingwater storage tank with gravity fed reticulation system]]-WWWW[[#This Row],['#_Non-functional storage tank gravity fed reticulation system]]</f>
        <v>0</v>
      </c>
      <c r="CK39" s="909">
        <f>(WWWW[[#This Row],['#_Water_Liters_supplied_by_Water boating or water trucking]]/90)/15</f>
        <v>0</v>
      </c>
      <c r="CL39" s="909">
        <f>WWWW[[#This Row],['#_Water_Liters_from_Constructed/Existing water distribution system from river or natural spring]]/90/15</f>
        <v>0</v>
      </c>
      <c r="CM39" s="417">
        <f>IF(WWWW[[#This Row],['#_of water points in TLS/CFS]]*500&gt;WWWW[[#This Row],[Total PoP ]],WWWW[[#This Row],[Total PoP ]],WWWW[[#This Row],['#_of water points in TLS/CFS]]*500)</f>
        <v>0</v>
      </c>
      <c r="CN39" s="417">
        <f>IF(WWWW[[#This Row],['#_of water points in THF]]*500&gt;WWWW[[#This Row],[Total PoP ]],WWWW[[#This Row],[Total PoP ]],WWWW[[#This Row],['#_of water points in THF]]*500)</f>
        <v>0</v>
      </c>
      <c r="CO39" s="417"/>
      <c r="CP39"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9"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9" s="908">
        <f>IF(WWWW[[#This Row],[Location Type 1]]="Village",WWWW[[#This Row],[Access to safe drinking water for Village]],WWWW[[#This Row],[Access to safe drinking water for Camp]])</f>
        <v>1</v>
      </c>
      <c r="CS39" s="906">
        <f>WWWW[[#This Row],[%Equitable and continuous access to sufficient quantity of safe drinking water]]*WWWW[[#This Row],[Total PoP ]]</f>
        <v>140</v>
      </c>
      <c r="CT39" s="908">
        <f>IF((WWWW[[#This Row],['#_Constructed/Existing protected/fenced ponds]]*250)/WWWW[[#This Row],[Total PoP ]]&gt;1,1,(WWWW[[#This Row],['#_Constructed/Existing protected/fenced ponds]]*250)/WWWW[[#This Row],[Total PoP ]])</f>
        <v>0</v>
      </c>
      <c r="CU39" s="906">
        <f>WWWW[[#This Row],[% Access to unimproved water points]]*WWWW[[#This Row],[Total PoP ]]</f>
        <v>0</v>
      </c>
      <c r="CV39"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9"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140</v>
      </c>
      <c r="CX39" s="906">
        <f>WWWW[[#This Row],[HRP1]]/500</f>
        <v>0.28000000000000003</v>
      </c>
      <c r="CY39" s="911">
        <f>1-WWWW[[#This Row],[% Equitable and continuous access to sufficient quantity of domestic water]]</f>
        <v>0</v>
      </c>
      <c r="CZ39" s="906">
        <f>WWWW[[#This Row],[%equitable and continuous access to sufficient quantity of safe drinking and domestic water''s GAP]]*WWWW[[#This Row],[Total PoP ]]</f>
        <v>0</v>
      </c>
      <c r="DA39" s="909">
        <f>IF(WWWW[[#This Row],[Total required water points]]-WWWW[[#This Row],['#Water points coverage]]&lt;0,0,WWWW[[#This Row],[Total required water points]]-WWWW[[#This Row],['#Water points coverage]])</f>
        <v>0.72</v>
      </c>
      <c r="DB39" s="909">
        <f>ROUND(IF(WWWW[[#This Row],[Total PoP ]]&lt;500,1,WWWW[[#This Row],[Total PoP ]]/500),0)</f>
        <v>1</v>
      </c>
      <c r="DC39" s="909">
        <f>(WWWW[[#This Row],['#_Constructed latrines_by_WASHAgencies]]+WWWW[[#This Row],['#_Non Cluster partner latrines]])-WWWW[[#This Row],['#_Non-functional latrines]]</f>
        <v>6</v>
      </c>
      <c r="DD39" s="615">
        <f>WWWW[[#This Row],[HRP2]]/WWWW[[#This Row],[Total PoP ]]</f>
        <v>0.8571428571428571</v>
      </c>
      <c r="DE39"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120</v>
      </c>
      <c r="DF39"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9"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9" s="417">
        <f>IF(WWWW[[#This Row],['# of functional latrines in THF supported by WASH partners during the reporting period2]]="",0,WWWW[[#This Row],['# of functional latrines in THF supported by WASH partners during the reporting period2]]*50)</f>
        <v>0</v>
      </c>
      <c r="DI39" s="909">
        <f>ROUND(IF(WWWW[[#This Row],[Location Type 1]]="camp",WWWW[[#This Row],[Total PoP ]]/20,IF(WWWW[[#This Row],[Location Type 1]]="Temporary Location",WWWW[[#This Row],[Total PoP ]]/50,(WWWW[[#This Row],[Total PoP ]]/6))),0)</f>
        <v>7</v>
      </c>
      <c r="DJ39" s="909">
        <f>IF(WWWW[[#This Row],[Total required Latrines]]-(WWWW[[#This Row],['#_Constructed latrines_by_WASHAgencies]]+WWWW[[#This Row],['#_Non Cluster partner latrines]])&lt;0,0,WWWW[[#This Row],[Total required Latrines]]-(WWWW[[#This Row],['#_Constructed latrines_by_WASHAgencies]]+WWWW[[#This Row],['#_Non Cluster partner latrines]]))</f>
        <v>1</v>
      </c>
      <c r="DK39" s="911">
        <f>1-WWWW[[#This Row],[% people access to functioning Latrine]]</f>
        <v>0.1428571428571429</v>
      </c>
      <c r="DL39" s="910">
        <f>IF(OR(WWWW[[#This Row],['#_Non-functional latrines]]="",WWWW[[#This Row],['#_Non-functional latrines]]=0),0,WWWW[[#This Row],['#_Non-functional latrines]]/(WWWW[[#This Row],['#_Constructed latrines_by_WASHAgencies]]+WWWW[[#This Row],['#_Non Cluster partner latrines]]))</f>
        <v>0</v>
      </c>
      <c r="DM39" s="906">
        <f>IF(500*(WWWW[[#This Row],['#_male hygiene promoters]]+WWWW[[#This Row],['#_female hygiene promoters]])&gt;WWWW[[#This Row],[Total PoP ]],WWWW[[#This Row],[Total PoP ]],500*(WWWW[[#This Row],['#_male hygiene promoters]]+WWWW[[#This Row],['#_female hygiene promoters]]))</f>
        <v>140</v>
      </c>
      <c r="DN39"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9"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9" s="909">
        <f>IF(WWWW[[#This Row],['# People with access to soap]]&gt;WWWW[[#This Row],['# People with access to Sanity Pads]],WWWW[[#This Row],['# People with access to soap]],WWWW[[#This Row],['# People with access to Sanity Pads]])</f>
        <v>0</v>
      </c>
      <c r="DQ39" s="909">
        <f>IF(WWWW[[#This Row],['# people reached by regular dedicated hygiene promotion_5]]&gt;WWWW[[#This Row],['# People received regular supply of hygiene items_6]],WWWW[[#This Row],['# people reached by regular dedicated hygiene promotion_5]],WWWW[[#This Row],['# People received regular supply of hygiene items_6]])</f>
        <v>140</v>
      </c>
      <c r="DR39" s="911">
        <f>IF(WWWW[[#This Row],[HRP3]]/WWWW[[#This Row],[Total PoP ]]&gt;1,1,WWWW[[#This Row],[HRP3]]/WWWW[[#This Row],[Total PoP ]])</f>
        <v>1</v>
      </c>
      <c r="DS39" s="910">
        <f>1-WWWW[[#This Row],[Hygiene Coverage%]]</f>
        <v>0</v>
      </c>
      <c r="DT39" s="908">
        <f>WWWW[[#This Row],['# people reached by regular dedicated hygiene promotion_5]]/WWWW[[#This Row],[Total PoP ]]</f>
        <v>1</v>
      </c>
      <c r="DU39"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9"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9" s="909">
        <f>WWWW[[#This Row],['#_Constructed/Existing hand washing stations]]-WWWW[[#This Row],['#_Non-Functional_hand_washing_stations]]</f>
        <v>8</v>
      </c>
      <c r="DX39" s="906">
        <f>IF(WWWW[[#This Row],['# Functional hand washing stations during reporting period]]*20&gt;WWWW[[#This Row],[Total HH]],WWWW[[#This Row],[Total HH]],WWWW[[#This Row],['# Functional hand washing stations during reporting period]]*20)</f>
        <v>27</v>
      </c>
      <c r="DY39" s="906">
        <f>IF(WWWW[[#This Row],[Is sufficient soap available for TLS? (Yes/No)]]="yes",WWWW[[#This Row],['#_Constructed/Existing hand washing stations at TLS/CFS/THF]],0)</f>
        <v>0</v>
      </c>
      <c r="DZ39" s="421">
        <f>IF(WWWW[[#This Row],['# Functional hand washing stations during reporting period]]*100&gt;WWWW[[#This Row],[Total PoP ]],WWWW[[#This Row],[Total PoP ]],WWWW[[#This Row],['# Functional hand washing stations during reporting period]]*100)</f>
        <v>140</v>
      </c>
      <c r="EA39" s="421" t="str">
        <f>IF(OR(WWWW[[#This Row],['#_students at TLS_CFS]]="",WWWW[[#This Row],['#_students at TLS_CFS]]=0),"No","Yes")</f>
        <v>No</v>
      </c>
      <c r="EB3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9" s="566">
        <f>WWWW[[#This Row],[%_of_affected_people_surveyed_who_report_feeling_satistfied_with_the_latrine_design_and_sanitation_service]]*WWWW[[#This Row],[Total PoP ]]</f>
        <v>0</v>
      </c>
      <c r="ED39" s="566">
        <f>WWWW[[#This Row],[%_of_affected_people_surveyed_who_report_feeling_satistfied_with_the_water_point_design_and_water_service]]*WWWW[[#This Row],[Total PoP ]]</f>
        <v>0</v>
      </c>
      <c r="EE39" s="566">
        <f>WWWW[[#This Row],[%_of_complaints_received_that_result_in_timely_corrective_action_and_feedback_to_the_community]]*WWWW[[#This Row],[Total PoP ]]</f>
        <v>0</v>
      </c>
      <c r="EF3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9" s="902" t="str">
        <f>VLOOKUP(WWWW[[#This Row],[Site Name]],SiteDB6[[Site Name]:[CCCM Management]],6,FALSE)</f>
        <v>Yes</v>
      </c>
      <c r="EJ39" s="902" t="str">
        <f>VLOOKUP(WWWW[[#This Row],[Site Name]],SiteDB6[[Site Name]:[CCCM Focal Agency]],7,FALSE)</f>
        <v>KBC-MYT</v>
      </c>
      <c r="EK39" s="902" t="str">
        <f>VLOOKUP(WWWW[[#This Row],[Site Name]],SiteDB6[[Site Name]:[Location Type 1]],9,FALSE)</f>
        <v>Camp</v>
      </c>
      <c r="EL39" s="902" t="str">
        <f>VLOOKUP(WWWW[[#This Row],[Site Name]],SiteDB6[[Site Name]:[Type of Accommodation]],10,FALSE)</f>
        <v>Camp</v>
      </c>
      <c r="EM39" s="902" t="str">
        <f>VLOOKUP(WWWW[[#This Row],[Site Name]],SiteDB6[[Site Name]:[Ethnic or GCA/NGCA]],11,FALSE)</f>
        <v>GCA</v>
      </c>
      <c r="EN39" s="902">
        <f>VLOOKUP(WWWW[[#This Row],[Site Name]],SiteDB6[[Site Name]:[Lat]],12,FALSE)</f>
        <v>25.356632000000001</v>
      </c>
      <c r="EO39" s="902">
        <f>VLOOKUP(WWWW[[#This Row],[Site Name]],SiteDB6[[Site Name]:[Long]],13,FALSE)</f>
        <v>97.451965000000001</v>
      </c>
      <c r="EP39" s="902" t="str">
        <f>VLOOKUP(WWWW[[#This Row],[Site Name]],SiteDB6[[Site Name]:[Pcode]],3,FALSE)</f>
        <v>MMR001CMP027</v>
      </c>
      <c r="EQ39" s="907" t="str">
        <f t="shared" si="0"/>
        <v>Covered</v>
      </c>
      <c r="ER39" s="907" t="s">
        <v>3126</v>
      </c>
      <c r="ES39" s="907" t="s">
        <v>3126</v>
      </c>
      <c r="ET39" s="902">
        <f>VLOOKUP(WWWW[[#This Row],[Site Name]],SiteDB6[[Site Name]:[Pop
(Kachin/Shan-CCCM as of May 2023)]],16,FALSE)</f>
        <v>34</v>
      </c>
      <c r="EU39" s="902">
        <f>VLOOKUP(WWWW[[#This Row],[Site Name]],SiteDB6[[Site Name]:[Pop
(Kachin/Shan-CCCM as of May 2023)]],17,FALSE)</f>
        <v>213</v>
      </c>
    </row>
    <row r="40" spans="1:151" hidden="1">
      <c r="A40" s="900" t="s">
        <v>2961</v>
      </c>
      <c r="B40" s="901" t="s">
        <v>141</v>
      </c>
      <c r="C40" s="901" t="s">
        <v>141</v>
      </c>
      <c r="D40" s="901" t="s">
        <v>241</v>
      </c>
      <c r="E40" s="901" t="s">
        <v>37</v>
      </c>
      <c r="F40" s="901" t="s">
        <v>142</v>
      </c>
      <c r="G40" s="902" t="str">
        <f>VLOOKUP(WWWW[[#This Row],[Site Name]],SiteDB6[[Site Name]:[Location Type]],8,FALSE)</f>
        <v>Camp</v>
      </c>
      <c r="H40" s="901" t="s">
        <v>178</v>
      </c>
      <c r="I40" s="903">
        <v>530</v>
      </c>
      <c r="J40" s="903">
        <v>2973</v>
      </c>
      <c r="K40" s="904">
        <v>44811</v>
      </c>
      <c r="L40" s="905">
        <v>45175</v>
      </c>
      <c r="M40" s="903"/>
      <c r="N40" s="903">
        <v>5</v>
      </c>
      <c r="O40" s="903"/>
      <c r="P40" s="903"/>
      <c r="Q40" s="906" t="s">
        <v>41</v>
      </c>
      <c r="R40" s="903">
        <v>3</v>
      </c>
      <c r="S40" s="903">
        <v>4</v>
      </c>
      <c r="T40" s="441">
        <v>13</v>
      </c>
      <c r="U40" s="903"/>
      <c r="V40" s="903"/>
      <c r="W40" s="903">
        <v>2</v>
      </c>
      <c r="X40" s="903"/>
      <c r="Y40" s="903"/>
      <c r="Z40" s="903"/>
      <c r="AA40" s="903"/>
      <c r="AB40" s="903"/>
      <c r="AC40" s="903"/>
      <c r="AD40" s="903"/>
      <c r="AE40" s="903"/>
      <c r="AF40" s="903"/>
      <c r="AG40" s="903"/>
      <c r="AH40" s="903">
        <v>9</v>
      </c>
      <c r="AI40" s="903"/>
      <c r="AJ40" s="903"/>
      <c r="AK40" s="903"/>
      <c r="AL40" s="903"/>
      <c r="AM40" s="903"/>
      <c r="AN40" s="903"/>
      <c r="AO40" s="441"/>
      <c r="AP40" s="907"/>
      <c r="AQ40" s="903">
        <v>130</v>
      </c>
      <c r="AR40" s="903"/>
      <c r="AS40" s="908"/>
      <c r="AT40" s="903"/>
      <c r="AU40" s="903"/>
      <c r="AV40" s="903"/>
      <c r="AW40" s="903"/>
      <c r="AX40" s="903">
        <v>130</v>
      </c>
      <c r="AY40" s="902" t="s">
        <v>41</v>
      </c>
      <c r="AZ40" s="907" t="s">
        <v>137</v>
      </c>
      <c r="BA40" s="903"/>
      <c r="BB40" s="903"/>
      <c r="BC40" s="903"/>
      <c r="BD40" s="441"/>
      <c r="BE40" s="441"/>
      <c r="BF40" s="902"/>
      <c r="BG40" s="903">
        <v>7</v>
      </c>
      <c r="BH40" s="903"/>
      <c r="BI40" s="903"/>
      <c r="BJ40" s="903">
        <v>7</v>
      </c>
      <c r="BK40" s="903"/>
      <c r="BL40" s="903">
        <v>2</v>
      </c>
      <c r="BM40" s="903">
        <v>4</v>
      </c>
      <c r="BN40" s="903"/>
      <c r="BO40" s="903"/>
      <c r="BP40" s="902"/>
      <c r="BQ40" s="909"/>
      <c r="BR40" s="908"/>
      <c r="BS40" s="902"/>
      <c r="BT40" s="416"/>
      <c r="BU40" s="416"/>
      <c r="BV40" s="418"/>
      <c r="BW40" s="416"/>
      <c r="BX40" s="441"/>
      <c r="BY40" s="441"/>
      <c r="BZ40" s="441"/>
      <c r="CA40" s="441"/>
      <c r="CB40" s="441"/>
      <c r="CC40" s="693"/>
      <c r="CD40" s="441"/>
      <c r="CE40" s="910" t="str">
        <f>IFERROR(WWWW[[#This Row],['#_Water sources passed]]/WWWW[[#This Row],['#_Water sources tested for fecal coliform ]],"no test")</f>
        <v>no test</v>
      </c>
      <c r="CF40" s="908" t="str">
        <f>IFERROR(WWWW[[#This Row],['#_Household passed]]/WWWW[[#This Row],['#_Household water samples tested for fecal coliform]],"no test")</f>
        <v>no test</v>
      </c>
      <c r="CG40" s="909" t="str">
        <f>IF(AND(WWWW[[#This Row],[% of water sources passed]]="no test",WWWW[[#This Row],[% Household passed]]="no test"),"No Test","Tested")</f>
        <v>No Test</v>
      </c>
      <c r="CH40" s="909">
        <f>WWWW[[#This Row],['#_Constructed/existing protected hand dug well]]-WWWW[[#This Row],['#_Non-functional protected hand dug well]]</f>
        <v>13</v>
      </c>
      <c r="CI40" s="909">
        <f>(WWWW[[#This Row],['#_Constructed/Existing tube wells/boreholes/handpumps_WASH_agency]]+WWWW[[#This Row],['#_Non-Cluster partner water tube-wells/boreholes/handpumps]])-WWWW[[#This Row],['#_Non-functional tube wells/boreholes/handpumps]]</f>
        <v>2</v>
      </c>
      <c r="CJ40" s="909">
        <f>WWWW[[#This Row],['#_Constructed/Existingwater storage tank with gravity fed reticulation system]]-WWWW[[#This Row],['#_Non-functional storage tank gravity fed reticulation system]]</f>
        <v>0</v>
      </c>
      <c r="CK40" s="909">
        <f>(WWWW[[#This Row],['#_Water_Liters_supplied_by_Water boating or water trucking]]/90)/15</f>
        <v>0</v>
      </c>
      <c r="CL40" s="909">
        <f>WWWW[[#This Row],['#_Water_Liters_from_Constructed/Existing water distribution system from river or natural spring]]/90/15</f>
        <v>0</v>
      </c>
      <c r="CM40" s="417">
        <f>IF(WWWW[[#This Row],['#_of water points in TLS/CFS]]*500&gt;WWWW[[#This Row],[Total PoP ]],WWWW[[#This Row],[Total PoP ]],WWWW[[#This Row],['#_of water points in TLS/CFS]]*500)</f>
        <v>0</v>
      </c>
      <c r="CN40" s="417">
        <f>IF(WWWW[[#This Row],['#_of water points in THF]]*500&gt;WWWW[[#This Row],[Total PoP ]],WWWW[[#This Row],[Total PoP ]],WWWW[[#This Row],['#_of water points in THF]]*500)</f>
        <v>0</v>
      </c>
      <c r="CO40" s="417"/>
      <c r="CP40"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0"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0" s="908">
        <f>IF(WWWW[[#This Row],[Location Type 1]]="Village",WWWW[[#This Row],[Access to safe drinking water for Village]],WWWW[[#This Row],[Access to safe drinking water for Camp]])</f>
        <v>1</v>
      </c>
      <c r="CS40" s="906">
        <f>WWWW[[#This Row],[%Equitable and continuous access to sufficient quantity of safe drinking water]]*WWWW[[#This Row],[Total PoP ]]</f>
        <v>2973</v>
      </c>
      <c r="CT40" s="908">
        <f>IF((WWWW[[#This Row],['#_Constructed/Existing protected/fenced ponds]]*250)/WWWW[[#This Row],[Total PoP ]]&gt;1,1,(WWWW[[#This Row],['#_Constructed/Existing protected/fenced ponds]]*250)/WWWW[[#This Row],[Total PoP ]])</f>
        <v>0</v>
      </c>
      <c r="CU40" s="906">
        <f>WWWW[[#This Row],[% Access to unimproved water points]]*WWWW[[#This Row],[Total PoP ]]</f>
        <v>0</v>
      </c>
      <c r="CV40"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0"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2973</v>
      </c>
      <c r="CX40" s="906">
        <f>WWWW[[#This Row],[HRP1]]/500</f>
        <v>5.9459999999999997</v>
      </c>
      <c r="CY40" s="911">
        <f>1-WWWW[[#This Row],[% Equitable and continuous access to sufficient quantity of domestic water]]</f>
        <v>0</v>
      </c>
      <c r="CZ40" s="906">
        <f>WWWW[[#This Row],[%equitable and continuous access to sufficient quantity of safe drinking and domestic water''s GAP]]*WWWW[[#This Row],[Total PoP ]]</f>
        <v>0</v>
      </c>
      <c r="DA40" s="909">
        <f>IF(WWWW[[#This Row],[Total required water points]]-WWWW[[#This Row],['#Water points coverage]]&lt;0,0,WWWW[[#This Row],[Total required water points]]-WWWW[[#This Row],['#Water points coverage]])</f>
        <v>5.400000000000027E-2</v>
      </c>
      <c r="DB40" s="909">
        <f>ROUND(IF(WWWW[[#This Row],[Total PoP ]]&lt;500,1,WWWW[[#This Row],[Total PoP ]]/500),0)</f>
        <v>6</v>
      </c>
      <c r="DC40" s="909">
        <f>(WWWW[[#This Row],['#_Constructed latrines_by_WASHAgencies]]+WWWW[[#This Row],['#_Non Cluster partner latrines]])-WWWW[[#This Row],['#_Non-functional latrines]]</f>
        <v>130</v>
      </c>
      <c r="DD40" s="615">
        <f>WWWW[[#This Row],[HRP2]]/WWWW[[#This Row],[Total PoP ]]</f>
        <v>0.87453750420450727</v>
      </c>
      <c r="DE40"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2600</v>
      </c>
      <c r="DF40"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0"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0" s="417">
        <f>IF(WWWW[[#This Row],['# of functional latrines in THF supported by WASH partners during the reporting period2]]="",0,WWWW[[#This Row],['# of functional latrines in THF supported by WASH partners during the reporting period2]]*50)</f>
        <v>0</v>
      </c>
      <c r="DI40" s="909">
        <f>ROUND(IF(WWWW[[#This Row],[Location Type 1]]="camp",WWWW[[#This Row],[Total PoP ]]/20,IF(WWWW[[#This Row],[Location Type 1]]="Temporary Location",WWWW[[#This Row],[Total PoP ]]/50,(WWWW[[#This Row],[Total PoP ]]/6))),0)</f>
        <v>149</v>
      </c>
      <c r="DJ40" s="909">
        <f>IF(WWWW[[#This Row],[Total required Latrines]]-(WWWW[[#This Row],['#_Constructed latrines_by_WASHAgencies]]+WWWW[[#This Row],['#_Non Cluster partner latrines]])&lt;0,0,WWWW[[#This Row],[Total required Latrines]]-(WWWW[[#This Row],['#_Constructed latrines_by_WASHAgencies]]+WWWW[[#This Row],['#_Non Cluster partner latrines]]))</f>
        <v>19</v>
      </c>
      <c r="DK40" s="911">
        <f>1-WWWW[[#This Row],[% people access to functioning Latrine]]</f>
        <v>0.12546249579549273</v>
      </c>
      <c r="DL40" s="910">
        <f>IF(OR(WWWW[[#This Row],['#_Non-functional latrines]]="",WWWW[[#This Row],['#_Non-functional latrines]]=0),0,WWWW[[#This Row],['#_Non-functional latrines]]/(WWWW[[#This Row],['#_Constructed latrines_by_WASHAgencies]]+WWWW[[#This Row],['#_Non Cluster partner latrines]]))</f>
        <v>0</v>
      </c>
      <c r="DM40" s="906">
        <f>IF(500*(WWWW[[#This Row],['#_male hygiene promoters]]+WWWW[[#This Row],['#_female hygiene promoters]])&gt;WWWW[[#This Row],[Total PoP ]],WWWW[[#This Row],[Total PoP ]],500*(WWWW[[#This Row],['#_male hygiene promoters]]+WWWW[[#This Row],['#_female hygiene promoters]]))</f>
        <v>2973</v>
      </c>
      <c r="DN40"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0"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0" s="909">
        <f>IF(WWWW[[#This Row],['# People with access to soap]]&gt;WWWW[[#This Row],['# People with access to Sanity Pads]],WWWW[[#This Row],['# People with access to soap]],WWWW[[#This Row],['# People with access to Sanity Pads]])</f>
        <v>0</v>
      </c>
      <c r="DQ40" s="909">
        <f>IF(WWWW[[#This Row],['# people reached by regular dedicated hygiene promotion_5]]&gt;WWWW[[#This Row],['# People received regular supply of hygiene items_6]],WWWW[[#This Row],['# people reached by regular dedicated hygiene promotion_5]],WWWW[[#This Row],['# People received regular supply of hygiene items_6]])</f>
        <v>2973</v>
      </c>
      <c r="DR40" s="911">
        <f>IF(WWWW[[#This Row],[HRP3]]/WWWW[[#This Row],[Total PoP ]]&gt;1,1,WWWW[[#This Row],[HRP3]]/WWWW[[#This Row],[Total PoP ]])</f>
        <v>1</v>
      </c>
      <c r="DS40" s="910">
        <f>1-WWWW[[#This Row],[Hygiene Coverage%]]</f>
        <v>0</v>
      </c>
      <c r="DT40" s="908">
        <f>WWWW[[#This Row],['# people reached by regular dedicated hygiene promotion_5]]/WWWW[[#This Row],[Total PoP ]]</f>
        <v>1</v>
      </c>
      <c r="DU40"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0"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0" s="909">
        <f>WWWW[[#This Row],['#_Constructed/Existing hand washing stations]]-WWWW[[#This Row],['#_Non-Functional_hand_washing_stations]]</f>
        <v>7</v>
      </c>
      <c r="DX40" s="906">
        <f>IF(WWWW[[#This Row],['# Functional hand washing stations during reporting period]]*20&gt;WWWW[[#This Row],[Total HH]],WWWW[[#This Row],[Total HH]],WWWW[[#This Row],['# Functional hand washing stations during reporting period]]*20)</f>
        <v>140</v>
      </c>
      <c r="DY40" s="906">
        <f>IF(WWWW[[#This Row],[Is sufficient soap available for TLS? (Yes/No)]]="yes",WWWW[[#This Row],['#_Constructed/Existing hand washing stations at TLS/CFS/THF]],0)</f>
        <v>0</v>
      </c>
      <c r="DZ40" s="421">
        <f>IF(WWWW[[#This Row],['# Functional hand washing stations during reporting period]]*100&gt;WWWW[[#This Row],[Total PoP ]],WWWW[[#This Row],[Total PoP ]],WWWW[[#This Row],['# Functional hand washing stations during reporting period]]*100)</f>
        <v>700</v>
      </c>
      <c r="EA40" s="421" t="str">
        <f>IF(OR(WWWW[[#This Row],['#_students at TLS_CFS]]="",WWWW[[#This Row],['#_students at TLS_CFS]]=0),"No","Yes")</f>
        <v>No</v>
      </c>
      <c r="EB4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0" s="566">
        <f>WWWW[[#This Row],[%_of_affected_people_surveyed_who_report_feeling_satistfied_with_the_latrine_design_and_sanitation_service]]*WWWW[[#This Row],[Total PoP ]]</f>
        <v>0</v>
      </c>
      <c r="ED40" s="566">
        <f>WWWW[[#This Row],[%_of_affected_people_surveyed_who_report_feeling_satistfied_with_the_water_point_design_and_water_service]]*WWWW[[#This Row],[Total PoP ]]</f>
        <v>0</v>
      </c>
      <c r="EE40" s="566">
        <f>WWWW[[#This Row],[%_of_complaints_received_that_result_in_timely_corrective_action_and_feedback_to_the_community]]*WWWW[[#This Row],[Total PoP ]]</f>
        <v>0</v>
      </c>
      <c r="EF4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0" s="902" t="str">
        <f>VLOOKUP(WWWW[[#This Row],[Site Name]],SiteDB6[[Site Name]:[CCCM Management]],6,FALSE)</f>
        <v>Yes</v>
      </c>
      <c r="EJ40" s="902" t="str">
        <f>VLOOKUP(WWWW[[#This Row],[Site Name]],SiteDB6[[Site Name]:[CCCM Focal Agency]],7,FALSE)</f>
        <v>KBC-MYT</v>
      </c>
      <c r="EK40" s="902" t="str">
        <f>VLOOKUP(WWWW[[#This Row],[Site Name]],SiteDB6[[Site Name]:[Location Type 1]],9,FALSE)</f>
        <v>Camp</v>
      </c>
      <c r="EL40" s="902" t="str">
        <f>VLOOKUP(WWWW[[#This Row],[Site Name]],SiteDB6[[Site Name]:[Type of Accommodation]],10,FALSE)</f>
        <v>Camp</v>
      </c>
      <c r="EM40" s="902" t="str">
        <f>VLOOKUP(WWWW[[#This Row],[Site Name]],SiteDB6[[Site Name]:[Ethnic or GCA/NGCA]],11,FALSE)</f>
        <v>GCA</v>
      </c>
      <c r="EN40" s="902">
        <f>VLOOKUP(WWWW[[#This Row],[Site Name]],SiteDB6[[Site Name]:[Lat]],12,FALSE)</f>
        <v>25.4118005797101</v>
      </c>
      <c r="EO40" s="902">
        <f>VLOOKUP(WWWW[[#This Row],[Site Name]],SiteDB6[[Site Name]:[Long]],13,FALSE)</f>
        <v>97.434855869565197</v>
      </c>
      <c r="EP40" s="902" t="str">
        <f>VLOOKUP(WWWW[[#This Row],[Site Name]],SiteDB6[[Site Name]:[Pcode]],3,FALSE)</f>
        <v>MMR001CMP040</v>
      </c>
      <c r="EQ40" s="907" t="str">
        <f t="shared" si="0"/>
        <v>Covered</v>
      </c>
      <c r="ER40" s="907" t="s">
        <v>3126</v>
      </c>
      <c r="ES40" s="907" t="s">
        <v>3126</v>
      </c>
      <c r="ET40" s="902">
        <f>VLOOKUP(WWWW[[#This Row],[Site Name]],SiteDB6[[Site Name]:[Pop
(Kachin/Shan-CCCM as of May 2023)]],16,FALSE)</f>
        <v>431</v>
      </c>
      <c r="EU40" s="902">
        <f>VLOOKUP(WWWW[[#This Row],[Site Name]],SiteDB6[[Site Name]:[Pop
(Kachin/Shan-CCCM as of May 2023)]],17,FALSE)</f>
        <v>2370</v>
      </c>
    </row>
    <row r="41" spans="1:151" hidden="1">
      <c r="A41" s="900" t="s">
        <v>2961</v>
      </c>
      <c r="B41" s="901" t="s">
        <v>141</v>
      </c>
      <c r="C41" s="901" t="s">
        <v>141</v>
      </c>
      <c r="D41" s="901" t="s">
        <v>241</v>
      </c>
      <c r="E41" s="901" t="s">
        <v>37</v>
      </c>
      <c r="F41" s="901" t="s">
        <v>142</v>
      </c>
      <c r="G41" s="902" t="str">
        <f>VLOOKUP(WWWW[[#This Row],[Site Name]],SiteDB6[[Site Name]:[Location Type]],8,FALSE)</f>
        <v>Camp</v>
      </c>
      <c r="H41" s="901" t="s">
        <v>179</v>
      </c>
      <c r="I41" s="903">
        <v>55</v>
      </c>
      <c r="J41" s="903">
        <v>198</v>
      </c>
      <c r="K41" s="904">
        <v>44811</v>
      </c>
      <c r="L41" s="905">
        <v>45175</v>
      </c>
      <c r="M41" s="903"/>
      <c r="N41" s="903">
        <v>1</v>
      </c>
      <c r="O41" s="903"/>
      <c r="P41" s="903"/>
      <c r="Q41" s="906" t="s">
        <v>41</v>
      </c>
      <c r="R41" s="903">
        <v>1</v>
      </c>
      <c r="S41" s="903">
        <v>3</v>
      </c>
      <c r="T41" s="441">
        <v>1</v>
      </c>
      <c r="U41" s="903"/>
      <c r="V41" s="903"/>
      <c r="W41" s="903"/>
      <c r="X41" s="903"/>
      <c r="Y41" s="903"/>
      <c r="Z41" s="903"/>
      <c r="AA41" s="903"/>
      <c r="AB41" s="903"/>
      <c r="AC41" s="903"/>
      <c r="AD41" s="903"/>
      <c r="AE41" s="903"/>
      <c r="AF41" s="903"/>
      <c r="AG41" s="903"/>
      <c r="AH41" s="903">
        <v>2</v>
      </c>
      <c r="AI41" s="903"/>
      <c r="AJ41" s="903"/>
      <c r="AK41" s="903"/>
      <c r="AL41" s="903"/>
      <c r="AM41" s="903"/>
      <c r="AN41" s="903"/>
      <c r="AO41" s="441"/>
      <c r="AP41" s="907"/>
      <c r="AQ41" s="903">
        <v>10</v>
      </c>
      <c r="AR41" s="903"/>
      <c r="AS41" s="908"/>
      <c r="AT41" s="903"/>
      <c r="AU41" s="903"/>
      <c r="AV41" s="903"/>
      <c r="AW41" s="903"/>
      <c r="AX41" s="903">
        <v>10</v>
      </c>
      <c r="AY41" s="902" t="s">
        <v>41</v>
      </c>
      <c r="AZ41" s="907" t="s">
        <v>137</v>
      </c>
      <c r="BA41" s="903"/>
      <c r="BB41" s="903"/>
      <c r="BC41" s="903"/>
      <c r="BD41" s="441"/>
      <c r="BE41" s="441"/>
      <c r="BF41" s="902"/>
      <c r="BG41" s="903">
        <v>7</v>
      </c>
      <c r="BH41" s="903"/>
      <c r="BI41" s="903"/>
      <c r="BJ41" s="903">
        <v>4</v>
      </c>
      <c r="BK41" s="903"/>
      <c r="BL41" s="903">
        <v>1</v>
      </c>
      <c r="BM41" s="903"/>
      <c r="BN41" s="903"/>
      <c r="BO41" s="903"/>
      <c r="BP41" s="902"/>
      <c r="BQ41" s="909"/>
      <c r="BR41" s="908"/>
      <c r="BS41" s="902"/>
      <c r="BT41" s="416"/>
      <c r="BU41" s="416"/>
      <c r="BV41" s="418"/>
      <c r="BW41" s="416"/>
      <c r="BX41" s="441"/>
      <c r="BY41" s="441"/>
      <c r="BZ41" s="441"/>
      <c r="CA41" s="441"/>
      <c r="CB41" s="441"/>
      <c r="CC41" s="693"/>
      <c r="CD41" s="441"/>
      <c r="CE41" s="910" t="str">
        <f>IFERROR(WWWW[[#This Row],['#_Water sources passed]]/WWWW[[#This Row],['#_Water sources tested for fecal coliform ]],"no test")</f>
        <v>no test</v>
      </c>
      <c r="CF41" s="908" t="str">
        <f>IFERROR(WWWW[[#This Row],['#_Household passed]]/WWWW[[#This Row],['#_Household water samples tested for fecal coliform]],"no test")</f>
        <v>no test</v>
      </c>
      <c r="CG41" s="909" t="str">
        <f>IF(AND(WWWW[[#This Row],[% of water sources passed]]="no test",WWWW[[#This Row],[% Household passed]]="no test"),"No Test","Tested")</f>
        <v>No Test</v>
      </c>
      <c r="CH41" s="909">
        <f>WWWW[[#This Row],['#_Constructed/existing protected hand dug well]]-WWWW[[#This Row],['#_Non-functional protected hand dug well]]</f>
        <v>1</v>
      </c>
      <c r="CI41" s="909">
        <f>(WWWW[[#This Row],['#_Constructed/Existing tube wells/boreholes/handpumps_WASH_agency]]+WWWW[[#This Row],['#_Non-Cluster partner water tube-wells/boreholes/handpumps]])-WWWW[[#This Row],['#_Non-functional tube wells/boreholes/handpumps]]</f>
        <v>0</v>
      </c>
      <c r="CJ41" s="909">
        <f>WWWW[[#This Row],['#_Constructed/Existingwater storage tank with gravity fed reticulation system]]-WWWW[[#This Row],['#_Non-functional storage tank gravity fed reticulation system]]</f>
        <v>0</v>
      </c>
      <c r="CK41" s="909">
        <f>(WWWW[[#This Row],['#_Water_Liters_supplied_by_Water boating or water trucking]]/90)/15</f>
        <v>0</v>
      </c>
      <c r="CL41" s="909">
        <f>WWWW[[#This Row],['#_Water_Liters_from_Constructed/Existing water distribution system from river or natural spring]]/90/15</f>
        <v>0</v>
      </c>
      <c r="CM41" s="417">
        <f>IF(WWWW[[#This Row],['#_of water points in TLS/CFS]]*500&gt;WWWW[[#This Row],[Total PoP ]],WWWW[[#This Row],[Total PoP ]],WWWW[[#This Row],['#_of water points in TLS/CFS]]*500)</f>
        <v>0</v>
      </c>
      <c r="CN41" s="417">
        <f>IF(WWWW[[#This Row],['#_of water points in THF]]*500&gt;WWWW[[#This Row],[Total PoP ]],WWWW[[#This Row],[Total PoP ]],WWWW[[#This Row],['#_of water points in THF]]*500)</f>
        <v>0</v>
      </c>
      <c r="CO41" s="417"/>
      <c r="CP41"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1"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1" s="908">
        <f>IF(WWWW[[#This Row],[Location Type 1]]="Village",WWWW[[#This Row],[Access to safe drinking water for Village]],WWWW[[#This Row],[Access to safe drinking water for Camp]])</f>
        <v>1</v>
      </c>
      <c r="CS41" s="906">
        <f>WWWW[[#This Row],[%Equitable and continuous access to sufficient quantity of safe drinking water]]*WWWW[[#This Row],[Total PoP ]]</f>
        <v>198</v>
      </c>
      <c r="CT41" s="908">
        <f>IF((WWWW[[#This Row],['#_Constructed/Existing protected/fenced ponds]]*250)/WWWW[[#This Row],[Total PoP ]]&gt;1,1,(WWWW[[#This Row],['#_Constructed/Existing protected/fenced ponds]]*250)/WWWW[[#This Row],[Total PoP ]])</f>
        <v>0</v>
      </c>
      <c r="CU41" s="906">
        <f>WWWW[[#This Row],[% Access to unimproved water points]]*WWWW[[#This Row],[Total PoP ]]</f>
        <v>0</v>
      </c>
      <c r="CV41"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1"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198</v>
      </c>
      <c r="CX41" s="906">
        <f>WWWW[[#This Row],[HRP1]]/500</f>
        <v>0.39600000000000002</v>
      </c>
      <c r="CY41" s="911">
        <f>1-WWWW[[#This Row],[% Equitable and continuous access to sufficient quantity of domestic water]]</f>
        <v>0</v>
      </c>
      <c r="CZ41" s="906">
        <f>WWWW[[#This Row],[%equitable and continuous access to sufficient quantity of safe drinking and domestic water''s GAP]]*WWWW[[#This Row],[Total PoP ]]</f>
        <v>0</v>
      </c>
      <c r="DA41" s="909">
        <f>IF(WWWW[[#This Row],[Total required water points]]-WWWW[[#This Row],['#Water points coverage]]&lt;0,0,WWWW[[#This Row],[Total required water points]]-WWWW[[#This Row],['#Water points coverage]])</f>
        <v>0.60399999999999998</v>
      </c>
      <c r="DB41" s="909">
        <f>ROUND(IF(WWWW[[#This Row],[Total PoP ]]&lt;500,1,WWWW[[#This Row],[Total PoP ]]/500),0)</f>
        <v>1</v>
      </c>
      <c r="DC41" s="909">
        <f>(WWWW[[#This Row],['#_Constructed latrines_by_WASHAgencies]]+WWWW[[#This Row],['#_Non Cluster partner latrines]])-WWWW[[#This Row],['#_Non-functional latrines]]</f>
        <v>10</v>
      </c>
      <c r="DD41" s="615">
        <f>WWWW[[#This Row],[HRP2]]/WWWW[[#This Row],[Total PoP ]]</f>
        <v>1</v>
      </c>
      <c r="DE41"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198</v>
      </c>
      <c r="DF41"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1"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1" s="417">
        <f>IF(WWWW[[#This Row],['# of functional latrines in THF supported by WASH partners during the reporting period2]]="",0,WWWW[[#This Row],['# of functional latrines in THF supported by WASH partners during the reporting period2]]*50)</f>
        <v>0</v>
      </c>
      <c r="DI41" s="909">
        <f>ROUND(IF(WWWW[[#This Row],[Location Type 1]]="camp",WWWW[[#This Row],[Total PoP ]]/20,IF(WWWW[[#This Row],[Location Type 1]]="Temporary Location",WWWW[[#This Row],[Total PoP ]]/50,(WWWW[[#This Row],[Total PoP ]]/6))),0)</f>
        <v>10</v>
      </c>
      <c r="DJ41" s="909">
        <f>IF(WWWW[[#This Row],[Total required Latrines]]-(WWWW[[#This Row],['#_Constructed latrines_by_WASHAgencies]]+WWWW[[#This Row],['#_Non Cluster partner latrines]])&lt;0,0,WWWW[[#This Row],[Total required Latrines]]-(WWWW[[#This Row],['#_Constructed latrines_by_WASHAgencies]]+WWWW[[#This Row],['#_Non Cluster partner latrines]]))</f>
        <v>0</v>
      </c>
      <c r="DK41" s="911">
        <f>1-WWWW[[#This Row],[% people access to functioning Latrine]]</f>
        <v>0</v>
      </c>
      <c r="DL41" s="910">
        <f>IF(OR(WWWW[[#This Row],['#_Non-functional latrines]]="",WWWW[[#This Row],['#_Non-functional latrines]]=0),0,WWWW[[#This Row],['#_Non-functional latrines]]/(WWWW[[#This Row],['#_Constructed latrines_by_WASHAgencies]]+WWWW[[#This Row],['#_Non Cluster partner latrines]]))</f>
        <v>0</v>
      </c>
      <c r="DM41" s="906">
        <f>IF(500*(WWWW[[#This Row],['#_male hygiene promoters]]+WWWW[[#This Row],['#_female hygiene promoters]])&gt;WWWW[[#This Row],[Total PoP ]],WWWW[[#This Row],[Total PoP ]],500*(WWWW[[#This Row],['#_male hygiene promoters]]+WWWW[[#This Row],['#_female hygiene promoters]]))</f>
        <v>198</v>
      </c>
      <c r="DN41"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1"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1" s="909">
        <f>IF(WWWW[[#This Row],['# People with access to soap]]&gt;WWWW[[#This Row],['# People with access to Sanity Pads]],WWWW[[#This Row],['# People with access to soap]],WWWW[[#This Row],['# People with access to Sanity Pads]])</f>
        <v>0</v>
      </c>
      <c r="DQ41" s="909">
        <f>IF(WWWW[[#This Row],['# people reached by regular dedicated hygiene promotion_5]]&gt;WWWW[[#This Row],['# People received regular supply of hygiene items_6]],WWWW[[#This Row],['# people reached by regular dedicated hygiene promotion_5]],WWWW[[#This Row],['# People received regular supply of hygiene items_6]])</f>
        <v>198</v>
      </c>
      <c r="DR41" s="911">
        <f>IF(WWWW[[#This Row],[HRP3]]/WWWW[[#This Row],[Total PoP ]]&gt;1,1,WWWW[[#This Row],[HRP3]]/WWWW[[#This Row],[Total PoP ]])</f>
        <v>1</v>
      </c>
      <c r="DS41" s="910">
        <f>1-WWWW[[#This Row],[Hygiene Coverage%]]</f>
        <v>0</v>
      </c>
      <c r="DT41" s="908">
        <f>WWWW[[#This Row],['# people reached by regular dedicated hygiene promotion_5]]/WWWW[[#This Row],[Total PoP ]]</f>
        <v>1</v>
      </c>
      <c r="DU41"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1"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1" s="909">
        <f>WWWW[[#This Row],['#_Constructed/Existing hand washing stations]]-WWWW[[#This Row],['#_Non-Functional_hand_washing_stations]]</f>
        <v>7</v>
      </c>
      <c r="DX41" s="906">
        <f>IF(WWWW[[#This Row],['# Functional hand washing stations during reporting period]]*20&gt;WWWW[[#This Row],[Total HH]],WWWW[[#This Row],[Total HH]],WWWW[[#This Row],['# Functional hand washing stations during reporting period]]*20)</f>
        <v>55</v>
      </c>
      <c r="DY41" s="906">
        <f>IF(WWWW[[#This Row],[Is sufficient soap available for TLS? (Yes/No)]]="yes",WWWW[[#This Row],['#_Constructed/Existing hand washing stations at TLS/CFS/THF]],0)</f>
        <v>0</v>
      </c>
      <c r="DZ41" s="421">
        <f>IF(WWWW[[#This Row],['# Functional hand washing stations during reporting period]]*100&gt;WWWW[[#This Row],[Total PoP ]],WWWW[[#This Row],[Total PoP ]],WWWW[[#This Row],['# Functional hand washing stations during reporting period]]*100)</f>
        <v>198</v>
      </c>
      <c r="EA41" s="421" t="str">
        <f>IF(OR(WWWW[[#This Row],['#_students at TLS_CFS]]="",WWWW[[#This Row],['#_students at TLS_CFS]]=0),"No","Yes")</f>
        <v>No</v>
      </c>
      <c r="EB4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1" s="566">
        <f>WWWW[[#This Row],[%_of_affected_people_surveyed_who_report_feeling_satistfied_with_the_latrine_design_and_sanitation_service]]*WWWW[[#This Row],[Total PoP ]]</f>
        <v>0</v>
      </c>
      <c r="ED41" s="566">
        <f>WWWW[[#This Row],[%_of_affected_people_surveyed_who_report_feeling_satistfied_with_the_water_point_design_and_water_service]]*WWWW[[#This Row],[Total PoP ]]</f>
        <v>0</v>
      </c>
      <c r="EE41" s="566">
        <f>WWWW[[#This Row],[%_of_complaints_received_that_result_in_timely_corrective_action_and_feedback_to_the_community]]*WWWW[[#This Row],[Total PoP ]]</f>
        <v>0</v>
      </c>
      <c r="EF4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1" s="902" t="str">
        <f>VLOOKUP(WWWW[[#This Row],[Site Name]],SiteDB6[[Site Name]:[CCCM Management]],6,FALSE)</f>
        <v>Yes</v>
      </c>
      <c r="EJ41" s="902" t="str">
        <f>VLOOKUP(WWWW[[#This Row],[Site Name]],SiteDB6[[Site Name]:[CCCM Focal Agency]],7,FALSE)</f>
        <v>KBC-MYT</v>
      </c>
      <c r="EK41" s="902" t="str">
        <f>VLOOKUP(WWWW[[#This Row],[Site Name]],SiteDB6[[Site Name]:[Location Type 1]],9,FALSE)</f>
        <v>Camp</v>
      </c>
      <c r="EL41" s="902" t="str">
        <f>VLOOKUP(WWWW[[#This Row],[Site Name]],SiteDB6[[Site Name]:[Type of Accommodation]],10,FALSE)</f>
        <v>Camp</v>
      </c>
      <c r="EM41" s="902" t="str">
        <f>VLOOKUP(WWWW[[#This Row],[Site Name]],SiteDB6[[Site Name]:[Ethnic or GCA/NGCA]],11,FALSE)</f>
        <v>GCA</v>
      </c>
      <c r="EN41" s="902">
        <f>VLOOKUP(WWWW[[#This Row],[Site Name]],SiteDB6[[Site Name]:[Lat]],12,FALSE)</f>
        <v>25.409612685185198</v>
      </c>
      <c r="EO41" s="902">
        <f>VLOOKUP(WWWW[[#This Row],[Site Name]],SiteDB6[[Site Name]:[Long]],13,FALSE)</f>
        <v>97.426536944444507</v>
      </c>
      <c r="EP41" s="902" t="str">
        <f>VLOOKUP(WWWW[[#This Row],[Site Name]],SiteDB6[[Site Name]:[Pcode]],3,FALSE)</f>
        <v>MMR001CMP039</v>
      </c>
      <c r="EQ41" s="907" t="str">
        <f t="shared" si="0"/>
        <v>Covered</v>
      </c>
      <c r="ER41" s="907" t="s">
        <v>3126</v>
      </c>
      <c r="ES41" s="907" t="s">
        <v>3126</v>
      </c>
      <c r="ET41" s="902">
        <f>VLOOKUP(WWWW[[#This Row],[Site Name]],SiteDB6[[Site Name]:[Pop
(Kachin/Shan-CCCM as of May 2023)]],16,FALSE)</f>
        <v>55</v>
      </c>
      <c r="EU41" s="902">
        <f>VLOOKUP(WWWW[[#This Row],[Site Name]],SiteDB6[[Site Name]:[Pop
(Kachin/Shan-CCCM as of May 2023)]],17,FALSE)</f>
        <v>279</v>
      </c>
    </row>
    <row r="42" spans="1:151" hidden="1">
      <c r="A42" s="900" t="s">
        <v>2961</v>
      </c>
      <c r="B42" s="901" t="s">
        <v>141</v>
      </c>
      <c r="C42" s="901" t="s">
        <v>141</v>
      </c>
      <c r="D42" s="901" t="s">
        <v>241</v>
      </c>
      <c r="E42" s="901" t="s">
        <v>37</v>
      </c>
      <c r="F42" s="901" t="s">
        <v>142</v>
      </c>
      <c r="G42" s="902" t="str">
        <f>VLOOKUP(WWWW[[#This Row],[Site Name]],SiteDB6[[Site Name]:[Location Type]],8,FALSE)</f>
        <v>Camp</v>
      </c>
      <c r="H42" s="901" t="s">
        <v>181</v>
      </c>
      <c r="I42" s="903">
        <v>37</v>
      </c>
      <c r="J42" s="903">
        <v>193</v>
      </c>
      <c r="K42" s="904">
        <v>44811</v>
      </c>
      <c r="L42" s="905">
        <v>45175</v>
      </c>
      <c r="M42" s="903"/>
      <c r="N42" s="903">
        <v>1</v>
      </c>
      <c r="O42" s="903"/>
      <c r="P42" s="903"/>
      <c r="Q42" s="906" t="s">
        <v>41</v>
      </c>
      <c r="R42" s="903">
        <v>3</v>
      </c>
      <c r="S42" s="903">
        <v>3</v>
      </c>
      <c r="T42" s="441">
        <v>2</v>
      </c>
      <c r="U42" s="903"/>
      <c r="V42" s="903"/>
      <c r="W42" s="903"/>
      <c r="X42" s="903"/>
      <c r="Y42" s="903"/>
      <c r="Z42" s="903"/>
      <c r="AA42" s="903"/>
      <c r="AB42" s="903"/>
      <c r="AC42" s="903"/>
      <c r="AD42" s="903"/>
      <c r="AE42" s="903"/>
      <c r="AF42" s="903"/>
      <c r="AG42" s="903"/>
      <c r="AH42" s="903">
        <v>1</v>
      </c>
      <c r="AI42" s="903"/>
      <c r="AJ42" s="903"/>
      <c r="AK42" s="903"/>
      <c r="AL42" s="903"/>
      <c r="AM42" s="903"/>
      <c r="AN42" s="903"/>
      <c r="AO42" s="441"/>
      <c r="AP42" s="907"/>
      <c r="AQ42" s="903">
        <v>14</v>
      </c>
      <c r="AR42" s="903"/>
      <c r="AS42" s="908"/>
      <c r="AT42" s="903"/>
      <c r="AU42" s="903"/>
      <c r="AV42" s="903"/>
      <c r="AW42" s="903"/>
      <c r="AX42" s="903">
        <v>10</v>
      </c>
      <c r="AY42" s="902" t="s">
        <v>41</v>
      </c>
      <c r="AZ42" s="907" t="s">
        <v>137</v>
      </c>
      <c r="BA42" s="903"/>
      <c r="BB42" s="903"/>
      <c r="BC42" s="903"/>
      <c r="BD42" s="441"/>
      <c r="BE42" s="441"/>
      <c r="BF42" s="902"/>
      <c r="BG42" s="903">
        <v>1</v>
      </c>
      <c r="BH42" s="903"/>
      <c r="BI42" s="903"/>
      <c r="BJ42" s="903">
        <v>3</v>
      </c>
      <c r="BK42" s="903"/>
      <c r="BL42" s="903">
        <v>1</v>
      </c>
      <c r="BM42" s="903">
        <v>1</v>
      </c>
      <c r="BN42" s="903"/>
      <c r="BO42" s="903"/>
      <c r="BP42" s="902"/>
      <c r="BQ42" s="909"/>
      <c r="BR42" s="908"/>
      <c r="BS42" s="902"/>
      <c r="BT42" s="416"/>
      <c r="BU42" s="416"/>
      <c r="BV42" s="418"/>
      <c r="BW42" s="416"/>
      <c r="BX42" s="441"/>
      <c r="BY42" s="441"/>
      <c r="BZ42" s="441"/>
      <c r="CA42" s="441"/>
      <c r="CB42" s="441"/>
      <c r="CC42" s="693"/>
      <c r="CD42" s="441"/>
      <c r="CE42" s="910" t="str">
        <f>IFERROR(WWWW[[#This Row],['#_Water sources passed]]/WWWW[[#This Row],['#_Water sources tested for fecal coliform ]],"no test")</f>
        <v>no test</v>
      </c>
      <c r="CF42" s="908" t="str">
        <f>IFERROR(WWWW[[#This Row],['#_Household passed]]/WWWW[[#This Row],['#_Household water samples tested for fecal coliform]],"no test")</f>
        <v>no test</v>
      </c>
      <c r="CG42" s="909" t="str">
        <f>IF(AND(WWWW[[#This Row],[% of water sources passed]]="no test",WWWW[[#This Row],[% Household passed]]="no test"),"No Test","Tested")</f>
        <v>No Test</v>
      </c>
      <c r="CH42" s="909">
        <f>WWWW[[#This Row],['#_Constructed/existing protected hand dug well]]-WWWW[[#This Row],['#_Non-functional protected hand dug well]]</f>
        <v>2</v>
      </c>
      <c r="CI42" s="909">
        <f>(WWWW[[#This Row],['#_Constructed/Existing tube wells/boreholes/handpumps_WASH_agency]]+WWWW[[#This Row],['#_Non-Cluster partner water tube-wells/boreholes/handpumps]])-WWWW[[#This Row],['#_Non-functional tube wells/boreholes/handpumps]]</f>
        <v>0</v>
      </c>
      <c r="CJ42" s="909">
        <f>WWWW[[#This Row],['#_Constructed/Existingwater storage tank with gravity fed reticulation system]]-WWWW[[#This Row],['#_Non-functional storage tank gravity fed reticulation system]]</f>
        <v>0</v>
      </c>
      <c r="CK42" s="909">
        <f>(WWWW[[#This Row],['#_Water_Liters_supplied_by_Water boating or water trucking]]/90)/15</f>
        <v>0</v>
      </c>
      <c r="CL42" s="909">
        <f>WWWW[[#This Row],['#_Water_Liters_from_Constructed/Existing water distribution system from river or natural spring]]/90/15</f>
        <v>0</v>
      </c>
      <c r="CM42" s="417">
        <f>IF(WWWW[[#This Row],['#_of water points in TLS/CFS]]*500&gt;WWWW[[#This Row],[Total PoP ]],WWWW[[#This Row],[Total PoP ]],WWWW[[#This Row],['#_of water points in TLS/CFS]]*500)</f>
        <v>0</v>
      </c>
      <c r="CN42" s="417">
        <f>IF(WWWW[[#This Row],['#_of water points in THF]]*500&gt;WWWW[[#This Row],[Total PoP ]],WWWW[[#This Row],[Total PoP ]],WWWW[[#This Row],['#_of water points in THF]]*500)</f>
        <v>0</v>
      </c>
      <c r="CO42" s="417"/>
      <c r="CP42"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2"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2" s="908">
        <f>IF(WWWW[[#This Row],[Location Type 1]]="Village",WWWW[[#This Row],[Access to safe drinking water for Village]],WWWW[[#This Row],[Access to safe drinking water for Camp]])</f>
        <v>1</v>
      </c>
      <c r="CS42" s="906">
        <f>WWWW[[#This Row],[%Equitable and continuous access to sufficient quantity of safe drinking water]]*WWWW[[#This Row],[Total PoP ]]</f>
        <v>193</v>
      </c>
      <c r="CT42" s="908">
        <f>IF((WWWW[[#This Row],['#_Constructed/Existing protected/fenced ponds]]*250)/WWWW[[#This Row],[Total PoP ]]&gt;1,1,(WWWW[[#This Row],['#_Constructed/Existing protected/fenced ponds]]*250)/WWWW[[#This Row],[Total PoP ]])</f>
        <v>0</v>
      </c>
      <c r="CU42" s="906">
        <f>WWWW[[#This Row],[% Access to unimproved water points]]*WWWW[[#This Row],[Total PoP ]]</f>
        <v>0</v>
      </c>
      <c r="CV42"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2"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193</v>
      </c>
      <c r="CX42" s="906">
        <f>WWWW[[#This Row],[HRP1]]/500</f>
        <v>0.38600000000000001</v>
      </c>
      <c r="CY42" s="911">
        <f>1-WWWW[[#This Row],[% Equitable and continuous access to sufficient quantity of domestic water]]</f>
        <v>0</v>
      </c>
      <c r="CZ42" s="906">
        <f>WWWW[[#This Row],[%equitable and continuous access to sufficient quantity of safe drinking and domestic water''s GAP]]*WWWW[[#This Row],[Total PoP ]]</f>
        <v>0</v>
      </c>
      <c r="DA42" s="909">
        <f>IF(WWWW[[#This Row],[Total required water points]]-WWWW[[#This Row],['#Water points coverage]]&lt;0,0,WWWW[[#This Row],[Total required water points]]-WWWW[[#This Row],['#Water points coverage]])</f>
        <v>0.61399999999999999</v>
      </c>
      <c r="DB42" s="909">
        <f>ROUND(IF(WWWW[[#This Row],[Total PoP ]]&lt;500,1,WWWW[[#This Row],[Total PoP ]]/500),0)</f>
        <v>1</v>
      </c>
      <c r="DC42" s="909">
        <f>(WWWW[[#This Row],['#_Constructed latrines_by_WASHAgencies]]+WWWW[[#This Row],['#_Non Cluster partner latrines]])-WWWW[[#This Row],['#_Non-functional latrines]]</f>
        <v>14</v>
      </c>
      <c r="DD42" s="615">
        <f>WWWW[[#This Row],[HRP2]]/WWWW[[#This Row],[Total PoP ]]</f>
        <v>1</v>
      </c>
      <c r="DE42"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193</v>
      </c>
      <c r="DF42"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2"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2" s="417">
        <f>IF(WWWW[[#This Row],['# of functional latrines in THF supported by WASH partners during the reporting period2]]="",0,WWWW[[#This Row],['# of functional latrines in THF supported by WASH partners during the reporting period2]]*50)</f>
        <v>0</v>
      </c>
      <c r="DI42" s="909">
        <f>ROUND(IF(WWWW[[#This Row],[Location Type 1]]="camp",WWWW[[#This Row],[Total PoP ]]/20,IF(WWWW[[#This Row],[Location Type 1]]="Temporary Location",WWWW[[#This Row],[Total PoP ]]/50,(WWWW[[#This Row],[Total PoP ]]/6))),0)</f>
        <v>10</v>
      </c>
      <c r="DJ42" s="909">
        <f>IF(WWWW[[#This Row],[Total required Latrines]]-(WWWW[[#This Row],['#_Constructed latrines_by_WASHAgencies]]+WWWW[[#This Row],['#_Non Cluster partner latrines]])&lt;0,0,WWWW[[#This Row],[Total required Latrines]]-(WWWW[[#This Row],['#_Constructed latrines_by_WASHAgencies]]+WWWW[[#This Row],['#_Non Cluster partner latrines]]))</f>
        <v>0</v>
      </c>
      <c r="DK42" s="911">
        <f>1-WWWW[[#This Row],[% people access to functioning Latrine]]</f>
        <v>0</v>
      </c>
      <c r="DL42" s="910">
        <f>IF(OR(WWWW[[#This Row],['#_Non-functional latrines]]="",WWWW[[#This Row],['#_Non-functional latrines]]=0),0,WWWW[[#This Row],['#_Non-functional latrines]]/(WWWW[[#This Row],['#_Constructed latrines_by_WASHAgencies]]+WWWW[[#This Row],['#_Non Cluster partner latrines]]))</f>
        <v>0</v>
      </c>
      <c r="DM42" s="906">
        <f>IF(500*(WWWW[[#This Row],['#_male hygiene promoters]]+WWWW[[#This Row],['#_female hygiene promoters]])&gt;WWWW[[#This Row],[Total PoP ]],WWWW[[#This Row],[Total PoP ]],500*(WWWW[[#This Row],['#_male hygiene promoters]]+WWWW[[#This Row],['#_female hygiene promoters]]))</f>
        <v>193</v>
      </c>
      <c r="DN42"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2"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2" s="909">
        <f>IF(WWWW[[#This Row],['# People with access to soap]]&gt;WWWW[[#This Row],['# People with access to Sanity Pads]],WWWW[[#This Row],['# People with access to soap]],WWWW[[#This Row],['# People with access to Sanity Pads]])</f>
        <v>0</v>
      </c>
      <c r="DQ42" s="909">
        <f>IF(WWWW[[#This Row],['# people reached by regular dedicated hygiene promotion_5]]&gt;WWWW[[#This Row],['# People received regular supply of hygiene items_6]],WWWW[[#This Row],['# people reached by regular dedicated hygiene promotion_5]],WWWW[[#This Row],['# People received regular supply of hygiene items_6]])</f>
        <v>193</v>
      </c>
      <c r="DR42" s="911">
        <f>IF(WWWW[[#This Row],[HRP3]]/WWWW[[#This Row],[Total PoP ]]&gt;1,1,WWWW[[#This Row],[HRP3]]/WWWW[[#This Row],[Total PoP ]])</f>
        <v>1</v>
      </c>
      <c r="DS42" s="910">
        <f>1-WWWW[[#This Row],[Hygiene Coverage%]]</f>
        <v>0</v>
      </c>
      <c r="DT42" s="908">
        <f>WWWW[[#This Row],['# people reached by regular dedicated hygiene promotion_5]]/WWWW[[#This Row],[Total PoP ]]</f>
        <v>1</v>
      </c>
      <c r="DU42"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2"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2" s="909">
        <f>WWWW[[#This Row],['#_Constructed/Existing hand washing stations]]-WWWW[[#This Row],['#_Non-Functional_hand_washing_stations]]</f>
        <v>1</v>
      </c>
      <c r="DX42" s="906">
        <f>IF(WWWW[[#This Row],['# Functional hand washing stations during reporting period]]*20&gt;WWWW[[#This Row],[Total HH]],WWWW[[#This Row],[Total HH]],WWWW[[#This Row],['# Functional hand washing stations during reporting period]]*20)</f>
        <v>20</v>
      </c>
      <c r="DY42" s="906">
        <f>IF(WWWW[[#This Row],[Is sufficient soap available for TLS? (Yes/No)]]="yes",WWWW[[#This Row],['#_Constructed/Existing hand washing stations at TLS/CFS/THF]],0)</f>
        <v>0</v>
      </c>
      <c r="DZ42" s="421">
        <f>IF(WWWW[[#This Row],['# Functional hand washing stations during reporting period]]*100&gt;WWWW[[#This Row],[Total PoP ]],WWWW[[#This Row],[Total PoP ]],WWWW[[#This Row],['# Functional hand washing stations during reporting period]]*100)</f>
        <v>100</v>
      </c>
      <c r="EA42" s="421" t="str">
        <f>IF(OR(WWWW[[#This Row],['#_students at TLS_CFS]]="",WWWW[[#This Row],['#_students at TLS_CFS]]=0),"No","Yes")</f>
        <v>No</v>
      </c>
      <c r="EB4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2" s="566">
        <f>WWWW[[#This Row],[%_of_affected_people_surveyed_who_report_feeling_satistfied_with_the_latrine_design_and_sanitation_service]]*WWWW[[#This Row],[Total PoP ]]</f>
        <v>0</v>
      </c>
      <c r="ED42" s="566">
        <f>WWWW[[#This Row],[%_of_affected_people_surveyed_who_report_feeling_satistfied_with_the_water_point_design_and_water_service]]*WWWW[[#This Row],[Total PoP ]]</f>
        <v>0</v>
      </c>
      <c r="EE42" s="566">
        <f>WWWW[[#This Row],[%_of_complaints_received_that_result_in_timely_corrective_action_and_feedback_to_the_community]]*WWWW[[#This Row],[Total PoP ]]</f>
        <v>0</v>
      </c>
      <c r="EF4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2" s="902" t="str">
        <f>VLOOKUP(WWWW[[#This Row],[Site Name]],SiteDB6[[Site Name]:[CCCM Management]],6,FALSE)</f>
        <v>Yes</v>
      </c>
      <c r="EJ42" s="902" t="str">
        <f>VLOOKUP(WWWW[[#This Row],[Site Name]],SiteDB6[[Site Name]:[CCCM Focal Agency]],7,FALSE)</f>
        <v>KBC-MYT</v>
      </c>
      <c r="EK42" s="902" t="str">
        <f>VLOOKUP(WWWW[[#This Row],[Site Name]],SiteDB6[[Site Name]:[Location Type 1]],9,FALSE)</f>
        <v>Camp</v>
      </c>
      <c r="EL42" s="902" t="str">
        <f>VLOOKUP(WWWW[[#This Row],[Site Name]],SiteDB6[[Site Name]:[Type of Accommodation]],10,FALSE)</f>
        <v>Camp</v>
      </c>
      <c r="EM42" s="902" t="str">
        <f>VLOOKUP(WWWW[[#This Row],[Site Name]],SiteDB6[[Site Name]:[Ethnic or GCA/NGCA]],11,FALSE)</f>
        <v>GCA</v>
      </c>
      <c r="EN42" s="902">
        <f>VLOOKUP(WWWW[[#This Row],[Site Name]],SiteDB6[[Site Name]:[Lat]],12,FALSE)</f>
        <v>25.351724999999998</v>
      </c>
      <c r="EO42" s="902">
        <f>VLOOKUP(WWWW[[#This Row],[Site Name]],SiteDB6[[Site Name]:[Long]],13,FALSE)</f>
        <v>97.438432380952406</v>
      </c>
      <c r="EP42" s="902" t="str">
        <f>VLOOKUP(WWWW[[#This Row],[Site Name]],SiteDB6[[Site Name]:[Pcode]],3,FALSE)</f>
        <v>MMR001CMP025</v>
      </c>
      <c r="EQ42" s="907" t="str">
        <f t="shared" si="0"/>
        <v>Covered</v>
      </c>
      <c r="ER42" s="907" t="s">
        <v>3126</v>
      </c>
      <c r="ES42" s="907" t="s">
        <v>3126</v>
      </c>
      <c r="ET42" s="902">
        <f>VLOOKUP(WWWW[[#This Row],[Site Name]],SiteDB6[[Site Name]:[Pop
(Kachin/Shan-CCCM as of May 2023)]],16,FALSE)</f>
        <v>67</v>
      </c>
      <c r="EU42" s="902">
        <f>VLOOKUP(WWWW[[#This Row],[Site Name]],SiteDB6[[Site Name]:[Pop
(Kachin/Shan-CCCM as of May 2023)]],17,FALSE)</f>
        <v>337</v>
      </c>
    </row>
    <row r="43" spans="1:151" hidden="1">
      <c r="A43" s="900" t="s">
        <v>2961</v>
      </c>
      <c r="B43" s="901" t="s">
        <v>141</v>
      </c>
      <c r="C43" s="901" t="s">
        <v>141</v>
      </c>
      <c r="D43" s="901" t="s">
        <v>241</v>
      </c>
      <c r="E43" s="901" t="s">
        <v>37</v>
      </c>
      <c r="F43" s="901" t="s">
        <v>142</v>
      </c>
      <c r="G43" s="902" t="str">
        <f>VLOOKUP(WWWW[[#This Row],[Site Name]],SiteDB6[[Site Name]:[Location Type]],8,FALSE)</f>
        <v>Camp</v>
      </c>
      <c r="H43" s="901" t="s">
        <v>182</v>
      </c>
      <c r="I43" s="903">
        <v>206</v>
      </c>
      <c r="J43" s="903">
        <v>1050</v>
      </c>
      <c r="K43" s="904">
        <v>44811</v>
      </c>
      <c r="L43" s="905">
        <v>45175</v>
      </c>
      <c r="M43" s="903"/>
      <c r="N43" s="903">
        <v>1</v>
      </c>
      <c r="O43" s="903"/>
      <c r="P43" s="903"/>
      <c r="Q43" s="906" t="s">
        <v>41</v>
      </c>
      <c r="R43" s="903">
        <v>2</v>
      </c>
      <c r="S43" s="903">
        <v>3</v>
      </c>
      <c r="T43" s="441"/>
      <c r="U43" s="903"/>
      <c r="V43" s="903"/>
      <c r="W43" s="903"/>
      <c r="X43" s="903"/>
      <c r="Y43" s="903"/>
      <c r="Z43" s="903"/>
      <c r="AA43" s="903"/>
      <c r="AB43" s="903"/>
      <c r="AC43" s="903"/>
      <c r="AD43" s="903"/>
      <c r="AE43" s="903"/>
      <c r="AF43" s="903"/>
      <c r="AG43" s="903"/>
      <c r="AH43" s="903"/>
      <c r="AI43" s="903"/>
      <c r="AJ43" s="903"/>
      <c r="AK43" s="903"/>
      <c r="AL43" s="903"/>
      <c r="AM43" s="903"/>
      <c r="AN43" s="903"/>
      <c r="AO43" s="441"/>
      <c r="AP43" s="907"/>
      <c r="AQ43" s="903">
        <v>158</v>
      </c>
      <c r="AR43" s="903"/>
      <c r="AS43" s="908"/>
      <c r="AT43" s="903"/>
      <c r="AU43" s="903"/>
      <c r="AV43" s="903"/>
      <c r="AW43" s="903"/>
      <c r="AX43" s="903">
        <v>158</v>
      </c>
      <c r="AY43" s="902" t="s">
        <v>41</v>
      </c>
      <c r="AZ43" s="907" t="s">
        <v>137</v>
      </c>
      <c r="BA43" s="903"/>
      <c r="BB43" s="903"/>
      <c r="BC43" s="903"/>
      <c r="BD43" s="441"/>
      <c r="BE43" s="441"/>
      <c r="BF43" s="902"/>
      <c r="BG43" s="903">
        <v>7</v>
      </c>
      <c r="BH43" s="903"/>
      <c r="BI43" s="903"/>
      <c r="BJ43" s="903">
        <v>4</v>
      </c>
      <c r="BK43" s="903"/>
      <c r="BL43" s="903">
        <v>2</v>
      </c>
      <c r="BM43" s="903">
        <v>1</v>
      </c>
      <c r="BN43" s="903"/>
      <c r="BO43" s="903"/>
      <c r="BP43" s="902"/>
      <c r="BQ43" s="909"/>
      <c r="BR43" s="908"/>
      <c r="BS43" s="902"/>
      <c r="BT43" s="416"/>
      <c r="BU43" s="416"/>
      <c r="BV43" s="418"/>
      <c r="BW43" s="416"/>
      <c r="BX43" s="441"/>
      <c r="BY43" s="441"/>
      <c r="BZ43" s="441"/>
      <c r="CA43" s="441"/>
      <c r="CB43" s="441"/>
      <c r="CC43" s="693"/>
      <c r="CD43" s="441"/>
      <c r="CE43" s="910" t="str">
        <f>IFERROR(WWWW[[#This Row],['#_Water sources passed]]/WWWW[[#This Row],['#_Water sources tested for fecal coliform ]],"no test")</f>
        <v>no test</v>
      </c>
      <c r="CF43" s="908" t="str">
        <f>IFERROR(WWWW[[#This Row],['#_Household passed]]/WWWW[[#This Row],['#_Household water samples tested for fecal coliform]],"no test")</f>
        <v>no test</v>
      </c>
      <c r="CG43" s="909" t="str">
        <f>IF(AND(WWWW[[#This Row],[% of water sources passed]]="no test",WWWW[[#This Row],[% Household passed]]="no test"),"No Test","Tested")</f>
        <v>No Test</v>
      </c>
      <c r="CH43" s="909">
        <f>WWWW[[#This Row],['#_Constructed/existing protected hand dug well]]-WWWW[[#This Row],['#_Non-functional protected hand dug well]]</f>
        <v>0</v>
      </c>
      <c r="CI43" s="909">
        <f>(WWWW[[#This Row],['#_Constructed/Existing tube wells/boreholes/handpumps_WASH_agency]]+WWWW[[#This Row],['#_Non-Cluster partner water tube-wells/boreholes/handpumps]])-WWWW[[#This Row],['#_Non-functional tube wells/boreholes/handpumps]]</f>
        <v>0</v>
      </c>
      <c r="CJ43" s="909">
        <f>WWWW[[#This Row],['#_Constructed/Existingwater storage tank with gravity fed reticulation system]]-WWWW[[#This Row],['#_Non-functional storage tank gravity fed reticulation system]]</f>
        <v>0</v>
      </c>
      <c r="CK43" s="909">
        <f>(WWWW[[#This Row],['#_Water_Liters_supplied_by_Water boating or water trucking]]/90)/15</f>
        <v>0</v>
      </c>
      <c r="CL43" s="909">
        <f>WWWW[[#This Row],['#_Water_Liters_from_Constructed/Existing water distribution system from river or natural spring]]/90/15</f>
        <v>0</v>
      </c>
      <c r="CM43" s="417">
        <f>IF(WWWW[[#This Row],['#_of water points in TLS/CFS]]*500&gt;WWWW[[#This Row],[Total PoP ]],WWWW[[#This Row],[Total PoP ]],WWWW[[#This Row],['#_of water points in TLS/CFS]]*500)</f>
        <v>0</v>
      </c>
      <c r="CN43" s="417">
        <f>IF(WWWW[[#This Row],['#_of water points in THF]]*500&gt;WWWW[[#This Row],[Total PoP ]],WWWW[[#This Row],[Total PoP ]],WWWW[[#This Row],['#_of water points in THF]]*500)</f>
        <v>0</v>
      </c>
      <c r="CO43" s="417"/>
      <c r="CP43"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43"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43" s="908">
        <f>IF(WWWW[[#This Row],[Location Type 1]]="Village",WWWW[[#This Row],[Access to safe drinking water for Village]],WWWW[[#This Row],[Access to safe drinking water for Camp]])</f>
        <v>0</v>
      </c>
      <c r="CS43" s="906">
        <f>WWWW[[#This Row],[%Equitable and continuous access to sufficient quantity of safe drinking water]]*WWWW[[#This Row],[Total PoP ]]</f>
        <v>0</v>
      </c>
      <c r="CT43" s="908">
        <f>IF((WWWW[[#This Row],['#_Constructed/Existing protected/fenced ponds]]*250)/WWWW[[#This Row],[Total PoP ]]&gt;1,1,(WWWW[[#This Row],['#_Constructed/Existing protected/fenced ponds]]*250)/WWWW[[#This Row],[Total PoP ]])</f>
        <v>0</v>
      </c>
      <c r="CU43" s="906">
        <f>WWWW[[#This Row],[% Access to unimproved water points]]*WWWW[[#This Row],[Total PoP ]]</f>
        <v>0</v>
      </c>
      <c r="CV43"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43"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43" s="906">
        <f>WWWW[[#This Row],[HRP1]]/500</f>
        <v>0</v>
      </c>
      <c r="CY43" s="911">
        <f>1-WWWW[[#This Row],[% Equitable and continuous access to sufficient quantity of domestic water]]</f>
        <v>1</v>
      </c>
      <c r="CZ43" s="906">
        <f>WWWW[[#This Row],[%equitable and continuous access to sufficient quantity of safe drinking and domestic water''s GAP]]*WWWW[[#This Row],[Total PoP ]]</f>
        <v>1050</v>
      </c>
      <c r="DA43" s="909">
        <f>IF(WWWW[[#This Row],[Total required water points]]-WWWW[[#This Row],['#Water points coverage]]&lt;0,0,WWWW[[#This Row],[Total required water points]]-WWWW[[#This Row],['#Water points coverage]])</f>
        <v>2</v>
      </c>
      <c r="DB43" s="909">
        <f>ROUND(IF(WWWW[[#This Row],[Total PoP ]]&lt;500,1,WWWW[[#This Row],[Total PoP ]]/500),0)</f>
        <v>2</v>
      </c>
      <c r="DC43" s="909">
        <f>(WWWW[[#This Row],['#_Constructed latrines_by_WASHAgencies]]+WWWW[[#This Row],['#_Non Cluster partner latrines]])-WWWW[[#This Row],['#_Non-functional latrines]]</f>
        <v>158</v>
      </c>
      <c r="DD43" s="615">
        <f>WWWW[[#This Row],[HRP2]]/WWWW[[#This Row],[Total PoP ]]</f>
        <v>1</v>
      </c>
      <c r="DE43"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1050</v>
      </c>
      <c r="DF43"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3"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3" s="417">
        <f>IF(WWWW[[#This Row],['# of functional latrines in THF supported by WASH partners during the reporting period2]]="",0,WWWW[[#This Row],['# of functional latrines in THF supported by WASH partners during the reporting period2]]*50)</f>
        <v>0</v>
      </c>
      <c r="DI43" s="909">
        <f>ROUND(IF(WWWW[[#This Row],[Location Type 1]]="camp",WWWW[[#This Row],[Total PoP ]]/20,IF(WWWW[[#This Row],[Location Type 1]]="Temporary Location",WWWW[[#This Row],[Total PoP ]]/50,(WWWW[[#This Row],[Total PoP ]]/6))),0)</f>
        <v>53</v>
      </c>
      <c r="DJ43" s="909">
        <f>IF(WWWW[[#This Row],[Total required Latrines]]-(WWWW[[#This Row],['#_Constructed latrines_by_WASHAgencies]]+WWWW[[#This Row],['#_Non Cluster partner latrines]])&lt;0,0,WWWW[[#This Row],[Total required Latrines]]-(WWWW[[#This Row],['#_Constructed latrines_by_WASHAgencies]]+WWWW[[#This Row],['#_Non Cluster partner latrines]]))</f>
        <v>0</v>
      </c>
      <c r="DK43" s="911">
        <f>1-WWWW[[#This Row],[% people access to functioning Latrine]]</f>
        <v>0</v>
      </c>
      <c r="DL43" s="910">
        <f>IF(OR(WWWW[[#This Row],['#_Non-functional latrines]]="",WWWW[[#This Row],['#_Non-functional latrines]]=0),0,WWWW[[#This Row],['#_Non-functional latrines]]/(WWWW[[#This Row],['#_Constructed latrines_by_WASHAgencies]]+WWWW[[#This Row],['#_Non Cluster partner latrines]]))</f>
        <v>0</v>
      </c>
      <c r="DM43" s="906">
        <f>IF(500*(WWWW[[#This Row],['#_male hygiene promoters]]+WWWW[[#This Row],['#_female hygiene promoters]])&gt;WWWW[[#This Row],[Total PoP ]],WWWW[[#This Row],[Total PoP ]],500*(WWWW[[#This Row],['#_male hygiene promoters]]+WWWW[[#This Row],['#_female hygiene promoters]]))</f>
        <v>1050</v>
      </c>
      <c r="DN43"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3"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3" s="909">
        <f>IF(WWWW[[#This Row],['# People with access to soap]]&gt;WWWW[[#This Row],['# People with access to Sanity Pads]],WWWW[[#This Row],['# People with access to soap]],WWWW[[#This Row],['# People with access to Sanity Pads]])</f>
        <v>0</v>
      </c>
      <c r="DQ43" s="909">
        <f>IF(WWWW[[#This Row],['# people reached by regular dedicated hygiene promotion_5]]&gt;WWWW[[#This Row],['# People received regular supply of hygiene items_6]],WWWW[[#This Row],['# people reached by regular dedicated hygiene promotion_5]],WWWW[[#This Row],['# People received regular supply of hygiene items_6]])</f>
        <v>1050</v>
      </c>
      <c r="DR43" s="911">
        <f>IF(WWWW[[#This Row],[HRP3]]/WWWW[[#This Row],[Total PoP ]]&gt;1,1,WWWW[[#This Row],[HRP3]]/WWWW[[#This Row],[Total PoP ]])</f>
        <v>1</v>
      </c>
      <c r="DS43" s="910">
        <f>1-WWWW[[#This Row],[Hygiene Coverage%]]</f>
        <v>0</v>
      </c>
      <c r="DT43" s="908">
        <f>WWWW[[#This Row],['# people reached by regular dedicated hygiene promotion_5]]/WWWW[[#This Row],[Total PoP ]]</f>
        <v>1</v>
      </c>
      <c r="DU43"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3"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3" s="909">
        <f>WWWW[[#This Row],['#_Constructed/Existing hand washing stations]]-WWWW[[#This Row],['#_Non-Functional_hand_washing_stations]]</f>
        <v>7</v>
      </c>
      <c r="DX43" s="906">
        <f>IF(WWWW[[#This Row],['# Functional hand washing stations during reporting period]]*20&gt;WWWW[[#This Row],[Total HH]],WWWW[[#This Row],[Total HH]],WWWW[[#This Row],['# Functional hand washing stations during reporting period]]*20)</f>
        <v>140</v>
      </c>
      <c r="DY43" s="906">
        <f>IF(WWWW[[#This Row],[Is sufficient soap available for TLS? (Yes/No)]]="yes",WWWW[[#This Row],['#_Constructed/Existing hand washing stations at TLS/CFS/THF]],0)</f>
        <v>0</v>
      </c>
      <c r="DZ43" s="421">
        <f>IF(WWWW[[#This Row],['# Functional hand washing stations during reporting period]]*100&gt;WWWW[[#This Row],[Total PoP ]],WWWW[[#This Row],[Total PoP ]],WWWW[[#This Row],['# Functional hand washing stations during reporting period]]*100)</f>
        <v>700</v>
      </c>
      <c r="EA43" s="421" t="str">
        <f>IF(OR(WWWW[[#This Row],['#_students at TLS_CFS]]="",WWWW[[#This Row],['#_students at TLS_CFS]]=0),"No","Yes")</f>
        <v>No</v>
      </c>
      <c r="EB4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3" s="566">
        <f>WWWW[[#This Row],[%_of_affected_people_surveyed_who_report_feeling_satistfied_with_the_latrine_design_and_sanitation_service]]*WWWW[[#This Row],[Total PoP ]]</f>
        <v>0</v>
      </c>
      <c r="ED43" s="566">
        <f>WWWW[[#This Row],[%_of_affected_people_surveyed_who_report_feeling_satistfied_with_the_water_point_design_and_water_service]]*WWWW[[#This Row],[Total PoP ]]</f>
        <v>0</v>
      </c>
      <c r="EE43" s="566">
        <f>WWWW[[#This Row],[%_of_complaints_received_that_result_in_timely_corrective_action_and_feedback_to_the_community]]*WWWW[[#This Row],[Total PoP ]]</f>
        <v>0</v>
      </c>
      <c r="EF4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3" s="902" t="str">
        <f>VLOOKUP(WWWW[[#This Row],[Site Name]],SiteDB6[[Site Name]:[CCCM Management]],6,FALSE)</f>
        <v>Yes</v>
      </c>
      <c r="EJ43" s="902" t="str">
        <f>VLOOKUP(WWWW[[#This Row],[Site Name]],SiteDB6[[Site Name]:[CCCM Focal Agency]],7,FALSE)</f>
        <v>KBC-MYT</v>
      </c>
      <c r="EK43" s="902" t="str">
        <f>VLOOKUP(WWWW[[#This Row],[Site Name]],SiteDB6[[Site Name]:[Location Type 1]],9,FALSE)</f>
        <v>Camp</v>
      </c>
      <c r="EL43" s="902" t="str">
        <f>VLOOKUP(WWWW[[#This Row],[Site Name]],SiteDB6[[Site Name]:[Type of Accommodation]],10,FALSE)</f>
        <v>Camp</v>
      </c>
      <c r="EM43" s="902" t="str">
        <f>VLOOKUP(WWWW[[#This Row],[Site Name]],SiteDB6[[Site Name]:[Ethnic or GCA/NGCA]],11,FALSE)</f>
        <v>GCA</v>
      </c>
      <c r="EN43" s="902">
        <f>VLOOKUP(WWWW[[#This Row],[Site Name]],SiteDB6[[Site Name]:[Lat]],12,FALSE)</f>
        <v>25.418084</v>
      </c>
      <c r="EO43" s="902">
        <f>VLOOKUP(WWWW[[#This Row],[Site Name]],SiteDB6[[Site Name]:[Long]],13,FALSE)</f>
        <v>98.025662999999994</v>
      </c>
      <c r="EP43" s="902" t="str">
        <f>VLOOKUP(WWWW[[#This Row],[Site Name]],SiteDB6[[Site Name]:[Pcode]],3,FALSE)</f>
        <v>MMR001CMP041</v>
      </c>
      <c r="EQ43" s="907" t="str">
        <f t="shared" si="0"/>
        <v>Covered</v>
      </c>
      <c r="ER43" s="907" t="s">
        <v>3126</v>
      </c>
      <c r="ES43" s="907" t="s">
        <v>3126</v>
      </c>
      <c r="ET43" s="902">
        <f>VLOOKUP(WWWW[[#This Row],[Site Name]],SiteDB6[[Site Name]:[Pop
(Kachin/Shan-CCCM as of May 2023)]],16,FALSE)</f>
        <v>216</v>
      </c>
      <c r="EU43" s="902">
        <f>VLOOKUP(WWWW[[#This Row],[Site Name]],SiteDB6[[Site Name]:[Pop
(Kachin/Shan-CCCM as of May 2023)]],17,FALSE)</f>
        <v>1190</v>
      </c>
    </row>
    <row r="44" spans="1:151" hidden="1">
      <c r="A44" s="900" t="s">
        <v>2961</v>
      </c>
      <c r="B44" s="946" t="s">
        <v>3180</v>
      </c>
      <c r="C44" s="901" t="s">
        <v>141</v>
      </c>
      <c r="D44" s="901" t="s">
        <v>3093</v>
      </c>
      <c r="E44" s="901" t="s">
        <v>37</v>
      </c>
      <c r="F44" s="901" t="s">
        <v>159</v>
      </c>
      <c r="G44" s="902" t="str">
        <f>VLOOKUP(WWWW[[#This Row],[Site Name]],SiteDB6[[Site Name]:[Location Type]],8,FALSE)</f>
        <v>Camp</v>
      </c>
      <c r="H44" s="901" t="s">
        <v>1599</v>
      </c>
      <c r="I44" s="903">
        <v>126</v>
      </c>
      <c r="J44" s="903">
        <v>661</v>
      </c>
      <c r="K44" s="904" t="s">
        <v>3094</v>
      </c>
      <c r="L44" s="905">
        <v>45175</v>
      </c>
      <c r="M44" s="903"/>
      <c r="N44" s="903">
        <v>2</v>
      </c>
      <c r="O44" s="903"/>
      <c r="P44" s="903"/>
      <c r="Q44" s="906" t="s">
        <v>41</v>
      </c>
      <c r="R44" s="903">
        <v>2</v>
      </c>
      <c r="S44" s="903">
        <v>4</v>
      </c>
      <c r="T44" s="441">
        <v>9</v>
      </c>
      <c r="U44" s="903">
        <v>3</v>
      </c>
      <c r="V44" s="903"/>
      <c r="W44" s="903">
        <v>4</v>
      </c>
      <c r="X44" s="903"/>
      <c r="Y44" s="903"/>
      <c r="Z44" s="903"/>
      <c r="AA44" s="903"/>
      <c r="AB44" s="903"/>
      <c r="AC44" s="903"/>
      <c r="AD44" s="903"/>
      <c r="AE44" s="903"/>
      <c r="AF44" s="903"/>
      <c r="AG44" s="903"/>
      <c r="AH44" s="903">
        <v>6</v>
      </c>
      <c r="AI44" s="903"/>
      <c r="AJ44" s="903"/>
      <c r="AK44" s="903"/>
      <c r="AL44" s="903"/>
      <c r="AM44" s="903"/>
      <c r="AN44" s="903"/>
      <c r="AO44" s="441"/>
      <c r="AP44" s="907"/>
      <c r="AQ44" s="903">
        <v>16</v>
      </c>
      <c r="AR44" s="903"/>
      <c r="AS44" s="908"/>
      <c r="AT44" s="903"/>
      <c r="AU44" s="903"/>
      <c r="AV44" s="903"/>
      <c r="AW44" s="903"/>
      <c r="AX44" s="903">
        <v>8</v>
      </c>
      <c r="AY44" s="902" t="s">
        <v>41</v>
      </c>
      <c r="AZ44" s="907" t="s">
        <v>137</v>
      </c>
      <c r="BA44" s="903"/>
      <c r="BB44" s="903"/>
      <c r="BC44" s="903"/>
      <c r="BD44" s="441"/>
      <c r="BE44" s="441"/>
      <c r="BF44" s="902"/>
      <c r="BG44" s="903">
        <v>12</v>
      </c>
      <c r="BH44" s="903"/>
      <c r="BI44" s="903"/>
      <c r="BJ44" s="903">
        <v>8</v>
      </c>
      <c r="BK44" s="903"/>
      <c r="BL44" s="903">
        <v>1</v>
      </c>
      <c r="BM44" s="903"/>
      <c r="BN44" s="903"/>
      <c r="BO44" s="903"/>
      <c r="BP44" s="902"/>
      <c r="BQ44" s="909"/>
      <c r="BR44" s="908"/>
      <c r="BS44" s="902"/>
      <c r="BT44" s="416"/>
      <c r="BU44" s="416"/>
      <c r="BV44" s="418"/>
      <c r="BW44" s="416"/>
      <c r="BX44" s="441"/>
      <c r="BY44" s="441"/>
      <c r="BZ44" s="441"/>
      <c r="CA44" s="441"/>
      <c r="CB44" s="441"/>
      <c r="CC44" s="693"/>
      <c r="CD44" s="441"/>
      <c r="CE44" s="910" t="str">
        <f>IFERROR(WWWW[[#This Row],['#_Water sources passed]]/WWWW[[#This Row],['#_Water sources tested for fecal coliform ]],"no test")</f>
        <v>no test</v>
      </c>
      <c r="CF44" s="908" t="str">
        <f>IFERROR(WWWW[[#This Row],['#_Household passed]]/WWWW[[#This Row],['#_Household water samples tested for fecal coliform]],"no test")</f>
        <v>no test</v>
      </c>
      <c r="CG44" s="909" t="str">
        <f>IF(AND(WWWW[[#This Row],[% of water sources passed]]="no test",WWWW[[#This Row],[% Household passed]]="no test"),"No Test","Tested")</f>
        <v>No Test</v>
      </c>
      <c r="CH44" s="909">
        <f>WWWW[[#This Row],['#_Constructed/existing protected hand dug well]]-WWWW[[#This Row],['#_Non-functional protected hand dug well]]</f>
        <v>6</v>
      </c>
      <c r="CI44" s="909">
        <f>(WWWW[[#This Row],['#_Constructed/Existing tube wells/boreholes/handpumps_WASH_agency]]+WWWW[[#This Row],['#_Non-Cluster partner water tube-wells/boreholes/handpumps]])-WWWW[[#This Row],['#_Non-functional tube wells/boreholes/handpumps]]</f>
        <v>4</v>
      </c>
      <c r="CJ44" s="909">
        <f>WWWW[[#This Row],['#_Constructed/Existingwater storage tank with gravity fed reticulation system]]-WWWW[[#This Row],['#_Non-functional storage tank gravity fed reticulation system]]</f>
        <v>0</v>
      </c>
      <c r="CK44" s="909">
        <f>(WWWW[[#This Row],['#_Water_Liters_supplied_by_Water boating or water trucking]]/90)/15</f>
        <v>0</v>
      </c>
      <c r="CL44" s="909">
        <f>WWWW[[#This Row],['#_Water_Liters_from_Constructed/Existing water distribution system from river or natural spring]]/90/15</f>
        <v>0</v>
      </c>
      <c r="CM44" s="417">
        <f>IF(WWWW[[#This Row],['#_of water points in TLS/CFS]]*500&gt;WWWW[[#This Row],[Total PoP ]],WWWW[[#This Row],[Total PoP ]],WWWW[[#This Row],['#_of water points in TLS/CFS]]*500)</f>
        <v>0</v>
      </c>
      <c r="CN44" s="417">
        <f>IF(WWWW[[#This Row],['#_of water points in THF]]*500&gt;WWWW[[#This Row],[Total PoP ]],WWWW[[#This Row],[Total PoP ]],WWWW[[#This Row],['#_of water points in THF]]*500)</f>
        <v>0</v>
      </c>
      <c r="CO44" s="417"/>
      <c r="CP44"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4"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4" s="908">
        <f>IF(WWWW[[#This Row],[Location Type 1]]="Village",WWWW[[#This Row],[Access to safe drinking water for Village]],WWWW[[#This Row],[Access to safe drinking water for Camp]])</f>
        <v>1</v>
      </c>
      <c r="CS44" s="906">
        <f>WWWW[[#This Row],[%Equitable and continuous access to sufficient quantity of safe drinking water]]*WWWW[[#This Row],[Total PoP ]]</f>
        <v>661</v>
      </c>
      <c r="CT44" s="908">
        <f>IF((WWWW[[#This Row],['#_Constructed/Existing protected/fenced ponds]]*250)/WWWW[[#This Row],[Total PoP ]]&gt;1,1,(WWWW[[#This Row],['#_Constructed/Existing protected/fenced ponds]]*250)/WWWW[[#This Row],[Total PoP ]])</f>
        <v>0</v>
      </c>
      <c r="CU44" s="906">
        <f>WWWW[[#This Row],[% Access to unimproved water points]]*WWWW[[#This Row],[Total PoP ]]</f>
        <v>0</v>
      </c>
      <c r="CV44"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4"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661</v>
      </c>
      <c r="CX44" s="906">
        <f>WWWW[[#This Row],[HRP1]]/500</f>
        <v>1.3220000000000001</v>
      </c>
      <c r="CY44" s="911">
        <f>1-WWWW[[#This Row],[% Equitable and continuous access to sufficient quantity of domestic water]]</f>
        <v>0</v>
      </c>
      <c r="CZ44" s="906">
        <f>WWWW[[#This Row],[%equitable and continuous access to sufficient quantity of safe drinking and domestic water''s GAP]]*WWWW[[#This Row],[Total PoP ]]</f>
        <v>0</v>
      </c>
      <c r="DA44" s="909">
        <f>IF(WWWW[[#This Row],[Total required water points]]-WWWW[[#This Row],['#Water points coverage]]&lt;0,0,WWWW[[#This Row],[Total required water points]]-WWWW[[#This Row],['#Water points coverage]])</f>
        <v>0</v>
      </c>
      <c r="DB44" s="909">
        <f>ROUND(IF(WWWW[[#This Row],[Total PoP ]]&lt;500,1,WWWW[[#This Row],[Total PoP ]]/500),0)</f>
        <v>1</v>
      </c>
      <c r="DC44" s="909">
        <f>(WWWW[[#This Row],['#_Constructed latrines_by_WASHAgencies]]+WWWW[[#This Row],['#_Non Cluster partner latrines]])-WWWW[[#This Row],['#_Non-functional latrines]]</f>
        <v>16</v>
      </c>
      <c r="DD44" s="615">
        <f>WWWW[[#This Row],[HRP2]]/WWWW[[#This Row],[Total PoP ]]</f>
        <v>0.48411497730711045</v>
      </c>
      <c r="DE44"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320</v>
      </c>
      <c r="DF44"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4"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4" s="417">
        <f>IF(WWWW[[#This Row],['# of functional latrines in THF supported by WASH partners during the reporting period2]]="",0,WWWW[[#This Row],['# of functional latrines in THF supported by WASH partners during the reporting period2]]*50)</f>
        <v>0</v>
      </c>
      <c r="DI44" s="909">
        <f>ROUND(IF(WWWW[[#This Row],[Location Type 1]]="camp",WWWW[[#This Row],[Total PoP ]]/20,IF(WWWW[[#This Row],[Location Type 1]]="Temporary Location",WWWW[[#This Row],[Total PoP ]]/50,(WWWW[[#This Row],[Total PoP ]]/6))),0)</f>
        <v>33</v>
      </c>
      <c r="DJ44" s="909">
        <f>IF(WWWW[[#This Row],[Total required Latrines]]-(WWWW[[#This Row],['#_Constructed latrines_by_WASHAgencies]]+WWWW[[#This Row],['#_Non Cluster partner latrines]])&lt;0,0,WWWW[[#This Row],[Total required Latrines]]-(WWWW[[#This Row],['#_Constructed latrines_by_WASHAgencies]]+WWWW[[#This Row],['#_Non Cluster partner latrines]]))</f>
        <v>17</v>
      </c>
      <c r="DK44" s="911">
        <f>1-WWWW[[#This Row],[% people access to functioning Latrine]]</f>
        <v>0.51588502269288949</v>
      </c>
      <c r="DL44" s="910">
        <f>IF(OR(WWWW[[#This Row],['#_Non-functional latrines]]="",WWWW[[#This Row],['#_Non-functional latrines]]=0),0,WWWW[[#This Row],['#_Non-functional latrines]]/(WWWW[[#This Row],['#_Constructed latrines_by_WASHAgencies]]+WWWW[[#This Row],['#_Non Cluster partner latrines]]))</f>
        <v>0</v>
      </c>
      <c r="DM44" s="906">
        <f>IF(500*(WWWW[[#This Row],['#_male hygiene promoters]]+WWWW[[#This Row],['#_female hygiene promoters]])&gt;WWWW[[#This Row],[Total PoP ]],WWWW[[#This Row],[Total PoP ]],500*(WWWW[[#This Row],['#_male hygiene promoters]]+WWWW[[#This Row],['#_female hygiene promoters]]))</f>
        <v>500</v>
      </c>
      <c r="DN44"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4"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4" s="909">
        <f>IF(WWWW[[#This Row],['# People with access to soap]]&gt;WWWW[[#This Row],['# People with access to Sanity Pads]],WWWW[[#This Row],['# People with access to soap]],WWWW[[#This Row],['# People with access to Sanity Pads]])</f>
        <v>0</v>
      </c>
      <c r="DQ44" s="909">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44" s="911">
        <f>IF(WWWW[[#This Row],[HRP3]]/WWWW[[#This Row],[Total PoP ]]&gt;1,1,WWWW[[#This Row],[HRP3]]/WWWW[[#This Row],[Total PoP ]])</f>
        <v>0.75642965204236001</v>
      </c>
      <c r="DS44" s="910">
        <f>1-WWWW[[#This Row],[Hygiene Coverage%]]</f>
        <v>0.24357034795763999</v>
      </c>
      <c r="DT44" s="908">
        <f>WWWW[[#This Row],['# people reached by regular dedicated hygiene promotion_5]]/WWWW[[#This Row],[Total PoP ]]</f>
        <v>0.75642965204236001</v>
      </c>
      <c r="DU44"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4"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4" s="909">
        <f>WWWW[[#This Row],['#_Constructed/Existing hand washing stations]]-WWWW[[#This Row],['#_Non-Functional_hand_washing_stations]]</f>
        <v>12</v>
      </c>
      <c r="DX44" s="906">
        <f>IF(WWWW[[#This Row],['# Functional hand washing stations during reporting period]]*20&gt;WWWW[[#This Row],[Total HH]],WWWW[[#This Row],[Total HH]],WWWW[[#This Row],['# Functional hand washing stations during reporting period]]*20)</f>
        <v>126</v>
      </c>
      <c r="DY44" s="906">
        <f>IF(WWWW[[#This Row],[Is sufficient soap available for TLS? (Yes/No)]]="yes",WWWW[[#This Row],['#_Constructed/Existing hand washing stations at TLS/CFS/THF]],0)</f>
        <v>0</v>
      </c>
      <c r="DZ44" s="421">
        <f>IF(WWWW[[#This Row],['# Functional hand washing stations during reporting period]]*100&gt;WWWW[[#This Row],[Total PoP ]],WWWW[[#This Row],[Total PoP ]],WWWW[[#This Row],['# Functional hand washing stations during reporting period]]*100)</f>
        <v>661</v>
      </c>
      <c r="EA44" s="421" t="str">
        <f>IF(OR(WWWW[[#This Row],['#_students at TLS_CFS]]="",WWWW[[#This Row],['#_students at TLS_CFS]]=0),"No","Yes")</f>
        <v>No</v>
      </c>
      <c r="EB4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4" s="566">
        <f>WWWW[[#This Row],[%_of_affected_people_surveyed_who_report_feeling_satistfied_with_the_latrine_design_and_sanitation_service]]*WWWW[[#This Row],[Total PoP ]]</f>
        <v>0</v>
      </c>
      <c r="ED44" s="566">
        <f>WWWW[[#This Row],[%_of_affected_people_surveyed_who_report_feeling_satistfied_with_the_water_point_design_and_water_service]]*WWWW[[#This Row],[Total PoP ]]</f>
        <v>0</v>
      </c>
      <c r="EE44" s="566">
        <f>WWWW[[#This Row],[%_of_complaints_received_that_result_in_timely_corrective_action_and_feedback_to_the_community]]*WWWW[[#This Row],[Total PoP ]]</f>
        <v>0</v>
      </c>
      <c r="EF4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4" s="902">
        <f>VLOOKUP(WWWW[[#This Row],[Site Name]],SiteDB6[[Site Name]:[CCCM Management]],6,FALSE)</f>
        <v>0</v>
      </c>
      <c r="EJ44" s="902" t="str">
        <f>VLOOKUP(WWWW[[#This Row],[Site Name]],SiteDB6[[Site Name]:[CCCM Focal Agency]],7,FALSE)</f>
        <v>KBC-MYT</v>
      </c>
      <c r="EK44" s="902" t="str">
        <f>VLOOKUP(WWWW[[#This Row],[Site Name]],SiteDB6[[Site Name]:[Location Type 1]],9,FALSE)</f>
        <v>Camp</v>
      </c>
      <c r="EL44" s="902" t="str">
        <f>VLOOKUP(WWWW[[#This Row],[Site Name]],SiteDB6[[Site Name]:[Type of Accommodation]],10,FALSE)</f>
        <v>Camp</v>
      </c>
      <c r="EM44" s="902" t="str">
        <f>VLOOKUP(WWWW[[#This Row],[Site Name]],SiteDB6[[Site Name]:[Ethnic or GCA/NGCA]],11,FALSE)</f>
        <v>GCA</v>
      </c>
      <c r="EN44" s="902">
        <f>VLOOKUP(WWWW[[#This Row],[Site Name]],SiteDB6[[Site Name]:[Lat]],12,FALSE)</f>
        <v>25.489669799804702</v>
      </c>
      <c r="EO44" s="902">
        <f>VLOOKUP(WWWW[[#This Row],[Site Name]],SiteDB6[[Site Name]:[Long]],13,FALSE)</f>
        <v>97.458778381347699</v>
      </c>
      <c r="EP44" s="902" t="str">
        <f>VLOOKUP(WWWW[[#This Row],[Site Name]],SiteDB6[[Site Name]:[Pcode]],3,FALSE)</f>
        <v>MMR001CMP265</v>
      </c>
      <c r="EQ44" s="907" t="str">
        <f t="shared" si="0"/>
        <v>Covered</v>
      </c>
      <c r="ER44" s="907" t="s">
        <v>3126</v>
      </c>
      <c r="ES44" s="907" t="s">
        <v>3126</v>
      </c>
      <c r="ET44" s="902">
        <f>VLOOKUP(WWWW[[#This Row],[Site Name]],SiteDB6[[Site Name]:[Pop
(Kachin/Shan-CCCM as of May 2023)]],16,FALSE)</f>
        <v>138</v>
      </c>
      <c r="EU44" s="902">
        <f>VLOOKUP(WWWW[[#This Row],[Site Name]],SiteDB6[[Site Name]:[Pop
(Kachin/Shan-CCCM as of May 2023)]],17,FALSE)</f>
        <v>667</v>
      </c>
    </row>
    <row r="45" spans="1:151" hidden="1">
      <c r="A45" s="900" t="s">
        <v>2961</v>
      </c>
      <c r="B45" s="946" t="s">
        <v>3180</v>
      </c>
      <c r="C45" s="901" t="s">
        <v>141</v>
      </c>
      <c r="D45" s="901" t="s">
        <v>3095</v>
      </c>
      <c r="E45" s="901" t="s">
        <v>37</v>
      </c>
      <c r="F45" s="901" t="s">
        <v>159</v>
      </c>
      <c r="G45" s="902" t="str">
        <f>VLOOKUP(WWWW[[#This Row],[Site Name]],SiteDB6[[Site Name]:[Location Type]],8,FALSE)</f>
        <v>Camp</v>
      </c>
      <c r="H45" s="901" t="s">
        <v>164</v>
      </c>
      <c r="I45" s="903">
        <v>130</v>
      </c>
      <c r="J45" s="903">
        <v>640</v>
      </c>
      <c r="K45" s="904">
        <v>44811</v>
      </c>
      <c r="L45" s="905">
        <v>45175</v>
      </c>
      <c r="M45" s="903"/>
      <c r="N45" s="903">
        <v>3</v>
      </c>
      <c r="O45" s="903"/>
      <c r="P45" s="903"/>
      <c r="Q45" s="906" t="s">
        <v>41</v>
      </c>
      <c r="R45" s="903">
        <v>2</v>
      </c>
      <c r="S45" s="903">
        <v>3</v>
      </c>
      <c r="T45" s="441">
        <v>3</v>
      </c>
      <c r="U45" s="903"/>
      <c r="V45" s="903"/>
      <c r="W45" s="903">
        <v>3</v>
      </c>
      <c r="X45" s="903"/>
      <c r="Y45" s="903"/>
      <c r="Z45" s="903"/>
      <c r="AA45" s="903"/>
      <c r="AB45" s="903"/>
      <c r="AC45" s="903"/>
      <c r="AD45" s="903"/>
      <c r="AE45" s="903"/>
      <c r="AF45" s="903"/>
      <c r="AG45" s="903"/>
      <c r="AH45" s="903">
        <v>2</v>
      </c>
      <c r="AI45" s="903"/>
      <c r="AJ45" s="903"/>
      <c r="AK45" s="903"/>
      <c r="AL45" s="903"/>
      <c r="AM45" s="903"/>
      <c r="AN45" s="903"/>
      <c r="AO45" s="441"/>
      <c r="AP45" s="907"/>
      <c r="AQ45" s="903">
        <v>32</v>
      </c>
      <c r="AR45" s="903"/>
      <c r="AS45" s="908"/>
      <c r="AT45" s="903"/>
      <c r="AU45" s="903"/>
      <c r="AV45" s="903"/>
      <c r="AW45" s="903"/>
      <c r="AX45" s="903">
        <v>32</v>
      </c>
      <c r="AY45" s="902" t="s">
        <v>41</v>
      </c>
      <c r="AZ45" s="907" t="s">
        <v>137</v>
      </c>
      <c r="BA45" s="903"/>
      <c r="BB45" s="903"/>
      <c r="BC45" s="903"/>
      <c r="BD45" s="441"/>
      <c r="BE45" s="441"/>
      <c r="BF45" s="902"/>
      <c r="BG45" s="903">
        <v>3</v>
      </c>
      <c r="BH45" s="903"/>
      <c r="BI45" s="903"/>
      <c r="BJ45" s="903">
        <v>2</v>
      </c>
      <c r="BK45" s="903"/>
      <c r="BL45" s="903"/>
      <c r="BM45" s="903"/>
      <c r="BN45" s="903"/>
      <c r="BO45" s="903"/>
      <c r="BP45" s="902"/>
      <c r="BQ45" s="909"/>
      <c r="BR45" s="908"/>
      <c r="BS45" s="902"/>
      <c r="BT45" s="416"/>
      <c r="BU45" s="416"/>
      <c r="BV45" s="418"/>
      <c r="BW45" s="416"/>
      <c r="BX45" s="441"/>
      <c r="BY45" s="441"/>
      <c r="BZ45" s="441"/>
      <c r="CA45" s="441"/>
      <c r="CB45" s="441"/>
      <c r="CC45" s="693"/>
      <c r="CD45" s="441"/>
      <c r="CE45" s="910" t="str">
        <f>IFERROR(WWWW[[#This Row],['#_Water sources passed]]/WWWW[[#This Row],['#_Water sources tested for fecal coliform ]],"no test")</f>
        <v>no test</v>
      </c>
      <c r="CF45" s="908" t="str">
        <f>IFERROR(WWWW[[#This Row],['#_Household passed]]/WWWW[[#This Row],['#_Household water samples tested for fecal coliform]],"no test")</f>
        <v>no test</v>
      </c>
      <c r="CG45" s="909" t="str">
        <f>IF(AND(WWWW[[#This Row],[% of water sources passed]]="no test",WWWW[[#This Row],[% Household passed]]="no test"),"No Test","Tested")</f>
        <v>No Test</v>
      </c>
      <c r="CH45" s="909">
        <f>WWWW[[#This Row],['#_Constructed/existing protected hand dug well]]-WWWW[[#This Row],['#_Non-functional protected hand dug well]]</f>
        <v>3</v>
      </c>
      <c r="CI45" s="909">
        <f>(WWWW[[#This Row],['#_Constructed/Existing tube wells/boreholes/handpumps_WASH_agency]]+WWWW[[#This Row],['#_Non-Cluster partner water tube-wells/boreholes/handpumps]])-WWWW[[#This Row],['#_Non-functional tube wells/boreholes/handpumps]]</f>
        <v>3</v>
      </c>
      <c r="CJ45" s="909">
        <f>WWWW[[#This Row],['#_Constructed/Existingwater storage tank with gravity fed reticulation system]]-WWWW[[#This Row],['#_Non-functional storage tank gravity fed reticulation system]]</f>
        <v>0</v>
      </c>
      <c r="CK45" s="909">
        <f>(WWWW[[#This Row],['#_Water_Liters_supplied_by_Water boating or water trucking]]/90)/15</f>
        <v>0</v>
      </c>
      <c r="CL45" s="909">
        <f>WWWW[[#This Row],['#_Water_Liters_from_Constructed/Existing water distribution system from river or natural spring]]/90/15</f>
        <v>0</v>
      </c>
      <c r="CM45" s="417">
        <f>IF(WWWW[[#This Row],['#_of water points in TLS/CFS]]*500&gt;WWWW[[#This Row],[Total PoP ]],WWWW[[#This Row],[Total PoP ]],WWWW[[#This Row],['#_of water points in TLS/CFS]]*500)</f>
        <v>0</v>
      </c>
      <c r="CN45" s="417">
        <f>IF(WWWW[[#This Row],['#_of water points in THF]]*500&gt;WWWW[[#This Row],[Total PoP ]],WWWW[[#This Row],[Total PoP ]],WWWW[[#This Row],['#_of water points in THF]]*500)</f>
        <v>0</v>
      </c>
      <c r="CO45" s="417"/>
      <c r="CP45"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5"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5" s="908">
        <f>IF(WWWW[[#This Row],[Location Type 1]]="Village",WWWW[[#This Row],[Access to safe drinking water for Village]],WWWW[[#This Row],[Access to safe drinking water for Camp]])</f>
        <v>1</v>
      </c>
      <c r="CS45" s="906">
        <f>WWWW[[#This Row],[%Equitable and continuous access to sufficient quantity of safe drinking water]]*WWWW[[#This Row],[Total PoP ]]</f>
        <v>640</v>
      </c>
      <c r="CT45" s="908">
        <f>IF((WWWW[[#This Row],['#_Constructed/Existing protected/fenced ponds]]*250)/WWWW[[#This Row],[Total PoP ]]&gt;1,1,(WWWW[[#This Row],['#_Constructed/Existing protected/fenced ponds]]*250)/WWWW[[#This Row],[Total PoP ]])</f>
        <v>0</v>
      </c>
      <c r="CU45" s="906">
        <f>WWWW[[#This Row],[% Access to unimproved water points]]*WWWW[[#This Row],[Total PoP ]]</f>
        <v>0</v>
      </c>
      <c r="CV45"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5"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640</v>
      </c>
      <c r="CX45" s="906">
        <f>WWWW[[#This Row],[HRP1]]/500</f>
        <v>1.28</v>
      </c>
      <c r="CY45" s="911">
        <f>1-WWWW[[#This Row],[% Equitable and continuous access to sufficient quantity of domestic water]]</f>
        <v>0</v>
      </c>
      <c r="CZ45" s="906">
        <f>WWWW[[#This Row],[%equitable and continuous access to sufficient quantity of safe drinking and domestic water''s GAP]]*WWWW[[#This Row],[Total PoP ]]</f>
        <v>0</v>
      </c>
      <c r="DA45" s="909">
        <f>IF(WWWW[[#This Row],[Total required water points]]-WWWW[[#This Row],['#Water points coverage]]&lt;0,0,WWWW[[#This Row],[Total required water points]]-WWWW[[#This Row],['#Water points coverage]])</f>
        <v>0</v>
      </c>
      <c r="DB45" s="909">
        <f>ROUND(IF(WWWW[[#This Row],[Total PoP ]]&lt;500,1,WWWW[[#This Row],[Total PoP ]]/500),0)</f>
        <v>1</v>
      </c>
      <c r="DC45" s="909">
        <f>(WWWW[[#This Row],['#_Constructed latrines_by_WASHAgencies]]+WWWW[[#This Row],['#_Non Cluster partner latrines]])-WWWW[[#This Row],['#_Non-functional latrines]]</f>
        <v>32</v>
      </c>
      <c r="DD45" s="615">
        <f>WWWW[[#This Row],[HRP2]]/WWWW[[#This Row],[Total PoP ]]</f>
        <v>1</v>
      </c>
      <c r="DE45"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640</v>
      </c>
      <c r="DF45"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5"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5" s="417">
        <f>IF(WWWW[[#This Row],['# of functional latrines in THF supported by WASH partners during the reporting period2]]="",0,WWWW[[#This Row],['# of functional latrines in THF supported by WASH partners during the reporting period2]]*50)</f>
        <v>0</v>
      </c>
      <c r="DI45" s="909">
        <f>ROUND(IF(WWWW[[#This Row],[Location Type 1]]="camp",WWWW[[#This Row],[Total PoP ]]/20,IF(WWWW[[#This Row],[Location Type 1]]="Temporary Location",WWWW[[#This Row],[Total PoP ]]/50,(WWWW[[#This Row],[Total PoP ]]/6))),0)</f>
        <v>32</v>
      </c>
      <c r="DJ45" s="909">
        <f>IF(WWWW[[#This Row],[Total required Latrines]]-(WWWW[[#This Row],['#_Constructed latrines_by_WASHAgencies]]+WWWW[[#This Row],['#_Non Cluster partner latrines]])&lt;0,0,WWWW[[#This Row],[Total required Latrines]]-(WWWW[[#This Row],['#_Constructed latrines_by_WASHAgencies]]+WWWW[[#This Row],['#_Non Cluster partner latrines]]))</f>
        <v>0</v>
      </c>
      <c r="DK45" s="911">
        <f>1-WWWW[[#This Row],[% people access to functioning Latrine]]</f>
        <v>0</v>
      </c>
      <c r="DL45" s="910">
        <f>IF(OR(WWWW[[#This Row],['#_Non-functional latrines]]="",WWWW[[#This Row],['#_Non-functional latrines]]=0),0,WWWW[[#This Row],['#_Non-functional latrines]]/(WWWW[[#This Row],['#_Constructed latrines_by_WASHAgencies]]+WWWW[[#This Row],['#_Non Cluster partner latrines]]))</f>
        <v>0</v>
      </c>
      <c r="DM45" s="906">
        <f>IF(500*(WWWW[[#This Row],['#_male hygiene promoters]]+WWWW[[#This Row],['#_female hygiene promoters]])&gt;WWWW[[#This Row],[Total PoP ]],WWWW[[#This Row],[Total PoP ]],500*(WWWW[[#This Row],['#_male hygiene promoters]]+WWWW[[#This Row],['#_female hygiene promoters]]))</f>
        <v>0</v>
      </c>
      <c r="DN45"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5"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5" s="909">
        <f>IF(WWWW[[#This Row],['# People with access to soap]]&gt;WWWW[[#This Row],['# People with access to Sanity Pads]],WWWW[[#This Row],['# People with access to soap]],WWWW[[#This Row],['# People with access to Sanity Pads]])</f>
        <v>0</v>
      </c>
      <c r="DQ45"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5" s="911">
        <f>IF(WWWW[[#This Row],[HRP3]]/WWWW[[#This Row],[Total PoP ]]&gt;1,1,WWWW[[#This Row],[HRP3]]/WWWW[[#This Row],[Total PoP ]])</f>
        <v>0</v>
      </c>
      <c r="DS45" s="910">
        <f>1-WWWW[[#This Row],[Hygiene Coverage%]]</f>
        <v>1</v>
      </c>
      <c r="DT45" s="908">
        <f>WWWW[[#This Row],['# people reached by regular dedicated hygiene promotion_5]]/WWWW[[#This Row],[Total PoP ]]</f>
        <v>0</v>
      </c>
      <c r="DU45"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5"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5" s="909">
        <f>WWWW[[#This Row],['#_Constructed/Existing hand washing stations]]-WWWW[[#This Row],['#_Non-Functional_hand_washing_stations]]</f>
        <v>3</v>
      </c>
      <c r="DX45" s="906">
        <f>IF(WWWW[[#This Row],['# Functional hand washing stations during reporting period]]*20&gt;WWWW[[#This Row],[Total HH]],WWWW[[#This Row],[Total HH]],WWWW[[#This Row],['# Functional hand washing stations during reporting period]]*20)</f>
        <v>60</v>
      </c>
      <c r="DY45" s="906">
        <f>IF(WWWW[[#This Row],[Is sufficient soap available for TLS? (Yes/No)]]="yes",WWWW[[#This Row],['#_Constructed/Existing hand washing stations at TLS/CFS/THF]],0)</f>
        <v>0</v>
      </c>
      <c r="DZ45" s="421">
        <f>IF(WWWW[[#This Row],['# Functional hand washing stations during reporting period]]*100&gt;WWWW[[#This Row],[Total PoP ]],WWWW[[#This Row],[Total PoP ]],WWWW[[#This Row],['# Functional hand washing stations during reporting period]]*100)</f>
        <v>300</v>
      </c>
      <c r="EA45" s="421" t="str">
        <f>IF(OR(WWWW[[#This Row],['#_students at TLS_CFS]]="",WWWW[[#This Row],['#_students at TLS_CFS]]=0),"No","Yes")</f>
        <v>No</v>
      </c>
      <c r="EB4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5" s="566">
        <f>WWWW[[#This Row],[%_of_affected_people_surveyed_who_report_feeling_satistfied_with_the_latrine_design_and_sanitation_service]]*WWWW[[#This Row],[Total PoP ]]</f>
        <v>0</v>
      </c>
      <c r="ED45" s="566">
        <f>WWWW[[#This Row],[%_of_affected_people_surveyed_who_report_feeling_satistfied_with_the_water_point_design_and_water_service]]*WWWW[[#This Row],[Total PoP ]]</f>
        <v>0</v>
      </c>
      <c r="EE45" s="566">
        <f>WWWW[[#This Row],[%_of_complaints_received_that_result_in_timely_corrective_action_and_feedback_to_the_community]]*WWWW[[#This Row],[Total PoP ]]</f>
        <v>0</v>
      </c>
      <c r="EF4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5" s="902" t="str">
        <f>VLOOKUP(WWWW[[#This Row],[Site Name]],SiteDB6[[Site Name]:[CCCM Management]],6,FALSE)</f>
        <v>Yes</v>
      </c>
      <c r="EJ45" s="902" t="str">
        <f>VLOOKUP(WWWW[[#This Row],[Site Name]],SiteDB6[[Site Name]:[CCCM Focal Agency]],7,FALSE)</f>
        <v>KBC-MYT</v>
      </c>
      <c r="EK45" s="902" t="str">
        <f>VLOOKUP(WWWW[[#This Row],[Site Name]],SiteDB6[[Site Name]:[Location Type 1]],9,FALSE)</f>
        <v>Camp</v>
      </c>
      <c r="EL45" s="902" t="str">
        <f>VLOOKUP(WWWW[[#This Row],[Site Name]],SiteDB6[[Site Name]:[Type of Accommodation]],10,FALSE)</f>
        <v>Camp</v>
      </c>
      <c r="EM45" s="902" t="str">
        <f>VLOOKUP(WWWW[[#This Row],[Site Name]],SiteDB6[[Site Name]:[Ethnic or GCA/NGCA]],11,FALSE)</f>
        <v>GCA</v>
      </c>
      <c r="EN45" s="902">
        <f>VLOOKUP(WWWW[[#This Row],[Site Name]],SiteDB6[[Site Name]:[Lat]],12,FALSE)</f>
        <v>25.3510167948718</v>
      </c>
      <c r="EO45" s="902">
        <f>VLOOKUP(WWWW[[#This Row],[Site Name]],SiteDB6[[Site Name]:[Long]],13,FALSE)</f>
        <v>97.403402307692303</v>
      </c>
      <c r="EP45" s="902" t="str">
        <f>VLOOKUP(WWWW[[#This Row],[Site Name]],SiteDB6[[Site Name]:[Pcode]],3,FALSE)</f>
        <v>MMR001CMP014</v>
      </c>
      <c r="EQ45" s="907" t="str">
        <f t="shared" si="0"/>
        <v>Covered</v>
      </c>
      <c r="ER45" s="907" t="s">
        <v>3126</v>
      </c>
      <c r="ES45" s="907" t="s">
        <v>3126</v>
      </c>
      <c r="ET45" s="902">
        <f>VLOOKUP(WWWW[[#This Row],[Site Name]],SiteDB6[[Site Name]:[Pop
(Kachin/Shan-CCCM as of May 2023)]],16,FALSE)</f>
        <v>126</v>
      </c>
      <c r="EU45" s="902">
        <f>VLOOKUP(WWWW[[#This Row],[Site Name]],SiteDB6[[Site Name]:[Pop
(Kachin/Shan-CCCM as of May 2023)]],17,FALSE)</f>
        <v>623</v>
      </c>
    </row>
    <row r="46" spans="1:151" hidden="1">
      <c r="A46" s="900" t="s">
        <v>2961</v>
      </c>
      <c r="B46" s="946" t="s">
        <v>3180</v>
      </c>
      <c r="C46" s="901" t="s">
        <v>141</v>
      </c>
      <c r="D46" s="901" t="s">
        <v>3093</v>
      </c>
      <c r="E46" s="901" t="s">
        <v>37</v>
      </c>
      <c r="F46" s="901" t="s">
        <v>159</v>
      </c>
      <c r="G46" s="902" t="str">
        <f>VLOOKUP(WWWW[[#This Row],[Site Name]],SiteDB6[[Site Name]:[Location Type]],8,FALSE)</f>
        <v>Camp</v>
      </c>
      <c r="H46" s="901" t="s">
        <v>166</v>
      </c>
      <c r="I46" s="903">
        <v>87</v>
      </c>
      <c r="J46" s="903">
        <v>506</v>
      </c>
      <c r="K46" s="904">
        <v>44811</v>
      </c>
      <c r="L46" s="905">
        <v>45175</v>
      </c>
      <c r="M46" s="903"/>
      <c r="N46" s="903">
        <v>2</v>
      </c>
      <c r="O46" s="903"/>
      <c r="P46" s="903"/>
      <c r="Q46" s="906" t="s">
        <v>41</v>
      </c>
      <c r="R46" s="903">
        <v>2</v>
      </c>
      <c r="S46" s="903">
        <v>3</v>
      </c>
      <c r="T46" s="441">
        <v>2</v>
      </c>
      <c r="U46" s="903"/>
      <c r="V46" s="903"/>
      <c r="W46" s="903">
        <v>3</v>
      </c>
      <c r="X46" s="903"/>
      <c r="Y46" s="903"/>
      <c r="Z46" s="903"/>
      <c r="AA46" s="903"/>
      <c r="AB46" s="903"/>
      <c r="AC46" s="903"/>
      <c r="AD46" s="903"/>
      <c r="AE46" s="903"/>
      <c r="AF46" s="903"/>
      <c r="AG46" s="903"/>
      <c r="AH46" s="903">
        <v>3</v>
      </c>
      <c r="AI46" s="903"/>
      <c r="AJ46" s="903"/>
      <c r="AK46" s="903"/>
      <c r="AL46" s="903"/>
      <c r="AM46" s="903"/>
      <c r="AN46" s="903"/>
      <c r="AO46" s="441"/>
      <c r="AP46" s="907"/>
      <c r="AQ46" s="903">
        <v>34</v>
      </c>
      <c r="AR46" s="903"/>
      <c r="AS46" s="908"/>
      <c r="AT46" s="903"/>
      <c r="AU46" s="903"/>
      <c r="AV46" s="903"/>
      <c r="AW46" s="903"/>
      <c r="AX46" s="903">
        <v>34</v>
      </c>
      <c r="AY46" s="902" t="s">
        <v>41</v>
      </c>
      <c r="AZ46" s="907" t="s">
        <v>899</v>
      </c>
      <c r="BA46" s="903"/>
      <c r="BB46" s="903"/>
      <c r="BC46" s="903"/>
      <c r="BD46" s="441"/>
      <c r="BE46" s="441"/>
      <c r="BF46" s="902"/>
      <c r="BG46" s="903">
        <v>3</v>
      </c>
      <c r="BH46" s="903"/>
      <c r="BI46" s="903"/>
      <c r="BJ46" s="903">
        <v>2</v>
      </c>
      <c r="BK46" s="903"/>
      <c r="BL46" s="903"/>
      <c r="BM46" s="903"/>
      <c r="BN46" s="903"/>
      <c r="BO46" s="903"/>
      <c r="BP46" s="902"/>
      <c r="BQ46" s="909"/>
      <c r="BR46" s="908"/>
      <c r="BS46" s="902"/>
      <c r="BT46" s="416"/>
      <c r="BU46" s="416"/>
      <c r="BV46" s="418"/>
      <c r="BW46" s="416"/>
      <c r="BX46" s="441"/>
      <c r="BY46" s="441"/>
      <c r="BZ46" s="441"/>
      <c r="CA46" s="441"/>
      <c r="CB46" s="441"/>
      <c r="CC46" s="693"/>
      <c r="CD46" s="441"/>
      <c r="CE46" s="910" t="str">
        <f>IFERROR(WWWW[[#This Row],['#_Water sources passed]]/WWWW[[#This Row],['#_Water sources tested for fecal coliform ]],"no test")</f>
        <v>no test</v>
      </c>
      <c r="CF46" s="908" t="str">
        <f>IFERROR(WWWW[[#This Row],['#_Household passed]]/WWWW[[#This Row],['#_Household water samples tested for fecal coliform]],"no test")</f>
        <v>no test</v>
      </c>
      <c r="CG46" s="909" t="str">
        <f>IF(AND(WWWW[[#This Row],[% of water sources passed]]="no test",WWWW[[#This Row],[% Household passed]]="no test"),"No Test","Tested")</f>
        <v>No Test</v>
      </c>
      <c r="CH46" s="909">
        <f>WWWW[[#This Row],['#_Constructed/existing protected hand dug well]]-WWWW[[#This Row],['#_Non-functional protected hand dug well]]</f>
        <v>2</v>
      </c>
      <c r="CI46" s="909">
        <f>(WWWW[[#This Row],['#_Constructed/Existing tube wells/boreholes/handpumps_WASH_agency]]+WWWW[[#This Row],['#_Non-Cluster partner water tube-wells/boreholes/handpumps]])-WWWW[[#This Row],['#_Non-functional tube wells/boreholes/handpumps]]</f>
        <v>3</v>
      </c>
      <c r="CJ46" s="909">
        <f>WWWW[[#This Row],['#_Constructed/Existingwater storage tank with gravity fed reticulation system]]-WWWW[[#This Row],['#_Non-functional storage tank gravity fed reticulation system]]</f>
        <v>0</v>
      </c>
      <c r="CK46" s="909">
        <f>(WWWW[[#This Row],['#_Water_Liters_supplied_by_Water boating or water trucking]]/90)/15</f>
        <v>0</v>
      </c>
      <c r="CL46" s="909">
        <f>WWWW[[#This Row],['#_Water_Liters_from_Constructed/Existing water distribution system from river or natural spring]]/90/15</f>
        <v>0</v>
      </c>
      <c r="CM46" s="417">
        <f>IF(WWWW[[#This Row],['#_of water points in TLS/CFS]]*500&gt;WWWW[[#This Row],[Total PoP ]],WWWW[[#This Row],[Total PoP ]],WWWW[[#This Row],['#_of water points in TLS/CFS]]*500)</f>
        <v>0</v>
      </c>
      <c r="CN46" s="417">
        <f>IF(WWWW[[#This Row],['#_of water points in THF]]*500&gt;WWWW[[#This Row],[Total PoP ]],WWWW[[#This Row],[Total PoP ]],WWWW[[#This Row],['#_of water points in THF]]*500)</f>
        <v>0</v>
      </c>
      <c r="CO46" s="417"/>
      <c r="CP46"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6"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6" s="908">
        <f>IF(WWWW[[#This Row],[Location Type 1]]="Village",WWWW[[#This Row],[Access to safe drinking water for Village]],WWWW[[#This Row],[Access to safe drinking water for Camp]])</f>
        <v>1</v>
      </c>
      <c r="CS46" s="906">
        <f>WWWW[[#This Row],[%Equitable and continuous access to sufficient quantity of safe drinking water]]*WWWW[[#This Row],[Total PoP ]]</f>
        <v>506</v>
      </c>
      <c r="CT46" s="908">
        <f>IF((WWWW[[#This Row],['#_Constructed/Existing protected/fenced ponds]]*250)/WWWW[[#This Row],[Total PoP ]]&gt;1,1,(WWWW[[#This Row],['#_Constructed/Existing protected/fenced ponds]]*250)/WWWW[[#This Row],[Total PoP ]])</f>
        <v>0</v>
      </c>
      <c r="CU46" s="906">
        <f>WWWW[[#This Row],[% Access to unimproved water points]]*WWWW[[#This Row],[Total PoP ]]</f>
        <v>0</v>
      </c>
      <c r="CV46"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6"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506</v>
      </c>
      <c r="CX46" s="906">
        <f>WWWW[[#This Row],[HRP1]]/500</f>
        <v>1.012</v>
      </c>
      <c r="CY46" s="911">
        <f>1-WWWW[[#This Row],[% Equitable and continuous access to sufficient quantity of domestic water]]</f>
        <v>0</v>
      </c>
      <c r="CZ46" s="906">
        <f>WWWW[[#This Row],[%equitable and continuous access to sufficient quantity of safe drinking and domestic water''s GAP]]*WWWW[[#This Row],[Total PoP ]]</f>
        <v>0</v>
      </c>
      <c r="DA46" s="909">
        <f>IF(WWWW[[#This Row],[Total required water points]]-WWWW[[#This Row],['#Water points coverage]]&lt;0,0,WWWW[[#This Row],[Total required water points]]-WWWW[[#This Row],['#Water points coverage]])</f>
        <v>0</v>
      </c>
      <c r="DB46" s="909">
        <f>ROUND(IF(WWWW[[#This Row],[Total PoP ]]&lt;500,1,WWWW[[#This Row],[Total PoP ]]/500),0)</f>
        <v>1</v>
      </c>
      <c r="DC46" s="909">
        <f>(WWWW[[#This Row],['#_Constructed latrines_by_WASHAgencies]]+WWWW[[#This Row],['#_Non Cluster partner latrines]])-WWWW[[#This Row],['#_Non-functional latrines]]</f>
        <v>34</v>
      </c>
      <c r="DD46" s="615">
        <f>WWWW[[#This Row],[HRP2]]/WWWW[[#This Row],[Total PoP ]]</f>
        <v>1</v>
      </c>
      <c r="DE46"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506</v>
      </c>
      <c r="DF46"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6"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6" s="417">
        <f>IF(WWWW[[#This Row],['# of functional latrines in THF supported by WASH partners during the reporting period2]]="",0,WWWW[[#This Row],['# of functional latrines in THF supported by WASH partners during the reporting period2]]*50)</f>
        <v>0</v>
      </c>
      <c r="DI46" s="909">
        <f>ROUND(IF(WWWW[[#This Row],[Location Type 1]]="camp",WWWW[[#This Row],[Total PoP ]]/20,IF(WWWW[[#This Row],[Location Type 1]]="Temporary Location",WWWW[[#This Row],[Total PoP ]]/50,(WWWW[[#This Row],[Total PoP ]]/6))),0)</f>
        <v>25</v>
      </c>
      <c r="DJ46" s="909">
        <f>IF(WWWW[[#This Row],[Total required Latrines]]-(WWWW[[#This Row],['#_Constructed latrines_by_WASHAgencies]]+WWWW[[#This Row],['#_Non Cluster partner latrines]])&lt;0,0,WWWW[[#This Row],[Total required Latrines]]-(WWWW[[#This Row],['#_Constructed latrines_by_WASHAgencies]]+WWWW[[#This Row],['#_Non Cluster partner latrines]]))</f>
        <v>0</v>
      </c>
      <c r="DK46" s="911">
        <f>1-WWWW[[#This Row],[% people access to functioning Latrine]]</f>
        <v>0</v>
      </c>
      <c r="DL46" s="910">
        <f>IF(OR(WWWW[[#This Row],['#_Non-functional latrines]]="",WWWW[[#This Row],['#_Non-functional latrines]]=0),0,WWWW[[#This Row],['#_Non-functional latrines]]/(WWWW[[#This Row],['#_Constructed latrines_by_WASHAgencies]]+WWWW[[#This Row],['#_Non Cluster partner latrines]]))</f>
        <v>0</v>
      </c>
      <c r="DM46" s="906">
        <f>IF(500*(WWWW[[#This Row],['#_male hygiene promoters]]+WWWW[[#This Row],['#_female hygiene promoters]])&gt;WWWW[[#This Row],[Total PoP ]],WWWW[[#This Row],[Total PoP ]],500*(WWWW[[#This Row],['#_male hygiene promoters]]+WWWW[[#This Row],['#_female hygiene promoters]]))</f>
        <v>0</v>
      </c>
      <c r="DN46"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6"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6" s="909">
        <f>IF(WWWW[[#This Row],['# People with access to soap]]&gt;WWWW[[#This Row],['# People with access to Sanity Pads]],WWWW[[#This Row],['# People with access to soap]],WWWW[[#This Row],['# People with access to Sanity Pads]])</f>
        <v>0</v>
      </c>
      <c r="DQ46"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6" s="911">
        <f>IF(WWWW[[#This Row],[HRP3]]/WWWW[[#This Row],[Total PoP ]]&gt;1,1,WWWW[[#This Row],[HRP3]]/WWWW[[#This Row],[Total PoP ]])</f>
        <v>0</v>
      </c>
      <c r="DS46" s="910">
        <f>1-WWWW[[#This Row],[Hygiene Coverage%]]</f>
        <v>1</v>
      </c>
      <c r="DT46" s="908">
        <f>WWWW[[#This Row],['# people reached by regular dedicated hygiene promotion_5]]/WWWW[[#This Row],[Total PoP ]]</f>
        <v>0</v>
      </c>
      <c r="DU46"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6"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6" s="909">
        <f>WWWW[[#This Row],['#_Constructed/Existing hand washing stations]]-WWWW[[#This Row],['#_Non-Functional_hand_washing_stations]]</f>
        <v>3</v>
      </c>
      <c r="DX46" s="906">
        <f>IF(WWWW[[#This Row],['# Functional hand washing stations during reporting period]]*20&gt;WWWW[[#This Row],[Total HH]],WWWW[[#This Row],[Total HH]],WWWW[[#This Row],['# Functional hand washing stations during reporting period]]*20)</f>
        <v>60</v>
      </c>
      <c r="DY46" s="906">
        <f>IF(WWWW[[#This Row],[Is sufficient soap available for TLS? (Yes/No)]]="yes",WWWW[[#This Row],['#_Constructed/Existing hand washing stations at TLS/CFS/THF]],0)</f>
        <v>0</v>
      </c>
      <c r="DZ46" s="421">
        <f>IF(WWWW[[#This Row],['# Functional hand washing stations during reporting period]]*100&gt;WWWW[[#This Row],[Total PoP ]],WWWW[[#This Row],[Total PoP ]],WWWW[[#This Row],['# Functional hand washing stations during reporting period]]*100)</f>
        <v>300</v>
      </c>
      <c r="EA46" s="421" t="str">
        <f>IF(OR(WWWW[[#This Row],['#_students at TLS_CFS]]="",WWWW[[#This Row],['#_students at TLS_CFS]]=0),"No","Yes")</f>
        <v>No</v>
      </c>
      <c r="EB4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6" s="566">
        <f>WWWW[[#This Row],[%_of_affected_people_surveyed_who_report_feeling_satistfied_with_the_latrine_design_and_sanitation_service]]*WWWW[[#This Row],[Total PoP ]]</f>
        <v>0</v>
      </c>
      <c r="ED46" s="566">
        <f>WWWW[[#This Row],[%_of_affected_people_surveyed_who_report_feeling_satistfied_with_the_water_point_design_and_water_service]]*WWWW[[#This Row],[Total PoP ]]</f>
        <v>0</v>
      </c>
      <c r="EE46" s="566">
        <f>WWWW[[#This Row],[%_of_complaints_received_that_result_in_timely_corrective_action_and_feedback_to_the_community]]*WWWW[[#This Row],[Total PoP ]]</f>
        <v>0</v>
      </c>
      <c r="EF4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6" s="902" t="str">
        <f>VLOOKUP(WWWW[[#This Row],[Site Name]],SiteDB6[[Site Name]:[CCCM Management]],6,FALSE)</f>
        <v>Yes</v>
      </c>
      <c r="EJ46" s="902" t="str">
        <f>VLOOKUP(WWWW[[#This Row],[Site Name]],SiteDB6[[Site Name]:[CCCM Focal Agency]],7,FALSE)</f>
        <v>KBC-MYT</v>
      </c>
      <c r="EK46" s="902" t="str">
        <f>VLOOKUP(WWWW[[#This Row],[Site Name]],SiteDB6[[Site Name]:[Location Type 1]],9,FALSE)</f>
        <v>Camp</v>
      </c>
      <c r="EL46" s="902" t="str">
        <f>VLOOKUP(WWWW[[#This Row],[Site Name]],SiteDB6[[Site Name]:[Type of Accommodation]],10,FALSE)</f>
        <v>Camp</v>
      </c>
      <c r="EM46" s="902" t="str">
        <f>VLOOKUP(WWWW[[#This Row],[Site Name]],SiteDB6[[Site Name]:[Ethnic or GCA/NGCA]],11,FALSE)</f>
        <v>GCA</v>
      </c>
      <c r="EN46" s="902">
        <f>VLOOKUP(WWWW[[#This Row],[Site Name]],SiteDB6[[Site Name]:[Lat]],12,FALSE)</f>
        <v>25.428910999999999</v>
      </c>
      <c r="EO46" s="902">
        <f>VLOOKUP(WWWW[[#This Row],[Site Name]],SiteDB6[[Site Name]:[Long]],13,FALSE)</f>
        <v>97.418694000000002</v>
      </c>
      <c r="EP46" s="902" t="str">
        <f>VLOOKUP(WWWW[[#This Row],[Site Name]],SiteDB6[[Site Name]:[Pcode]],3,FALSE)</f>
        <v>MMR001CMP008</v>
      </c>
      <c r="EQ46" s="907" t="str">
        <f t="shared" si="0"/>
        <v>Covered</v>
      </c>
      <c r="ER46" s="907" t="s">
        <v>3126</v>
      </c>
      <c r="ES46" s="907" t="s">
        <v>3126</v>
      </c>
      <c r="ET46" s="902">
        <f>VLOOKUP(WWWW[[#This Row],[Site Name]],SiteDB6[[Site Name]:[Pop
(Kachin/Shan-CCCM as of May 2023)]],16,FALSE)</f>
        <v>86</v>
      </c>
      <c r="EU46" s="902">
        <f>VLOOKUP(WWWW[[#This Row],[Site Name]],SiteDB6[[Site Name]:[Pop
(Kachin/Shan-CCCM as of May 2023)]],17,FALSE)</f>
        <v>502</v>
      </c>
    </row>
    <row r="47" spans="1:151" hidden="1">
      <c r="A47" s="900" t="s">
        <v>2961</v>
      </c>
      <c r="B47" s="946" t="s">
        <v>3180</v>
      </c>
      <c r="C47" s="901" t="s">
        <v>141</v>
      </c>
      <c r="D47" s="901" t="s">
        <v>3093</v>
      </c>
      <c r="E47" s="901" t="s">
        <v>37</v>
      </c>
      <c r="F47" s="901" t="s">
        <v>159</v>
      </c>
      <c r="G47" s="902" t="str">
        <f>VLOOKUP(WWWW[[#This Row],[Site Name]],SiteDB6[[Site Name]:[Location Type]],8,FALSE)</f>
        <v>Camp</v>
      </c>
      <c r="H47" s="901" t="s">
        <v>168</v>
      </c>
      <c r="I47" s="903">
        <v>111</v>
      </c>
      <c r="J47" s="903">
        <v>595</v>
      </c>
      <c r="K47" s="904">
        <v>44811</v>
      </c>
      <c r="L47" s="905">
        <v>45175</v>
      </c>
      <c r="M47" s="903"/>
      <c r="N47" s="903">
        <v>2</v>
      </c>
      <c r="O47" s="903"/>
      <c r="P47" s="903"/>
      <c r="Q47" s="906" t="s">
        <v>41</v>
      </c>
      <c r="R47" s="903">
        <v>2</v>
      </c>
      <c r="S47" s="903">
        <v>2</v>
      </c>
      <c r="T47" s="441">
        <v>2</v>
      </c>
      <c r="U47" s="903"/>
      <c r="V47" s="903"/>
      <c r="W47" s="903">
        <v>3</v>
      </c>
      <c r="X47" s="903"/>
      <c r="Y47" s="903"/>
      <c r="Z47" s="903"/>
      <c r="AA47" s="903"/>
      <c r="AB47" s="903"/>
      <c r="AC47" s="903"/>
      <c r="AD47" s="903"/>
      <c r="AE47" s="903"/>
      <c r="AF47" s="903"/>
      <c r="AG47" s="903"/>
      <c r="AH47" s="903">
        <v>2</v>
      </c>
      <c r="AI47" s="903"/>
      <c r="AJ47" s="903"/>
      <c r="AK47" s="903"/>
      <c r="AL47" s="903"/>
      <c r="AM47" s="903"/>
      <c r="AN47" s="903"/>
      <c r="AO47" s="441"/>
      <c r="AP47" s="907"/>
      <c r="AQ47" s="903">
        <v>13</v>
      </c>
      <c r="AR47" s="903"/>
      <c r="AS47" s="908"/>
      <c r="AT47" s="903"/>
      <c r="AU47" s="903"/>
      <c r="AV47" s="903"/>
      <c r="AW47" s="903"/>
      <c r="AX47" s="903">
        <v>13</v>
      </c>
      <c r="AY47" s="902" t="s">
        <v>41</v>
      </c>
      <c r="AZ47" s="907" t="s">
        <v>137</v>
      </c>
      <c r="BA47" s="903"/>
      <c r="BB47" s="903"/>
      <c r="BC47" s="903"/>
      <c r="BD47" s="441"/>
      <c r="BE47" s="441"/>
      <c r="BF47" s="902"/>
      <c r="BG47" s="903">
        <v>7</v>
      </c>
      <c r="BH47" s="903"/>
      <c r="BI47" s="903"/>
      <c r="BJ47" s="903">
        <v>4</v>
      </c>
      <c r="BK47" s="903"/>
      <c r="BL47" s="903">
        <v>1</v>
      </c>
      <c r="BM47" s="903"/>
      <c r="BN47" s="903"/>
      <c r="BO47" s="903"/>
      <c r="BP47" s="902"/>
      <c r="BQ47" s="909"/>
      <c r="BR47" s="908"/>
      <c r="BS47" s="902"/>
      <c r="BT47" s="416"/>
      <c r="BU47" s="416"/>
      <c r="BV47" s="418"/>
      <c r="BW47" s="416"/>
      <c r="BX47" s="441"/>
      <c r="BY47" s="441"/>
      <c r="BZ47" s="441"/>
      <c r="CA47" s="441"/>
      <c r="CB47" s="441"/>
      <c r="CC47" s="693"/>
      <c r="CD47" s="441"/>
      <c r="CE47" s="910" t="str">
        <f>IFERROR(WWWW[[#This Row],['#_Water sources passed]]/WWWW[[#This Row],['#_Water sources tested for fecal coliform ]],"no test")</f>
        <v>no test</v>
      </c>
      <c r="CF47" s="908" t="str">
        <f>IFERROR(WWWW[[#This Row],['#_Household passed]]/WWWW[[#This Row],['#_Household water samples tested for fecal coliform]],"no test")</f>
        <v>no test</v>
      </c>
      <c r="CG47" s="909" t="str">
        <f>IF(AND(WWWW[[#This Row],[% of water sources passed]]="no test",WWWW[[#This Row],[% Household passed]]="no test"),"No Test","Tested")</f>
        <v>No Test</v>
      </c>
      <c r="CH47" s="909">
        <f>WWWW[[#This Row],['#_Constructed/existing protected hand dug well]]-WWWW[[#This Row],['#_Non-functional protected hand dug well]]</f>
        <v>2</v>
      </c>
      <c r="CI47" s="909">
        <f>(WWWW[[#This Row],['#_Constructed/Existing tube wells/boreholes/handpumps_WASH_agency]]+WWWW[[#This Row],['#_Non-Cluster partner water tube-wells/boreholes/handpumps]])-WWWW[[#This Row],['#_Non-functional tube wells/boreholes/handpumps]]</f>
        <v>3</v>
      </c>
      <c r="CJ47" s="909">
        <f>WWWW[[#This Row],['#_Constructed/Existingwater storage tank with gravity fed reticulation system]]-WWWW[[#This Row],['#_Non-functional storage tank gravity fed reticulation system]]</f>
        <v>0</v>
      </c>
      <c r="CK47" s="909">
        <f>(WWWW[[#This Row],['#_Water_Liters_supplied_by_Water boating or water trucking]]/90)/15</f>
        <v>0</v>
      </c>
      <c r="CL47" s="909">
        <f>WWWW[[#This Row],['#_Water_Liters_from_Constructed/Existing water distribution system from river or natural spring]]/90/15</f>
        <v>0</v>
      </c>
      <c r="CM47" s="417">
        <f>IF(WWWW[[#This Row],['#_of water points in TLS/CFS]]*500&gt;WWWW[[#This Row],[Total PoP ]],WWWW[[#This Row],[Total PoP ]],WWWW[[#This Row],['#_of water points in TLS/CFS]]*500)</f>
        <v>0</v>
      </c>
      <c r="CN47" s="417">
        <f>IF(WWWW[[#This Row],['#_of water points in THF]]*500&gt;WWWW[[#This Row],[Total PoP ]],WWWW[[#This Row],[Total PoP ]],WWWW[[#This Row],['#_of water points in THF]]*500)</f>
        <v>0</v>
      </c>
      <c r="CO47" s="417"/>
      <c r="CP47"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7"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7" s="908">
        <f>IF(WWWW[[#This Row],[Location Type 1]]="Village",WWWW[[#This Row],[Access to safe drinking water for Village]],WWWW[[#This Row],[Access to safe drinking water for Camp]])</f>
        <v>1</v>
      </c>
      <c r="CS47" s="906">
        <f>WWWW[[#This Row],[%Equitable and continuous access to sufficient quantity of safe drinking water]]*WWWW[[#This Row],[Total PoP ]]</f>
        <v>595</v>
      </c>
      <c r="CT47" s="908">
        <f>IF((WWWW[[#This Row],['#_Constructed/Existing protected/fenced ponds]]*250)/WWWW[[#This Row],[Total PoP ]]&gt;1,1,(WWWW[[#This Row],['#_Constructed/Existing protected/fenced ponds]]*250)/WWWW[[#This Row],[Total PoP ]])</f>
        <v>0</v>
      </c>
      <c r="CU47" s="906">
        <f>WWWW[[#This Row],[% Access to unimproved water points]]*WWWW[[#This Row],[Total PoP ]]</f>
        <v>0</v>
      </c>
      <c r="CV47"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7"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595</v>
      </c>
      <c r="CX47" s="906">
        <f>WWWW[[#This Row],[HRP1]]/500</f>
        <v>1.19</v>
      </c>
      <c r="CY47" s="911">
        <f>1-WWWW[[#This Row],[% Equitable and continuous access to sufficient quantity of domestic water]]</f>
        <v>0</v>
      </c>
      <c r="CZ47" s="906">
        <f>WWWW[[#This Row],[%equitable and continuous access to sufficient quantity of safe drinking and domestic water''s GAP]]*WWWW[[#This Row],[Total PoP ]]</f>
        <v>0</v>
      </c>
      <c r="DA47" s="909">
        <f>IF(WWWW[[#This Row],[Total required water points]]-WWWW[[#This Row],['#Water points coverage]]&lt;0,0,WWWW[[#This Row],[Total required water points]]-WWWW[[#This Row],['#Water points coverage]])</f>
        <v>0</v>
      </c>
      <c r="DB47" s="909">
        <f>ROUND(IF(WWWW[[#This Row],[Total PoP ]]&lt;500,1,WWWW[[#This Row],[Total PoP ]]/500),0)</f>
        <v>1</v>
      </c>
      <c r="DC47" s="909">
        <f>(WWWW[[#This Row],['#_Constructed latrines_by_WASHAgencies]]+WWWW[[#This Row],['#_Non Cluster partner latrines]])-WWWW[[#This Row],['#_Non-functional latrines]]</f>
        <v>13</v>
      </c>
      <c r="DD47" s="615">
        <f>WWWW[[#This Row],[HRP2]]/WWWW[[#This Row],[Total PoP ]]</f>
        <v>0.43697478991596639</v>
      </c>
      <c r="DE47"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260</v>
      </c>
      <c r="DF47"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7"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7" s="417">
        <f>IF(WWWW[[#This Row],['# of functional latrines in THF supported by WASH partners during the reporting period2]]="",0,WWWW[[#This Row],['# of functional latrines in THF supported by WASH partners during the reporting period2]]*50)</f>
        <v>0</v>
      </c>
      <c r="DI47" s="909">
        <f>ROUND(IF(WWWW[[#This Row],[Location Type 1]]="camp",WWWW[[#This Row],[Total PoP ]]/20,IF(WWWW[[#This Row],[Location Type 1]]="Temporary Location",WWWW[[#This Row],[Total PoP ]]/50,(WWWW[[#This Row],[Total PoP ]]/6))),0)</f>
        <v>30</v>
      </c>
      <c r="DJ47" s="909">
        <f>IF(WWWW[[#This Row],[Total required Latrines]]-(WWWW[[#This Row],['#_Constructed latrines_by_WASHAgencies]]+WWWW[[#This Row],['#_Non Cluster partner latrines]])&lt;0,0,WWWW[[#This Row],[Total required Latrines]]-(WWWW[[#This Row],['#_Constructed latrines_by_WASHAgencies]]+WWWW[[#This Row],['#_Non Cluster partner latrines]]))</f>
        <v>17</v>
      </c>
      <c r="DK47" s="911">
        <f>1-WWWW[[#This Row],[% people access to functioning Latrine]]</f>
        <v>0.56302521008403361</v>
      </c>
      <c r="DL47" s="910">
        <f>IF(OR(WWWW[[#This Row],['#_Non-functional latrines]]="",WWWW[[#This Row],['#_Non-functional latrines]]=0),0,WWWW[[#This Row],['#_Non-functional latrines]]/(WWWW[[#This Row],['#_Constructed latrines_by_WASHAgencies]]+WWWW[[#This Row],['#_Non Cluster partner latrines]]))</f>
        <v>0</v>
      </c>
      <c r="DM47" s="906">
        <f>IF(500*(WWWW[[#This Row],['#_male hygiene promoters]]+WWWW[[#This Row],['#_female hygiene promoters]])&gt;WWWW[[#This Row],[Total PoP ]],WWWW[[#This Row],[Total PoP ]],500*(WWWW[[#This Row],['#_male hygiene promoters]]+WWWW[[#This Row],['#_female hygiene promoters]]))</f>
        <v>500</v>
      </c>
      <c r="DN47"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7"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7" s="909">
        <f>IF(WWWW[[#This Row],['# People with access to soap]]&gt;WWWW[[#This Row],['# People with access to Sanity Pads]],WWWW[[#This Row],['# People with access to soap]],WWWW[[#This Row],['# People with access to Sanity Pads]])</f>
        <v>0</v>
      </c>
      <c r="DQ47" s="909">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47" s="911">
        <f>IF(WWWW[[#This Row],[HRP3]]/WWWW[[#This Row],[Total PoP ]]&gt;1,1,WWWW[[#This Row],[HRP3]]/WWWW[[#This Row],[Total PoP ]])</f>
        <v>0.84033613445378152</v>
      </c>
      <c r="DS47" s="910">
        <f>1-WWWW[[#This Row],[Hygiene Coverage%]]</f>
        <v>0.15966386554621848</v>
      </c>
      <c r="DT47" s="908">
        <f>WWWW[[#This Row],['# people reached by regular dedicated hygiene promotion_5]]/WWWW[[#This Row],[Total PoP ]]</f>
        <v>0.84033613445378152</v>
      </c>
      <c r="DU47"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7"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7" s="909">
        <f>WWWW[[#This Row],['#_Constructed/Existing hand washing stations]]-WWWW[[#This Row],['#_Non-Functional_hand_washing_stations]]</f>
        <v>7</v>
      </c>
      <c r="DX47" s="906">
        <f>IF(WWWW[[#This Row],['# Functional hand washing stations during reporting period]]*20&gt;WWWW[[#This Row],[Total HH]],WWWW[[#This Row],[Total HH]],WWWW[[#This Row],['# Functional hand washing stations during reporting period]]*20)</f>
        <v>111</v>
      </c>
      <c r="DY47" s="906">
        <f>IF(WWWW[[#This Row],[Is sufficient soap available for TLS? (Yes/No)]]="yes",WWWW[[#This Row],['#_Constructed/Existing hand washing stations at TLS/CFS/THF]],0)</f>
        <v>0</v>
      </c>
      <c r="DZ47" s="421">
        <f>IF(WWWW[[#This Row],['# Functional hand washing stations during reporting period]]*100&gt;WWWW[[#This Row],[Total PoP ]],WWWW[[#This Row],[Total PoP ]],WWWW[[#This Row],['# Functional hand washing stations during reporting period]]*100)</f>
        <v>595</v>
      </c>
      <c r="EA47" s="421" t="str">
        <f>IF(OR(WWWW[[#This Row],['#_students at TLS_CFS]]="",WWWW[[#This Row],['#_students at TLS_CFS]]=0),"No","Yes")</f>
        <v>No</v>
      </c>
      <c r="EB4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7" s="566">
        <f>WWWW[[#This Row],[%_of_affected_people_surveyed_who_report_feeling_satistfied_with_the_latrine_design_and_sanitation_service]]*WWWW[[#This Row],[Total PoP ]]</f>
        <v>0</v>
      </c>
      <c r="ED47" s="566">
        <f>WWWW[[#This Row],[%_of_affected_people_surveyed_who_report_feeling_satistfied_with_the_water_point_design_and_water_service]]*WWWW[[#This Row],[Total PoP ]]</f>
        <v>0</v>
      </c>
      <c r="EE47" s="566">
        <f>WWWW[[#This Row],[%_of_complaints_received_that_result_in_timely_corrective_action_and_feedback_to_the_community]]*WWWW[[#This Row],[Total PoP ]]</f>
        <v>0</v>
      </c>
      <c r="EF4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7" s="902" t="str">
        <f>VLOOKUP(WWWW[[#This Row],[Site Name]],SiteDB6[[Site Name]:[CCCM Management]],6,FALSE)</f>
        <v>Yes</v>
      </c>
      <c r="EJ47" s="902" t="str">
        <f>VLOOKUP(WWWW[[#This Row],[Site Name]],SiteDB6[[Site Name]:[CCCM Focal Agency]],7,FALSE)</f>
        <v>KBC-MYT</v>
      </c>
      <c r="EK47" s="902" t="str">
        <f>VLOOKUP(WWWW[[#This Row],[Site Name]],SiteDB6[[Site Name]:[Location Type 1]],9,FALSE)</f>
        <v>Camp</v>
      </c>
      <c r="EL47" s="902" t="str">
        <f>VLOOKUP(WWWW[[#This Row],[Site Name]],SiteDB6[[Site Name]:[Type of Accommodation]],10,FALSE)</f>
        <v>Camp</v>
      </c>
      <c r="EM47" s="902" t="str">
        <f>VLOOKUP(WWWW[[#This Row],[Site Name]],SiteDB6[[Site Name]:[Ethnic or GCA/NGCA]],11,FALSE)</f>
        <v>GCA</v>
      </c>
      <c r="EN47" s="902">
        <f>VLOOKUP(WWWW[[#This Row],[Site Name]],SiteDB6[[Site Name]:[Lat]],12,FALSE)</f>
        <v>25.412313000000001</v>
      </c>
      <c r="EO47" s="902">
        <f>VLOOKUP(WWWW[[#This Row],[Site Name]],SiteDB6[[Site Name]:[Long]],13,FALSE)</f>
        <v>97.399628000000007</v>
      </c>
      <c r="EP47" s="902" t="str">
        <f>VLOOKUP(WWWW[[#This Row],[Site Name]],SiteDB6[[Site Name]:[Pcode]],3,FALSE)</f>
        <v>MMR001CMP006</v>
      </c>
      <c r="EQ47" s="907" t="str">
        <f t="shared" si="0"/>
        <v>Covered</v>
      </c>
      <c r="ER47" s="907" t="s">
        <v>3126</v>
      </c>
      <c r="ES47" s="907" t="s">
        <v>3126</v>
      </c>
      <c r="ET47" s="902">
        <f>VLOOKUP(WWWW[[#This Row],[Site Name]],SiteDB6[[Site Name]:[Pop
(Kachin/Shan-CCCM as of May 2023)]],16,FALSE)</f>
        <v>111</v>
      </c>
      <c r="EU47" s="902">
        <f>VLOOKUP(WWWW[[#This Row],[Site Name]],SiteDB6[[Site Name]:[Pop
(Kachin/Shan-CCCM as of May 2023)]],17,FALSE)</f>
        <v>569</v>
      </c>
    </row>
    <row r="48" spans="1:151" hidden="1">
      <c r="A48" s="900" t="s">
        <v>2961</v>
      </c>
      <c r="B48" s="946" t="s">
        <v>3180</v>
      </c>
      <c r="C48" s="901" t="s">
        <v>141</v>
      </c>
      <c r="D48" s="901" t="s">
        <v>3097</v>
      </c>
      <c r="E48" s="901" t="s">
        <v>37</v>
      </c>
      <c r="F48" s="901" t="s">
        <v>159</v>
      </c>
      <c r="G48" s="902" t="str">
        <f>VLOOKUP(WWWW[[#This Row],[Site Name]],SiteDB6[[Site Name]:[Location Type]],8,FALSE)</f>
        <v>Camp</v>
      </c>
      <c r="H48" s="901" t="s">
        <v>169</v>
      </c>
      <c r="I48" s="903">
        <v>104</v>
      </c>
      <c r="J48" s="903">
        <v>629</v>
      </c>
      <c r="K48" s="904">
        <v>44811</v>
      </c>
      <c r="L48" s="905">
        <v>45175</v>
      </c>
      <c r="M48" s="903"/>
      <c r="N48" s="903">
        <v>2</v>
      </c>
      <c r="O48" s="903"/>
      <c r="P48" s="903"/>
      <c r="Q48" s="906" t="s">
        <v>41</v>
      </c>
      <c r="R48" s="903">
        <v>2</v>
      </c>
      <c r="S48" s="903">
        <v>2</v>
      </c>
      <c r="T48" s="441">
        <v>3</v>
      </c>
      <c r="U48" s="903"/>
      <c r="V48" s="903"/>
      <c r="W48" s="903">
        <v>2</v>
      </c>
      <c r="X48" s="903"/>
      <c r="Y48" s="903"/>
      <c r="Z48" s="903"/>
      <c r="AA48" s="903"/>
      <c r="AB48" s="903"/>
      <c r="AC48" s="903"/>
      <c r="AD48" s="903"/>
      <c r="AE48" s="903"/>
      <c r="AF48" s="903"/>
      <c r="AG48" s="903"/>
      <c r="AH48" s="903">
        <v>2</v>
      </c>
      <c r="AI48" s="903"/>
      <c r="AJ48" s="903"/>
      <c r="AK48" s="903"/>
      <c r="AL48" s="903"/>
      <c r="AM48" s="903"/>
      <c r="AN48" s="903"/>
      <c r="AO48" s="441"/>
      <c r="AP48" s="907"/>
      <c r="AQ48" s="903">
        <v>17</v>
      </c>
      <c r="AR48" s="903"/>
      <c r="AS48" s="908"/>
      <c r="AT48" s="903"/>
      <c r="AU48" s="903"/>
      <c r="AV48" s="903"/>
      <c r="AW48" s="903"/>
      <c r="AX48" s="903">
        <v>17</v>
      </c>
      <c r="AY48" s="902" t="s">
        <v>41</v>
      </c>
      <c r="AZ48" s="907" t="s">
        <v>137</v>
      </c>
      <c r="BA48" s="903"/>
      <c r="BB48" s="903"/>
      <c r="BC48" s="903"/>
      <c r="BD48" s="441"/>
      <c r="BE48" s="441"/>
      <c r="BF48" s="902"/>
      <c r="BG48" s="903">
        <v>3</v>
      </c>
      <c r="BH48" s="903"/>
      <c r="BI48" s="903"/>
      <c r="BJ48" s="903">
        <v>2</v>
      </c>
      <c r="BK48" s="903"/>
      <c r="BL48" s="903"/>
      <c r="BM48" s="903"/>
      <c r="BN48" s="903"/>
      <c r="BO48" s="903"/>
      <c r="BP48" s="902"/>
      <c r="BQ48" s="909"/>
      <c r="BR48" s="908"/>
      <c r="BS48" s="902"/>
      <c r="BT48" s="416"/>
      <c r="BU48" s="416"/>
      <c r="BV48" s="418"/>
      <c r="BW48" s="416"/>
      <c r="BX48" s="441"/>
      <c r="BY48" s="441"/>
      <c r="BZ48" s="441"/>
      <c r="CA48" s="441"/>
      <c r="CB48" s="441"/>
      <c r="CC48" s="693"/>
      <c r="CD48" s="441"/>
      <c r="CE48" s="910" t="str">
        <f>IFERROR(WWWW[[#This Row],['#_Water sources passed]]/WWWW[[#This Row],['#_Water sources tested for fecal coliform ]],"no test")</f>
        <v>no test</v>
      </c>
      <c r="CF48" s="908" t="str">
        <f>IFERROR(WWWW[[#This Row],['#_Household passed]]/WWWW[[#This Row],['#_Household water samples tested for fecal coliform]],"no test")</f>
        <v>no test</v>
      </c>
      <c r="CG48" s="909" t="str">
        <f>IF(AND(WWWW[[#This Row],[% of water sources passed]]="no test",WWWW[[#This Row],[% Household passed]]="no test"),"No Test","Tested")</f>
        <v>No Test</v>
      </c>
      <c r="CH48" s="909">
        <f>WWWW[[#This Row],['#_Constructed/existing protected hand dug well]]-WWWW[[#This Row],['#_Non-functional protected hand dug well]]</f>
        <v>3</v>
      </c>
      <c r="CI48" s="909">
        <f>(WWWW[[#This Row],['#_Constructed/Existing tube wells/boreholes/handpumps_WASH_agency]]+WWWW[[#This Row],['#_Non-Cluster partner water tube-wells/boreholes/handpumps]])-WWWW[[#This Row],['#_Non-functional tube wells/boreholes/handpumps]]</f>
        <v>2</v>
      </c>
      <c r="CJ48" s="909">
        <f>WWWW[[#This Row],['#_Constructed/Existingwater storage tank with gravity fed reticulation system]]-WWWW[[#This Row],['#_Non-functional storage tank gravity fed reticulation system]]</f>
        <v>0</v>
      </c>
      <c r="CK48" s="909">
        <f>(WWWW[[#This Row],['#_Water_Liters_supplied_by_Water boating or water trucking]]/90)/15</f>
        <v>0</v>
      </c>
      <c r="CL48" s="909">
        <f>WWWW[[#This Row],['#_Water_Liters_from_Constructed/Existing water distribution system from river or natural spring]]/90/15</f>
        <v>0</v>
      </c>
      <c r="CM48" s="417">
        <f>IF(WWWW[[#This Row],['#_of water points in TLS/CFS]]*500&gt;WWWW[[#This Row],[Total PoP ]],WWWW[[#This Row],[Total PoP ]],WWWW[[#This Row],['#_of water points in TLS/CFS]]*500)</f>
        <v>0</v>
      </c>
      <c r="CN48" s="417">
        <f>IF(WWWW[[#This Row],['#_of water points in THF]]*500&gt;WWWW[[#This Row],[Total PoP ]],WWWW[[#This Row],[Total PoP ]],WWWW[[#This Row],['#_of water points in THF]]*500)</f>
        <v>0</v>
      </c>
      <c r="CO48" s="417"/>
      <c r="CP48"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8"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8" s="908">
        <f>IF(WWWW[[#This Row],[Location Type 1]]="Village",WWWW[[#This Row],[Access to safe drinking water for Village]],WWWW[[#This Row],[Access to safe drinking water for Camp]])</f>
        <v>1</v>
      </c>
      <c r="CS48" s="906">
        <f>WWWW[[#This Row],[%Equitable and continuous access to sufficient quantity of safe drinking water]]*WWWW[[#This Row],[Total PoP ]]</f>
        <v>629</v>
      </c>
      <c r="CT48" s="908">
        <f>IF((WWWW[[#This Row],['#_Constructed/Existing protected/fenced ponds]]*250)/WWWW[[#This Row],[Total PoP ]]&gt;1,1,(WWWW[[#This Row],['#_Constructed/Existing protected/fenced ponds]]*250)/WWWW[[#This Row],[Total PoP ]])</f>
        <v>0</v>
      </c>
      <c r="CU48" s="906">
        <f>WWWW[[#This Row],[% Access to unimproved water points]]*WWWW[[#This Row],[Total PoP ]]</f>
        <v>0</v>
      </c>
      <c r="CV48"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8"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629</v>
      </c>
      <c r="CX48" s="906">
        <f>WWWW[[#This Row],[HRP1]]/500</f>
        <v>1.258</v>
      </c>
      <c r="CY48" s="911">
        <f>1-WWWW[[#This Row],[% Equitable and continuous access to sufficient quantity of domestic water]]</f>
        <v>0</v>
      </c>
      <c r="CZ48" s="906">
        <f>WWWW[[#This Row],[%equitable and continuous access to sufficient quantity of safe drinking and domestic water''s GAP]]*WWWW[[#This Row],[Total PoP ]]</f>
        <v>0</v>
      </c>
      <c r="DA48" s="909">
        <f>IF(WWWW[[#This Row],[Total required water points]]-WWWW[[#This Row],['#Water points coverage]]&lt;0,0,WWWW[[#This Row],[Total required water points]]-WWWW[[#This Row],['#Water points coverage]])</f>
        <v>0</v>
      </c>
      <c r="DB48" s="909">
        <f>ROUND(IF(WWWW[[#This Row],[Total PoP ]]&lt;500,1,WWWW[[#This Row],[Total PoP ]]/500),0)</f>
        <v>1</v>
      </c>
      <c r="DC48" s="909">
        <f>(WWWW[[#This Row],['#_Constructed latrines_by_WASHAgencies]]+WWWW[[#This Row],['#_Non Cluster partner latrines]])-WWWW[[#This Row],['#_Non-functional latrines]]</f>
        <v>17</v>
      </c>
      <c r="DD48" s="615">
        <f>WWWW[[#This Row],[HRP2]]/WWWW[[#This Row],[Total PoP ]]</f>
        <v>0.54054054054054057</v>
      </c>
      <c r="DE48"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340</v>
      </c>
      <c r="DF48"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8"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8" s="417">
        <f>IF(WWWW[[#This Row],['# of functional latrines in THF supported by WASH partners during the reporting period2]]="",0,WWWW[[#This Row],['# of functional latrines in THF supported by WASH partners during the reporting period2]]*50)</f>
        <v>0</v>
      </c>
      <c r="DI48" s="909">
        <f>ROUND(IF(WWWW[[#This Row],[Location Type 1]]="camp",WWWW[[#This Row],[Total PoP ]]/20,IF(WWWW[[#This Row],[Location Type 1]]="Temporary Location",WWWW[[#This Row],[Total PoP ]]/50,(WWWW[[#This Row],[Total PoP ]]/6))),0)</f>
        <v>31</v>
      </c>
      <c r="DJ48" s="909">
        <f>IF(WWWW[[#This Row],[Total required Latrines]]-(WWWW[[#This Row],['#_Constructed latrines_by_WASHAgencies]]+WWWW[[#This Row],['#_Non Cluster partner latrines]])&lt;0,0,WWWW[[#This Row],[Total required Latrines]]-(WWWW[[#This Row],['#_Constructed latrines_by_WASHAgencies]]+WWWW[[#This Row],['#_Non Cluster partner latrines]]))</f>
        <v>14</v>
      </c>
      <c r="DK48" s="911">
        <f>1-WWWW[[#This Row],[% people access to functioning Latrine]]</f>
        <v>0.45945945945945943</v>
      </c>
      <c r="DL48" s="910">
        <f>IF(OR(WWWW[[#This Row],['#_Non-functional latrines]]="",WWWW[[#This Row],['#_Non-functional latrines]]=0),0,WWWW[[#This Row],['#_Non-functional latrines]]/(WWWW[[#This Row],['#_Constructed latrines_by_WASHAgencies]]+WWWW[[#This Row],['#_Non Cluster partner latrines]]))</f>
        <v>0</v>
      </c>
      <c r="DM48" s="906">
        <f>IF(500*(WWWW[[#This Row],['#_male hygiene promoters]]+WWWW[[#This Row],['#_female hygiene promoters]])&gt;WWWW[[#This Row],[Total PoP ]],WWWW[[#This Row],[Total PoP ]],500*(WWWW[[#This Row],['#_male hygiene promoters]]+WWWW[[#This Row],['#_female hygiene promoters]]))</f>
        <v>0</v>
      </c>
      <c r="DN48"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8"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8" s="909">
        <f>IF(WWWW[[#This Row],['# People with access to soap]]&gt;WWWW[[#This Row],['# People with access to Sanity Pads]],WWWW[[#This Row],['# People with access to soap]],WWWW[[#This Row],['# People with access to Sanity Pads]])</f>
        <v>0</v>
      </c>
      <c r="DQ48"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8" s="911">
        <f>IF(WWWW[[#This Row],[HRP3]]/WWWW[[#This Row],[Total PoP ]]&gt;1,1,WWWW[[#This Row],[HRP3]]/WWWW[[#This Row],[Total PoP ]])</f>
        <v>0</v>
      </c>
      <c r="DS48" s="910">
        <f>1-WWWW[[#This Row],[Hygiene Coverage%]]</f>
        <v>1</v>
      </c>
      <c r="DT48" s="908">
        <f>WWWW[[#This Row],['# people reached by regular dedicated hygiene promotion_5]]/WWWW[[#This Row],[Total PoP ]]</f>
        <v>0</v>
      </c>
      <c r="DU48"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8"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8" s="909">
        <f>WWWW[[#This Row],['#_Constructed/Existing hand washing stations]]-WWWW[[#This Row],['#_Non-Functional_hand_washing_stations]]</f>
        <v>3</v>
      </c>
      <c r="DX48" s="906">
        <f>IF(WWWW[[#This Row],['# Functional hand washing stations during reporting period]]*20&gt;WWWW[[#This Row],[Total HH]],WWWW[[#This Row],[Total HH]],WWWW[[#This Row],['# Functional hand washing stations during reporting period]]*20)</f>
        <v>60</v>
      </c>
      <c r="DY48" s="906">
        <f>IF(WWWW[[#This Row],[Is sufficient soap available for TLS? (Yes/No)]]="yes",WWWW[[#This Row],['#_Constructed/Existing hand washing stations at TLS/CFS/THF]],0)</f>
        <v>0</v>
      </c>
      <c r="DZ48" s="421">
        <f>IF(WWWW[[#This Row],['# Functional hand washing stations during reporting period]]*100&gt;WWWW[[#This Row],[Total PoP ]],WWWW[[#This Row],[Total PoP ]],WWWW[[#This Row],['# Functional hand washing stations during reporting period]]*100)</f>
        <v>300</v>
      </c>
      <c r="EA48" s="421" t="str">
        <f>IF(OR(WWWW[[#This Row],['#_students at TLS_CFS]]="",WWWW[[#This Row],['#_students at TLS_CFS]]=0),"No","Yes")</f>
        <v>No</v>
      </c>
      <c r="EB4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8" s="566">
        <f>WWWW[[#This Row],[%_of_affected_people_surveyed_who_report_feeling_satistfied_with_the_latrine_design_and_sanitation_service]]*WWWW[[#This Row],[Total PoP ]]</f>
        <v>0</v>
      </c>
      <c r="ED48" s="566">
        <f>WWWW[[#This Row],[%_of_affected_people_surveyed_who_report_feeling_satistfied_with_the_water_point_design_and_water_service]]*WWWW[[#This Row],[Total PoP ]]</f>
        <v>0</v>
      </c>
      <c r="EE48" s="566">
        <f>WWWW[[#This Row],[%_of_complaints_received_that_result_in_timely_corrective_action_and_feedback_to_the_community]]*WWWW[[#This Row],[Total PoP ]]</f>
        <v>0</v>
      </c>
      <c r="EF4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8" s="902" t="str">
        <f>VLOOKUP(WWWW[[#This Row],[Site Name]],SiteDB6[[Site Name]:[CCCM Management]],6,FALSE)</f>
        <v>Yes</v>
      </c>
      <c r="EJ48" s="902" t="str">
        <f>VLOOKUP(WWWW[[#This Row],[Site Name]],SiteDB6[[Site Name]:[CCCM Focal Agency]],7,FALSE)</f>
        <v>KBC-MYT</v>
      </c>
      <c r="EK48" s="902" t="str">
        <f>VLOOKUP(WWWW[[#This Row],[Site Name]],SiteDB6[[Site Name]:[Location Type 1]],9,FALSE)</f>
        <v>Camp</v>
      </c>
      <c r="EL48" s="902" t="str">
        <f>VLOOKUP(WWWW[[#This Row],[Site Name]],SiteDB6[[Site Name]:[Type of Accommodation]],10,FALSE)</f>
        <v>Camp</v>
      </c>
      <c r="EM48" s="902" t="str">
        <f>VLOOKUP(WWWW[[#This Row],[Site Name]],SiteDB6[[Site Name]:[Ethnic or GCA/NGCA]],11,FALSE)</f>
        <v>GCA</v>
      </c>
      <c r="EN48" s="902">
        <f>VLOOKUP(WWWW[[#This Row],[Site Name]],SiteDB6[[Site Name]:[Lat]],12,FALSE)</f>
        <v>25.440928</v>
      </c>
      <c r="EO48" s="902">
        <f>VLOOKUP(WWWW[[#This Row],[Site Name]],SiteDB6[[Site Name]:[Long]],13,FALSE)</f>
        <v>97.419403000000003</v>
      </c>
      <c r="EP48" s="902" t="str">
        <f>VLOOKUP(WWWW[[#This Row],[Site Name]],SiteDB6[[Site Name]:[Pcode]],3,FALSE)</f>
        <v>MMR001CMP009</v>
      </c>
      <c r="EQ48" s="907" t="str">
        <f t="shared" si="0"/>
        <v>Covered</v>
      </c>
      <c r="ER48" s="907" t="s">
        <v>3126</v>
      </c>
      <c r="ES48" s="907" t="s">
        <v>3126</v>
      </c>
      <c r="ET48" s="902">
        <f>VLOOKUP(WWWW[[#This Row],[Site Name]],SiteDB6[[Site Name]:[Pop
(Kachin/Shan-CCCM as of May 2023)]],16,FALSE)</f>
        <v>105</v>
      </c>
      <c r="EU48" s="902">
        <f>VLOOKUP(WWWW[[#This Row],[Site Name]],SiteDB6[[Site Name]:[Pop
(Kachin/Shan-CCCM as of May 2023)]],17,FALSE)</f>
        <v>624</v>
      </c>
    </row>
    <row r="49" spans="1:151" hidden="1">
      <c r="A49" s="900" t="s">
        <v>2961</v>
      </c>
      <c r="B49" s="946" t="s">
        <v>3180</v>
      </c>
      <c r="C49" s="901" t="s">
        <v>141</v>
      </c>
      <c r="D49" s="901" t="s">
        <v>3093</v>
      </c>
      <c r="E49" s="901" t="s">
        <v>37</v>
      </c>
      <c r="F49" s="901" t="s">
        <v>142</v>
      </c>
      <c r="G49" s="902" t="str">
        <f>VLOOKUP(WWWW[[#This Row],[Site Name]],SiteDB6[[Site Name]:[Location Type]],8,FALSE)</f>
        <v>Camp</v>
      </c>
      <c r="H49" s="901" t="s">
        <v>175</v>
      </c>
      <c r="I49" s="903">
        <v>138</v>
      </c>
      <c r="J49" s="903">
        <v>856</v>
      </c>
      <c r="K49" s="904">
        <v>44811</v>
      </c>
      <c r="L49" s="905">
        <v>45175</v>
      </c>
      <c r="M49" s="903"/>
      <c r="N49" s="903">
        <v>2</v>
      </c>
      <c r="O49" s="903"/>
      <c r="P49" s="903"/>
      <c r="Q49" s="906" t="s">
        <v>41</v>
      </c>
      <c r="R49" s="903">
        <v>2</v>
      </c>
      <c r="S49" s="903">
        <v>3</v>
      </c>
      <c r="T49" s="441">
        <v>2</v>
      </c>
      <c r="U49" s="903"/>
      <c r="V49" s="903"/>
      <c r="W49" s="903"/>
      <c r="X49" s="903"/>
      <c r="Y49" s="903"/>
      <c r="Z49" s="903"/>
      <c r="AA49" s="903">
        <v>2</v>
      </c>
      <c r="AB49" s="903"/>
      <c r="AC49" s="903"/>
      <c r="AD49" s="903"/>
      <c r="AE49" s="903"/>
      <c r="AF49" s="903"/>
      <c r="AG49" s="903"/>
      <c r="AH49" s="903"/>
      <c r="AI49" s="903"/>
      <c r="AJ49" s="903"/>
      <c r="AK49" s="903"/>
      <c r="AL49" s="903"/>
      <c r="AM49" s="903"/>
      <c r="AN49" s="903"/>
      <c r="AO49" s="441"/>
      <c r="AP49" s="907"/>
      <c r="AQ49" s="903">
        <v>50</v>
      </c>
      <c r="AR49" s="903">
        <v>62</v>
      </c>
      <c r="AS49" s="908"/>
      <c r="AT49" s="903"/>
      <c r="AU49" s="903"/>
      <c r="AV49" s="903"/>
      <c r="AW49" s="903"/>
      <c r="AX49" s="903">
        <v>50</v>
      </c>
      <c r="AY49" s="902" t="s">
        <v>41</v>
      </c>
      <c r="AZ49" s="907" t="s">
        <v>137</v>
      </c>
      <c r="BA49" s="903"/>
      <c r="BB49" s="903"/>
      <c r="BC49" s="903"/>
      <c r="BD49" s="441"/>
      <c r="BE49" s="441"/>
      <c r="BF49" s="902"/>
      <c r="BG49" s="903">
        <v>8</v>
      </c>
      <c r="BH49" s="903"/>
      <c r="BI49" s="903"/>
      <c r="BJ49" s="903">
        <v>2</v>
      </c>
      <c r="BK49" s="903"/>
      <c r="BL49" s="903"/>
      <c r="BM49" s="903">
        <v>2</v>
      </c>
      <c r="BN49" s="903"/>
      <c r="BO49" s="903"/>
      <c r="BP49" s="902"/>
      <c r="BQ49" s="909"/>
      <c r="BR49" s="908"/>
      <c r="BS49" s="902"/>
      <c r="BT49" s="416"/>
      <c r="BU49" s="416"/>
      <c r="BV49" s="418"/>
      <c r="BW49" s="416"/>
      <c r="BX49" s="441"/>
      <c r="BY49" s="441"/>
      <c r="BZ49" s="441"/>
      <c r="CA49" s="441"/>
      <c r="CB49" s="441"/>
      <c r="CC49" s="693"/>
      <c r="CD49" s="441"/>
      <c r="CE49" s="910" t="str">
        <f>IFERROR(WWWW[[#This Row],['#_Water sources passed]]/WWWW[[#This Row],['#_Water sources tested for fecal coliform ]],"no test")</f>
        <v>no test</v>
      </c>
      <c r="CF49" s="908" t="str">
        <f>IFERROR(WWWW[[#This Row],['#_Household passed]]/WWWW[[#This Row],['#_Household water samples tested for fecal coliform]],"no test")</f>
        <v>no test</v>
      </c>
      <c r="CG49" s="909" t="str">
        <f>IF(AND(WWWW[[#This Row],[% of water sources passed]]="no test",WWWW[[#This Row],[% Household passed]]="no test"),"No Test","Tested")</f>
        <v>No Test</v>
      </c>
      <c r="CH49" s="909">
        <f>WWWW[[#This Row],['#_Constructed/existing protected hand dug well]]-WWWW[[#This Row],['#_Non-functional protected hand dug well]]</f>
        <v>2</v>
      </c>
      <c r="CI49" s="909">
        <f>(WWWW[[#This Row],['#_Constructed/Existing tube wells/boreholes/handpumps_WASH_agency]]+WWWW[[#This Row],['#_Non-Cluster partner water tube-wells/boreholes/handpumps]])-WWWW[[#This Row],['#_Non-functional tube wells/boreholes/handpumps]]</f>
        <v>0</v>
      </c>
      <c r="CJ49" s="909">
        <f>WWWW[[#This Row],['#_Constructed/Existingwater storage tank with gravity fed reticulation system]]-WWWW[[#This Row],['#_Non-functional storage tank gravity fed reticulation system]]</f>
        <v>2</v>
      </c>
      <c r="CK49" s="909">
        <f>(WWWW[[#This Row],['#_Water_Liters_supplied_by_Water boating or water trucking]]/90)/15</f>
        <v>0</v>
      </c>
      <c r="CL49" s="909">
        <f>WWWW[[#This Row],['#_Water_Liters_from_Constructed/Existing water distribution system from river or natural spring]]/90/15</f>
        <v>0</v>
      </c>
      <c r="CM49" s="417">
        <f>IF(WWWW[[#This Row],['#_of water points in TLS/CFS]]*500&gt;WWWW[[#This Row],[Total PoP ]],WWWW[[#This Row],[Total PoP ]],WWWW[[#This Row],['#_of water points in TLS/CFS]]*500)</f>
        <v>0</v>
      </c>
      <c r="CN49" s="417">
        <f>IF(WWWW[[#This Row],['#_of water points in THF]]*500&gt;WWWW[[#This Row],[Total PoP ]],WWWW[[#This Row],[Total PoP ]],WWWW[[#This Row],['#_of water points in THF]]*500)</f>
        <v>0</v>
      </c>
      <c r="CO49" s="417"/>
      <c r="CP49"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9"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0.73987538940809972</v>
      </c>
      <c r="CR49" s="908">
        <f>IF(WWWW[[#This Row],[Location Type 1]]="Village",WWWW[[#This Row],[Access to safe drinking water for Village]],WWWW[[#This Row],[Access to safe drinking water for Camp]])</f>
        <v>1</v>
      </c>
      <c r="CS49" s="906">
        <f>WWWW[[#This Row],[%Equitable and continuous access to sufficient quantity of safe drinking water]]*WWWW[[#This Row],[Total PoP ]]</f>
        <v>856</v>
      </c>
      <c r="CT49" s="908">
        <f>IF((WWWW[[#This Row],['#_Constructed/Existing protected/fenced ponds]]*250)/WWWW[[#This Row],[Total PoP ]]&gt;1,1,(WWWW[[#This Row],['#_Constructed/Existing protected/fenced ponds]]*250)/WWWW[[#This Row],[Total PoP ]])</f>
        <v>0</v>
      </c>
      <c r="CU49" s="906">
        <f>WWWW[[#This Row],[% Access to unimproved water points]]*WWWW[[#This Row],[Total PoP ]]</f>
        <v>0</v>
      </c>
      <c r="CV49"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9"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856</v>
      </c>
      <c r="CX49" s="906">
        <f>WWWW[[#This Row],[HRP1]]/500</f>
        <v>1.712</v>
      </c>
      <c r="CY49" s="911">
        <f>1-WWWW[[#This Row],[% Equitable and continuous access to sufficient quantity of domestic water]]</f>
        <v>0</v>
      </c>
      <c r="CZ49" s="906">
        <f>WWWW[[#This Row],[%equitable and continuous access to sufficient quantity of safe drinking and domestic water''s GAP]]*WWWW[[#This Row],[Total PoP ]]</f>
        <v>0</v>
      </c>
      <c r="DA49" s="909">
        <f>IF(WWWW[[#This Row],[Total required water points]]-WWWW[[#This Row],['#Water points coverage]]&lt;0,0,WWWW[[#This Row],[Total required water points]]-WWWW[[#This Row],['#Water points coverage]])</f>
        <v>0.28800000000000003</v>
      </c>
      <c r="DB49" s="909">
        <f>ROUND(IF(WWWW[[#This Row],[Total PoP ]]&lt;500,1,WWWW[[#This Row],[Total PoP ]]/500),0)</f>
        <v>2</v>
      </c>
      <c r="DC49" s="909">
        <f>(WWWW[[#This Row],['#_Constructed latrines_by_WASHAgencies]]+WWWW[[#This Row],['#_Non Cluster partner latrines]])-WWWW[[#This Row],['#_Non-functional latrines]]</f>
        <v>112</v>
      </c>
      <c r="DD49" s="615">
        <f>WWWW[[#This Row],[HRP2]]/WWWW[[#This Row],[Total PoP ]]</f>
        <v>1</v>
      </c>
      <c r="DE49"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856</v>
      </c>
      <c r="DF49"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9"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9" s="417">
        <f>IF(WWWW[[#This Row],['# of functional latrines in THF supported by WASH partners during the reporting period2]]="",0,WWWW[[#This Row],['# of functional latrines in THF supported by WASH partners during the reporting period2]]*50)</f>
        <v>0</v>
      </c>
      <c r="DI49" s="909">
        <f>ROUND(IF(WWWW[[#This Row],[Location Type 1]]="camp",WWWW[[#This Row],[Total PoP ]]/20,IF(WWWW[[#This Row],[Location Type 1]]="Temporary Location",WWWW[[#This Row],[Total PoP ]]/50,(WWWW[[#This Row],[Total PoP ]]/6))),0)</f>
        <v>43</v>
      </c>
      <c r="DJ49" s="909">
        <f>IF(WWWW[[#This Row],[Total required Latrines]]-(WWWW[[#This Row],['#_Constructed latrines_by_WASHAgencies]]+WWWW[[#This Row],['#_Non Cluster partner latrines]])&lt;0,0,WWWW[[#This Row],[Total required Latrines]]-(WWWW[[#This Row],['#_Constructed latrines_by_WASHAgencies]]+WWWW[[#This Row],['#_Non Cluster partner latrines]]))</f>
        <v>0</v>
      </c>
      <c r="DK49" s="911">
        <f>1-WWWW[[#This Row],[% people access to functioning Latrine]]</f>
        <v>0</v>
      </c>
      <c r="DL49" s="910">
        <f>IF(OR(WWWW[[#This Row],['#_Non-functional latrines]]="",WWWW[[#This Row],['#_Non-functional latrines]]=0),0,WWWW[[#This Row],['#_Non-functional latrines]]/(WWWW[[#This Row],['#_Constructed latrines_by_WASHAgencies]]+WWWW[[#This Row],['#_Non Cluster partner latrines]]))</f>
        <v>0</v>
      </c>
      <c r="DM49" s="906">
        <f>IF(500*(WWWW[[#This Row],['#_male hygiene promoters]]+WWWW[[#This Row],['#_female hygiene promoters]])&gt;WWWW[[#This Row],[Total PoP ]],WWWW[[#This Row],[Total PoP ]],500*(WWWW[[#This Row],['#_male hygiene promoters]]+WWWW[[#This Row],['#_female hygiene promoters]]))</f>
        <v>856</v>
      </c>
      <c r="DN49"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9"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9" s="909">
        <f>IF(WWWW[[#This Row],['# People with access to soap]]&gt;WWWW[[#This Row],['# People with access to Sanity Pads]],WWWW[[#This Row],['# People with access to soap]],WWWW[[#This Row],['# People with access to Sanity Pads]])</f>
        <v>0</v>
      </c>
      <c r="DQ49" s="909">
        <f>IF(WWWW[[#This Row],['# people reached by regular dedicated hygiene promotion_5]]&gt;WWWW[[#This Row],['# People received regular supply of hygiene items_6]],WWWW[[#This Row],['# people reached by regular dedicated hygiene promotion_5]],WWWW[[#This Row],['# People received regular supply of hygiene items_6]])</f>
        <v>856</v>
      </c>
      <c r="DR49" s="911">
        <f>IF(WWWW[[#This Row],[HRP3]]/WWWW[[#This Row],[Total PoP ]]&gt;1,1,WWWW[[#This Row],[HRP3]]/WWWW[[#This Row],[Total PoP ]])</f>
        <v>1</v>
      </c>
      <c r="DS49" s="910">
        <f>1-WWWW[[#This Row],[Hygiene Coverage%]]</f>
        <v>0</v>
      </c>
      <c r="DT49" s="908">
        <f>WWWW[[#This Row],['# people reached by regular dedicated hygiene promotion_5]]/WWWW[[#This Row],[Total PoP ]]</f>
        <v>1</v>
      </c>
      <c r="DU49"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9"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9" s="909">
        <f>WWWW[[#This Row],['#_Constructed/Existing hand washing stations]]-WWWW[[#This Row],['#_Non-Functional_hand_washing_stations]]</f>
        <v>8</v>
      </c>
      <c r="DX49" s="906">
        <f>IF(WWWW[[#This Row],['# Functional hand washing stations during reporting period]]*20&gt;WWWW[[#This Row],[Total HH]],WWWW[[#This Row],[Total HH]],WWWW[[#This Row],['# Functional hand washing stations during reporting period]]*20)</f>
        <v>138</v>
      </c>
      <c r="DY49" s="906">
        <f>IF(WWWW[[#This Row],[Is sufficient soap available for TLS? (Yes/No)]]="yes",WWWW[[#This Row],['#_Constructed/Existing hand washing stations at TLS/CFS/THF]],0)</f>
        <v>0</v>
      </c>
      <c r="DZ49" s="421">
        <f>IF(WWWW[[#This Row],['# Functional hand washing stations during reporting period]]*100&gt;WWWW[[#This Row],[Total PoP ]],WWWW[[#This Row],[Total PoP ]],WWWW[[#This Row],['# Functional hand washing stations during reporting period]]*100)</f>
        <v>800</v>
      </c>
      <c r="EA49" s="421" t="str">
        <f>IF(OR(WWWW[[#This Row],['#_students at TLS_CFS]]="",WWWW[[#This Row],['#_students at TLS_CFS]]=0),"No","Yes")</f>
        <v>No</v>
      </c>
      <c r="EB4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9" s="566">
        <f>WWWW[[#This Row],[%_of_affected_people_surveyed_who_report_feeling_satistfied_with_the_latrine_design_and_sanitation_service]]*WWWW[[#This Row],[Total PoP ]]</f>
        <v>0</v>
      </c>
      <c r="ED49" s="566">
        <f>WWWW[[#This Row],[%_of_affected_people_surveyed_who_report_feeling_satistfied_with_the_water_point_design_and_water_service]]*WWWW[[#This Row],[Total PoP ]]</f>
        <v>0</v>
      </c>
      <c r="EE49" s="566">
        <f>WWWW[[#This Row],[%_of_complaints_received_that_result_in_timely_corrective_action_and_feedback_to_the_community]]*WWWW[[#This Row],[Total PoP ]]</f>
        <v>0</v>
      </c>
      <c r="EF4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9" s="902" t="str">
        <f>VLOOKUP(WWWW[[#This Row],[Site Name]],SiteDB6[[Site Name]:[CCCM Management]],6,FALSE)</f>
        <v>Yes</v>
      </c>
      <c r="EJ49" s="902" t="str">
        <f>VLOOKUP(WWWW[[#This Row],[Site Name]],SiteDB6[[Site Name]:[CCCM Focal Agency]],7,FALSE)</f>
        <v>KBC-MYT</v>
      </c>
      <c r="EK49" s="902" t="str">
        <f>VLOOKUP(WWWW[[#This Row],[Site Name]],SiteDB6[[Site Name]:[Location Type 1]],9,FALSE)</f>
        <v>Camp</v>
      </c>
      <c r="EL49" s="902" t="str">
        <f>VLOOKUP(WWWW[[#This Row],[Site Name]],SiteDB6[[Site Name]:[Type of Accommodation]],10,FALSE)</f>
        <v>Camp</v>
      </c>
      <c r="EM49" s="902" t="str">
        <f>VLOOKUP(WWWW[[#This Row],[Site Name]],SiteDB6[[Site Name]:[Ethnic or GCA/NGCA]],11,FALSE)</f>
        <v>NGCA</v>
      </c>
      <c r="EN49" s="902">
        <f>VLOOKUP(WWWW[[#This Row],[Site Name]],SiteDB6[[Site Name]:[Lat]],12,FALSE)</f>
        <v>25.200333000000001</v>
      </c>
      <c r="EO49" s="902">
        <f>VLOOKUP(WWWW[[#This Row],[Site Name]],SiteDB6[[Site Name]:[Long]],13,FALSE)</f>
        <v>97.807182999999995</v>
      </c>
      <c r="EP49" s="902" t="str">
        <f>VLOOKUP(WWWW[[#This Row],[Site Name]],SiteDB6[[Site Name]:[Pcode]],3,FALSE)</f>
        <v>MMR001CMP115</v>
      </c>
      <c r="EQ49" s="907" t="str">
        <f t="shared" si="0"/>
        <v>Covered</v>
      </c>
      <c r="ER49" s="907" t="s">
        <v>3126</v>
      </c>
      <c r="ES49" s="907" t="s">
        <v>3126</v>
      </c>
      <c r="ET49" s="902">
        <f>VLOOKUP(WWWW[[#This Row],[Site Name]],SiteDB6[[Site Name]:[Pop
(Kachin/Shan-CCCM as of May 2023)]],16,FALSE)</f>
        <v>138</v>
      </c>
      <c r="EU49" s="902">
        <f>VLOOKUP(WWWW[[#This Row],[Site Name]],SiteDB6[[Site Name]:[Pop
(Kachin/Shan-CCCM as of May 2023)]],17,FALSE)</f>
        <v>896</v>
      </c>
    </row>
    <row r="50" spans="1:151" hidden="1">
      <c r="A50" s="900" t="s">
        <v>2961</v>
      </c>
      <c r="B50" s="946" t="s">
        <v>3180</v>
      </c>
      <c r="C50" s="901" t="s">
        <v>141</v>
      </c>
      <c r="D50" s="901" t="s">
        <v>3095</v>
      </c>
      <c r="E50" s="901" t="s">
        <v>37</v>
      </c>
      <c r="F50" s="901" t="s">
        <v>142</v>
      </c>
      <c r="G50" s="902" t="str">
        <f>VLOOKUP(WWWW[[#This Row],[Site Name]],SiteDB6[[Site Name]:[Location Type]],8,FALSE)</f>
        <v>Camp</v>
      </c>
      <c r="H50" s="901" t="s">
        <v>177</v>
      </c>
      <c r="I50" s="903">
        <v>428</v>
      </c>
      <c r="J50" s="903">
        <v>1342</v>
      </c>
      <c r="K50" s="904">
        <v>44811</v>
      </c>
      <c r="L50" s="905">
        <v>45175</v>
      </c>
      <c r="M50" s="903"/>
      <c r="N50" s="903">
        <v>6</v>
      </c>
      <c r="O50" s="903"/>
      <c r="P50" s="903"/>
      <c r="Q50" s="906" t="s">
        <v>41</v>
      </c>
      <c r="R50" s="903">
        <v>3</v>
      </c>
      <c r="S50" s="903">
        <v>2</v>
      </c>
      <c r="T50" s="441">
        <v>1</v>
      </c>
      <c r="U50" s="903"/>
      <c r="V50" s="903"/>
      <c r="W50" s="903"/>
      <c r="X50" s="903"/>
      <c r="Y50" s="903"/>
      <c r="Z50" s="903"/>
      <c r="AA50" s="903"/>
      <c r="AB50" s="903"/>
      <c r="AC50" s="903"/>
      <c r="AD50" s="903"/>
      <c r="AE50" s="903"/>
      <c r="AF50" s="903"/>
      <c r="AG50" s="903"/>
      <c r="AH50" s="903"/>
      <c r="AI50" s="903"/>
      <c r="AJ50" s="903"/>
      <c r="AK50" s="903"/>
      <c r="AL50" s="903"/>
      <c r="AM50" s="903"/>
      <c r="AN50" s="903"/>
      <c r="AO50" s="441"/>
      <c r="AP50" s="907"/>
      <c r="AQ50" s="903">
        <v>407</v>
      </c>
      <c r="AR50" s="903"/>
      <c r="AS50" s="908"/>
      <c r="AT50" s="903"/>
      <c r="AU50" s="903"/>
      <c r="AV50" s="903"/>
      <c r="AW50" s="903"/>
      <c r="AX50" s="903"/>
      <c r="AY50" s="902" t="s">
        <v>41</v>
      </c>
      <c r="AZ50" s="907" t="s">
        <v>137</v>
      </c>
      <c r="BA50" s="903">
        <v>3</v>
      </c>
      <c r="BB50" s="903"/>
      <c r="BC50" s="903"/>
      <c r="BD50" s="441"/>
      <c r="BE50" s="441"/>
      <c r="BF50" s="902"/>
      <c r="BG50" s="903">
        <v>177</v>
      </c>
      <c r="BH50" s="903"/>
      <c r="BI50" s="903">
        <v>12</v>
      </c>
      <c r="BJ50" s="903">
        <v>6</v>
      </c>
      <c r="BK50" s="903"/>
      <c r="BL50" s="903">
        <v>1</v>
      </c>
      <c r="BM50" s="903">
        <v>5</v>
      </c>
      <c r="BN50" s="903"/>
      <c r="BO50" s="903"/>
      <c r="BP50" s="902"/>
      <c r="BQ50" s="909"/>
      <c r="BR50" s="908"/>
      <c r="BS50" s="902"/>
      <c r="BT50" s="416"/>
      <c r="BU50" s="416"/>
      <c r="BV50" s="418"/>
      <c r="BW50" s="416"/>
      <c r="BX50" s="441"/>
      <c r="BY50" s="441"/>
      <c r="BZ50" s="441"/>
      <c r="CA50" s="441"/>
      <c r="CB50" s="441"/>
      <c r="CC50" s="693"/>
      <c r="CD50" s="441"/>
      <c r="CE50" s="910" t="str">
        <f>IFERROR(WWWW[[#This Row],['#_Water sources passed]]/WWWW[[#This Row],['#_Water sources tested for fecal coliform ]],"no test")</f>
        <v>no test</v>
      </c>
      <c r="CF50" s="908" t="str">
        <f>IFERROR(WWWW[[#This Row],['#_Household passed]]/WWWW[[#This Row],['#_Household water samples tested for fecal coliform]],"no test")</f>
        <v>no test</v>
      </c>
      <c r="CG50" s="909" t="str">
        <f>IF(AND(WWWW[[#This Row],[% of water sources passed]]="no test",WWWW[[#This Row],[% Household passed]]="no test"),"No Test","Tested")</f>
        <v>No Test</v>
      </c>
      <c r="CH50" s="909">
        <f>WWWW[[#This Row],['#_Constructed/existing protected hand dug well]]-WWWW[[#This Row],['#_Non-functional protected hand dug well]]</f>
        <v>1</v>
      </c>
      <c r="CI50" s="909">
        <f>(WWWW[[#This Row],['#_Constructed/Existing tube wells/boreholes/handpumps_WASH_agency]]+WWWW[[#This Row],['#_Non-Cluster partner water tube-wells/boreholes/handpumps]])-WWWW[[#This Row],['#_Non-functional tube wells/boreholes/handpumps]]</f>
        <v>0</v>
      </c>
      <c r="CJ50" s="909">
        <f>WWWW[[#This Row],['#_Constructed/Existingwater storage tank with gravity fed reticulation system]]-WWWW[[#This Row],['#_Non-functional storage tank gravity fed reticulation system]]</f>
        <v>0</v>
      </c>
      <c r="CK50" s="909">
        <f>(WWWW[[#This Row],['#_Water_Liters_supplied_by_Water boating or water trucking]]/90)/15</f>
        <v>0</v>
      </c>
      <c r="CL50" s="909">
        <f>WWWW[[#This Row],['#_Water_Liters_from_Constructed/Existing water distribution system from river or natural spring]]/90/15</f>
        <v>0</v>
      </c>
      <c r="CM50" s="417">
        <f>IF(WWWW[[#This Row],['#_of water points in TLS/CFS]]*500&gt;WWWW[[#This Row],[Total PoP ]],WWWW[[#This Row],[Total PoP ]],WWWW[[#This Row],['#_of water points in TLS/CFS]]*500)</f>
        <v>0</v>
      </c>
      <c r="CN50" s="417">
        <f>IF(WWWW[[#This Row],['#_of water points in THF]]*500&gt;WWWW[[#This Row],[Total PoP ]],WWWW[[#This Row],[Total PoP ]],WWWW[[#This Row],['#_of water points in THF]]*500)</f>
        <v>0</v>
      </c>
      <c r="CO50" s="417"/>
      <c r="CP50"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0.29806259314456035</v>
      </c>
      <c r="CQ50"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0.18628912071535023</v>
      </c>
      <c r="CR50" s="908">
        <f>IF(WWWW[[#This Row],[Location Type 1]]="Village",WWWW[[#This Row],[Access to safe drinking water for Village]],WWWW[[#This Row],[Access to safe drinking water for Camp]])</f>
        <v>0.29806259314456035</v>
      </c>
      <c r="CS50" s="906">
        <f>WWWW[[#This Row],[%Equitable and continuous access to sufficient quantity of safe drinking water]]*WWWW[[#This Row],[Total PoP ]]</f>
        <v>400</v>
      </c>
      <c r="CT50" s="908">
        <f>IF((WWWW[[#This Row],['#_Constructed/Existing protected/fenced ponds]]*250)/WWWW[[#This Row],[Total PoP ]]&gt;1,1,(WWWW[[#This Row],['#_Constructed/Existing protected/fenced ponds]]*250)/WWWW[[#This Row],[Total PoP ]])</f>
        <v>0</v>
      </c>
      <c r="CU50" s="906">
        <f>WWWW[[#This Row],[% Access to unimproved water points]]*WWWW[[#This Row],[Total PoP ]]</f>
        <v>0</v>
      </c>
      <c r="CV50"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0.29806259314456035</v>
      </c>
      <c r="CW50"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X50" s="906">
        <f>WWWW[[#This Row],[HRP1]]/500</f>
        <v>0.8</v>
      </c>
      <c r="CY50" s="911">
        <f>1-WWWW[[#This Row],[% Equitable and continuous access to sufficient quantity of domestic water]]</f>
        <v>0.70193740685543959</v>
      </c>
      <c r="CZ50" s="906">
        <f>WWWW[[#This Row],[%equitable and continuous access to sufficient quantity of safe drinking and domestic water''s GAP]]*WWWW[[#This Row],[Total PoP ]]</f>
        <v>941.99999999999989</v>
      </c>
      <c r="DA50" s="909">
        <f>IF(WWWW[[#This Row],[Total required water points]]-WWWW[[#This Row],['#Water points coverage]]&lt;0,0,WWWW[[#This Row],[Total required water points]]-WWWW[[#This Row],['#Water points coverage]])</f>
        <v>2.2000000000000002</v>
      </c>
      <c r="DB50" s="909">
        <f>ROUND(IF(WWWW[[#This Row],[Total PoP ]]&lt;500,1,WWWW[[#This Row],[Total PoP ]]/500),0)</f>
        <v>3</v>
      </c>
      <c r="DC50" s="909">
        <f>(WWWW[[#This Row],['#_Constructed latrines_by_WASHAgencies]]+WWWW[[#This Row],['#_Non Cluster partner latrines]])-WWWW[[#This Row],['#_Non-functional latrines]]</f>
        <v>407</v>
      </c>
      <c r="DD50" s="615">
        <f>WWWW[[#This Row],[HRP2]]/WWWW[[#This Row],[Total PoP ]]</f>
        <v>1</v>
      </c>
      <c r="DE50"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1342</v>
      </c>
      <c r="DF50"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0"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0" s="417">
        <f>IF(WWWW[[#This Row],['# of functional latrines in THF supported by WASH partners during the reporting period2]]="",0,WWWW[[#This Row],['# of functional latrines in THF supported by WASH partners during the reporting period2]]*50)</f>
        <v>0</v>
      </c>
      <c r="DI50" s="909">
        <f>ROUND(IF(WWWW[[#This Row],[Location Type 1]]="camp",WWWW[[#This Row],[Total PoP ]]/20,IF(WWWW[[#This Row],[Location Type 1]]="Temporary Location",WWWW[[#This Row],[Total PoP ]]/50,(WWWW[[#This Row],[Total PoP ]]/6))),0)</f>
        <v>224</v>
      </c>
      <c r="DJ50" s="909">
        <f>IF(WWWW[[#This Row],[Total required Latrines]]-(WWWW[[#This Row],['#_Constructed latrines_by_WASHAgencies]]+WWWW[[#This Row],['#_Non Cluster partner latrines]])&lt;0,0,WWWW[[#This Row],[Total required Latrines]]-(WWWW[[#This Row],['#_Constructed latrines_by_WASHAgencies]]+WWWW[[#This Row],['#_Non Cluster partner latrines]]))</f>
        <v>0</v>
      </c>
      <c r="DK50" s="911">
        <f>1-WWWW[[#This Row],[% people access to functioning Latrine]]</f>
        <v>0</v>
      </c>
      <c r="DL50" s="910">
        <f>IF(OR(WWWW[[#This Row],['#_Non-functional latrines]]="",WWWW[[#This Row],['#_Non-functional latrines]]=0),0,WWWW[[#This Row],['#_Non-functional latrines]]/(WWWW[[#This Row],['#_Constructed latrines_by_WASHAgencies]]+WWWW[[#This Row],['#_Non Cluster partner latrines]]))</f>
        <v>0</v>
      </c>
      <c r="DM50" s="906">
        <f>IF(500*(WWWW[[#This Row],['#_male hygiene promoters]]+WWWW[[#This Row],['#_female hygiene promoters]])&gt;WWWW[[#This Row],[Total PoP ]],WWWW[[#This Row],[Total PoP ]],500*(WWWW[[#This Row],['#_male hygiene promoters]]+WWWW[[#This Row],['#_female hygiene promoters]]))</f>
        <v>1342</v>
      </c>
      <c r="DN50"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0"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0" s="909">
        <f>IF(WWWW[[#This Row],['# People with access to soap]]&gt;WWWW[[#This Row],['# People with access to Sanity Pads]],WWWW[[#This Row],['# People with access to soap]],WWWW[[#This Row],['# People with access to Sanity Pads]])</f>
        <v>0</v>
      </c>
      <c r="DQ50" s="909">
        <f>IF(WWWW[[#This Row],['# people reached by regular dedicated hygiene promotion_5]]&gt;WWWW[[#This Row],['# People received regular supply of hygiene items_6]],WWWW[[#This Row],['# people reached by regular dedicated hygiene promotion_5]],WWWW[[#This Row],['# People received regular supply of hygiene items_6]])</f>
        <v>1342</v>
      </c>
      <c r="DR50" s="911">
        <f>IF(WWWW[[#This Row],[HRP3]]/WWWW[[#This Row],[Total PoP ]]&gt;1,1,WWWW[[#This Row],[HRP3]]/WWWW[[#This Row],[Total PoP ]])</f>
        <v>1</v>
      </c>
      <c r="DS50" s="910">
        <f>1-WWWW[[#This Row],[Hygiene Coverage%]]</f>
        <v>0</v>
      </c>
      <c r="DT50" s="908">
        <f>WWWW[[#This Row],['# people reached by regular dedicated hygiene promotion_5]]/WWWW[[#This Row],[Total PoP ]]</f>
        <v>1</v>
      </c>
      <c r="DU50"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0"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0" s="909">
        <f>WWWW[[#This Row],['#_Constructed/Existing hand washing stations]]-WWWW[[#This Row],['#_Non-Functional_hand_washing_stations]]</f>
        <v>177</v>
      </c>
      <c r="DX50" s="906">
        <f>IF(WWWW[[#This Row],['# Functional hand washing stations during reporting period]]*20&gt;WWWW[[#This Row],[Total HH]],WWWW[[#This Row],[Total HH]],WWWW[[#This Row],['# Functional hand washing stations during reporting period]]*20)</f>
        <v>428</v>
      </c>
      <c r="DY50" s="906">
        <f>IF(WWWW[[#This Row],[Is sufficient soap available for TLS? (Yes/No)]]="yes",WWWW[[#This Row],['#_Constructed/Existing hand washing stations at TLS/CFS/THF]],0)</f>
        <v>0</v>
      </c>
      <c r="DZ50" s="421">
        <f>IF(WWWW[[#This Row],['# Functional hand washing stations during reporting period]]*100&gt;WWWW[[#This Row],[Total PoP ]],WWWW[[#This Row],[Total PoP ]],WWWW[[#This Row],['# Functional hand washing stations during reporting period]]*100)</f>
        <v>1342</v>
      </c>
      <c r="EA50" s="421" t="str">
        <f>IF(OR(WWWW[[#This Row],['#_students at TLS_CFS]]="",WWWW[[#This Row],['#_students at TLS_CFS]]=0),"No","Yes")</f>
        <v>No</v>
      </c>
      <c r="EB5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0" s="566">
        <f>WWWW[[#This Row],[%_of_affected_people_surveyed_who_report_feeling_satistfied_with_the_latrine_design_and_sanitation_service]]*WWWW[[#This Row],[Total PoP ]]</f>
        <v>0</v>
      </c>
      <c r="ED50" s="566">
        <f>WWWW[[#This Row],[%_of_affected_people_surveyed_who_report_feeling_satistfied_with_the_water_point_design_and_water_service]]*WWWW[[#This Row],[Total PoP ]]</f>
        <v>0</v>
      </c>
      <c r="EE50" s="566">
        <f>WWWW[[#This Row],[%_of_complaints_received_that_result_in_timely_corrective_action_and_feedback_to_the_community]]*WWWW[[#This Row],[Total PoP ]]</f>
        <v>0</v>
      </c>
      <c r="EF5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0" s="902" t="str">
        <f>VLOOKUP(WWWW[[#This Row],[Site Name]],SiteDB6[[Site Name]:[CCCM Management]],6,FALSE)</f>
        <v>Yes</v>
      </c>
      <c r="EJ50" s="902" t="str">
        <f>VLOOKUP(WWWW[[#This Row],[Site Name]],SiteDB6[[Site Name]:[CCCM Focal Agency]],7,FALSE)</f>
        <v>KMSS-MYT</v>
      </c>
      <c r="EK50" s="902" t="str">
        <f>VLOOKUP(WWWW[[#This Row],[Site Name]],SiteDB6[[Site Name]:[Location Type 1]],9,FALSE)</f>
        <v>Village Type Camp</v>
      </c>
      <c r="EL50" s="902" t="str">
        <f>VLOOKUP(WWWW[[#This Row],[Site Name]],SiteDB6[[Site Name]:[Type of Accommodation]],10,FALSE)</f>
        <v>Camp</v>
      </c>
      <c r="EM50" s="902" t="str">
        <f>VLOOKUP(WWWW[[#This Row],[Site Name]],SiteDB6[[Site Name]:[Ethnic or GCA/NGCA]],11,FALSE)</f>
        <v>NGCA</v>
      </c>
      <c r="EN50" s="902">
        <f>VLOOKUP(WWWW[[#This Row],[Site Name]],SiteDB6[[Site Name]:[Lat]],12,FALSE)</f>
        <v>24.980250000000002</v>
      </c>
      <c r="EO50" s="902">
        <f>VLOOKUP(WWWW[[#This Row],[Site Name]],SiteDB6[[Site Name]:[Long]],13,FALSE)</f>
        <v>97.715230000000005</v>
      </c>
      <c r="EP50" s="902" t="str">
        <f>VLOOKUP(WWWW[[#This Row],[Site Name]],SiteDB6[[Site Name]:[Pcode]],3,FALSE)</f>
        <v>MMR001CMP119</v>
      </c>
      <c r="EQ50" s="907" t="str">
        <f t="shared" si="0"/>
        <v>Covered</v>
      </c>
      <c r="ER50" s="907" t="s">
        <v>3126</v>
      </c>
      <c r="ES50" s="907" t="s">
        <v>3126</v>
      </c>
      <c r="ET50" s="902">
        <f>VLOOKUP(WWWW[[#This Row],[Site Name]],SiteDB6[[Site Name]:[Pop
(Kachin/Shan-CCCM as of May 2023)]],16,FALSE)</f>
        <v>419</v>
      </c>
      <c r="EU50" s="902">
        <f>VLOOKUP(WWWW[[#This Row],[Site Name]],SiteDB6[[Site Name]:[Pop
(Kachin/Shan-CCCM as of May 2023)]],17,FALSE)</f>
        <v>1607</v>
      </c>
    </row>
    <row r="51" spans="1:151" hidden="1">
      <c r="A51" s="900" t="s">
        <v>2961</v>
      </c>
      <c r="B51" s="946" t="s">
        <v>3180</v>
      </c>
      <c r="C51" s="901" t="s">
        <v>141</v>
      </c>
      <c r="D51" s="901" t="s">
        <v>3095</v>
      </c>
      <c r="E51" s="901" t="s">
        <v>37</v>
      </c>
      <c r="F51" s="901" t="s">
        <v>142</v>
      </c>
      <c r="G51" s="902" t="str">
        <f>VLOOKUP(WWWW[[#This Row],[Site Name]],SiteDB6[[Site Name]:[Location Type]],8,FALSE)</f>
        <v>Camp</v>
      </c>
      <c r="H51" s="901" t="s">
        <v>180</v>
      </c>
      <c r="I51" s="903">
        <v>171</v>
      </c>
      <c r="J51" s="903">
        <v>1059</v>
      </c>
      <c r="K51" s="904">
        <v>44811</v>
      </c>
      <c r="L51" s="905">
        <v>45175</v>
      </c>
      <c r="M51" s="903"/>
      <c r="N51" s="903">
        <v>3</v>
      </c>
      <c r="O51" s="903"/>
      <c r="P51" s="903"/>
      <c r="Q51" s="906" t="s">
        <v>41</v>
      </c>
      <c r="R51" s="903">
        <v>3</v>
      </c>
      <c r="S51" s="903">
        <v>2</v>
      </c>
      <c r="T51" s="441">
        <v>3</v>
      </c>
      <c r="U51" s="903"/>
      <c r="V51" s="903"/>
      <c r="W51" s="903"/>
      <c r="X51" s="903"/>
      <c r="Y51" s="903"/>
      <c r="Z51" s="903"/>
      <c r="AA51" s="903">
        <v>4</v>
      </c>
      <c r="AB51" s="903"/>
      <c r="AC51" s="903"/>
      <c r="AD51" s="903"/>
      <c r="AE51" s="903"/>
      <c r="AF51" s="903"/>
      <c r="AG51" s="903"/>
      <c r="AH51" s="903"/>
      <c r="AI51" s="903"/>
      <c r="AJ51" s="903"/>
      <c r="AK51" s="903"/>
      <c r="AL51" s="903"/>
      <c r="AM51" s="903"/>
      <c r="AN51" s="903"/>
      <c r="AO51" s="441"/>
      <c r="AP51" s="907"/>
      <c r="AQ51" s="903">
        <v>170</v>
      </c>
      <c r="AR51" s="903"/>
      <c r="AS51" s="908"/>
      <c r="AT51" s="903"/>
      <c r="AU51" s="903"/>
      <c r="AV51" s="903"/>
      <c r="AW51" s="903"/>
      <c r="AX51" s="903">
        <v>150</v>
      </c>
      <c r="AY51" s="902" t="s">
        <v>41</v>
      </c>
      <c r="AZ51" s="907" t="s">
        <v>137</v>
      </c>
      <c r="BA51" s="903"/>
      <c r="BB51" s="903"/>
      <c r="BC51" s="903"/>
      <c r="BD51" s="441"/>
      <c r="BE51" s="441"/>
      <c r="BF51" s="902"/>
      <c r="BG51" s="903">
        <v>25</v>
      </c>
      <c r="BH51" s="903"/>
      <c r="BI51" s="903">
        <v>5</v>
      </c>
      <c r="BJ51" s="903"/>
      <c r="BK51" s="903"/>
      <c r="BL51" s="903">
        <v>1</v>
      </c>
      <c r="BM51" s="903">
        <v>2</v>
      </c>
      <c r="BN51" s="903"/>
      <c r="BO51" s="903"/>
      <c r="BP51" s="902"/>
      <c r="BQ51" s="909"/>
      <c r="BR51" s="908"/>
      <c r="BS51" s="902"/>
      <c r="BT51" s="416"/>
      <c r="BU51" s="416"/>
      <c r="BV51" s="418"/>
      <c r="BW51" s="416"/>
      <c r="BX51" s="441"/>
      <c r="BY51" s="441"/>
      <c r="BZ51" s="441"/>
      <c r="CA51" s="441"/>
      <c r="CB51" s="441"/>
      <c r="CC51" s="693"/>
      <c r="CD51" s="441"/>
      <c r="CE51" s="910" t="str">
        <f>IFERROR(WWWW[[#This Row],['#_Water sources passed]]/WWWW[[#This Row],['#_Water sources tested for fecal coliform ]],"no test")</f>
        <v>no test</v>
      </c>
      <c r="CF51" s="908" t="str">
        <f>IFERROR(WWWW[[#This Row],['#_Household passed]]/WWWW[[#This Row],['#_Household water samples tested for fecal coliform]],"no test")</f>
        <v>no test</v>
      </c>
      <c r="CG51" s="909" t="str">
        <f>IF(AND(WWWW[[#This Row],[% of water sources passed]]="no test",WWWW[[#This Row],[% Household passed]]="no test"),"No Test","Tested")</f>
        <v>No Test</v>
      </c>
      <c r="CH51" s="909">
        <f>WWWW[[#This Row],['#_Constructed/existing protected hand dug well]]-WWWW[[#This Row],['#_Non-functional protected hand dug well]]</f>
        <v>3</v>
      </c>
      <c r="CI51" s="909">
        <f>(WWWW[[#This Row],['#_Constructed/Existing tube wells/boreholes/handpumps_WASH_agency]]+WWWW[[#This Row],['#_Non-Cluster partner water tube-wells/boreholes/handpumps]])-WWWW[[#This Row],['#_Non-functional tube wells/boreholes/handpumps]]</f>
        <v>0</v>
      </c>
      <c r="CJ51" s="909">
        <f>WWWW[[#This Row],['#_Constructed/Existingwater storage tank with gravity fed reticulation system]]-WWWW[[#This Row],['#_Non-functional storage tank gravity fed reticulation system]]</f>
        <v>4</v>
      </c>
      <c r="CK51" s="909">
        <f>(WWWW[[#This Row],['#_Water_Liters_supplied_by_Water boating or water trucking]]/90)/15</f>
        <v>0</v>
      </c>
      <c r="CL51" s="909">
        <f>WWWW[[#This Row],['#_Water_Liters_from_Constructed/Existing water distribution system from river or natural spring]]/90/15</f>
        <v>0</v>
      </c>
      <c r="CM51" s="417">
        <f>IF(WWWW[[#This Row],['#_of water points in TLS/CFS]]*500&gt;WWWW[[#This Row],[Total PoP ]],WWWW[[#This Row],[Total PoP ]],WWWW[[#This Row],['#_of water points in TLS/CFS]]*500)</f>
        <v>0</v>
      </c>
      <c r="CN51" s="417">
        <f>IF(WWWW[[#This Row],['#_of water points in THF]]*500&gt;WWWW[[#This Row],[Total PoP ]],WWWW[[#This Row],[Total PoP ]],WWWW[[#This Row],['#_of water points in THF]]*500)</f>
        <v>0</v>
      </c>
      <c r="CO51" s="417"/>
      <c r="CP51"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1"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0.96002518098835388</v>
      </c>
      <c r="CR51" s="908">
        <f>IF(WWWW[[#This Row],[Location Type 1]]="Village",WWWW[[#This Row],[Access to safe drinking water for Village]],WWWW[[#This Row],[Access to safe drinking water for Camp]])</f>
        <v>1</v>
      </c>
      <c r="CS51" s="906">
        <f>WWWW[[#This Row],[%Equitable and continuous access to sufficient quantity of safe drinking water]]*WWWW[[#This Row],[Total PoP ]]</f>
        <v>1059</v>
      </c>
      <c r="CT51" s="908">
        <f>IF((WWWW[[#This Row],['#_Constructed/Existing protected/fenced ponds]]*250)/WWWW[[#This Row],[Total PoP ]]&gt;1,1,(WWWW[[#This Row],['#_Constructed/Existing protected/fenced ponds]]*250)/WWWW[[#This Row],[Total PoP ]])</f>
        <v>0</v>
      </c>
      <c r="CU51" s="906">
        <f>WWWW[[#This Row],[% Access to unimproved water points]]*WWWW[[#This Row],[Total PoP ]]</f>
        <v>0</v>
      </c>
      <c r="CV51"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1"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1059</v>
      </c>
      <c r="CX51" s="906">
        <f>WWWW[[#This Row],[HRP1]]/500</f>
        <v>2.1179999999999999</v>
      </c>
      <c r="CY51" s="911">
        <f>1-WWWW[[#This Row],[% Equitable and continuous access to sufficient quantity of domestic water]]</f>
        <v>0</v>
      </c>
      <c r="CZ51" s="906">
        <f>WWWW[[#This Row],[%equitable and continuous access to sufficient quantity of safe drinking and domestic water''s GAP]]*WWWW[[#This Row],[Total PoP ]]</f>
        <v>0</v>
      </c>
      <c r="DA51" s="909">
        <f>IF(WWWW[[#This Row],[Total required water points]]-WWWW[[#This Row],['#Water points coverage]]&lt;0,0,WWWW[[#This Row],[Total required water points]]-WWWW[[#This Row],['#Water points coverage]])</f>
        <v>0</v>
      </c>
      <c r="DB51" s="909">
        <f>ROUND(IF(WWWW[[#This Row],[Total PoP ]]&lt;500,1,WWWW[[#This Row],[Total PoP ]]/500),0)</f>
        <v>2</v>
      </c>
      <c r="DC51" s="909">
        <f>(WWWW[[#This Row],['#_Constructed latrines_by_WASHAgencies]]+WWWW[[#This Row],['#_Non Cluster partner latrines]])-WWWW[[#This Row],['#_Non-functional latrines]]</f>
        <v>170</v>
      </c>
      <c r="DD51" s="615">
        <f>WWWW[[#This Row],[HRP2]]/WWWW[[#This Row],[Total PoP ]]</f>
        <v>0.80264400377714828</v>
      </c>
      <c r="DE51"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850</v>
      </c>
      <c r="DF51"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1"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1" s="417">
        <f>IF(WWWW[[#This Row],['# of functional latrines in THF supported by WASH partners during the reporting period2]]="",0,WWWW[[#This Row],['# of functional latrines in THF supported by WASH partners during the reporting period2]]*50)</f>
        <v>0</v>
      </c>
      <c r="DI51" s="909">
        <f>ROUND(IF(WWWW[[#This Row],[Location Type 1]]="camp",WWWW[[#This Row],[Total PoP ]]/20,IF(WWWW[[#This Row],[Location Type 1]]="Temporary Location",WWWW[[#This Row],[Total PoP ]]/50,(WWWW[[#This Row],[Total PoP ]]/6))),0)</f>
        <v>177</v>
      </c>
      <c r="DJ51" s="909">
        <f>IF(WWWW[[#This Row],[Total required Latrines]]-(WWWW[[#This Row],['#_Constructed latrines_by_WASHAgencies]]+WWWW[[#This Row],['#_Non Cluster partner latrines]])&lt;0,0,WWWW[[#This Row],[Total required Latrines]]-(WWWW[[#This Row],['#_Constructed latrines_by_WASHAgencies]]+WWWW[[#This Row],['#_Non Cluster partner latrines]]))</f>
        <v>7</v>
      </c>
      <c r="DK51" s="911">
        <f>1-WWWW[[#This Row],[% people access to functioning Latrine]]</f>
        <v>0.19735599622285172</v>
      </c>
      <c r="DL51" s="910">
        <f>IF(OR(WWWW[[#This Row],['#_Non-functional latrines]]="",WWWW[[#This Row],['#_Non-functional latrines]]=0),0,WWWW[[#This Row],['#_Non-functional latrines]]/(WWWW[[#This Row],['#_Constructed latrines_by_WASHAgencies]]+WWWW[[#This Row],['#_Non Cluster partner latrines]]))</f>
        <v>0</v>
      </c>
      <c r="DM51" s="906">
        <f>IF(500*(WWWW[[#This Row],['#_male hygiene promoters]]+WWWW[[#This Row],['#_female hygiene promoters]])&gt;WWWW[[#This Row],[Total PoP ]],WWWW[[#This Row],[Total PoP ]],500*(WWWW[[#This Row],['#_male hygiene promoters]]+WWWW[[#This Row],['#_female hygiene promoters]]))</f>
        <v>1059</v>
      </c>
      <c r="DN51"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1"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1" s="909">
        <f>IF(WWWW[[#This Row],['# People with access to soap]]&gt;WWWW[[#This Row],['# People with access to Sanity Pads]],WWWW[[#This Row],['# People with access to soap]],WWWW[[#This Row],['# People with access to Sanity Pads]])</f>
        <v>0</v>
      </c>
      <c r="DQ51" s="909">
        <f>IF(WWWW[[#This Row],['# people reached by regular dedicated hygiene promotion_5]]&gt;WWWW[[#This Row],['# People received regular supply of hygiene items_6]],WWWW[[#This Row],['# people reached by regular dedicated hygiene promotion_5]],WWWW[[#This Row],['# People received regular supply of hygiene items_6]])</f>
        <v>1059</v>
      </c>
      <c r="DR51" s="911">
        <f>IF(WWWW[[#This Row],[HRP3]]/WWWW[[#This Row],[Total PoP ]]&gt;1,1,WWWW[[#This Row],[HRP3]]/WWWW[[#This Row],[Total PoP ]])</f>
        <v>1</v>
      </c>
      <c r="DS51" s="910">
        <f>1-WWWW[[#This Row],[Hygiene Coverage%]]</f>
        <v>0</v>
      </c>
      <c r="DT51" s="908">
        <f>WWWW[[#This Row],['# people reached by regular dedicated hygiene promotion_5]]/WWWW[[#This Row],[Total PoP ]]</f>
        <v>1</v>
      </c>
      <c r="DU51"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1"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1" s="909">
        <f>WWWW[[#This Row],['#_Constructed/Existing hand washing stations]]-WWWW[[#This Row],['#_Non-Functional_hand_washing_stations]]</f>
        <v>25</v>
      </c>
      <c r="DX51" s="906">
        <f>IF(WWWW[[#This Row],['# Functional hand washing stations during reporting period]]*20&gt;WWWW[[#This Row],[Total HH]],WWWW[[#This Row],[Total HH]],WWWW[[#This Row],['# Functional hand washing stations during reporting period]]*20)</f>
        <v>171</v>
      </c>
      <c r="DY51" s="906">
        <f>IF(WWWW[[#This Row],[Is sufficient soap available for TLS? (Yes/No)]]="yes",WWWW[[#This Row],['#_Constructed/Existing hand washing stations at TLS/CFS/THF]],0)</f>
        <v>0</v>
      </c>
      <c r="DZ51" s="421">
        <f>IF(WWWW[[#This Row],['# Functional hand washing stations during reporting period]]*100&gt;WWWW[[#This Row],[Total PoP ]],WWWW[[#This Row],[Total PoP ]],WWWW[[#This Row],['# Functional hand washing stations during reporting period]]*100)</f>
        <v>1059</v>
      </c>
      <c r="EA51" s="421" t="str">
        <f>IF(OR(WWWW[[#This Row],['#_students at TLS_CFS]]="",WWWW[[#This Row],['#_students at TLS_CFS]]=0),"No","Yes")</f>
        <v>No</v>
      </c>
      <c r="EB5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1" s="566">
        <f>WWWW[[#This Row],[%_of_affected_people_surveyed_who_report_feeling_satistfied_with_the_latrine_design_and_sanitation_service]]*WWWW[[#This Row],[Total PoP ]]</f>
        <v>0</v>
      </c>
      <c r="ED51" s="566">
        <f>WWWW[[#This Row],[%_of_affected_people_surveyed_who_report_feeling_satistfied_with_the_water_point_design_and_water_service]]*WWWW[[#This Row],[Total PoP ]]</f>
        <v>0</v>
      </c>
      <c r="EE51" s="566">
        <f>WWWW[[#This Row],[%_of_complaints_received_that_result_in_timely_corrective_action_and_feedback_to_the_community]]*WWWW[[#This Row],[Total PoP ]]</f>
        <v>0</v>
      </c>
      <c r="EF5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1" s="902" t="str">
        <f>VLOOKUP(WWWW[[#This Row],[Site Name]],SiteDB6[[Site Name]:[CCCM Management]],6,FALSE)</f>
        <v>Yes</v>
      </c>
      <c r="EJ51" s="902" t="str">
        <f>VLOOKUP(WWWW[[#This Row],[Site Name]],SiteDB6[[Site Name]:[CCCM Focal Agency]],7,FALSE)</f>
        <v>KBC-MYT</v>
      </c>
      <c r="EK51" s="902" t="str">
        <f>VLOOKUP(WWWW[[#This Row],[Site Name]],SiteDB6[[Site Name]:[Location Type 1]],9,FALSE)</f>
        <v>Village Type Camp</v>
      </c>
      <c r="EL51" s="902" t="str">
        <f>VLOOKUP(WWWW[[#This Row],[Site Name]],SiteDB6[[Site Name]:[Type of Accommodation]],10,FALSE)</f>
        <v>Camp</v>
      </c>
      <c r="EM51" s="902" t="str">
        <f>VLOOKUP(WWWW[[#This Row],[Site Name]],SiteDB6[[Site Name]:[Ethnic or GCA/NGCA]],11,FALSE)</f>
        <v>NGCA</v>
      </c>
      <c r="EN51" s="902">
        <f>VLOOKUP(WWWW[[#This Row],[Site Name]],SiteDB6[[Site Name]:[Lat]],12,FALSE)</f>
        <v>24.831944</v>
      </c>
      <c r="EO51" s="902">
        <f>VLOOKUP(WWWW[[#This Row],[Site Name]],SiteDB6[[Site Name]:[Long]],13,FALSE)</f>
        <v>97.751389000000003</v>
      </c>
      <c r="EP51" s="902" t="str">
        <f>VLOOKUP(WWWW[[#This Row],[Site Name]],SiteDB6[[Site Name]:[Pcode]],3,FALSE)</f>
        <v>MMR001CMP120</v>
      </c>
      <c r="EQ51" s="907" t="str">
        <f t="shared" si="0"/>
        <v>Covered</v>
      </c>
      <c r="ER51" s="907" t="s">
        <v>3126</v>
      </c>
      <c r="ES51" s="907" t="s">
        <v>3126</v>
      </c>
      <c r="ET51" s="902">
        <f>VLOOKUP(WWWW[[#This Row],[Site Name]],SiteDB6[[Site Name]:[Pop
(Kachin/Shan-CCCM as of May 2023)]],16,FALSE)</f>
        <v>169</v>
      </c>
      <c r="EU51" s="902">
        <f>VLOOKUP(WWWW[[#This Row],[Site Name]],SiteDB6[[Site Name]:[Pop
(Kachin/Shan-CCCM as of May 2023)]],17,FALSE)</f>
        <v>970</v>
      </c>
    </row>
    <row r="52" spans="1:151" hidden="1">
      <c r="A52" s="900" t="s">
        <v>2961</v>
      </c>
      <c r="B52" s="946" t="s">
        <v>3180</v>
      </c>
      <c r="C52" s="901" t="s">
        <v>141</v>
      </c>
      <c r="D52" s="901" t="s">
        <v>3095</v>
      </c>
      <c r="E52" s="901" t="s">
        <v>37</v>
      </c>
      <c r="F52" s="901" t="s">
        <v>142</v>
      </c>
      <c r="G52" s="902" t="str">
        <f>VLOOKUP(WWWW[[#This Row],[Site Name]],SiteDB6[[Site Name]:[Location Type]],8,FALSE)</f>
        <v>Camp</v>
      </c>
      <c r="H52" s="901" t="s">
        <v>143</v>
      </c>
      <c r="I52" s="903">
        <v>286</v>
      </c>
      <c r="J52" s="903">
        <v>1438</v>
      </c>
      <c r="K52" s="904">
        <v>44811</v>
      </c>
      <c r="L52" s="905">
        <v>45175</v>
      </c>
      <c r="M52" s="903"/>
      <c r="N52" s="903">
        <v>5</v>
      </c>
      <c r="O52" s="903"/>
      <c r="P52" s="903"/>
      <c r="Q52" s="906" t="s">
        <v>41</v>
      </c>
      <c r="R52" s="903">
        <v>9</v>
      </c>
      <c r="S52" s="903">
        <v>6</v>
      </c>
      <c r="T52" s="441"/>
      <c r="U52" s="903"/>
      <c r="V52" s="903"/>
      <c r="W52" s="903">
        <v>5</v>
      </c>
      <c r="X52" s="903"/>
      <c r="Y52" s="903"/>
      <c r="Z52" s="903"/>
      <c r="AA52" s="903"/>
      <c r="AB52" s="903"/>
      <c r="AC52" s="903"/>
      <c r="AD52" s="903"/>
      <c r="AE52" s="903"/>
      <c r="AF52" s="903"/>
      <c r="AG52" s="903"/>
      <c r="AH52" s="903"/>
      <c r="AI52" s="903"/>
      <c r="AJ52" s="903"/>
      <c r="AK52" s="903"/>
      <c r="AL52" s="903"/>
      <c r="AM52" s="903"/>
      <c r="AN52" s="903"/>
      <c r="AO52" s="441"/>
      <c r="AP52" s="907"/>
      <c r="AQ52" s="903">
        <v>413</v>
      </c>
      <c r="AR52" s="903"/>
      <c r="AS52" s="908"/>
      <c r="AT52" s="903"/>
      <c r="AU52" s="903"/>
      <c r="AV52" s="903"/>
      <c r="AW52" s="903"/>
      <c r="AX52" s="903">
        <v>413</v>
      </c>
      <c r="AY52" s="902" t="s">
        <v>41</v>
      </c>
      <c r="AZ52" s="907" t="s">
        <v>137</v>
      </c>
      <c r="BA52" s="903"/>
      <c r="BB52" s="903"/>
      <c r="BC52" s="903"/>
      <c r="BD52" s="441"/>
      <c r="BE52" s="441"/>
      <c r="BF52" s="902"/>
      <c r="BG52" s="903">
        <v>315</v>
      </c>
      <c r="BH52" s="903"/>
      <c r="BI52" s="903">
        <v>5</v>
      </c>
      <c r="BJ52" s="903">
        <v>1</v>
      </c>
      <c r="BK52" s="903"/>
      <c r="BL52" s="903">
        <v>1</v>
      </c>
      <c r="BM52" s="903">
        <v>3</v>
      </c>
      <c r="BN52" s="903"/>
      <c r="BO52" s="903"/>
      <c r="BP52" s="902"/>
      <c r="BQ52" s="909"/>
      <c r="BR52" s="908"/>
      <c r="BS52" s="902"/>
      <c r="BT52" s="416"/>
      <c r="BU52" s="416"/>
      <c r="BV52" s="418"/>
      <c r="BW52" s="416"/>
      <c r="BX52" s="441"/>
      <c r="BY52" s="441"/>
      <c r="BZ52" s="441"/>
      <c r="CA52" s="441"/>
      <c r="CB52" s="441"/>
      <c r="CC52" s="693"/>
      <c r="CD52" s="441"/>
      <c r="CE52" s="910" t="str">
        <f>IFERROR(WWWW[[#This Row],['#_Water sources passed]]/WWWW[[#This Row],['#_Water sources tested for fecal coliform ]],"no test")</f>
        <v>no test</v>
      </c>
      <c r="CF52" s="908" t="str">
        <f>IFERROR(WWWW[[#This Row],['#_Household passed]]/WWWW[[#This Row],['#_Household water samples tested for fecal coliform]],"no test")</f>
        <v>no test</v>
      </c>
      <c r="CG52" s="909" t="str">
        <f>IF(AND(WWWW[[#This Row],[% of water sources passed]]="no test",WWWW[[#This Row],[% Household passed]]="no test"),"No Test","Tested")</f>
        <v>No Test</v>
      </c>
      <c r="CH52" s="909">
        <f>WWWW[[#This Row],['#_Constructed/existing protected hand dug well]]-WWWW[[#This Row],['#_Non-functional protected hand dug well]]</f>
        <v>0</v>
      </c>
      <c r="CI52" s="909">
        <f>(WWWW[[#This Row],['#_Constructed/Existing tube wells/boreholes/handpumps_WASH_agency]]+WWWW[[#This Row],['#_Non-Cluster partner water tube-wells/boreholes/handpumps]])-WWWW[[#This Row],['#_Non-functional tube wells/boreholes/handpumps]]</f>
        <v>5</v>
      </c>
      <c r="CJ52" s="909">
        <f>WWWW[[#This Row],['#_Constructed/Existingwater storage tank with gravity fed reticulation system]]-WWWW[[#This Row],['#_Non-functional storage tank gravity fed reticulation system]]</f>
        <v>0</v>
      </c>
      <c r="CK52" s="909">
        <f>(WWWW[[#This Row],['#_Water_Liters_supplied_by_Water boating or water trucking]]/90)/15</f>
        <v>0</v>
      </c>
      <c r="CL52" s="909">
        <f>WWWW[[#This Row],['#_Water_Liters_from_Constructed/Existing water distribution system from river or natural spring]]/90/15</f>
        <v>0</v>
      </c>
      <c r="CM52" s="417">
        <f>IF(WWWW[[#This Row],['#_of water points in TLS/CFS]]*500&gt;WWWW[[#This Row],[Total PoP ]],WWWW[[#This Row],[Total PoP ]],WWWW[[#This Row],['#_of water points in TLS/CFS]]*500)</f>
        <v>0</v>
      </c>
      <c r="CN52" s="417">
        <f>IF(WWWW[[#This Row],['#_of water points in THF]]*500&gt;WWWW[[#This Row],[Total PoP ]],WWWW[[#This Row],[Total PoP ]],WWWW[[#This Row],['#_of water points in THF]]*500)</f>
        <v>0</v>
      </c>
      <c r="CO52" s="417"/>
      <c r="CP52"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2"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0.86926286509040329</v>
      </c>
      <c r="CR52" s="908">
        <f>IF(WWWW[[#This Row],[Location Type 1]]="Village",WWWW[[#This Row],[Access to safe drinking water for Village]],WWWW[[#This Row],[Access to safe drinking water for Camp]])</f>
        <v>1</v>
      </c>
      <c r="CS52" s="906">
        <f>WWWW[[#This Row],[%Equitable and continuous access to sufficient quantity of safe drinking water]]*WWWW[[#This Row],[Total PoP ]]</f>
        <v>1438</v>
      </c>
      <c r="CT52" s="908">
        <f>IF((WWWW[[#This Row],['#_Constructed/Existing protected/fenced ponds]]*250)/WWWW[[#This Row],[Total PoP ]]&gt;1,1,(WWWW[[#This Row],['#_Constructed/Existing protected/fenced ponds]]*250)/WWWW[[#This Row],[Total PoP ]])</f>
        <v>0</v>
      </c>
      <c r="CU52" s="906">
        <f>WWWW[[#This Row],[% Access to unimproved water points]]*WWWW[[#This Row],[Total PoP ]]</f>
        <v>0</v>
      </c>
      <c r="CV52"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2"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1438</v>
      </c>
      <c r="CX52" s="906">
        <f>WWWW[[#This Row],[HRP1]]/500</f>
        <v>2.8759999999999999</v>
      </c>
      <c r="CY52" s="911">
        <f>1-WWWW[[#This Row],[% Equitable and continuous access to sufficient quantity of domestic water]]</f>
        <v>0</v>
      </c>
      <c r="CZ52" s="906">
        <f>WWWW[[#This Row],[%equitable and continuous access to sufficient quantity of safe drinking and domestic water''s GAP]]*WWWW[[#This Row],[Total PoP ]]</f>
        <v>0</v>
      </c>
      <c r="DA52" s="909">
        <f>IF(WWWW[[#This Row],[Total required water points]]-WWWW[[#This Row],['#Water points coverage]]&lt;0,0,WWWW[[#This Row],[Total required water points]]-WWWW[[#This Row],['#Water points coverage]])</f>
        <v>0.12400000000000011</v>
      </c>
      <c r="DB52" s="909">
        <f>ROUND(IF(WWWW[[#This Row],[Total PoP ]]&lt;500,1,WWWW[[#This Row],[Total PoP ]]/500),0)</f>
        <v>3</v>
      </c>
      <c r="DC52" s="909">
        <f>(WWWW[[#This Row],['#_Constructed latrines_by_WASHAgencies]]+WWWW[[#This Row],['#_Non Cluster partner latrines]])-WWWW[[#This Row],['#_Non-functional latrines]]</f>
        <v>413</v>
      </c>
      <c r="DD52" s="615">
        <f>WWWW[[#This Row],[HRP2]]/WWWW[[#This Row],[Total PoP ]]</f>
        <v>1</v>
      </c>
      <c r="DE52"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1438</v>
      </c>
      <c r="DF52"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2"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2" s="417">
        <f>IF(WWWW[[#This Row],['# of functional latrines in THF supported by WASH partners during the reporting period2]]="",0,WWWW[[#This Row],['# of functional latrines in THF supported by WASH partners during the reporting period2]]*50)</f>
        <v>0</v>
      </c>
      <c r="DI52" s="909">
        <f>ROUND(IF(WWWW[[#This Row],[Location Type 1]]="camp",WWWW[[#This Row],[Total PoP ]]/20,IF(WWWW[[#This Row],[Location Type 1]]="Temporary Location",WWWW[[#This Row],[Total PoP ]]/50,(WWWW[[#This Row],[Total PoP ]]/6))),0)</f>
        <v>72</v>
      </c>
      <c r="DJ52" s="909">
        <f>IF(WWWW[[#This Row],[Total required Latrines]]-(WWWW[[#This Row],['#_Constructed latrines_by_WASHAgencies]]+WWWW[[#This Row],['#_Non Cluster partner latrines]])&lt;0,0,WWWW[[#This Row],[Total required Latrines]]-(WWWW[[#This Row],['#_Constructed latrines_by_WASHAgencies]]+WWWW[[#This Row],['#_Non Cluster partner latrines]]))</f>
        <v>0</v>
      </c>
      <c r="DK52" s="911">
        <f>1-WWWW[[#This Row],[% people access to functioning Latrine]]</f>
        <v>0</v>
      </c>
      <c r="DL52" s="910">
        <f>IF(OR(WWWW[[#This Row],['#_Non-functional latrines]]="",WWWW[[#This Row],['#_Non-functional latrines]]=0),0,WWWW[[#This Row],['#_Non-functional latrines]]/(WWWW[[#This Row],['#_Constructed latrines_by_WASHAgencies]]+WWWW[[#This Row],['#_Non Cluster partner latrines]]))</f>
        <v>0</v>
      </c>
      <c r="DM52" s="906">
        <f>IF(500*(WWWW[[#This Row],['#_male hygiene promoters]]+WWWW[[#This Row],['#_female hygiene promoters]])&gt;WWWW[[#This Row],[Total PoP ]],WWWW[[#This Row],[Total PoP ]],500*(WWWW[[#This Row],['#_male hygiene promoters]]+WWWW[[#This Row],['#_female hygiene promoters]]))</f>
        <v>1438</v>
      </c>
      <c r="DN52"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2"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2" s="909">
        <f>IF(WWWW[[#This Row],['# People with access to soap]]&gt;WWWW[[#This Row],['# People with access to Sanity Pads]],WWWW[[#This Row],['# People with access to soap]],WWWW[[#This Row],['# People with access to Sanity Pads]])</f>
        <v>0</v>
      </c>
      <c r="DQ52" s="909">
        <f>IF(WWWW[[#This Row],['# people reached by regular dedicated hygiene promotion_5]]&gt;WWWW[[#This Row],['# People received regular supply of hygiene items_6]],WWWW[[#This Row],['# people reached by regular dedicated hygiene promotion_5]],WWWW[[#This Row],['# People received regular supply of hygiene items_6]])</f>
        <v>1438</v>
      </c>
      <c r="DR52" s="911">
        <f>IF(WWWW[[#This Row],[HRP3]]/WWWW[[#This Row],[Total PoP ]]&gt;1,1,WWWW[[#This Row],[HRP3]]/WWWW[[#This Row],[Total PoP ]])</f>
        <v>1</v>
      </c>
      <c r="DS52" s="910">
        <f>1-WWWW[[#This Row],[Hygiene Coverage%]]</f>
        <v>0</v>
      </c>
      <c r="DT52" s="908">
        <f>WWWW[[#This Row],['# people reached by regular dedicated hygiene promotion_5]]/WWWW[[#This Row],[Total PoP ]]</f>
        <v>1</v>
      </c>
      <c r="DU52"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2"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2" s="909">
        <f>WWWW[[#This Row],['#_Constructed/Existing hand washing stations]]-WWWW[[#This Row],['#_Non-Functional_hand_washing_stations]]</f>
        <v>315</v>
      </c>
      <c r="DX52" s="906">
        <f>IF(WWWW[[#This Row],['# Functional hand washing stations during reporting period]]*20&gt;WWWW[[#This Row],[Total HH]],WWWW[[#This Row],[Total HH]],WWWW[[#This Row],['# Functional hand washing stations during reporting period]]*20)</f>
        <v>286</v>
      </c>
      <c r="DY52" s="906">
        <f>IF(WWWW[[#This Row],[Is sufficient soap available for TLS? (Yes/No)]]="yes",WWWW[[#This Row],['#_Constructed/Existing hand washing stations at TLS/CFS/THF]],0)</f>
        <v>0</v>
      </c>
      <c r="DZ52" s="421">
        <f>IF(WWWW[[#This Row],['# Functional hand washing stations during reporting period]]*100&gt;WWWW[[#This Row],[Total PoP ]],WWWW[[#This Row],[Total PoP ]],WWWW[[#This Row],['# Functional hand washing stations during reporting period]]*100)</f>
        <v>1438</v>
      </c>
      <c r="EA52" s="421" t="str">
        <f>IF(OR(WWWW[[#This Row],['#_students at TLS_CFS]]="",WWWW[[#This Row],['#_students at TLS_CFS]]=0),"No","Yes")</f>
        <v>No</v>
      </c>
      <c r="EB5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2" s="566">
        <f>WWWW[[#This Row],[%_of_affected_people_surveyed_who_report_feeling_satistfied_with_the_latrine_design_and_sanitation_service]]*WWWW[[#This Row],[Total PoP ]]</f>
        <v>0</v>
      </c>
      <c r="ED52" s="566">
        <f>WWWW[[#This Row],[%_of_affected_people_surveyed_who_report_feeling_satistfied_with_the_water_point_design_and_water_service]]*WWWW[[#This Row],[Total PoP ]]</f>
        <v>0</v>
      </c>
      <c r="EE52" s="566">
        <f>WWWW[[#This Row],[%_of_complaints_received_that_result_in_timely_corrective_action_and_feedback_to_the_community]]*WWWW[[#This Row],[Total PoP ]]</f>
        <v>0</v>
      </c>
      <c r="EF5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2" s="902" t="str">
        <f>VLOOKUP(WWWW[[#This Row],[Site Name]],SiteDB6[[Site Name]:[CCCM Management]],6,FALSE)</f>
        <v>Yes</v>
      </c>
      <c r="EJ52" s="902" t="str">
        <f>VLOOKUP(WWWW[[#This Row],[Site Name]],SiteDB6[[Site Name]:[CCCM Focal Agency]],7,FALSE)</f>
        <v>KBC-MYT</v>
      </c>
      <c r="EK52" s="902" t="str">
        <f>VLOOKUP(WWWW[[#This Row],[Site Name]],SiteDB6[[Site Name]:[Location Type 1]],9,FALSE)</f>
        <v>Camp</v>
      </c>
      <c r="EL52" s="902" t="str">
        <f>VLOOKUP(WWWW[[#This Row],[Site Name]],SiteDB6[[Site Name]:[Type of Accommodation]],10,FALSE)</f>
        <v>Camp</v>
      </c>
      <c r="EM52" s="902" t="str">
        <f>VLOOKUP(WWWW[[#This Row],[Site Name]],SiteDB6[[Site Name]:[Ethnic or GCA/NGCA]],11,FALSE)</f>
        <v>NGCA</v>
      </c>
      <c r="EN52" s="902">
        <f>VLOOKUP(WWWW[[#This Row],[Site Name]],SiteDB6[[Site Name]:[Lat]],12,FALSE)</f>
        <v>25.418084</v>
      </c>
      <c r="EO52" s="902">
        <f>VLOOKUP(WWWW[[#This Row],[Site Name]],SiteDB6[[Site Name]:[Long]],13,FALSE)</f>
        <v>98.025662999999994</v>
      </c>
      <c r="EP52" s="902" t="str">
        <f>VLOOKUP(WWWW[[#This Row],[Site Name]],SiteDB6[[Site Name]:[Pcode]],3,FALSE)</f>
        <v>MMR001CMP249</v>
      </c>
      <c r="EQ52" s="907" t="str">
        <f t="shared" si="0"/>
        <v>Covered</v>
      </c>
      <c r="ER52" s="907" t="s">
        <v>3126</v>
      </c>
      <c r="ES52" s="907" t="s">
        <v>3126</v>
      </c>
      <c r="ET52" s="902">
        <f>VLOOKUP(WWWW[[#This Row],[Site Name]],SiteDB6[[Site Name]:[Pop
(Kachin/Shan-CCCM as of May 2023)]],16,FALSE)</f>
        <v>298</v>
      </c>
      <c r="EU52" s="902">
        <f>VLOOKUP(WWWW[[#This Row],[Site Name]],SiteDB6[[Site Name]:[Pop
(Kachin/Shan-CCCM as of May 2023)]],17,FALSE)</f>
        <v>1458</v>
      </c>
    </row>
    <row r="53" spans="1:151" hidden="1">
      <c r="A53" s="900" t="s">
        <v>2961</v>
      </c>
      <c r="B53" s="946" t="s">
        <v>3218</v>
      </c>
      <c r="C53" s="901" t="s">
        <v>3222</v>
      </c>
      <c r="D53" s="901" t="s">
        <v>3219</v>
      </c>
      <c r="E53" s="901" t="s">
        <v>37</v>
      </c>
      <c r="F53" s="901" t="s">
        <v>142</v>
      </c>
      <c r="G53" s="902" t="str">
        <f>VLOOKUP(WWWW[[#This Row],[Site Name]],SiteDB6[[Site Name]:[Location Type]],8,FALSE)</f>
        <v>Camp</v>
      </c>
      <c r="H53" s="901" t="s">
        <v>1606</v>
      </c>
      <c r="I53" s="903">
        <v>55</v>
      </c>
      <c r="J53" s="903">
        <v>253</v>
      </c>
      <c r="K53" s="904" t="s">
        <v>3220</v>
      </c>
      <c r="L53" s="905" t="s">
        <v>3221</v>
      </c>
      <c r="M53" s="903"/>
      <c r="N53" s="903">
        <v>1</v>
      </c>
      <c r="O53" s="903">
        <v>1</v>
      </c>
      <c r="P53" s="903"/>
      <c r="Q53" s="906" t="s">
        <v>41</v>
      </c>
      <c r="R53" s="903">
        <f>2+1</f>
        <v>3</v>
      </c>
      <c r="S53" s="903">
        <f>2+4</f>
        <v>6</v>
      </c>
      <c r="T53" s="441">
        <v>2</v>
      </c>
      <c r="U53" s="903"/>
      <c r="V53" s="903"/>
      <c r="W53" s="903"/>
      <c r="X53" s="903">
        <v>1</v>
      </c>
      <c r="Y53" s="903"/>
      <c r="Z53" s="903"/>
      <c r="AA53" s="903"/>
      <c r="AB53" s="903"/>
      <c r="AC53" s="903"/>
      <c r="AD53" s="903"/>
      <c r="AE53" s="903"/>
      <c r="AF53" s="903"/>
      <c r="AG53" s="903"/>
      <c r="AH53" s="903">
        <v>3</v>
      </c>
      <c r="AI53" s="903"/>
      <c r="AJ53" s="903"/>
      <c r="AK53" s="903"/>
      <c r="AL53" s="903"/>
      <c r="AM53" s="903">
        <v>1</v>
      </c>
      <c r="AN53" s="903"/>
      <c r="AO53" s="441"/>
      <c r="AP53" s="907" t="s">
        <v>3198</v>
      </c>
      <c r="AQ53" s="903">
        <v>9</v>
      </c>
      <c r="AR53" s="903"/>
      <c r="AS53" s="908"/>
      <c r="AT53" s="903">
        <v>1</v>
      </c>
      <c r="AU53" s="903">
        <v>1</v>
      </c>
      <c r="AV53" s="903">
        <v>6</v>
      </c>
      <c r="AW53" s="903"/>
      <c r="AX53" s="903">
        <v>6</v>
      </c>
      <c r="AY53" s="902" t="s">
        <v>41</v>
      </c>
      <c r="AZ53" s="907" t="s">
        <v>137</v>
      </c>
      <c r="BA53" s="903"/>
      <c r="BB53" s="903"/>
      <c r="BC53" s="903"/>
      <c r="BD53" s="441"/>
      <c r="BE53" s="441">
        <v>1</v>
      </c>
      <c r="BF53" s="902" t="s">
        <v>3199</v>
      </c>
      <c r="BG53" s="903">
        <v>10</v>
      </c>
      <c r="BH53" s="903">
        <v>2</v>
      </c>
      <c r="BI53" s="903"/>
      <c r="BJ53" s="903">
        <v>2</v>
      </c>
      <c r="BK53" s="903"/>
      <c r="BL53" s="903">
        <v>1</v>
      </c>
      <c r="BM53" s="903">
        <v>2</v>
      </c>
      <c r="BN53" s="903"/>
      <c r="BO53" s="903"/>
      <c r="BP53" s="902"/>
      <c r="BQ53" s="909">
        <v>1</v>
      </c>
      <c r="BR53" s="908">
        <v>0.89</v>
      </c>
      <c r="BS53" s="902"/>
      <c r="BT53" s="416">
        <v>0.99</v>
      </c>
      <c r="BU53" s="416">
        <v>1</v>
      </c>
      <c r="BV53" s="418">
        <v>80</v>
      </c>
      <c r="BW53" s="416">
        <v>0.99</v>
      </c>
      <c r="BX53" s="441"/>
      <c r="BY53" s="441"/>
      <c r="BZ53" s="441"/>
      <c r="CA53" s="441"/>
      <c r="CB53" s="441"/>
      <c r="CC53" s="693"/>
      <c r="CD53" s="441"/>
      <c r="CE53" s="910" t="str">
        <f>IFERROR(WWWW[[#This Row],['#_Water sources passed]]/WWWW[[#This Row],['#_Water sources tested for fecal coliform ]],"no test")</f>
        <v>no test</v>
      </c>
      <c r="CF53" s="908" t="str">
        <f>IFERROR(WWWW[[#This Row],['#_Household passed]]/WWWW[[#This Row],['#_Household water samples tested for fecal coliform]],"no test")</f>
        <v>no test</v>
      </c>
      <c r="CG53" s="909" t="str">
        <f>IF(AND(WWWW[[#This Row],[% of water sources passed]]="no test",WWWW[[#This Row],[% Household passed]]="no test"),"No Test","Tested")</f>
        <v>No Test</v>
      </c>
      <c r="CH53" s="909">
        <f>WWWW[[#This Row],['#_Constructed/existing protected hand dug well]]-WWWW[[#This Row],['#_Non-functional protected hand dug well]]</f>
        <v>2</v>
      </c>
      <c r="CI53" s="909">
        <f>(WWWW[[#This Row],['#_Constructed/Existing tube wells/boreholes/handpumps_WASH_agency]]+WWWW[[#This Row],['#_Non-Cluster partner water tube-wells/boreholes/handpumps]])-WWWW[[#This Row],['#_Non-functional tube wells/boreholes/handpumps]]</f>
        <v>1</v>
      </c>
      <c r="CJ53" s="909">
        <f>WWWW[[#This Row],['#_Constructed/Existingwater storage tank with gravity fed reticulation system]]-WWWW[[#This Row],['#_Non-functional storage tank gravity fed reticulation system]]</f>
        <v>0</v>
      </c>
      <c r="CK53" s="909">
        <f>(WWWW[[#This Row],['#_Water_Liters_supplied_by_Water boating or water trucking]]/90)/15</f>
        <v>0</v>
      </c>
      <c r="CL53" s="909">
        <f>WWWW[[#This Row],['#_Water_Liters_from_Constructed/Existing water distribution system from river or natural spring]]/90/15</f>
        <v>0</v>
      </c>
      <c r="CM53" s="417">
        <f>IF(WWWW[[#This Row],['#_of water points in TLS/CFS]]*500&gt;WWWW[[#This Row],[Total PoP ]],WWWW[[#This Row],[Total PoP ]],WWWW[[#This Row],['#_of water points in TLS/CFS]]*500)</f>
        <v>0</v>
      </c>
      <c r="CN53" s="417">
        <f>IF(WWWW[[#This Row],['#_of water points in THF]]*500&gt;WWWW[[#This Row],[Total PoP ]],WWWW[[#This Row],[Total PoP ]],WWWW[[#This Row],['#_of water points in THF]]*500)</f>
        <v>0</v>
      </c>
      <c r="CO53" s="417"/>
      <c r="CP53"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3"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3" s="908">
        <f>IF(WWWW[[#This Row],[Location Type 1]]="Village",WWWW[[#This Row],[Access to safe drinking water for Village]],WWWW[[#This Row],[Access to safe drinking water for Camp]])</f>
        <v>1</v>
      </c>
      <c r="CS53" s="906">
        <f>WWWW[[#This Row],[%Equitable and continuous access to sufficient quantity of safe drinking water]]*WWWW[[#This Row],[Total PoP ]]</f>
        <v>253</v>
      </c>
      <c r="CT53" s="908">
        <f>IF((WWWW[[#This Row],['#_Constructed/Existing protected/fenced ponds]]*250)/WWWW[[#This Row],[Total PoP ]]&gt;1,1,(WWWW[[#This Row],['#_Constructed/Existing protected/fenced ponds]]*250)/WWWW[[#This Row],[Total PoP ]])</f>
        <v>0</v>
      </c>
      <c r="CU53" s="906">
        <f>WWWW[[#This Row],[% Access to unimproved water points]]*WWWW[[#This Row],[Total PoP ]]</f>
        <v>0</v>
      </c>
      <c r="CV53"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3"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253</v>
      </c>
      <c r="CX53" s="906">
        <f>WWWW[[#This Row],[HRP1]]/500</f>
        <v>0.50600000000000001</v>
      </c>
      <c r="CY53" s="911">
        <f>1-WWWW[[#This Row],[% Equitable and continuous access to sufficient quantity of domestic water]]</f>
        <v>0</v>
      </c>
      <c r="CZ53" s="906">
        <f>WWWW[[#This Row],[%equitable and continuous access to sufficient quantity of safe drinking and domestic water''s GAP]]*WWWW[[#This Row],[Total PoP ]]</f>
        <v>0</v>
      </c>
      <c r="DA53" s="909">
        <f>IF(WWWW[[#This Row],[Total required water points]]-WWWW[[#This Row],['#Water points coverage]]&lt;0,0,WWWW[[#This Row],[Total required water points]]-WWWW[[#This Row],['#Water points coverage]])</f>
        <v>0.49399999999999999</v>
      </c>
      <c r="DB53" s="909">
        <f>ROUND(IF(WWWW[[#This Row],[Total PoP ]]&lt;500,1,WWWW[[#This Row],[Total PoP ]]/500),0)</f>
        <v>1</v>
      </c>
      <c r="DC53" s="909">
        <f>(WWWW[[#This Row],['#_Constructed latrines_by_WASHAgencies]]+WWWW[[#This Row],['#_Non Cluster partner latrines]])-WWWW[[#This Row],['#_Non-functional latrines]]</f>
        <v>8</v>
      </c>
      <c r="DD53" s="615">
        <f>WWWW[[#This Row],[HRP2]]/WWWW[[#This Row],[Total PoP ]]</f>
        <v>0.63636363636363635</v>
      </c>
      <c r="DE53"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161</v>
      </c>
      <c r="DF53"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G53"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3" s="417">
        <f>IF(WWWW[[#This Row],['# of functional latrines in THF supported by WASH partners during the reporting period2]]="",0,WWWW[[#This Row],['# of functional latrines in THF supported by WASH partners during the reporting period2]]*50)</f>
        <v>0</v>
      </c>
      <c r="DI53" s="909">
        <f>ROUND(IF(WWWW[[#This Row],[Location Type 1]]="camp",WWWW[[#This Row],[Total PoP ]]/20,IF(WWWW[[#This Row],[Location Type 1]]="Temporary Location",WWWW[[#This Row],[Total PoP ]]/50,(WWWW[[#This Row],[Total PoP ]]/6))),0)</f>
        <v>13</v>
      </c>
      <c r="DJ53" s="909">
        <f>IF(WWWW[[#This Row],[Total required Latrines]]-(WWWW[[#This Row],['#_Constructed latrines_by_WASHAgencies]]+WWWW[[#This Row],['#_Non Cluster partner latrines]])&lt;0,0,WWWW[[#This Row],[Total required Latrines]]-(WWWW[[#This Row],['#_Constructed latrines_by_WASHAgencies]]+WWWW[[#This Row],['#_Non Cluster partner latrines]]))</f>
        <v>4</v>
      </c>
      <c r="DK53" s="911">
        <f>1-WWWW[[#This Row],[% people access to functioning Latrine]]</f>
        <v>0.36363636363636365</v>
      </c>
      <c r="DL53" s="910">
        <f>IF(OR(WWWW[[#This Row],['#_Non-functional latrines]]="",WWWW[[#This Row],['#_Non-functional latrines]]=0),0,WWWW[[#This Row],['#_Non-functional latrines]]/(WWWW[[#This Row],['#_Constructed latrines_by_WASHAgencies]]+WWWW[[#This Row],['#_Non Cluster partner latrines]]))</f>
        <v>0.1111111111111111</v>
      </c>
      <c r="DM53" s="906">
        <f>IF(500*(WWWW[[#This Row],['#_male hygiene promoters]]+WWWW[[#This Row],['#_female hygiene promoters]])&gt;WWWW[[#This Row],[Total PoP ]],WWWW[[#This Row],[Total PoP ]],500*(WWWW[[#This Row],['#_male hygiene promoters]]+WWWW[[#This Row],['#_female hygiene promoters]]))</f>
        <v>253</v>
      </c>
      <c r="DN53"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3"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3" s="909">
        <f>IF(WWWW[[#This Row],['# People with access to soap]]&gt;WWWW[[#This Row],['# People with access to Sanity Pads]],WWWW[[#This Row],['# People with access to soap]],WWWW[[#This Row],['# People with access to Sanity Pads]])</f>
        <v>0</v>
      </c>
      <c r="DQ53" s="909">
        <f>IF(WWWW[[#This Row],['# people reached by regular dedicated hygiene promotion_5]]&gt;WWWW[[#This Row],['# People received regular supply of hygiene items_6]],WWWW[[#This Row],['# people reached by regular dedicated hygiene promotion_5]],WWWW[[#This Row],['# People received regular supply of hygiene items_6]])</f>
        <v>253</v>
      </c>
      <c r="DR53" s="911">
        <f>IF(WWWW[[#This Row],[HRP3]]/WWWW[[#This Row],[Total PoP ]]&gt;1,1,WWWW[[#This Row],[HRP3]]/WWWW[[#This Row],[Total PoP ]])</f>
        <v>1</v>
      </c>
      <c r="DS53" s="910">
        <f>1-WWWW[[#This Row],[Hygiene Coverage%]]</f>
        <v>0</v>
      </c>
      <c r="DT53" s="908">
        <f>WWWW[[#This Row],['# people reached by regular dedicated hygiene promotion_5]]/WWWW[[#This Row],[Total PoP ]]</f>
        <v>1</v>
      </c>
      <c r="DU53"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3"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3" s="909">
        <f>WWWW[[#This Row],['#_Constructed/Existing hand washing stations]]-WWWW[[#This Row],['#_Non-Functional_hand_washing_stations]]</f>
        <v>8</v>
      </c>
      <c r="DX53" s="906">
        <f>IF(WWWW[[#This Row],['# Functional hand washing stations during reporting period]]*20&gt;WWWW[[#This Row],[Total HH]],WWWW[[#This Row],[Total HH]],WWWW[[#This Row],['# Functional hand washing stations during reporting period]]*20)</f>
        <v>55</v>
      </c>
      <c r="DY53" s="906">
        <f>IF(WWWW[[#This Row],[Is sufficient soap available for TLS? (Yes/No)]]="yes",WWWW[[#This Row],['#_Constructed/Existing hand washing stations at TLS/CFS/THF]],0)</f>
        <v>0</v>
      </c>
      <c r="DZ53" s="421">
        <f>IF(WWWW[[#This Row],['# Functional hand washing stations during reporting period]]*100&gt;WWWW[[#This Row],[Total PoP ]],WWWW[[#This Row],[Total PoP ]],WWWW[[#This Row],['# Functional hand washing stations during reporting period]]*100)</f>
        <v>253</v>
      </c>
      <c r="EA53" s="421" t="str">
        <f>IF(OR(WWWW[[#This Row],['#_students at TLS_CFS]]="",WWWW[[#This Row],['#_students at TLS_CFS]]=0),"No","Yes")</f>
        <v>No</v>
      </c>
      <c r="EB53" s="615">
        <f>IF(WWWW[[#This Row],['#_of_affected_people_surveyed_who_report_feeling_informed_about_the_different_WASH_services_available_to_them]]="","",WWWW[[#This Row],['#_of_affected_people_surveyed_who_report_feeling_informed_about_the_different_WASH_services_available_to_them]]/WWWW[[#This Row],[Total PoP ]])</f>
        <v>0.31620553359683795</v>
      </c>
      <c r="EC53" s="566">
        <f>WWWW[[#This Row],[%_of_affected_people_surveyed_who_report_feeling_satistfied_with_the_latrine_design_and_sanitation_service]]*WWWW[[#This Row],[Total PoP ]]</f>
        <v>250.47</v>
      </c>
      <c r="ED53" s="566">
        <f>WWWW[[#This Row],[%_of_affected_people_surveyed_who_report_feeling_satistfied_with_the_water_point_design_and_water_service]]*WWWW[[#This Row],[Total PoP ]]</f>
        <v>253</v>
      </c>
      <c r="EE53" s="566">
        <f>WWWW[[#This Row],[%_of_complaints_received_that_result_in_timely_corrective_action_and_feedback_to_the_community]]*WWWW[[#This Row],[Total PoP ]]</f>
        <v>250.47</v>
      </c>
      <c r="EF5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253</v>
      </c>
      <c r="EG5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3" s="902" t="str">
        <f>VLOOKUP(WWWW[[#This Row],[Site Name]],SiteDB6[[Site Name]:[CCCM Management]],6,FALSE)</f>
        <v>Yes</v>
      </c>
      <c r="EJ53" s="902" t="str">
        <f>VLOOKUP(WWWW[[#This Row],[Site Name]],SiteDB6[[Site Name]:[CCCM Focal Agency]],7,FALSE)</f>
        <v>KBC-MYT</v>
      </c>
      <c r="EK53" s="902" t="str">
        <f>VLOOKUP(WWWW[[#This Row],[Site Name]],SiteDB6[[Site Name]:[Location Type 1]],9,FALSE)</f>
        <v>Camp</v>
      </c>
      <c r="EL53" s="902" t="str">
        <f>VLOOKUP(WWWW[[#This Row],[Site Name]],SiteDB6[[Site Name]:[Type of Accommodation]],10,FALSE)</f>
        <v>Camp</v>
      </c>
      <c r="EM53" s="902" t="str">
        <f>VLOOKUP(WWWW[[#This Row],[Site Name]],SiteDB6[[Site Name]:[Ethnic or GCA/NGCA]],11,FALSE)</f>
        <v>GCA</v>
      </c>
      <c r="EN53" s="902">
        <f>VLOOKUP(WWWW[[#This Row],[Site Name]],SiteDB6[[Site Name]:[Lat]],12,FALSE)</f>
        <v>25.350989999999999</v>
      </c>
      <c r="EO53" s="902">
        <f>VLOOKUP(WWWW[[#This Row],[Site Name]],SiteDB6[[Site Name]:[Long]],13,FALSE)</f>
        <v>97.442809999999994</v>
      </c>
      <c r="EP53" s="902" t="str">
        <f>VLOOKUP(WWWW[[#This Row],[Site Name]],SiteDB6[[Site Name]:[Pcode]],3,FALSE)</f>
        <v>MMR001CMP269</v>
      </c>
      <c r="EQ53" s="907" t="str">
        <f t="shared" si="0"/>
        <v>Covered</v>
      </c>
      <c r="ER53" s="907" t="s">
        <v>3126</v>
      </c>
      <c r="ES53" s="907" t="s">
        <v>3126</v>
      </c>
      <c r="ET53" s="902">
        <f>VLOOKUP(WWWW[[#This Row],[Site Name]],SiteDB6[[Site Name]:[Pop
(Kachin/Shan-CCCM as of May 2023)]],16,FALSE)</f>
        <v>81</v>
      </c>
      <c r="EU53" s="902">
        <f>VLOOKUP(WWWW[[#This Row],[Site Name]],SiteDB6[[Site Name]:[Pop
(Kachin/Shan-CCCM as of May 2023)]],17,FALSE)</f>
        <v>387</v>
      </c>
    </row>
    <row r="54" spans="1:151" hidden="1">
      <c r="A54" s="900" t="s">
        <v>2961</v>
      </c>
      <c r="B54" s="900" t="s">
        <v>3133</v>
      </c>
      <c r="C54" s="900" t="s">
        <v>3133</v>
      </c>
      <c r="D54" s="901" t="s">
        <v>3136</v>
      </c>
      <c r="E54" s="901" t="s">
        <v>37</v>
      </c>
      <c r="F54" s="901" t="s">
        <v>205</v>
      </c>
      <c r="G54" s="902" t="s">
        <v>3064</v>
      </c>
      <c r="H54" s="901" t="s">
        <v>206</v>
      </c>
      <c r="I54" s="903">
        <v>110</v>
      </c>
      <c r="J54" s="903">
        <v>502</v>
      </c>
      <c r="K54" s="904" t="s">
        <v>3134</v>
      </c>
      <c r="L54" s="905" t="s">
        <v>3135</v>
      </c>
      <c r="M54" s="903"/>
      <c r="N54" s="903"/>
      <c r="O54" s="903"/>
      <c r="P54" s="903"/>
      <c r="Q54" s="906" t="s">
        <v>41</v>
      </c>
      <c r="R54" s="903">
        <v>2</v>
      </c>
      <c r="S54" s="903">
        <v>3</v>
      </c>
      <c r="T54" s="441">
        <v>3</v>
      </c>
      <c r="U54" s="903"/>
      <c r="V54" s="903"/>
      <c r="W54" s="903">
        <v>2</v>
      </c>
      <c r="X54" s="903"/>
      <c r="Y54" s="903"/>
      <c r="Z54" s="903"/>
      <c r="AA54" s="903"/>
      <c r="AB54" s="903"/>
      <c r="AC54" s="903"/>
      <c r="AD54" s="903"/>
      <c r="AE54" s="903"/>
      <c r="AF54" s="903"/>
      <c r="AG54" s="903">
        <v>1</v>
      </c>
      <c r="AH54" s="903"/>
      <c r="AI54" s="903"/>
      <c r="AJ54" s="903"/>
      <c r="AK54" s="903"/>
      <c r="AL54" s="903"/>
      <c r="AM54" s="903"/>
      <c r="AN54" s="903"/>
      <c r="AO54" s="441"/>
      <c r="AP54" s="907"/>
      <c r="AQ54" s="903">
        <v>31</v>
      </c>
      <c r="AR54" s="903"/>
      <c r="AS54" s="908"/>
      <c r="AT54" s="903"/>
      <c r="AU54" s="903"/>
      <c r="AV54" s="903"/>
      <c r="AW54" s="903"/>
      <c r="AX54" s="903"/>
      <c r="AY54" s="902" t="s">
        <v>41</v>
      </c>
      <c r="AZ54" s="907" t="s">
        <v>137</v>
      </c>
      <c r="BA54" s="903"/>
      <c r="BB54" s="903"/>
      <c r="BC54" s="903"/>
      <c r="BD54" s="441"/>
      <c r="BE54" s="441"/>
      <c r="BF54" s="902"/>
      <c r="BG54" s="903">
        <v>11</v>
      </c>
      <c r="BH54" s="903"/>
      <c r="BI54" s="903"/>
      <c r="BJ54" s="903">
        <v>3</v>
      </c>
      <c r="BK54" s="903"/>
      <c r="BL54" s="903"/>
      <c r="BM54" s="903"/>
      <c r="BN54" s="903"/>
      <c r="BO54" s="903"/>
      <c r="BP54" s="902"/>
      <c r="BQ54" s="909"/>
      <c r="BR54" s="908"/>
      <c r="BS54" s="902"/>
      <c r="BT54" s="416"/>
      <c r="BU54" s="416"/>
      <c r="BV54" s="418"/>
      <c r="BW54" s="416"/>
      <c r="BX54" s="441"/>
      <c r="BY54" s="441"/>
      <c r="BZ54" s="441"/>
      <c r="CA54" s="441"/>
      <c r="CB54" s="441"/>
      <c r="CC54" s="693"/>
      <c r="CD54" s="441"/>
      <c r="CE54" s="910" t="str">
        <f>IFERROR(WWWW[[#This Row],['#_Water sources passed]]/WWWW[[#This Row],['#_Water sources tested for fecal coliform ]],"no test")</f>
        <v>no test</v>
      </c>
      <c r="CF54" s="908" t="str">
        <f>IFERROR(WWWW[[#This Row],['#_Household passed]]/WWWW[[#This Row],['#_Household water samples tested for fecal coliform]],"no test")</f>
        <v>no test</v>
      </c>
      <c r="CG54" s="909" t="str">
        <f>IF(AND(WWWW[[#This Row],[% of water sources passed]]="no test",WWWW[[#This Row],[% Household passed]]="no test"),"No Test","Tested")</f>
        <v>No Test</v>
      </c>
      <c r="CH54" s="909">
        <f>WWWW[[#This Row],['#_Constructed/existing protected hand dug well]]-WWWW[[#This Row],['#_Non-functional protected hand dug well]]</f>
        <v>3</v>
      </c>
      <c r="CI54" s="909">
        <f>(WWWW[[#This Row],['#_Constructed/Existing tube wells/boreholes/handpumps_WASH_agency]]+WWWW[[#This Row],['#_Non-Cluster partner water tube-wells/boreholes/handpumps]])-WWWW[[#This Row],['#_Non-functional tube wells/boreholes/handpumps]]</f>
        <v>2</v>
      </c>
      <c r="CJ54" s="909">
        <f>WWWW[[#This Row],['#_Constructed/Existingwater storage tank with gravity fed reticulation system]]-WWWW[[#This Row],['#_Non-functional storage tank gravity fed reticulation system]]</f>
        <v>0</v>
      </c>
      <c r="CK54" s="909">
        <f>(WWWW[[#This Row],['#_Water_Liters_supplied_by_Water boating or water trucking]]/90)/15</f>
        <v>0</v>
      </c>
      <c r="CL54" s="909">
        <f>WWWW[[#This Row],['#_Water_Liters_from_Constructed/Existing water distribution system from river or natural spring]]/90/15</f>
        <v>0</v>
      </c>
      <c r="CM54" s="417">
        <f>IF(WWWW[[#This Row],['#_of water points in TLS/CFS]]*500&gt;WWWW[[#This Row],[Total PoP ]],WWWW[[#This Row],[Total PoP ]],WWWW[[#This Row],['#_of water points in TLS/CFS]]*500)</f>
        <v>0</v>
      </c>
      <c r="CN54" s="417">
        <f>IF(WWWW[[#This Row],['#_of water points in THF]]*500&gt;WWWW[[#This Row],[Total PoP ]],WWWW[[#This Row],[Total PoP ]],WWWW[[#This Row],['#_of water points in THF]]*500)</f>
        <v>0</v>
      </c>
      <c r="CO54" s="417"/>
      <c r="CP54"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4"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4" s="908">
        <f>IF(WWWW[[#This Row],[Location Type 1]]="Village",WWWW[[#This Row],[Access to safe drinking water for Village]],WWWW[[#This Row],[Access to safe drinking water for Camp]])</f>
        <v>1</v>
      </c>
      <c r="CS54" s="906">
        <f>WWWW[[#This Row],[%Equitable and continuous access to sufficient quantity of safe drinking water]]*WWWW[[#This Row],[Total PoP ]]</f>
        <v>502</v>
      </c>
      <c r="CT54" s="908">
        <f>IF((WWWW[[#This Row],['#_Constructed/Existing protected/fenced ponds]]*250)/WWWW[[#This Row],[Total PoP ]]&gt;1,1,(WWWW[[#This Row],['#_Constructed/Existing protected/fenced ponds]]*250)/WWWW[[#This Row],[Total PoP ]])</f>
        <v>0</v>
      </c>
      <c r="CU54" s="906">
        <f>WWWW[[#This Row],[% Access to unimproved water points]]*WWWW[[#This Row],[Total PoP ]]</f>
        <v>0</v>
      </c>
      <c r="CV54"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4"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502</v>
      </c>
      <c r="CX54" s="906">
        <f>WWWW[[#This Row],[HRP1]]/500</f>
        <v>1.004</v>
      </c>
      <c r="CY54" s="911">
        <f>1-WWWW[[#This Row],[% Equitable and continuous access to sufficient quantity of domestic water]]</f>
        <v>0</v>
      </c>
      <c r="CZ54" s="906">
        <f>WWWW[[#This Row],[%equitable and continuous access to sufficient quantity of safe drinking and domestic water''s GAP]]*WWWW[[#This Row],[Total PoP ]]</f>
        <v>0</v>
      </c>
      <c r="DA54" s="909">
        <f>IF(WWWW[[#This Row],[Total required water points]]-WWWW[[#This Row],['#Water points coverage]]&lt;0,0,WWWW[[#This Row],[Total required water points]]-WWWW[[#This Row],['#Water points coverage]])</f>
        <v>0</v>
      </c>
      <c r="DB54" s="909">
        <f>ROUND(IF(WWWW[[#This Row],[Total PoP ]]&lt;500,1,WWWW[[#This Row],[Total PoP ]]/500),0)</f>
        <v>1</v>
      </c>
      <c r="DC54" s="909">
        <f>(WWWW[[#This Row],['#_Constructed latrines_by_WASHAgencies]]+WWWW[[#This Row],['#_Non Cluster partner latrines]])-WWWW[[#This Row],['#_Non-functional latrines]]</f>
        <v>31</v>
      </c>
      <c r="DD54" s="615">
        <f>WWWW[[#This Row],[HRP2]]/WWWW[[#This Row],[Total PoP ]]</f>
        <v>1</v>
      </c>
      <c r="DE54"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502</v>
      </c>
      <c r="DF54"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4"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4" s="417">
        <f>IF(WWWW[[#This Row],['# of functional latrines in THF supported by WASH partners during the reporting period2]]="",0,WWWW[[#This Row],['# of functional latrines in THF supported by WASH partners during the reporting period2]]*50)</f>
        <v>0</v>
      </c>
      <c r="DI54" s="909">
        <f>ROUND(IF(WWWW[[#This Row],[Location Type 1]]="camp",WWWW[[#This Row],[Total PoP ]]/20,IF(WWWW[[#This Row],[Location Type 1]]="Temporary Location",WWWW[[#This Row],[Total PoP ]]/50,(WWWW[[#This Row],[Total PoP ]]/6))),0)</f>
        <v>25</v>
      </c>
      <c r="DJ54" s="909">
        <f>IF(WWWW[[#This Row],[Total required Latrines]]-(WWWW[[#This Row],['#_Constructed latrines_by_WASHAgencies]]+WWWW[[#This Row],['#_Non Cluster partner latrines]])&lt;0,0,WWWW[[#This Row],[Total required Latrines]]-(WWWW[[#This Row],['#_Constructed latrines_by_WASHAgencies]]+WWWW[[#This Row],['#_Non Cluster partner latrines]]))</f>
        <v>0</v>
      </c>
      <c r="DK54" s="911">
        <f>1-WWWW[[#This Row],[% people access to functioning Latrine]]</f>
        <v>0</v>
      </c>
      <c r="DL54" s="910">
        <f>IF(OR(WWWW[[#This Row],['#_Non-functional latrines]]="",WWWW[[#This Row],['#_Non-functional latrines]]=0),0,WWWW[[#This Row],['#_Non-functional latrines]]/(WWWW[[#This Row],['#_Constructed latrines_by_WASHAgencies]]+WWWW[[#This Row],['#_Non Cluster partner latrines]]))</f>
        <v>0</v>
      </c>
      <c r="DM54" s="906">
        <f>IF(500*(WWWW[[#This Row],['#_male hygiene promoters]]+WWWW[[#This Row],['#_female hygiene promoters]])&gt;WWWW[[#This Row],[Total PoP ]],WWWW[[#This Row],[Total PoP ]],500*(WWWW[[#This Row],['#_male hygiene promoters]]+WWWW[[#This Row],['#_female hygiene promoters]]))</f>
        <v>0</v>
      </c>
      <c r="DN54"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4"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4" s="909">
        <f>IF(WWWW[[#This Row],['# People with access to soap]]&gt;WWWW[[#This Row],['# People with access to Sanity Pads]],WWWW[[#This Row],['# People with access to soap]],WWWW[[#This Row],['# People with access to Sanity Pads]])</f>
        <v>0</v>
      </c>
      <c r="DQ54"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4" s="911">
        <f>IF(WWWW[[#This Row],[HRP3]]/WWWW[[#This Row],[Total PoP ]]&gt;1,1,WWWW[[#This Row],[HRP3]]/WWWW[[#This Row],[Total PoP ]])</f>
        <v>0</v>
      </c>
      <c r="DS54" s="910">
        <f>1-WWWW[[#This Row],[Hygiene Coverage%]]</f>
        <v>1</v>
      </c>
      <c r="DT54" s="908">
        <f>WWWW[[#This Row],['# people reached by regular dedicated hygiene promotion_5]]/WWWW[[#This Row],[Total PoP ]]</f>
        <v>0</v>
      </c>
      <c r="DU54"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4"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4" s="909">
        <f>WWWW[[#This Row],['#_Constructed/Existing hand washing stations]]-WWWW[[#This Row],['#_Non-Functional_hand_washing_stations]]</f>
        <v>11</v>
      </c>
      <c r="DX54" s="906">
        <f>IF(WWWW[[#This Row],['# Functional hand washing stations during reporting period]]*20&gt;WWWW[[#This Row],[Total HH]],WWWW[[#This Row],[Total HH]],WWWW[[#This Row],['# Functional hand washing stations during reporting period]]*20)</f>
        <v>110</v>
      </c>
      <c r="DY54" s="906">
        <f>IF(WWWW[[#This Row],[Is sufficient soap available for TLS? (Yes/No)]]="yes",WWWW[[#This Row],['#_Constructed/Existing hand washing stations at TLS/CFS/THF]],0)</f>
        <v>0</v>
      </c>
      <c r="DZ54" s="421">
        <f>IF(WWWW[[#This Row],['# Functional hand washing stations during reporting period]]*100&gt;WWWW[[#This Row],[Total PoP ]],WWWW[[#This Row],[Total PoP ]],WWWW[[#This Row],['# Functional hand washing stations during reporting period]]*100)</f>
        <v>502</v>
      </c>
      <c r="EA54" s="421" t="str">
        <f>IF(OR(WWWW[[#This Row],['#_students at TLS_CFS]]="",WWWW[[#This Row],['#_students at TLS_CFS]]=0),"No","Yes")</f>
        <v>No</v>
      </c>
      <c r="EB5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4" s="566">
        <f>WWWW[[#This Row],[%_of_affected_people_surveyed_who_report_feeling_satistfied_with_the_latrine_design_and_sanitation_service]]*WWWW[[#This Row],[Total PoP ]]</f>
        <v>0</v>
      </c>
      <c r="ED54" s="566">
        <f>WWWW[[#This Row],[%_of_affected_people_surveyed_who_report_feeling_satistfied_with_the_water_point_design_and_water_service]]*WWWW[[#This Row],[Total PoP ]]</f>
        <v>0</v>
      </c>
      <c r="EE54" s="566">
        <f>WWWW[[#This Row],[%_of_complaints_received_that_result_in_timely_corrective_action_and_feedback_to_the_community]]*WWWW[[#This Row],[Total PoP ]]</f>
        <v>0</v>
      </c>
      <c r="EF5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4" s="902">
        <f>VLOOKUP(WWWW[[#This Row],[Site Name]],SiteDB6[[Site Name]:[CCCM Management]],6,FALSE)</f>
        <v>0</v>
      </c>
      <c r="EJ54" s="902">
        <f>VLOOKUP(WWWW[[#This Row],[Site Name]],SiteDB6[[Site Name]:[CCCM Focal Agency]],7,FALSE)</f>
        <v>0</v>
      </c>
      <c r="EK54" s="902" t="str">
        <f>VLOOKUP(WWWW[[#This Row],[Site Name]],SiteDB6[[Site Name]:[Location Type 1]],9,FALSE)</f>
        <v>Camp</v>
      </c>
      <c r="EL54" s="902" t="str">
        <f>VLOOKUP(WWWW[[#This Row],[Site Name]],SiteDB6[[Site Name]:[Type of Accommodation]],10,FALSE)</f>
        <v>Camp</v>
      </c>
      <c r="EM54" s="902" t="str">
        <f>VLOOKUP(WWWW[[#This Row],[Site Name]],SiteDB6[[Site Name]:[Ethnic or GCA/NGCA]],11,FALSE)</f>
        <v>GCA</v>
      </c>
      <c r="EN54" s="902">
        <f>VLOOKUP(WWWW[[#This Row],[Site Name]],SiteDB6[[Site Name]:[Lat]],12,FALSE)</f>
        <v>0</v>
      </c>
      <c r="EO54" s="902">
        <f>VLOOKUP(WWWW[[#This Row],[Site Name]],SiteDB6[[Site Name]:[Long]],13,FALSE)</f>
        <v>0</v>
      </c>
      <c r="EP54" s="902">
        <f>VLOOKUP(WWWW[[#This Row],[Site Name]],SiteDB6[[Site Name]:[Pcode]],3,FALSE)</f>
        <v>0</v>
      </c>
      <c r="EQ54" s="907" t="str">
        <f t="shared" si="0"/>
        <v>Covered</v>
      </c>
      <c r="ER54" s="907" t="s">
        <v>3126</v>
      </c>
      <c r="ES54" s="907" t="s">
        <v>3126</v>
      </c>
      <c r="ET54" s="902">
        <f>VLOOKUP(WWWW[[#This Row],[Site Name]],SiteDB6[[Site Name]:[Pop
(Kachin/Shan-CCCM as of May 2023)]],16,FALSE)</f>
        <v>0</v>
      </c>
      <c r="EU54" s="902">
        <f>VLOOKUP(WWWW[[#This Row],[Site Name]],SiteDB6[[Site Name]:[Pop
(Kachin/Shan-CCCM as of May 2023)]],17,FALSE)</f>
        <v>0</v>
      </c>
    </row>
    <row r="55" spans="1:151" hidden="1">
      <c r="A55" s="900" t="s">
        <v>2961</v>
      </c>
      <c r="B55" s="900" t="s">
        <v>3133</v>
      </c>
      <c r="C55" s="900" t="s">
        <v>3133</v>
      </c>
      <c r="D55" s="901" t="s">
        <v>3136</v>
      </c>
      <c r="E55" s="901" t="s">
        <v>37</v>
      </c>
      <c r="F55" s="901" t="s">
        <v>205</v>
      </c>
      <c r="G55" s="902" t="s">
        <v>3064</v>
      </c>
      <c r="H55" s="901" t="s">
        <v>207</v>
      </c>
      <c r="I55" s="903">
        <v>10</v>
      </c>
      <c r="J55" s="903">
        <v>57</v>
      </c>
      <c r="K55" s="904" t="s">
        <v>3134</v>
      </c>
      <c r="L55" s="905" t="s">
        <v>3135</v>
      </c>
      <c r="M55" s="903"/>
      <c r="N55" s="903"/>
      <c r="O55" s="903"/>
      <c r="P55" s="903"/>
      <c r="Q55" s="906" t="s">
        <v>41</v>
      </c>
      <c r="R55" s="903">
        <v>1</v>
      </c>
      <c r="S55" s="903">
        <v>5</v>
      </c>
      <c r="T55" s="441">
        <v>1</v>
      </c>
      <c r="U55" s="903"/>
      <c r="V55" s="903"/>
      <c r="W55" s="903"/>
      <c r="X55" s="903"/>
      <c r="Y55" s="903"/>
      <c r="Z55" s="903"/>
      <c r="AA55" s="903"/>
      <c r="AB55" s="903"/>
      <c r="AC55" s="903"/>
      <c r="AD55" s="903"/>
      <c r="AE55" s="903"/>
      <c r="AF55" s="903"/>
      <c r="AG55" s="903">
        <v>1</v>
      </c>
      <c r="AH55" s="903"/>
      <c r="AI55" s="903"/>
      <c r="AJ55" s="903"/>
      <c r="AK55" s="903"/>
      <c r="AL55" s="903"/>
      <c r="AM55" s="903"/>
      <c r="AN55" s="903"/>
      <c r="AO55" s="441"/>
      <c r="AP55" s="907"/>
      <c r="AQ55" s="903">
        <v>8</v>
      </c>
      <c r="AR55" s="903"/>
      <c r="AS55" s="908"/>
      <c r="AT55" s="903"/>
      <c r="AU55" s="903"/>
      <c r="AV55" s="903"/>
      <c r="AW55" s="903"/>
      <c r="AX55" s="903"/>
      <c r="AY55" s="902" t="s">
        <v>41</v>
      </c>
      <c r="AZ55" s="907" t="s">
        <v>137</v>
      </c>
      <c r="BA55" s="903"/>
      <c r="BB55" s="903"/>
      <c r="BC55" s="903"/>
      <c r="BD55" s="441"/>
      <c r="BE55" s="441"/>
      <c r="BF55" s="902"/>
      <c r="BG55" s="903"/>
      <c r="BH55" s="903"/>
      <c r="BI55" s="903"/>
      <c r="BJ55" s="903">
        <v>2</v>
      </c>
      <c r="BK55" s="903"/>
      <c r="BL55" s="903"/>
      <c r="BM55" s="903"/>
      <c r="BN55" s="903"/>
      <c r="BO55" s="903"/>
      <c r="BP55" s="902"/>
      <c r="BQ55" s="909"/>
      <c r="BR55" s="908"/>
      <c r="BS55" s="902"/>
      <c r="BT55" s="416"/>
      <c r="BU55" s="416"/>
      <c r="BV55" s="418"/>
      <c r="BW55" s="416"/>
      <c r="BX55" s="441"/>
      <c r="BY55" s="441"/>
      <c r="BZ55" s="441"/>
      <c r="CA55" s="441"/>
      <c r="CB55" s="441"/>
      <c r="CC55" s="693"/>
      <c r="CD55" s="441"/>
      <c r="CE55" s="910" t="str">
        <f>IFERROR(WWWW[[#This Row],['#_Water sources passed]]/WWWW[[#This Row],['#_Water sources tested for fecal coliform ]],"no test")</f>
        <v>no test</v>
      </c>
      <c r="CF55" s="908" t="str">
        <f>IFERROR(WWWW[[#This Row],['#_Household passed]]/WWWW[[#This Row],['#_Household water samples tested for fecal coliform]],"no test")</f>
        <v>no test</v>
      </c>
      <c r="CG55" s="909" t="str">
        <f>IF(AND(WWWW[[#This Row],[% of water sources passed]]="no test",WWWW[[#This Row],[% Household passed]]="no test"),"No Test","Tested")</f>
        <v>No Test</v>
      </c>
      <c r="CH55" s="909">
        <f>WWWW[[#This Row],['#_Constructed/existing protected hand dug well]]-WWWW[[#This Row],['#_Non-functional protected hand dug well]]</f>
        <v>1</v>
      </c>
      <c r="CI55" s="909">
        <f>(WWWW[[#This Row],['#_Constructed/Existing tube wells/boreholes/handpumps_WASH_agency]]+WWWW[[#This Row],['#_Non-Cluster partner water tube-wells/boreholes/handpumps]])-WWWW[[#This Row],['#_Non-functional tube wells/boreholes/handpumps]]</f>
        <v>0</v>
      </c>
      <c r="CJ55" s="909">
        <f>WWWW[[#This Row],['#_Constructed/Existingwater storage tank with gravity fed reticulation system]]-WWWW[[#This Row],['#_Non-functional storage tank gravity fed reticulation system]]</f>
        <v>0</v>
      </c>
      <c r="CK55" s="909">
        <f>(WWWW[[#This Row],['#_Water_Liters_supplied_by_Water boating or water trucking]]/90)/15</f>
        <v>0</v>
      </c>
      <c r="CL55" s="909">
        <f>WWWW[[#This Row],['#_Water_Liters_from_Constructed/Existing water distribution system from river or natural spring]]/90/15</f>
        <v>0</v>
      </c>
      <c r="CM55" s="417">
        <f>IF(WWWW[[#This Row],['#_of water points in TLS/CFS]]*500&gt;WWWW[[#This Row],[Total PoP ]],WWWW[[#This Row],[Total PoP ]],WWWW[[#This Row],['#_of water points in TLS/CFS]]*500)</f>
        <v>0</v>
      </c>
      <c r="CN55" s="417">
        <f>IF(WWWW[[#This Row],['#_of water points in THF]]*500&gt;WWWW[[#This Row],[Total PoP ]],WWWW[[#This Row],[Total PoP ]],WWWW[[#This Row],['#_of water points in THF]]*500)</f>
        <v>0</v>
      </c>
      <c r="CO55" s="417"/>
      <c r="CP55"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5"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5" s="908">
        <f>IF(WWWW[[#This Row],[Location Type 1]]="Village",WWWW[[#This Row],[Access to safe drinking water for Village]],WWWW[[#This Row],[Access to safe drinking water for Camp]])</f>
        <v>1</v>
      </c>
      <c r="CS55" s="906">
        <f>WWWW[[#This Row],[%Equitable and continuous access to sufficient quantity of safe drinking water]]*WWWW[[#This Row],[Total PoP ]]</f>
        <v>57</v>
      </c>
      <c r="CT55" s="908">
        <f>IF((WWWW[[#This Row],['#_Constructed/Existing protected/fenced ponds]]*250)/WWWW[[#This Row],[Total PoP ]]&gt;1,1,(WWWW[[#This Row],['#_Constructed/Existing protected/fenced ponds]]*250)/WWWW[[#This Row],[Total PoP ]])</f>
        <v>0</v>
      </c>
      <c r="CU55" s="906">
        <f>WWWW[[#This Row],[% Access to unimproved water points]]*WWWW[[#This Row],[Total PoP ]]</f>
        <v>0</v>
      </c>
      <c r="CV55"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5"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57</v>
      </c>
      <c r="CX55" s="906">
        <f>WWWW[[#This Row],[HRP1]]/500</f>
        <v>0.114</v>
      </c>
      <c r="CY55" s="911">
        <f>1-WWWW[[#This Row],[% Equitable and continuous access to sufficient quantity of domestic water]]</f>
        <v>0</v>
      </c>
      <c r="CZ55" s="906">
        <f>WWWW[[#This Row],[%equitable and continuous access to sufficient quantity of safe drinking and domestic water''s GAP]]*WWWW[[#This Row],[Total PoP ]]</f>
        <v>0</v>
      </c>
      <c r="DA55" s="909">
        <f>IF(WWWW[[#This Row],[Total required water points]]-WWWW[[#This Row],['#Water points coverage]]&lt;0,0,WWWW[[#This Row],[Total required water points]]-WWWW[[#This Row],['#Water points coverage]])</f>
        <v>0.88600000000000001</v>
      </c>
      <c r="DB55" s="909">
        <f>ROUND(IF(WWWW[[#This Row],[Total PoP ]]&lt;500,1,WWWW[[#This Row],[Total PoP ]]/500),0)</f>
        <v>1</v>
      </c>
      <c r="DC55" s="909">
        <f>(WWWW[[#This Row],['#_Constructed latrines_by_WASHAgencies]]+WWWW[[#This Row],['#_Non Cluster partner latrines]])-WWWW[[#This Row],['#_Non-functional latrines]]</f>
        <v>8</v>
      </c>
      <c r="DD55" s="615">
        <f>WWWW[[#This Row],[HRP2]]/WWWW[[#This Row],[Total PoP ]]</f>
        <v>1</v>
      </c>
      <c r="DE55"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57</v>
      </c>
      <c r="DF55"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5"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5" s="417">
        <f>IF(WWWW[[#This Row],['# of functional latrines in THF supported by WASH partners during the reporting period2]]="",0,WWWW[[#This Row],['# of functional latrines in THF supported by WASH partners during the reporting period2]]*50)</f>
        <v>0</v>
      </c>
      <c r="DI55" s="909">
        <f>ROUND(IF(WWWW[[#This Row],[Location Type 1]]="camp",WWWW[[#This Row],[Total PoP ]]/20,IF(WWWW[[#This Row],[Location Type 1]]="Temporary Location",WWWW[[#This Row],[Total PoP ]]/50,(WWWW[[#This Row],[Total PoP ]]/6))),0)</f>
        <v>3</v>
      </c>
      <c r="DJ55" s="909">
        <f>IF(WWWW[[#This Row],[Total required Latrines]]-(WWWW[[#This Row],['#_Constructed latrines_by_WASHAgencies]]+WWWW[[#This Row],['#_Non Cluster partner latrines]])&lt;0,0,WWWW[[#This Row],[Total required Latrines]]-(WWWW[[#This Row],['#_Constructed latrines_by_WASHAgencies]]+WWWW[[#This Row],['#_Non Cluster partner latrines]]))</f>
        <v>0</v>
      </c>
      <c r="DK55" s="911">
        <f>1-WWWW[[#This Row],[% people access to functioning Latrine]]</f>
        <v>0</v>
      </c>
      <c r="DL55" s="910">
        <f>IF(OR(WWWW[[#This Row],['#_Non-functional latrines]]="",WWWW[[#This Row],['#_Non-functional latrines]]=0),0,WWWW[[#This Row],['#_Non-functional latrines]]/(WWWW[[#This Row],['#_Constructed latrines_by_WASHAgencies]]+WWWW[[#This Row],['#_Non Cluster partner latrines]]))</f>
        <v>0</v>
      </c>
      <c r="DM55" s="906">
        <f>IF(500*(WWWW[[#This Row],['#_male hygiene promoters]]+WWWW[[#This Row],['#_female hygiene promoters]])&gt;WWWW[[#This Row],[Total PoP ]],WWWW[[#This Row],[Total PoP ]],500*(WWWW[[#This Row],['#_male hygiene promoters]]+WWWW[[#This Row],['#_female hygiene promoters]]))</f>
        <v>0</v>
      </c>
      <c r="DN55"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5"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5" s="909">
        <f>IF(WWWW[[#This Row],['# People with access to soap]]&gt;WWWW[[#This Row],['# People with access to Sanity Pads]],WWWW[[#This Row],['# People with access to soap]],WWWW[[#This Row],['# People with access to Sanity Pads]])</f>
        <v>0</v>
      </c>
      <c r="DQ55"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5" s="911">
        <f>IF(WWWW[[#This Row],[HRP3]]/WWWW[[#This Row],[Total PoP ]]&gt;1,1,WWWW[[#This Row],[HRP3]]/WWWW[[#This Row],[Total PoP ]])</f>
        <v>0</v>
      </c>
      <c r="DS55" s="910">
        <f>1-WWWW[[#This Row],[Hygiene Coverage%]]</f>
        <v>1</v>
      </c>
      <c r="DT55" s="908">
        <f>WWWW[[#This Row],['# people reached by regular dedicated hygiene promotion_5]]/WWWW[[#This Row],[Total PoP ]]</f>
        <v>0</v>
      </c>
      <c r="DU55"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5"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5" s="909">
        <f>WWWW[[#This Row],['#_Constructed/Existing hand washing stations]]-WWWW[[#This Row],['#_Non-Functional_hand_washing_stations]]</f>
        <v>0</v>
      </c>
      <c r="DX55" s="906">
        <f>IF(WWWW[[#This Row],['# Functional hand washing stations during reporting period]]*20&gt;WWWW[[#This Row],[Total HH]],WWWW[[#This Row],[Total HH]],WWWW[[#This Row],['# Functional hand washing stations during reporting period]]*20)</f>
        <v>0</v>
      </c>
      <c r="DY55" s="906">
        <f>IF(WWWW[[#This Row],[Is sufficient soap available for TLS? (Yes/No)]]="yes",WWWW[[#This Row],['#_Constructed/Existing hand washing stations at TLS/CFS/THF]],0)</f>
        <v>0</v>
      </c>
      <c r="DZ55" s="421">
        <f>IF(WWWW[[#This Row],['# Functional hand washing stations during reporting period]]*100&gt;WWWW[[#This Row],[Total PoP ]],WWWW[[#This Row],[Total PoP ]],WWWW[[#This Row],['# Functional hand washing stations during reporting period]]*100)</f>
        <v>0</v>
      </c>
      <c r="EA55" s="421" t="str">
        <f>IF(OR(WWWW[[#This Row],['#_students at TLS_CFS]]="",WWWW[[#This Row],['#_students at TLS_CFS]]=0),"No","Yes")</f>
        <v>No</v>
      </c>
      <c r="EB5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5" s="566">
        <f>WWWW[[#This Row],[%_of_affected_people_surveyed_who_report_feeling_satistfied_with_the_latrine_design_and_sanitation_service]]*WWWW[[#This Row],[Total PoP ]]</f>
        <v>0</v>
      </c>
      <c r="ED55" s="566">
        <f>WWWW[[#This Row],[%_of_affected_people_surveyed_who_report_feeling_satistfied_with_the_water_point_design_and_water_service]]*WWWW[[#This Row],[Total PoP ]]</f>
        <v>0</v>
      </c>
      <c r="EE55" s="566">
        <f>WWWW[[#This Row],[%_of_complaints_received_that_result_in_timely_corrective_action_and_feedback_to_the_community]]*WWWW[[#This Row],[Total PoP ]]</f>
        <v>0</v>
      </c>
      <c r="EF5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5" s="902">
        <f>VLOOKUP(WWWW[[#This Row],[Site Name]],SiteDB6[[Site Name]:[CCCM Management]],6,FALSE)</f>
        <v>0</v>
      </c>
      <c r="EJ55" s="902">
        <f>VLOOKUP(WWWW[[#This Row],[Site Name]],SiteDB6[[Site Name]:[CCCM Focal Agency]],7,FALSE)</f>
        <v>0</v>
      </c>
      <c r="EK55" s="902" t="str">
        <f>VLOOKUP(WWWW[[#This Row],[Site Name]],SiteDB6[[Site Name]:[Location Type 1]],9,FALSE)</f>
        <v>Camp</v>
      </c>
      <c r="EL55" s="902" t="str">
        <f>VLOOKUP(WWWW[[#This Row],[Site Name]],SiteDB6[[Site Name]:[Type of Accommodation]],10,FALSE)</f>
        <v>Camp</v>
      </c>
      <c r="EM55" s="902" t="str">
        <f>VLOOKUP(WWWW[[#This Row],[Site Name]],SiteDB6[[Site Name]:[Ethnic or GCA/NGCA]],11,FALSE)</f>
        <v>GCA</v>
      </c>
      <c r="EN55" s="902">
        <f>VLOOKUP(WWWW[[#This Row],[Site Name]],SiteDB6[[Site Name]:[Lat]],12,FALSE)</f>
        <v>0</v>
      </c>
      <c r="EO55" s="902">
        <f>VLOOKUP(WWWW[[#This Row],[Site Name]],SiteDB6[[Site Name]:[Long]],13,FALSE)</f>
        <v>0</v>
      </c>
      <c r="EP55" s="902">
        <f>VLOOKUP(WWWW[[#This Row],[Site Name]],SiteDB6[[Site Name]:[Pcode]],3,FALSE)</f>
        <v>0</v>
      </c>
      <c r="EQ55" s="907" t="str">
        <f t="shared" si="0"/>
        <v>Covered</v>
      </c>
      <c r="ER55" s="907" t="s">
        <v>3126</v>
      </c>
      <c r="ES55" s="907" t="s">
        <v>3126</v>
      </c>
      <c r="ET55" s="902">
        <f>VLOOKUP(WWWW[[#This Row],[Site Name]],SiteDB6[[Site Name]:[Pop
(Kachin/Shan-CCCM as of May 2023)]],16,FALSE)</f>
        <v>0</v>
      </c>
      <c r="EU55" s="902">
        <f>VLOOKUP(WWWW[[#This Row],[Site Name]],SiteDB6[[Site Name]:[Pop
(Kachin/Shan-CCCM as of May 2023)]],17,FALSE)</f>
        <v>0</v>
      </c>
    </row>
    <row r="56" spans="1:151" hidden="1">
      <c r="A56" s="900" t="s">
        <v>2961</v>
      </c>
      <c r="B56" s="900" t="s">
        <v>3133</v>
      </c>
      <c r="C56" s="900" t="s">
        <v>3133</v>
      </c>
      <c r="D56" s="901" t="s">
        <v>3137</v>
      </c>
      <c r="E56" s="901" t="s">
        <v>37</v>
      </c>
      <c r="F56" s="901" t="s">
        <v>205</v>
      </c>
      <c r="G56" s="902" t="s">
        <v>3064</v>
      </c>
      <c r="H56" s="901" t="s">
        <v>1529</v>
      </c>
      <c r="I56" s="903">
        <v>416</v>
      </c>
      <c r="J56" s="903">
        <v>1936</v>
      </c>
      <c r="K56" s="904" t="s">
        <v>3138</v>
      </c>
      <c r="L56" s="905" t="s">
        <v>3139</v>
      </c>
      <c r="M56" s="903">
        <v>153</v>
      </c>
      <c r="N56" s="903"/>
      <c r="O56" s="903"/>
      <c r="P56" s="903"/>
      <c r="Q56" s="906" t="s">
        <v>41</v>
      </c>
      <c r="R56" s="903">
        <v>2</v>
      </c>
      <c r="S56" s="903">
        <v>6</v>
      </c>
      <c r="T56" s="441">
        <v>3</v>
      </c>
      <c r="U56" s="903">
        <v>1</v>
      </c>
      <c r="V56" s="903"/>
      <c r="W56" s="903"/>
      <c r="X56" s="903"/>
      <c r="Y56" s="903"/>
      <c r="Z56" s="903"/>
      <c r="AA56" s="903"/>
      <c r="AB56" s="903"/>
      <c r="AC56" s="903"/>
      <c r="AD56" s="903"/>
      <c r="AE56" s="903"/>
      <c r="AF56" s="903"/>
      <c r="AG56" s="903"/>
      <c r="AH56" s="903"/>
      <c r="AI56" s="903"/>
      <c r="AJ56" s="903"/>
      <c r="AK56" s="903"/>
      <c r="AL56" s="903"/>
      <c r="AM56" s="903">
        <v>5</v>
      </c>
      <c r="AN56" s="903"/>
      <c r="AO56" s="441"/>
      <c r="AP56" s="907" t="s">
        <v>140</v>
      </c>
      <c r="AQ56" s="903">
        <v>73</v>
      </c>
      <c r="AR56" s="903"/>
      <c r="AS56" s="908"/>
      <c r="AT56" s="903">
        <v>1</v>
      </c>
      <c r="AU56" s="903">
        <v>1</v>
      </c>
      <c r="AV56" s="903">
        <v>18</v>
      </c>
      <c r="AW56" s="903">
        <v>28.920549999999999</v>
      </c>
      <c r="AX56" s="903"/>
      <c r="AY56" s="902" t="s">
        <v>41</v>
      </c>
      <c r="AZ56" s="907" t="s">
        <v>137</v>
      </c>
      <c r="BA56" s="903"/>
      <c r="BB56" s="903"/>
      <c r="BC56" s="903"/>
      <c r="BD56" s="441"/>
      <c r="BE56" s="441"/>
      <c r="BF56" s="902" t="s">
        <v>140</v>
      </c>
      <c r="BG56" s="903">
        <v>20</v>
      </c>
      <c r="BH56" s="903">
        <v>5</v>
      </c>
      <c r="BI56" s="903"/>
      <c r="BJ56" s="903">
        <v>2</v>
      </c>
      <c r="BK56" s="903"/>
      <c r="BL56" s="903">
        <v>3</v>
      </c>
      <c r="BM56" s="903">
        <v>12</v>
      </c>
      <c r="BN56" s="903"/>
      <c r="BO56" s="903"/>
      <c r="BP56" s="902" t="s">
        <v>41</v>
      </c>
      <c r="BQ56" s="909">
        <v>1</v>
      </c>
      <c r="BR56" s="908">
        <v>0.3</v>
      </c>
      <c r="BS56" s="902" t="s">
        <v>140</v>
      </c>
      <c r="BT56" s="416">
        <v>0.8</v>
      </c>
      <c r="BU56" s="416">
        <v>0.8</v>
      </c>
      <c r="BV56" s="418">
        <v>20</v>
      </c>
      <c r="BW56" s="416">
        <v>0.8</v>
      </c>
      <c r="BX56" s="441"/>
      <c r="BY56" s="441"/>
      <c r="BZ56" s="441"/>
      <c r="CA56" s="441"/>
      <c r="CB56" s="441"/>
      <c r="CC56" s="693"/>
      <c r="CD56" s="441"/>
      <c r="CE56" s="910" t="str">
        <f>IFERROR(WWWW[[#This Row],['#_Water sources passed]]/WWWW[[#This Row],['#_Water sources tested for fecal coliform ]],"no test")</f>
        <v>no test</v>
      </c>
      <c r="CF56" s="908" t="str">
        <f>IFERROR(WWWW[[#This Row],['#_Household passed]]/WWWW[[#This Row],['#_Household water samples tested for fecal coliform]],"no test")</f>
        <v>no test</v>
      </c>
      <c r="CG56" s="909" t="str">
        <f>IF(AND(WWWW[[#This Row],[% of water sources passed]]="no test",WWWW[[#This Row],[% Household passed]]="no test"),"No Test","Tested")</f>
        <v>No Test</v>
      </c>
      <c r="CH56" s="909">
        <f>WWWW[[#This Row],['#_Constructed/existing protected hand dug well]]-WWWW[[#This Row],['#_Non-functional protected hand dug well]]</f>
        <v>2</v>
      </c>
      <c r="CI56" s="909">
        <f>(WWWW[[#This Row],['#_Constructed/Existing tube wells/boreholes/handpumps_WASH_agency]]+WWWW[[#This Row],['#_Non-Cluster partner water tube-wells/boreholes/handpumps]])-WWWW[[#This Row],['#_Non-functional tube wells/boreholes/handpumps]]</f>
        <v>0</v>
      </c>
      <c r="CJ56" s="909">
        <f>WWWW[[#This Row],['#_Constructed/Existingwater storage tank with gravity fed reticulation system]]-WWWW[[#This Row],['#_Non-functional storage tank gravity fed reticulation system]]</f>
        <v>0</v>
      </c>
      <c r="CK56" s="909">
        <f>(WWWW[[#This Row],['#_Water_Liters_supplied_by_Water boating or water trucking]]/90)/15</f>
        <v>0</v>
      </c>
      <c r="CL56" s="909">
        <f>WWWW[[#This Row],['#_Water_Liters_from_Constructed/Existing water distribution system from river or natural spring]]/90/15</f>
        <v>0</v>
      </c>
      <c r="CM56" s="417">
        <f>IF(WWWW[[#This Row],['#_of water points in TLS/CFS]]*500&gt;WWWW[[#This Row],[Total PoP ]],WWWW[[#This Row],[Total PoP ]],WWWW[[#This Row],['#_of water points in TLS/CFS]]*500)</f>
        <v>0</v>
      </c>
      <c r="CN56" s="417">
        <f>IF(WWWW[[#This Row],['#_of water points in THF]]*500&gt;WWWW[[#This Row],[Total PoP ]],WWWW[[#This Row],[Total PoP ]],WWWW[[#This Row],['#_of water points in THF]]*500)</f>
        <v>0</v>
      </c>
      <c r="CO56" s="417"/>
      <c r="CP56"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0.41322314049586778</v>
      </c>
      <c r="CQ56"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0.25826446280991733</v>
      </c>
      <c r="CR56" s="908">
        <f>IF(WWWW[[#This Row],[Location Type 1]]="Village",WWWW[[#This Row],[Access to safe drinking water for Village]],WWWW[[#This Row],[Access to safe drinking water for Camp]])</f>
        <v>0.41322314049586778</v>
      </c>
      <c r="CS56" s="906">
        <f>WWWW[[#This Row],[%Equitable and continuous access to sufficient quantity of safe drinking water]]*WWWW[[#This Row],[Total PoP ]]</f>
        <v>800</v>
      </c>
      <c r="CT56" s="908">
        <f>IF((WWWW[[#This Row],['#_Constructed/Existing protected/fenced ponds]]*250)/WWWW[[#This Row],[Total PoP ]]&gt;1,1,(WWWW[[#This Row],['#_Constructed/Existing protected/fenced ponds]]*250)/WWWW[[#This Row],[Total PoP ]])</f>
        <v>0</v>
      </c>
      <c r="CU56" s="906">
        <f>WWWW[[#This Row],[% Access to unimproved water points]]*WWWW[[#This Row],[Total PoP ]]</f>
        <v>0</v>
      </c>
      <c r="CV56"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0.41322314049586778</v>
      </c>
      <c r="CW56"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800</v>
      </c>
      <c r="CX56" s="906">
        <f>WWWW[[#This Row],[HRP1]]/500</f>
        <v>1.6</v>
      </c>
      <c r="CY56" s="911">
        <f>1-WWWW[[#This Row],[% Equitable and continuous access to sufficient quantity of domestic water]]</f>
        <v>0.58677685950413228</v>
      </c>
      <c r="CZ56" s="906">
        <f>WWWW[[#This Row],[%equitable and continuous access to sufficient quantity of safe drinking and domestic water''s GAP]]*WWWW[[#This Row],[Total PoP ]]</f>
        <v>1136</v>
      </c>
      <c r="DA56" s="909">
        <f>IF(WWWW[[#This Row],[Total required water points]]-WWWW[[#This Row],['#Water points coverage]]&lt;0,0,WWWW[[#This Row],[Total required water points]]-WWWW[[#This Row],['#Water points coverage]])</f>
        <v>2.4</v>
      </c>
      <c r="DB56" s="909">
        <f>ROUND(IF(WWWW[[#This Row],[Total PoP ]]&lt;500,1,WWWW[[#This Row],[Total PoP ]]/500),0)</f>
        <v>4</v>
      </c>
      <c r="DC56" s="909">
        <f>(WWWW[[#This Row],['#_Constructed latrines_by_WASHAgencies]]+WWWW[[#This Row],['#_Non Cluster partner latrines]])-WWWW[[#This Row],['#_Non-functional latrines]]</f>
        <v>72</v>
      </c>
      <c r="DD56" s="615">
        <f>WWWW[[#This Row],[HRP2]]/WWWW[[#This Row],[Total PoP ]]</f>
        <v>0.74380165289256195</v>
      </c>
      <c r="DE56"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1440</v>
      </c>
      <c r="DF56"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360</v>
      </c>
      <c r="DG56"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6" s="417">
        <f>IF(WWWW[[#This Row],['# of functional latrines in THF supported by WASH partners during the reporting period2]]="",0,WWWW[[#This Row],['# of functional latrines in THF supported by WASH partners during the reporting period2]]*50)</f>
        <v>0</v>
      </c>
      <c r="DI56" s="909">
        <f>ROUND(IF(WWWW[[#This Row],[Location Type 1]]="camp",WWWW[[#This Row],[Total PoP ]]/20,IF(WWWW[[#This Row],[Location Type 1]]="Temporary Location",WWWW[[#This Row],[Total PoP ]]/50,(WWWW[[#This Row],[Total PoP ]]/6))),0)</f>
        <v>97</v>
      </c>
      <c r="DJ56" s="909">
        <f>IF(WWWW[[#This Row],[Total required Latrines]]-(WWWW[[#This Row],['#_Constructed latrines_by_WASHAgencies]]+WWWW[[#This Row],['#_Non Cluster partner latrines]])&lt;0,0,WWWW[[#This Row],[Total required Latrines]]-(WWWW[[#This Row],['#_Constructed latrines_by_WASHAgencies]]+WWWW[[#This Row],['#_Non Cluster partner latrines]]))</f>
        <v>24</v>
      </c>
      <c r="DK56" s="911">
        <f>1-WWWW[[#This Row],[% people access to functioning Latrine]]</f>
        <v>0.25619834710743805</v>
      </c>
      <c r="DL56" s="910">
        <f>IF(OR(WWWW[[#This Row],['#_Non-functional latrines]]="",WWWW[[#This Row],['#_Non-functional latrines]]=0),0,WWWW[[#This Row],['#_Non-functional latrines]]/(WWWW[[#This Row],['#_Constructed latrines_by_WASHAgencies]]+WWWW[[#This Row],['#_Non Cluster partner latrines]]))</f>
        <v>1.3698630136986301E-2</v>
      </c>
      <c r="DM56" s="906">
        <f>IF(500*(WWWW[[#This Row],['#_male hygiene promoters]]+WWWW[[#This Row],['#_female hygiene promoters]])&gt;WWWW[[#This Row],[Total PoP ]],WWWW[[#This Row],[Total PoP ]],500*(WWWW[[#This Row],['#_male hygiene promoters]]+WWWW[[#This Row],['#_female hygiene promoters]]))</f>
        <v>1936</v>
      </c>
      <c r="DN56"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6"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6" s="909">
        <f>IF(WWWW[[#This Row],['# People with access to soap]]&gt;WWWW[[#This Row],['# People with access to Sanity Pads]],WWWW[[#This Row],['# People with access to soap]],WWWW[[#This Row],['# People with access to Sanity Pads]])</f>
        <v>0</v>
      </c>
      <c r="DQ56" s="909">
        <f>IF(WWWW[[#This Row],['# people reached by regular dedicated hygiene promotion_5]]&gt;WWWW[[#This Row],['# People received regular supply of hygiene items_6]],WWWW[[#This Row],['# people reached by regular dedicated hygiene promotion_5]],WWWW[[#This Row],['# People received regular supply of hygiene items_6]])</f>
        <v>1936</v>
      </c>
      <c r="DR56" s="911">
        <f>IF(WWWW[[#This Row],[HRP3]]/WWWW[[#This Row],[Total PoP ]]&gt;1,1,WWWW[[#This Row],[HRP3]]/WWWW[[#This Row],[Total PoP ]])</f>
        <v>1</v>
      </c>
      <c r="DS56" s="910">
        <f>1-WWWW[[#This Row],[Hygiene Coverage%]]</f>
        <v>0</v>
      </c>
      <c r="DT56" s="908">
        <f>WWWW[[#This Row],['# people reached by regular dedicated hygiene promotion_5]]/WWWW[[#This Row],[Total PoP ]]</f>
        <v>1</v>
      </c>
      <c r="DU56"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6"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6" s="909">
        <f>WWWW[[#This Row],['#_Constructed/Existing hand washing stations]]-WWWW[[#This Row],['#_Non-Functional_hand_washing_stations]]</f>
        <v>15</v>
      </c>
      <c r="DX56" s="906">
        <f>IF(WWWW[[#This Row],['# Functional hand washing stations during reporting period]]*20&gt;WWWW[[#This Row],[Total HH]],WWWW[[#This Row],[Total HH]],WWWW[[#This Row],['# Functional hand washing stations during reporting period]]*20)</f>
        <v>300</v>
      </c>
      <c r="DY56" s="906">
        <f>IF(WWWW[[#This Row],[Is sufficient soap available for TLS? (Yes/No)]]="yes",WWWW[[#This Row],['#_Constructed/Existing hand washing stations at TLS/CFS/THF]],0)</f>
        <v>5</v>
      </c>
      <c r="DZ56" s="421">
        <f>IF(WWWW[[#This Row],['# Functional hand washing stations during reporting period]]*100&gt;WWWW[[#This Row],[Total PoP ]],WWWW[[#This Row],[Total PoP ]],WWWW[[#This Row],['# Functional hand washing stations during reporting period]]*100)</f>
        <v>1500</v>
      </c>
      <c r="EA56" s="421" t="str">
        <f>IF(OR(WWWW[[#This Row],['#_students at TLS_CFS]]="",WWWW[[#This Row],['#_students at TLS_CFS]]=0),"No","Yes")</f>
        <v>Yes</v>
      </c>
      <c r="EB56" s="615">
        <f>IF(WWWW[[#This Row],['#_of_affected_people_surveyed_who_report_feeling_informed_about_the_different_WASH_services_available_to_them]]="","",WWWW[[#This Row],['#_of_affected_people_surveyed_who_report_feeling_informed_about_the_different_WASH_services_available_to_them]]/WWWW[[#This Row],[Total PoP ]])</f>
        <v>1.0330578512396695E-2</v>
      </c>
      <c r="EC56" s="566">
        <f>WWWW[[#This Row],[%_of_affected_people_surveyed_who_report_feeling_satistfied_with_the_latrine_design_and_sanitation_service]]*WWWW[[#This Row],[Total PoP ]]</f>
        <v>1548.8000000000002</v>
      </c>
      <c r="ED56" s="566">
        <f>WWWW[[#This Row],[%_of_affected_people_surveyed_who_report_feeling_satistfied_with_the_water_point_design_and_water_service]]*WWWW[[#This Row],[Total PoP ]]</f>
        <v>1548.8000000000002</v>
      </c>
      <c r="EE56" s="566">
        <f>WWWW[[#This Row],[%_of_complaints_received_that_result_in_timely_corrective_action_and_feedback_to_the_community]]*WWWW[[#This Row],[Total PoP ]]</f>
        <v>1548.8000000000002</v>
      </c>
      <c r="EF5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1548.8000000000002</v>
      </c>
      <c r="EG5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6" s="902">
        <f>VLOOKUP(WWWW[[#This Row],[Site Name]],SiteDB6[[Site Name]:[CCCM Management]],6,FALSE)</f>
        <v>0</v>
      </c>
      <c r="EJ56" s="902">
        <f>VLOOKUP(WWWW[[#This Row],[Site Name]],SiteDB6[[Site Name]:[CCCM Focal Agency]],7,FALSE)</f>
        <v>0</v>
      </c>
      <c r="EK56" s="902" t="str">
        <f>VLOOKUP(WWWW[[#This Row],[Site Name]],SiteDB6[[Site Name]:[Location Type 1]],9,FALSE)</f>
        <v>Camp</v>
      </c>
      <c r="EL56" s="902" t="str">
        <f>VLOOKUP(WWWW[[#This Row],[Site Name]],SiteDB6[[Site Name]:[Type of Accommodation]],10,FALSE)</f>
        <v>Camp</v>
      </c>
      <c r="EM56" s="902" t="str">
        <f>VLOOKUP(WWWW[[#This Row],[Site Name]],SiteDB6[[Site Name]:[Ethnic or GCA/NGCA]],11,FALSE)</f>
        <v>GCA</v>
      </c>
      <c r="EN56" s="902">
        <f>VLOOKUP(WWWW[[#This Row],[Site Name]],SiteDB6[[Site Name]:[Lat]],12,FALSE)</f>
        <v>0</v>
      </c>
      <c r="EO56" s="902">
        <f>VLOOKUP(WWWW[[#This Row],[Site Name]],SiteDB6[[Site Name]:[Long]],13,FALSE)</f>
        <v>0</v>
      </c>
      <c r="EP56" s="902">
        <f>VLOOKUP(WWWW[[#This Row],[Site Name]],SiteDB6[[Site Name]:[Pcode]],3,FALSE)</f>
        <v>0</v>
      </c>
      <c r="EQ56" s="907" t="str">
        <f t="shared" si="0"/>
        <v>Covered</v>
      </c>
      <c r="ER56" s="907" t="s">
        <v>3126</v>
      </c>
      <c r="ES56" s="907" t="s">
        <v>3126</v>
      </c>
      <c r="ET56" s="902">
        <f>VLOOKUP(WWWW[[#This Row],[Site Name]],SiteDB6[[Site Name]:[Pop
(Kachin/Shan-CCCM as of May 2023)]],16,FALSE)</f>
        <v>0</v>
      </c>
      <c r="EU56" s="902">
        <f>VLOOKUP(WWWW[[#This Row],[Site Name]],SiteDB6[[Site Name]:[Pop
(Kachin/Shan-CCCM as of May 2023)]],17,FALSE)</f>
        <v>0</v>
      </c>
    </row>
    <row r="57" spans="1:151" hidden="1">
      <c r="A57" s="900" t="s">
        <v>2961</v>
      </c>
      <c r="B57" s="900" t="s">
        <v>3133</v>
      </c>
      <c r="C57" s="900" t="s">
        <v>3133</v>
      </c>
      <c r="D57" s="901" t="s">
        <v>3140</v>
      </c>
      <c r="E57" s="901" t="s">
        <v>37</v>
      </c>
      <c r="F57" s="901" t="s">
        <v>214</v>
      </c>
      <c r="G57" s="902" t="str">
        <f>VLOOKUP(WWWW[[#This Row],[Site Name]],SiteDB6[[Site Name]:[Location Type]],8,FALSE)</f>
        <v>Camp</v>
      </c>
      <c r="H57" s="901" t="s">
        <v>215</v>
      </c>
      <c r="I57" s="903">
        <v>60</v>
      </c>
      <c r="J57" s="903">
        <v>300</v>
      </c>
      <c r="K57" s="904" t="s">
        <v>3131</v>
      </c>
      <c r="L57" s="905" t="s">
        <v>3132</v>
      </c>
      <c r="M57" s="903">
        <v>95</v>
      </c>
      <c r="N57" s="903">
        <v>4</v>
      </c>
      <c r="O57" s="903"/>
      <c r="P57" s="903"/>
      <c r="Q57" s="906" t="s">
        <v>41</v>
      </c>
      <c r="R57" s="903">
        <v>2</v>
      </c>
      <c r="S57" s="903">
        <v>4</v>
      </c>
      <c r="T57" s="441">
        <v>1</v>
      </c>
      <c r="U57" s="903"/>
      <c r="V57" s="903"/>
      <c r="W57" s="903">
        <v>2</v>
      </c>
      <c r="X57" s="903">
        <v>2</v>
      </c>
      <c r="Y57" s="903"/>
      <c r="Z57" s="903"/>
      <c r="AA57" s="903"/>
      <c r="AB57" s="903"/>
      <c r="AC57" s="903"/>
      <c r="AD57" s="903"/>
      <c r="AE57" s="903"/>
      <c r="AF57" s="903"/>
      <c r="AG57" s="903">
        <v>1</v>
      </c>
      <c r="AH57" s="903"/>
      <c r="AI57" s="903"/>
      <c r="AJ57" s="903"/>
      <c r="AK57" s="903"/>
      <c r="AL57" s="903"/>
      <c r="AM57" s="903">
        <v>2</v>
      </c>
      <c r="AN57" s="903"/>
      <c r="AO57" s="441"/>
      <c r="AP57" s="907" t="s">
        <v>140</v>
      </c>
      <c r="AQ57" s="903">
        <v>13</v>
      </c>
      <c r="AR57" s="903"/>
      <c r="AS57" s="908"/>
      <c r="AT57" s="903">
        <v>1</v>
      </c>
      <c r="AU57" s="903"/>
      <c r="AV57" s="903"/>
      <c r="AW57" s="903"/>
      <c r="AX57" s="903"/>
      <c r="AY57" s="902" t="s">
        <v>41</v>
      </c>
      <c r="AZ57" s="907" t="s">
        <v>137</v>
      </c>
      <c r="BA57" s="903">
        <v>2</v>
      </c>
      <c r="BB57" s="903"/>
      <c r="BC57" s="903"/>
      <c r="BD57" s="441"/>
      <c r="BE57" s="441">
        <v>4</v>
      </c>
      <c r="BF57" s="902" t="s">
        <v>140</v>
      </c>
      <c r="BG57" s="903">
        <v>15</v>
      </c>
      <c r="BH57" s="903">
        <v>10</v>
      </c>
      <c r="BI57" s="903">
        <v>2</v>
      </c>
      <c r="BJ57" s="903">
        <v>9</v>
      </c>
      <c r="BK57" s="903"/>
      <c r="BL57" s="903">
        <v>3</v>
      </c>
      <c r="BM57" s="903">
        <v>2</v>
      </c>
      <c r="BN57" s="903"/>
      <c r="BO57" s="903"/>
      <c r="BP57" s="902" t="s">
        <v>41</v>
      </c>
      <c r="BQ57" s="909"/>
      <c r="BR57" s="908">
        <v>0.3</v>
      </c>
      <c r="BS57" s="902" t="s">
        <v>140</v>
      </c>
      <c r="BT57" s="416">
        <v>0.8</v>
      </c>
      <c r="BU57" s="416">
        <v>0.8</v>
      </c>
      <c r="BV57" s="418">
        <v>5</v>
      </c>
      <c r="BW57" s="416">
        <v>0.8</v>
      </c>
      <c r="BX57" s="441"/>
      <c r="BY57" s="441"/>
      <c r="BZ57" s="441"/>
      <c r="CA57" s="441"/>
      <c r="CB57" s="441"/>
      <c r="CC57" s="693"/>
      <c r="CD57" s="441"/>
      <c r="CE57" s="910" t="str">
        <f>IFERROR(WWWW[[#This Row],['#_Water sources passed]]/WWWW[[#This Row],['#_Water sources tested for fecal coliform ]],"no test")</f>
        <v>no test</v>
      </c>
      <c r="CF57" s="908" t="str">
        <f>IFERROR(WWWW[[#This Row],['#_Household passed]]/WWWW[[#This Row],['#_Household water samples tested for fecal coliform]],"no test")</f>
        <v>no test</v>
      </c>
      <c r="CG57" s="909" t="str">
        <f>IF(AND(WWWW[[#This Row],[% of water sources passed]]="no test",WWWW[[#This Row],[% Household passed]]="no test"),"No Test","Tested")</f>
        <v>No Test</v>
      </c>
      <c r="CH57" s="909">
        <f>WWWW[[#This Row],['#_Constructed/existing protected hand dug well]]-WWWW[[#This Row],['#_Non-functional protected hand dug well]]</f>
        <v>1</v>
      </c>
      <c r="CI57" s="909">
        <f>(WWWW[[#This Row],['#_Constructed/Existing tube wells/boreholes/handpumps_WASH_agency]]+WWWW[[#This Row],['#_Non-Cluster partner water tube-wells/boreholes/handpumps]])-WWWW[[#This Row],['#_Non-functional tube wells/boreholes/handpumps]]</f>
        <v>4</v>
      </c>
      <c r="CJ57" s="909">
        <f>WWWW[[#This Row],['#_Constructed/Existingwater storage tank with gravity fed reticulation system]]-WWWW[[#This Row],['#_Non-functional storage tank gravity fed reticulation system]]</f>
        <v>0</v>
      </c>
      <c r="CK57" s="909">
        <f>(WWWW[[#This Row],['#_Water_Liters_supplied_by_Water boating or water trucking]]/90)/15</f>
        <v>0</v>
      </c>
      <c r="CL57" s="909">
        <f>WWWW[[#This Row],['#_Water_Liters_from_Constructed/Existing water distribution system from river or natural spring]]/90/15</f>
        <v>0</v>
      </c>
      <c r="CM57" s="417">
        <f>IF(WWWW[[#This Row],['#_of water points in TLS/CFS]]*500&gt;WWWW[[#This Row],[Total PoP ]],WWWW[[#This Row],[Total PoP ]],WWWW[[#This Row],['#_of water points in TLS/CFS]]*500)</f>
        <v>0</v>
      </c>
      <c r="CN57" s="417">
        <f>IF(WWWW[[#This Row],['#_of water points in THF]]*500&gt;WWWW[[#This Row],[Total PoP ]],WWWW[[#This Row],[Total PoP ]],WWWW[[#This Row],['#_of water points in THF]]*500)</f>
        <v>0</v>
      </c>
      <c r="CO57" s="417"/>
      <c r="CP57"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7"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7" s="908">
        <f>IF(WWWW[[#This Row],[Location Type 1]]="Village",WWWW[[#This Row],[Access to safe drinking water for Village]],WWWW[[#This Row],[Access to safe drinking water for Camp]])</f>
        <v>1</v>
      </c>
      <c r="CS57" s="906">
        <f>WWWW[[#This Row],[%Equitable and continuous access to sufficient quantity of safe drinking water]]*WWWW[[#This Row],[Total PoP ]]</f>
        <v>300</v>
      </c>
      <c r="CT57" s="908">
        <f>IF((WWWW[[#This Row],['#_Constructed/Existing protected/fenced ponds]]*250)/WWWW[[#This Row],[Total PoP ]]&gt;1,1,(WWWW[[#This Row],['#_Constructed/Existing protected/fenced ponds]]*250)/WWWW[[#This Row],[Total PoP ]])</f>
        <v>0</v>
      </c>
      <c r="CU57" s="906">
        <f>WWWW[[#This Row],[% Access to unimproved water points]]*WWWW[[#This Row],[Total PoP ]]</f>
        <v>0</v>
      </c>
      <c r="CV57"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7"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300</v>
      </c>
      <c r="CX57" s="906">
        <f>WWWW[[#This Row],[HRP1]]/500</f>
        <v>0.6</v>
      </c>
      <c r="CY57" s="911">
        <f>1-WWWW[[#This Row],[% Equitable and continuous access to sufficient quantity of domestic water]]</f>
        <v>0</v>
      </c>
      <c r="CZ57" s="906">
        <f>WWWW[[#This Row],[%equitable and continuous access to sufficient quantity of safe drinking and domestic water''s GAP]]*WWWW[[#This Row],[Total PoP ]]</f>
        <v>0</v>
      </c>
      <c r="DA57" s="909">
        <f>IF(WWWW[[#This Row],[Total required water points]]-WWWW[[#This Row],['#Water points coverage]]&lt;0,0,WWWW[[#This Row],[Total required water points]]-WWWW[[#This Row],['#Water points coverage]])</f>
        <v>0.4</v>
      </c>
      <c r="DB57" s="909">
        <f>ROUND(IF(WWWW[[#This Row],[Total PoP ]]&lt;500,1,WWWW[[#This Row],[Total PoP ]]/500),0)</f>
        <v>1</v>
      </c>
      <c r="DC57" s="909">
        <f>(WWWW[[#This Row],['#_Constructed latrines_by_WASHAgencies]]+WWWW[[#This Row],['#_Non Cluster partner latrines]])-WWWW[[#This Row],['#_Non-functional latrines]]</f>
        <v>12</v>
      </c>
      <c r="DD57" s="615">
        <f>WWWW[[#This Row],[HRP2]]/WWWW[[#This Row],[Total PoP ]]</f>
        <v>0.94666666666666666</v>
      </c>
      <c r="DE57"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284</v>
      </c>
      <c r="DF57"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7"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7" s="417">
        <f>IF(WWWW[[#This Row],['# of functional latrines in THF supported by WASH partners during the reporting period2]]="",0,WWWW[[#This Row],['# of functional latrines in THF supported by WASH partners during the reporting period2]]*50)</f>
        <v>0</v>
      </c>
      <c r="DI57" s="909">
        <f>ROUND(IF(WWWW[[#This Row],[Location Type 1]]="camp",WWWW[[#This Row],[Total PoP ]]/20,IF(WWWW[[#This Row],[Location Type 1]]="Temporary Location",WWWW[[#This Row],[Total PoP ]]/50,(WWWW[[#This Row],[Total PoP ]]/6))),0)</f>
        <v>15</v>
      </c>
      <c r="DJ57" s="909">
        <f>IF(WWWW[[#This Row],[Total required Latrines]]-(WWWW[[#This Row],['#_Constructed latrines_by_WASHAgencies]]+WWWW[[#This Row],['#_Non Cluster partner latrines]])&lt;0,0,WWWW[[#This Row],[Total required Latrines]]-(WWWW[[#This Row],['#_Constructed latrines_by_WASHAgencies]]+WWWW[[#This Row],['#_Non Cluster partner latrines]]))</f>
        <v>2</v>
      </c>
      <c r="DK57" s="911">
        <f>1-WWWW[[#This Row],[% people access to functioning Latrine]]</f>
        <v>5.3333333333333344E-2</v>
      </c>
      <c r="DL57" s="910">
        <f>IF(OR(WWWW[[#This Row],['#_Non-functional latrines]]="",WWWW[[#This Row],['#_Non-functional latrines]]=0),0,WWWW[[#This Row],['#_Non-functional latrines]]/(WWWW[[#This Row],['#_Constructed latrines_by_WASHAgencies]]+WWWW[[#This Row],['#_Non Cluster partner latrines]]))</f>
        <v>7.6923076923076927E-2</v>
      </c>
      <c r="DM57" s="906">
        <f>IF(500*(WWWW[[#This Row],['#_male hygiene promoters]]+WWWW[[#This Row],['#_female hygiene promoters]])&gt;WWWW[[#This Row],[Total PoP ]],WWWW[[#This Row],[Total PoP ]],500*(WWWW[[#This Row],['#_male hygiene promoters]]+WWWW[[#This Row],['#_female hygiene promoters]]))</f>
        <v>300</v>
      </c>
      <c r="DN57"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7"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7" s="909">
        <f>IF(WWWW[[#This Row],['# People with access to soap]]&gt;WWWW[[#This Row],['# People with access to Sanity Pads]],WWWW[[#This Row],['# People with access to soap]],WWWW[[#This Row],['# People with access to Sanity Pads]])</f>
        <v>0</v>
      </c>
      <c r="DQ57" s="909">
        <f>IF(WWWW[[#This Row],['# people reached by regular dedicated hygiene promotion_5]]&gt;WWWW[[#This Row],['# People received regular supply of hygiene items_6]],WWWW[[#This Row],['# people reached by regular dedicated hygiene promotion_5]],WWWW[[#This Row],['# People received regular supply of hygiene items_6]])</f>
        <v>300</v>
      </c>
      <c r="DR57" s="911">
        <f>IF(WWWW[[#This Row],[HRP3]]/WWWW[[#This Row],[Total PoP ]]&gt;1,1,WWWW[[#This Row],[HRP3]]/WWWW[[#This Row],[Total PoP ]])</f>
        <v>1</v>
      </c>
      <c r="DS57" s="910">
        <f>1-WWWW[[#This Row],[Hygiene Coverage%]]</f>
        <v>0</v>
      </c>
      <c r="DT57" s="908">
        <f>WWWW[[#This Row],['# people reached by regular dedicated hygiene promotion_5]]/WWWW[[#This Row],[Total PoP ]]</f>
        <v>1</v>
      </c>
      <c r="DU57"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7"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7" s="909">
        <f>WWWW[[#This Row],['#_Constructed/Existing hand washing stations]]-WWWW[[#This Row],['#_Non-Functional_hand_washing_stations]]</f>
        <v>5</v>
      </c>
      <c r="DX57" s="906">
        <f>IF(WWWW[[#This Row],['# Functional hand washing stations during reporting period]]*20&gt;WWWW[[#This Row],[Total HH]],WWWW[[#This Row],[Total HH]],WWWW[[#This Row],['# Functional hand washing stations during reporting period]]*20)</f>
        <v>60</v>
      </c>
      <c r="DY57" s="906">
        <f>IF(WWWW[[#This Row],[Is sufficient soap available for TLS? (Yes/No)]]="yes",WWWW[[#This Row],['#_Constructed/Existing hand washing stations at TLS/CFS/THF]],0)</f>
        <v>2</v>
      </c>
      <c r="DZ57" s="421">
        <f>IF(WWWW[[#This Row],['# Functional hand washing stations during reporting period]]*100&gt;WWWW[[#This Row],[Total PoP ]],WWWW[[#This Row],[Total PoP ]],WWWW[[#This Row],['# Functional hand washing stations during reporting period]]*100)</f>
        <v>300</v>
      </c>
      <c r="EA57" s="421" t="str">
        <f>IF(OR(WWWW[[#This Row],['#_students at TLS_CFS]]="",WWWW[[#This Row],['#_students at TLS_CFS]]=0),"No","Yes")</f>
        <v>Yes</v>
      </c>
      <c r="EB57" s="615">
        <f>IF(WWWW[[#This Row],['#_of_affected_people_surveyed_who_report_feeling_informed_about_the_different_WASH_services_available_to_them]]="","",WWWW[[#This Row],['#_of_affected_people_surveyed_who_report_feeling_informed_about_the_different_WASH_services_available_to_them]]/WWWW[[#This Row],[Total PoP ]])</f>
        <v>1.6666666666666666E-2</v>
      </c>
      <c r="EC57" s="566">
        <f>WWWW[[#This Row],[%_of_affected_people_surveyed_who_report_feeling_satistfied_with_the_latrine_design_and_sanitation_service]]*WWWW[[#This Row],[Total PoP ]]</f>
        <v>240</v>
      </c>
      <c r="ED57" s="566">
        <f>WWWW[[#This Row],[%_of_affected_people_surveyed_who_report_feeling_satistfied_with_the_water_point_design_and_water_service]]*WWWW[[#This Row],[Total PoP ]]</f>
        <v>240</v>
      </c>
      <c r="EE57" s="566">
        <f>WWWW[[#This Row],[%_of_complaints_received_that_result_in_timely_corrective_action_and_feedback_to_the_community]]*WWWW[[#This Row],[Total PoP ]]</f>
        <v>240</v>
      </c>
      <c r="EF5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240</v>
      </c>
      <c r="EG5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7" s="902" t="str">
        <f>VLOOKUP(WWWW[[#This Row],[Site Name]],SiteDB6[[Site Name]:[CCCM Management]],6,FALSE)</f>
        <v>Yes</v>
      </c>
      <c r="EJ57" s="902" t="str">
        <f>VLOOKUP(WWWW[[#This Row],[Site Name]],SiteDB6[[Site Name]:[CCCM Focal Agency]],7,FALSE)</f>
        <v>KBC-BMO</v>
      </c>
      <c r="EK57" s="902" t="str">
        <f>VLOOKUP(WWWW[[#This Row],[Site Name]],SiteDB6[[Site Name]:[Location Type 1]],9,FALSE)</f>
        <v>Camp</v>
      </c>
      <c r="EL57" s="902" t="str">
        <f>VLOOKUP(WWWW[[#This Row],[Site Name]],SiteDB6[[Site Name]:[Type of Accommodation]],10,FALSE)</f>
        <v>Camp</v>
      </c>
      <c r="EM57" s="902" t="str">
        <f>VLOOKUP(WWWW[[#This Row],[Site Name]],SiteDB6[[Site Name]:[Ethnic or GCA/NGCA]],11,FALSE)</f>
        <v>GCA</v>
      </c>
      <c r="EN57" s="902">
        <f>VLOOKUP(WWWW[[#This Row],[Site Name]],SiteDB6[[Site Name]:[Lat]],12,FALSE)</f>
        <v>24.200361000000001</v>
      </c>
      <c r="EO57" s="902">
        <f>VLOOKUP(WWWW[[#This Row],[Site Name]],SiteDB6[[Site Name]:[Long]],13,FALSE)</f>
        <v>96.807353000000006</v>
      </c>
      <c r="EP57" s="902" t="str">
        <f>VLOOKUP(WWWW[[#This Row],[Site Name]],SiteDB6[[Site Name]:[Pcode]],3,FALSE)</f>
        <v>MMR001CMP067</v>
      </c>
      <c r="EQ57" s="907" t="str">
        <f t="shared" si="0"/>
        <v>Covered</v>
      </c>
      <c r="ER57" s="907" t="s">
        <v>3126</v>
      </c>
      <c r="ES57" s="907" t="s">
        <v>3126</v>
      </c>
      <c r="ET57" s="902">
        <f>VLOOKUP(WWWW[[#This Row],[Site Name]],SiteDB6[[Site Name]:[Pop
(Kachin/Shan-CCCM as of May 2023)]],16,FALSE)</f>
        <v>46</v>
      </c>
      <c r="EU57" s="902">
        <f>VLOOKUP(WWWW[[#This Row],[Site Name]],SiteDB6[[Site Name]:[Pop
(Kachin/Shan-CCCM as of May 2023)]],17,FALSE)</f>
        <v>249</v>
      </c>
    </row>
    <row r="58" spans="1:151" hidden="1">
      <c r="A58" s="900" t="s">
        <v>2961</v>
      </c>
      <c r="B58" s="946" t="s">
        <v>3179</v>
      </c>
      <c r="C58" s="901" t="s">
        <v>141</v>
      </c>
      <c r="D58" s="901" t="s">
        <v>3095</v>
      </c>
      <c r="E58" s="901" t="s">
        <v>37</v>
      </c>
      <c r="F58" s="901" t="s">
        <v>152</v>
      </c>
      <c r="G58" s="902" t="str">
        <f>VLOOKUP(WWWW[[#This Row],[Site Name]],SiteDB6[[Site Name]:[Location Type]],8,FALSE)</f>
        <v>Camp</v>
      </c>
      <c r="H58" s="901" t="s">
        <v>156</v>
      </c>
      <c r="I58" s="903">
        <v>27</v>
      </c>
      <c r="J58" s="903">
        <v>141</v>
      </c>
      <c r="K58" s="904">
        <v>44811</v>
      </c>
      <c r="L58" s="905">
        <v>45175</v>
      </c>
      <c r="M58" s="903"/>
      <c r="N58" s="903">
        <v>1</v>
      </c>
      <c r="O58" s="903"/>
      <c r="P58" s="903"/>
      <c r="Q58" s="906" t="s">
        <v>41</v>
      </c>
      <c r="R58" s="903">
        <v>2</v>
      </c>
      <c r="S58" s="903">
        <v>2</v>
      </c>
      <c r="T58" s="441"/>
      <c r="U58" s="903"/>
      <c r="V58" s="903"/>
      <c r="W58" s="903">
        <v>1</v>
      </c>
      <c r="X58" s="903"/>
      <c r="Y58" s="903"/>
      <c r="Z58" s="903"/>
      <c r="AA58" s="903"/>
      <c r="AB58" s="903"/>
      <c r="AC58" s="903"/>
      <c r="AD58" s="903"/>
      <c r="AE58" s="903"/>
      <c r="AF58" s="903"/>
      <c r="AG58" s="903"/>
      <c r="AH58" s="903">
        <v>3</v>
      </c>
      <c r="AI58" s="903"/>
      <c r="AJ58" s="903"/>
      <c r="AK58" s="903"/>
      <c r="AL58" s="903"/>
      <c r="AM58" s="903"/>
      <c r="AN58" s="903"/>
      <c r="AO58" s="441"/>
      <c r="AP58" s="907"/>
      <c r="AQ58" s="903">
        <v>12</v>
      </c>
      <c r="AR58" s="903"/>
      <c r="AS58" s="908"/>
      <c r="AT58" s="903"/>
      <c r="AU58" s="903"/>
      <c r="AV58" s="903"/>
      <c r="AW58" s="903"/>
      <c r="AX58" s="903">
        <v>12</v>
      </c>
      <c r="AY58" s="902" t="s">
        <v>41</v>
      </c>
      <c r="AZ58" s="907" t="s">
        <v>899</v>
      </c>
      <c r="BA58" s="903"/>
      <c r="BB58" s="903"/>
      <c r="BC58" s="903"/>
      <c r="BD58" s="441"/>
      <c r="BE58" s="441"/>
      <c r="BF58" s="902"/>
      <c r="BG58" s="903">
        <v>8</v>
      </c>
      <c r="BH58" s="903"/>
      <c r="BI58" s="903"/>
      <c r="BJ58" s="903">
        <v>3</v>
      </c>
      <c r="BK58" s="903"/>
      <c r="BL58" s="903"/>
      <c r="BM58" s="903"/>
      <c r="BN58" s="903"/>
      <c r="BO58" s="903"/>
      <c r="BP58" s="902"/>
      <c r="BQ58" s="909"/>
      <c r="BR58" s="908"/>
      <c r="BS58" s="902"/>
      <c r="BT58" s="416"/>
      <c r="BU58" s="416"/>
      <c r="BV58" s="418"/>
      <c r="BW58" s="416"/>
      <c r="BX58" s="441"/>
      <c r="BY58" s="441"/>
      <c r="BZ58" s="441"/>
      <c r="CA58" s="441"/>
      <c r="CB58" s="441"/>
      <c r="CC58" s="693"/>
      <c r="CD58" s="441"/>
      <c r="CE58" s="910" t="str">
        <f>IFERROR(WWWW[[#This Row],['#_Water sources passed]]/WWWW[[#This Row],['#_Water sources tested for fecal coliform ]],"no test")</f>
        <v>no test</v>
      </c>
      <c r="CF58" s="908" t="str">
        <f>IFERROR(WWWW[[#This Row],['#_Household passed]]/WWWW[[#This Row],['#_Household water samples tested for fecal coliform]],"no test")</f>
        <v>no test</v>
      </c>
      <c r="CG58" s="909" t="str">
        <f>IF(AND(WWWW[[#This Row],[% of water sources passed]]="no test",WWWW[[#This Row],[% Household passed]]="no test"),"No Test","Tested")</f>
        <v>No Test</v>
      </c>
      <c r="CH58" s="909">
        <f>WWWW[[#This Row],['#_Constructed/existing protected hand dug well]]-WWWW[[#This Row],['#_Non-functional protected hand dug well]]</f>
        <v>0</v>
      </c>
      <c r="CI58" s="909">
        <f>(WWWW[[#This Row],['#_Constructed/Existing tube wells/boreholes/handpumps_WASH_agency]]+WWWW[[#This Row],['#_Non-Cluster partner water tube-wells/boreholes/handpumps]])-WWWW[[#This Row],['#_Non-functional tube wells/boreholes/handpumps]]</f>
        <v>1</v>
      </c>
      <c r="CJ58" s="909">
        <f>WWWW[[#This Row],['#_Constructed/Existingwater storage tank with gravity fed reticulation system]]-WWWW[[#This Row],['#_Non-functional storage tank gravity fed reticulation system]]</f>
        <v>0</v>
      </c>
      <c r="CK58" s="909">
        <f>(WWWW[[#This Row],['#_Water_Liters_supplied_by_Water boating or water trucking]]/90)/15</f>
        <v>0</v>
      </c>
      <c r="CL58" s="909">
        <f>WWWW[[#This Row],['#_Water_Liters_from_Constructed/Existing water distribution system from river or natural spring]]/90/15</f>
        <v>0</v>
      </c>
      <c r="CM58" s="417">
        <f>IF(WWWW[[#This Row],['#_of water points in TLS/CFS]]*500&gt;WWWW[[#This Row],[Total PoP ]],WWWW[[#This Row],[Total PoP ]],WWWW[[#This Row],['#_of water points in TLS/CFS]]*500)</f>
        <v>0</v>
      </c>
      <c r="CN58" s="417">
        <f>IF(WWWW[[#This Row],['#_of water points in THF]]*500&gt;WWWW[[#This Row],[Total PoP ]],WWWW[[#This Row],[Total PoP ]],WWWW[[#This Row],['#_of water points in THF]]*500)</f>
        <v>0</v>
      </c>
      <c r="CO58" s="417"/>
      <c r="CP58"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8"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8" s="908">
        <f>IF(WWWW[[#This Row],[Location Type 1]]="Village",WWWW[[#This Row],[Access to safe drinking water for Village]],WWWW[[#This Row],[Access to safe drinking water for Camp]])</f>
        <v>1</v>
      </c>
      <c r="CS58" s="906">
        <f>WWWW[[#This Row],[%Equitable and continuous access to sufficient quantity of safe drinking water]]*WWWW[[#This Row],[Total PoP ]]</f>
        <v>141</v>
      </c>
      <c r="CT58" s="908">
        <f>IF((WWWW[[#This Row],['#_Constructed/Existing protected/fenced ponds]]*250)/WWWW[[#This Row],[Total PoP ]]&gt;1,1,(WWWW[[#This Row],['#_Constructed/Existing protected/fenced ponds]]*250)/WWWW[[#This Row],[Total PoP ]])</f>
        <v>0</v>
      </c>
      <c r="CU58" s="906">
        <f>WWWW[[#This Row],[% Access to unimproved water points]]*WWWW[[#This Row],[Total PoP ]]</f>
        <v>0</v>
      </c>
      <c r="CV58"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8"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141</v>
      </c>
      <c r="CX58" s="906">
        <f>WWWW[[#This Row],[HRP1]]/500</f>
        <v>0.28199999999999997</v>
      </c>
      <c r="CY58" s="911">
        <f>1-WWWW[[#This Row],[% Equitable and continuous access to sufficient quantity of domestic water]]</f>
        <v>0</v>
      </c>
      <c r="CZ58" s="906">
        <f>WWWW[[#This Row],[%equitable and continuous access to sufficient quantity of safe drinking and domestic water''s GAP]]*WWWW[[#This Row],[Total PoP ]]</f>
        <v>0</v>
      </c>
      <c r="DA58" s="909">
        <f>IF(WWWW[[#This Row],[Total required water points]]-WWWW[[#This Row],['#Water points coverage]]&lt;0,0,WWWW[[#This Row],[Total required water points]]-WWWW[[#This Row],['#Water points coverage]])</f>
        <v>0.71799999999999997</v>
      </c>
      <c r="DB58" s="909">
        <f>ROUND(IF(WWWW[[#This Row],[Total PoP ]]&lt;500,1,WWWW[[#This Row],[Total PoP ]]/500),0)</f>
        <v>1</v>
      </c>
      <c r="DC58" s="909">
        <f>(WWWW[[#This Row],['#_Constructed latrines_by_WASHAgencies]]+WWWW[[#This Row],['#_Non Cluster partner latrines]])-WWWW[[#This Row],['#_Non-functional latrines]]</f>
        <v>12</v>
      </c>
      <c r="DD58" s="615">
        <f>WWWW[[#This Row],[HRP2]]/WWWW[[#This Row],[Total PoP ]]</f>
        <v>1</v>
      </c>
      <c r="DE58"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141</v>
      </c>
      <c r="DF58"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8"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8" s="417">
        <f>IF(WWWW[[#This Row],['# of functional latrines in THF supported by WASH partners during the reporting period2]]="",0,WWWW[[#This Row],['# of functional latrines in THF supported by WASH partners during the reporting period2]]*50)</f>
        <v>0</v>
      </c>
      <c r="DI58" s="909">
        <f>ROUND(IF(WWWW[[#This Row],[Location Type 1]]="camp",WWWW[[#This Row],[Total PoP ]]/20,IF(WWWW[[#This Row],[Location Type 1]]="Temporary Location",WWWW[[#This Row],[Total PoP ]]/50,(WWWW[[#This Row],[Total PoP ]]/6))),0)</f>
        <v>7</v>
      </c>
      <c r="DJ58" s="909">
        <f>IF(WWWW[[#This Row],[Total required Latrines]]-(WWWW[[#This Row],['#_Constructed latrines_by_WASHAgencies]]+WWWW[[#This Row],['#_Non Cluster partner latrines]])&lt;0,0,WWWW[[#This Row],[Total required Latrines]]-(WWWW[[#This Row],['#_Constructed latrines_by_WASHAgencies]]+WWWW[[#This Row],['#_Non Cluster partner latrines]]))</f>
        <v>0</v>
      </c>
      <c r="DK58" s="911">
        <f>1-WWWW[[#This Row],[% people access to functioning Latrine]]</f>
        <v>0</v>
      </c>
      <c r="DL58" s="910">
        <f>IF(OR(WWWW[[#This Row],['#_Non-functional latrines]]="",WWWW[[#This Row],['#_Non-functional latrines]]=0),0,WWWW[[#This Row],['#_Non-functional latrines]]/(WWWW[[#This Row],['#_Constructed latrines_by_WASHAgencies]]+WWWW[[#This Row],['#_Non Cluster partner latrines]]))</f>
        <v>0</v>
      </c>
      <c r="DM58" s="906">
        <f>IF(500*(WWWW[[#This Row],['#_male hygiene promoters]]+WWWW[[#This Row],['#_female hygiene promoters]])&gt;WWWW[[#This Row],[Total PoP ]],WWWW[[#This Row],[Total PoP ]],500*(WWWW[[#This Row],['#_male hygiene promoters]]+WWWW[[#This Row],['#_female hygiene promoters]]))</f>
        <v>0</v>
      </c>
      <c r="DN58"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8"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8" s="909">
        <f>IF(WWWW[[#This Row],['# People with access to soap]]&gt;WWWW[[#This Row],['# People with access to Sanity Pads]],WWWW[[#This Row],['# People with access to soap]],WWWW[[#This Row],['# People with access to Sanity Pads]])</f>
        <v>0</v>
      </c>
      <c r="DQ58"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58" s="911">
        <f>IF(WWWW[[#This Row],[HRP3]]/WWWW[[#This Row],[Total PoP ]]&gt;1,1,WWWW[[#This Row],[HRP3]]/WWWW[[#This Row],[Total PoP ]])</f>
        <v>0</v>
      </c>
      <c r="DS58" s="910">
        <f>1-WWWW[[#This Row],[Hygiene Coverage%]]</f>
        <v>1</v>
      </c>
      <c r="DT58" s="908">
        <f>WWWW[[#This Row],['# people reached by regular dedicated hygiene promotion_5]]/WWWW[[#This Row],[Total PoP ]]</f>
        <v>0</v>
      </c>
      <c r="DU58"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8"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8" s="909">
        <f>WWWW[[#This Row],['#_Constructed/Existing hand washing stations]]-WWWW[[#This Row],['#_Non-Functional_hand_washing_stations]]</f>
        <v>8</v>
      </c>
      <c r="DX58" s="906">
        <f>IF(WWWW[[#This Row],['# Functional hand washing stations during reporting period]]*20&gt;WWWW[[#This Row],[Total HH]],WWWW[[#This Row],[Total HH]],WWWW[[#This Row],['# Functional hand washing stations during reporting period]]*20)</f>
        <v>27</v>
      </c>
      <c r="DY58" s="906">
        <f>IF(WWWW[[#This Row],[Is sufficient soap available for TLS? (Yes/No)]]="yes",WWWW[[#This Row],['#_Constructed/Existing hand washing stations at TLS/CFS/THF]],0)</f>
        <v>0</v>
      </c>
      <c r="DZ58" s="421">
        <f>IF(WWWW[[#This Row],['# Functional hand washing stations during reporting period]]*100&gt;WWWW[[#This Row],[Total PoP ]],WWWW[[#This Row],[Total PoP ]],WWWW[[#This Row],['# Functional hand washing stations during reporting period]]*100)</f>
        <v>141</v>
      </c>
      <c r="EA58" s="421" t="str">
        <f>IF(OR(WWWW[[#This Row],['#_students at TLS_CFS]]="",WWWW[[#This Row],['#_students at TLS_CFS]]=0),"No","Yes")</f>
        <v>No</v>
      </c>
      <c r="EB5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8" s="566">
        <f>WWWW[[#This Row],[%_of_affected_people_surveyed_who_report_feeling_satistfied_with_the_latrine_design_and_sanitation_service]]*WWWW[[#This Row],[Total PoP ]]</f>
        <v>0</v>
      </c>
      <c r="ED58" s="566">
        <f>WWWW[[#This Row],[%_of_affected_people_surveyed_who_report_feeling_satistfied_with_the_water_point_design_and_water_service]]*WWWW[[#This Row],[Total PoP ]]</f>
        <v>0</v>
      </c>
      <c r="EE58" s="566">
        <f>WWWW[[#This Row],[%_of_complaints_received_that_result_in_timely_corrective_action_and_feedback_to_the_community]]*WWWW[[#This Row],[Total PoP ]]</f>
        <v>0</v>
      </c>
      <c r="EF5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5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8" s="902" t="str">
        <f>VLOOKUP(WWWW[[#This Row],[Site Name]],SiteDB6[[Site Name]:[CCCM Management]],6,FALSE)</f>
        <v>Yes</v>
      </c>
      <c r="EJ58" s="902" t="str">
        <f>VLOOKUP(WWWW[[#This Row],[Site Name]],SiteDB6[[Site Name]:[CCCM Focal Agency]],7,FALSE)</f>
        <v>KBC-MYT</v>
      </c>
      <c r="EK58" s="902" t="str">
        <f>VLOOKUP(WWWW[[#This Row],[Site Name]],SiteDB6[[Site Name]:[Location Type 1]],9,FALSE)</f>
        <v>Camp</v>
      </c>
      <c r="EL58" s="902" t="str">
        <f>VLOOKUP(WWWW[[#This Row],[Site Name]],SiteDB6[[Site Name]:[Type of Accommodation]],10,FALSE)</f>
        <v>Camp</v>
      </c>
      <c r="EM58" s="902" t="str">
        <f>VLOOKUP(WWWW[[#This Row],[Site Name]],SiteDB6[[Site Name]:[Ethnic or GCA/NGCA]],11,FALSE)</f>
        <v>GCA</v>
      </c>
      <c r="EN58" s="902">
        <f>VLOOKUP(WWWW[[#This Row],[Site Name]],SiteDB6[[Site Name]:[Lat]],12,FALSE)</f>
        <v>25.225000000000001</v>
      </c>
      <c r="EO58" s="902">
        <f>VLOOKUP(WWWW[[#This Row],[Site Name]],SiteDB6[[Site Name]:[Long]],13,FALSE)</f>
        <v>96.793999999999997</v>
      </c>
      <c r="EP58" s="902" t="str">
        <f>VLOOKUP(WWWW[[#This Row],[Site Name]],SiteDB6[[Site Name]:[Pcode]],3,FALSE)</f>
        <v>MMR001CMP236</v>
      </c>
      <c r="EQ58" s="907" t="str">
        <f t="shared" si="0"/>
        <v>Covered</v>
      </c>
      <c r="ER58" s="907" t="s">
        <v>3126</v>
      </c>
      <c r="ES58" s="907" t="s">
        <v>3126</v>
      </c>
      <c r="ET58" s="902">
        <f>VLOOKUP(WWWW[[#This Row],[Site Name]],SiteDB6[[Site Name]:[Pop
(Kachin/Shan-CCCM as of May 2023)]],16,FALSE)</f>
        <v>25</v>
      </c>
      <c r="EU58" s="902">
        <f>VLOOKUP(WWWW[[#This Row],[Site Name]],SiteDB6[[Site Name]:[Pop
(Kachin/Shan-CCCM as of May 2023)]],17,FALSE)</f>
        <v>138</v>
      </c>
    </row>
    <row r="59" spans="1:151" hidden="1">
      <c r="A59" s="900" t="s">
        <v>2961</v>
      </c>
      <c r="B59" s="900" t="s">
        <v>36</v>
      </c>
      <c r="C59" s="901" t="s">
        <v>36</v>
      </c>
      <c r="D59" s="901" t="s">
        <v>241</v>
      </c>
      <c r="E59" s="901" t="s">
        <v>37</v>
      </c>
      <c r="F59" s="901" t="s">
        <v>148</v>
      </c>
      <c r="G59" s="902" t="str">
        <f>VLOOKUP(WWWW[[#This Row],[Site Name]],SiteDB6[[Site Name]:[Location Type]],8,FALSE)</f>
        <v>Camp</v>
      </c>
      <c r="H59" s="901" t="s">
        <v>1558</v>
      </c>
      <c r="I59" s="903">
        <v>14</v>
      </c>
      <c r="J59" s="903">
        <v>52</v>
      </c>
      <c r="K59" s="904">
        <v>44973</v>
      </c>
      <c r="L59" s="905">
        <v>45337</v>
      </c>
      <c r="M59" s="903">
        <v>155</v>
      </c>
      <c r="N59" s="903">
        <v>3</v>
      </c>
      <c r="O59" s="903"/>
      <c r="P59" s="903"/>
      <c r="Q59" s="906" t="s">
        <v>41</v>
      </c>
      <c r="R59" s="903">
        <v>3</v>
      </c>
      <c r="S59" s="903">
        <v>2</v>
      </c>
      <c r="T59" s="441">
        <v>1</v>
      </c>
      <c r="U59" s="903"/>
      <c r="V59" s="903"/>
      <c r="W59" s="903">
        <v>1</v>
      </c>
      <c r="X59" s="903"/>
      <c r="Y59" s="903"/>
      <c r="Z59" s="903"/>
      <c r="AA59" s="903">
        <v>1</v>
      </c>
      <c r="AB59" s="903"/>
      <c r="AC59" s="903"/>
      <c r="AD59" s="903"/>
      <c r="AE59" s="903"/>
      <c r="AF59" s="903"/>
      <c r="AG59" s="903"/>
      <c r="AH59" s="903">
        <v>7</v>
      </c>
      <c r="AI59" s="903"/>
      <c r="AJ59" s="903"/>
      <c r="AK59" s="903"/>
      <c r="AL59" s="903"/>
      <c r="AM59" s="903">
        <v>2</v>
      </c>
      <c r="AN59" s="903">
        <v>1</v>
      </c>
      <c r="AO59" s="441"/>
      <c r="AP59" s="907"/>
      <c r="AQ59" s="903">
        <v>4</v>
      </c>
      <c r="AR59" s="903"/>
      <c r="AS59" s="908"/>
      <c r="AT59" s="903"/>
      <c r="AU59" s="903"/>
      <c r="AV59" s="903"/>
      <c r="AW59" s="903"/>
      <c r="AX59" s="903"/>
      <c r="AY59" s="902" t="s">
        <v>41</v>
      </c>
      <c r="AZ59" s="907" t="s">
        <v>136</v>
      </c>
      <c r="BA59" s="903">
        <v>2</v>
      </c>
      <c r="BB59" s="903"/>
      <c r="BC59" s="903"/>
      <c r="BD59" s="441"/>
      <c r="BE59" s="441"/>
      <c r="BF59" s="902"/>
      <c r="BG59" s="903">
        <v>2</v>
      </c>
      <c r="BH59" s="903"/>
      <c r="BI59" s="903"/>
      <c r="BJ59" s="903">
        <v>2</v>
      </c>
      <c r="BK59" s="903"/>
      <c r="BL59" s="903"/>
      <c r="BM59" s="903">
        <v>1</v>
      </c>
      <c r="BN59" s="903"/>
      <c r="BO59" s="903"/>
      <c r="BP59" s="902" t="s">
        <v>41</v>
      </c>
      <c r="BQ59" s="909">
        <v>1</v>
      </c>
      <c r="BR59" s="908"/>
      <c r="BS59" s="902"/>
      <c r="BT59" s="416"/>
      <c r="BU59" s="416"/>
      <c r="BV59" s="418"/>
      <c r="BW59" s="416"/>
      <c r="BX59" s="441"/>
      <c r="BY59" s="441"/>
      <c r="BZ59" s="441"/>
      <c r="CA59" s="441"/>
      <c r="CB59" s="441"/>
      <c r="CC59" s="693"/>
      <c r="CD59" s="441"/>
      <c r="CE59" s="910" t="str">
        <f>IFERROR(WWWW[[#This Row],['#_Water sources passed]]/WWWW[[#This Row],['#_Water sources tested for fecal coliform ]],"no test")</f>
        <v>no test</v>
      </c>
      <c r="CF59" s="908" t="str">
        <f>IFERROR(WWWW[[#This Row],['#_Household passed]]/WWWW[[#This Row],['#_Household water samples tested for fecal coliform]],"no test")</f>
        <v>no test</v>
      </c>
      <c r="CG59" s="909" t="str">
        <f>IF(AND(WWWW[[#This Row],[% of water sources passed]]="no test",WWWW[[#This Row],[% Household passed]]="no test"),"No Test","Tested")</f>
        <v>No Test</v>
      </c>
      <c r="CH59" s="909">
        <f>WWWW[[#This Row],['#_Constructed/existing protected hand dug well]]-WWWW[[#This Row],['#_Non-functional protected hand dug well]]</f>
        <v>1</v>
      </c>
      <c r="CI59" s="909">
        <f>(WWWW[[#This Row],['#_Constructed/Existing tube wells/boreholes/handpumps_WASH_agency]]+WWWW[[#This Row],['#_Non-Cluster partner water tube-wells/boreholes/handpumps]])-WWWW[[#This Row],['#_Non-functional tube wells/boreholes/handpumps]]</f>
        <v>1</v>
      </c>
      <c r="CJ59" s="909">
        <f>WWWW[[#This Row],['#_Constructed/Existingwater storage tank with gravity fed reticulation system]]-WWWW[[#This Row],['#_Non-functional storage tank gravity fed reticulation system]]</f>
        <v>1</v>
      </c>
      <c r="CK59" s="909">
        <f>(WWWW[[#This Row],['#_Water_Liters_supplied_by_Water boating or water trucking]]/90)/15</f>
        <v>0</v>
      </c>
      <c r="CL59" s="909">
        <f>WWWW[[#This Row],['#_Water_Liters_from_Constructed/Existing water distribution system from river or natural spring]]/90/15</f>
        <v>0</v>
      </c>
      <c r="CM59" s="417">
        <f>IF(WWWW[[#This Row],['#_of water points in TLS/CFS]]*500&gt;WWWW[[#This Row],[Total PoP ]],WWWW[[#This Row],[Total PoP ]],WWWW[[#This Row],['#_of water points in TLS/CFS]]*500)</f>
        <v>52</v>
      </c>
      <c r="CN59" s="417">
        <f>IF(WWWW[[#This Row],['#_of water points in THF]]*500&gt;WWWW[[#This Row],[Total PoP ]],WWWW[[#This Row],[Total PoP ]],WWWW[[#This Row],['#_of water points in THF]]*500)</f>
        <v>0</v>
      </c>
      <c r="CO59" s="417"/>
      <c r="CP59"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59"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59" s="908">
        <f>IF(WWWW[[#This Row],[Location Type 1]]="Village",WWWW[[#This Row],[Access to safe drinking water for Village]],WWWW[[#This Row],[Access to safe drinking water for Camp]])</f>
        <v>1</v>
      </c>
      <c r="CS59" s="906">
        <f>WWWW[[#This Row],[%Equitable and continuous access to sufficient quantity of safe drinking water]]*WWWW[[#This Row],[Total PoP ]]</f>
        <v>52</v>
      </c>
      <c r="CT59" s="908">
        <f>IF((WWWW[[#This Row],['#_Constructed/Existing protected/fenced ponds]]*250)/WWWW[[#This Row],[Total PoP ]]&gt;1,1,(WWWW[[#This Row],['#_Constructed/Existing protected/fenced ponds]]*250)/WWWW[[#This Row],[Total PoP ]])</f>
        <v>0</v>
      </c>
      <c r="CU59" s="906">
        <f>WWWW[[#This Row],[% Access to unimproved water points]]*WWWW[[#This Row],[Total PoP ]]</f>
        <v>0</v>
      </c>
      <c r="CV59"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59"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52</v>
      </c>
      <c r="CX59" s="906">
        <f>WWWW[[#This Row],[HRP1]]/500</f>
        <v>0.104</v>
      </c>
      <c r="CY59" s="911">
        <f>1-WWWW[[#This Row],[% Equitable and continuous access to sufficient quantity of domestic water]]</f>
        <v>0</v>
      </c>
      <c r="CZ59" s="906">
        <f>WWWW[[#This Row],[%equitable and continuous access to sufficient quantity of safe drinking and domestic water''s GAP]]*WWWW[[#This Row],[Total PoP ]]</f>
        <v>0</v>
      </c>
      <c r="DA59" s="909">
        <f>IF(WWWW[[#This Row],[Total required water points]]-WWWW[[#This Row],['#Water points coverage]]&lt;0,0,WWWW[[#This Row],[Total required water points]]-WWWW[[#This Row],['#Water points coverage]])</f>
        <v>0.89600000000000002</v>
      </c>
      <c r="DB59" s="909">
        <f>ROUND(IF(WWWW[[#This Row],[Total PoP ]]&lt;500,1,WWWW[[#This Row],[Total PoP ]]/500),0)</f>
        <v>1</v>
      </c>
      <c r="DC59" s="909">
        <f>(WWWW[[#This Row],['#_Constructed latrines_by_WASHAgencies]]+WWWW[[#This Row],['#_Non Cluster partner latrines]])-WWWW[[#This Row],['#_Non-functional latrines]]</f>
        <v>4</v>
      </c>
      <c r="DD59" s="615">
        <f>WWWW[[#This Row],[HRP2]]/WWWW[[#This Row],[Total PoP ]]</f>
        <v>1</v>
      </c>
      <c r="DE59"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52</v>
      </c>
      <c r="DF59"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59"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59" s="417">
        <f>IF(WWWW[[#This Row],['# of functional latrines in THF supported by WASH partners during the reporting period2]]="",0,WWWW[[#This Row],['# of functional latrines in THF supported by WASH partners during the reporting period2]]*50)</f>
        <v>0</v>
      </c>
      <c r="DI59" s="909">
        <f>ROUND(IF(WWWW[[#This Row],[Location Type 1]]="camp",WWWW[[#This Row],[Total PoP ]]/20,IF(WWWW[[#This Row],[Location Type 1]]="Temporary Location",WWWW[[#This Row],[Total PoP ]]/50,(WWWW[[#This Row],[Total PoP ]]/6))),0)</f>
        <v>3</v>
      </c>
      <c r="DJ59" s="909">
        <f>IF(WWWW[[#This Row],[Total required Latrines]]-(WWWW[[#This Row],['#_Constructed latrines_by_WASHAgencies]]+WWWW[[#This Row],['#_Non Cluster partner latrines]])&lt;0,0,WWWW[[#This Row],[Total required Latrines]]-(WWWW[[#This Row],['#_Constructed latrines_by_WASHAgencies]]+WWWW[[#This Row],['#_Non Cluster partner latrines]]))</f>
        <v>0</v>
      </c>
      <c r="DK59" s="911">
        <f>1-WWWW[[#This Row],[% people access to functioning Latrine]]</f>
        <v>0</v>
      </c>
      <c r="DL59" s="910">
        <f>IF(OR(WWWW[[#This Row],['#_Non-functional latrines]]="",WWWW[[#This Row],['#_Non-functional latrines]]=0),0,WWWW[[#This Row],['#_Non-functional latrines]]/(WWWW[[#This Row],['#_Constructed latrines_by_WASHAgencies]]+WWWW[[#This Row],['#_Non Cluster partner latrines]]))</f>
        <v>0</v>
      </c>
      <c r="DM59" s="906">
        <f>IF(500*(WWWW[[#This Row],['#_male hygiene promoters]]+WWWW[[#This Row],['#_female hygiene promoters]])&gt;WWWW[[#This Row],[Total PoP ]],WWWW[[#This Row],[Total PoP ]],500*(WWWW[[#This Row],['#_male hygiene promoters]]+WWWW[[#This Row],['#_female hygiene promoters]]))</f>
        <v>52</v>
      </c>
      <c r="DN59"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59"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59" s="909">
        <f>IF(WWWW[[#This Row],['# People with access to soap]]&gt;WWWW[[#This Row],['# People with access to Sanity Pads]],WWWW[[#This Row],['# People with access to soap]],WWWW[[#This Row],['# People with access to Sanity Pads]])</f>
        <v>0</v>
      </c>
      <c r="DQ59" s="909">
        <f>IF(WWWW[[#This Row],['# people reached by regular dedicated hygiene promotion_5]]&gt;WWWW[[#This Row],['# People received regular supply of hygiene items_6]],WWWW[[#This Row],['# people reached by regular dedicated hygiene promotion_5]],WWWW[[#This Row],['# People received regular supply of hygiene items_6]])</f>
        <v>52</v>
      </c>
      <c r="DR59" s="911">
        <f>IF(WWWW[[#This Row],[HRP3]]/WWWW[[#This Row],[Total PoP ]]&gt;1,1,WWWW[[#This Row],[HRP3]]/WWWW[[#This Row],[Total PoP ]])</f>
        <v>1</v>
      </c>
      <c r="DS59" s="910">
        <f>1-WWWW[[#This Row],[Hygiene Coverage%]]</f>
        <v>0</v>
      </c>
      <c r="DT59" s="908">
        <f>WWWW[[#This Row],['# people reached by regular dedicated hygiene promotion_5]]/WWWW[[#This Row],[Total PoP ]]</f>
        <v>1</v>
      </c>
      <c r="DU59"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59"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59" s="909">
        <f>WWWW[[#This Row],['#_Constructed/Existing hand washing stations]]-WWWW[[#This Row],['#_Non-Functional_hand_washing_stations]]</f>
        <v>2</v>
      </c>
      <c r="DX59" s="906">
        <f>IF(WWWW[[#This Row],['# Functional hand washing stations during reporting period]]*20&gt;WWWW[[#This Row],[Total HH]],WWWW[[#This Row],[Total HH]],WWWW[[#This Row],['# Functional hand washing stations during reporting period]]*20)</f>
        <v>14</v>
      </c>
      <c r="DY59" s="906">
        <f>IF(WWWW[[#This Row],[Is sufficient soap available for TLS? (Yes/No)]]="yes",WWWW[[#This Row],['#_Constructed/Existing hand washing stations at TLS/CFS/THF]],0)</f>
        <v>2</v>
      </c>
      <c r="DZ59" s="421">
        <f>IF(WWWW[[#This Row],['# Functional hand washing stations during reporting period]]*100&gt;WWWW[[#This Row],[Total PoP ]],WWWW[[#This Row],[Total PoP ]],WWWW[[#This Row],['# Functional hand washing stations during reporting period]]*100)</f>
        <v>52</v>
      </c>
      <c r="EA59" s="421" t="str">
        <f>IF(OR(WWWW[[#This Row],['#_students at TLS_CFS]]="",WWWW[[#This Row],['#_students at TLS_CFS]]=0),"No","Yes")</f>
        <v>Yes</v>
      </c>
      <c r="EB5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59" s="566">
        <f>WWWW[[#This Row],[%_of_affected_people_surveyed_who_report_feeling_satistfied_with_the_latrine_design_and_sanitation_service]]*WWWW[[#This Row],[Total PoP ]]</f>
        <v>0</v>
      </c>
      <c r="ED59" s="566">
        <f>WWWW[[#This Row],[%_of_affected_people_surveyed_who_report_feeling_satistfied_with_the_water_point_design_and_water_service]]*WWWW[[#This Row],[Total PoP ]]</f>
        <v>0</v>
      </c>
      <c r="EE59" s="566">
        <f>WWWW[[#This Row],[%_of_complaints_received_that_result_in_timely_corrective_action_and_feedback_to_the_community]]*WWWW[[#This Row],[Total PoP ]]</f>
        <v>0</v>
      </c>
      <c r="EF5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5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52</v>
      </c>
      <c r="EH5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59" s="902">
        <f>VLOOKUP(WWWW[[#This Row],[Site Name]],SiteDB6[[Site Name]:[CCCM Management]],6,FALSE)</f>
        <v>0</v>
      </c>
      <c r="EJ59" s="902" t="str">
        <f>VLOOKUP(WWWW[[#This Row],[Site Name]],SiteDB6[[Site Name]:[CCCM Focal Agency]],7,FALSE)</f>
        <v>KMSS-MYT</v>
      </c>
      <c r="EK59" s="902" t="str">
        <f>VLOOKUP(WWWW[[#This Row],[Site Name]],SiteDB6[[Site Name]:[Location Type 1]],9,FALSE)</f>
        <v>Camp</v>
      </c>
      <c r="EL59" s="902" t="str">
        <f>VLOOKUP(WWWW[[#This Row],[Site Name]],SiteDB6[[Site Name]:[Type of Accommodation]],10,FALSE)</f>
        <v>Closed Camp</v>
      </c>
      <c r="EM59" s="902" t="str">
        <f>VLOOKUP(WWWW[[#This Row],[Site Name]],SiteDB6[[Site Name]:[Ethnic or GCA/NGCA]],11,FALSE)</f>
        <v>GCA</v>
      </c>
      <c r="EN59" s="902">
        <f>VLOOKUP(WWWW[[#This Row],[Site Name]],SiteDB6[[Site Name]:[Lat]],12,FALSE)</f>
        <v>25.522594999999999</v>
      </c>
      <c r="EO59" s="902">
        <f>VLOOKUP(WWWW[[#This Row],[Site Name]],SiteDB6[[Site Name]:[Long]],13,FALSE)</f>
        <v>96.711534</v>
      </c>
      <c r="EP59" s="902" t="str">
        <f>VLOOKUP(WWWW[[#This Row],[Site Name]],SiteDB6[[Site Name]:[Pcode]],3,FALSE)</f>
        <v>MMR001CMP270</v>
      </c>
      <c r="EQ59" s="907" t="str">
        <f t="shared" si="0"/>
        <v>Covered</v>
      </c>
      <c r="ER59" s="907" t="s">
        <v>3126</v>
      </c>
      <c r="ES59" s="907" t="s">
        <v>3126</v>
      </c>
      <c r="ET59" s="902">
        <f>VLOOKUP(WWWW[[#This Row],[Site Name]],SiteDB6[[Site Name]:[Pop
(Kachin/Shan-CCCM as of May 2023)]],16,FALSE)</f>
        <v>14</v>
      </c>
      <c r="EU59" s="902">
        <f>VLOOKUP(WWWW[[#This Row],[Site Name]],SiteDB6[[Site Name]:[Pop
(Kachin/Shan-CCCM as of May 2023)]],17,FALSE)</f>
        <v>52</v>
      </c>
    </row>
    <row r="60" spans="1:151" hidden="1">
      <c r="A60" s="900" t="s">
        <v>2961</v>
      </c>
      <c r="B60" s="900" t="s">
        <v>36</v>
      </c>
      <c r="C60" s="901" t="s">
        <v>36</v>
      </c>
      <c r="D60" s="901" t="s">
        <v>241</v>
      </c>
      <c r="E60" s="901" t="s">
        <v>37</v>
      </c>
      <c r="F60" s="901" t="s">
        <v>148</v>
      </c>
      <c r="G60" s="902" t="str">
        <f>VLOOKUP(WWWW[[#This Row],[Site Name]],SiteDB6[[Site Name]:[Location Type]],8,FALSE)</f>
        <v>Camp_not registered</v>
      </c>
      <c r="H60" s="901" t="s">
        <v>1586</v>
      </c>
      <c r="I60" s="903">
        <v>92</v>
      </c>
      <c r="J60" s="903">
        <v>460</v>
      </c>
      <c r="K60" s="904">
        <v>44973</v>
      </c>
      <c r="L60" s="905">
        <v>45337</v>
      </c>
      <c r="M60" s="903"/>
      <c r="N60" s="903">
        <v>5</v>
      </c>
      <c r="O60" s="903"/>
      <c r="P60" s="903"/>
      <c r="Q60" s="906" t="s">
        <v>41</v>
      </c>
      <c r="R60" s="903">
        <v>2</v>
      </c>
      <c r="S60" s="903">
        <v>5</v>
      </c>
      <c r="T60" s="441">
        <v>1</v>
      </c>
      <c r="U60" s="903"/>
      <c r="V60" s="903"/>
      <c r="W60" s="903"/>
      <c r="X60" s="903"/>
      <c r="Y60" s="903"/>
      <c r="Z60" s="903"/>
      <c r="AA60" s="903"/>
      <c r="AB60" s="903"/>
      <c r="AC60" s="903"/>
      <c r="AD60" s="903"/>
      <c r="AE60" s="903"/>
      <c r="AF60" s="903"/>
      <c r="AG60" s="903"/>
      <c r="AH60" s="903">
        <v>7</v>
      </c>
      <c r="AI60" s="903"/>
      <c r="AJ60" s="903"/>
      <c r="AK60" s="903"/>
      <c r="AL60" s="903"/>
      <c r="AM60" s="903"/>
      <c r="AN60" s="903"/>
      <c r="AO60" s="441"/>
      <c r="AP60" s="907"/>
      <c r="AQ60" s="903">
        <v>12</v>
      </c>
      <c r="AR60" s="903"/>
      <c r="AS60" s="908"/>
      <c r="AT60" s="903"/>
      <c r="AU60" s="903"/>
      <c r="AV60" s="903"/>
      <c r="AW60" s="903"/>
      <c r="AX60" s="903"/>
      <c r="AY60" s="902" t="s">
        <v>41</v>
      </c>
      <c r="AZ60" s="907" t="s">
        <v>137</v>
      </c>
      <c r="BA60" s="903">
        <v>3</v>
      </c>
      <c r="BB60" s="903"/>
      <c r="BC60" s="903"/>
      <c r="BD60" s="441"/>
      <c r="BE60" s="441"/>
      <c r="BF60" s="902"/>
      <c r="BG60" s="903">
        <v>1</v>
      </c>
      <c r="BH60" s="903"/>
      <c r="BI60" s="903"/>
      <c r="BJ60" s="903">
        <v>2</v>
      </c>
      <c r="BK60" s="903"/>
      <c r="BL60" s="903"/>
      <c r="BM60" s="903">
        <v>1</v>
      </c>
      <c r="BN60" s="903"/>
      <c r="BO60" s="903"/>
      <c r="BP60" s="902" t="s">
        <v>41</v>
      </c>
      <c r="BQ60" s="909">
        <v>1</v>
      </c>
      <c r="BR60" s="908"/>
      <c r="BS60" s="902"/>
      <c r="BT60" s="416"/>
      <c r="BU60" s="416"/>
      <c r="BV60" s="418"/>
      <c r="BW60" s="416"/>
      <c r="BX60" s="441"/>
      <c r="BY60" s="441"/>
      <c r="BZ60" s="441"/>
      <c r="CA60" s="441"/>
      <c r="CB60" s="441"/>
      <c r="CC60" s="693"/>
      <c r="CD60" s="441"/>
      <c r="CE60" s="910" t="str">
        <f>IFERROR(WWWW[[#This Row],['#_Water sources passed]]/WWWW[[#This Row],['#_Water sources tested for fecal coliform ]],"no test")</f>
        <v>no test</v>
      </c>
      <c r="CF60" s="908" t="str">
        <f>IFERROR(WWWW[[#This Row],['#_Household passed]]/WWWW[[#This Row],['#_Household water samples tested for fecal coliform]],"no test")</f>
        <v>no test</v>
      </c>
      <c r="CG60" s="909" t="str">
        <f>IF(AND(WWWW[[#This Row],[% of water sources passed]]="no test",WWWW[[#This Row],[% Household passed]]="no test"),"No Test","Tested")</f>
        <v>No Test</v>
      </c>
      <c r="CH60" s="909">
        <f>WWWW[[#This Row],['#_Constructed/existing protected hand dug well]]-WWWW[[#This Row],['#_Non-functional protected hand dug well]]</f>
        <v>1</v>
      </c>
      <c r="CI60" s="909">
        <f>(WWWW[[#This Row],['#_Constructed/Existing tube wells/boreholes/handpumps_WASH_agency]]+WWWW[[#This Row],['#_Non-Cluster partner water tube-wells/boreholes/handpumps]])-WWWW[[#This Row],['#_Non-functional tube wells/boreholes/handpumps]]</f>
        <v>0</v>
      </c>
      <c r="CJ60" s="909">
        <f>WWWW[[#This Row],['#_Constructed/Existingwater storage tank with gravity fed reticulation system]]-WWWW[[#This Row],['#_Non-functional storage tank gravity fed reticulation system]]</f>
        <v>0</v>
      </c>
      <c r="CK60" s="909">
        <f>(WWWW[[#This Row],['#_Water_Liters_supplied_by_Water boating or water trucking]]/90)/15</f>
        <v>0</v>
      </c>
      <c r="CL60" s="909">
        <f>WWWW[[#This Row],['#_Water_Liters_from_Constructed/Existing water distribution system from river or natural spring]]/90/15</f>
        <v>0</v>
      </c>
      <c r="CM60" s="417">
        <f>IF(WWWW[[#This Row],['#_of water points in TLS/CFS]]*500&gt;WWWW[[#This Row],[Total PoP ]],WWWW[[#This Row],[Total PoP ]],WWWW[[#This Row],['#_of water points in TLS/CFS]]*500)</f>
        <v>0</v>
      </c>
      <c r="CN60" s="417">
        <f>IF(WWWW[[#This Row],['#_of water points in THF]]*500&gt;WWWW[[#This Row],[Total PoP ]],WWWW[[#This Row],[Total PoP ]],WWWW[[#This Row],['#_of water points in THF]]*500)</f>
        <v>0</v>
      </c>
      <c r="CO60" s="417"/>
      <c r="CP60"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0.86956521739130432</v>
      </c>
      <c r="CQ60"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0.54347826086956519</v>
      </c>
      <c r="CR60" s="908">
        <f>IF(WWWW[[#This Row],[Location Type 1]]="Village",WWWW[[#This Row],[Access to safe drinking water for Village]],WWWW[[#This Row],[Access to safe drinking water for Camp]])</f>
        <v>0.86956521739130432</v>
      </c>
      <c r="CS60" s="906">
        <f>WWWW[[#This Row],[%Equitable and continuous access to sufficient quantity of safe drinking water]]*WWWW[[#This Row],[Total PoP ]]</f>
        <v>400</v>
      </c>
      <c r="CT60" s="908">
        <f>IF((WWWW[[#This Row],['#_Constructed/Existing protected/fenced ponds]]*250)/WWWW[[#This Row],[Total PoP ]]&gt;1,1,(WWWW[[#This Row],['#_Constructed/Existing protected/fenced ponds]]*250)/WWWW[[#This Row],[Total PoP ]])</f>
        <v>0</v>
      </c>
      <c r="CU60" s="906">
        <f>WWWW[[#This Row],[% Access to unimproved water points]]*WWWW[[#This Row],[Total PoP ]]</f>
        <v>0</v>
      </c>
      <c r="CV60"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0.86956521739130432</v>
      </c>
      <c r="CW60"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400</v>
      </c>
      <c r="CX60" s="906">
        <f>WWWW[[#This Row],[HRP1]]/500</f>
        <v>0.8</v>
      </c>
      <c r="CY60" s="911">
        <f>1-WWWW[[#This Row],[% Equitable and continuous access to sufficient quantity of domestic water]]</f>
        <v>0.13043478260869568</v>
      </c>
      <c r="CZ60" s="906">
        <f>WWWW[[#This Row],[%equitable and continuous access to sufficient quantity of safe drinking and domestic water''s GAP]]*WWWW[[#This Row],[Total PoP ]]</f>
        <v>60.000000000000014</v>
      </c>
      <c r="DA60" s="909">
        <f>IF(WWWW[[#This Row],[Total required water points]]-WWWW[[#This Row],['#Water points coverage]]&lt;0,0,WWWW[[#This Row],[Total required water points]]-WWWW[[#This Row],['#Water points coverage]])</f>
        <v>0.19999999999999996</v>
      </c>
      <c r="DB60" s="909">
        <f>ROUND(IF(WWWW[[#This Row],[Total PoP ]]&lt;500,1,WWWW[[#This Row],[Total PoP ]]/500),0)</f>
        <v>1</v>
      </c>
      <c r="DC60" s="909">
        <f>(WWWW[[#This Row],['#_Constructed latrines_by_WASHAgencies]]+WWWW[[#This Row],['#_Non Cluster partner latrines]])-WWWW[[#This Row],['#_Non-functional latrines]]</f>
        <v>12</v>
      </c>
      <c r="DD60" s="615">
        <f>WWWW[[#This Row],[HRP2]]/WWWW[[#This Row],[Total PoP ]]</f>
        <v>0.65217391304347827</v>
      </c>
      <c r="DE60"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300</v>
      </c>
      <c r="DF60"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0"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0" s="417">
        <f>IF(WWWW[[#This Row],['# of functional latrines in THF supported by WASH partners during the reporting period2]]="",0,WWWW[[#This Row],['# of functional latrines in THF supported by WASH partners during the reporting period2]]*50)</f>
        <v>0</v>
      </c>
      <c r="DI60" s="909">
        <f>ROUND(IF(WWWW[[#This Row],[Location Type 1]]="camp",WWWW[[#This Row],[Total PoP ]]/20,IF(WWWW[[#This Row],[Location Type 1]]="Temporary Location",WWWW[[#This Row],[Total PoP ]]/50,(WWWW[[#This Row],[Total PoP ]]/6))),0)</f>
        <v>23</v>
      </c>
      <c r="DJ60" s="909">
        <f>IF(WWWW[[#This Row],[Total required Latrines]]-(WWWW[[#This Row],['#_Constructed latrines_by_WASHAgencies]]+WWWW[[#This Row],['#_Non Cluster partner latrines]])&lt;0,0,WWWW[[#This Row],[Total required Latrines]]-(WWWW[[#This Row],['#_Constructed latrines_by_WASHAgencies]]+WWWW[[#This Row],['#_Non Cluster partner latrines]]))</f>
        <v>11</v>
      </c>
      <c r="DK60" s="911">
        <f>1-WWWW[[#This Row],[% people access to functioning Latrine]]</f>
        <v>0.34782608695652173</v>
      </c>
      <c r="DL60" s="910">
        <f>IF(OR(WWWW[[#This Row],['#_Non-functional latrines]]="",WWWW[[#This Row],['#_Non-functional latrines]]=0),0,WWWW[[#This Row],['#_Non-functional latrines]]/(WWWW[[#This Row],['#_Constructed latrines_by_WASHAgencies]]+WWWW[[#This Row],['#_Non Cluster partner latrines]]))</f>
        <v>0</v>
      </c>
      <c r="DM60" s="906">
        <f>IF(500*(WWWW[[#This Row],['#_male hygiene promoters]]+WWWW[[#This Row],['#_female hygiene promoters]])&gt;WWWW[[#This Row],[Total PoP ]],WWWW[[#This Row],[Total PoP ]],500*(WWWW[[#This Row],['#_male hygiene promoters]]+WWWW[[#This Row],['#_female hygiene promoters]]))</f>
        <v>460</v>
      </c>
      <c r="DN60"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0"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0" s="909">
        <f>IF(WWWW[[#This Row],['# People with access to soap]]&gt;WWWW[[#This Row],['# People with access to Sanity Pads]],WWWW[[#This Row],['# People with access to soap]],WWWW[[#This Row],['# People with access to Sanity Pads]])</f>
        <v>0</v>
      </c>
      <c r="DQ60" s="909">
        <f>IF(WWWW[[#This Row],['# people reached by regular dedicated hygiene promotion_5]]&gt;WWWW[[#This Row],['# People received regular supply of hygiene items_6]],WWWW[[#This Row],['# people reached by regular dedicated hygiene promotion_5]],WWWW[[#This Row],['# People received regular supply of hygiene items_6]])</f>
        <v>460</v>
      </c>
      <c r="DR60" s="911">
        <f>IF(WWWW[[#This Row],[HRP3]]/WWWW[[#This Row],[Total PoP ]]&gt;1,1,WWWW[[#This Row],[HRP3]]/WWWW[[#This Row],[Total PoP ]])</f>
        <v>1</v>
      </c>
      <c r="DS60" s="910">
        <f>1-WWWW[[#This Row],[Hygiene Coverage%]]</f>
        <v>0</v>
      </c>
      <c r="DT60" s="908">
        <f>WWWW[[#This Row],['# people reached by regular dedicated hygiene promotion_5]]/WWWW[[#This Row],[Total PoP ]]</f>
        <v>1</v>
      </c>
      <c r="DU60"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0"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0" s="909">
        <f>WWWW[[#This Row],['#_Constructed/Existing hand washing stations]]-WWWW[[#This Row],['#_Non-Functional_hand_washing_stations]]</f>
        <v>1</v>
      </c>
      <c r="DX60" s="906">
        <f>IF(WWWW[[#This Row],['# Functional hand washing stations during reporting period]]*20&gt;WWWW[[#This Row],[Total HH]],WWWW[[#This Row],[Total HH]],WWWW[[#This Row],['# Functional hand washing stations during reporting period]]*20)</f>
        <v>20</v>
      </c>
      <c r="DY60" s="906">
        <f>IF(WWWW[[#This Row],[Is sufficient soap available for TLS? (Yes/No)]]="yes",WWWW[[#This Row],['#_Constructed/Existing hand washing stations at TLS/CFS/THF]],0)</f>
        <v>0</v>
      </c>
      <c r="DZ60" s="421">
        <f>IF(WWWW[[#This Row],['# Functional hand washing stations during reporting period]]*100&gt;WWWW[[#This Row],[Total PoP ]],WWWW[[#This Row],[Total PoP ]],WWWW[[#This Row],['# Functional hand washing stations during reporting period]]*100)</f>
        <v>100</v>
      </c>
      <c r="EA60" s="421" t="str">
        <f>IF(OR(WWWW[[#This Row],['#_students at TLS_CFS]]="",WWWW[[#This Row],['#_students at TLS_CFS]]=0),"No","Yes")</f>
        <v>No</v>
      </c>
      <c r="EB6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0" s="566">
        <f>WWWW[[#This Row],[%_of_affected_people_surveyed_who_report_feeling_satistfied_with_the_latrine_design_and_sanitation_service]]*WWWW[[#This Row],[Total PoP ]]</f>
        <v>0</v>
      </c>
      <c r="ED60" s="566">
        <f>WWWW[[#This Row],[%_of_affected_people_surveyed_who_report_feeling_satistfied_with_the_water_point_design_and_water_service]]*WWWW[[#This Row],[Total PoP ]]</f>
        <v>0</v>
      </c>
      <c r="EE60" s="566">
        <f>WWWW[[#This Row],[%_of_complaints_received_that_result_in_timely_corrective_action_and_feedback_to_the_community]]*WWWW[[#This Row],[Total PoP ]]</f>
        <v>0</v>
      </c>
      <c r="EF6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0" s="902">
        <f>VLOOKUP(WWWW[[#This Row],[Site Name]],SiteDB6[[Site Name]:[CCCM Management]],6,FALSE)</f>
        <v>0</v>
      </c>
      <c r="EJ60" s="902">
        <f>VLOOKUP(WWWW[[#This Row],[Site Name]],SiteDB6[[Site Name]:[CCCM Focal Agency]],7,FALSE)</f>
        <v>0</v>
      </c>
      <c r="EK60" s="902" t="str">
        <f>VLOOKUP(WWWW[[#This Row],[Site Name]],SiteDB6[[Site Name]:[Location Type 1]],9,FALSE)</f>
        <v>Camp</v>
      </c>
      <c r="EL60" s="902" t="str">
        <f>VLOOKUP(WWWW[[#This Row],[Site Name]],SiteDB6[[Site Name]:[Type of Accommodation]],10,FALSE)</f>
        <v>Camp like setting</v>
      </c>
      <c r="EM60" s="902" t="str">
        <f>VLOOKUP(WWWW[[#This Row],[Site Name]],SiteDB6[[Site Name]:[Ethnic or GCA/NGCA]],11,FALSE)</f>
        <v>GCA</v>
      </c>
      <c r="EN60" s="902">
        <f>VLOOKUP(WWWW[[#This Row],[Site Name]],SiteDB6[[Site Name]:[Lat]],12,FALSE)</f>
        <v>0</v>
      </c>
      <c r="EO60" s="902">
        <f>VLOOKUP(WWWW[[#This Row],[Site Name]],SiteDB6[[Site Name]:[Long]],13,FALSE)</f>
        <v>0</v>
      </c>
      <c r="EP60" s="902">
        <f>VLOOKUP(WWWW[[#This Row],[Site Name]],SiteDB6[[Site Name]:[Pcode]],3,FALSE)</f>
        <v>0</v>
      </c>
      <c r="EQ60" s="907" t="str">
        <f t="shared" si="0"/>
        <v>Covered</v>
      </c>
      <c r="ER60" s="907" t="s">
        <v>3126</v>
      </c>
      <c r="ES60" s="907" t="s">
        <v>3126</v>
      </c>
      <c r="ET60" s="902">
        <f>VLOOKUP(WWWW[[#This Row],[Site Name]],SiteDB6[[Site Name]:[Pop
(Kachin/Shan-CCCM as of May 2023)]],16,FALSE)</f>
        <v>0</v>
      </c>
      <c r="EU60" s="902">
        <f>VLOOKUP(WWWW[[#This Row],[Site Name]],SiteDB6[[Site Name]:[Pop
(Kachin/Shan-CCCM as of May 2023)]],17,FALSE)</f>
        <v>0</v>
      </c>
    </row>
    <row r="61" spans="1:151" hidden="1">
      <c r="A61" s="900" t="s">
        <v>2961</v>
      </c>
      <c r="B61" s="900" t="s">
        <v>36</v>
      </c>
      <c r="C61" s="901" t="s">
        <v>36</v>
      </c>
      <c r="D61" s="901" t="s">
        <v>241</v>
      </c>
      <c r="E61" s="901" t="s">
        <v>37</v>
      </c>
      <c r="F61" s="901" t="s">
        <v>148</v>
      </c>
      <c r="G61" s="902" t="str">
        <f>VLOOKUP(WWWW[[#This Row],[Site Name]],SiteDB6[[Site Name]:[Location Type]],8,FALSE)</f>
        <v>Camp</v>
      </c>
      <c r="H61" s="901" t="s">
        <v>231</v>
      </c>
      <c r="I61" s="903">
        <v>47</v>
      </c>
      <c r="J61" s="903">
        <v>228</v>
      </c>
      <c r="K61" s="904">
        <v>44973</v>
      </c>
      <c r="L61" s="905">
        <v>45337</v>
      </c>
      <c r="M61" s="903"/>
      <c r="N61" s="903">
        <v>2</v>
      </c>
      <c r="O61" s="903"/>
      <c r="P61" s="903"/>
      <c r="Q61" s="906" t="s">
        <v>41</v>
      </c>
      <c r="R61" s="903">
        <v>3</v>
      </c>
      <c r="S61" s="903">
        <v>3</v>
      </c>
      <c r="T61" s="441">
        <v>1</v>
      </c>
      <c r="U61" s="903"/>
      <c r="V61" s="903"/>
      <c r="W61" s="903"/>
      <c r="X61" s="903"/>
      <c r="Y61" s="903"/>
      <c r="Z61" s="903"/>
      <c r="AA61" s="903"/>
      <c r="AB61" s="903"/>
      <c r="AC61" s="903"/>
      <c r="AD61" s="903"/>
      <c r="AE61" s="903"/>
      <c r="AF61" s="903"/>
      <c r="AG61" s="903"/>
      <c r="AH61" s="903">
        <v>5</v>
      </c>
      <c r="AI61" s="903"/>
      <c r="AJ61" s="903"/>
      <c r="AK61" s="903"/>
      <c r="AL61" s="903"/>
      <c r="AM61" s="903">
        <v>4</v>
      </c>
      <c r="AN61" s="903"/>
      <c r="AO61" s="441"/>
      <c r="AP61" s="907"/>
      <c r="AQ61" s="903">
        <v>16</v>
      </c>
      <c r="AR61" s="903"/>
      <c r="AS61" s="908"/>
      <c r="AT61" s="903"/>
      <c r="AU61" s="903"/>
      <c r="AV61" s="903"/>
      <c r="AW61" s="903"/>
      <c r="AX61" s="903"/>
      <c r="AY61" s="902" t="s">
        <v>41</v>
      </c>
      <c r="AZ61" s="907" t="s">
        <v>137</v>
      </c>
      <c r="BA61" s="903"/>
      <c r="BB61" s="903"/>
      <c r="BC61" s="903"/>
      <c r="BD61" s="441"/>
      <c r="BE61" s="441"/>
      <c r="BF61" s="902"/>
      <c r="BG61" s="903">
        <v>7</v>
      </c>
      <c r="BH61" s="903"/>
      <c r="BI61" s="903"/>
      <c r="BJ61" s="903">
        <v>2</v>
      </c>
      <c r="BK61" s="903"/>
      <c r="BL61" s="903"/>
      <c r="BM61" s="903">
        <v>1</v>
      </c>
      <c r="BN61" s="903"/>
      <c r="BO61" s="903"/>
      <c r="BP61" s="902" t="s">
        <v>41</v>
      </c>
      <c r="BQ61" s="909">
        <v>1</v>
      </c>
      <c r="BR61" s="908"/>
      <c r="BS61" s="902"/>
      <c r="BT61" s="416"/>
      <c r="BU61" s="416"/>
      <c r="BV61" s="418"/>
      <c r="BW61" s="416"/>
      <c r="BX61" s="441"/>
      <c r="BY61" s="441"/>
      <c r="BZ61" s="441"/>
      <c r="CA61" s="441"/>
      <c r="CB61" s="441"/>
      <c r="CC61" s="693"/>
      <c r="CD61" s="441"/>
      <c r="CE61" s="910" t="str">
        <f>IFERROR(WWWW[[#This Row],['#_Water sources passed]]/WWWW[[#This Row],['#_Water sources tested for fecal coliform ]],"no test")</f>
        <v>no test</v>
      </c>
      <c r="CF61" s="908" t="str">
        <f>IFERROR(WWWW[[#This Row],['#_Household passed]]/WWWW[[#This Row],['#_Household water samples tested for fecal coliform]],"no test")</f>
        <v>no test</v>
      </c>
      <c r="CG61" s="909" t="str">
        <f>IF(AND(WWWW[[#This Row],[% of water sources passed]]="no test",WWWW[[#This Row],[% Household passed]]="no test"),"No Test","Tested")</f>
        <v>No Test</v>
      </c>
      <c r="CH61" s="909">
        <f>WWWW[[#This Row],['#_Constructed/existing protected hand dug well]]-WWWW[[#This Row],['#_Non-functional protected hand dug well]]</f>
        <v>1</v>
      </c>
      <c r="CI61" s="909">
        <f>(WWWW[[#This Row],['#_Constructed/Existing tube wells/boreholes/handpumps_WASH_agency]]+WWWW[[#This Row],['#_Non-Cluster partner water tube-wells/boreholes/handpumps]])-WWWW[[#This Row],['#_Non-functional tube wells/boreholes/handpumps]]</f>
        <v>0</v>
      </c>
      <c r="CJ61" s="909">
        <f>WWWW[[#This Row],['#_Constructed/Existingwater storage tank with gravity fed reticulation system]]-WWWW[[#This Row],['#_Non-functional storage tank gravity fed reticulation system]]</f>
        <v>0</v>
      </c>
      <c r="CK61" s="909">
        <f>(WWWW[[#This Row],['#_Water_Liters_supplied_by_Water boating or water trucking]]/90)/15</f>
        <v>0</v>
      </c>
      <c r="CL61" s="909">
        <f>WWWW[[#This Row],['#_Water_Liters_from_Constructed/Existing water distribution system from river or natural spring]]/90/15</f>
        <v>0</v>
      </c>
      <c r="CM61" s="417">
        <f>IF(WWWW[[#This Row],['#_of water points in TLS/CFS]]*500&gt;WWWW[[#This Row],[Total PoP ]],WWWW[[#This Row],[Total PoP ]],WWWW[[#This Row],['#_of water points in TLS/CFS]]*500)</f>
        <v>0</v>
      </c>
      <c r="CN61" s="417">
        <f>IF(WWWW[[#This Row],['#_of water points in THF]]*500&gt;WWWW[[#This Row],[Total PoP ]],WWWW[[#This Row],[Total PoP ]],WWWW[[#This Row],['#_of water points in THF]]*500)</f>
        <v>0</v>
      </c>
      <c r="CO61" s="417"/>
      <c r="CP61"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61"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61" s="908">
        <f>IF(WWWW[[#This Row],[Location Type 1]]="Village",WWWW[[#This Row],[Access to safe drinking water for Village]],WWWW[[#This Row],[Access to safe drinking water for Camp]])</f>
        <v>1</v>
      </c>
      <c r="CS61" s="906">
        <f>WWWW[[#This Row],[%Equitable and continuous access to sufficient quantity of safe drinking water]]*WWWW[[#This Row],[Total PoP ]]</f>
        <v>228</v>
      </c>
      <c r="CT61" s="908">
        <f>IF((WWWW[[#This Row],['#_Constructed/Existing protected/fenced ponds]]*250)/WWWW[[#This Row],[Total PoP ]]&gt;1,1,(WWWW[[#This Row],['#_Constructed/Existing protected/fenced ponds]]*250)/WWWW[[#This Row],[Total PoP ]])</f>
        <v>0</v>
      </c>
      <c r="CU61" s="906">
        <f>WWWW[[#This Row],[% Access to unimproved water points]]*WWWW[[#This Row],[Total PoP ]]</f>
        <v>0</v>
      </c>
      <c r="CV61"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61"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228</v>
      </c>
      <c r="CX61" s="906">
        <f>WWWW[[#This Row],[HRP1]]/500</f>
        <v>0.45600000000000002</v>
      </c>
      <c r="CY61" s="911">
        <f>1-WWWW[[#This Row],[% Equitable and continuous access to sufficient quantity of domestic water]]</f>
        <v>0</v>
      </c>
      <c r="CZ61" s="906">
        <f>WWWW[[#This Row],[%equitable and continuous access to sufficient quantity of safe drinking and domestic water''s GAP]]*WWWW[[#This Row],[Total PoP ]]</f>
        <v>0</v>
      </c>
      <c r="DA61" s="909">
        <f>IF(WWWW[[#This Row],[Total required water points]]-WWWW[[#This Row],['#Water points coverage]]&lt;0,0,WWWW[[#This Row],[Total required water points]]-WWWW[[#This Row],['#Water points coverage]])</f>
        <v>0.54400000000000004</v>
      </c>
      <c r="DB61" s="909">
        <f>ROUND(IF(WWWW[[#This Row],[Total PoP ]]&lt;500,1,WWWW[[#This Row],[Total PoP ]]/500),0)</f>
        <v>1</v>
      </c>
      <c r="DC61" s="909">
        <f>(WWWW[[#This Row],['#_Constructed latrines_by_WASHAgencies]]+WWWW[[#This Row],['#_Non Cluster partner latrines]])-WWWW[[#This Row],['#_Non-functional latrines]]</f>
        <v>16</v>
      </c>
      <c r="DD61" s="615">
        <f>WWWW[[#This Row],[HRP2]]/WWWW[[#This Row],[Total PoP ]]</f>
        <v>1</v>
      </c>
      <c r="DE61"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228</v>
      </c>
      <c r="DF61"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1"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1" s="417">
        <f>IF(WWWW[[#This Row],['# of functional latrines in THF supported by WASH partners during the reporting period2]]="",0,WWWW[[#This Row],['# of functional latrines in THF supported by WASH partners during the reporting period2]]*50)</f>
        <v>0</v>
      </c>
      <c r="DI61" s="909">
        <f>ROUND(IF(WWWW[[#This Row],[Location Type 1]]="camp",WWWW[[#This Row],[Total PoP ]]/20,IF(WWWW[[#This Row],[Location Type 1]]="Temporary Location",WWWW[[#This Row],[Total PoP ]]/50,(WWWW[[#This Row],[Total PoP ]]/6))),0)</f>
        <v>11</v>
      </c>
      <c r="DJ61" s="909">
        <f>IF(WWWW[[#This Row],[Total required Latrines]]-(WWWW[[#This Row],['#_Constructed latrines_by_WASHAgencies]]+WWWW[[#This Row],['#_Non Cluster partner latrines]])&lt;0,0,WWWW[[#This Row],[Total required Latrines]]-(WWWW[[#This Row],['#_Constructed latrines_by_WASHAgencies]]+WWWW[[#This Row],['#_Non Cluster partner latrines]]))</f>
        <v>0</v>
      </c>
      <c r="DK61" s="911">
        <f>1-WWWW[[#This Row],[% people access to functioning Latrine]]</f>
        <v>0</v>
      </c>
      <c r="DL61" s="910">
        <f>IF(OR(WWWW[[#This Row],['#_Non-functional latrines]]="",WWWW[[#This Row],['#_Non-functional latrines]]=0),0,WWWW[[#This Row],['#_Non-functional latrines]]/(WWWW[[#This Row],['#_Constructed latrines_by_WASHAgencies]]+WWWW[[#This Row],['#_Non Cluster partner latrines]]))</f>
        <v>0</v>
      </c>
      <c r="DM61" s="906">
        <f>IF(500*(WWWW[[#This Row],['#_male hygiene promoters]]+WWWW[[#This Row],['#_female hygiene promoters]])&gt;WWWW[[#This Row],[Total PoP ]],WWWW[[#This Row],[Total PoP ]],500*(WWWW[[#This Row],['#_male hygiene promoters]]+WWWW[[#This Row],['#_female hygiene promoters]]))</f>
        <v>228</v>
      </c>
      <c r="DN61"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1"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1" s="909">
        <f>IF(WWWW[[#This Row],['# People with access to soap]]&gt;WWWW[[#This Row],['# People with access to Sanity Pads]],WWWW[[#This Row],['# People with access to soap]],WWWW[[#This Row],['# People with access to Sanity Pads]])</f>
        <v>0</v>
      </c>
      <c r="DQ61" s="909">
        <f>IF(WWWW[[#This Row],['# people reached by regular dedicated hygiene promotion_5]]&gt;WWWW[[#This Row],['# People received regular supply of hygiene items_6]],WWWW[[#This Row],['# people reached by regular dedicated hygiene promotion_5]],WWWW[[#This Row],['# People received regular supply of hygiene items_6]])</f>
        <v>228</v>
      </c>
      <c r="DR61" s="911">
        <f>IF(WWWW[[#This Row],[HRP3]]/WWWW[[#This Row],[Total PoP ]]&gt;1,1,WWWW[[#This Row],[HRP3]]/WWWW[[#This Row],[Total PoP ]])</f>
        <v>1</v>
      </c>
      <c r="DS61" s="910">
        <f>1-WWWW[[#This Row],[Hygiene Coverage%]]</f>
        <v>0</v>
      </c>
      <c r="DT61" s="908">
        <f>WWWW[[#This Row],['# people reached by regular dedicated hygiene promotion_5]]/WWWW[[#This Row],[Total PoP ]]</f>
        <v>1</v>
      </c>
      <c r="DU61"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1"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1" s="909">
        <f>WWWW[[#This Row],['#_Constructed/Existing hand washing stations]]-WWWW[[#This Row],['#_Non-Functional_hand_washing_stations]]</f>
        <v>7</v>
      </c>
      <c r="DX61" s="906">
        <f>IF(WWWW[[#This Row],['# Functional hand washing stations during reporting period]]*20&gt;WWWW[[#This Row],[Total HH]],WWWW[[#This Row],[Total HH]],WWWW[[#This Row],['# Functional hand washing stations during reporting period]]*20)</f>
        <v>47</v>
      </c>
      <c r="DY61" s="906">
        <f>IF(WWWW[[#This Row],[Is sufficient soap available for TLS? (Yes/No)]]="yes",WWWW[[#This Row],['#_Constructed/Existing hand washing stations at TLS/CFS/THF]],0)</f>
        <v>4</v>
      </c>
      <c r="DZ61" s="421">
        <f>IF(WWWW[[#This Row],['# Functional hand washing stations during reporting period]]*100&gt;WWWW[[#This Row],[Total PoP ]],WWWW[[#This Row],[Total PoP ]],WWWW[[#This Row],['# Functional hand washing stations during reporting period]]*100)</f>
        <v>228</v>
      </c>
      <c r="EA61" s="421" t="str">
        <f>IF(OR(WWWW[[#This Row],['#_students at TLS_CFS]]="",WWWW[[#This Row],['#_students at TLS_CFS]]=0),"No","Yes")</f>
        <v>No</v>
      </c>
      <c r="EB6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1" s="566">
        <f>WWWW[[#This Row],[%_of_affected_people_surveyed_who_report_feeling_satistfied_with_the_latrine_design_and_sanitation_service]]*WWWW[[#This Row],[Total PoP ]]</f>
        <v>0</v>
      </c>
      <c r="ED61" s="566">
        <f>WWWW[[#This Row],[%_of_affected_people_surveyed_who_report_feeling_satistfied_with_the_water_point_design_and_water_service]]*WWWW[[#This Row],[Total PoP ]]</f>
        <v>0</v>
      </c>
      <c r="EE61" s="566">
        <f>WWWW[[#This Row],[%_of_complaints_received_that_result_in_timely_corrective_action_and_feedback_to_the_community]]*WWWW[[#This Row],[Total PoP ]]</f>
        <v>0</v>
      </c>
      <c r="EF6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1" s="902" t="str">
        <f>VLOOKUP(WWWW[[#This Row],[Site Name]],SiteDB6[[Site Name]:[CCCM Management]],6,FALSE)</f>
        <v>Yes</v>
      </c>
      <c r="EJ61" s="902" t="str">
        <f>VLOOKUP(WWWW[[#This Row],[Site Name]],SiteDB6[[Site Name]:[CCCM Focal Agency]],7,FALSE)</f>
        <v>KMSS-MYT</v>
      </c>
      <c r="EK61" s="902" t="str">
        <f>VLOOKUP(WWWW[[#This Row],[Site Name]],SiteDB6[[Site Name]:[Location Type 1]],9,FALSE)</f>
        <v>Camp</v>
      </c>
      <c r="EL61" s="902" t="str">
        <f>VLOOKUP(WWWW[[#This Row],[Site Name]],SiteDB6[[Site Name]:[Type of Accommodation]],10,FALSE)</f>
        <v>Camp</v>
      </c>
      <c r="EM61" s="902" t="str">
        <f>VLOOKUP(WWWW[[#This Row],[Site Name]],SiteDB6[[Site Name]:[Ethnic or GCA/NGCA]],11,FALSE)</f>
        <v>GCA</v>
      </c>
      <c r="EN61" s="902">
        <f>VLOOKUP(WWWW[[#This Row],[Site Name]],SiteDB6[[Site Name]:[Lat]],12,FALSE)</f>
        <v>25.613894999999999</v>
      </c>
      <c r="EO61" s="902">
        <f>VLOOKUP(WWWW[[#This Row],[Site Name]],SiteDB6[[Site Name]:[Long]],13,FALSE)</f>
        <v>96.341352999999998</v>
      </c>
      <c r="EP61" s="902" t="str">
        <f>VLOOKUP(WWWW[[#This Row],[Site Name]],SiteDB6[[Site Name]:[Pcode]],3,FALSE)</f>
        <v>MMR001CMP103</v>
      </c>
      <c r="EQ61" s="907" t="str">
        <f t="shared" si="0"/>
        <v>Covered</v>
      </c>
      <c r="ER61" s="907" t="s">
        <v>3126</v>
      </c>
      <c r="ES61" s="907" t="s">
        <v>3126</v>
      </c>
      <c r="ET61" s="902">
        <f>VLOOKUP(WWWW[[#This Row],[Site Name]],SiteDB6[[Site Name]:[Pop
(Kachin/Shan-CCCM as of May 2023)]],16,FALSE)</f>
        <v>46</v>
      </c>
      <c r="EU61" s="902">
        <f>VLOOKUP(WWWW[[#This Row],[Site Name]],SiteDB6[[Site Name]:[Pop
(Kachin/Shan-CCCM as of May 2023)]],17,FALSE)</f>
        <v>227</v>
      </c>
    </row>
    <row r="62" spans="1:151" hidden="1">
      <c r="A62" s="900" t="s">
        <v>2961</v>
      </c>
      <c r="B62" s="900" t="s">
        <v>36</v>
      </c>
      <c r="C62" s="901" t="s">
        <v>36</v>
      </c>
      <c r="D62" s="901" t="s">
        <v>241</v>
      </c>
      <c r="E62" s="901" t="s">
        <v>37</v>
      </c>
      <c r="F62" s="901" t="s">
        <v>38</v>
      </c>
      <c r="G62" s="902" t="str">
        <f>VLOOKUP(WWWW[[#This Row],[Site Name]],SiteDB6[[Site Name]:[Location Type]],8,FALSE)</f>
        <v>Camp</v>
      </c>
      <c r="H62" s="901" t="s">
        <v>39</v>
      </c>
      <c r="I62" s="903">
        <v>154</v>
      </c>
      <c r="J62" s="903">
        <v>694</v>
      </c>
      <c r="K62" s="904">
        <v>44414</v>
      </c>
      <c r="L62" s="905">
        <v>44778</v>
      </c>
      <c r="M62" s="903"/>
      <c r="N62" s="903">
        <v>5</v>
      </c>
      <c r="O62" s="903"/>
      <c r="P62" s="903"/>
      <c r="Q62" s="906" t="s">
        <v>41</v>
      </c>
      <c r="R62" s="903">
        <v>3</v>
      </c>
      <c r="S62" s="903">
        <v>4</v>
      </c>
      <c r="T62" s="441">
        <v>1</v>
      </c>
      <c r="U62" s="903"/>
      <c r="V62" s="903"/>
      <c r="W62" s="903">
        <v>3</v>
      </c>
      <c r="X62" s="903">
        <v>2</v>
      </c>
      <c r="Y62" s="903"/>
      <c r="Z62" s="903"/>
      <c r="AA62" s="903"/>
      <c r="AB62" s="903"/>
      <c r="AC62" s="903"/>
      <c r="AD62" s="903"/>
      <c r="AE62" s="903"/>
      <c r="AF62" s="903"/>
      <c r="AG62" s="903"/>
      <c r="AH62" s="903"/>
      <c r="AI62" s="903"/>
      <c r="AJ62" s="903"/>
      <c r="AK62" s="903"/>
      <c r="AL62" s="903"/>
      <c r="AM62" s="903"/>
      <c r="AN62" s="903"/>
      <c r="AO62" s="441"/>
      <c r="AP62" s="907"/>
      <c r="AQ62" s="903">
        <v>61</v>
      </c>
      <c r="AR62" s="903"/>
      <c r="AS62" s="908"/>
      <c r="AT62" s="903"/>
      <c r="AU62" s="903"/>
      <c r="AV62" s="903"/>
      <c r="AW62" s="903"/>
      <c r="AX62" s="903"/>
      <c r="AY62" s="902" t="s">
        <v>41</v>
      </c>
      <c r="AZ62" s="907" t="s">
        <v>137</v>
      </c>
      <c r="BA62" s="903"/>
      <c r="BB62" s="903"/>
      <c r="BC62" s="903"/>
      <c r="BD62" s="441"/>
      <c r="BE62" s="441"/>
      <c r="BF62" s="902"/>
      <c r="BG62" s="903">
        <v>10</v>
      </c>
      <c r="BH62" s="903"/>
      <c r="BI62" s="903"/>
      <c r="BJ62" s="903">
        <v>7</v>
      </c>
      <c r="BK62" s="903"/>
      <c r="BL62" s="903"/>
      <c r="BM62" s="903">
        <v>2</v>
      </c>
      <c r="BN62" s="903"/>
      <c r="BO62" s="903"/>
      <c r="BP62" s="902" t="s">
        <v>41</v>
      </c>
      <c r="BQ62" s="909"/>
      <c r="BR62" s="908"/>
      <c r="BS62" s="902"/>
      <c r="BT62" s="416"/>
      <c r="BU62" s="416"/>
      <c r="BV62" s="418"/>
      <c r="BW62" s="416"/>
      <c r="BX62" s="441"/>
      <c r="BY62" s="441"/>
      <c r="BZ62" s="441"/>
      <c r="CA62" s="441"/>
      <c r="CB62" s="441"/>
      <c r="CC62" s="693"/>
      <c r="CD62" s="441"/>
      <c r="CE62" s="910" t="str">
        <f>IFERROR(WWWW[[#This Row],['#_Water sources passed]]/WWWW[[#This Row],['#_Water sources tested for fecal coliform ]],"no test")</f>
        <v>no test</v>
      </c>
      <c r="CF62" s="908" t="str">
        <f>IFERROR(WWWW[[#This Row],['#_Household passed]]/WWWW[[#This Row],['#_Household water samples tested for fecal coliform]],"no test")</f>
        <v>no test</v>
      </c>
      <c r="CG62" s="909" t="str">
        <f>IF(AND(WWWW[[#This Row],[% of water sources passed]]="no test",WWWW[[#This Row],[% Household passed]]="no test"),"No Test","Tested")</f>
        <v>No Test</v>
      </c>
      <c r="CH62" s="909">
        <f>WWWW[[#This Row],['#_Constructed/existing protected hand dug well]]-WWWW[[#This Row],['#_Non-functional protected hand dug well]]</f>
        <v>1</v>
      </c>
      <c r="CI62" s="909">
        <f>(WWWW[[#This Row],['#_Constructed/Existing tube wells/boreholes/handpumps_WASH_agency]]+WWWW[[#This Row],['#_Non-Cluster partner water tube-wells/boreholes/handpumps]])-WWWW[[#This Row],['#_Non-functional tube wells/boreholes/handpumps]]</f>
        <v>5</v>
      </c>
      <c r="CJ62" s="909">
        <f>WWWW[[#This Row],['#_Constructed/Existingwater storage tank with gravity fed reticulation system]]-WWWW[[#This Row],['#_Non-functional storage tank gravity fed reticulation system]]</f>
        <v>0</v>
      </c>
      <c r="CK62" s="909">
        <f>(WWWW[[#This Row],['#_Water_Liters_supplied_by_Water boating or water trucking]]/90)/15</f>
        <v>0</v>
      </c>
      <c r="CL62" s="909">
        <f>WWWW[[#This Row],['#_Water_Liters_from_Constructed/Existing water distribution system from river or natural spring]]/90/15</f>
        <v>0</v>
      </c>
      <c r="CM62" s="417">
        <f>IF(WWWW[[#This Row],['#_of water points in TLS/CFS]]*500&gt;WWWW[[#This Row],[Total PoP ]],WWWW[[#This Row],[Total PoP ]],WWWW[[#This Row],['#_of water points in TLS/CFS]]*500)</f>
        <v>0</v>
      </c>
      <c r="CN62" s="417">
        <f>IF(WWWW[[#This Row],['#_of water points in THF]]*500&gt;WWWW[[#This Row],[Total PoP ]],WWWW[[#This Row],[Total PoP ]],WWWW[[#This Row],['#_of water points in THF]]*500)</f>
        <v>0</v>
      </c>
      <c r="CO62" s="417"/>
      <c r="CP62"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62"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62" s="908">
        <f>IF(WWWW[[#This Row],[Location Type 1]]="Village",WWWW[[#This Row],[Access to safe drinking water for Village]],WWWW[[#This Row],[Access to safe drinking water for Camp]])</f>
        <v>1</v>
      </c>
      <c r="CS62" s="906">
        <f>WWWW[[#This Row],[%Equitable and continuous access to sufficient quantity of safe drinking water]]*WWWW[[#This Row],[Total PoP ]]</f>
        <v>694</v>
      </c>
      <c r="CT62" s="908">
        <f>IF((WWWW[[#This Row],['#_Constructed/Existing protected/fenced ponds]]*250)/WWWW[[#This Row],[Total PoP ]]&gt;1,1,(WWWW[[#This Row],['#_Constructed/Existing protected/fenced ponds]]*250)/WWWW[[#This Row],[Total PoP ]])</f>
        <v>0</v>
      </c>
      <c r="CU62" s="906">
        <f>WWWW[[#This Row],[% Access to unimproved water points]]*WWWW[[#This Row],[Total PoP ]]</f>
        <v>0</v>
      </c>
      <c r="CV62"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62"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694</v>
      </c>
      <c r="CX62" s="906">
        <f>WWWW[[#This Row],[HRP1]]/500</f>
        <v>1.3879999999999999</v>
      </c>
      <c r="CY62" s="911">
        <f>1-WWWW[[#This Row],[% Equitable and continuous access to sufficient quantity of domestic water]]</f>
        <v>0</v>
      </c>
      <c r="CZ62" s="906">
        <f>WWWW[[#This Row],[%equitable and continuous access to sufficient quantity of safe drinking and domestic water''s GAP]]*WWWW[[#This Row],[Total PoP ]]</f>
        <v>0</v>
      </c>
      <c r="DA62" s="909">
        <f>IF(WWWW[[#This Row],[Total required water points]]-WWWW[[#This Row],['#Water points coverage]]&lt;0,0,WWWW[[#This Row],[Total required water points]]-WWWW[[#This Row],['#Water points coverage]])</f>
        <v>0</v>
      </c>
      <c r="DB62" s="909">
        <f>ROUND(IF(WWWW[[#This Row],[Total PoP ]]&lt;500,1,WWWW[[#This Row],[Total PoP ]]/500),0)</f>
        <v>1</v>
      </c>
      <c r="DC62" s="909">
        <f>(WWWW[[#This Row],['#_Constructed latrines_by_WASHAgencies]]+WWWW[[#This Row],['#_Non Cluster partner latrines]])-WWWW[[#This Row],['#_Non-functional latrines]]</f>
        <v>61</v>
      </c>
      <c r="DD62" s="615">
        <f>WWWW[[#This Row],[HRP2]]/WWWW[[#This Row],[Total PoP ]]</f>
        <v>1</v>
      </c>
      <c r="DE62"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694</v>
      </c>
      <c r="DF62"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2"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2" s="417">
        <f>IF(WWWW[[#This Row],['# of functional latrines in THF supported by WASH partners during the reporting period2]]="",0,WWWW[[#This Row],['# of functional latrines in THF supported by WASH partners during the reporting period2]]*50)</f>
        <v>0</v>
      </c>
      <c r="DI62" s="909">
        <f>ROUND(IF(WWWW[[#This Row],[Location Type 1]]="camp",WWWW[[#This Row],[Total PoP ]]/20,IF(WWWW[[#This Row],[Location Type 1]]="Temporary Location",WWWW[[#This Row],[Total PoP ]]/50,(WWWW[[#This Row],[Total PoP ]]/6))),0)</f>
        <v>35</v>
      </c>
      <c r="DJ62" s="909">
        <f>IF(WWWW[[#This Row],[Total required Latrines]]-(WWWW[[#This Row],['#_Constructed latrines_by_WASHAgencies]]+WWWW[[#This Row],['#_Non Cluster partner latrines]])&lt;0,0,WWWW[[#This Row],[Total required Latrines]]-(WWWW[[#This Row],['#_Constructed latrines_by_WASHAgencies]]+WWWW[[#This Row],['#_Non Cluster partner latrines]]))</f>
        <v>0</v>
      </c>
      <c r="DK62" s="911">
        <f>1-WWWW[[#This Row],[% people access to functioning Latrine]]</f>
        <v>0</v>
      </c>
      <c r="DL62" s="910">
        <f>IF(OR(WWWW[[#This Row],['#_Non-functional latrines]]="",WWWW[[#This Row],['#_Non-functional latrines]]=0),0,WWWW[[#This Row],['#_Non-functional latrines]]/(WWWW[[#This Row],['#_Constructed latrines_by_WASHAgencies]]+WWWW[[#This Row],['#_Non Cluster partner latrines]]))</f>
        <v>0</v>
      </c>
      <c r="DM62" s="906">
        <f>IF(500*(WWWW[[#This Row],['#_male hygiene promoters]]+WWWW[[#This Row],['#_female hygiene promoters]])&gt;WWWW[[#This Row],[Total PoP ]],WWWW[[#This Row],[Total PoP ]],500*(WWWW[[#This Row],['#_male hygiene promoters]]+WWWW[[#This Row],['#_female hygiene promoters]]))</f>
        <v>694</v>
      </c>
      <c r="DN62"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2"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2" s="909">
        <f>IF(WWWW[[#This Row],['# People with access to soap]]&gt;WWWW[[#This Row],['# People with access to Sanity Pads]],WWWW[[#This Row],['# People with access to soap]],WWWW[[#This Row],['# People with access to Sanity Pads]])</f>
        <v>0</v>
      </c>
      <c r="DQ62" s="909">
        <f>IF(WWWW[[#This Row],['# people reached by regular dedicated hygiene promotion_5]]&gt;WWWW[[#This Row],['# People received regular supply of hygiene items_6]],WWWW[[#This Row],['# people reached by regular dedicated hygiene promotion_5]],WWWW[[#This Row],['# People received regular supply of hygiene items_6]])</f>
        <v>694</v>
      </c>
      <c r="DR62" s="911">
        <f>IF(WWWW[[#This Row],[HRP3]]/WWWW[[#This Row],[Total PoP ]]&gt;1,1,WWWW[[#This Row],[HRP3]]/WWWW[[#This Row],[Total PoP ]])</f>
        <v>1</v>
      </c>
      <c r="DS62" s="910">
        <f>1-WWWW[[#This Row],[Hygiene Coverage%]]</f>
        <v>0</v>
      </c>
      <c r="DT62" s="908">
        <f>WWWW[[#This Row],['# people reached by regular dedicated hygiene promotion_5]]/WWWW[[#This Row],[Total PoP ]]</f>
        <v>1</v>
      </c>
      <c r="DU62"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2"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2" s="909">
        <f>WWWW[[#This Row],['#_Constructed/Existing hand washing stations]]-WWWW[[#This Row],['#_Non-Functional_hand_washing_stations]]</f>
        <v>10</v>
      </c>
      <c r="DX62" s="906">
        <f>IF(WWWW[[#This Row],['# Functional hand washing stations during reporting period]]*20&gt;WWWW[[#This Row],[Total HH]],WWWW[[#This Row],[Total HH]],WWWW[[#This Row],['# Functional hand washing stations during reporting period]]*20)</f>
        <v>154</v>
      </c>
      <c r="DY62" s="906">
        <f>IF(WWWW[[#This Row],[Is sufficient soap available for TLS? (Yes/No)]]="yes",WWWW[[#This Row],['#_Constructed/Existing hand washing stations at TLS/CFS/THF]],0)</f>
        <v>0</v>
      </c>
      <c r="DZ62" s="421">
        <f>IF(WWWW[[#This Row],['# Functional hand washing stations during reporting period]]*100&gt;WWWW[[#This Row],[Total PoP ]],WWWW[[#This Row],[Total PoP ]],WWWW[[#This Row],['# Functional hand washing stations during reporting period]]*100)</f>
        <v>694</v>
      </c>
      <c r="EA62" s="421" t="str">
        <f>IF(OR(WWWW[[#This Row],['#_students at TLS_CFS]]="",WWWW[[#This Row],['#_students at TLS_CFS]]=0),"No","Yes")</f>
        <v>No</v>
      </c>
      <c r="EB6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2" s="566">
        <f>WWWW[[#This Row],[%_of_affected_people_surveyed_who_report_feeling_satistfied_with_the_latrine_design_and_sanitation_service]]*WWWW[[#This Row],[Total PoP ]]</f>
        <v>0</v>
      </c>
      <c r="ED62" s="566">
        <f>WWWW[[#This Row],[%_of_affected_people_surveyed_who_report_feeling_satistfied_with_the_water_point_design_and_water_service]]*WWWW[[#This Row],[Total PoP ]]</f>
        <v>0</v>
      </c>
      <c r="EE62" s="566">
        <f>WWWW[[#This Row],[%_of_complaints_received_that_result_in_timely_corrective_action_and_feedback_to_the_community]]*WWWW[[#This Row],[Total PoP ]]</f>
        <v>0</v>
      </c>
      <c r="EF6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2" s="902" t="str">
        <f>VLOOKUP(WWWW[[#This Row],[Site Name]],SiteDB6[[Site Name]:[CCCM Management]],6,FALSE)</f>
        <v>Yes</v>
      </c>
      <c r="EJ62" s="902" t="str">
        <f>VLOOKUP(WWWW[[#This Row],[Site Name]],SiteDB6[[Site Name]:[CCCM Focal Agency]],7,FALSE)</f>
        <v>KMSS-BMO</v>
      </c>
      <c r="EK62" s="902" t="str">
        <f>VLOOKUP(WWWW[[#This Row],[Site Name]],SiteDB6[[Site Name]:[Location Type 1]],9,FALSE)</f>
        <v>Camp</v>
      </c>
      <c r="EL62" s="902" t="str">
        <f>VLOOKUP(WWWW[[#This Row],[Site Name]],SiteDB6[[Site Name]:[Type of Accommodation]],10,FALSE)</f>
        <v>Camp</v>
      </c>
      <c r="EM62" s="902" t="str">
        <f>VLOOKUP(WWWW[[#This Row],[Site Name]],SiteDB6[[Site Name]:[Ethnic or GCA/NGCA]],11,FALSE)</f>
        <v>GCA</v>
      </c>
      <c r="EN62" s="902">
        <f>VLOOKUP(WWWW[[#This Row],[Site Name]],SiteDB6[[Site Name]:[Lat]],12,FALSE)</f>
        <v>23.976571</v>
      </c>
      <c r="EO62" s="902">
        <f>VLOOKUP(WWWW[[#This Row],[Site Name]],SiteDB6[[Site Name]:[Long]],13,FALSE)</f>
        <v>97.227057000000002</v>
      </c>
      <c r="EP62" s="902" t="str">
        <f>VLOOKUP(WWWW[[#This Row],[Site Name]],SiteDB6[[Site Name]:[Pcode]],3,FALSE)</f>
        <v>MMR001CMP223</v>
      </c>
      <c r="EQ62" s="907" t="str">
        <f t="shared" si="0"/>
        <v>Covered</v>
      </c>
      <c r="ER62" s="907" t="s">
        <v>3126</v>
      </c>
      <c r="ES62" s="907" t="s">
        <v>3126</v>
      </c>
      <c r="ET62" s="902">
        <f>VLOOKUP(WWWW[[#This Row],[Site Name]],SiteDB6[[Site Name]:[Pop
(Kachin/Shan-CCCM as of May 2023)]],16,FALSE)</f>
        <v>143</v>
      </c>
      <c r="EU62" s="902">
        <f>VLOOKUP(WWWW[[#This Row],[Site Name]],SiteDB6[[Site Name]:[Pop
(Kachin/Shan-CCCM as of May 2023)]],17,FALSE)</f>
        <v>687</v>
      </c>
    </row>
    <row r="63" spans="1:151" hidden="1">
      <c r="A63" s="900" t="s">
        <v>2961</v>
      </c>
      <c r="B63" s="900" t="s">
        <v>36</v>
      </c>
      <c r="C63" s="901" t="s">
        <v>36</v>
      </c>
      <c r="D63" s="901" t="s">
        <v>241</v>
      </c>
      <c r="E63" s="901" t="s">
        <v>37</v>
      </c>
      <c r="F63" s="901" t="s">
        <v>152</v>
      </c>
      <c r="G63" s="902" t="str">
        <f>VLOOKUP(WWWW[[#This Row],[Site Name]],SiteDB6[[Site Name]:[Location Type]],8,FALSE)</f>
        <v>Camp</v>
      </c>
      <c r="H63" s="901" t="s">
        <v>2878</v>
      </c>
      <c r="I63" s="903">
        <v>48</v>
      </c>
      <c r="J63" s="903">
        <v>275</v>
      </c>
      <c r="K63" s="904">
        <v>44973</v>
      </c>
      <c r="L63" s="905">
        <v>45337</v>
      </c>
      <c r="M63" s="903"/>
      <c r="N63" s="903">
        <v>3</v>
      </c>
      <c r="O63" s="903"/>
      <c r="P63" s="903"/>
      <c r="Q63" s="906" t="s">
        <v>41</v>
      </c>
      <c r="R63" s="903">
        <v>3</v>
      </c>
      <c r="S63" s="903">
        <v>1</v>
      </c>
      <c r="T63" s="441">
        <v>2</v>
      </c>
      <c r="U63" s="903"/>
      <c r="V63" s="903"/>
      <c r="W63" s="903"/>
      <c r="X63" s="903"/>
      <c r="Y63" s="903"/>
      <c r="Z63" s="903"/>
      <c r="AA63" s="903"/>
      <c r="AB63" s="903"/>
      <c r="AC63" s="903"/>
      <c r="AD63" s="903"/>
      <c r="AE63" s="903"/>
      <c r="AF63" s="903"/>
      <c r="AG63" s="903"/>
      <c r="AH63" s="903"/>
      <c r="AI63" s="903"/>
      <c r="AJ63" s="903"/>
      <c r="AK63" s="903"/>
      <c r="AL63" s="903"/>
      <c r="AM63" s="903">
        <v>5</v>
      </c>
      <c r="AN63" s="903"/>
      <c r="AO63" s="441"/>
      <c r="AP63" s="907"/>
      <c r="AQ63" s="903">
        <v>18</v>
      </c>
      <c r="AR63" s="903"/>
      <c r="AS63" s="908"/>
      <c r="AT63" s="903"/>
      <c r="AU63" s="903"/>
      <c r="AV63" s="903"/>
      <c r="AW63" s="903"/>
      <c r="AX63" s="903"/>
      <c r="AY63" s="902" t="s">
        <v>41</v>
      </c>
      <c r="AZ63" s="907" t="s">
        <v>899</v>
      </c>
      <c r="BA63" s="903"/>
      <c r="BB63" s="903"/>
      <c r="BC63" s="903"/>
      <c r="BD63" s="441"/>
      <c r="BE63" s="441"/>
      <c r="BF63" s="902"/>
      <c r="BG63" s="903">
        <v>5</v>
      </c>
      <c r="BH63" s="903"/>
      <c r="BI63" s="903">
        <v>2</v>
      </c>
      <c r="BJ63" s="903">
        <v>2</v>
      </c>
      <c r="BK63" s="903"/>
      <c r="BL63" s="903"/>
      <c r="BM63" s="903">
        <v>1</v>
      </c>
      <c r="BN63" s="903"/>
      <c r="BO63" s="903"/>
      <c r="BP63" s="902" t="s">
        <v>41</v>
      </c>
      <c r="BQ63" s="909">
        <v>1</v>
      </c>
      <c r="BR63" s="908"/>
      <c r="BS63" s="937" t="s">
        <v>3130</v>
      </c>
      <c r="BT63" s="416"/>
      <c r="BU63" s="416"/>
      <c r="BV63" s="418"/>
      <c r="BW63" s="416"/>
      <c r="BX63" s="441"/>
      <c r="BY63" s="441"/>
      <c r="BZ63" s="441"/>
      <c r="CA63" s="441"/>
      <c r="CB63" s="441"/>
      <c r="CC63" s="693"/>
      <c r="CD63" s="441"/>
      <c r="CE63" s="910" t="str">
        <f>IFERROR(WWWW[[#This Row],['#_Water sources passed]]/WWWW[[#This Row],['#_Water sources tested for fecal coliform ]],"no test")</f>
        <v>no test</v>
      </c>
      <c r="CF63" s="908" t="str">
        <f>IFERROR(WWWW[[#This Row],['#_Household passed]]/WWWW[[#This Row],['#_Household water samples tested for fecal coliform]],"no test")</f>
        <v>no test</v>
      </c>
      <c r="CG63" s="909" t="str">
        <f>IF(AND(WWWW[[#This Row],[% of water sources passed]]="no test",WWWW[[#This Row],[% Household passed]]="no test"),"No Test","Tested")</f>
        <v>No Test</v>
      </c>
      <c r="CH63" s="909">
        <f>WWWW[[#This Row],['#_Constructed/existing protected hand dug well]]-WWWW[[#This Row],['#_Non-functional protected hand dug well]]</f>
        <v>2</v>
      </c>
      <c r="CI63" s="909">
        <f>(WWWW[[#This Row],['#_Constructed/Existing tube wells/boreholes/handpumps_WASH_agency]]+WWWW[[#This Row],['#_Non-Cluster partner water tube-wells/boreholes/handpumps]])-WWWW[[#This Row],['#_Non-functional tube wells/boreholes/handpumps]]</f>
        <v>0</v>
      </c>
      <c r="CJ63" s="909">
        <f>WWWW[[#This Row],['#_Constructed/Existingwater storage tank with gravity fed reticulation system]]-WWWW[[#This Row],['#_Non-functional storage tank gravity fed reticulation system]]</f>
        <v>0</v>
      </c>
      <c r="CK63" s="909">
        <f>(WWWW[[#This Row],['#_Water_Liters_supplied_by_Water boating or water trucking]]/90)/15</f>
        <v>0</v>
      </c>
      <c r="CL63" s="909">
        <f>WWWW[[#This Row],['#_Water_Liters_from_Constructed/Existing water distribution system from river or natural spring]]/90/15</f>
        <v>0</v>
      </c>
      <c r="CM63" s="417">
        <f>IF(WWWW[[#This Row],['#_of water points in TLS/CFS]]*500&gt;WWWW[[#This Row],[Total PoP ]],WWWW[[#This Row],[Total PoP ]],WWWW[[#This Row],['#_of water points in TLS/CFS]]*500)</f>
        <v>0</v>
      </c>
      <c r="CN63" s="417">
        <f>IF(WWWW[[#This Row],['#_of water points in THF]]*500&gt;WWWW[[#This Row],[Total PoP ]],WWWW[[#This Row],[Total PoP ]],WWWW[[#This Row],['#_of water points in THF]]*500)</f>
        <v>0</v>
      </c>
      <c r="CO63" s="417"/>
      <c r="CP63"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63"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63" s="908">
        <f>IF(WWWW[[#This Row],[Location Type 1]]="Village",WWWW[[#This Row],[Access to safe drinking water for Village]],WWWW[[#This Row],[Access to safe drinking water for Camp]])</f>
        <v>1</v>
      </c>
      <c r="CS63" s="906">
        <f>WWWW[[#This Row],[%Equitable and continuous access to sufficient quantity of safe drinking water]]*WWWW[[#This Row],[Total PoP ]]</f>
        <v>275</v>
      </c>
      <c r="CT63" s="908">
        <f>IF((WWWW[[#This Row],['#_Constructed/Existing protected/fenced ponds]]*250)/WWWW[[#This Row],[Total PoP ]]&gt;1,1,(WWWW[[#This Row],['#_Constructed/Existing protected/fenced ponds]]*250)/WWWW[[#This Row],[Total PoP ]])</f>
        <v>0</v>
      </c>
      <c r="CU63" s="906">
        <f>WWWW[[#This Row],[% Access to unimproved water points]]*WWWW[[#This Row],[Total PoP ]]</f>
        <v>0</v>
      </c>
      <c r="CV63"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63"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275</v>
      </c>
      <c r="CX63" s="906">
        <f>WWWW[[#This Row],[HRP1]]/500</f>
        <v>0.55000000000000004</v>
      </c>
      <c r="CY63" s="911">
        <f>1-WWWW[[#This Row],[% Equitable and continuous access to sufficient quantity of domestic water]]</f>
        <v>0</v>
      </c>
      <c r="CZ63" s="906">
        <f>WWWW[[#This Row],[%equitable and continuous access to sufficient quantity of safe drinking and domestic water''s GAP]]*WWWW[[#This Row],[Total PoP ]]</f>
        <v>0</v>
      </c>
      <c r="DA63" s="909">
        <f>IF(WWWW[[#This Row],[Total required water points]]-WWWW[[#This Row],['#Water points coverage]]&lt;0,0,WWWW[[#This Row],[Total required water points]]-WWWW[[#This Row],['#Water points coverage]])</f>
        <v>0.44999999999999996</v>
      </c>
      <c r="DB63" s="909">
        <f>ROUND(IF(WWWW[[#This Row],[Total PoP ]]&lt;500,1,WWWW[[#This Row],[Total PoP ]]/500),0)</f>
        <v>1</v>
      </c>
      <c r="DC63" s="909">
        <f>(WWWW[[#This Row],['#_Constructed latrines_by_WASHAgencies]]+WWWW[[#This Row],['#_Non Cluster partner latrines]])-WWWW[[#This Row],['#_Non-functional latrines]]</f>
        <v>18</v>
      </c>
      <c r="DD63" s="615">
        <f>WWWW[[#This Row],[HRP2]]/WWWW[[#This Row],[Total PoP ]]</f>
        <v>1</v>
      </c>
      <c r="DE63"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275</v>
      </c>
      <c r="DF63"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3"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3" s="417">
        <f>IF(WWWW[[#This Row],['# of functional latrines in THF supported by WASH partners during the reporting period2]]="",0,WWWW[[#This Row],['# of functional latrines in THF supported by WASH partners during the reporting period2]]*50)</f>
        <v>0</v>
      </c>
      <c r="DI63" s="909">
        <f>ROUND(IF(WWWW[[#This Row],[Location Type 1]]="camp",WWWW[[#This Row],[Total PoP ]]/20,IF(WWWW[[#This Row],[Location Type 1]]="Temporary Location",WWWW[[#This Row],[Total PoP ]]/50,(WWWW[[#This Row],[Total PoP ]]/6))),0)</f>
        <v>14</v>
      </c>
      <c r="DJ63" s="909">
        <f>IF(WWWW[[#This Row],[Total required Latrines]]-(WWWW[[#This Row],['#_Constructed latrines_by_WASHAgencies]]+WWWW[[#This Row],['#_Non Cluster partner latrines]])&lt;0,0,WWWW[[#This Row],[Total required Latrines]]-(WWWW[[#This Row],['#_Constructed latrines_by_WASHAgencies]]+WWWW[[#This Row],['#_Non Cluster partner latrines]]))</f>
        <v>0</v>
      </c>
      <c r="DK63" s="911">
        <f>1-WWWW[[#This Row],[% people access to functioning Latrine]]</f>
        <v>0</v>
      </c>
      <c r="DL63" s="910">
        <f>IF(OR(WWWW[[#This Row],['#_Non-functional latrines]]="",WWWW[[#This Row],['#_Non-functional latrines]]=0),0,WWWW[[#This Row],['#_Non-functional latrines]]/(WWWW[[#This Row],['#_Constructed latrines_by_WASHAgencies]]+WWWW[[#This Row],['#_Non Cluster partner latrines]]))</f>
        <v>0</v>
      </c>
      <c r="DM63" s="906">
        <f>IF(500*(WWWW[[#This Row],['#_male hygiene promoters]]+WWWW[[#This Row],['#_female hygiene promoters]])&gt;WWWW[[#This Row],[Total PoP ]],WWWW[[#This Row],[Total PoP ]],500*(WWWW[[#This Row],['#_male hygiene promoters]]+WWWW[[#This Row],['#_female hygiene promoters]]))</f>
        <v>275</v>
      </c>
      <c r="DN63"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3"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3" s="909">
        <f>IF(WWWW[[#This Row],['# People with access to soap]]&gt;WWWW[[#This Row],['# People with access to Sanity Pads]],WWWW[[#This Row],['# People with access to soap]],WWWW[[#This Row],['# People with access to Sanity Pads]])</f>
        <v>0</v>
      </c>
      <c r="DQ63" s="909">
        <f>IF(WWWW[[#This Row],['# people reached by regular dedicated hygiene promotion_5]]&gt;WWWW[[#This Row],['# People received regular supply of hygiene items_6]],WWWW[[#This Row],['# people reached by regular dedicated hygiene promotion_5]],WWWW[[#This Row],['# People received regular supply of hygiene items_6]])</f>
        <v>275</v>
      </c>
      <c r="DR63" s="911">
        <f>IF(WWWW[[#This Row],[HRP3]]/WWWW[[#This Row],[Total PoP ]]&gt;1,1,WWWW[[#This Row],[HRP3]]/WWWW[[#This Row],[Total PoP ]])</f>
        <v>1</v>
      </c>
      <c r="DS63" s="910">
        <f>1-WWWW[[#This Row],[Hygiene Coverage%]]</f>
        <v>0</v>
      </c>
      <c r="DT63" s="908">
        <f>WWWW[[#This Row],['# people reached by regular dedicated hygiene promotion_5]]/WWWW[[#This Row],[Total PoP ]]</f>
        <v>1</v>
      </c>
      <c r="DU63"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3"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3" s="909">
        <f>WWWW[[#This Row],['#_Constructed/Existing hand washing stations]]-WWWW[[#This Row],['#_Non-Functional_hand_washing_stations]]</f>
        <v>5</v>
      </c>
      <c r="DX63" s="906">
        <f>IF(WWWW[[#This Row],['# Functional hand washing stations during reporting period]]*20&gt;WWWW[[#This Row],[Total HH]],WWWW[[#This Row],[Total HH]],WWWW[[#This Row],['# Functional hand washing stations during reporting period]]*20)</f>
        <v>48</v>
      </c>
      <c r="DY63" s="906">
        <f>IF(WWWW[[#This Row],[Is sufficient soap available for TLS? (Yes/No)]]="yes",WWWW[[#This Row],['#_Constructed/Existing hand washing stations at TLS/CFS/THF]],0)</f>
        <v>5</v>
      </c>
      <c r="DZ63" s="421">
        <f>IF(WWWW[[#This Row],['# Functional hand washing stations during reporting period]]*100&gt;WWWW[[#This Row],[Total PoP ]],WWWW[[#This Row],[Total PoP ]],WWWW[[#This Row],['# Functional hand washing stations during reporting period]]*100)</f>
        <v>275</v>
      </c>
      <c r="EA63" s="421" t="str">
        <f>IF(OR(WWWW[[#This Row],['#_students at TLS_CFS]]="",WWWW[[#This Row],['#_students at TLS_CFS]]=0),"No","Yes")</f>
        <v>No</v>
      </c>
      <c r="EB6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3" s="566">
        <f>WWWW[[#This Row],[%_of_affected_people_surveyed_who_report_feeling_satistfied_with_the_latrine_design_and_sanitation_service]]*WWWW[[#This Row],[Total PoP ]]</f>
        <v>0</v>
      </c>
      <c r="ED63" s="566">
        <f>WWWW[[#This Row],[%_of_affected_people_surveyed_who_report_feeling_satistfied_with_the_water_point_design_and_water_service]]*WWWW[[#This Row],[Total PoP ]]</f>
        <v>0</v>
      </c>
      <c r="EE63" s="566">
        <f>WWWW[[#This Row],[%_of_complaints_received_that_result_in_timely_corrective_action_and_feedback_to_the_community]]*WWWW[[#This Row],[Total PoP ]]</f>
        <v>0</v>
      </c>
      <c r="EF6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3" s="902">
        <f>VLOOKUP(WWWW[[#This Row],[Site Name]],SiteDB6[[Site Name]:[CCCM Management]],6,FALSE)</f>
        <v>0</v>
      </c>
      <c r="EJ63" s="902" t="str">
        <f>VLOOKUP(WWWW[[#This Row],[Site Name]],SiteDB6[[Site Name]:[CCCM Focal Agency]],7,FALSE)</f>
        <v>KMSS-MYT</v>
      </c>
      <c r="EK63" s="902" t="str">
        <f>VLOOKUP(WWWW[[#This Row],[Site Name]],SiteDB6[[Site Name]:[Location Type 1]],9,FALSE)</f>
        <v>Camp</v>
      </c>
      <c r="EL63" s="902" t="str">
        <f>VLOOKUP(WWWW[[#This Row],[Site Name]],SiteDB6[[Site Name]:[Type of Accommodation]],10,FALSE)</f>
        <v>Camp</v>
      </c>
      <c r="EM63" s="902" t="str">
        <f>VLOOKUP(WWWW[[#This Row],[Site Name]],SiteDB6[[Site Name]:[Ethnic or GCA/NGCA]],11,FALSE)</f>
        <v>GCA</v>
      </c>
      <c r="EN63" s="902">
        <f>VLOOKUP(WWWW[[#This Row],[Site Name]],SiteDB6[[Site Name]:[Lat]],12,FALSE)</f>
        <v>25.383058999999999</v>
      </c>
      <c r="EO63" s="902">
        <f>VLOOKUP(WWWW[[#This Row],[Site Name]],SiteDB6[[Site Name]:[Long]],13,FALSE)</f>
        <v>97.014313000000001</v>
      </c>
      <c r="EP63" s="902" t="str">
        <f>VLOOKUP(WWWW[[#This Row],[Site Name]],SiteDB6[[Site Name]:[Pcode]],3,FALSE)</f>
        <v>MMR001CMP259</v>
      </c>
      <c r="EQ63" s="907" t="str">
        <f t="shared" si="0"/>
        <v>Covered</v>
      </c>
      <c r="ER63" s="907" t="s">
        <v>3126</v>
      </c>
      <c r="ES63" s="907" t="s">
        <v>3126</v>
      </c>
      <c r="ET63" s="902">
        <f>VLOOKUP(WWWW[[#This Row],[Site Name]],SiteDB6[[Site Name]:[Pop
(Kachin/Shan-CCCM as of May 2023)]],16,FALSE)</f>
        <v>48</v>
      </c>
      <c r="EU63" s="902">
        <f>VLOOKUP(WWWW[[#This Row],[Site Name]],SiteDB6[[Site Name]:[Pop
(Kachin/Shan-CCCM as of May 2023)]],17,FALSE)</f>
        <v>275</v>
      </c>
    </row>
    <row r="64" spans="1:151" hidden="1">
      <c r="A64" s="900" t="s">
        <v>2961</v>
      </c>
      <c r="B64" s="900" t="s">
        <v>36</v>
      </c>
      <c r="C64" s="901" t="s">
        <v>36</v>
      </c>
      <c r="D64" s="901" t="s">
        <v>241</v>
      </c>
      <c r="E64" s="901" t="s">
        <v>37</v>
      </c>
      <c r="F64" s="901" t="s">
        <v>152</v>
      </c>
      <c r="G64" s="902" t="str">
        <f>VLOOKUP(WWWW[[#This Row],[Site Name]],SiteDB6[[Site Name]:[Location Type]],8,FALSE)</f>
        <v>Camp</v>
      </c>
      <c r="H64" s="901" t="s">
        <v>2879</v>
      </c>
      <c r="I64" s="903">
        <v>83</v>
      </c>
      <c r="J64" s="903">
        <v>430</v>
      </c>
      <c r="K64" s="904">
        <v>44973</v>
      </c>
      <c r="L64" s="905">
        <v>45337</v>
      </c>
      <c r="M64" s="903"/>
      <c r="N64" s="903">
        <v>2</v>
      </c>
      <c r="O64" s="903"/>
      <c r="P64" s="903"/>
      <c r="Q64" s="906" t="s">
        <v>41</v>
      </c>
      <c r="R64" s="903">
        <v>2</v>
      </c>
      <c r="S64" s="903">
        <v>3</v>
      </c>
      <c r="T64" s="441">
        <v>3</v>
      </c>
      <c r="U64" s="903"/>
      <c r="V64" s="903"/>
      <c r="W64" s="903"/>
      <c r="X64" s="903"/>
      <c r="Y64" s="903"/>
      <c r="Z64" s="903"/>
      <c r="AA64" s="903"/>
      <c r="AB64" s="903"/>
      <c r="AC64" s="903"/>
      <c r="AD64" s="903"/>
      <c r="AE64" s="903"/>
      <c r="AF64" s="903"/>
      <c r="AG64" s="903"/>
      <c r="AH64" s="903"/>
      <c r="AI64" s="903"/>
      <c r="AJ64" s="903"/>
      <c r="AK64" s="903"/>
      <c r="AL64" s="903"/>
      <c r="AM64" s="903">
        <v>10</v>
      </c>
      <c r="AN64" s="903"/>
      <c r="AO64" s="441"/>
      <c r="AP64" s="907"/>
      <c r="AQ64" s="903">
        <v>14</v>
      </c>
      <c r="AR64" s="903"/>
      <c r="AS64" s="908"/>
      <c r="AT64" s="903"/>
      <c r="AU64" s="903"/>
      <c r="AV64" s="903"/>
      <c r="AW64" s="903"/>
      <c r="AX64" s="903"/>
      <c r="AY64" s="902" t="s">
        <v>41</v>
      </c>
      <c r="AZ64" s="907" t="s">
        <v>136</v>
      </c>
      <c r="BA64" s="903">
        <v>1</v>
      </c>
      <c r="BB64" s="903"/>
      <c r="BC64" s="903"/>
      <c r="BD64" s="441"/>
      <c r="BE64" s="441"/>
      <c r="BF64" s="902"/>
      <c r="BG64" s="903">
        <v>10</v>
      </c>
      <c r="BH64" s="903"/>
      <c r="BI64" s="903">
        <v>2</v>
      </c>
      <c r="BJ64" s="903">
        <v>2</v>
      </c>
      <c r="BK64" s="903"/>
      <c r="BL64" s="903"/>
      <c r="BM64" s="903">
        <v>1</v>
      </c>
      <c r="BN64" s="903"/>
      <c r="BO64" s="903"/>
      <c r="BP64" s="902" t="s">
        <v>41</v>
      </c>
      <c r="BQ64" s="909">
        <v>1</v>
      </c>
      <c r="BR64" s="908"/>
      <c r="BS64" s="937" t="s">
        <v>3130</v>
      </c>
      <c r="BT64" s="416"/>
      <c r="BU64" s="416"/>
      <c r="BV64" s="418"/>
      <c r="BW64" s="416"/>
      <c r="BX64" s="441"/>
      <c r="BY64" s="441"/>
      <c r="BZ64" s="441"/>
      <c r="CA64" s="441"/>
      <c r="CB64" s="441"/>
      <c r="CC64" s="693"/>
      <c r="CD64" s="441"/>
      <c r="CE64" s="910" t="str">
        <f>IFERROR(WWWW[[#This Row],['#_Water sources passed]]/WWWW[[#This Row],['#_Water sources tested for fecal coliform ]],"no test")</f>
        <v>no test</v>
      </c>
      <c r="CF64" s="908" t="str">
        <f>IFERROR(WWWW[[#This Row],['#_Household passed]]/WWWW[[#This Row],['#_Household water samples tested for fecal coliform]],"no test")</f>
        <v>no test</v>
      </c>
      <c r="CG64" s="909" t="str">
        <f>IF(AND(WWWW[[#This Row],[% of water sources passed]]="no test",WWWW[[#This Row],[% Household passed]]="no test"),"No Test","Tested")</f>
        <v>No Test</v>
      </c>
      <c r="CH64" s="909">
        <f>WWWW[[#This Row],['#_Constructed/existing protected hand dug well]]-WWWW[[#This Row],['#_Non-functional protected hand dug well]]</f>
        <v>3</v>
      </c>
      <c r="CI64" s="909">
        <f>(WWWW[[#This Row],['#_Constructed/Existing tube wells/boreholes/handpumps_WASH_agency]]+WWWW[[#This Row],['#_Non-Cluster partner water tube-wells/boreholes/handpumps]])-WWWW[[#This Row],['#_Non-functional tube wells/boreholes/handpumps]]</f>
        <v>0</v>
      </c>
      <c r="CJ64" s="909">
        <f>WWWW[[#This Row],['#_Constructed/Existingwater storage tank with gravity fed reticulation system]]-WWWW[[#This Row],['#_Non-functional storage tank gravity fed reticulation system]]</f>
        <v>0</v>
      </c>
      <c r="CK64" s="909">
        <f>(WWWW[[#This Row],['#_Water_Liters_supplied_by_Water boating or water trucking]]/90)/15</f>
        <v>0</v>
      </c>
      <c r="CL64" s="909">
        <f>WWWW[[#This Row],['#_Water_Liters_from_Constructed/Existing water distribution system from river or natural spring]]/90/15</f>
        <v>0</v>
      </c>
      <c r="CM64" s="417">
        <f>IF(WWWW[[#This Row],['#_of water points in TLS/CFS]]*500&gt;WWWW[[#This Row],[Total PoP ]],WWWW[[#This Row],[Total PoP ]],WWWW[[#This Row],['#_of water points in TLS/CFS]]*500)</f>
        <v>0</v>
      </c>
      <c r="CN64" s="417">
        <f>IF(WWWW[[#This Row],['#_of water points in THF]]*500&gt;WWWW[[#This Row],[Total PoP ]],WWWW[[#This Row],[Total PoP ]],WWWW[[#This Row],['#_of water points in THF]]*500)</f>
        <v>0</v>
      </c>
      <c r="CO64" s="417"/>
      <c r="CP64"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64"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64" s="908">
        <f>IF(WWWW[[#This Row],[Location Type 1]]="Village",WWWW[[#This Row],[Access to safe drinking water for Village]],WWWW[[#This Row],[Access to safe drinking water for Camp]])</f>
        <v>1</v>
      </c>
      <c r="CS64" s="906">
        <f>WWWW[[#This Row],[%Equitable and continuous access to sufficient quantity of safe drinking water]]*WWWW[[#This Row],[Total PoP ]]</f>
        <v>430</v>
      </c>
      <c r="CT64" s="908">
        <f>IF((WWWW[[#This Row],['#_Constructed/Existing protected/fenced ponds]]*250)/WWWW[[#This Row],[Total PoP ]]&gt;1,1,(WWWW[[#This Row],['#_Constructed/Existing protected/fenced ponds]]*250)/WWWW[[#This Row],[Total PoP ]])</f>
        <v>0</v>
      </c>
      <c r="CU64" s="906">
        <f>WWWW[[#This Row],[% Access to unimproved water points]]*WWWW[[#This Row],[Total PoP ]]</f>
        <v>0</v>
      </c>
      <c r="CV64"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64"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430</v>
      </c>
      <c r="CX64" s="906">
        <f>WWWW[[#This Row],[HRP1]]/500</f>
        <v>0.86</v>
      </c>
      <c r="CY64" s="911">
        <f>1-WWWW[[#This Row],[% Equitable and continuous access to sufficient quantity of domestic water]]</f>
        <v>0</v>
      </c>
      <c r="CZ64" s="906">
        <f>WWWW[[#This Row],[%equitable and continuous access to sufficient quantity of safe drinking and domestic water''s GAP]]*WWWW[[#This Row],[Total PoP ]]</f>
        <v>0</v>
      </c>
      <c r="DA64" s="909">
        <f>IF(WWWW[[#This Row],[Total required water points]]-WWWW[[#This Row],['#Water points coverage]]&lt;0,0,WWWW[[#This Row],[Total required water points]]-WWWW[[#This Row],['#Water points coverage]])</f>
        <v>0.14000000000000001</v>
      </c>
      <c r="DB64" s="909">
        <f>ROUND(IF(WWWW[[#This Row],[Total PoP ]]&lt;500,1,WWWW[[#This Row],[Total PoP ]]/500),0)</f>
        <v>1</v>
      </c>
      <c r="DC64" s="909">
        <f>(WWWW[[#This Row],['#_Constructed latrines_by_WASHAgencies]]+WWWW[[#This Row],['#_Non Cluster partner latrines]])-WWWW[[#This Row],['#_Non-functional latrines]]</f>
        <v>14</v>
      </c>
      <c r="DD64" s="615">
        <f>WWWW[[#This Row],[HRP2]]/WWWW[[#This Row],[Total PoP ]]</f>
        <v>0.69767441860465118</v>
      </c>
      <c r="DE64"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300</v>
      </c>
      <c r="DF64"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4"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4" s="417">
        <f>IF(WWWW[[#This Row],['# of functional latrines in THF supported by WASH partners during the reporting period2]]="",0,WWWW[[#This Row],['# of functional latrines in THF supported by WASH partners during the reporting period2]]*50)</f>
        <v>0</v>
      </c>
      <c r="DI64" s="909">
        <f>ROUND(IF(WWWW[[#This Row],[Location Type 1]]="camp",WWWW[[#This Row],[Total PoP ]]/20,IF(WWWW[[#This Row],[Location Type 1]]="Temporary Location",WWWW[[#This Row],[Total PoP ]]/50,(WWWW[[#This Row],[Total PoP ]]/6))),0)</f>
        <v>22</v>
      </c>
      <c r="DJ64" s="909">
        <f>IF(WWWW[[#This Row],[Total required Latrines]]-(WWWW[[#This Row],['#_Constructed latrines_by_WASHAgencies]]+WWWW[[#This Row],['#_Non Cluster partner latrines]])&lt;0,0,WWWW[[#This Row],[Total required Latrines]]-(WWWW[[#This Row],['#_Constructed latrines_by_WASHAgencies]]+WWWW[[#This Row],['#_Non Cluster partner latrines]]))</f>
        <v>8</v>
      </c>
      <c r="DK64" s="911">
        <f>1-WWWW[[#This Row],[% people access to functioning Latrine]]</f>
        <v>0.30232558139534882</v>
      </c>
      <c r="DL64" s="910">
        <f>IF(OR(WWWW[[#This Row],['#_Non-functional latrines]]="",WWWW[[#This Row],['#_Non-functional latrines]]=0),0,WWWW[[#This Row],['#_Non-functional latrines]]/(WWWW[[#This Row],['#_Constructed latrines_by_WASHAgencies]]+WWWW[[#This Row],['#_Non Cluster partner latrines]]))</f>
        <v>0</v>
      </c>
      <c r="DM64" s="906">
        <f>IF(500*(WWWW[[#This Row],['#_male hygiene promoters]]+WWWW[[#This Row],['#_female hygiene promoters]])&gt;WWWW[[#This Row],[Total PoP ]],WWWW[[#This Row],[Total PoP ]],500*(WWWW[[#This Row],['#_male hygiene promoters]]+WWWW[[#This Row],['#_female hygiene promoters]]))</f>
        <v>430</v>
      </c>
      <c r="DN64"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4"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4" s="909">
        <f>IF(WWWW[[#This Row],['# People with access to soap]]&gt;WWWW[[#This Row],['# People with access to Sanity Pads]],WWWW[[#This Row],['# People with access to soap]],WWWW[[#This Row],['# People with access to Sanity Pads]])</f>
        <v>0</v>
      </c>
      <c r="DQ64" s="909">
        <f>IF(WWWW[[#This Row],['# people reached by regular dedicated hygiene promotion_5]]&gt;WWWW[[#This Row],['# People received regular supply of hygiene items_6]],WWWW[[#This Row],['# people reached by regular dedicated hygiene promotion_5]],WWWW[[#This Row],['# People received regular supply of hygiene items_6]])</f>
        <v>430</v>
      </c>
      <c r="DR64" s="911">
        <f>IF(WWWW[[#This Row],[HRP3]]/WWWW[[#This Row],[Total PoP ]]&gt;1,1,WWWW[[#This Row],[HRP3]]/WWWW[[#This Row],[Total PoP ]])</f>
        <v>1</v>
      </c>
      <c r="DS64" s="910">
        <f>1-WWWW[[#This Row],[Hygiene Coverage%]]</f>
        <v>0</v>
      </c>
      <c r="DT64" s="908">
        <f>WWWW[[#This Row],['# people reached by regular dedicated hygiene promotion_5]]/WWWW[[#This Row],[Total PoP ]]</f>
        <v>1</v>
      </c>
      <c r="DU64"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4"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4" s="909">
        <f>WWWW[[#This Row],['#_Constructed/Existing hand washing stations]]-WWWW[[#This Row],['#_Non-Functional_hand_washing_stations]]</f>
        <v>10</v>
      </c>
      <c r="DX64" s="906">
        <f>IF(WWWW[[#This Row],['# Functional hand washing stations during reporting period]]*20&gt;WWWW[[#This Row],[Total HH]],WWWW[[#This Row],[Total HH]],WWWW[[#This Row],['# Functional hand washing stations during reporting period]]*20)</f>
        <v>83</v>
      </c>
      <c r="DY64" s="906">
        <f>IF(WWWW[[#This Row],[Is sufficient soap available for TLS? (Yes/No)]]="yes",WWWW[[#This Row],['#_Constructed/Existing hand washing stations at TLS/CFS/THF]],0)</f>
        <v>10</v>
      </c>
      <c r="DZ64" s="421">
        <f>IF(WWWW[[#This Row],['# Functional hand washing stations during reporting period]]*100&gt;WWWW[[#This Row],[Total PoP ]],WWWW[[#This Row],[Total PoP ]],WWWW[[#This Row],['# Functional hand washing stations during reporting period]]*100)</f>
        <v>430</v>
      </c>
      <c r="EA64" s="421" t="str">
        <f>IF(OR(WWWW[[#This Row],['#_students at TLS_CFS]]="",WWWW[[#This Row],['#_students at TLS_CFS]]=0),"No","Yes")</f>
        <v>No</v>
      </c>
      <c r="EB6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4" s="566">
        <f>WWWW[[#This Row],[%_of_affected_people_surveyed_who_report_feeling_satistfied_with_the_latrine_design_and_sanitation_service]]*WWWW[[#This Row],[Total PoP ]]</f>
        <v>0</v>
      </c>
      <c r="ED64" s="566">
        <f>WWWW[[#This Row],[%_of_affected_people_surveyed_who_report_feeling_satistfied_with_the_water_point_design_and_water_service]]*WWWW[[#This Row],[Total PoP ]]</f>
        <v>0</v>
      </c>
      <c r="EE64" s="566">
        <f>WWWW[[#This Row],[%_of_complaints_received_that_result_in_timely_corrective_action_and_feedback_to_the_community]]*WWWW[[#This Row],[Total PoP ]]</f>
        <v>0</v>
      </c>
      <c r="EF6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4" s="902">
        <f>VLOOKUP(WWWW[[#This Row],[Site Name]],SiteDB6[[Site Name]:[CCCM Management]],6,FALSE)</f>
        <v>0</v>
      </c>
      <c r="EJ64" s="902" t="str">
        <f>VLOOKUP(WWWW[[#This Row],[Site Name]],SiteDB6[[Site Name]:[CCCM Focal Agency]],7,FALSE)</f>
        <v>KMSS-MYT</v>
      </c>
      <c r="EK64" s="902" t="str">
        <f>VLOOKUP(WWWW[[#This Row],[Site Name]],SiteDB6[[Site Name]:[Location Type 1]],9,FALSE)</f>
        <v>Camp</v>
      </c>
      <c r="EL64" s="902" t="str">
        <f>VLOOKUP(WWWW[[#This Row],[Site Name]],SiteDB6[[Site Name]:[Type of Accommodation]],10,FALSE)</f>
        <v>Camp</v>
      </c>
      <c r="EM64" s="902" t="str">
        <f>VLOOKUP(WWWW[[#This Row],[Site Name]],SiteDB6[[Site Name]:[Ethnic or GCA/NGCA]],11,FALSE)</f>
        <v>GCA</v>
      </c>
      <c r="EN64" s="902">
        <f>VLOOKUP(WWWW[[#This Row],[Site Name]],SiteDB6[[Site Name]:[Lat]],12,FALSE)</f>
        <v>25.383058999999999</v>
      </c>
      <c r="EO64" s="902">
        <f>VLOOKUP(WWWW[[#This Row],[Site Name]],SiteDB6[[Site Name]:[Long]],13,FALSE)</f>
        <v>97.014313000000001</v>
      </c>
      <c r="EP64" s="902" t="str">
        <f>VLOOKUP(WWWW[[#This Row],[Site Name]],SiteDB6[[Site Name]:[Pcode]],3,FALSE)</f>
        <v>MMR001CMP260</v>
      </c>
      <c r="EQ64" s="907" t="str">
        <f t="shared" si="0"/>
        <v>Covered</v>
      </c>
      <c r="ER64" s="907" t="s">
        <v>3126</v>
      </c>
      <c r="ES64" s="907" t="s">
        <v>3126</v>
      </c>
      <c r="ET64" s="902">
        <f>VLOOKUP(WWWW[[#This Row],[Site Name]],SiteDB6[[Site Name]:[Pop
(Kachin/Shan-CCCM as of May 2023)]],16,FALSE)</f>
        <v>83</v>
      </c>
      <c r="EU64" s="902">
        <f>VLOOKUP(WWWW[[#This Row],[Site Name]],SiteDB6[[Site Name]:[Pop
(Kachin/Shan-CCCM as of May 2023)]],17,FALSE)</f>
        <v>433</v>
      </c>
    </row>
    <row r="65" spans="1:151" hidden="1">
      <c r="A65" s="900" t="s">
        <v>2961</v>
      </c>
      <c r="B65" s="900" t="s">
        <v>36</v>
      </c>
      <c r="C65" s="901" t="s">
        <v>36</v>
      </c>
      <c r="D65" s="901" t="s">
        <v>241</v>
      </c>
      <c r="E65" s="901" t="s">
        <v>37</v>
      </c>
      <c r="F65" s="901" t="s">
        <v>205</v>
      </c>
      <c r="G65" s="902" t="str">
        <f>VLOOKUP(WWWW[[#This Row],[Site Name]],SiteDB6[[Site Name]:[Location Type]],8,FALSE)</f>
        <v>Camp</v>
      </c>
      <c r="H65" s="901" t="s">
        <v>232</v>
      </c>
      <c r="I65" s="903">
        <v>72</v>
      </c>
      <c r="J65" s="903">
        <v>404</v>
      </c>
      <c r="K65" s="904">
        <v>44973</v>
      </c>
      <c r="L65" s="905">
        <v>45337</v>
      </c>
      <c r="M65" s="903"/>
      <c r="N65" s="903">
        <v>2</v>
      </c>
      <c r="O65" s="903"/>
      <c r="P65" s="903"/>
      <c r="Q65" s="906" t="s">
        <v>41</v>
      </c>
      <c r="R65" s="903">
        <v>3</v>
      </c>
      <c r="S65" s="903">
        <v>3</v>
      </c>
      <c r="T65" s="441">
        <v>3</v>
      </c>
      <c r="U65" s="903"/>
      <c r="V65" s="903"/>
      <c r="W65" s="903">
        <v>1</v>
      </c>
      <c r="X65" s="903"/>
      <c r="Y65" s="903"/>
      <c r="Z65" s="903"/>
      <c r="AA65" s="903">
        <v>1</v>
      </c>
      <c r="AB65" s="903"/>
      <c r="AC65" s="903"/>
      <c r="AD65" s="903"/>
      <c r="AE65" s="903"/>
      <c r="AF65" s="903"/>
      <c r="AG65" s="903"/>
      <c r="AH65" s="903"/>
      <c r="AI65" s="903"/>
      <c r="AJ65" s="903"/>
      <c r="AK65" s="903"/>
      <c r="AL65" s="903"/>
      <c r="AM65" s="903">
        <v>4</v>
      </c>
      <c r="AN65" s="903"/>
      <c r="AO65" s="441"/>
      <c r="AP65" s="907"/>
      <c r="AQ65" s="903">
        <v>20</v>
      </c>
      <c r="AR65" s="903"/>
      <c r="AS65" s="908"/>
      <c r="AT65" s="903"/>
      <c r="AU65" s="903"/>
      <c r="AV65" s="903"/>
      <c r="AW65" s="903"/>
      <c r="AX65" s="903"/>
      <c r="AY65" s="902" t="s">
        <v>41</v>
      </c>
      <c r="AZ65" s="907" t="s">
        <v>137</v>
      </c>
      <c r="BA65" s="903">
        <v>1</v>
      </c>
      <c r="BB65" s="903"/>
      <c r="BC65" s="903"/>
      <c r="BD65" s="441"/>
      <c r="BE65" s="441"/>
      <c r="BF65" s="902"/>
      <c r="BG65" s="903"/>
      <c r="BH65" s="903"/>
      <c r="BI65" s="903"/>
      <c r="BJ65" s="903">
        <v>3</v>
      </c>
      <c r="BK65" s="903"/>
      <c r="BL65" s="903"/>
      <c r="BM65" s="903">
        <v>2</v>
      </c>
      <c r="BN65" s="903"/>
      <c r="BO65" s="903"/>
      <c r="BP65" s="902" t="s">
        <v>41</v>
      </c>
      <c r="BQ65" s="909">
        <v>1</v>
      </c>
      <c r="BR65" s="908"/>
      <c r="BS65" s="902"/>
      <c r="BT65" s="416"/>
      <c r="BU65" s="416"/>
      <c r="BV65" s="418"/>
      <c r="BW65" s="416"/>
      <c r="BX65" s="441"/>
      <c r="BY65" s="441"/>
      <c r="BZ65" s="441"/>
      <c r="CA65" s="441"/>
      <c r="CB65" s="441"/>
      <c r="CC65" s="693"/>
      <c r="CD65" s="441"/>
      <c r="CE65" s="910" t="str">
        <f>IFERROR(WWWW[[#This Row],['#_Water sources passed]]/WWWW[[#This Row],['#_Water sources tested for fecal coliform ]],"no test")</f>
        <v>no test</v>
      </c>
      <c r="CF65" s="908" t="str">
        <f>IFERROR(WWWW[[#This Row],['#_Household passed]]/WWWW[[#This Row],['#_Household water samples tested for fecal coliform]],"no test")</f>
        <v>no test</v>
      </c>
      <c r="CG65" s="909" t="str">
        <f>IF(AND(WWWW[[#This Row],[% of water sources passed]]="no test",WWWW[[#This Row],[% Household passed]]="no test"),"No Test","Tested")</f>
        <v>No Test</v>
      </c>
      <c r="CH65" s="909">
        <f>WWWW[[#This Row],['#_Constructed/existing protected hand dug well]]-WWWW[[#This Row],['#_Non-functional protected hand dug well]]</f>
        <v>3</v>
      </c>
      <c r="CI65" s="909">
        <f>(WWWW[[#This Row],['#_Constructed/Existing tube wells/boreholes/handpumps_WASH_agency]]+WWWW[[#This Row],['#_Non-Cluster partner water tube-wells/boreholes/handpumps]])-WWWW[[#This Row],['#_Non-functional tube wells/boreholes/handpumps]]</f>
        <v>1</v>
      </c>
      <c r="CJ65" s="909">
        <f>WWWW[[#This Row],['#_Constructed/Existingwater storage tank with gravity fed reticulation system]]-WWWW[[#This Row],['#_Non-functional storage tank gravity fed reticulation system]]</f>
        <v>1</v>
      </c>
      <c r="CK65" s="909">
        <f>(WWWW[[#This Row],['#_Water_Liters_supplied_by_Water boating or water trucking]]/90)/15</f>
        <v>0</v>
      </c>
      <c r="CL65" s="909">
        <f>WWWW[[#This Row],['#_Water_Liters_from_Constructed/Existing water distribution system from river or natural spring]]/90/15</f>
        <v>0</v>
      </c>
      <c r="CM65" s="417">
        <f>IF(WWWW[[#This Row],['#_of water points in TLS/CFS]]*500&gt;WWWW[[#This Row],[Total PoP ]],WWWW[[#This Row],[Total PoP ]],WWWW[[#This Row],['#_of water points in TLS/CFS]]*500)</f>
        <v>0</v>
      </c>
      <c r="CN65" s="417">
        <f>IF(WWWW[[#This Row],['#_of water points in THF]]*500&gt;WWWW[[#This Row],[Total PoP ]],WWWW[[#This Row],[Total PoP ]],WWWW[[#This Row],['#_of water points in THF]]*500)</f>
        <v>0</v>
      </c>
      <c r="CO65" s="417"/>
      <c r="CP65"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65"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65" s="908">
        <f>IF(WWWW[[#This Row],[Location Type 1]]="Village",WWWW[[#This Row],[Access to safe drinking water for Village]],WWWW[[#This Row],[Access to safe drinking water for Camp]])</f>
        <v>1</v>
      </c>
      <c r="CS65" s="906">
        <f>WWWW[[#This Row],[%Equitable and continuous access to sufficient quantity of safe drinking water]]*WWWW[[#This Row],[Total PoP ]]</f>
        <v>404</v>
      </c>
      <c r="CT65" s="908">
        <f>IF((WWWW[[#This Row],['#_Constructed/Existing protected/fenced ponds]]*250)/WWWW[[#This Row],[Total PoP ]]&gt;1,1,(WWWW[[#This Row],['#_Constructed/Existing protected/fenced ponds]]*250)/WWWW[[#This Row],[Total PoP ]])</f>
        <v>0</v>
      </c>
      <c r="CU65" s="906">
        <f>WWWW[[#This Row],[% Access to unimproved water points]]*WWWW[[#This Row],[Total PoP ]]</f>
        <v>0</v>
      </c>
      <c r="CV65"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65"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404</v>
      </c>
      <c r="CX65" s="906">
        <f>WWWW[[#This Row],[HRP1]]/500</f>
        <v>0.80800000000000005</v>
      </c>
      <c r="CY65" s="911">
        <f>1-WWWW[[#This Row],[% Equitable and continuous access to sufficient quantity of domestic water]]</f>
        <v>0</v>
      </c>
      <c r="CZ65" s="906">
        <f>WWWW[[#This Row],[%equitable and continuous access to sufficient quantity of safe drinking and domestic water''s GAP]]*WWWW[[#This Row],[Total PoP ]]</f>
        <v>0</v>
      </c>
      <c r="DA65" s="909">
        <f>IF(WWWW[[#This Row],[Total required water points]]-WWWW[[#This Row],['#Water points coverage]]&lt;0,0,WWWW[[#This Row],[Total required water points]]-WWWW[[#This Row],['#Water points coverage]])</f>
        <v>0.19199999999999995</v>
      </c>
      <c r="DB65" s="909">
        <f>ROUND(IF(WWWW[[#This Row],[Total PoP ]]&lt;500,1,WWWW[[#This Row],[Total PoP ]]/500),0)</f>
        <v>1</v>
      </c>
      <c r="DC65" s="909">
        <f>(WWWW[[#This Row],['#_Constructed latrines_by_WASHAgencies]]+WWWW[[#This Row],['#_Non Cluster partner latrines]])-WWWW[[#This Row],['#_Non-functional latrines]]</f>
        <v>20</v>
      </c>
      <c r="DD65" s="615">
        <f>WWWW[[#This Row],[HRP2]]/WWWW[[#This Row],[Total PoP ]]</f>
        <v>1</v>
      </c>
      <c r="DE65"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404</v>
      </c>
      <c r="DF65"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5"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5" s="417">
        <f>IF(WWWW[[#This Row],['# of functional latrines in THF supported by WASH partners during the reporting period2]]="",0,WWWW[[#This Row],['# of functional latrines in THF supported by WASH partners during the reporting period2]]*50)</f>
        <v>0</v>
      </c>
      <c r="DI65" s="909">
        <f>ROUND(IF(WWWW[[#This Row],[Location Type 1]]="camp",WWWW[[#This Row],[Total PoP ]]/20,IF(WWWW[[#This Row],[Location Type 1]]="Temporary Location",WWWW[[#This Row],[Total PoP ]]/50,(WWWW[[#This Row],[Total PoP ]]/6))),0)</f>
        <v>20</v>
      </c>
      <c r="DJ65" s="909">
        <f>IF(WWWW[[#This Row],[Total required Latrines]]-(WWWW[[#This Row],['#_Constructed latrines_by_WASHAgencies]]+WWWW[[#This Row],['#_Non Cluster partner latrines]])&lt;0,0,WWWW[[#This Row],[Total required Latrines]]-(WWWW[[#This Row],['#_Constructed latrines_by_WASHAgencies]]+WWWW[[#This Row],['#_Non Cluster partner latrines]]))</f>
        <v>0</v>
      </c>
      <c r="DK65" s="911">
        <f>1-WWWW[[#This Row],[% people access to functioning Latrine]]</f>
        <v>0</v>
      </c>
      <c r="DL65" s="910">
        <f>IF(OR(WWWW[[#This Row],['#_Non-functional latrines]]="",WWWW[[#This Row],['#_Non-functional latrines]]=0),0,WWWW[[#This Row],['#_Non-functional latrines]]/(WWWW[[#This Row],['#_Constructed latrines_by_WASHAgencies]]+WWWW[[#This Row],['#_Non Cluster partner latrines]]))</f>
        <v>0</v>
      </c>
      <c r="DM65" s="906">
        <f>IF(500*(WWWW[[#This Row],['#_male hygiene promoters]]+WWWW[[#This Row],['#_female hygiene promoters]])&gt;WWWW[[#This Row],[Total PoP ]],WWWW[[#This Row],[Total PoP ]],500*(WWWW[[#This Row],['#_male hygiene promoters]]+WWWW[[#This Row],['#_female hygiene promoters]]))</f>
        <v>404</v>
      </c>
      <c r="DN65"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5"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5" s="909">
        <f>IF(WWWW[[#This Row],['# People with access to soap]]&gt;WWWW[[#This Row],['# People with access to Sanity Pads]],WWWW[[#This Row],['# People with access to soap]],WWWW[[#This Row],['# People with access to Sanity Pads]])</f>
        <v>0</v>
      </c>
      <c r="DQ65" s="909">
        <f>IF(WWWW[[#This Row],['# people reached by regular dedicated hygiene promotion_5]]&gt;WWWW[[#This Row],['# People received regular supply of hygiene items_6]],WWWW[[#This Row],['# people reached by regular dedicated hygiene promotion_5]],WWWW[[#This Row],['# People received regular supply of hygiene items_6]])</f>
        <v>404</v>
      </c>
      <c r="DR65" s="911">
        <f>IF(WWWW[[#This Row],[HRP3]]/WWWW[[#This Row],[Total PoP ]]&gt;1,1,WWWW[[#This Row],[HRP3]]/WWWW[[#This Row],[Total PoP ]])</f>
        <v>1</v>
      </c>
      <c r="DS65" s="910">
        <f>1-WWWW[[#This Row],[Hygiene Coverage%]]</f>
        <v>0</v>
      </c>
      <c r="DT65" s="908">
        <f>WWWW[[#This Row],['# people reached by regular dedicated hygiene promotion_5]]/WWWW[[#This Row],[Total PoP ]]</f>
        <v>1</v>
      </c>
      <c r="DU65"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5"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5" s="909">
        <f>WWWW[[#This Row],['#_Constructed/Existing hand washing stations]]-WWWW[[#This Row],['#_Non-Functional_hand_washing_stations]]</f>
        <v>0</v>
      </c>
      <c r="DX65" s="906">
        <f>IF(WWWW[[#This Row],['# Functional hand washing stations during reporting period]]*20&gt;WWWW[[#This Row],[Total HH]],WWWW[[#This Row],[Total HH]],WWWW[[#This Row],['# Functional hand washing stations during reporting period]]*20)</f>
        <v>0</v>
      </c>
      <c r="DY65" s="906">
        <f>IF(WWWW[[#This Row],[Is sufficient soap available for TLS? (Yes/No)]]="yes",WWWW[[#This Row],['#_Constructed/Existing hand washing stations at TLS/CFS/THF]],0)</f>
        <v>4</v>
      </c>
      <c r="DZ65" s="421">
        <f>IF(WWWW[[#This Row],['# Functional hand washing stations during reporting period]]*100&gt;WWWW[[#This Row],[Total PoP ]],WWWW[[#This Row],[Total PoP ]],WWWW[[#This Row],['# Functional hand washing stations during reporting period]]*100)</f>
        <v>0</v>
      </c>
      <c r="EA65" s="421" t="str">
        <f>IF(OR(WWWW[[#This Row],['#_students at TLS_CFS]]="",WWWW[[#This Row],['#_students at TLS_CFS]]=0),"No","Yes")</f>
        <v>No</v>
      </c>
      <c r="EB6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5" s="566">
        <f>WWWW[[#This Row],[%_of_affected_people_surveyed_who_report_feeling_satistfied_with_the_latrine_design_and_sanitation_service]]*WWWW[[#This Row],[Total PoP ]]</f>
        <v>0</v>
      </c>
      <c r="ED65" s="566">
        <f>WWWW[[#This Row],[%_of_affected_people_surveyed_who_report_feeling_satistfied_with_the_water_point_design_and_water_service]]*WWWW[[#This Row],[Total PoP ]]</f>
        <v>0</v>
      </c>
      <c r="EE65" s="566">
        <f>WWWW[[#This Row],[%_of_complaints_received_that_result_in_timely_corrective_action_and_feedback_to_the_community]]*WWWW[[#This Row],[Total PoP ]]</f>
        <v>0</v>
      </c>
      <c r="EF6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5" s="902" t="str">
        <f>VLOOKUP(WWWW[[#This Row],[Site Name]],SiteDB6[[Site Name]:[CCCM Management]],6,FALSE)</f>
        <v>Yes</v>
      </c>
      <c r="EJ65" s="902" t="str">
        <f>VLOOKUP(WWWW[[#This Row],[Site Name]],SiteDB6[[Site Name]:[CCCM Focal Agency]],7,FALSE)</f>
        <v>KMSS-MYT</v>
      </c>
      <c r="EK65" s="902" t="str">
        <f>VLOOKUP(WWWW[[#This Row],[Site Name]],SiteDB6[[Site Name]:[Location Type 1]],9,FALSE)</f>
        <v>Camp</v>
      </c>
      <c r="EL65" s="902" t="str">
        <f>VLOOKUP(WWWW[[#This Row],[Site Name]],SiteDB6[[Site Name]:[Type of Accommodation]],10,FALSE)</f>
        <v>Camp</v>
      </c>
      <c r="EM65" s="902" t="str">
        <f>VLOOKUP(WWWW[[#This Row],[Site Name]],SiteDB6[[Site Name]:[Ethnic or GCA/NGCA]],11,FALSE)</f>
        <v>NGCA</v>
      </c>
      <c r="EN65" s="902">
        <f>VLOOKUP(WWWW[[#This Row],[Site Name]],SiteDB6[[Site Name]:[Lat]],12,FALSE)</f>
        <v>24.461033</v>
      </c>
      <c r="EO65" s="902">
        <f>VLOOKUP(WWWW[[#This Row],[Site Name]],SiteDB6[[Site Name]:[Long]],13,FALSE)</f>
        <v>97.537099999999995</v>
      </c>
      <c r="EP65" s="902" t="str">
        <f>VLOOKUP(WWWW[[#This Row],[Site Name]],SiteDB6[[Site Name]:[Pcode]],3,FALSE)</f>
        <v>MMR001CMP123</v>
      </c>
      <c r="EQ65" s="907" t="str">
        <f t="shared" si="0"/>
        <v>Covered</v>
      </c>
      <c r="ER65" s="907" t="s">
        <v>3126</v>
      </c>
      <c r="ES65" s="907" t="s">
        <v>3126</v>
      </c>
      <c r="ET65" s="902">
        <f>VLOOKUP(WWWW[[#This Row],[Site Name]],SiteDB6[[Site Name]:[Pop
(Kachin/Shan-CCCM as of May 2023)]],16,FALSE)</f>
        <v>72</v>
      </c>
      <c r="EU65" s="902">
        <f>VLOOKUP(WWWW[[#This Row],[Site Name]],SiteDB6[[Site Name]:[Pop
(Kachin/Shan-CCCM as of May 2023)]],17,FALSE)</f>
        <v>391</v>
      </c>
    </row>
    <row r="66" spans="1:151" hidden="1">
      <c r="A66" s="900" t="s">
        <v>2961</v>
      </c>
      <c r="B66" s="900" t="s">
        <v>36</v>
      </c>
      <c r="C66" s="901" t="s">
        <v>36</v>
      </c>
      <c r="D66" s="901" t="s">
        <v>241</v>
      </c>
      <c r="E66" s="901" t="s">
        <v>37</v>
      </c>
      <c r="F66" s="901" t="s">
        <v>159</v>
      </c>
      <c r="G66" s="902" t="str">
        <f>VLOOKUP(WWWW[[#This Row],[Site Name]],SiteDB6[[Site Name]:[Location Type]],8,FALSE)</f>
        <v>Camp</v>
      </c>
      <c r="H66" s="901" t="s">
        <v>233</v>
      </c>
      <c r="I66" s="903">
        <v>53</v>
      </c>
      <c r="J66" s="903">
        <v>278</v>
      </c>
      <c r="K66" s="904">
        <v>44973</v>
      </c>
      <c r="L66" s="905">
        <v>45337</v>
      </c>
      <c r="M66" s="903"/>
      <c r="N66" s="903">
        <v>3</v>
      </c>
      <c r="O66" s="903"/>
      <c r="P66" s="903"/>
      <c r="Q66" s="906" t="s">
        <v>41</v>
      </c>
      <c r="R66" s="903">
        <v>2</v>
      </c>
      <c r="S66" s="903">
        <v>8</v>
      </c>
      <c r="T66" s="441">
        <v>1</v>
      </c>
      <c r="U66" s="903"/>
      <c r="V66" s="903"/>
      <c r="W66" s="903"/>
      <c r="X66" s="903"/>
      <c r="Y66" s="903"/>
      <c r="Z66" s="903"/>
      <c r="AA66" s="903"/>
      <c r="AB66" s="903"/>
      <c r="AC66" s="903"/>
      <c r="AD66" s="903"/>
      <c r="AE66" s="903"/>
      <c r="AF66" s="903"/>
      <c r="AG66" s="903"/>
      <c r="AH66" s="903"/>
      <c r="AI66" s="903"/>
      <c r="AJ66" s="903"/>
      <c r="AK66" s="903"/>
      <c r="AL66" s="903"/>
      <c r="AM66" s="903">
        <v>5</v>
      </c>
      <c r="AN66" s="903"/>
      <c r="AO66" s="441"/>
      <c r="AP66" s="907"/>
      <c r="AQ66" s="903">
        <v>22</v>
      </c>
      <c r="AR66" s="903"/>
      <c r="AS66" s="908"/>
      <c r="AT66" s="903"/>
      <c r="AU66" s="903"/>
      <c r="AV66" s="903"/>
      <c r="AW66" s="903"/>
      <c r="AX66" s="903"/>
      <c r="AY66" s="902" t="s">
        <v>41</v>
      </c>
      <c r="AZ66" s="907" t="s">
        <v>137</v>
      </c>
      <c r="BA66" s="903">
        <v>1</v>
      </c>
      <c r="BB66" s="903"/>
      <c r="BC66" s="903"/>
      <c r="BD66" s="441"/>
      <c r="BE66" s="441"/>
      <c r="BF66" s="902"/>
      <c r="BG66" s="903">
        <v>7</v>
      </c>
      <c r="BH66" s="903"/>
      <c r="BI66" s="903"/>
      <c r="BJ66" s="903">
        <v>3</v>
      </c>
      <c r="BK66" s="903"/>
      <c r="BL66" s="903"/>
      <c r="BM66" s="903">
        <v>2</v>
      </c>
      <c r="BN66" s="903"/>
      <c r="BO66" s="903"/>
      <c r="BP66" s="902" t="s">
        <v>41</v>
      </c>
      <c r="BQ66" s="909">
        <v>1</v>
      </c>
      <c r="BR66" s="908"/>
      <c r="BS66" s="902"/>
      <c r="BT66" s="416"/>
      <c r="BU66" s="416"/>
      <c r="BV66" s="418"/>
      <c r="BW66" s="416"/>
      <c r="BX66" s="441"/>
      <c r="BY66" s="441"/>
      <c r="BZ66" s="441"/>
      <c r="CA66" s="441"/>
      <c r="CB66" s="441"/>
      <c r="CC66" s="693"/>
      <c r="CD66" s="441"/>
      <c r="CE66" s="910" t="str">
        <f>IFERROR(WWWW[[#This Row],['#_Water sources passed]]/WWWW[[#This Row],['#_Water sources tested for fecal coliform ]],"no test")</f>
        <v>no test</v>
      </c>
      <c r="CF66" s="908" t="str">
        <f>IFERROR(WWWW[[#This Row],['#_Household passed]]/WWWW[[#This Row],['#_Household water samples tested for fecal coliform]],"no test")</f>
        <v>no test</v>
      </c>
      <c r="CG66" s="909" t="str">
        <f>IF(AND(WWWW[[#This Row],[% of water sources passed]]="no test",WWWW[[#This Row],[% Household passed]]="no test"),"No Test","Tested")</f>
        <v>No Test</v>
      </c>
      <c r="CH66" s="909">
        <f>WWWW[[#This Row],['#_Constructed/existing protected hand dug well]]-WWWW[[#This Row],['#_Non-functional protected hand dug well]]</f>
        <v>1</v>
      </c>
      <c r="CI66" s="909">
        <f>(WWWW[[#This Row],['#_Constructed/Existing tube wells/boreholes/handpumps_WASH_agency]]+WWWW[[#This Row],['#_Non-Cluster partner water tube-wells/boreholes/handpumps]])-WWWW[[#This Row],['#_Non-functional tube wells/boreholes/handpumps]]</f>
        <v>0</v>
      </c>
      <c r="CJ66" s="909">
        <f>WWWW[[#This Row],['#_Constructed/Existingwater storage tank with gravity fed reticulation system]]-WWWW[[#This Row],['#_Non-functional storage tank gravity fed reticulation system]]</f>
        <v>0</v>
      </c>
      <c r="CK66" s="909">
        <f>(WWWW[[#This Row],['#_Water_Liters_supplied_by_Water boating or water trucking]]/90)/15</f>
        <v>0</v>
      </c>
      <c r="CL66" s="909">
        <f>WWWW[[#This Row],['#_Water_Liters_from_Constructed/Existing water distribution system from river or natural spring]]/90/15</f>
        <v>0</v>
      </c>
      <c r="CM66" s="417">
        <f>IF(WWWW[[#This Row],['#_of water points in TLS/CFS]]*500&gt;WWWW[[#This Row],[Total PoP ]],WWWW[[#This Row],[Total PoP ]],WWWW[[#This Row],['#_of water points in TLS/CFS]]*500)</f>
        <v>0</v>
      </c>
      <c r="CN66" s="417">
        <f>IF(WWWW[[#This Row],['#_of water points in THF]]*500&gt;WWWW[[#This Row],[Total PoP ]],WWWW[[#This Row],[Total PoP ]],WWWW[[#This Row],['#_of water points in THF]]*500)</f>
        <v>0</v>
      </c>
      <c r="CO66" s="417"/>
      <c r="CP66"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66"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0.89928057553956831</v>
      </c>
      <c r="CR66" s="908">
        <f>IF(WWWW[[#This Row],[Location Type 1]]="Village",WWWW[[#This Row],[Access to safe drinking water for Village]],WWWW[[#This Row],[Access to safe drinking water for Camp]])</f>
        <v>1</v>
      </c>
      <c r="CS66" s="906">
        <f>WWWW[[#This Row],[%Equitable and continuous access to sufficient quantity of safe drinking water]]*WWWW[[#This Row],[Total PoP ]]</f>
        <v>278</v>
      </c>
      <c r="CT66" s="908">
        <f>IF((WWWW[[#This Row],['#_Constructed/Existing protected/fenced ponds]]*250)/WWWW[[#This Row],[Total PoP ]]&gt;1,1,(WWWW[[#This Row],['#_Constructed/Existing protected/fenced ponds]]*250)/WWWW[[#This Row],[Total PoP ]])</f>
        <v>0</v>
      </c>
      <c r="CU66" s="906">
        <f>WWWW[[#This Row],[% Access to unimproved water points]]*WWWW[[#This Row],[Total PoP ]]</f>
        <v>0</v>
      </c>
      <c r="CV66"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66"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278</v>
      </c>
      <c r="CX66" s="906">
        <f>WWWW[[#This Row],[HRP1]]/500</f>
        <v>0.55600000000000005</v>
      </c>
      <c r="CY66" s="911">
        <f>1-WWWW[[#This Row],[% Equitable and continuous access to sufficient quantity of domestic water]]</f>
        <v>0</v>
      </c>
      <c r="CZ66" s="906">
        <f>WWWW[[#This Row],[%equitable and continuous access to sufficient quantity of safe drinking and domestic water''s GAP]]*WWWW[[#This Row],[Total PoP ]]</f>
        <v>0</v>
      </c>
      <c r="DA66" s="909">
        <f>IF(WWWW[[#This Row],[Total required water points]]-WWWW[[#This Row],['#Water points coverage]]&lt;0,0,WWWW[[#This Row],[Total required water points]]-WWWW[[#This Row],['#Water points coverage]])</f>
        <v>0.44399999999999995</v>
      </c>
      <c r="DB66" s="909">
        <f>ROUND(IF(WWWW[[#This Row],[Total PoP ]]&lt;500,1,WWWW[[#This Row],[Total PoP ]]/500),0)</f>
        <v>1</v>
      </c>
      <c r="DC66" s="909">
        <f>(WWWW[[#This Row],['#_Constructed latrines_by_WASHAgencies]]+WWWW[[#This Row],['#_Non Cluster partner latrines]])-WWWW[[#This Row],['#_Non-functional latrines]]</f>
        <v>22</v>
      </c>
      <c r="DD66" s="615">
        <f>WWWW[[#This Row],[HRP2]]/WWWW[[#This Row],[Total PoP ]]</f>
        <v>1</v>
      </c>
      <c r="DE66"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278</v>
      </c>
      <c r="DF66"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6"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6" s="417">
        <f>IF(WWWW[[#This Row],['# of functional latrines in THF supported by WASH partners during the reporting period2]]="",0,WWWW[[#This Row],['# of functional latrines in THF supported by WASH partners during the reporting period2]]*50)</f>
        <v>0</v>
      </c>
      <c r="DI66" s="909">
        <f>ROUND(IF(WWWW[[#This Row],[Location Type 1]]="camp",WWWW[[#This Row],[Total PoP ]]/20,IF(WWWW[[#This Row],[Location Type 1]]="Temporary Location",WWWW[[#This Row],[Total PoP ]]/50,(WWWW[[#This Row],[Total PoP ]]/6))),0)</f>
        <v>14</v>
      </c>
      <c r="DJ66" s="909">
        <f>IF(WWWW[[#This Row],[Total required Latrines]]-(WWWW[[#This Row],['#_Constructed latrines_by_WASHAgencies]]+WWWW[[#This Row],['#_Non Cluster partner latrines]])&lt;0,0,WWWW[[#This Row],[Total required Latrines]]-(WWWW[[#This Row],['#_Constructed latrines_by_WASHAgencies]]+WWWW[[#This Row],['#_Non Cluster partner latrines]]))</f>
        <v>0</v>
      </c>
      <c r="DK66" s="911">
        <f>1-WWWW[[#This Row],[% people access to functioning Latrine]]</f>
        <v>0</v>
      </c>
      <c r="DL66" s="910">
        <f>IF(OR(WWWW[[#This Row],['#_Non-functional latrines]]="",WWWW[[#This Row],['#_Non-functional latrines]]=0),0,WWWW[[#This Row],['#_Non-functional latrines]]/(WWWW[[#This Row],['#_Constructed latrines_by_WASHAgencies]]+WWWW[[#This Row],['#_Non Cluster partner latrines]]))</f>
        <v>0</v>
      </c>
      <c r="DM66" s="906">
        <f>IF(500*(WWWW[[#This Row],['#_male hygiene promoters]]+WWWW[[#This Row],['#_female hygiene promoters]])&gt;WWWW[[#This Row],[Total PoP ]],WWWW[[#This Row],[Total PoP ]],500*(WWWW[[#This Row],['#_male hygiene promoters]]+WWWW[[#This Row],['#_female hygiene promoters]]))</f>
        <v>278</v>
      </c>
      <c r="DN66"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6"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6" s="909">
        <f>IF(WWWW[[#This Row],['# People with access to soap]]&gt;WWWW[[#This Row],['# People with access to Sanity Pads]],WWWW[[#This Row],['# People with access to soap]],WWWW[[#This Row],['# People with access to Sanity Pads]])</f>
        <v>0</v>
      </c>
      <c r="DQ66" s="909">
        <f>IF(WWWW[[#This Row],['# people reached by regular dedicated hygiene promotion_5]]&gt;WWWW[[#This Row],['# People received regular supply of hygiene items_6]],WWWW[[#This Row],['# people reached by regular dedicated hygiene promotion_5]],WWWW[[#This Row],['# People received regular supply of hygiene items_6]])</f>
        <v>278</v>
      </c>
      <c r="DR66" s="911">
        <f>IF(WWWW[[#This Row],[HRP3]]/WWWW[[#This Row],[Total PoP ]]&gt;1,1,WWWW[[#This Row],[HRP3]]/WWWW[[#This Row],[Total PoP ]])</f>
        <v>1</v>
      </c>
      <c r="DS66" s="910">
        <f>1-WWWW[[#This Row],[Hygiene Coverage%]]</f>
        <v>0</v>
      </c>
      <c r="DT66" s="908">
        <f>WWWW[[#This Row],['# people reached by regular dedicated hygiene promotion_5]]/WWWW[[#This Row],[Total PoP ]]</f>
        <v>1</v>
      </c>
      <c r="DU66"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6"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6" s="909">
        <f>WWWW[[#This Row],['#_Constructed/Existing hand washing stations]]-WWWW[[#This Row],['#_Non-Functional_hand_washing_stations]]</f>
        <v>7</v>
      </c>
      <c r="DX66" s="906">
        <f>IF(WWWW[[#This Row],['# Functional hand washing stations during reporting period]]*20&gt;WWWW[[#This Row],[Total HH]],WWWW[[#This Row],[Total HH]],WWWW[[#This Row],['# Functional hand washing stations during reporting period]]*20)</f>
        <v>53</v>
      </c>
      <c r="DY66" s="906">
        <f>IF(WWWW[[#This Row],[Is sufficient soap available for TLS? (Yes/No)]]="yes",WWWW[[#This Row],['#_Constructed/Existing hand washing stations at TLS/CFS/THF]],0)</f>
        <v>5</v>
      </c>
      <c r="DZ66" s="421">
        <f>IF(WWWW[[#This Row],['# Functional hand washing stations during reporting period]]*100&gt;WWWW[[#This Row],[Total PoP ]],WWWW[[#This Row],[Total PoP ]],WWWW[[#This Row],['# Functional hand washing stations during reporting period]]*100)</f>
        <v>278</v>
      </c>
      <c r="EA66" s="421" t="str">
        <f>IF(OR(WWWW[[#This Row],['#_students at TLS_CFS]]="",WWWW[[#This Row],['#_students at TLS_CFS]]=0),"No","Yes")</f>
        <v>No</v>
      </c>
      <c r="EB6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6" s="566">
        <f>WWWW[[#This Row],[%_of_affected_people_surveyed_who_report_feeling_satistfied_with_the_latrine_design_and_sanitation_service]]*WWWW[[#This Row],[Total PoP ]]</f>
        <v>0</v>
      </c>
      <c r="ED66" s="566">
        <f>WWWW[[#This Row],[%_of_affected_people_surveyed_who_report_feeling_satistfied_with_the_water_point_design_and_water_service]]*WWWW[[#This Row],[Total PoP ]]</f>
        <v>0</v>
      </c>
      <c r="EE66" s="566">
        <f>WWWW[[#This Row],[%_of_complaints_received_that_result_in_timely_corrective_action_and_feedback_to_the_community]]*WWWW[[#This Row],[Total PoP ]]</f>
        <v>0</v>
      </c>
      <c r="EF6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6" s="902" t="str">
        <f>VLOOKUP(WWWW[[#This Row],[Site Name]],SiteDB6[[Site Name]:[CCCM Management]],6,FALSE)</f>
        <v>Yes</v>
      </c>
      <c r="EJ66" s="902" t="str">
        <f>VLOOKUP(WWWW[[#This Row],[Site Name]],SiteDB6[[Site Name]:[CCCM Focal Agency]],7,FALSE)</f>
        <v>KMSS-MYT</v>
      </c>
      <c r="EK66" s="902" t="str">
        <f>VLOOKUP(WWWW[[#This Row],[Site Name]],SiteDB6[[Site Name]:[Location Type 1]],9,FALSE)</f>
        <v>Camp</v>
      </c>
      <c r="EL66" s="902" t="str">
        <f>VLOOKUP(WWWW[[#This Row],[Site Name]],SiteDB6[[Site Name]:[Type of Accommodation]],10,FALSE)</f>
        <v>Camp</v>
      </c>
      <c r="EM66" s="902" t="str">
        <f>VLOOKUP(WWWW[[#This Row],[Site Name]],SiteDB6[[Site Name]:[Ethnic or GCA/NGCA]],11,FALSE)</f>
        <v>GCA</v>
      </c>
      <c r="EN66" s="902">
        <f>VLOOKUP(WWWW[[#This Row],[Site Name]],SiteDB6[[Site Name]:[Lat]],12,FALSE)</f>
        <v>25.403476999999999</v>
      </c>
      <c r="EO66" s="902">
        <f>VLOOKUP(WWWW[[#This Row],[Site Name]],SiteDB6[[Site Name]:[Long]],13,FALSE)</f>
        <v>97.373361000000003</v>
      </c>
      <c r="EP66" s="902" t="str">
        <f>VLOOKUP(WWWW[[#This Row],[Site Name]],SiteDB6[[Site Name]:[Pcode]],3,FALSE)</f>
        <v>MMR001CMP019</v>
      </c>
      <c r="EQ66" s="907" t="str">
        <f t="shared" si="0"/>
        <v>Covered</v>
      </c>
      <c r="ER66" s="907" t="s">
        <v>3126</v>
      </c>
      <c r="ES66" s="907" t="s">
        <v>3126</v>
      </c>
      <c r="ET66" s="902">
        <f>VLOOKUP(WWWW[[#This Row],[Site Name]],SiteDB6[[Site Name]:[Pop
(Kachin/Shan-CCCM as of May 2023)]],16,FALSE)</f>
        <v>53</v>
      </c>
      <c r="EU66" s="902">
        <f>VLOOKUP(WWWW[[#This Row],[Site Name]],SiteDB6[[Site Name]:[Pop
(Kachin/Shan-CCCM as of May 2023)]],17,FALSE)</f>
        <v>279</v>
      </c>
    </row>
    <row r="67" spans="1:151" hidden="1">
      <c r="A67" s="900" t="s">
        <v>2961</v>
      </c>
      <c r="B67" s="900" t="s">
        <v>36</v>
      </c>
      <c r="C67" s="901" t="s">
        <v>36</v>
      </c>
      <c r="D67" s="901" t="s">
        <v>241</v>
      </c>
      <c r="E67" s="901" t="s">
        <v>37</v>
      </c>
      <c r="F67" s="901" t="s">
        <v>159</v>
      </c>
      <c r="G67" s="902" t="str">
        <f>VLOOKUP(WWWW[[#This Row],[Site Name]],SiteDB6[[Site Name]:[Location Type]],8,FALSE)</f>
        <v>Camp</v>
      </c>
      <c r="H67" s="901" t="s">
        <v>823</v>
      </c>
      <c r="I67" s="903">
        <v>18</v>
      </c>
      <c r="J67" s="903">
        <v>62</v>
      </c>
      <c r="K67" s="904">
        <v>44973</v>
      </c>
      <c r="L67" s="905">
        <v>45337</v>
      </c>
      <c r="M67" s="903">
        <v>489</v>
      </c>
      <c r="N67" s="903">
        <v>2</v>
      </c>
      <c r="O67" s="903"/>
      <c r="P67" s="903"/>
      <c r="Q67" s="906" t="s">
        <v>41</v>
      </c>
      <c r="R67" s="903">
        <v>1</v>
      </c>
      <c r="S67" s="903">
        <v>2</v>
      </c>
      <c r="T67" s="441">
        <v>1</v>
      </c>
      <c r="U67" s="903"/>
      <c r="V67" s="903"/>
      <c r="W67" s="903">
        <v>1</v>
      </c>
      <c r="X67" s="903"/>
      <c r="Y67" s="903"/>
      <c r="Z67" s="903"/>
      <c r="AA67" s="903"/>
      <c r="AB67" s="903"/>
      <c r="AC67" s="903"/>
      <c r="AD67" s="903"/>
      <c r="AE67" s="903"/>
      <c r="AF67" s="903"/>
      <c r="AG67" s="903"/>
      <c r="AH67" s="903"/>
      <c r="AI67" s="903"/>
      <c r="AJ67" s="903"/>
      <c r="AK67" s="903"/>
      <c r="AL67" s="903"/>
      <c r="AM67" s="903">
        <v>4</v>
      </c>
      <c r="AN67" s="903"/>
      <c r="AO67" s="441"/>
      <c r="AP67" s="907"/>
      <c r="AQ67" s="903">
        <v>4</v>
      </c>
      <c r="AR67" s="903"/>
      <c r="AS67" s="908"/>
      <c r="AT67" s="903"/>
      <c r="AU67" s="903"/>
      <c r="AV67" s="903"/>
      <c r="AW67" s="903"/>
      <c r="AX67" s="903"/>
      <c r="AY67" s="902" t="s">
        <v>41</v>
      </c>
      <c r="AZ67" s="907" t="s">
        <v>137</v>
      </c>
      <c r="BA67" s="903"/>
      <c r="BB67" s="903"/>
      <c r="BC67" s="903"/>
      <c r="BD67" s="441"/>
      <c r="BE67" s="441"/>
      <c r="BF67" s="902"/>
      <c r="BG67" s="903">
        <v>2</v>
      </c>
      <c r="BH67" s="903"/>
      <c r="BI67" s="903"/>
      <c r="BJ67" s="903">
        <v>1</v>
      </c>
      <c r="BK67" s="903"/>
      <c r="BL67" s="903"/>
      <c r="BM67" s="903">
        <v>1</v>
      </c>
      <c r="BN67" s="903"/>
      <c r="BO67" s="903"/>
      <c r="BP67" s="902" t="s">
        <v>41</v>
      </c>
      <c r="BQ67" s="909">
        <v>1</v>
      </c>
      <c r="BR67" s="908"/>
      <c r="BS67" s="902"/>
      <c r="BT67" s="416"/>
      <c r="BU67" s="416"/>
      <c r="BV67" s="418"/>
      <c r="BW67" s="416"/>
      <c r="BX67" s="441"/>
      <c r="BY67" s="441"/>
      <c r="BZ67" s="441"/>
      <c r="CA67" s="441"/>
      <c r="CB67" s="441"/>
      <c r="CC67" s="693"/>
      <c r="CD67" s="441"/>
      <c r="CE67" s="910" t="str">
        <f>IFERROR(WWWW[[#This Row],['#_Water sources passed]]/WWWW[[#This Row],['#_Water sources tested for fecal coliform ]],"no test")</f>
        <v>no test</v>
      </c>
      <c r="CF67" s="908" t="str">
        <f>IFERROR(WWWW[[#This Row],['#_Household passed]]/WWWW[[#This Row],['#_Household water samples tested for fecal coliform]],"no test")</f>
        <v>no test</v>
      </c>
      <c r="CG67" s="909" t="str">
        <f>IF(AND(WWWW[[#This Row],[% of water sources passed]]="no test",WWWW[[#This Row],[% Household passed]]="no test"),"No Test","Tested")</f>
        <v>No Test</v>
      </c>
      <c r="CH67" s="909">
        <f>WWWW[[#This Row],['#_Constructed/existing protected hand dug well]]-WWWW[[#This Row],['#_Non-functional protected hand dug well]]</f>
        <v>1</v>
      </c>
      <c r="CI67" s="909">
        <f>(WWWW[[#This Row],['#_Constructed/Existing tube wells/boreholes/handpumps_WASH_agency]]+WWWW[[#This Row],['#_Non-Cluster partner water tube-wells/boreholes/handpumps]])-WWWW[[#This Row],['#_Non-functional tube wells/boreholes/handpumps]]</f>
        <v>1</v>
      </c>
      <c r="CJ67" s="909">
        <f>WWWW[[#This Row],['#_Constructed/Existingwater storage tank with gravity fed reticulation system]]-WWWW[[#This Row],['#_Non-functional storage tank gravity fed reticulation system]]</f>
        <v>0</v>
      </c>
      <c r="CK67" s="909">
        <f>(WWWW[[#This Row],['#_Water_Liters_supplied_by_Water boating or water trucking]]/90)/15</f>
        <v>0</v>
      </c>
      <c r="CL67" s="909">
        <f>WWWW[[#This Row],['#_Water_Liters_from_Constructed/Existing water distribution system from river or natural spring]]/90/15</f>
        <v>0</v>
      </c>
      <c r="CM67" s="417">
        <f>IF(WWWW[[#This Row],['#_of water points in TLS/CFS]]*500&gt;WWWW[[#This Row],[Total PoP ]],WWWW[[#This Row],[Total PoP ]],WWWW[[#This Row],['#_of water points in TLS/CFS]]*500)</f>
        <v>0</v>
      </c>
      <c r="CN67" s="417">
        <f>IF(WWWW[[#This Row],['#_of water points in THF]]*500&gt;WWWW[[#This Row],[Total PoP ]],WWWW[[#This Row],[Total PoP ]],WWWW[[#This Row],['#_of water points in THF]]*500)</f>
        <v>0</v>
      </c>
      <c r="CO67" s="417"/>
      <c r="CP67"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67"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67" s="908">
        <f>IF(WWWW[[#This Row],[Location Type 1]]="Village",WWWW[[#This Row],[Access to safe drinking water for Village]],WWWW[[#This Row],[Access to safe drinking water for Camp]])</f>
        <v>1</v>
      </c>
      <c r="CS67" s="906">
        <f>WWWW[[#This Row],[%Equitable and continuous access to sufficient quantity of safe drinking water]]*WWWW[[#This Row],[Total PoP ]]</f>
        <v>62</v>
      </c>
      <c r="CT67" s="908">
        <f>IF((WWWW[[#This Row],['#_Constructed/Existing protected/fenced ponds]]*250)/WWWW[[#This Row],[Total PoP ]]&gt;1,1,(WWWW[[#This Row],['#_Constructed/Existing protected/fenced ponds]]*250)/WWWW[[#This Row],[Total PoP ]])</f>
        <v>0</v>
      </c>
      <c r="CU67" s="906">
        <f>WWWW[[#This Row],[% Access to unimproved water points]]*WWWW[[#This Row],[Total PoP ]]</f>
        <v>0</v>
      </c>
      <c r="CV67"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67"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v>
      </c>
      <c r="CX67" s="906">
        <f>WWWW[[#This Row],[HRP1]]/500</f>
        <v>0.124</v>
      </c>
      <c r="CY67" s="911">
        <f>1-WWWW[[#This Row],[% Equitable and continuous access to sufficient quantity of domestic water]]</f>
        <v>0</v>
      </c>
      <c r="CZ67" s="906">
        <f>WWWW[[#This Row],[%equitable and continuous access to sufficient quantity of safe drinking and domestic water''s GAP]]*WWWW[[#This Row],[Total PoP ]]</f>
        <v>0</v>
      </c>
      <c r="DA67" s="909">
        <f>IF(WWWW[[#This Row],[Total required water points]]-WWWW[[#This Row],['#Water points coverage]]&lt;0,0,WWWW[[#This Row],[Total required water points]]-WWWW[[#This Row],['#Water points coverage]])</f>
        <v>0.876</v>
      </c>
      <c r="DB67" s="909">
        <f>ROUND(IF(WWWW[[#This Row],[Total PoP ]]&lt;500,1,WWWW[[#This Row],[Total PoP ]]/500),0)</f>
        <v>1</v>
      </c>
      <c r="DC67" s="909">
        <f>(WWWW[[#This Row],['#_Constructed latrines_by_WASHAgencies]]+WWWW[[#This Row],['#_Non Cluster partner latrines]])-WWWW[[#This Row],['#_Non-functional latrines]]</f>
        <v>4</v>
      </c>
      <c r="DD67" s="615">
        <f>WWWW[[#This Row],[HRP2]]/WWWW[[#This Row],[Total PoP ]]</f>
        <v>1</v>
      </c>
      <c r="DE67"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62</v>
      </c>
      <c r="DF67"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7"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7" s="417">
        <f>IF(WWWW[[#This Row],['# of functional latrines in THF supported by WASH partners during the reporting period2]]="",0,WWWW[[#This Row],['# of functional latrines in THF supported by WASH partners during the reporting period2]]*50)</f>
        <v>0</v>
      </c>
      <c r="DI67" s="909">
        <f>ROUND(IF(WWWW[[#This Row],[Location Type 1]]="camp",WWWW[[#This Row],[Total PoP ]]/20,IF(WWWW[[#This Row],[Location Type 1]]="Temporary Location",WWWW[[#This Row],[Total PoP ]]/50,(WWWW[[#This Row],[Total PoP ]]/6))),0)</f>
        <v>3</v>
      </c>
      <c r="DJ67" s="909">
        <f>IF(WWWW[[#This Row],[Total required Latrines]]-(WWWW[[#This Row],['#_Constructed latrines_by_WASHAgencies]]+WWWW[[#This Row],['#_Non Cluster partner latrines]])&lt;0,0,WWWW[[#This Row],[Total required Latrines]]-(WWWW[[#This Row],['#_Constructed latrines_by_WASHAgencies]]+WWWW[[#This Row],['#_Non Cluster partner latrines]]))</f>
        <v>0</v>
      </c>
      <c r="DK67" s="911">
        <f>1-WWWW[[#This Row],[% people access to functioning Latrine]]</f>
        <v>0</v>
      </c>
      <c r="DL67" s="910">
        <f>IF(OR(WWWW[[#This Row],['#_Non-functional latrines]]="",WWWW[[#This Row],['#_Non-functional latrines]]=0),0,WWWW[[#This Row],['#_Non-functional latrines]]/(WWWW[[#This Row],['#_Constructed latrines_by_WASHAgencies]]+WWWW[[#This Row],['#_Non Cluster partner latrines]]))</f>
        <v>0</v>
      </c>
      <c r="DM67" s="906">
        <f>IF(500*(WWWW[[#This Row],['#_male hygiene promoters]]+WWWW[[#This Row],['#_female hygiene promoters]])&gt;WWWW[[#This Row],[Total PoP ]],WWWW[[#This Row],[Total PoP ]],500*(WWWW[[#This Row],['#_male hygiene promoters]]+WWWW[[#This Row],['#_female hygiene promoters]]))</f>
        <v>62</v>
      </c>
      <c r="DN67"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7"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7" s="909">
        <f>IF(WWWW[[#This Row],['# People with access to soap]]&gt;WWWW[[#This Row],['# People with access to Sanity Pads]],WWWW[[#This Row],['# People with access to soap]],WWWW[[#This Row],['# People with access to Sanity Pads]])</f>
        <v>0</v>
      </c>
      <c r="DQ67" s="909">
        <f>IF(WWWW[[#This Row],['# people reached by regular dedicated hygiene promotion_5]]&gt;WWWW[[#This Row],['# People received regular supply of hygiene items_6]],WWWW[[#This Row],['# people reached by regular dedicated hygiene promotion_5]],WWWW[[#This Row],['# People received regular supply of hygiene items_6]])</f>
        <v>62</v>
      </c>
      <c r="DR67" s="911">
        <f>IF(WWWW[[#This Row],[HRP3]]/WWWW[[#This Row],[Total PoP ]]&gt;1,1,WWWW[[#This Row],[HRP3]]/WWWW[[#This Row],[Total PoP ]])</f>
        <v>1</v>
      </c>
      <c r="DS67" s="910">
        <f>1-WWWW[[#This Row],[Hygiene Coverage%]]</f>
        <v>0</v>
      </c>
      <c r="DT67" s="908">
        <f>WWWW[[#This Row],['# people reached by regular dedicated hygiene promotion_5]]/WWWW[[#This Row],[Total PoP ]]</f>
        <v>1</v>
      </c>
      <c r="DU67"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7"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7" s="909">
        <f>WWWW[[#This Row],['#_Constructed/Existing hand washing stations]]-WWWW[[#This Row],['#_Non-Functional_hand_washing_stations]]</f>
        <v>2</v>
      </c>
      <c r="DX67" s="906">
        <f>IF(WWWW[[#This Row],['# Functional hand washing stations during reporting period]]*20&gt;WWWW[[#This Row],[Total HH]],WWWW[[#This Row],[Total HH]],WWWW[[#This Row],['# Functional hand washing stations during reporting period]]*20)</f>
        <v>18</v>
      </c>
      <c r="DY67" s="906">
        <f>IF(WWWW[[#This Row],[Is sufficient soap available for TLS? (Yes/No)]]="yes",WWWW[[#This Row],['#_Constructed/Existing hand washing stations at TLS/CFS/THF]],0)</f>
        <v>4</v>
      </c>
      <c r="DZ67" s="421">
        <f>IF(WWWW[[#This Row],['# Functional hand washing stations during reporting period]]*100&gt;WWWW[[#This Row],[Total PoP ]],WWWW[[#This Row],[Total PoP ]],WWWW[[#This Row],['# Functional hand washing stations during reporting period]]*100)</f>
        <v>62</v>
      </c>
      <c r="EA67" s="421" t="str">
        <f>IF(OR(WWWW[[#This Row],['#_students at TLS_CFS]]="",WWWW[[#This Row],['#_students at TLS_CFS]]=0),"No","Yes")</f>
        <v>Yes</v>
      </c>
      <c r="EB6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7" s="566">
        <f>WWWW[[#This Row],[%_of_affected_people_surveyed_who_report_feeling_satistfied_with_the_latrine_design_and_sanitation_service]]*WWWW[[#This Row],[Total PoP ]]</f>
        <v>0</v>
      </c>
      <c r="ED67" s="566">
        <f>WWWW[[#This Row],[%_of_affected_people_surveyed_who_report_feeling_satistfied_with_the_water_point_design_and_water_service]]*WWWW[[#This Row],[Total PoP ]]</f>
        <v>0</v>
      </c>
      <c r="EE67" s="566">
        <f>WWWW[[#This Row],[%_of_complaints_received_that_result_in_timely_corrective_action_and_feedback_to_the_community]]*WWWW[[#This Row],[Total PoP ]]</f>
        <v>0</v>
      </c>
      <c r="EF6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7" s="902">
        <f>VLOOKUP(WWWW[[#This Row],[Site Name]],SiteDB6[[Site Name]:[CCCM Management]],6,FALSE)</f>
        <v>0</v>
      </c>
      <c r="EJ67" s="902" t="str">
        <f>VLOOKUP(WWWW[[#This Row],[Site Name]],SiteDB6[[Site Name]:[CCCM Focal Agency]],7,FALSE)</f>
        <v>KMSS-MYT</v>
      </c>
      <c r="EK67" s="902" t="str">
        <f>VLOOKUP(WWWW[[#This Row],[Site Name]],SiteDB6[[Site Name]:[Location Type 1]],9,FALSE)</f>
        <v>Camp</v>
      </c>
      <c r="EL67" s="902" t="str">
        <f>VLOOKUP(WWWW[[#This Row],[Site Name]],SiteDB6[[Site Name]:[Type of Accommodation]],10,FALSE)</f>
        <v>Camp</v>
      </c>
      <c r="EM67" s="902" t="str">
        <f>VLOOKUP(WWWW[[#This Row],[Site Name]],SiteDB6[[Site Name]:[Ethnic or GCA/NGCA]],11,FALSE)</f>
        <v>GCA</v>
      </c>
      <c r="EN67" s="902">
        <f>VLOOKUP(WWWW[[#This Row],[Site Name]],SiteDB6[[Site Name]:[Lat]],12,FALSE)</f>
        <v>25.244700000000002</v>
      </c>
      <c r="EO67" s="902">
        <f>VLOOKUP(WWWW[[#This Row],[Site Name]],SiteDB6[[Site Name]:[Long]],13,FALSE)</f>
        <v>97.2209</v>
      </c>
      <c r="EP67" s="902" t="str">
        <f>VLOOKUP(WWWW[[#This Row],[Site Name]],SiteDB6[[Site Name]:[Pcode]],3,FALSE)</f>
        <v>MMR001CMP256</v>
      </c>
      <c r="EQ67" s="907" t="str">
        <f t="shared" si="0"/>
        <v>Covered</v>
      </c>
      <c r="ER67" s="907" t="s">
        <v>3126</v>
      </c>
      <c r="ES67" s="907" t="s">
        <v>3126</v>
      </c>
      <c r="ET67" s="902">
        <f>VLOOKUP(WWWW[[#This Row],[Site Name]],SiteDB6[[Site Name]:[Pop
(Kachin/Shan-CCCM as of May 2023)]],16,FALSE)</f>
        <v>18</v>
      </c>
      <c r="EU67" s="902">
        <f>VLOOKUP(WWWW[[#This Row],[Site Name]],SiteDB6[[Site Name]:[Pop
(Kachin/Shan-CCCM as of May 2023)]],17,FALSE)</f>
        <v>64</v>
      </c>
    </row>
    <row r="68" spans="1:151" hidden="1">
      <c r="A68" s="900" t="s">
        <v>2961</v>
      </c>
      <c r="B68" s="900" t="s">
        <v>36</v>
      </c>
      <c r="C68" s="901" t="s">
        <v>36</v>
      </c>
      <c r="D68" s="901" t="s">
        <v>241</v>
      </c>
      <c r="E68" s="901" t="s">
        <v>37</v>
      </c>
      <c r="F68" s="901" t="s">
        <v>159</v>
      </c>
      <c r="G68" s="902" t="str">
        <f>VLOOKUP(WWWW[[#This Row],[Site Name]],SiteDB6[[Site Name]:[Location Type]],8,FALSE)</f>
        <v>Camp</v>
      </c>
      <c r="H68" s="901" t="s">
        <v>234</v>
      </c>
      <c r="I68" s="903">
        <v>59</v>
      </c>
      <c r="J68" s="903">
        <v>274</v>
      </c>
      <c r="K68" s="904">
        <v>44973</v>
      </c>
      <c r="L68" s="905">
        <v>45337</v>
      </c>
      <c r="M68" s="903"/>
      <c r="N68" s="903">
        <v>2</v>
      </c>
      <c r="O68" s="903"/>
      <c r="P68" s="903"/>
      <c r="Q68" s="906" t="s">
        <v>41</v>
      </c>
      <c r="R68" s="903">
        <v>2</v>
      </c>
      <c r="S68" s="903">
        <v>9</v>
      </c>
      <c r="T68" s="441"/>
      <c r="U68" s="903"/>
      <c r="V68" s="903"/>
      <c r="W68" s="903">
        <v>4</v>
      </c>
      <c r="X68" s="903"/>
      <c r="Y68" s="903"/>
      <c r="Z68" s="903"/>
      <c r="AA68" s="903"/>
      <c r="AB68" s="903"/>
      <c r="AC68" s="903"/>
      <c r="AD68" s="903"/>
      <c r="AE68" s="903"/>
      <c r="AF68" s="903"/>
      <c r="AG68" s="903"/>
      <c r="AH68" s="903"/>
      <c r="AI68" s="903"/>
      <c r="AJ68" s="903"/>
      <c r="AK68" s="903"/>
      <c r="AL68" s="903"/>
      <c r="AM68" s="903">
        <v>4</v>
      </c>
      <c r="AN68" s="903"/>
      <c r="AO68" s="441"/>
      <c r="AP68" s="907"/>
      <c r="AQ68" s="903">
        <v>20</v>
      </c>
      <c r="AR68" s="903"/>
      <c r="AS68" s="908"/>
      <c r="AT68" s="903"/>
      <c r="AU68" s="903"/>
      <c r="AV68" s="903"/>
      <c r="AW68" s="903"/>
      <c r="AX68" s="903"/>
      <c r="AY68" s="902" t="s">
        <v>41</v>
      </c>
      <c r="AZ68" s="907" t="s">
        <v>137</v>
      </c>
      <c r="BA68" s="903">
        <v>1</v>
      </c>
      <c r="BB68" s="903"/>
      <c r="BC68" s="903"/>
      <c r="BD68" s="441"/>
      <c r="BE68" s="441"/>
      <c r="BF68" s="902"/>
      <c r="BG68" s="903">
        <v>7</v>
      </c>
      <c r="BH68" s="903"/>
      <c r="BI68" s="903"/>
      <c r="BJ68" s="903">
        <v>2</v>
      </c>
      <c r="BK68" s="903"/>
      <c r="BL68" s="903"/>
      <c r="BM68" s="903">
        <v>1</v>
      </c>
      <c r="BN68" s="903"/>
      <c r="BO68" s="903"/>
      <c r="BP68" s="902" t="s">
        <v>41</v>
      </c>
      <c r="BQ68" s="909">
        <v>1</v>
      </c>
      <c r="BR68" s="908"/>
      <c r="BS68" s="902"/>
      <c r="BT68" s="416"/>
      <c r="BU68" s="416"/>
      <c r="BV68" s="418"/>
      <c r="BW68" s="416"/>
      <c r="BX68" s="441"/>
      <c r="BY68" s="441"/>
      <c r="BZ68" s="441"/>
      <c r="CA68" s="441"/>
      <c r="CB68" s="441"/>
      <c r="CC68" s="693"/>
      <c r="CD68" s="441"/>
      <c r="CE68" s="910" t="str">
        <f>IFERROR(WWWW[[#This Row],['#_Water sources passed]]/WWWW[[#This Row],['#_Water sources tested for fecal coliform ]],"no test")</f>
        <v>no test</v>
      </c>
      <c r="CF68" s="908" t="str">
        <f>IFERROR(WWWW[[#This Row],['#_Household passed]]/WWWW[[#This Row],['#_Household water samples tested for fecal coliform]],"no test")</f>
        <v>no test</v>
      </c>
      <c r="CG68" s="909" t="str">
        <f>IF(AND(WWWW[[#This Row],[% of water sources passed]]="no test",WWWW[[#This Row],[% Household passed]]="no test"),"No Test","Tested")</f>
        <v>No Test</v>
      </c>
      <c r="CH68" s="909">
        <f>WWWW[[#This Row],['#_Constructed/existing protected hand dug well]]-WWWW[[#This Row],['#_Non-functional protected hand dug well]]</f>
        <v>0</v>
      </c>
      <c r="CI68" s="909">
        <f>(WWWW[[#This Row],['#_Constructed/Existing tube wells/boreholes/handpumps_WASH_agency]]+WWWW[[#This Row],['#_Non-Cluster partner water tube-wells/boreholes/handpumps]])-WWWW[[#This Row],['#_Non-functional tube wells/boreholes/handpumps]]</f>
        <v>4</v>
      </c>
      <c r="CJ68" s="909">
        <f>WWWW[[#This Row],['#_Constructed/Existingwater storage tank with gravity fed reticulation system]]-WWWW[[#This Row],['#_Non-functional storage tank gravity fed reticulation system]]</f>
        <v>0</v>
      </c>
      <c r="CK68" s="909">
        <f>(WWWW[[#This Row],['#_Water_Liters_supplied_by_Water boating or water trucking]]/90)/15</f>
        <v>0</v>
      </c>
      <c r="CL68" s="909">
        <f>WWWW[[#This Row],['#_Water_Liters_from_Constructed/Existing water distribution system from river or natural spring]]/90/15</f>
        <v>0</v>
      </c>
      <c r="CM68" s="417">
        <f>IF(WWWW[[#This Row],['#_of water points in TLS/CFS]]*500&gt;WWWW[[#This Row],[Total PoP ]],WWWW[[#This Row],[Total PoP ]],WWWW[[#This Row],['#_of water points in TLS/CFS]]*500)</f>
        <v>0</v>
      </c>
      <c r="CN68" s="417">
        <f>IF(WWWW[[#This Row],['#_of water points in THF]]*500&gt;WWWW[[#This Row],[Total PoP ]],WWWW[[#This Row],[Total PoP ]],WWWW[[#This Row],['#_of water points in THF]]*500)</f>
        <v>0</v>
      </c>
      <c r="CO68" s="417"/>
      <c r="CP68"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68"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68" s="908">
        <f>IF(WWWW[[#This Row],[Location Type 1]]="Village",WWWW[[#This Row],[Access to safe drinking water for Village]],WWWW[[#This Row],[Access to safe drinking water for Camp]])</f>
        <v>1</v>
      </c>
      <c r="CS68" s="906">
        <f>WWWW[[#This Row],[%Equitable and continuous access to sufficient quantity of safe drinking water]]*WWWW[[#This Row],[Total PoP ]]</f>
        <v>274</v>
      </c>
      <c r="CT68" s="908">
        <f>IF((WWWW[[#This Row],['#_Constructed/Existing protected/fenced ponds]]*250)/WWWW[[#This Row],[Total PoP ]]&gt;1,1,(WWWW[[#This Row],['#_Constructed/Existing protected/fenced ponds]]*250)/WWWW[[#This Row],[Total PoP ]])</f>
        <v>0</v>
      </c>
      <c r="CU68" s="906">
        <f>WWWW[[#This Row],[% Access to unimproved water points]]*WWWW[[#This Row],[Total PoP ]]</f>
        <v>0</v>
      </c>
      <c r="CV68"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68"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274</v>
      </c>
      <c r="CX68" s="906">
        <f>WWWW[[#This Row],[HRP1]]/500</f>
        <v>0.54800000000000004</v>
      </c>
      <c r="CY68" s="911">
        <f>1-WWWW[[#This Row],[% Equitable and continuous access to sufficient quantity of domestic water]]</f>
        <v>0</v>
      </c>
      <c r="CZ68" s="906">
        <f>WWWW[[#This Row],[%equitable and continuous access to sufficient quantity of safe drinking and domestic water''s GAP]]*WWWW[[#This Row],[Total PoP ]]</f>
        <v>0</v>
      </c>
      <c r="DA68" s="909">
        <f>IF(WWWW[[#This Row],[Total required water points]]-WWWW[[#This Row],['#Water points coverage]]&lt;0,0,WWWW[[#This Row],[Total required water points]]-WWWW[[#This Row],['#Water points coverage]])</f>
        <v>0.45199999999999996</v>
      </c>
      <c r="DB68" s="909">
        <f>ROUND(IF(WWWW[[#This Row],[Total PoP ]]&lt;500,1,WWWW[[#This Row],[Total PoP ]]/500),0)</f>
        <v>1</v>
      </c>
      <c r="DC68" s="909">
        <f>(WWWW[[#This Row],['#_Constructed latrines_by_WASHAgencies]]+WWWW[[#This Row],['#_Non Cluster partner latrines]])-WWWW[[#This Row],['#_Non-functional latrines]]</f>
        <v>20</v>
      </c>
      <c r="DD68" s="615">
        <f>WWWW[[#This Row],[HRP2]]/WWWW[[#This Row],[Total PoP ]]</f>
        <v>1</v>
      </c>
      <c r="DE68"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274</v>
      </c>
      <c r="DF68"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8"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8" s="417">
        <f>IF(WWWW[[#This Row],['# of functional latrines in THF supported by WASH partners during the reporting period2]]="",0,WWWW[[#This Row],['# of functional latrines in THF supported by WASH partners during the reporting period2]]*50)</f>
        <v>0</v>
      </c>
      <c r="DI68" s="909">
        <f>ROUND(IF(WWWW[[#This Row],[Location Type 1]]="camp",WWWW[[#This Row],[Total PoP ]]/20,IF(WWWW[[#This Row],[Location Type 1]]="Temporary Location",WWWW[[#This Row],[Total PoP ]]/50,(WWWW[[#This Row],[Total PoP ]]/6))),0)</f>
        <v>14</v>
      </c>
      <c r="DJ68" s="909">
        <f>IF(WWWW[[#This Row],[Total required Latrines]]-(WWWW[[#This Row],['#_Constructed latrines_by_WASHAgencies]]+WWWW[[#This Row],['#_Non Cluster partner latrines]])&lt;0,0,WWWW[[#This Row],[Total required Latrines]]-(WWWW[[#This Row],['#_Constructed latrines_by_WASHAgencies]]+WWWW[[#This Row],['#_Non Cluster partner latrines]]))</f>
        <v>0</v>
      </c>
      <c r="DK68" s="911">
        <f>1-WWWW[[#This Row],[% people access to functioning Latrine]]</f>
        <v>0</v>
      </c>
      <c r="DL68" s="910">
        <f>IF(OR(WWWW[[#This Row],['#_Non-functional latrines]]="",WWWW[[#This Row],['#_Non-functional latrines]]=0),0,WWWW[[#This Row],['#_Non-functional latrines]]/(WWWW[[#This Row],['#_Constructed latrines_by_WASHAgencies]]+WWWW[[#This Row],['#_Non Cluster partner latrines]]))</f>
        <v>0</v>
      </c>
      <c r="DM68" s="906">
        <f>IF(500*(WWWW[[#This Row],['#_male hygiene promoters]]+WWWW[[#This Row],['#_female hygiene promoters]])&gt;WWWW[[#This Row],[Total PoP ]],WWWW[[#This Row],[Total PoP ]],500*(WWWW[[#This Row],['#_male hygiene promoters]]+WWWW[[#This Row],['#_female hygiene promoters]]))</f>
        <v>274</v>
      </c>
      <c r="DN68"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8"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8" s="909">
        <f>IF(WWWW[[#This Row],['# People with access to soap]]&gt;WWWW[[#This Row],['# People with access to Sanity Pads]],WWWW[[#This Row],['# People with access to soap]],WWWW[[#This Row],['# People with access to Sanity Pads]])</f>
        <v>0</v>
      </c>
      <c r="DQ68" s="909">
        <f>IF(WWWW[[#This Row],['# people reached by regular dedicated hygiene promotion_5]]&gt;WWWW[[#This Row],['# People received regular supply of hygiene items_6]],WWWW[[#This Row],['# people reached by regular dedicated hygiene promotion_5]],WWWW[[#This Row],['# People received regular supply of hygiene items_6]])</f>
        <v>274</v>
      </c>
      <c r="DR68" s="911">
        <f>IF(WWWW[[#This Row],[HRP3]]/WWWW[[#This Row],[Total PoP ]]&gt;1,1,WWWW[[#This Row],[HRP3]]/WWWW[[#This Row],[Total PoP ]])</f>
        <v>1</v>
      </c>
      <c r="DS68" s="910">
        <f>1-WWWW[[#This Row],[Hygiene Coverage%]]</f>
        <v>0</v>
      </c>
      <c r="DT68" s="908">
        <f>WWWW[[#This Row],['# people reached by regular dedicated hygiene promotion_5]]/WWWW[[#This Row],[Total PoP ]]</f>
        <v>1</v>
      </c>
      <c r="DU68"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8"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8" s="909">
        <f>WWWW[[#This Row],['#_Constructed/Existing hand washing stations]]-WWWW[[#This Row],['#_Non-Functional_hand_washing_stations]]</f>
        <v>7</v>
      </c>
      <c r="DX68" s="906">
        <f>IF(WWWW[[#This Row],['# Functional hand washing stations during reporting period]]*20&gt;WWWW[[#This Row],[Total HH]],WWWW[[#This Row],[Total HH]],WWWW[[#This Row],['# Functional hand washing stations during reporting period]]*20)</f>
        <v>59</v>
      </c>
      <c r="DY68" s="906">
        <f>IF(WWWW[[#This Row],[Is sufficient soap available for TLS? (Yes/No)]]="yes",WWWW[[#This Row],['#_Constructed/Existing hand washing stations at TLS/CFS/THF]],0)</f>
        <v>4</v>
      </c>
      <c r="DZ68" s="421">
        <f>IF(WWWW[[#This Row],['# Functional hand washing stations during reporting period]]*100&gt;WWWW[[#This Row],[Total PoP ]],WWWW[[#This Row],[Total PoP ]],WWWW[[#This Row],['# Functional hand washing stations during reporting period]]*100)</f>
        <v>274</v>
      </c>
      <c r="EA68" s="421" t="str">
        <f>IF(OR(WWWW[[#This Row],['#_students at TLS_CFS]]="",WWWW[[#This Row],['#_students at TLS_CFS]]=0),"No","Yes")</f>
        <v>No</v>
      </c>
      <c r="EB6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8" s="566">
        <f>WWWW[[#This Row],[%_of_affected_people_surveyed_who_report_feeling_satistfied_with_the_latrine_design_and_sanitation_service]]*WWWW[[#This Row],[Total PoP ]]</f>
        <v>0</v>
      </c>
      <c r="ED68" s="566">
        <f>WWWW[[#This Row],[%_of_affected_people_surveyed_who_report_feeling_satistfied_with_the_water_point_design_and_water_service]]*WWWW[[#This Row],[Total PoP ]]</f>
        <v>0</v>
      </c>
      <c r="EE68" s="566">
        <f>WWWW[[#This Row],[%_of_complaints_received_that_result_in_timely_corrective_action_and_feedback_to_the_community]]*WWWW[[#This Row],[Total PoP ]]</f>
        <v>0</v>
      </c>
      <c r="EF6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8" s="902" t="str">
        <f>VLOOKUP(WWWW[[#This Row],[Site Name]],SiteDB6[[Site Name]:[CCCM Management]],6,FALSE)</f>
        <v>Yes</v>
      </c>
      <c r="EJ68" s="902" t="str">
        <f>VLOOKUP(WWWW[[#This Row],[Site Name]],SiteDB6[[Site Name]:[CCCM Focal Agency]],7,FALSE)</f>
        <v>KMSS-MYT</v>
      </c>
      <c r="EK68" s="902" t="str">
        <f>VLOOKUP(WWWW[[#This Row],[Site Name]],SiteDB6[[Site Name]:[Location Type 1]],9,FALSE)</f>
        <v>Camp</v>
      </c>
      <c r="EL68" s="902" t="str">
        <f>VLOOKUP(WWWW[[#This Row],[Site Name]],SiteDB6[[Site Name]:[Type of Accommodation]],10,FALSE)</f>
        <v>Camp</v>
      </c>
      <c r="EM68" s="902" t="str">
        <f>VLOOKUP(WWWW[[#This Row],[Site Name]],SiteDB6[[Site Name]:[Ethnic or GCA/NGCA]],11,FALSE)</f>
        <v>GCA</v>
      </c>
      <c r="EN68" s="902">
        <f>VLOOKUP(WWWW[[#This Row],[Site Name]],SiteDB6[[Site Name]:[Lat]],12,FALSE)</f>
        <v>25.410569299999999</v>
      </c>
      <c r="EO68" s="902">
        <f>VLOOKUP(WWWW[[#This Row],[Site Name]],SiteDB6[[Site Name]:[Long]],13,FALSE)</f>
        <v>97.359320179999997</v>
      </c>
      <c r="EP68" s="902" t="str">
        <f>VLOOKUP(WWWW[[#This Row],[Site Name]],SiteDB6[[Site Name]:[Pcode]],3,FALSE)</f>
        <v>MMR001CMP024</v>
      </c>
      <c r="EQ68" s="907" t="str">
        <f t="shared" si="0"/>
        <v>Covered</v>
      </c>
      <c r="ER68" s="907" t="s">
        <v>3126</v>
      </c>
      <c r="ES68" s="907" t="s">
        <v>3126</v>
      </c>
      <c r="ET68" s="902">
        <f>VLOOKUP(WWWW[[#This Row],[Site Name]],SiteDB6[[Site Name]:[Pop
(Kachin/Shan-CCCM as of May 2023)]],16,FALSE)</f>
        <v>59</v>
      </c>
      <c r="EU68" s="902">
        <f>VLOOKUP(WWWW[[#This Row],[Site Name]],SiteDB6[[Site Name]:[Pop
(Kachin/Shan-CCCM as of May 2023)]],17,FALSE)</f>
        <v>275</v>
      </c>
    </row>
    <row r="69" spans="1:151" hidden="1">
      <c r="A69" s="900" t="s">
        <v>2961</v>
      </c>
      <c r="B69" s="900" t="s">
        <v>36</v>
      </c>
      <c r="C69" s="901" t="s">
        <v>36</v>
      </c>
      <c r="D69" s="901" t="s">
        <v>241</v>
      </c>
      <c r="E69" s="901" t="s">
        <v>37</v>
      </c>
      <c r="F69" s="901" t="s">
        <v>159</v>
      </c>
      <c r="G69" s="902" t="str">
        <f>VLOOKUP(WWWW[[#This Row],[Site Name]],SiteDB6[[Site Name]:[Location Type]],8,FALSE)</f>
        <v>Camp</v>
      </c>
      <c r="H69" s="901" t="s">
        <v>235</v>
      </c>
      <c r="I69" s="903">
        <v>140</v>
      </c>
      <c r="J69" s="903">
        <v>948</v>
      </c>
      <c r="K69" s="904">
        <v>44973</v>
      </c>
      <c r="L69" s="905">
        <v>45337</v>
      </c>
      <c r="M69" s="903"/>
      <c r="N69" s="903">
        <v>4</v>
      </c>
      <c r="O69" s="903"/>
      <c r="P69" s="903"/>
      <c r="Q69" s="906" t="s">
        <v>41</v>
      </c>
      <c r="R69" s="903">
        <v>1</v>
      </c>
      <c r="S69" s="903">
        <v>4</v>
      </c>
      <c r="T69" s="441">
        <v>4</v>
      </c>
      <c r="U69" s="903"/>
      <c r="V69" s="903"/>
      <c r="W69" s="903">
        <v>2</v>
      </c>
      <c r="X69" s="903"/>
      <c r="Y69" s="903"/>
      <c r="Z69" s="903"/>
      <c r="AA69" s="903">
        <v>1</v>
      </c>
      <c r="AB69" s="903"/>
      <c r="AC69" s="903"/>
      <c r="AD69" s="903"/>
      <c r="AE69" s="903"/>
      <c r="AF69" s="903"/>
      <c r="AG69" s="903"/>
      <c r="AH69" s="903"/>
      <c r="AI69" s="903"/>
      <c r="AJ69" s="903"/>
      <c r="AK69" s="903"/>
      <c r="AL69" s="903"/>
      <c r="AM69" s="903">
        <v>12</v>
      </c>
      <c r="AN69" s="903"/>
      <c r="AO69" s="441"/>
      <c r="AP69" s="907"/>
      <c r="AQ69" s="903">
        <v>33</v>
      </c>
      <c r="AR69" s="903"/>
      <c r="AS69" s="908"/>
      <c r="AT69" s="903"/>
      <c r="AU69" s="903"/>
      <c r="AV69" s="903"/>
      <c r="AW69" s="903"/>
      <c r="AX69" s="903"/>
      <c r="AY69" s="902" t="s">
        <v>41</v>
      </c>
      <c r="AZ69" s="907" t="s">
        <v>137</v>
      </c>
      <c r="BA69" s="903">
        <v>1</v>
      </c>
      <c r="BB69" s="903"/>
      <c r="BC69" s="903"/>
      <c r="BD69" s="441"/>
      <c r="BE69" s="441"/>
      <c r="BF69" s="902"/>
      <c r="BG69" s="903">
        <v>8</v>
      </c>
      <c r="BH69" s="903"/>
      <c r="BI69" s="903"/>
      <c r="BJ69" s="903">
        <v>5</v>
      </c>
      <c r="BK69" s="903"/>
      <c r="BL69" s="903"/>
      <c r="BM69" s="903">
        <v>2</v>
      </c>
      <c r="BN69" s="903"/>
      <c r="BO69" s="903"/>
      <c r="BP69" s="902" t="s">
        <v>41</v>
      </c>
      <c r="BQ69" s="909">
        <v>1</v>
      </c>
      <c r="BR69" s="908"/>
      <c r="BS69" s="902"/>
      <c r="BT69" s="416"/>
      <c r="BU69" s="416"/>
      <c r="BV69" s="418"/>
      <c r="BW69" s="416"/>
      <c r="BX69" s="441"/>
      <c r="BY69" s="441"/>
      <c r="BZ69" s="441"/>
      <c r="CA69" s="441"/>
      <c r="CB69" s="441"/>
      <c r="CC69" s="693"/>
      <c r="CD69" s="441"/>
      <c r="CE69" s="910" t="str">
        <f>IFERROR(WWWW[[#This Row],['#_Water sources passed]]/WWWW[[#This Row],['#_Water sources tested for fecal coliform ]],"no test")</f>
        <v>no test</v>
      </c>
      <c r="CF69" s="908" t="str">
        <f>IFERROR(WWWW[[#This Row],['#_Household passed]]/WWWW[[#This Row],['#_Household water samples tested for fecal coliform]],"no test")</f>
        <v>no test</v>
      </c>
      <c r="CG69" s="909" t="str">
        <f>IF(AND(WWWW[[#This Row],[% of water sources passed]]="no test",WWWW[[#This Row],[% Household passed]]="no test"),"No Test","Tested")</f>
        <v>No Test</v>
      </c>
      <c r="CH69" s="909">
        <f>WWWW[[#This Row],['#_Constructed/existing protected hand dug well]]-WWWW[[#This Row],['#_Non-functional protected hand dug well]]</f>
        <v>4</v>
      </c>
      <c r="CI69" s="909">
        <f>(WWWW[[#This Row],['#_Constructed/Existing tube wells/boreholes/handpumps_WASH_agency]]+WWWW[[#This Row],['#_Non-Cluster partner water tube-wells/boreholes/handpumps]])-WWWW[[#This Row],['#_Non-functional tube wells/boreholes/handpumps]]</f>
        <v>2</v>
      </c>
      <c r="CJ69" s="909">
        <f>WWWW[[#This Row],['#_Constructed/Existingwater storage tank with gravity fed reticulation system]]-WWWW[[#This Row],['#_Non-functional storage tank gravity fed reticulation system]]</f>
        <v>1</v>
      </c>
      <c r="CK69" s="909">
        <f>(WWWW[[#This Row],['#_Water_Liters_supplied_by_Water boating or water trucking]]/90)/15</f>
        <v>0</v>
      </c>
      <c r="CL69" s="909">
        <f>WWWW[[#This Row],['#_Water_Liters_from_Constructed/Existing water distribution system from river or natural spring]]/90/15</f>
        <v>0</v>
      </c>
      <c r="CM69" s="417">
        <f>IF(WWWW[[#This Row],['#_of water points in TLS/CFS]]*500&gt;WWWW[[#This Row],[Total PoP ]],WWWW[[#This Row],[Total PoP ]],WWWW[[#This Row],['#_of water points in TLS/CFS]]*500)</f>
        <v>0</v>
      </c>
      <c r="CN69" s="417">
        <f>IF(WWWW[[#This Row],['#_of water points in THF]]*500&gt;WWWW[[#This Row],[Total PoP ]],WWWW[[#This Row],[Total PoP ]],WWWW[[#This Row],['#_of water points in THF]]*500)</f>
        <v>0</v>
      </c>
      <c r="CO69" s="417"/>
      <c r="CP69"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69"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69" s="908">
        <f>IF(WWWW[[#This Row],[Location Type 1]]="Village",WWWW[[#This Row],[Access to safe drinking water for Village]],WWWW[[#This Row],[Access to safe drinking water for Camp]])</f>
        <v>1</v>
      </c>
      <c r="CS69" s="906">
        <f>WWWW[[#This Row],[%Equitable and continuous access to sufficient quantity of safe drinking water]]*WWWW[[#This Row],[Total PoP ]]</f>
        <v>948</v>
      </c>
      <c r="CT69" s="908">
        <f>IF((WWWW[[#This Row],['#_Constructed/Existing protected/fenced ponds]]*250)/WWWW[[#This Row],[Total PoP ]]&gt;1,1,(WWWW[[#This Row],['#_Constructed/Existing protected/fenced ponds]]*250)/WWWW[[#This Row],[Total PoP ]])</f>
        <v>0</v>
      </c>
      <c r="CU69" s="906">
        <f>WWWW[[#This Row],[% Access to unimproved water points]]*WWWW[[#This Row],[Total PoP ]]</f>
        <v>0</v>
      </c>
      <c r="CV69"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69"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948</v>
      </c>
      <c r="CX69" s="906">
        <f>WWWW[[#This Row],[HRP1]]/500</f>
        <v>1.8959999999999999</v>
      </c>
      <c r="CY69" s="911">
        <f>1-WWWW[[#This Row],[% Equitable and continuous access to sufficient quantity of domestic water]]</f>
        <v>0</v>
      </c>
      <c r="CZ69" s="906">
        <f>WWWW[[#This Row],[%equitable and continuous access to sufficient quantity of safe drinking and domestic water''s GAP]]*WWWW[[#This Row],[Total PoP ]]</f>
        <v>0</v>
      </c>
      <c r="DA69" s="909">
        <f>IF(WWWW[[#This Row],[Total required water points]]-WWWW[[#This Row],['#Water points coverage]]&lt;0,0,WWWW[[#This Row],[Total required water points]]-WWWW[[#This Row],['#Water points coverage]])</f>
        <v>0.10400000000000009</v>
      </c>
      <c r="DB69" s="909">
        <f>ROUND(IF(WWWW[[#This Row],[Total PoP ]]&lt;500,1,WWWW[[#This Row],[Total PoP ]]/500),0)</f>
        <v>2</v>
      </c>
      <c r="DC69" s="909">
        <f>(WWWW[[#This Row],['#_Constructed latrines_by_WASHAgencies]]+WWWW[[#This Row],['#_Non Cluster partner latrines]])-WWWW[[#This Row],['#_Non-functional latrines]]</f>
        <v>33</v>
      </c>
      <c r="DD69" s="615">
        <f>WWWW[[#This Row],[HRP2]]/WWWW[[#This Row],[Total PoP ]]</f>
        <v>0.71729957805907174</v>
      </c>
      <c r="DE69"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680</v>
      </c>
      <c r="DF69"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69"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69" s="417">
        <f>IF(WWWW[[#This Row],['# of functional latrines in THF supported by WASH partners during the reporting period2]]="",0,WWWW[[#This Row],['# of functional latrines in THF supported by WASH partners during the reporting period2]]*50)</f>
        <v>0</v>
      </c>
      <c r="DI69" s="909">
        <f>ROUND(IF(WWWW[[#This Row],[Location Type 1]]="camp",WWWW[[#This Row],[Total PoP ]]/20,IF(WWWW[[#This Row],[Location Type 1]]="Temporary Location",WWWW[[#This Row],[Total PoP ]]/50,(WWWW[[#This Row],[Total PoP ]]/6))),0)</f>
        <v>47</v>
      </c>
      <c r="DJ69" s="909">
        <f>IF(WWWW[[#This Row],[Total required Latrines]]-(WWWW[[#This Row],['#_Constructed latrines_by_WASHAgencies]]+WWWW[[#This Row],['#_Non Cluster partner latrines]])&lt;0,0,WWWW[[#This Row],[Total required Latrines]]-(WWWW[[#This Row],['#_Constructed latrines_by_WASHAgencies]]+WWWW[[#This Row],['#_Non Cluster partner latrines]]))</f>
        <v>14</v>
      </c>
      <c r="DK69" s="911">
        <f>1-WWWW[[#This Row],[% people access to functioning Latrine]]</f>
        <v>0.28270042194092826</v>
      </c>
      <c r="DL69" s="910">
        <f>IF(OR(WWWW[[#This Row],['#_Non-functional latrines]]="",WWWW[[#This Row],['#_Non-functional latrines]]=0),0,WWWW[[#This Row],['#_Non-functional latrines]]/(WWWW[[#This Row],['#_Constructed latrines_by_WASHAgencies]]+WWWW[[#This Row],['#_Non Cluster partner latrines]]))</f>
        <v>0</v>
      </c>
      <c r="DM69" s="906">
        <f>IF(500*(WWWW[[#This Row],['#_male hygiene promoters]]+WWWW[[#This Row],['#_female hygiene promoters]])&gt;WWWW[[#This Row],[Total PoP ]],WWWW[[#This Row],[Total PoP ]],500*(WWWW[[#This Row],['#_male hygiene promoters]]+WWWW[[#This Row],['#_female hygiene promoters]]))</f>
        <v>948</v>
      </c>
      <c r="DN69"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69"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69" s="909">
        <f>IF(WWWW[[#This Row],['# People with access to soap]]&gt;WWWW[[#This Row],['# People with access to Sanity Pads]],WWWW[[#This Row],['# People with access to soap]],WWWW[[#This Row],['# People with access to Sanity Pads]])</f>
        <v>0</v>
      </c>
      <c r="DQ69" s="909">
        <f>IF(WWWW[[#This Row],['# people reached by regular dedicated hygiene promotion_5]]&gt;WWWW[[#This Row],['# People received regular supply of hygiene items_6]],WWWW[[#This Row],['# people reached by regular dedicated hygiene promotion_5]],WWWW[[#This Row],['# People received regular supply of hygiene items_6]])</f>
        <v>948</v>
      </c>
      <c r="DR69" s="911">
        <f>IF(WWWW[[#This Row],[HRP3]]/WWWW[[#This Row],[Total PoP ]]&gt;1,1,WWWW[[#This Row],[HRP3]]/WWWW[[#This Row],[Total PoP ]])</f>
        <v>1</v>
      </c>
      <c r="DS69" s="910">
        <f>1-WWWW[[#This Row],[Hygiene Coverage%]]</f>
        <v>0</v>
      </c>
      <c r="DT69" s="908">
        <f>WWWW[[#This Row],['# people reached by regular dedicated hygiene promotion_5]]/WWWW[[#This Row],[Total PoP ]]</f>
        <v>1</v>
      </c>
      <c r="DU69"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69"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69" s="909">
        <f>WWWW[[#This Row],['#_Constructed/Existing hand washing stations]]-WWWW[[#This Row],['#_Non-Functional_hand_washing_stations]]</f>
        <v>8</v>
      </c>
      <c r="DX69" s="906">
        <f>IF(WWWW[[#This Row],['# Functional hand washing stations during reporting period]]*20&gt;WWWW[[#This Row],[Total HH]],WWWW[[#This Row],[Total HH]],WWWW[[#This Row],['# Functional hand washing stations during reporting period]]*20)</f>
        <v>140</v>
      </c>
      <c r="DY69" s="906">
        <f>IF(WWWW[[#This Row],[Is sufficient soap available for TLS? (Yes/No)]]="yes",WWWW[[#This Row],['#_Constructed/Existing hand washing stations at TLS/CFS/THF]],0)</f>
        <v>12</v>
      </c>
      <c r="DZ69" s="421">
        <f>IF(WWWW[[#This Row],['# Functional hand washing stations during reporting period]]*100&gt;WWWW[[#This Row],[Total PoP ]],WWWW[[#This Row],[Total PoP ]],WWWW[[#This Row],['# Functional hand washing stations during reporting period]]*100)</f>
        <v>800</v>
      </c>
      <c r="EA69" s="421" t="str">
        <f>IF(OR(WWWW[[#This Row],['#_students at TLS_CFS]]="",WWWW[[#This Row],['#_students at TLS_CFS]]=0),"No","Yes")</f>
        <v>No</v>
      </c>
      <c r="EB6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69" s="566">
        <f>WWWW[[#This Row],[%_of_affected_people_surveyed_who_report_feeling_satistfied_with_the_latrine_design_and_sanitation_service]]*WWWW[[#This Row],[Total PoP ]]</f>
        <v>0</v>
      </c>
      <c r="ED69" s="566">
        <f>WWWW[[#This Row],[%_of_affected_people_surveyed_who_report_feeling_satistfied_with_the_water_point_design_and_water_service]]*WWWW[[#This Row],[Total PoP ]]</f>
        <v>0</v>
      </c>
      <c r="EE69" s="566">
        <f>WWWW[[#This Row],[%_of_complaints_received_that_result_in_timely_corrective_action_and_feedback_to_the_community]]*WWWW[[#This Row],[Total PoP ]]</f>
        <v>0</v>
      </c>
      <c r="EF6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6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6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69" s="902" t="str">
        <f>VLOOKUP(WWWW[[#This Row],[Site Name]],SiteDB6[[Site Name]:[CCCM Management]],6,FALSE)</f>
        <v>Yes</v>
      </c>
      <c r="EJ69" s="902" t="str">
        <f>VLOOKUP(WWWW[[#This Row],[Site Name]],SiteDB6[[Site Name]:[CCCM Focal Agency]],7,FALSE)</f>
        <v>KMSS-MYT</v>
      </c>
      <c r="EK69" s="902" t="str">
        <f>VLOOKUP(WWWW[[#This Row],[Site Name]],SiteDB6[[Site Name]:[Location Type 1]],9,FALSE)</f>
        <v>Camp</v>
      </c>
      <c r="EL69" s="902" t="str">
        <f>VLOOKUP(WWWW[[#This Row],[Site Name]],SiteDB6[[Site Name]:[Type of Accommodation]],10,FALSE)</f>
        <v>Camp</v>
      </c>
      <c r="EM69" s="902" t="str">
        <f>VLOOKUP(WWWW[[#This Row],[Site Name]],SiteDB6[[Site Name]:[Ethnic or GCA/NGCA]],11,FALSE)</f>
        <v>GCA</v>
      </c>
      <c r="EN69" s="902">
        <f>VLOOKUP(WWWW[[#This Row],[Site Name]],SiteDB6[[Site Name]:[Lat]],12,FALSE)</f>
        <v>25.493819999999999</v>
      </c>
      <c r="EO69" s="902">
        <f>VLOOKUP(WWWW[[#This Row],[Site Name]],SiteDB6[[Site Name]:[Long]],13,FALSE)</f>
        <v>97.4345</v>
      </c>
      <c r="EP69" s="902" t="str">
        <f>VLOOKUP(WWWW[[#This Row],[Site Name]],SiteDB6[[Site Name]:[Pcode]],3,FALSE)</f>
        <v>MMR001CMP162</v>
      </c>
      <c r="EQ69" s="907" t="str">
        <f t="shared" si="0"/>
        <v>Covered</v>
      </c>
      <c r="ER69" s="907" t="s">
        <v>3126</v>
      </c>
      <c r="ES69" s="907" t="s">
        <v>3126</v>
      </c>
      <c r="ET69" s="902">
        <f>VLOOKUP(WWWW[[#This Row],[Site Name]],SiteDB6[[Site Name]:[Pop
(Kachin/Shan-CCCM as of May 2023)]],16,FALSE)</f>
        <v>141</v>
      </c>
      <c r="EU69" s="902">
        <f>VLOOKUP(WWWW[[#This Row],[Site Name]],SiteDB6[[Site Name]:[Pop
(Kachin/Shan-CCCM as of May 2023)]],17,FALSE)</f>
        <v>972</v>
      </c>
    </row>
    <row r="70" spans="1:151" hidden="1">
      <c r="A70" s="900" t="s">
        <v>2961</v>
      </c>
      <c r="B70" s="900" t="s">
        <v>36</v>
      </c>
      <c r="C70" s="901" t="s">
        <v>36</v>
      </c>
      <c r="D70" s="901" t="s">
        <v>241</v>
      </c>
      <c r="E70" s="901" t="s">
        <v>37</v>
      </c>
      <c r="F70" s="901" t="s">
        <v>159</v>
      </c>
      <c r="G70" s="902" t="str">
        <f>VLOOKUP(WWWW[[#This Row],[Site Name]],SiteDB6[[Site Name]:[Location Type]],8,FALSE)</f>
        <v>Camp</v>
      </c>
      <c r="H70" s="901" t="s">
        <v>1600</v>
      </c>
      <c r="I70" s="903">
        <v>216</v>
      </c>
      <c r="J70" s="903">
        <v>1213</v>
      </c>
      <c r="K70" s="904">
        <v>44973</v>
      </c>
      <c r="L70" s="905">
        <v>45337</v>
      </c>
      <c r="M70" s="903"/>
      <c r="N70" s="903">
        <v>2</v>
      </c>
      <c r="O70" s="903"/>
      <c r="P70" s="903"/>
      <c r="Q70" s="906" t="s">
        <v>41</v>
      </c>
      <c r="R70" s="903">
        <v>2</v>
      </c>
      <c r="S70" s="903">
        <v>4</v>
      </c>
      <c r="T70" s="441">
        <v>4</v>
      </c>
      <c r="U70" s="903"/>
      <c r="V70" s="903"/>
      <c r="W70" s="903"/>
      <c r="X70" s="903"/>
      <c r="Y70" s="903"/>
      <c r="Z70" s="903"/>
      <c r="AA70" s="903"/>
      <c r="AB70" s="903"/>
      <c r="AC70" s="903"/>
      <c r="AD70" s="903"/>
      <c r="AE70" s="903"/>
      <c r="AF70" s="903"/>
      <c r="AG70" s="903"/>
      <c r="AH70" s="903"/>
      <c r="AI70" s="903"/>
      <c r="AJ70" s="903"/>
      <c r="AK70" s="903"/>
      <c r="AL70" s="903"/>
      <c r="AM70" s="903"/>
      <c r="AN70" s="903"/>
      <c r="AO70" s="441"/>
      <c r="AP70" s="907"/>
      <c r="AQ70" s="903">
        <v>66</v>
      </c>
      <c r="AR70" s="903"/>
      <c r="AS70" s="908"/>
      <c r="AT70" s="903"/>
      <c r="AU70" s="903"/>
      <c r="AV70" s="903"/>
      <c r="AW70" s="903"/>
      <c r="AX70" s="903"/>
      <c r="AY70" s="902" t="s">
        <v>41</v>
      </c>
      <c r="AZ70" s="907" t="s">
        <v>137</v>
      </c>
      <c r="BA70" s="903">
        <v>1</v>
      </c>
      <c r="BB70" s="903"/>
      <c r="BC70" s="903"/>
      <c r="BD70" s="441"/>
      <c r="BE70" s="441"/>
      <c r="BF70" s="902"/>
      <c r="BG70" s="903">
        <v>4</v>
      </c>
      <c r="BH70" s="903"/>
      <c r="BI70" s="903">
        <v>7</v>
      </c>
      <c r="BJ70" s="903">
        <v>11</v>
      </c>
      <c r="BK70" s="903"/>
      <c r="BL70" s="903"/>
      <c r="BM70" s="903">
        <v>1</v>
      </c>
      <c r="BN70" s="903"/>
      <c r="BO70" s="903"/>
      <c r="BP70" s="902" t="s">
        <v>41</v>
      </c>
      <c r="BQ70" s="909">
        <v>1</v>
      </c>
      <c r="BR70" s="908"/>
      <c r="BS70" s="902"/>
      <c r="BT70" s="416"/>
      <c r="BU70" s="416"/>
      <c r="BV70" s="418"/>
      <c r="BW70" s="416"/>
      <c r="BX70" s="441"/>
      <c r="BY70" s="441"/>
      <c r="BZ70" s="441"/>
      <c r="CA70" s="441"/>
      <c r="CB70" s="441"/>
      <c r="CC70" s="693"/>
      <c r="CD70" s="441"/>
      <c r="CE70" s="910" t="str">
        <f>IFERROR(WWWW[[#This Row],['#_Water sources passed]]/WWWW[[#This Row],['#_Water sources tested for fecal coliform ]],"no test")</f>
        <v>no test</v>
      </c>
      <c r="CF70" s="908" t="str">
        <f>IFERROR(WWWW[[#This Row],['#_Household passed]]/WWWW[[#This Row],['#_Household water samples tested for fecal coliform]],"no test")</f>
        <v>no test</v>
      </c>
      <c r="CG70" s="909" t="str">
        <f>IF(AND(WWWW[[#This Row],[% of water sources passed]]="no test",WWWW[[#This Row],[% Household passed]]="no test"),"No Test","Tested")</f>
        <v>No Test</v>
      </c>
      <c r="CH70" s="909">
        <f>WWWW[[#This Row],['#_Constructed/existing protected hand dug well]]-WWWW[[#This Row],['#_Non-functional protected hand dug well]]</f>
        <v>4</v>
      </c>
      <c r="CI70" s="909">
        <f>(WWWW[[#This Row],['#_Constructed/Existing tube wells/boreholes/handpumps_WASH_agency]]+WWWW[[#This Row],['#_Non-Cluster partner water tube-wells/boreholes/handpumps]])-WWWW[[#This Row],['#_Non-functional tube wells/boreholes/handpumps]]</f>
        <v>0</v>
      </c>
      <c r="CJ70" s="909">
        <f>WWWW[[#This Row],['#_Constructed/Existingwater storage tank with gravity fed reticulation system]]-WWWW[[#This Row],['#_Non-functional storage tank gravity fed reticulation system]]</f>
        <v>0</v>
      </c>
      <c r="CK70" s="909">
        <f>(WWWW[[#This Row],['#_Water_Liters_supplied_by_Water boating or water trucking]]/90)/15</f>
        <v>0</v>
      </c>
      <c r="CL70" s="909">
        <f>WWWW[[#This Row],['#_Water_Liters_from_Constructed/Existing water distribution system from river or natural spring]]/90/15</f>
        <v>0</v>
      </c>
      <c r="CM70" s="417">
        <f>IF(WWWW[[#This Row],['#_of water points in TLS/CFS]]*500&gt;WWWW[[#This Row],[Total PoP ]],WWWW[[#This Row],[Total PoP ]],WWWW[[#This Row],['#_of water points in TLS/CFS]]*500)</f>
        <v>0</v>
      </c>
      <c r="CN70" s="417">
        <f>IF(WWWW[[#This Row],['#_of water points in THF]]*500&gt;WWWW[[#This Row],[Total PoP ]],WWWW[[#This Row],[Total PoP ]],WWWW[[#This Row],['#_of water points in THF]]*500)</f>
        <v>0</v>
      </c>
      <c r="CO70" s="417"/>
      <c r="CP70"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70"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0.82440230832646333</v>
      </c>
      <c r="CR70" s="908">
        <f>IF(WWWW[[#This Row],[Location Type 1]]="Village",WWWW[[#This Row],[Access to safe drinking water for Village]],WWWW[[#This Row],[Access to safe drinking water for Camp]])</f>
        <v>1</v>
      </c>
      <c r="CS70" s="906">
        <f>WWWW[[#This Row],[%Equitable and continuous access to sufficient quantity of safe drinking water]]*WWWW[[#This Row],[Total PoP ]]</f>
        <v>1213</v>
      </c>
      <c r="CT70" s="908">
        <f>IF((WWWW[[#This Row],['#_Constructed/Existing protected/fenced ponds]]*250)/WWWW[[#This Row],[Total PoP ]]&gt;1,1,(WWWW[[#This Row],['#_Constructed/Existing protected/fenced ponds]]*250)/WWWW[[#This Row],[Total PoP ]])</f>
        <v>0</v>
      </c>
      <c r="CU70" s="906">
        <f>WWWW[[#This Row],[% Access to unimproved water points]]*WWWW[[#This Row],[Total PoP ]]</f>
        <v>0</v>
      </c>
      <c r="CV70"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70"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1213</v>
      </c>
      <c r="CX70" s="906">
        <f>WWWW[[#This Row],[HRP1]]/500</f>
        <v>2.4260000000000002</v>
      </c>
      <c r="CY70" s="911">
        <f>1-WWWW[[#This Row],[% Equitable and continuous access to sufficient quantity of domestic water]]</f>
        <v>0</v>
      </c>
      <c r="CZ70" s="906">
        <f>WWWW[[#This Row],[%equitable and continuous access to sufficient quantity of safe drinking and domestic water''s GAP]]*WWWW[[#This Row],[Total PoP ]]</f>
        <v>0</v>
      </c>
      <c r="DA70" s="909">
        <f>IF(WWWW[[#This Row],[Total required water points]]-WWWW[[#This Row],['#Water points coverage]]&lt;0,0,WWWW[[#This Row],[Total required water points]]-WWWW[[#This Row],['#Water points coverage]])</f>
        <v>0</v>
      </c>
      <c r="DB70" s="909">
        <f>ROUND(IF(WWWW[[#This Row],[Total PoP ]]&lt;500,1,WWWW[[#This Row],[Total PoP ]]/500),0)</f>
        <v>2</v>
      </c>
      <c r="DC70" s="909">
        <f>(WWWW[[#This Row],['#_Constructed latrines_by_WASHAgencies]]+WWWW[[#This Row],['#_Non Cluster partner latrines]])-WWWW[[#This Row],['#_Non-functional latrines]]</f>
        <v>66</v>
      </c>
      <c r="DD70" s="615">
        <f>WWWW[[#This Row],[HRP2]]/WWWW[[#This Row],[Total PoP ]]</f>
        <v>1</v>
      </c>
      <c r="DE70"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1213</v>
      </c>
      <c r="DF70"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0"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0" s="417">
        <f>IF(WWWW[[#This Row],['# of functional latrines in THF supported by WASH partners during the reporting period2]]="",0,WWWW[[#This Row],['# of functional latrines in THF supported by WASH partners during the reporting period2]]*50)</f>
        <v>0</v>
      </c>
      <c r="DI70" s="909">
        <f>ROUND(IF(WWWW[[#This Row],[Location Type 1]]="camp",WWWW[[#This Row],[Total PoP ]]/20,IF(WWWW[[#This Row],[Location Type 1]]="Temporary Location",WWWW[[#This Row],[Total PoP ]]/50,(WWWW[[#This Row],[Total PoP ]]/6))),0)</f>
        <v>61</v>
      </c>
      <c r="DJ70" s="909">
        <f>IF(WWWW[[#This Row],[Total required Latrines]]-(WWWW[[#This Row],['#_Constructed latrines_by_WASHAgencies]]+WWWW[[#This Row],['#_Non Cluster partner latrines]])&lt;0,0,WWWW[[#This Row],[Total required Latrines]]-(WWWW[[#This Row],['#_Constructed latrines_by_WASHAgencies]]+WWWW[[#This Row],['#_Non Cluster partner latrines]]))</f>
        <v>0</v>
      </c>
      <c r="DK70" s="911">
        <f>1-WWWW[[#This Row],[% people access to functioning Latrine]]</f>
        <v>0</v>
      </c>
      <c r="DL70" s="910">
        <f>IF(OR(WWWW[[#This Row],['#_Non-functional latrines]]="",WWWW[[#This Row],['#_Non-functional latrines]]=0),0,WWWW[[#This Row],['#_Non-functional latrines]]/(WWWW[[#This Row],['#_Constructed latrines_by_WASHAgencies]]+WWWW[[#This Row],['#_Non Cluster partner latrines]]))</f>
        <v>0</v>
      </c>
      <c r="DM70" s="906">
        <f>IF(500*(WWWW[[#This Row],['#_male hygiene promoters]]+WWWW[[#This Row],['#_female hygiene promoters]])&gt;WWWW[[#This Row],[Total PoP ]],WWWW[[#This Row],[Total PoP ]],500*(WWWW[[#This Row],['#_male hygiene promoters]]+WWWW[[#This Row],['#_female hygiene promoters]]))</f>
        <v>500</v>
      </c>
      <c r="DN70"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70"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70" s="909">
        <f>IF(WWWW[[#This Row],['# People with access to soap]]&gt;WWWW[[#This Row],['# People with access to Sanity Pads]],WWWW[[#This Row],['# People with access to soap]],WWWW[[#This Row],['# People with access to Sanity Pads]])</f>
        <v>0</v>
      </c>
      <c r="DQ70" s="909">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70" s="911">
        <f>IF(WWWW[[#This Row],[HRP3]]/WWWW[[#This Row],[Total PoP ]]&gt;1,1,WWWW[[#This Row],[HRP3]]/WWWW[[#This Row],[Total PoP ]])</f>
        <v>0.41220115416323166</v>
      </c>
      <c r="DS70" s="910">
        <f>1-WWWW[[#This Row],[Hygiene Coverage%]]</f>
        <v>0.58779884583676834</v>
      </c>
      <c r="DT70" s="908">
        <f>WWWW[[#This Row],['# people reached by regular dedicated hygiene promotion_5]]/WWWW[[#This Row],[Total PoP ]]</f>
        <v>0.41220115416323166</v>
      </c>
      <c r="DU70"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70"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70" s="909">
        <f>WWWW[[#This Row],['#_Constructed/Existing hand washing stations]]-WWWW[[#This Row],['#_Non-Functional_hand_washing_stations]]</f>
        <v>4</v>
      </c>
      <c r="DX70" s="906">
        <f>IF(WWWW[[#This Row],['# Functional hand washing stations during reporting period]]*20&gt;WWWW[[#This Row],[Total HH]],WWWW[[#This Row],[Total HH]],WWWW[[#This Row],['# Functional hand washing stations during reporting period]]*20)</f>
        <v>80</v>
      </c>
      <c r="DY70" s="906">
        <f>IF(WWWW[[#This Row],[Is sufficient soap available for TLS? (Yes/No)]]="yes",WWWW[[#This Row],['#_Constructed/Existing hand washing stations at TLS/CFS/THF]],0)</f>
        <v>0</v>
      </c>
      <c r="DZ70" s="421">
        <f>IF(WWWW[[#This Row],['# Functional hand washing stations during reporting period]]*100&gt;WWWW[[#This Row],[Total PoP ]],WWWW[[#This Row],[Total PoP ]],WWWW[[#This Row],['# Functional hand washing stations during reporting period]]*100)</f>
        <v>400</v>
      </c>
      <c r="EA70" s="421" t="str">
        <f>IF(OR(WWWW[[#This Row],['#_students at TLS_CFS]]="",WWWW[[#This Row],['#_students at TLS_CFS]]=0),"No","Yes")</f>
        <v>No</v>
      </c>
      <c r="EB7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0" s="566">
        <f>WWWW[[#This Row],[%_of_affected_people_surveyed_who_report_feeling_satistfied_with_the_latrine_design_and_sanitation_service]]*WWWW[[#This Row],[Total PoP ]]</f>
        <v>0</v>
      </c>
      <c r="ED70" s="566">
        <f>WWWW[[#This Row],[%_of_affected_people_surveyed_who_report_feeling_satistfied_with_the_water_point_design_and_water_service]]*WWWW[[#This Row],[Total PoP ]]</f>
        <v>0</v>
      </c>
      <c r="EE70" s="566">
        <f>WWWW[[#This Row],[%_of_complaints_received_that_result_in_timely_corrective_action_and_feedback_to_the_community]]*WWWW[[#This Row],[Total PoP ]]</f>
        <v>0</v>
      </c>
      <c r="EF7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0" s="902" t="str">
        <f>VLOOKUP(WWWW[[#This Row],[Site Name]],SiteDB6[[Site Name]:[CCCM Management]],6,FALSE)</f>
        <v>Yes</v>
      </c>
      <c r="EJ70" s="902" t="str">
        <f>VLOOKUP(WWWW[[#This Row],[Site Name]],SiteDB6[[Site Name]:[CCCM Focal Agency]],7,FALSE)</f>
        <v>KMSS-MYT</v>
      </c>
      <c r="EK70" s="902" t="str">
        <f>VLOOKUP(WWWW[[#This Row],[Site Name]],SiteDB6[[Site Name]:[Location Type 1]],9,FALSE)</f>
        <v>Camp</v>
      </c>
      <c r="EL70" s="902" t="str">
        <f>VLOOKUP(WWWW[[#This Row],[Site Name]],SiteDB6[[Site Name]:[Type of Accommodation]],10,FALSE)</f>
        <v>Camp</v>
      </c>
      <c r="EM70" s="902" t="str">
        <f>VLOOKUP(WWWW[[#This Row],[Site Name]],SiteDB6[[Site Name]:[Ethnic or GCA/NGCA]],11,FALSE)</f>
        <v>GCA</v>
      </c>
      <c r="EN70" s="902">
        <f>VLOOKUP(WWWW[[#This Row],[Site Name]],SiteDB6[[Site Name]:[Lat]],12,FALSE)</f>
        <v>25.493819999999999</v>
      </c>
      <c r="EO70" s="902">
        <f>VLOOKUP(WWWW[[#This Row],[Site Name]],SiteDB6[[Site Name]:[Long]],13,FALSE)</f>
        <v>97.4345</v>
      </c>
      <c r="EP70" s="902" t="str">
        <f>VLOOKUP(WWWW[[#This Row],[Site Name]],SiteDB6[[Site Name]:[Pcode]],3,FALSE)</f>
        <v>MMR001CMP271</v>
      </c>
      <c r="EQ70" s="907" t="str">
        <f t="shared" si="0"/>
        <v>Covered</v>
      </c>
      <c r="ER70" s="907" t="s">
        <v>3126</v>
      </c>
      <c r="ES70" s="907" t="s">
        <v>3126</v>
      </c>
      <c r="ET70" s="902">
        <f>VLOOKUP(WWWW[[#This Row],[Site Name]],SiteDB6[[Site Name]:[Pop
(Kachin/Shan-CCCM as of May 2023)]],16,FALSE)</f>
        <v>216</v>
      </c>
      <c r="EU70" s="902">
        <f>VLOOKUP(WWWW[[#This Row],[Site Name]],SiteDB6[[Site Name]:[Pop
(Kachin/Shan-CCCM as of May 2023)]],17,FALSE)</f>
        <v>1213</v>
      </c>
    </row>
    <row r="71" spans="1:151" hidden="1">
      <c r="A71" s="900" t="s">
        <v>2961</v>
      </c>
      <c r="B71" s="900" t="s">
        <v>36</v>
      </c>
      <c r="C71" s="901" t="s">
        <v>36</v>
      </c>
      <c r="D71" s="901" t="s">
        <v>241</v>
      </c>
      <c r="E71" s="901" t="s">
        <v>37</v>
      </c>
      <c r="F71" s="901" t="s">
        <v>159</v>
      </c>
      <c r="G71" s="902" t="str">
        <f>VLOOKUP(WWWW[[#This Row],[Site Name]],SiteDB6[[Site Name]:[Location Type]],8,FALSE)</f>
        <v>Camp</v>
      </c>
      <c r="H71" s="901" t="s">
        <v>2224</v>
      </c>
      <c r="I71" s="903">
        <v>72</v>
      </c>
      <c r="J71" s="903">
        <v>404</v>
      </c>
      <c r="K71" s="904">
        <v>44973</v>
      </c>
      <c r="L71" s="905">
        <v>45337</v>
      </c>
      <c r="M71" s="903"/>
      <c r="N71" s="903">
        <v>2</v>
      </c>
      <c r="O71" s="903"/>
      <c r="P71" s="903"/>
      <c r="Q71" s="906" t="s">
        <v>41</v>
      </c>
      <c r="R71" s="903">
        <v>2</v>
      </c>
      <c r="S71" s="903">
        <v>2</v>
      </c>
      <c r="T71" s="441"/>
      <c r="U71" s="903"/>
      <c r="V71" s="903"/>
      <c r="W71" s="903">
        <v>2</v>
      </c>
      <c r="X71" s="903"/>
      <c r="Y71" s="903"/>
      <c r="Z71" s="903"/>
      <c r="AA71" s="903"/>
      <c r="AB71" s="903"/>
      <c r="AC71" s="903"/>
      <c r="AD71" s="903"/>
      <c r="AE71" s="903"/>
      <c r="AF71" s="903"/>
      <c r="AG71" s="903"/>
      <c r="AH71" s="903"/>
      <c r="AI71" s="903"/>
      <c r="AJ71" s="903"/>
      <c r="AK71" s="903"/>
      <c r="AL71" s="903"/>
      <c r="AM71" s="903">
        <v>3</v>
      </c>
      <c r="AN71" s="903"/>
      <c r="AO71" s="441"/>
      <c r="AP71" s="907"/>
      <c r="AQ71" s="903">
        <v>6</v>
      </c>
      <c r="AR71" s="903"/>
      <c r="AS71" s="908"/>
      <c r="AT71" s="903"/>
      <c r="AU71" s="903"/>
      <c r="AV71" s="903"/>
      <c r="AW71" s="903"/>
      <c r="AX71" s="903"/>
      <c r="AY71" s="902" t="s">
        <v>41</v>
      </c>
      <c r="AZ71" s="907" t="s">
        <v>136</v>
      </c>
      <c r="BA71" s="903"/>
      <c r="BB71" s="903"/>
      <c r="BC71" s="903"/>
      <c r="BD71" s="441"/>
      <c r="BE71" s="441"/>
      <c r="BF71" s="902"/>
      <c r="BG71" s="903">
        <v>3</v>
      </c>
      <c r="BH71" s="903"/>
      <c r="BI71" s="903"/>
      <c r="BJ71" s="903">
        <v>2</v>
      </c>
      <c r="BK71" s="903"/>
      <c r="BL71" s="903"/>
      <c r="BM71" s="903">
        <v>1</v>
      </c>
      <c r="BN71" s="903"/>
      <c r="BO71" s="903"/>
      <c r="BP71" s="902" t="s">
        <v>41</v>
      </c>
      <c r="BQ71" s="909"/>
      <c r="BR71" s="908"/>
      <c r="BS71" s="902"/>
      <c r="BT71" s="416"/>
      <c r="BU71" s="416"/>
      <c r="BV71" s="418"/>
      <c r="BW71" s="416"/>
      <c r="BX71" s="441"/>
      <c r="BY71" s="441"/>
      <c r="BZ71" s="441"/>
      <c r="CA71" s="441"/>
      <c r="CB71" s="441"/>
      <c r="CC71" s="693"/>
      <c r="CD71" s="441"/>
      <c r="CE71" s="910" t="str">
        <f>IFERROR(WWWW[[#This Row],['#_Water sources passed]]/WWWW[[#This Row],['#_Water sources tested for fecal coliform ]],"no test")</f>
        <v>no test</v>
      </c>
      <c r="CF71" s="908" t="str">
        <f>IFERROR(WWWW[[#This Row],['#_Household passed]]/WWWW[[#This Row],['#_Household water samples tested for fecal coliform]],"no test")</f>
        <v>no test</v>
      </c>
      <c r="CG71" s="909" t="str">
        <f>IF(AND(WWWW[[#This Row],[% of water sources passed]]="no test",WWWW[[#This Row],[% Household passed]]="no test"),"No Test","Tested")</f>
        <v>No Test</v>
      </c>
      <c r="CH71" s="909">
        <f>WWWW[[#This Row],['#_Constructed/existing protected hand dug well]]-WWWW[[#This Row],['#_Non-functional protected hand dug well]]</f>
        <v>0</v>
      </c>
      <c r="CI71" s="909">
        <f>(WWWW[[#This Row],['#_Constructed/Existing tube wells/boreholes/handpumps_WASH_agency]]+WWWW[[#This Row],['#_Non-Cluster partner water tube-wells/boreholes/handpumps]])-WWWW[[#This Row],['#_Non-functional tube wells/boreholes/handpumps]]</f>
        <v>2</v>
      </c>
      <c r="CJ71" s="909">
        <f>WWWW[[#This Row],['#_Constructed/Existingwater storage tank with gravity fed reticulation system]]-WWWW[[#This Row],['#_Non-functional storage tank gravity fed reticulation system]]</f>
        <v>0</v>
      </c>
      <c r="CK71" s="909">
        <f>(WWWW[[#This Row],['#_Water_Liters_supplied_by_Water boating or water trucking]]/90)/15</f>
        <v>0</v>
      </c>
      <c r="CL71" s="909">
        <f>WWWW[[#This Row],['#_Water_Liters_from_Constructed/Existing water distribution system from river or natural spring]]/90/15</f>
        <v>0</v>
      </c>
      <c r="CM71" s="417">
        <f>IF(WWWW[[#This Row],['#_of water points in TLS/CFS]]*500&gt;WWWW[[#This Row],[Total PoP ]],WWWW[[#This Row],[Total PoP ]],WWWW[[#This Row],['#_of water points in TLS/CFS]]*500)</f>
        <v>0</v>
      </c>
      <c r="CN71" s="417">
        <f>IF(WWWW[[#This Row],['#_of water points in THF]]*500&gt;WWWW[[#This Row],[Total PoP ]],WWWW[[#This Row],[Total PoP ]],WWWW[[#This Row],['#_of water points in THF]]*500)</f>
        <v>0</v>
      </c>
      <c r="CO71" s="417"/>
      <c r="CP71"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71"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71" s="908">
        <f>IF(WWWW[[#This Row],[Location Type 1]]="Village",WWWW[[#This Row],[Access to safe drinking water for Village]],WWWW[[#This Row],[Access to safe drinking water for Camp]])</f>
        <v>1</v>
      </c>
      <c r="CS71" s="906">
        <f>WWWW[[#This Row],[%Equitable and continuous access to sufficient quantity of safe drinking water]]*WWWW[[#This Row],[Total PoP ]]</f>
        <v>404</v>
      </c>
      <c r="CT71" s="908">
        <f>IF((WWWW[[#This Row],['#_Constructed/Existing protected/fenced ponds]]*250)/WWWW[[#This Row],[Total PoP ]]&gt;1,1,(WWWW[[#This Row],['#_Constructed/Existing protected/fenced ponds]]*250)/WWWW[[#This Row],[Total PoP ]])</f>
        <v>0</v>
      </c>
      <c r="CU71" s="906">
        <f>WWWW[[#This Row],[% Access to unimproved water points]]*WWWW[[#This Row],[Total PoP ]]</f>
        <v>0</v>
      </c>
      <c r="CV71"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71"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404</v>
      </c>
      <c r="CX71" s="906">
        <f>WWWW[[#This Row],[HRP1]]/500</f>
        <v>0.80800000000000005</v>
      </c>
      <c r="CY71" s="911">
        <f>1-WWWW[[#This Row],[% Equitable and continuous access to sufficient quantity of domestic water]]</f>
        <v>0</v>
      </c>
      <c r="CZ71" s="906">
        <f>WWWW[[#This Row],[%equitable and continuous access to sufficient quantity of safe drinking and domestic water''s GAP]]*WWWW[[#This Row],[Total PoP ]]</f>
        <v>0</v>
      </c>
      <c r="DA71" s="909">
        <f>IF(WWWW[[#This Row],[Total required water points]]-WWWW[[#This Row],['#Water points coverage]]&lt;0,0,WWWW[[#This Row],[Total required water points]]-WWWW[[#This Row],['#Water points coverage]])</f>
        <v>0.19199999999999995</v>
      </c>
      <c r="DB71" s="909">
        <f>ROUND(IF(WWWW[[#This Row],[Total PoP ]]&lt;500,1,WWWW[[#This Row],[Total PoP ]]/500),0)</f>
        <v>1</v>
      </c>
      <c r="DC71" s="909">
        <f>(WWWW[[#This Row],['#_Constructed latrines_by_WASHAgencies]]+WWWW[[#This Row],['#_Non Cluster partner latrines]])-WWWW[[#This Row],['#_Non-functional latrines]]</f>
        <v>6</v>
      </c>
      <c r="DD71" s="615">
        <f>WWWW[[#This Row],[HRP2]]/WWWW[[#This Row],[Total PoP ]]</f>
        <v>0.29702970297029702</v>
      </c>
      <c r="DE71"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120</v>
      </c>
      <c r="DF71"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1"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1" s="417">
        <f>IF(WWWW[[#This Row],['# of functional latrines in THF supported by WASH partners during the reporting period2]]="",0,WWWW[[#This Row],['# of functional latrines in THF supported by WASH partners during the reporting period2]]*50)</f>
        <v>0</v>
      </c>
      <c r="DI71" s="909">
        <f>ROUND(IF(WWWW[[#This Row],[Location Type 1]]="camp",WWWW[[#This Row],[Total PoP ]]/20,IF(WWWW[[#This Row],[Location Type 1]]="Temporary Location",WWWW[[#This Row],[Total PoP ]]/50,(WWWW[[#This Row],[Total PoP ]]/6))),0)</f>
        <v>20</v>
      </c>
      <c r="DJ71" s="909">
        <f>IF(WWWW[[#This Row],[Total required Latrines]]-(WWWW[[#This Row],['#_Constructed latrines_by_WASHAgencies]]+WWWW[[#This Row],['#_Non Cluster partner latrines]])&lt;0,0,WWWW[[#This Row],[Total required Latrines]]-(WWWW[[#This Row],['#_Constructed latrines_by_WASHAgencies]]+WWWW[[#This Row],['#_Non Cluster partner latrines]]))</f>
        <v>14</v>
      </c>
      <c r="DK71" s="911">
        <f>1-WWWW[[#This Row],[% people access to functioning Latrine]]</f>
        <v>0.70297029702970293</v>
      </c>
      <c r="DL71" s="910">
        <f>IF(OR(WWWW[[#This Row],['#_Non-functional latrines]]="",WWWW[[#This Row],['#_Non-functional latrines]]=0),0,WWWW[[#This Row],['#_Non-functional latrines]]/(WWWW[[#This Row],['#_Constructed latrines_by_WASHAgencies]]+WWWW[[#This Row],['#_Non Cluster partner latrines]]))</f>
        <v>0</v>
      </c>
      <c r="DM71" s="906">
        <f>IF(500*(WWWW[[#This Row],['#_male hygiene promoters]]+WWWW[[#This Row],['#_female hygiene promoters]])&gt;WWWW[[#This Row],[Total PoP ]],WWWW[[#This Row],[Total PoP ]],500*(WWWW[[#This Row],['#_male hygiene promoters]]+WWWW[[#This Row],['#_female hygiene promoters]]))</f>
        <v>404</v>
      </c>
      <c r="DN71"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71"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71" s="909">
        <f>IF(WWWW[[#This Row],['# People with access to soap]]&gt;WWWW[[#This Row],['# People with access to Sanity Pads]],WWWW[[#This Row],['# People with access to soap]],WWWW[[#This Row],['# People with access to Sanity Pads]])</f>
        <v>0</v>
      </c>
      <c r="DQ71" s="909">
        <f>IF(WWWW[[#This Row],['# people reached by regular dedicated hygiene promotion_5]]&gt;WWWW[[#This Row],['# People received regular supply of hygiene items_6]],WWWW[[#This Row],['# people reached by regular dedicated hygiene promotion_5]],WWWW[[#This Row],['# People received regular supply of hygiene items_6]])</f>
        <v>404</v>
      </c>
      <c r="DR71" s="911">
        <f>IF(WWWW[[#This Row],[HRP3]]/WWWW[[#This Row],[Total PoP ]]&gt;1,1,WWWW[[#This Row],[HRP3]]/WWWW[[#This Row],[Total PoP ]])</f>
        <v>1</v>
      </c>
      <c r="DS71" s="910">
        <f>1-WWWW[[#This Row],[Hygiene Coverage%]]</f>
        <v>0</v>
      </c>
      <c r="DT71" s="908">
        <f>WWWW[[#This Row],['# people reached by regular dedicated hygiene promotion_5]]/WWWW[[#This Row],[Total PoP ]]</f>
        <v>1</v>
      </c>
      <c r="DU71"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71"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71" s="909">
        <f>WWWW[[#This Row],['#_Constructed/Existing hand washing stations]]-WWWW[[#This Row],['#_Non-Functional_hand_washing_stations]]</f>
        <v>3</v>
      </c>
      <c r="DX71" s="906">
        <f>IF(WWWW[[#This Row],['# Functional hand washing stations during reporting period]]*20&gt;WWWW[[#This Row],[Total HH]],WWWW[[#This Row],[Total HH]],WWWW[[#This Row],['# Functional hand washing stations during reporting period]]*20)</f>
        <v>60</v>
      </c>
      <c r="DY71" s="906">
        <f>IF(WWWW[[#This Row],[Is sufficient soap available for TLS? (Yes/No)]]="yes",WWWW[[#This Row],['#_Constructed/Existing hand washing stations at TLS/CFS/THF]],0)</f>
        <v>3</v>
      </c>
      <c r="DZ71" s="421">
        <f>IF(WWWW[[#This Row],['# Functional hand washing stations during reporting period]]*100&gt;WWWW[[#This Row],[Total PoP ]],WWWW[[#This Row],[Total PoP ]],WWWW[[#This Row],['# Functional hand washing stations during reporting period]]*100)</f>
        <v>300</v>
      </c>
      <c r="EA71" s="421" t="str">
        <f>IF(OR(WWWW[[#This Row],['#_students at TLS_CFS]]="",WWWW[[#This Row],['#_students at TLS_CFS]]=0),"No","Yes")</f>
        <v>No</v>
      </c>
      <c r="EB7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1" s="566">
        <f>WWWW[[#This Row],[%_of_affected_people_surveyed_who_report_feeling_satistfied_with_the_latrine_design_and_sanitation_service]]*WWWW[[#This Row],[Total PoP ]]</f>
        <v>0</v>
      </c>
      <c r="ED71" s="566">
        <f>WWWW[[#This Row],[%_of_affected_people_surveyed_who_report_feeling_satistfied_with_the_water_point_design_and_water_service]]*WWWW[[#This Row],[Total PoP ]]</f>
        <v>0</v>
      </c>
      <c r="EE71" s="566">
        <f>WWWW[[#This Row],[%_of_complaints_received_that_result_in_timely_corrective_action_and_feedback_to_the_community]]*WWWW[[#This Row],[Total PoP ]]</f>
        <v>0</v>
      </c>
      <c r="EF7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1" s="902">
        <f>VLOOKUP(WWWW[[#This Row],[Site Name]],SiteDB6[[Site Name]:[CCCM Management]],6,FALSE)</f>
        <v>0</v>
      </c>
      <c r="EJ71" s="902" t="str">
        <f>VLOOKUP(WWWW[[#This Row],[Site Name]],SiteDB6[[Site Name]:[CCCM Focal Agency]],7,FALSE)</f>
        <v>uncovered</v>
      </c>
      <c r="EK71" s="902" t="str">
        <f>VLOOKUP(WWWW[[#This Row],[Site Name]],SiteDB6[[Site Name]:[Location Type 1]],9,FALSE)</f>
        <v>Camp</v>
      </c>
      <c r="EL71" s="902" t="str">
        <f>VLOOKUP(WWWW[[#This Row],[Site Name]],SiteDB6[[Site Name]:[Type of Accommodation]],10,FALSE)</f>
        <v>Camp</v>
      </c>
      <c r="EM71" s="902" t="str">
        <f>VLOOKUP(WWWW[[#This Row],[Site Name]],SiteDB6[[Site Name]:[Ethnic or GCA/NGCA]],11,FALSE)</f>
        <v>GCA</v>
      </c>
      <c r="EN71" s="902">
        <f>VLOOKUP(WWWW[[#This Row],[Site Name]],SiteDB6[[Site Name]:[Lat]],12,FALSE)</f>
        <v>25.387892000000001</v>
      </c>
      <c r="EO71" s="902">
        <f>VLOOKUP(WWWW[[#This Row],[Site Name]],SiteDB6[[Site Name]:[Long]],13,FALSE)</f>
        <v>97.325181999999998</v>
      </c>
      <c r="EP71" s="902" t="str">
        <f>VLOOKUP(WWWW[[#This Row],[Site Name]],SiteDB6[[Site Name]:[Pcode]],3,FALSE)</f>
        <v>MMR001CMP276</v>
      </c>
      <c r="EQ71" s="907" t="str">
        <f t="shared" ref="EQ71:EQ134" si="1">IF(C71="none","Notcovered","Covered")</f>
        <v>Covered</v>
      </c>
      <c r="ER71" s="907" t="s">
        <v>3126</v>
      </c>
      <c r="ES71" s="907" t="s">
        <v>3126</v>
      </c>
      <c r="ET71" s="902">
        <f>VLOOKUP(WWWW[[#This Row],[Site Name]],SiteDB6[[Site Name]:[Pop
(Kachin/Shan-CCCM as of May 2023)]],16,FALSE)</f>
        <v>25</v>
      </c>
      <c r="EU71" s="902">
        <f>VLOOKUP(WWWW[[#This Row],[Site Name]],SiteDB6[[Site Name]:[Pop
(Kachin/Shan-CCCM as of May 2023)]],17,FALSE)</f>
        <v>127</v>
      </c>
    </row>
    <row r="72" spans="1:151" hidden="1">
      <c r="A72" s="900" t="s">
        <v>2961</v>
      </c>
      <c r="B72" s="900" t="s">
        <v>36</v>
      </c>
      <c r="C72" s="901" t="s">
        <v>36</v>
      </c>
      <c r="D72" s="901" t="s">
        <v>241</v>
      </c>
      <c r="E72" s="901" t="s">
        <v>37</v>
      </c>
      <c r="F72" s="901" t="s">
        <v>858</v>
      </c>
      <c r="G72" s="902" t="str">
        <f>VLOOKUP(WWWW[[#This Row],[Site Name]],SiteDB6[[Site Name]:[Location Type]],8,FALSE)</f>
        <v>Camp</v>
      </c>
      <c r="H72" s="901" t="s">
        <v>1712</v>
      </c>
      <c r="I72" s="903">
        <v>133</v>
      </c>
      <c r="J72" s="903">
        <v>628</v>
      </c>
      <c r="K72" s="904">
        <v>44973</v>
      </c>
      <c r="L72" s="905">
        <v>45337</v>
      </c>
      <c r="M72" s="903"/>
      <c r="N72" s="903">
        <v>3</v>
      </c>
      <c r="O72" s="903"/>
      <c r="P72" s="903"/>
      <c r="Q72" s="906" t="s">
        <v>41</v>
      </c>
      <c r="R72" s="903">
        <v>4</v>
      </c>
      <c r="S72" s="903">
        <v>2</v>
      </c>
      <c r="T72" s="441">
        <v>1</v>
      </c>
      <c r="U72" s="903"/>
      <c r="V72" s="903"/>
      <c r="W72" s="903">
        <v>1</v>
      </c>
      <c r="X72" s="903"/>
      <c r="Y72" s="903"/>
      <c r="Z72" s="903"/>
      <c r="AA72" s="903"/>
      <c r="AB72" s="903"/>
      <c r="AC72" s="903"/>
      <c r="AD72" s="903"/>
      <c r="AE72" s="903"/>
      <c r="AF72" s="903"/>
      <c r="AG72" s="903"/>
      <c r="AH72" s="903"/>
      <c r="AI72" s="903"/>
      <c r="AJ72" s="903"/>
      <c r="AK72" s="903"/>
      <c r="AL72" s="903"/>
      <c r="AM72" s="903">
        <v>5</v>
      </c>
      <c r="AN72" s="903"/>
      <c r="AO72" s="441"/>
      <c r="AP72" s="907"/>
      <c r="AQ72" s="903">
        <v>1</v>
      </c>
      <c r="AR72" s="903"/>
      <c r="AS72" s="908"/>
      <c r="AT72" s="903"/>
      <c r="AU72" s="903"/>
      <c r="AV72" s="903"/>
      <c r="AW72" s="903"/>
      <c r="AX72" s="903"/>
      <c r="AY72" s="902" t="s">
        <v>41</v>
      </c>
      <c r="AZ72" s="907" t="s">
        <v>137</v>
      </c>
      <c r="BA72" s="903"/>
      <c r="BB72" s="903"/>
      <c r="BC72" s="903"/>
      <c r="BD72" s="441"/>
      <c r="BE72" s="441"/>
      <c r="BF72" s="902"/>
      <c r="BG72" s="903">
        <v>5</v>
      </c>
      <c r="BH72" s="903"/>
      <c r="BI72" s="903"/>
      <c r="BJ72" s="903">
        <v>7</v>
      </c>
      <c r="BK72" s="903"/>
      <c r="BL72" s="903"/>
      <c r="BM72" s="903">
        <v>1</v>
      </c>
      <c r="BN72" s="903"/>
      <c r="BO72" s="903"/>
      <c r="BP72" s="902" t="s">
        <v>41</v>
      </c>
      <c r="BQ72" s="909">
        <v>1</v>
      </c>
      <c r="BR72" s="908"/>
      <c r="BS72" s="937" t="s">
        <v>3130</v>
      </c>
      <c r="BT72" s="416"/>
      <c r="BU72" s="416"/>
      <c r="BV72" s="418"/>
      <c r="BW72" s="416"/>
      <c r="BX72" s="441"/>
      <c r="BY72" s="441"/>
      <c r="BZ72" s="441"/>
      <c r="CA72" s="441"/>
      <c r="CB72" s="441"/>
      <c r="CC72" s="693"/>
      <c r="CD72" s="441"/>
      <c r="CE72" s="910" t="str">
        <f>IFERROR(WWWW[[#This Row],['#_Water sources passed]]/WWWW[[#This Row],['#_Water sources tested for fecal coliform ]],"no test")</f>
        <v>no test</v>
      </c>
      <c r="CF72" s="908" t="str">
        <f>IFERROR(WWWW[[#This Row],['#_Household passed]]/WWWW[[#This Row],['#_Household water samples tested for fecal coliform]],"no test")</f>
        <v>no test</v>
      </c>
      <c r="CG72" s="909" t="str">
        <f>IF(AND(WWWW[[#This Row],[% of water sources passed]]="no test",WWWW[[#This Row],[% Household passed]]="no test"),"No Test","Tested")</f>
        <v>No Test</v>
      </c>
      <c r="CH72" s="909">
        <f>WWWW[[#This Row],['#_Constructed/existing protected hand dug well]]-WWWW[[#This Row],['#_Non-functional protected hand dug well]]</f>
        <v>1</v>
      </c>
      <c r="CI72" s="909">
        <f>(WWWW[[#This Row],['#_Constructed/Existing tube wells/boreholes/handpumps_WASH_agency]]+WWWW[[#This Row],['#_Non-Cluster partner water tube-wells/boreholes/handpumps]])-WWWW[[#This Row],['#_Non-functional tube wells/boreholes/handpumps]]</f>
        <v>1</v>
      </c>
      <c r="CJ72" s="909">
        <f>WWWW[[#This Row],['#_Constructed/Existingwater storage tank with gravity fed reticulation system]]-WWWW[[#This Row],['#_Non-functional storage tank gravity fed reticulation system]]</f>
        <v>0</v>
      </c>
      <c r="CK72" s="909">
        <f>(WWWW[[#This Row],['#_Water_Liters_supplied_by_Water boating or water trucking]]/90)/15</f>
        <v>0</v>
      </c>
      <c r="CL72" s="909">
        <f>WWWW[[#This Row],['#_Water_Liters_from_Constructed/Existing water distribution system from river or natural spring]]/90/15</f>
        <v>0</v>
      </c>
      <c r="CM72" s="417">
        <f>IF(WWWW[[#This Row],['#_of water points in TLS/CFS]]*500&gt;WWWW[[#This Row],[Total PoP ]],WWWW[[#This Row],[Total PoP ]],WWWW[[#This Row],['#_of water points in TLS/CFS]]*500)</f>
        <v>0</v>
      </c>
      <c r="CN72" s="417">
        <f>IF(WWWW[[#This Row],['#_of water points in THF]]*500&gt;WWWW[[#This Row],[Total PoP ]],WWWW[[#This Row],[Total PoP ]],WWWW[[#This Row],['#_of water points in THF]]*500)</f>
        <v>0</v>
      </c>
      <c r="CO72" s="417"/>
      <c r="CP72"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72"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0.79617834394904463</v>
      </c>
      <c r="CR72" s="908">
        <f>IF(WWWW[[#This Row],[Location Type 1]]="Village",WWWW[[#This Row],[Access to safe drinking water for Village]],WWWW[[#This Row],[Access to safe drinking water for Camp]])</f>
        <v>1</v>
      </c>
      <c r="CS72" s="906">
        <f>WWWW[[#This Row],[%Equitable and continuous access to sufficient quantity of safe drinking water]]*WWWW[[#This Row],[Total PoP ]]</f>
        <v>628</v>
      </c>
      <c r="CT72" s="908">
        <f>IF((WWWW[[#This Row],['#_Constructed/Existing protected/fenced ponds]]*250)/WWWW[[#This Row],[Total PoP ]]&gt;1,1,(WWWW[[#This Row],['#_Constructed/Existing protected/fenced ponds]]*250)/WWWW[[#This Row],[Total PoP ]])</f>
        <v>0</v>
      </c>
      <c r="CU72" s="906">
        <f>WWWW[[#This Row],[% Access to unimproved water points]]*WWWW[[#This Row],[Total PoP ]]</f>
        <v>0</v>
      </c>
      <c r="CV72"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72"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628</v>
      </c>
      <c r="CX72" s="906">
        <f>WWWW[[#This Row],[HRP1]]/500</f>
        <v>1.256</v>
      </c>
      <c r="CY72" s="911">
        <f>1-WWWW[[#This Row],[% Equitable and continuous access to sufficient quantity of domestic water]]</f>
        <v>0</v>
      </c>
      <c r="CZ72" s="906">
        <f>WWWW[[#This Row],[%equitable and continuous access to sufficient quantity of safe drinking and domestic water''s GAP]]*WWWW[[#This Row],[Total PoP ]]</f>
        <v>0</v>
      </c>
      <c r="DA72" s="909">
        <f>IF(WWWW[[#This Row],[Total required water points]]-WWWW[[#This Row],['#Water points coverage]]&lt;0,0,WWWW[[#This Row],[Total required water points]]-WWWW[[#This Row],['#Water points coverage]])</f>
        <v>0</v>
      </c>
      <c r="DB72" s="909">
        <f>ROUND(IF(WWWW[[#This Row],[Total PoP ]]&lt;500,1,WWWW[[#This Row],[Total PoP ]]/500),0)</f>
        <v>1</v>
      </c>
      <c r="DC72" s="909">
        <f>(WWWW[[#This Row],['#_Constructed latrines_by_WASHAgencies]]+WWWW[[#This Row],['#_Non Cluster partner latrines]])-WWWW[[#This Row],['#_Non-functional latrines]]</f>
        <v>1</v>
      </c>
      <c r="DD72" s="615">
        <f>WWWW[[#This Row],[HRP2]]/WWWW[[#This Row],[Total PoP ]]</f>
        <v>3.1847133757961783E-2</v>
      </c>
      <c r="DE72"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v>
      </c>
      <c r="DF72"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2"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2" s="417">
        <f>IF(WWWW[[#This Row],['# of functional latrines in THF supported by WASH partners during the reporting period2]]="",0,WWWW[[#This Row],['# of functional latrines in THF supported by WASH partners during the reporting period2]]*50)</f>
        <v>0</v>
      </c>
      <c r="DI72" s="909">
        <f>ROUND(IF(WWWW[[#This Row],[Location Type 1]]="camp",WWWW[[#This Row],[Total PoP ]]/20,IF(WWWW[[#This Row],[Location Type 1]]="Temporary Location",WWWW[[#This Row],[Total PoP ]]/50,(WWWW[[#This Row],[Total PoP ]]/6))),0)</f>
        <v>31</v>
      </c>
      <c r="DJ72" s="909">
        <f>IF(WWWW[[#This Row],[Total required Latrines]]-(WWWW[[#This Row],['#_Constructed latrines_by_WASHAgencies]]+WWWW[[#This Row],['#_Non Cluster partner latrines]])&lt;0,0,WWWW[[#This Row],[Total required Latrines]]-(WWWW[[#This Row],['#_Constructed latrines_by_WASHAgencies]]+WWWW[[#This Row],['#_Non Cluster partner latrines]]))</f>
        <v>30</v>
      </c>
      <c r="DK72" s="911">
        <f>1-WWWW[[#This Row],[% people access to functioning Latrine]]</f>
        <v>0.96815286624203822</v>
      </c>
      <c r="DL72" s="910">
        <f>IF(OR(WWWW[[#This Row],['#_Non-functional latrines]]="",WWWW[[#This Row],['#_Non-functional latrines]]=0),0,WWWW[[#This Row],['#_Non-functional latrines]]/(WWWW[[#This Row],['#_Constructed latrines_by_WASHAgencies]]+WWWW[[#This Row],['#_Non Cluster partner latrines]]))</f>
        <v>0</v>
      </c>
      <c r="DM72" s="906">
        <f>IF(500*(WWWW[[#This Row],['#_male hygiene promoters]]+WWWW[[#This Row],['#_female hygiene promoters]])&gt;WWWW[[#This Row],[Total PoP ]],WWWW[[#This Row],[Total PoP ]],500*(WWWW[[#This Row],['#_male hygiene promoters]]+WWWW[[#This Row],['#_female hygiene promoters]]))</f>
        <v>500</v>
      </c>
      <c r="DN72"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72"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72" s="909">
        <f>IF(WWWW[[#This Row],['# People with access to soap]]&gt;WWWW[[#This Row],['# People with access to Sanity Pads]],WWWW[[#This Row],['# People with access to soap]],WWWW[[#This Row],['# People with access to Sanity Pads]])</f>
        <v>0</v>
      </c>
      <c r="DQ72" s="909">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72" s="911">
        <f>IF(WWWW[[#This Row],[HRP3]]/WWWW[[#This Row],[Total PoP ]]&gt;1,1,WWWW[[#This Row],[HRP3]]/WWWW[[#This Row],[Total PoP ]])</f>
        <v>0.79617834394904463</v>
      </c>
      <c r="DS72" s="910">
        <f>1-WWWW[[#This Row],[Hygiene Coverage%]]</f>
        <v>0.20382165605095537</v>
      </c>
      <c r="DT72" s="908">
        <f>WWWW[[#This Row],['# people reached by regular dedicated hygiene promotion_5]]/WWWW[[#This Row],[Total PoP ]]</f>
        <v>0.79617834394904463</v>
      </c>
      <c r="DU72"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72"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72" s="909">
        <f>WWWW[[#This Row],['#_Constructed/Existing hand washing stations]]-WWWW[[#This Row],['#_Non-Functional_hand_washing_stations]]</f>
        <v>5</v>
      </c>
      <c r="DX72" s="906">
        <f>IF(WWWW[[#This Row],['# Functional hand washing stations during reporting period]]*20&gt;WWWW[[#This Row],[Total HH]],WWWW[[#This Row],[Total HH]],WWWW[[#This Row],['# Functional hand washing stations during reporting period]]*20)</f>
        <v>100</v>
      </c>
      <c r="DY72" s="906">
        <f>IF(WWWW[[#This Row],[Is sufficient soap available for TLS? (Yes/No)]]="yes",WWWW[[#This Row],['#_Constructed/Existing hand washing stations at TLS/CFS/THF]],0)</f>
        <v>5</v>
      </c>
      <c r="DZ72" s="421">
        <f>IF(WWWW[[#This Row],['# Functional hand washing stations during reporting period]]*100&gt;WWWW[[#This Row],[Total PoP ]],WWWW[[#This Row],[Total PoP ]],WWWW[[#This Row],['# Functional hand washing stations during reporting period]]*100)</f>
        <v>500</v>
      </c>
      <c r="EA72" s="421" t="str">
        <f>IF(OR(WWWW[[#This Row],['#_students at TLS_CFS]]="",WWWW[[#This Row],['#_students at TLS_CFS]]=0),"No","Yes")</f>
        <v>No</v>
      </c>
      <c r="EB7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2" s="566">
        <f>WWWW[[#This Row],[%_of_affected_people_surveyed_who_report_feeling_satistfied_with_the_latrine_design_and_sanitation_service]]*WWWW[[#This Row],[Total PoP ]]</f>
        <v>0</v>
      </c>
      <c r="ED72" s="566">
        <f>WWWW[[#This Row],[%_of_affected_people_surveyed_who_report_feeling_satistfied_with_the_water_point_design_and_water_service]]*WWWW[[#This Row],[Total PoP ]]</f>
        <v>0</v>
      </c>
      <c r="EE72" s="566">
        <f>WWWW[[#This Row],[%_of_complaints_received_that_result_in_timely_corrective_action_and_feedback_to_the_community]]*WWWW[[#This Row],[Total PoP ]]</f>
        <v>0</v>
      </c>
      <c r="EF7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2" s="902" t="str">
        <f>VLOOKUP(WWWW[[#This Row],[Site Name]],SiteDB6[[Site Name]:[CCCM Management]],6,FALSE)</f>
        <v>Yes</v>
      </c>
      <c r="EJ72" s="902" t="str">
        <f>VLOOKUP(WWWW[[#This Row],[Site Name]],SiteDB6[[Site Name]:[CCCM Focal Agency]],7,FALSE)</f>
        <v>KMSS-MYT</v>
      </c>
      <c r="EK72" s="902" t="str">
        <f>VLOOKUP(WWWW[[#This Row],[Site Name]],SiteDB6[[Site Name]:[Location Type 1]],9,FALSE)</f>
        <v>Camp</v>
      </c>
      <c r="EL72" s="902" t="str">
        <f>VLOOKUP(WWWW[[#This Row],[Site Name]],SiteDB6[[Site Name]:[Type of Accommodation]],10,FALSE)</f>
        <v>Camp</v>
      </c>
      <c r="EM72" s="902" t="str">
        <f>VLOOKUP(WWWW[[#This Row],[Site Name]],SiteDB6[[Site Name]:[Ethnic or GCA/NGCA]],11,FALSE)</f>
        <v>GCA</v>
      </c>
      <c r="EN72" s="902">
        <f>VLOOKUP(WWWW[[#This Row],[Site Name]],SiteDB6[[Site Name]:[Lat]],12,FALSE)</f>
        <v>26.350176000000001</v>
      </c>
      <c r="EO72" s="902">
        <f>VLOOKUP(WWWW[[#This Row],[Site Name]],SiteDB6[[Site Name]:[Long]],13,FALSE)</f>
        <v>96.711387999999999</v>
      </c>
      <c r="EP72" s="902" t="str">
        <f>VLOOKUP(WWWW[[#This Row],[Site Name]],SiteDB6[[Site Name]:[Pcode]],3,FALSE)</f>
        <v>MMR001CMP251</v>
      </c>
      <c r="EQ72" s="907" t="str">
        <f t="shared" si="1"/>
        <v>Covered</v>
      </c>
      <c r="ER72" s="907" t="s">
        <v>3126</v>
      </c>
      <c r="ES72" s="907" t="s">
        <v>3126</v>
      </c>
      <c r="ET72" s="902">
        <f>VLOOKUP(WWWW[[#This Row],[Site Name]],SiteDB6[[Site Name]:[Pop
(Kachin/Shan-CCCM as of May 2023)]],16,FALSE)</f>
        <v>133</v>
      </c>
      <c r="EU72" s="902">
        <f>VLOOKUP(WWWW[[#This Row],[Site Name]],SiteDB6[[Site Name]:[Pop
(Kachin/Shan-CCCM as of May 2023)]],17,FALSE)</f>
        <v>628</v>
      </c>
    </row>
    <row r="73" spans="1:151" hidden="1">
      <c r="A73" s="900" t="s">
        <v>2961</v>
      </c>
      <c r="B73" s="900" t="s">
        <v>36</v>
      </c>
      <c r="C73" s="901" t="s">
        <v>36</v>
      </c>
      <c r="D73" s="901" t="s">
        <v>241</v>
      </c>
      <c r="E73" s="901" t="s">
        <v>37</v>
      </c>
      <c r="F73" s="901" t="s">
        <v>858</v>
      </c>
      <c r="G73" s="902" t="str">
        <f>VLOOKUP(WWWW[[#This Row],[Site Name]],SiteDB6[[Site Name]:[Location Type]],8,FALSE)</f>
        <v>Camp</v>
      </c>
      <c r="H73" s="901" t="s">
        <v>860</v>
      </c>
      <c r="I73" s="903">
        <v>36</v>
      </c>
      <c r="J73" s="903">
        <v>174</v>
      </c>
      <c r="K73" s="904">
        <v>44973</v>
      </c>
      <c r="L73" s="905">
        <v>45337</v>
      </c>
      <c r="M73" s="903"/>
      <c r="N73" s="903">
        <v>1</v>
      </c>
      <c r="O73" s="903"/>
      <c r="P73" s="903"/>
      <c r="Q73" s="906" t="s">
        <v>41</v>
      </c>
      <c r="R73" s="903">
        <v>4</v>
      </c>
      <c r="S73" s="903">
        <v>1</v>
      </c>
      <c r="T73" s="441"/>
      <c r="U73" s="903"/>
      <c r="V73" s="903"/>
      <c r="W73" s="903">
        <v>2</v>
      </c>
      <c r="X73" s="903"/>
      <c r="Y73" s="903"/>
      <c r="Z73" s="903"/>
      <c r="AA73" s="903"/>
      <c r="AB73" s="903"/>
      <c r="AC73" s="903"/>
      <c r="AD73" s="903"/>
      <c r="AE73" s="903"/>
      <c r="AF73" s="903"/>
      <c r="AG73" s="903"/>
      <c r="AH73" s="903"/>
      <c r="AI73" s="903"/>
      <c r="AJ73" s="903"/>
      <c r="AK73" s="903"/>
      <c r="AL73" s="903"/>
      <c r="AM73" s="903">
        <v>5</v>
      </c>
      <c r="AN73" s="903"/>
      <c r="AO73" s="441"/>
      <c r="AP73" s="907"/>
      <c r="AQ73" s="903">
        <v>2</v>
      </c>
      <c r="AR73" s="903"/>
      <c r="AS73" s="908"/>
      <c r="AT73" s="903"/>
      <c r="AU73" s="903"/>
      <c r="AV73" s="903"/>
      <c r="AW73" s="903"/>
      <c r="AX73" s="903"/>
      <c r="AY73" s="902" t="s">
        <v>41</v>
      </c>
      <c r="AZ73" s="907" t="s">
        <v>136</v>
      </c>
      <c r="BA73" s="903"/>
      <c r="BB73" s="903"/>
      <c r="BC73" s="903"/>
      <c r="BD73" s="441"/>
      <c r="BE73" s="441"/>
      <c r="BF73" s="902"/>
      <c r="BG73" s="903">
        <v>7</v>
      </c>
      <c r="BH73" s="903"/>
      <c r="BI73" s="903">
        <v>2</v>
      </c>
      <c r="BJ73" s="903">
        <v>2</v>
      </c>
      <c r="BK73" s="903"/>
      <c r="BL73" s="903"/>
      <c r="BM73" s="903">
        <v>1</v>
      </c>
      <c r="BN73" s="903"/>
      <c r="BO73" s="903"/>
      <c r="BP73" s="902" t="s">
        <v>41</v>
      </c>
      <c r="BQ73" s="909">
        <v>1</v>
      </c>
      <c r="BR73" s="908"/>
      <c r="BS73" s="937" t="s">
        <v>3130</v>
      </c>
      <c r="BT73" s="416"/>
      <c r="BU73" s="416"/>
      <c r="BV73" s="418"/>
      <c r="BW73" s="416"/>
      <c r="BX73" s="441"/>
      <c r="BY73" s="441"/>
      <c r="BZ73" s="441"/>
      <c r="CA73" s="441"/>
      <c r="CB73" s="441"/>
      <c r="CC73" s="693"/>
      <c r="CD73" s="441"/>
      <c r="CE73" s="910" t="str">
        <f>IFERROR(WWWW[[#This Row],['#_Water sources passed]]/WWWW[[#This Row],['#_Water sources tested for fecal coliform ]],"no test")</f>
        <v>no test</v>
      </c>
      <c r="CF73" s="908" t="str">
        <f>IFERROR(WWWW[[#This Row],['#_Household passed]]/WWWW[[#This Row],['#_Household water samples tested for fecal coliform]],"no test")</f>
        <v>no test</v>
      </c>
      <c r="CG73" s="909" t="str">
        <f>IF(AND(WWWW[[#This Row],[% of water sources passed]]="no test",WWWW[[#This Row],[% Household passed]]="no test"),"No Test","Tested")</f>
        <v>No Test</v>
      </c>
      <c r="CH73" s="909">
        <f>WWWW[[#This Row],['#_Constructed/existing protected hand dug well]]-WWWW[[#This Row],['#_Non-functional protected hand dug well]]</f>
        <v>0</v>
      </c>
      <c r="CI73" s="909">
        <f>(WWWW[[#This Row],['#_Constructed/Existing tube wells/boreholes/handpumps_WASH_agency]]+WWWW[[#This Row],['#_Non-Cluster partner water tube-wells/boreholes/handpumps]])-WWWW[[#This Row],['#_Non-functional tube wells/boreholes/handpumps]]</f>
        <v>2</v>
      </c>
      <c r="CJ73" s="909">
        <f>WWWW[[#This Row],['#_Constructed/Existingwater storage tank with gravity fed reticulation system]]-WWWW[[#This Row],['#_Non-functional storage tank gravity fed reticulation system]]</f>
        <v>0</v>
      </c>
      <c r="CK73" s="909">
        <f>(WWWW[[#This Row],['#_Water_Liters_supplied_by_Water boating or water trucking]]/90)/15</f>
        <v>0</v>
      </c>
      <c r="CL73" s="909">
        <f>WWWW[[#This Row],['#_Water_Liters_from_Constructed/Existing water distribution system from river or natural spring]]/90/15</f>
        <v>0</v>
      </c>
      <c r="CM73" s="417">
        <f>IF(WWWW[[#This Row],['#_of water points in TLS/CFS]]*500&gt;WWWW[[#This Row],[Total PoP ]],WWWW[[#This Row],[Total PoP ]],WWWW[[#This Row],['#_of water points in TLS/CFS]]*500)</f>
        <v>0</v>
      </c>
      <c r="CN73" s="417">
        <f>IF(WWWW[[#This Row],['#_of water points in THF]]*500&gt;WWWW[[#This Row],[Total PoP ]],WWWW[[#This Row],[Total PoP ]],WWWW[[#This Row],['#_of water points in THF]]*500)</f>
        <v>0</v>
      </c>
      <c r="CO73" s="417"/>
      <c r="CP73"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73"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73" s="908">
        <f>IF(WWWW[[#This Row],[Location Type 1]]="Village",WWWW[[#This Row],[Access to safe drinking water for Village]],WWWW[[#This Row],[Access to safe drinking water for Camp]])</f>
        <v>1</v>
      </c>
      <c r="CS73" s="906">
        <f>WWWW[[#This Row],[%Equitable and continuous access to sufficient quantity of safe drinking water]]*WWWW[[#This Row],[Total PoP ]]</f>
        <v>174</v>
      </c>
      <c r="CT73" s="908">
        <f>IF((WWWW[[#This Row],['#_Constructed/Existing protected/fenced ponds]]*250)/WWWW[[#This Row],[Total PoP ]]&gt;1,1,(WWWW[[#This Row],['#_Constructed/Existing protected/fenced ponds]]*250)/WWWW[[#This Row],[Total PoP ]])</f>
        <v>0</v>
      </c>
      <c r="CU73" s="906">
        <f>WWWW[[#This Row],[% Access to unimproved water points]]*WWWW[[#This Row],[Total PoP ]]</f>
        <v>0</v>
      </c>
      <c r="CV73"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73"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174</v>
      </c>
      <c r="CX73" s="906">
        <f>WWWW[[#This Row],[HRP1]]/500</f>
        <v>0.34799999999999998</v>
      </c>
      <c r="CY73" s="911">
        <f>1-WWWW[[#This Row],[% Equitable and continuous access to sufficient quantity of domestic water]]</f>
        <v>0</v>
      </c>
      <c r="CZ73" s="906">
        <f>WWWW[[#This Row],[%equitable and continuous access to sufficient quantity of safe drinking and domestic water''s GAP]]*WWWW[[#This Row],[Total PoP ]]</f>
        <v>0</v>
      </c>
      <c r="DA73" s="909">
        <f>IF(WWWW[[#This Row],[Total required water points]]-WWWW[[#This Row],['#Water points coverage]]&lt;0,0,WWWW[[#This Row],[Total required water points]]-WWWW[[#This Row],['#Water points coverage]])</f>
        <v>0.65200000000000002</v>
      </c>
      <c r="DB73" s="909">
        <f>ROUND(IF(WWWW[[#This Row],[Total PoP ]]&lt;500,1,WWWW[[#This Row],[Total PoP ]]/500),0)</f>
        <v>1</v>
      </c>
      <c r="DC73" s="909">
        <f>(WWWW[[#This Row],['#_Constructed latrines_by_WASHAgencies]]+WWWW[[#This Row],['#_Non Cluster partner latrines]])-WWWW[[#This Row],['#_Non-functional latrines]]</f>
        <v>2</v>
      </c>
      <c r="DD73" s="615">
        <f>WWWW[[#This Row],[HRP2]]/WWWW[[#This Row],[Total PoP ]]</f>
        <v>0.22988505747126436</v>
      </c>
      <c r="DE73"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73"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3"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3" s="417">
        <f>IF(WWWW[[#This Row],['# of functional latrines in THF supported by WASH partners during the reporting period2]]="",0,WWWW[[#This Row],['# of functional latrines in THF supported by WASH partners during the reporting period2]]*50)</f>
        <v>0</v>
      </c>
      <c r="DI73" s="909">
        <f>ROUND(IF(WWWW[[#This Row],[Location Type 1]]="camp",WWWW[[#This Row],[Total PoP ]]/20,IF(WWWW[[#This Row],[Location Type 1]]="Temporary Location",WWWW[[#This Row],[Total PoP ]]/50,(WWWW[[#This Row],[Total PoP ]]/6))),0)</f>
        <v>9</v>
      </c>
      <c r="DJ73" s="909">
        <f>IF(WWWW[[#This Row],[Total required Latrines]]-(WWWW[[#This Row],['#_Constructed latrines_by_WASHAgencies]]+WWWW[[#This Row],['#_Non Cluster partner latrines]])&lt;0,0,WWWW[[#This Row],[Total required Latrines]]-(WWWW[[#This Row],['#_Constructed latrines_by_WASHAgencies]]+WWWW[[#This Row],['#_Non Cluster partner latrines]]))</f>
        <v>7</v>
      </c>
      <c r="DK73" s="911">
        <f>1-WWWW[[#This Row],[% people access to functioning Latrine]]</f>
        <v>0.77011494252873569</v>
      </c>
      <c r="DL73" s="910">
        <f>IF(OR(WWWW[[#This Row],['#_Non-functional latrines]]="",WWWW[[#This Row],['#_Non-functional latrines]]=0),0,WWWW[[#This Row],['#_Non-functional latrines]]/(WWWW[[#This Row],['#_Constructed latrines_by_WASHAgencies]]+WWWW[[#This Row],['#_Non Cluster partner latrines]]))</f>
        <v>0</v>
      </c>
      <c r="DM73" s="906">
        <f>IF(500*(WWWW[[#This Row],['#_male hygiene promoters]]+WWWW[[#This Row],['#_female hygiene promoters]])&gt;WWWW[[#This Row],[Total PoP ]],WWWW[[#This Row],[Total PoP ]],500*(WWWW[[#This Row],['#_male hygiene promoters]]+WWWW[[#This Row],['#_female hygiene promoters]]))</f>
        <v>174</v>
      </c>
      <c r="DN73"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73"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73" s="909">
        <f>IF(WWWW[[#This Row],['# People with access to soap]]&gt;WWWW[[#This Row],['# People with access to Sanity Pads]],WWWW[[#This Row],['# People with access to soap]],WWWW[[#This Row],['# People with access to Sanity Pads]])</f>
        <v>0</v>
      </c>
      <c r="DQ73" s="909">
        <f>IF(WWWW[[#This Row],['# people reached by regular dedicated hygiene promotion_5]]&gt;WWWW[[#This Row],['# People received regular supply of hygiene items_6]],WWWW[[#This Row],['# people reached by regular dedicated hygiene promotion_5]],WWWW[[#This Row],['# People received regular supply of hygiene items_6]])</f>
        <v>174</v>
      </c>
      <c r="DR73" s="911">
        <f>IF(WWWW[[#This Row],[HRP3]]/WWWW[[#This Row],[Total PoP ]]&gt;1,1,WWWW[[#This Row],[HRP3]]/WWWW[[#This Row],[Total PoP ]])</f>
        <v>1</v>
      </c>
      <c r="DS73" s="910">
        <f>1-WWWW[[#This Row],[Hygiene Coverage%]]</f>
        <v>0</v>
      </c>
      <c r="DT73" s="908">
        <f>WWWW[[#This Row],['# people reached by regular dedicated hygiene promotion_5]]/WWWW[[#This Row],[Total PoP ]]</f>
        <v>1</v>
      </c>
      <c r="DU73"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73"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73" s="909">
        <f>WWWW[[#This Row],['#_Constructed/Existing hand washing stations]]-WWWW[[#This Row],['#_Non-Functional_hand_washing_stations]]</f>
        <v>7</v>
      </c>
      <c r="DX73" s="906">
        <f>IF(WWWW[[#This Row],['# Functional hand washing stations during reporting period]]*20&gt;WWWW[[#This Row],[Total HH]],WWWW[[#This Row],[Total HH]],WWWW[[#This Row],['# Functional hand washing stations during reporting period]]*20)</f>
        <v>36</v>
      </c>
      <c r="DY73" s="906">
        <f>IF(WWWW[[#This Row],[Is sufficient soap available for TLS? (Yes/No)]]="yes",WWWW[[#This Row],['#_Constructed/Existing hand washing stations at TLS/CFS/THF]],0)</f>
        <v>5</v>
      </c>
      <c r="DZ73" s="421">
        <f>IF(WWWW[[#This Row],['# Functional hand washing stations during reporting period]]*100&gt;WWWW[[#This Row],[Total PoP ]],WWWW[[#This Row],[Total PoP ]],WWWW[[#This Row],['# Functional hand washing stations during reporting period]]*100)</f>
        <v>174</v>
      </c>
      <c r="EA73" s="421" t="str">
        <f>IF(OR(WWWW[[#This Row],['#_students at TLS_CFS]]="",WWWW[[#This Row],['#_students at TLS_CFS]]=0),"No","Yes")</f>
        <v>No</v>
      </c>
      <c r="EB7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3" s="566">
        <f>WWWW[[#This Row],[%_of_affected_people_surveyed_who_report_feeling_satistfied_with_the_latrine_design_and_sanitation_service]]*WWWW[[#This Row],[Total PoP ]]</f>
        <v>0</v>
      </c>
      <c r="ED73" s="566">
        <f>WWWW[[#This Row],[%_of_affected_people_surveyed_who_report_feeling_satistfied_with_the_water_point_design_and_water_service]]*WWWW[[#This Row],[Total PoP ]]</f>
        <v>0</v>
      </c>
      <c r="EE73" s="566">
        <f>WWWW[[#This Row],[%_of_complaints_received_that_result_in_timely_corrective_action_and_feedback_to_the_community]]*WWWW[[#This Row],[Total PoP ]]</f>
        <v>0</v>
      </c>
      <c r="EF7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3" s="902" t="str">
        <f>VLOOKUP(WWWW[[#This Row],[Site Name]],SiteDB6[[Site Name]:[CCCM Management]],6,FALSE)</f>
        <v>Yes</v>
      </c>
      <c r="EJ73" s="902" t="str">
        <f>VLOOKUP(WWWW[[#This Row],[Site Name]],SiteDB6[[Site Name]:[CCCM Focal Agency]],7,FALSE)</f>
        <v>KMSS-MYT</v>
      </c>
      <c r="EK73" s="902" t="str">
        <f>VLOOKUP(WWWW[[#This Row],[Site Name]],SiteDB6[[Site Name]:[Location Type 1]],9,FALSE)</f>
        <v>Camp</v>
      </c>
      <c r="EL73" s="902" t="str">
        <f>VLOOKUP(WWWW[[#This Row],[Site Name]],SiteDB6[[Site Name]:[Type of Accommodation]],10,FALSE)</f>
        <v>Camp</v>
      </c>
      <c r="EM73" s="902" t="str">
        <f>VLOOKUP(WWWW[[#This Row],[Site Name]],SiteDB6[[Site Name]:[Ethnic or GCA/NGCA]],11,FALSE)</f>
        <v>GCA</v>
      </c>
      <c r="EN73" s="902">
        <f>VLOOKUP(WWWW[[#This Row],[Site Name]],SiteDB6[[Site Name]:[Lat]],12,FALSE)</f>
        <v>26.351690999999999</v>
      </c>
      <c r="EO73" s="902">
        <f>VLOOKUP(WWWW[[#This Row],[Site Name]],SiteDB6[[Site Name]:[Long]],13,FALSE)</f>
        <v>96.690871999999999</v>
      </c>
      <c r="EP73" s="902" t="str">
        <f>VLOOKUP(WWWW[[#This Row],[Site Name]],SiteDB6[[Site Name]:[Pcode]],3,FALSE)</f>
        <v>MMR001CMP254</v>
      </c>
      <c r="EQ73" s="907" t="str">
        <f t="shared" si="1"/>
        <v>Covered</v>
      </c>
      <c r="ER73" s="907" t="s">
        <v>3126</v>
      </c>
      <c r="ES73" s="907" t="s">
        <v>3126</v>
      </c>
      <c r="ET73" s="902">
        <f>VLOOKUP(WWWW[[#This Row],[Site Name]],SiteDB6[[Site Name]:[Pop
(Kachin/Shan-CCCM as of May 2023)]],16,FALSE)</f>
        <v>37</v>
      </c>
      <c r="EU73" s="902">
        <f>VLOOKUP(WWWW[[#This Row],[Site Name]],SiteDB6[[Site Name]:[Pop
(Kachin/Shan-CCCM as of May 2023)]],17,FALSE)</f>
        <v>175</v>
      </c>
    </row>
    <row r="74" spans="1:151" hidden="1">
      <c r="A74" s="900" t="s">
        <v>2961</v>
      </c>
      <c r="B74" s="900" t="s">
        <v>36</v>
      </c>
      <c r="C74" s="901" t="s">
        <v>36</v>
      </c>
      <c r="D74" s="901" t="s">
        <v>241</v>
      </c>
      <c r="E74" s="901" t="s">
        <v>37</v>
      </c>
      <c r="F74" s="901" t="s">
        <v>142</v>
      </c>
      <c r="G74" s="902" t="str">
        <f>VLOOKUP(WWWW[[#This Row],[Site Name]],SiteDB6[[Site Name]:[Location Type]],8,FALSE)</f>
        <v>Camp</v>
      </c>
      <c r="H74" s="901" t="s">
        <v>236</v>
      </c>
      <c r="I74" s="903">
        <v>115</v>
      </c>
      <c r="J74" s="903">
        <v>405</v>
      </c>
      <c r="K74" s="904">
        <v>44973</v>
      </c>
      <c r="L74" s="905">
        <v>45337</v>
      </c>
      <c r="M74" s="903"/>
      <c r="N74" s="903">
        <v>3</v>
      </c>
      <c r="O74" s="903"/>
      <c r="P74" s="903"/>
      <c r="Q74" s="906" t="s">
        <v>41</v>
      </c>
      <c r="R74" s="903">
        <v>4</v>
      </c>
      <c r="S74" s="903">
        <v>3</v>
      </c>
      <c r="T74" s="441">
        <v>3</v>
      </c>
      <c r="U74" s="903"/>
      <c r="V74" s="903"/>
      <c r="W74" s="903">
        <v>2</v>
      </c>
      <c r="X74" s="903"/>
      <c r="Y74" s="903"/>
      <c r="Z74" s="903"/>
      <c r="AA74" s="903">
        <v>1</v>
      </c>
      <c r="AB74" s="903"/>
      <c r="AC74" s="903"/>
      <c r="AD74" s="903"/>
      <c r="AE74" s="903"/>
      <c r="AF74" s="903"/>
      <c r="AG74" s="903"/>
      <c r="AH74" s="903"/>
      <c r="AI74" s="903"/>
      <c r="AJ74" s="903"/>
      <c r="AK74" s="903"/>
      <c r="AL74" s="903"/>
      <c r="AM74" s="903">
        <v>4</v>
      </c>
      <c r="AN74" s="903"/>
      <c r="AO74" s="441"/>
      <c r="AP74" s="907"/>
      <c r="AQ74" s="903">
        <v>90</v>
      </c>
      <c r="AR74" s="903"/>
      <c r="AS74" s="908"/>
      <c r="AT74" s="903"/>
      <c r="AU74" s="903"/>
      <c r="AV74" s="903"/>
      <c r="AW74" s="903"/>
      <c r="AX74" s="903"/>
      <c r="AY74" s="902" t="s">
        <v>41</v>
      </c>
      <c r="AZ74" s="907" t="s">
        <v>137</v>
      </c>
      <c r="BA74" s="903"/>
      <c r="BB74" s="903"/>
      <c r="BC74" s="903"/>
      <c r="BD74" s="441"/>
      <c r="BE74" s="441"/>
      <c r="BF74" s="902"/>
      <c r="BG74" s="903">
        <v>2</v>
      </c>
      <c r="BH74" s="903"/>
      <c r="BI74" s="903"/>
      <c r="BJ74" s="903">
        <v>3</v>
      </c>
      <c r="BK74" s="903"/>
      <c r="BL74" s="903"/>
      <c r="BM74" s="903">
        <v>2</v>
      </c>
      <c r="BN74" s="903"/>
      <c r="BO74" s="903"/>
      <c r="BP74" s="902" t="s">
        <v>41</v>
      </c>
      <c r="BQ74" s="909">
        <v>1</v>
      </c>
      <c r="BR74" s="908"/>
      <c r="BS74" s="937" t="s">
        <v>3130</v>
      </c>
      <c r="BT74" s="416"/>
      <c r="BU74" s="416"/>
      <c r="BV74" s="418"/>
      <c r="BW74" s="416"/>
      <c r="BX74" s="441"/>
      <c r="BY74" s="441"/>
      <c r="BZ74" s="441"/>
      <c r="CA74" s="441"/>
      <c r="CB74" s="441"/>
      <c r="CC74" s="693"/>
      <c r="CD74" s="441"/>
      <c r="CE74" s="910" t="str">
        <f>IFERROR(WWWW[[#This Row],['#_Water sources passed]]/WWWW[[#This Row],['#_Water sources tested for fecal coliform ]],"no test")</f>
        <v>no test</v>
      </c>
      <c r="CF74" s="908" t="str">
        <f>IFERROR(WWWW[[#This Row],['#_Household passed]]/WWWW[[#This Row],['#_Household water samples tested for fecal coliform]],"no test")</f>
        <v>no test</v>
      </c>
      <c r="CG74" s="909" t="str">
        <f>IF(AND(WWWW[[#This Row],[% of water sources passed]]="no test",WWWW[[#This Row],[% Household passed]]="no test"),"No Test","Tested")</f>
        <v>No Test</v>
      </c>
      <c r="CH74" s="909">
        <f>WWWW[[#This Row],['#_Constructed/existing protected hand dug well]]-WWWW[[#This Row],['#_Non-functional protected hand dug well]]</f>
        <v>3</v>
      </c>
      <c r="CI74" s="909">
        <f>(WWWW[[#This Row],['#_Constructed/Existing tube wells/boreholes/handpumps_WASH_agency]]+WWWW[[#This Row],['#_Non-Cluster partner water tube-wells/boreholes/handpumps]])-WWWW[[#This Row],['#_Non-functional tube wells/boreholes/handpumps]]</f>
        <v>2</v>
      </c>
      <c r="CJ74" s="909">
        <f>WWWW[[#This Row],['#_Constructed/Existingwater storage tank with gravity fed reticulation system]]-WWWW[[#This Row],['#_Non-functional storage tank gravity fed reticulation system]]</f>
        <v>1</v>
      </c>
      <c r="CK74" s="909">
        <f>(WWWW[[#This Row],['#_Water_Liters_supplied_by_Water boating or water trucking]]/90)/15</f>
        <v>0</v>
      </c>
      <c r="CL74" s="909">
        <f>WWWW[[#This Row],['#_Water_Liters_from_Constructed/Existing water distribution system from river or natural spring]]/90/15</f>
        <v>0</v>
      </c>
      <c r="CM74" s="417">
        <f>IF(WWWW[[#This Row],['#_of water points in TLS/CFS]]*500&gt;WWWW[[#This Row],[Total PoP ]],WWWW[[#This Row],[Total PoP ]],WWWW[[#This Row],['#_of water points in TLS/CFS]]*500)</f>
        <v>0</v>
      </c>
      <c r="CN74" s="417">
        <f>IF(WWWW[[#This Row],['#_of water points in THF]]*500&gt;WWWW[[#This Row],[Total PoP ]],WWWW[[#This Row],[Total PoP ]],WWWW[[#This Row],['#_of water points in THF]]*500)</f>
        <v>0</v>
      </c>
      <c r="CO74" s="417"/>
      <c r="CP74"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74"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74" s="908">
        <f>IF(WWWW[[#This Row],[Location Type 1]]="Village",WWWW[[#This Row],[Access to safe drinking water for Village]],WWWW[[#This Row],[Access to safe drinking water for Camp]])</f>
        <v>1</v>
      </c>
      <c r="CS74" s="906">
        <f>WWWW[[#This Row],[%Equitable and continuous access to sufficient quantity of safe drinking water]]*WWWW[[#This Row],[Total PoP ]]</f>
        <v>405</v>
      </c>
      <c r="CT74" s="908">
        <f>IF((WWWW[[#This Row],['#_Constructed/Existing protected/fenced ponds]]*250)/WWWW[[#This Row],[Total PoP ]]&gt;1,1,(WWWW[[#This Row],['#_Constructed/Existing protected/fenced ponds]]*250)/WWWW[[#This Row],[Total PoP ]])</f>
        <v>0</v>
      </c>
      <c r="CU74" s="906">
        <f>WWWW[[#This Row],[% Access to unimproved water points]]*WWWW[[#This Row],[Total PoP ]]</f>
        <v>0</v>
      </c>
      <c r="CV74"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74"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405</v>
      </c>
      <c r="CX74" s="906">
        <f>WWWW[[#This Row],[HRP1]]/500</f>
        <v>0.81</v>
      </c>
      <c r="CY74" s="911">
        <f>1-WWWW[[#This Row],[% Equitable and continuous access to sufficient quantity of domestic water]]</f>
        <v>0</v>
      </c>
      <c r="CZ74" s="906">
        <f>WWWW[[#This Row],[%equitable and continuous access to sufficient quantity of safe drinking and domestic water''s GAP]]*WWWW[[#This Row],[Total PoP ]]</f>
        <v>0</v>
      </c>
      <c r="DA74" s="909">
        <f>IF(WWWW[[#This Row],[Total required water points]]-WWWW[[#This Row],['#Water points coverage]]&lt;0,0,WWWW[[#This Row],[Total required water points]]-WWWW[[#This Row],['#Water points coverage]])</f>
        <v>0.18999999999999995</v>
      </c>
      <c r="DB74" s="909">
        <f>ROUND(IF(WWWW[[#This Row],[Total PoP ]]&lt;500,1,WWWW[[#This Row],[Total PoP ]]/500),0)</f>
        <v>1</v>
      </c>
      <c r="DC74" s="909">
        <f>(WWWW[[#This Row],['#_Constructed latrines_by_WASHAgencies]]+WWWW[[#This Row],['#_Non Cluster partner latrines]])-WWWW[[#This Row],['#_Non-functional latrines]]</f>
        <v>90</v>
      </c>
      <c r="DD74" s="615">
        <f>WWWW[[#This Row],[HRP2]]/WWWW[[#This Row],[Total PoP ]]</f>
        <v>1</v>
      </c>
      <c r="DE74"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405</v>
      </c>
      <c r="DF74"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4"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4" s="417">
        <f>IF(WWWW[[#This Row],['# of functional latrines in THF supported by WASH partners during the reporting period2]]="",0,WWWW[[#This Row],['# of functional latrines in THF supported by WASH partners during the reporting period2]]*50)</f>
        <v>0</v>
      </c>
      <c r="DI74" s="909">
        <f>ROUND(IF(WWWW[[#This Row],[Location Type 1]]="camp",WWWW[[#This Row],[Total PoP ]]/20,IF(WWWW[[#This Row],[Location Type 1]]="Temporary Location",WWWW[[#This Row],[Total PoP ]]/50,(WWWW[[#This Row],[Total PoP ]]/6))),0)</f>
        <v>20</v>
      </c>
      <c r="DJ74" s="909">
        <f>IF(WWWW[[#This Row],[Total required Latrines]]-(WWWW[[#This Row],['#_Constructed latrines_by_WASHAgencies]]+WWWW[[#This Row],['#_Non Cluster partner latrines]])&lt;0,0,WWWW[[#This Row],[Total required Latrines]]-(WWWW[[#This Row],['#_Constructed latrines_by_WASHAgencies]]+WWWW[[#This Row],['#_Non Cluster partner latrines]]))</f>
        <v>0</v>
      </c>
      <c r="DK74" s="911">
        <f>1-WWWW[[#This Row],[% people access to functioning Latrine]]</f>
        <v>0</v>
      </c>
      <c r="DL74" s="910">
        <f>IF(OR(WWWW[[#This Row],['#_Non-functional latrines]]="",WWWW[[#This Row],['#_Non-functional latrines]]=0),0,WWWW[[#This Row],['#_Non-functional latrines]]/(WWWW[[#This Row],['#_Constructed latrines_by_WASHAgencies]]+WWWW[[#This Row],['#_Non Cluster partner latrines]]))</f>
        <v>0</v>
      </c>
      <c r="DM74" s="906">
        <f>IF(500*(WWWW[[#This Row],['#_male hygiene promoters]]+WWWW[[#This Row],['#_female hygiene promoters]])&gt;WWWW[[#This Row],[Total PoP ]],WWWW[[#This Row],[Total PoP ]],500*(WWWW[[#This Row],['#_male hygiene promoters]]+WWWW[[#This Row],['#_female hygiene promoters]]))</f>
        <v>405</v>
      </c>
      <c r="DN74"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74"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74" s="909">
        <f>IF(WWWW[[#This Row],['# People with access to soap]]&gt;WWWW[[#This Row],['# People with access to Sanity Pads]],WWWW[[#This Row],['# People with access to soap]],WWWW[[#This Row],['# People with access to Sanity Pads]])</f>
        <v>0</v>
      </c>
      <c r="DQ74" s="909">
        <f>IF(WWWW[[#This Row],['# people reached by regular dedicated hygiene promotion_5]]&gt;WWWW[[#This Row],['# People received regular supply of hygiene items_6]],WWWW[[#This Row],['# people reached by regular dedicated hygiene promotion_5]],WWWW[[#This Row],['# People received regular supply of hygiene items_6]])</f>
        <v>405</v>
      </c>
      <c r="DR74" s="911">
        <f>IF(WWWW[[#This Row],[HRP3]]/WWWW[[#This Row],[Total PoP ]]&gt;1,1,WWWW[[#This Row],[HRP3]]/WWWW[[#This Row],[Total PoP ]])</f>
        <v>1</v>
      </c>
      <c r="DS74" s="910">
        <f>1-WWWW[[#This Row],[Hygiene Coverage%]]</f>
        <v>0</v>
      </c>
      <c r="DT74" s="908">
        <f>WWWW[[#This Row],['# people reached by regular dedicated hygiene promotion_5]]/WWWW[[#This Row],[Total PoP ]]</f>
        <v>1</v>
      </c>
      <c r="DU74"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74"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74" s="909">
        <f>WWWW[[#This Row],['#_Constructed/Existing hand washing stations]]-WWWW[[#This Row],['#_Non-Functional_hand_washing_stations]]</f>
        <v>2</v>
      </c>
      <c r="DX74" s="906">
        <f>IF(WWWW[[#This Row],['# Functional hand washing stations during reporting period]]*20&gt;WWWW[[#This Row],[Total HH]],WWWW[[#This Row],[Total HH]],WWWW[[#This Row],['# Functional hand washing stations during reporting period]]*20)</f>
        <v>40</v>
      </c>
      <c r="DY74" s="906">
        <f>IF(WWWW[[#This Row],[Is sufficient soap available for TLS? (Yes/No)]]="yes",WWWW[[#This Row],['#_Constructed/Existing hand washing stations at TLS/CFS/THF]],0)</f>
        <v>4</v>
      </c>
      <c r="DZ74" s="421">
        <f>IF(WWWW[[#This Row],['# Functional hand washing stations during reporting period]]*100&gt;WWWW[[#This Row],[Total PoP ]],WWWW[[#This Row],[Total PoP ]],WWWW[[#This Row],['# Functional hand washing stations during reporting period]]*100)</f>
        <v>200</v>
      </c>
      <c r="EA74" s="421" t="str">
        <f>IF(OR(WWWW[[#This Row],['#_students at TLS_CFS]]="",WWWW[[#This Row],['#_students at TLS_CFS]]=0),"No","Yes")</f>
        <v>No</v>
      </c>
      <c r="EB7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4" s="566">
        <f>WWWW[[#This Row],[%_of_affected_people_surveyed_who_report_feeling_satistfied_with_the_latrine_design_and_sanitation_service]]*WWWW[[#This Row],[Total PoP ]]</f>
        <v>0</v>
      </c>
      <c r="ED74" s="566">
        <f>WWWW[[#This Row],[%_of_affected_people_surveyed_who_report_feeling_satistfied_with_the_water_point_design_and_water_service]]*WWWW[[#This Row],[Total PoP ]]</f>
        <v>0</v>
      </c>
      <c r="EE74" s="566">
        <f>WWWW[[#This Row],[%_of_complaints_received_that_result_in_timely_corrective_action_and_feedback_to_the_community]]*WWWW[[#This Row],[Total PoP ]]</f>
        <v>0</v>
      </c>
      <c r="EF7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4" s="902" t="str">
        <f>VLOOKUP(WWWW[[#This Row],[Site Name]],SiteDB6[[Site Name]:[CCCM Management]],6,FALSE)</f>
        <v>Yes</v>
      </c>
      <c r="EJ74" s="902" t="str">
        <f>VLOOKUP(WWWW[[#This Row],[Site Name]],SiteDB6[[Site Name]:[CCCM Focal Agency]],7,FALSE)</f>
        <v>KMSS-MYT</v>
      </c>
      <c r="EK74" s="902" t="str">
        <f>VLOOKUP(WWWW[[#This Row],[Site Name]],SiteDB6[[Site Name]:[Location Type 1]],9,FALSE)</f>
        <v>Camp</v>
      </c>
      <c r="EL74" s="902" t="str">
        <f>VLOOKUP(WWWW[[#This Row],[Site Name]],SiteDB6[[Site Name]:[Type of Accommodation]],10,FALSE)</f>
        <v>Camp</v>
      </c>
      <c r="EM74" s="902" t="str">
        <f>VLOOKUP(WWWW[[#This Row],[Site Name]],SiteDB6[[Site Name]:[Ethnic or GCA/NGCA]],11,FALSE)</f>
        <v>NGCA</v>
      </c>
      <c r="EN74" s="902">
        <f>VLOOKUP(WWWW[[#This Row],[Site Name]],SiteDB6[[Site Name]:[Lat]],12,FALSE)</f>
        <v>25.220278</v>
      </c>
      <c r="EO74" s="902">
        <f>VLOOKUP(WWWW[[#This Row],[Site Name]],SiteDB6[[Site Name]:[Long]],13,FALSE)</f>
        <v>97.915833000000006</v>
      </c>
      <c r="EP74" s="902" t="str">
        <f>VLOOKUP(WWWW[[#This Row],[Site Name]],SiteDB6[[Site Name]:[Pcode]],3,FALSE)</f>
        <v>MMR001CMP113</v>
      </c>
      <c r="EQ74" s="907" t="str">
        <f t="shared" si="1"/>
        <v>Covered</v>
      </c>
      <c r="ER74" s="907" t="s">
        <v>3126</v>
      </c>
      <c r="ES74" s="907" t="s">
        <v>3126</v>
      </c>
      <c r="ET74" s="902">
        <f>VLOOKUP(WWWW[[#This Row],[Site Name]],SiteDB6[[Site Name]:[Pop
(Kachin/Shan-CCCM as of May 2023)]],16,FALSE)</f>
        <v>48</v>
      </c>
      <c r="EU74" s="902">
        <f>VLOOKUP(WWWW[[#This Row],[Site Name]],SiteDB6[[Site Name]:[Pop
(Kachin/Shan-CCCM as of May 2023)]],17,FALSE)</f>
        <v>258</v>
      </c>
    </row>
    <row r="75" spans="1:151" hidden="1">
      <c r="A75" s="900" t="s">
        <v>2961</v>
      </c>
      <c r="B75" s="900" t="s">
        <v>36</v>
      </c>
      <c r="C75" s="901" t="s">
        <v>36</v>
      </c>
      <c r="D75" s="901" t="s">
        <v>241</v>
      </c>
      <c r="E75" s="901" t="s">
        <v>37</v>
      </c>
      <c r="F75" s="901" t="s">
        <v>142</v>
      </c>
      <c r="G75" s="902" t="str">
        <f>VLOOKUP(WWWW[[#This Row],[Site Name]],SiteDB6[[Site Name]:[Location Type]],8,FALSE)</f>
        <v>Camp</v>
      </c>
      <c r="H75" s="901" t="s">
        <v>237</v>
      </c>
      <c r="I75" s="903">
        <v>216</v>
      </c>
      <c r="J75" s="903">
        <v>1189</v>
      </c>
      <c r="K75" s="904">
        <v>44973</v>
      </c>
      <c r="L75" s="905">
        <v>45337</v>
      </c>
      <c r="M75" s="903"/>
      <c r="N75" s="903">
        <v>5</v>
      </c>
      <c r="O75" s="903"/>
      <c r="P75" s="903"/>
      <c r="Q75" s="906" t="s">
        <v>41</v>
      </c>
      <c r="R75" s="903">
        <v>4</v>
      </c>
      <c r="S75" s="903">
        <v>3</v>
      </c>
      <c r="T75" s="441">
        <v>11</v>
      </c>
      <c r="U75" s="903"/>
      <c r="V75" s="903"/>
      <c r="W75" s="903"/>
      <c r="X75" s="903"/>
      <c r="Y75" s="903"/>
      <c r="Z75" s="903"/>
      <c r="AA75" s="903"/>
      <c r="AB75" s="903"/>
      <c r="AC75" s="903"/>
      <c r="AD75" s="903"/>
      <c r="AE75" s="903"/>
      <c r="AF75" s="903"/>
      <c r="AG75" s="903"/>
      <c r="AH75" s="903"/>
      <c r="AI75" s="903"/>
      <c r="AJ75" s="903"/>
      <c r="AK75" s="903"/>
      <c r="AL75" s="903"/>
      <c r="AM75" s="903">
        <v>5</v>
      </c>
      <c r="AN75" s="903"/>
      <c r="AO75" s="441"/>
      <c r="AP75" s="907"/>
      <c r="AQ75" s="903">
        <v>97</v>
      </c>
      <c r="AR75" s="903"/>
      <c r="AS75" s="908"/>
      <c r="AT75" s="903"/>
      <c r="AU75" s="903"/>
      <c r="AV75" s="903"/>
      <c r="AW75" s="903"/>
      <c r="AX75" s="903"/>
      <c r="AY75" s="902" t="s">
        <v>41</v>
      </c>
      <c r="AZ75" s="907" t="s">
        <v>137</v>
      </c>
      <c r="BA75" s="903"/>
      <c r="BB75" s="903"/>
      <c r="BC75" s="903"/>
      <c r="BD75" s="441"/>
      <c r="BE75" s="441"/>
      <c r="BF75" s="902"/>
      <c r="BG75" s="903">
        <v>1</v>
      </c>
      <c r="BH75" s="903"/>
      <c r="BI75" s="903"/>
      <c r="BJ75" s="903">
        <v>4</v>
      </c>
      <c r="BK75" s="903"/>
      <c r="BL75" s="903"/>
      <c r="BM75" s="903">
        <v>2</v>
      </c>
      <c r="BN75" s="903"/>
      <c r="BO75" s="903"/>
      <c r="BP75" s="902" t="s">
        <v>41</v>
      </c>
      <c r="BQ75" s="909">
        <v>1</v>
      </c>
      <c r="BR75" s="908"/>
      <c r="BS75" s="937" t="s">
        <v>3130</v>
      </c>
      <c r="BT75" s="416"/>
      <c r="BU75" s="416"/>
      <c r="BV75" s="418"/>
      <c r="BW75" s="416"/>
      <c r="BX75" s="441"/>
      <c r="BY75" s="441"/>
      <c r="BZ75" s="441"/>
      <c r="CA75" s="441"/>
      <c r="CB75" s="441"/>
      <c r="CC75" s="693"/>
      <c r="CD75" s="441"/>
      <c r="CE75" s="910" t="str">
        <f>IFERROR(WWWW[[#This Row],['#_Water sources passed]]/WWWW[[#This Row],['#_Water sources tested for fecal coliform ]],"no test")</f>
        <v>no test</v>
      </c>
      <c r="CF75" s="908" t="str">
        <f>IFERROR(WWWW[[#This Row],['#_Household passed]]/WWWW[[#This Row],['#_Household water samples tested for fecal coliform]],"no test")</f>
        <v>no test</v>
      </c>
      <c r="CG75" s="909" t="str">
        <f>IF(AND(WWWW[[#This Row],[% of water sources passed]]="no test",WWWW[[#This Row],[% Household passed]]="no test"),"No Test","Tested")</f>
        <v>No Test</v>
      </c>
      <c r="CH75" s="909">
        <f>WWWW[[#This Row],['#_Constructed/existing protected hand dug well]]-WWWW[[#This Row],['#_Non-functional protected hand dug well]]</f>
        <v>11</v>
      </c>
      <c r="CI75" s="909">
        <f>(WWWW[[#This Row],['#_Constructed/Existing tube wells/boreholes/handpumps_WASH_agency]]+WWWW[[#This Row],['#_Non-Cluster partner water tube-wells/boreholes/handpumps]])-WWWW[[#This Row],['#_Non-functional tube wells/boreholes/handpumps]]</f>
        <v>0</v>
      </c>
      <c r="CJ75" s="909">
        <f>WWWW[[#This Row],['#_Constructed/Existingwater storage tank with gravity fed reticulation system]]-WWWW[[#This Row],['#_Non-functional storage tank gravity fed reticulation system]]</f>
        <v>0</v>
      </c>
      <c r="CK75" s="909">
        <f>(WWWW[[#This Row],['#_Water_Liters_supplied_by_Water boating or water trucking]]/90)/15</f>
        <v>0</v>
      </c>
      <c r="CL75" s="909">
        <f>WWWW[[#This Row],['#_Water_Liters_from_Constructed/Existing water distribution system from river or natural spring]]/90/15</f>
        <v>0</v>
      </c>
      <c r="CM75" s="417">
        <f>IF(WWWW[[#This Row],['#_of water points in TLS/CFS]]*500&gt;WWWW[[#This Row],[Total PoP ]],WWWW[[#This Row],[Total PoP ]],WWWW[[#This Row],['#_of water points in TLS/CFS]]*500)</f>
        <v>0</v>
      </c>
      <c r="CN75" s="417">
        <f>IF(WWWW[[#This Row],['#_of water points in THF]]*500&gt;WWWW[[#This Row],[Total PoP ]],WWWW[[#This Row],[Total PoP ]],WWWW[[#This Row],['#_of water points in THF]]*500)</f>
        <v>0</v>
      </c>
      <c r="CO75" s="417"/>
      <c r="CP75"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75"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75" s="908">
        <f>IF(WWWW[[#This Row],[Location Type 1]]="Village",WWWW[[#This Row],[Access to safe drinking water for Village]],WWWW[[#This Row],[Access to safe drinking water for Camp]])</f>
        <v>1</v>
      </c>
      <c r="CS75" s="906">
        <f>WWWW[[#This Row],[%Equitable and continuous access to sufficient quantity of safe drinking water]]*WWWW[[#This Row],[Total PoP ]]</f>
        <v>1189</v>
      </c>
      <c r="CT75" s="908">
        <f>IF((WWWW[[#This Row],['#_Constructed/Existing protected/fenced ponds]]*250)/WWWW[[#This Row],[Total PoP ]]&gt;1,1,(WWWW[[#This Row],['#_Constructed/Existing protected/fenced ponds]]*250)/WWWW[[#This Row],[Total PoP ]])</f>
        <v>0</v>
      </c>
      <c r="CU75" s="906">
        <f>WWWW[[#This Row],[% Access to unimproved water points]]*WWWW[[#This Row],[Total PoP ]]</f>
        <v>0</v>
      </c>
      <c r="CV75"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75"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1189</v>
      </c>
      <c r="CX75" s="906">
        <f>WWWW[[#This Row],[HRP1]]/500</f>
        <v>2.3780000000000001</v>
      </c>
      <c r="CY75" s="911">
        <f>1-WWWW[[#This Row],[% Equitable and continuous access to sufficient quantity of domestic water]]</f>
        <v>0</v>
      </c>
      <c r="CZ75" s="906">
        <f>WWWW[[#This Row],[%equitable and continuous access to sufficient quantity of safe drinking and domestic water''s GAP]]*WWWW[[#This Row],[Total PoP ]]</f>
        <v>0</v>
      </c>
      <c r="DA75" s="909">
        <f>IF(WWWW[[#This Row],[Total required water points]]-WWWW[[#This Row],['#Water points coverage]]&lt;0,0,WWWW[[#This Row],[Total required water points]]-WWWW[[#This Row],['#Water points coverage]])</f>
        <v>0</v>
      </c>
      <c r="DB75" s="909">
        <f>ROUND(IF(WWWW[[#This Row],[Total PoP ]]&lt;500,1,WWWW[[#This Row],[Total PoP ]]/500),0)</f>
        <v>2</v>
      </c>
      <c r="DC75" s="909">
        <f>(WWWW[[#This Row],['#_Constructed latrines_by_WASHAgencies]]+WWWW[[#This Row],['#_Non Cluster partner latrines]])-WWWW[[#This Row],['#_Non-functional latrines]]</f>
        <v>97</v>
      </c>
      <c r="DD75" s="615">
        <f>WWWW[[#This Row],[HRP2]]/WWWW[[#This Row],[Total PoP ]]</f>
        <v>1</v>
      </c>
      <c r="DE75"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1189</v>
      </c>
      <c r="DF75"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5"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5" s="417">
        <f>IF(WWWW[[#This Row],['# of functional latrines in THF supported by WASH partners during the reporting period2]]="",0,WWWW[[#This Row],['# of functional latrines in THF supported by WASH partners during the reporting period2]]*50)</f>
        <v>0</v>
      </c>
      <c r="DI75" s="909">
        <f>ROUND(IF(WWWW[[#This Row],[Location Type 1]]="camp",WWWW[[#This Row],[Total PoP ]]/20,IF(WWWW[[#This Row],[Location Type 1]]="Temporary Location",WWWW[[#This Row],[Total PoP ]]/50,(WWWW[[#This Row],[Total PoP ]]/6))),0)</f>
        <v>59</v>
      </c>
      <c r="DJ75" s="909">
        <f>IF(WWWW[[#This Row],[Total required Latrines]]-(WWWW[[#This Row],['#_Constructed latrines_by_WASHAgencies]]+WWWW[[#This Row],['#_Non Cluster partner latrines]])&lt;0,0,WWWW[[#This Row],[Total required Latrines]]-(WWWW[[#This Row],['#_Constructed latrines_by_WASHAgencies]]+WWWW[[#This Row],['#_Non Cluster partner latrines]]))</f>
        <v>0</v>
      </c>
      <c r="DK75" s="911">
        <f>1-WWWW[[#This Row],[% people access to functioning Latrine]]</f>
        <v>0</v>
      </c>
      <c r="DL75" s="910">
        <f>IF(OR(WWWW[[#This Row],['#_Non-functional latrines]]="",WWWW[[#This Row],['#_Non-functional latrines]]=0),0,WWWW[[#This Row],['#_Non-functional latrines]]/(WWWW[[#This Row],['#_Constructed latrines_by_WASHAgencies]]+WWWW[[#This Row],['#_Non Cluster partner latrines]]))</f>
        <v>0</v>
      </c>
      <c r="DM75" s="906">
        <f>IF(500*(WWWW[[#This Row],['#_male hygiene promoters]]+WWWW[[#This Row],['#_female hygiene promoters]])&gt;WWWW[[#This Row],[Total PoP ]],WWWW[[#This Row],[Total PoP ]],500*(WWWW[[#This Row],['#_male hygiene promoters]]+WWWW[[#This Row],['#_female hygiene promoters]]))</f>
        <v>1000</v>
      </c>
      <c r="DN75"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75"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75" s="909">
        <f>IF(WWWW[[#This Row],['# People with access to soap]]&gt;WWWW[[#This Row],['# People with access to Sanity Pads]],WWWW[[#This Row],['# People with access to soap]],WWWW[[#This Row],['# People with access to Sanity Pads]])</f>
        <v>0</v>
      </c>
      <c r="DQ75" s="909">
        <f>IF(WWWW[[#This Row],['# people reached by regular dedicated hygiene promotion_5]]&gt;WWWW[[#This Row],['# People received regular supply of hygiene items_6]],WWWW[[#This Row],['# people reached by regular dedicated hygiene promotion_5]],WWWW[[#This Row],['# People received regular supply of hygiene items_6]])</f>
        <v>1000</v>
      </c>
      <c r="DR75" s="911">
        <f>IF(WWWW[[#This Row],[HRP3]]/WWWW[[#This Row],[Total PoP ]]&gt;1,1,WWWW[[#This Row],[HRP3]]/WWWW[[#This Row],[Total PoP ]])</f>
        <v>0.84104289318755254</v>
      </c>
      <c r="DS75" s="910">
        <f>1-WWWW[[#This Row],[Hygiene Coverage%]]</f>
        <v>0.15895710681244746</v>
      </c>
      <c r="DT75" s="908">
        <f>WWWW[[#This Row],['# people reached by regular dedicated hygiene promotion_5]]/WWWW[[#This Row],[Total PoP ]]</f>
        <v>0.84104289318755254</v>
      </c>
      <c r="DU75"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75"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75" s="909">
        <f>WWWW[[#This Row],['#_Constructed/Existing hand washing stations]]-WWWW[[#This Row],['#_Non-Functional_hand_washing_stations]]</f>
        <v>1</v>
      </c>
      <c r="DX75" s="906">
        <f>IF(WWWW[[#This Row],['# Functional hand washing stations during reporting period]]*20&gt;WWWW[[#This Row],[Total HH]],WWWW[[#This Row],[Total HH]],WWWW[[#This Row],['# Functional hand washing stations during reporting period]]*20)</f>
        <v>20</v>
      </c>
      <c r="DY75" s="906">
        <f>IF(WWWW[[#This Row],[Is sufficient soap available for TLS? (Yes/No)]]="yes",WWWW[[#This Row],['#_Constructed/Existing hand washing stations at TLS/CFS/THF]],0)</f>
        <v>5</v>
      </c>
      <c r="DZ75" s="421">
        <f>IF(WWWW[[#This Row],['# Functional hand washing stations during reporting period]]*100&gt;WWWW[[#This Row],[Total PoP ]],WWWW[[#This Row],[Total PoP ]],WWWW[[#This Row],['# Functional hand washing stations during reporting period]]*100)</f>
        <v>100</v>
      </c>
      <c r="EA75" s="421" t="str">
        <f>IF(OR(WWWW[[#This Row],['#_students at TLS_CFS]]="",WWWW[[#This Row],['#_students at TLS_CFS]]=0),"No","Yes")</f>
        <v>No</v>
      </c>
      <c r="EB7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5" s="566">
        <f>WWWW[[#This Row],[%_of_affected_people_surveyed_who_report_feeling_satistfied_with_the_latrine_design_and_sanitation_service]]*WWWW[[#This Row],[Total PoP ]]</f>
        <v>0</v>
      </c>
      <c r="ED75" s="566">
        <f>WWWW[[#This Row],[%_of_affected_people_surveyed_who_report_feeling_satistfied_with_the_water_point_design_and_water_service]]*WWWW[[#This Row],[Total PoP ]]</f>
        <v>0</v>
      </c>
      <c r="EE75" s="566">
        <f>WWWW[[#This Row],[%_of_complaints_received_that_result_in_timely_corrective_action_and_feedback_to_the_community]]*WWWW[[#This Row],[Total PoP ]]</f>
        <v>0</v>
      </c>
      <c r="EF7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5" s="902" t="str">
        <f>VLOOKUP(WWWW[[#This Row],[Site Name]],SiteDB6[[Site Name]:[CCCM Management]],6,FALSE)</f>
        <v>Yes</v>
      </c>
      <c r="EJ75" s="902" t="str">
        <f>VLOOKUP(WWWW[[#This Row],[Site Name]],SiteDB6[[Site Name]:[CCCM Focal Agency]],7,FALSE)</f>
        <v>KMSS-MYT</v>
      </c>
      <c r="EK75" s="902" t="str">
        <f>VLOOKUP(WWWW[[#This Row],[Site Name]],SiteDB6[[Site Name]:[Location Type 1]],9,FALSE)</f>
        <v>Camp</v>
      </c>
      <c r="EL75" s="902" t="str">
        <f>VLOOKUP(WWWW[[#This Row],[Site Name]],SiteDB6[[Site Name]:[Type of Accommodation]],10,FALSE)</f>
        <v>Camp</v>
      </c>
      <c r="EM75" s="902" t="str">
        <f>VLOOKUP(WWWW[[#This Row],[Site Name]],SiteDB6[[Site Name]:[Ethnic or GCA/NGCA]],11,FALSE)</f>
        <v>GCA</v>
      </c>
      <c r="EN75" s="902">
        <f>VLOOKUP(WWWW[[#This Row],[Site Name]],SiteDB6[[Site Name]:[Lat]],12,FALSE)</f>
        <v>25.415667500000001</v>
      </c>
      <c r="EO75" s="902">
        <f>VLOOKUP(WWWW[[#This Row],[Site Name]],SiteDB6[[Site Name]:[Long]],13,FALSE)</f>
        <v>97.437782499999997</v>
      </c>
      <c r="EP75" s="902" t="str">
        <f>VLOOKUP(WWWW[[#This Row],[Site Name]],SiteDB6[[Site Name]:[Pcode]],3,FALSE)</f>
        <v>MMR001CMP029</v>
      </c>
      <c r="EQ75" s="907" t="str">
        <f t="shared" si="1"/>
        <v>Covered</v>
      </c>
      <c r="ER75" s="907" t="s">
        <v>3126</v>
      </c>
      <c r="ES75" s="907" t="s">
        <v>3126</v>
      </c>
      <c r="ET75" s="902">
        <f>VLOOKUP(WWWW[[#This Row],[Site Name]],SiteDB6[[Site Name]:[Pop
(Kachin/Shan-CCCM as of May 2023)]],16,FALSE)</f>
        <v>214</v>
      </c>
      <c r="EU75" s="902">
        <f>VLOOKUP(WWWW[[#This Row],[Site Name]],SiteDB6[[Site Name]:[Pop
(Kachin/Shan-CCCM as of May 2023)]],17,FALSE)</f>
        <v>1245</v>
      </c>
    </row>
    <row r="76" spans="1:151" hidden="1">
      <c r="A76" s="900" t="s">
        <v>2961</v>
      </c>
      <c r="B76" s="900" t="s">
        <v>36</v>
      </c>
      <c r="C76" s="901" t="s">
        <v>36</v>
      </c>
      <c r="D76" s="901" t="s">
        <v>241</v>
      </c>
      <c r="E76" s="901" t="s">
        <v>37</v>
      </c>
      <c r="F76" s="901" t="s">
        <v>142</v>
      </c>
      <c r="G76" s="902" t="str">
        <f>VLOOKUP(WWWW[[#This Row],[Site Name]],SiteDB6[[Site Name]:[Location Type]],8,FALSE)</f>
        <v>Camp</v>
      </c>
      <c r="H76" s="901" t="s">
        <v>2860</v>
      </c>
      <c r="I76" s="903">
        <v>57</v>
      </c>
      <c r="J76" s="903">
        <v>344</v>
      </c>
      <c r="K76" s="904">
        <v>44414</v>
      </c>
      <c r="L76" s="905">
        <v>44778</v>
      </c>
      <c r="M76" s="903"/>
      <c r="N76" s="903">
        <v>3</v>
      </c>
      <c r="O76" s="903"/>
      <c r="P76" s="903"/>
      <c r="Q76" s="906" t="s">
        <v>41</v>
      </c>
      <c r="R76" s="903">
        <v>3</v>
      </c>
      <c r="S76" s="903">
        <v>4</v>
      </c>
      <c r="T76" s="441">
        <v>2</v>
      </c>
      <c r="U76" s="903"/>
      <c r="V76" s="903"/>
      <c r="W76" s="903">
        <v>1</v>
      </c>
      <c r="X76" s="903"/>
      <c r="Y76" s="903"/>
      <c r="Z76" s="903"/>
      <c r="AA76" s="903">
        <v>1</v>
      </c>
      <c r="AB76" s="903"/>
      <c r="AC76" s="903"/>
      <c r="AD76" s="903"/>
      <c r="AE76" s="903"/>
      <c r="AF76" s="903"/>
      <c r="AG76" s="903"/>
      <c r="AH76" s="903"/>
      <c r="AI76" s="903"/>
      <c r="AJ76" s="903"/>
      <c r="AK76" s="903"/>
      <c r="AL76" s="903"/>
      <c r="AM76" s="903">
        <v>4</v>
      </c>
      <c r="AN76" s="903"/>
      <c r="AO76" s="441"/>
      <c r="AP76" s="907"/>
      <c r="AQ76" s="903">
        <v>98</v>
      </c>
      <c r="AR76" s="903"/>
      <c r="AS76" s="908"/>
      <c r="AT76" s="903"/>
      <c r="AU76" s="903"/>
      <c r="AV76" s="903"/>
      <c r="AW76" s="903"/>
      <c r="AX76" s="903"/>
      <c r="AY76" s="902" t="s">
        <v>41</v>
      </c>
      <c r="AZ76" s="907" t="s">
        <v>137</v>
      </c>
      <c r="BA76" s="903">
        <v>3</v>
      </c>
      <c r="BB76" s="903"/>
      <c r="BC76" s="903"/>
      <c r="BD76" s="441"/>
      <c r="BE76" s="441"/>
      <c r="BF76" s="902"/>
      <c r="BG76" s="903">
        <v>1</v>
      </c>
      <c r="BH76" s="903"/>
      <c r="BI76" s="903"/>
      <c r="BJ76" s="903">
        <v>4</v>
      </c>
      <c r="BK76" s="903"/>
      <c r="BL76" s="903"/>
      <c r="BM76" s="903">
        <v>1</v>
      </c>
      <c r="BN76" s="903"/>
      <c r="BO76" s="903"/>
      <c r="BP76" s="902" t="s">
        <v>41</v>
      </c>
      <c r="BQ76" s="909"/>
      <c r="BR76" s="908"/>
      <c r="BS76" s="902"/>
      <c r="BT76" s="416"/>
      <c r="BU76" s="416"/>
      <c r="BV76" s="418"/>
      <c r="BW76" s="416"/>
      <c r="BX76" s="441"/>
      <c r="BY76" s="441"/>
      <c r="BZ76" s="441"/>
      <c r="CA76" s="441"/>
      <c r="CB76" s="441"/>
      <c r="CC76" s="693"/>
      <c r="CD76" s="441"/>
      <c r="CE76" s="910" t="str">
        <f>IFERROR(WWWW[[#This Row],['#_Water sources passed]]/WWWW[[#This Row],['#_Water sources tested for fecal coliform ]],"no test")</f>
        <v>no test</v>
      </c>
      <c r="CF76" s="908" t="str">
        <f>IFERROR(WWWW[[#This Row],['#_Household passed]]/WWWW[[#This Row],['#_Household water samples tested for fecal coliform]],"no test")</f>
        <v>no test</v>
      </c>
      <c r="CG76" s="909" t="str">
        <f>IF(AND(WWWW[[#This Row],[% of water sources passed]]="no test",WWWW[[#This Row],[% Household passed]]="no test"),"No Test","Tested")</f>
        <v>No Test</v>
      </c>
      <c r="CH76" s="909">
        <f>WWWW[[#This Row],['#_Constructed/existing protected hand dug well]]-WWWW[[#This Row],['#_Non-functional protected hand dug well]]</f>
        <v>2</v>
      </c>
      <c r="CI76" s="909">
        <f>(WWWW[[#This Row],['#_Constructed/Existing tube wells/boreholes/handpumps_WASH_agency]]+WWWW[[#This Row],['#_Non-Cluster partner water tube-wells/boreholes/handpumps]])-WWWW[[#This Row],['#_Non-functional tube wells/boreholes/handpumps]]</f>
        <v>1</v>
      </c>
      <c r="CJ76" s="909">
        <f>WWWW[[#This Row],['#_Constructed/Existingwater storage tank with gravity fed reticulation system]]-WWWW[[#This Row],['#_Non-functional storage tank gravity fed reticulation system]]</f>
        <v>1</v>
      </c>
      <c r="CK76" s="909">
        <f>(WWWW[[#This Row],['#_Water_Liters_supplied_by_Water boating or water trucking]]/90)/15</f>
        <v>0</v>
      </c>
      <c r="CL76" s="909">
        <f>WWWW[[#This Row],['#_Water_Liters_from_Constructed/Existing water distribution system from river or natural spring]]/90/15</f>
        <v>0</v>
      </c>
      <c r="CM76" s="417">
        <f>IF(WWWW[[#This Row],['#_of water points in TLS/CFS]]*500&gt;WWWW[[#This Row],[Total PoP ]],WWWW[[#This Row],[Total PoP ]],WWWW[[#This Row],['#_of water points in TLS/CFS]]*500)</f>
        <v>0</v>
      </c>
      <c r="CN76" s="417">
        <f>IF(WWWW[[#This Row],['#_of water points in THF]]*500&gt;WWWW[[#This Row],[Total PoP ]],WWWW[[#This Row],[Total PoP ]],WWWW[[#This Row],['#_of water points in THF]]*500)</f>
        <v>0</v>
      </c>
      <c r="CO76" s="417"/>
      <c r="CP76"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76"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76" s="908">
        <f>IF(WWWW[[#This Row],[Location Type 1]]="Village",WWWW[[#This Row],[Access to safe drinking water for Village]],WWWW[[#This Row],[Access to safe drinking water for Camp]])</f>
        <v>1</v>
      </c>
      <c r="CS76" s="906">
        <f>WWWW[[#This Row],[%Equitable and continuous access to sufficient quantity of safe drinking water]]*WWWW[[#This Row],[Total PoP ]]</f>
        <v>344</v>
      </c>
      <c r="CT76" s="908">
        <f>IF((WWWW[[#This Row],['#_Constructed/Existing protected/fenced ponds]]*250)/WWWW[[#This Row],[Total PoP ]]&gt;1,1,(WWWW[[#This Row],['#_Constructed/Existing protected/fenced ponds]]*250)/WWWW[[#This Row],[Total PoP ]])</f>
        <v>0</v>
      </c>
      <c r="CU76" s="906">
        <f>WWWW[[#This Row],[% Access to unimproved water points]]*WWWW[[#This Row],[Total PoP ]]</f>
        <v>0</v>
      </c>
      <c r="CV76"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76"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344</v>
      </c>
      <c r="CX76" s="906">
        <f>WWWW[[#This Row],[HRP1]]/500</f>
        <v>0.68799999999999994</v>
      </c>
      <c r="CY76" s="911">
        <f>1-WWWW[[#This Row],[% Equitable and continuous access to sufficient quantity of domestic water]]</f>
        <v>0</v>
      </c>
      <c r="CZ76" s="906">
        <f>WWWW[[#This Row],[%equitable and continuous access to sufficient quantity of safe drinking and domestic water''s GAP]]*WWWW[[#This Row],[Total PoP ]]</f>
        <v>0</v>
      </c>
      <c r="DA76" s="909">
        <f>IF(WWWW[[#This Row],[Total required water points]]-WWWW[[#This Row],['#Water points coverage]]&lt;0,0,WWWW[[#This Row],[Total required water points]]-WWWW[[#This Row],['#Water points coverage]])</f>
        <v>0.31200000000000006</v>
      </c>
      <c r="DB76" s="909">
        <f>ROUND(IF(WWWW[[#This Row],[Total PoP ]]&lt;500,1,WWWW[[#This Row],[Total PoP ]]/500),0)</f>
        <v>1</v>
      </c>
      <c r="DC76" s="909">
        <f>(WWWW[[#This Row],['#_Constructed latrines_by_WASHAgencies]]+WWWW[[#This Row],['#_Non Cluster partner latrines]])-WWWW[[#This Row],['#_Non-functional latrines]]</f>
        <v>98</v>
      </c>
      <c r="DD76" s="615">
        <f>WWWW[[#This Row],[HRP2]]/WWWW[[#This Row],[Total PoP ]]</f>
        <v>1</v>
      </c>
      <c r="DE76"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344</v>
      </c>
      <c r="DF76"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6"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6" s="417">
        <f>IF(WWWW[[#This Row],['# of functional latrines in THF supported by WASH partners during the reporting period2]]="",0,WWWW[[#This Row],['# of functional latrines in THF supported by WASH partners during the reporting period2]]*50)</f>
        <v>0</v>
      </c>
      <c r="DI76" s="909">
        <f>ROUND(IF(WWWW[[#This Row],[Location Type 1]]="camp",WWWW[[#This Row],[Total PoP ]]/20,IF(WWWW[[#This Row],[Location Type 1]]="Temporary Location",WWWW[[#This Row],[Total PoP ]]/50,(WWWW[[#This Row],[Total PoP ]]/6))),0)</f>
        <v>17</v>
      </c>
      <c r="DJ76" s="909">
        <f>IF(WWWW[[#This Row],[Total required Latrines]]-(WWWW[[#This Row],['#_Constructed latrines_by_WASHAgencies]]+WWWW[[#This Row],['#_Non Cluster partner latrines]])&lt;0,0,WWWW[[#This Row],[Total required Latrines]]-(WWWW[[#This Row],['#_Constructed latrines_by_WASHAgencies]]+WWWW[[#This Row],['#_Non Cluster partner latrines]]))</f>
        <v>0</v>
      </c>
      <c r="DK76" s="911">
        <f>1-WWWW[[#This Row],[% people access to functioning Latrine]]</f>
        <v>0</v>
      </c>
      <c r="DL76" s="910">
        <f>IF(OR(WWWW[[#This Row],['#_Non-functional latrines]]="",WWWW[[#This Row],['#_Non-functional latrines]]=0),0,WWWW[[#This Row],['#_Non-functional latrines]]/(WWWW[[#This Row],['#_Constructed latrines_by_WASHAgencies]]+WWWW[[#This Row],['#_Non Cluster partner latrines]]))</f>
        <v>0</v>
      </c>
      <c r="DM76" s="906">
        <f>IF(500*(WWWW[[#This Row],['#_male hygiene promoters]]+WWWW[[#This Row],['#_female hygiene promoters]])&gt;WWWW[[#This Row],[Total PoP ]],WWWW[[#This Row],[Total PoP ]],500*(WWWW[[#This Row],['#_male hygiene promoters]]+WWWW[[#This Row],['#_female hygiene promoters]]))</f>
        <v>344</v>
      </c>
      <c r="DN76"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76"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76" s="909">
        <f>IF(WWWW[[#This Row],['# People with access to soap]]&gt;WWWW[[#This Row],['# People with access to Sanity Pads]],WWWW[[#This Row],['# People with access to soap]],WWWW[[#This Row],['# People with access to Sanity Pads]])</f>
        <v>0</v>
      </c>
      <c r="DQ76" s="909">
        <f>IF(WWWW[[#This Row],['# people reached by regular dedicated hygiene promotion_5]]&gt;WWWW[[#This Row],['# People received regular supply of hygiene items_6]],WWWW[[#This Row],['# people reached by regular dedicated hygiene promotion_5]],WWWW[[#This Row],['# People received regular supply of hygiene items_6]])</f>
        <v>344</v>
      </c>
      <c r="DR76" s="911">
        <f>IF(WWWW[[#This Row],[HRP3]]/WWWW[[#This Row],[Total PoP ]]&gt;1,1,WWWW[[#This Row],[HRP3]]/WWWW[[#This Row],[Total PoP ]])</f>
        <v>1</v>
      </c>
      <c r="DS76" s="910">
        <f>1-WWWW[[#This Row],[Hygiene Coverage%]]</f>
        <v>0</v>
      </c>
      <c r="DT76" s="908">
        <f>WWWW[[#This Row],['# people reached by regular dedicated hygiene promotion_5]]/WWWW[[#This Row],[Total PoP ]]</f>
        <v>1</v>
      </c>
      <c r="DU76"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76"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76" s="909">
        <f>WWWW[[#This Row],['#_Constructed/Existing hand washing stations]]-WWWW[[#This Row],['#_Non-Functional_hand_washing_stations]]</f>
        <v>1</v>
      </c>
      <c r="DX76" s="906">
        <f>IF(WWWW[[#This Row],['# Functional hand washing stations during reporting period]]*20&gt;WWWW[[#This Row],[Total HH]],WWWW[[#This Row],[Total HH]],WWWW[[#This Row],['# Functional hand washing stations during reporting period]]*20)</f>
        <v>20</v>
      </c>
      <c r="DY76" s="906">
        <f>IF(WWWW[[#This Row],[Is sufficient soap available for TLS? (Yes/No)]]="yes",WWWW[[#This Row],['#_Constructed/Existing hand washing stations at TLS/CFS/THF]],0)</f>
        <v>4</v>
      </c>
      <c r="DZ76" s="421">
        <f>IF(WWWW[[#This Row],['# Functional hand washing stations during reporting period]]*100&gt;WWWW[[#This Row],[Total PoP ]],WWWW[[#This Row],[Total PoP ]],WWWW[[#This Row],['# Functional hand washing stations during reporting period]]*100)</f>
        <v>100</v>
      </c>
      <c r="EA76" s="421" t="str">
        <f>IF(OR(WWWW[[#This Row],['#_students at TLS_CFS]]="",WWWW[[#This Row],['#_students at TLS_CFS]]=0),"No","Yes")</f>
        <v>No</v>
      </c>
      <c r="EB7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6" s="566">
        <f>WWWW[[#This Row],[%_of_affected_people_surveyed_who_report_feeling_satistfied_with_the_latrine_design_and_sanitation_service]]*WWWW[[#This Row],[Total PoP ]]</f>
        <v>0</v>
      </c>
      <c r="ED76" s="566">
        <f>WWWW[[#This Row],[%_of_affected_people_surveyed_who_report_feeling_satistfied_with_the_water_point_design_and_water_service]]*WWWW[[#This Row],[Total PoP ]]</f>
        <v>0</v>
      </c>
      <c r="EE76" s="566">
        <f>WWWW[[#This Row],[%_of_complaints_received_that_result_in_timely_corrective_action_and_feedback_to_the_community]]*WWWW[[#This Row],[Total PoP ]]</f>
        <v>0</v>
      </c>
      <c r="EF7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6" s="902">
        <f>VLOOKUP(WWWW[[#This Row],[Site Name]],SiteDB6[[Site Name]:[CCCM Management]],6,FALSE)</f>
        <v>0</v>
      </c>
      <c r="EJ76" s="902">
        <f>VLOOKUP(WWWW[[#This Row],[Site Name]],SiteDB6[[Site Name]:[CCCM Focal Agency]],7,FALSE)</f>
        <v>0</v>
      </c>
      <c r="EK76" s="902" t="str">
        <f>VLOOKUP(WWWW[[#This Row],[Site Name]],SiteDB6[[Site Name]:[Location Type 1]],9,FALSE)</f>
        <v>Camp</v>
      </c>
      <c r="EL76" s="902" t="str">
        <f>VLOOKUP(WWWW[[#This Row],[Site Name]],SiteDB6[[Site Name]:[Type of Accommodation]],10,FALSE)</f>
        <v>Closed Camp</v>
      </c>
      <c r="EM76" s="902" t="str">
        <f>VLOOKUP(WWWW[[#This Row],[Site Name]],SiteDB6[[Site Name]:[Ethnic or GCA/NGCA]],11,FALSE)</f>
        <v>GCA</v>
      </c>
      <c r="EN76" s="902">
        <f>VLOOKUP(WWWW[[#This Row],[Site Name]],SiteDB6[[Site Name]:[Lat]],12,FALSE)</f>
        <v>25.428995</v>
      </c>
      <c r="EO76" s="902">
        <f>VLOOKUP(WWWW[[#This Row],[Site Name]],SiteDB6[[Site Name]:[Long]],13,FALSE)</f>
        <v>97.957487999999998</v>
      </c>
      <c r="EP76" s="902" t="str">
        <f>VLOOKUP(WWWW[[#This Row],[Site Name]],SiteDB6[[Site Name]:[Pcode]],3,FALSE)</f>
        <v>MMR001CMP279</v>
      </c>
      <c r="EQ76" s="907" t="str">
        <f t="shared" si="1"/>
        <v>Covered</v>
      </c>
      <c r="ER76" s="907" t="s">
        <v>3126</v>
      </c>
      <c r="ES76" s="907" t="s">
        <v>3126</v>
      </c>
      <c r="ET76" s="902">
        <f>VLOOKUP(WWWW[[#This Row],[Site Name]],SiteDB6[[Site Name]:[Pop
(Kachin/Shan-CCCM as of May 2023)]],16,FALSE)</f>
        <v>38</v>
      </c>
      <c r="EU76" s="902">
        <f>VLOOKUP(WWWW[[#This Row],[Site Name]],SiteDB6[[Site Name]:[Pop
(Kachin/Shan-CCCM as of May 2023)]],17,FALSE)</f>
        <v>222</v>
      </c>
    </row>
    <row r="77" spans="1:151" hidden="1">
      <c r="A77" s="900" t="s">
        <v>2961</v>
      </c>
      <c r="B77" s="900" t="s">
        <v>192</v>
      </c>
      <c r="C77" s="900" t="s">
        <v>192</v>
      </c>
      <c r="D77" s="901" t="s">
        <v>2884</v>
      </c>
      <c r="E77" s="901" t="s">
        <v>37</v>
      </c>
      <c r="F77" s="901" t="s">
        <v>195</v>
      </c>
      <c r="G77" s="902" t="str">
        <f>VLOOKUP(WWWW[[#This Row],[Site Name]],SiteDB6[[Site Name]:[Location Type]],8,FALSE)</f>
        <v>Camp</v>
      </c>
      <c r="H77" s="901" t="s">
        <v>196</v>
      </c>
      <c r="I77" s="903">
        <v>36</v>
      </c>
      <c r="J77" s="903">
        <v>222</v>
      </c>
      <c r="K77" s="904" t="s">
        <v>3131</v>
      </c>
      <c r="L77" s="905" t="s">
        <v>3132</v>
      </c>
      <c r="M77" s="903"/>
      <c r="N77" s="903"/>
      <c r="O77" s="903"/>
      <c r="P77" s="903"/>
      <c r="Q77" s="906" t="s">
        <v>41</v>
      </c>
      <c r="R77" s="903">
        <v>1</v>
      </c>
      <c r="S77" s="903">
        <v>1</v>
      </c>
      <c r="T77" s="441">
        <v>1</v>
      </c>
      <c r="U77" s="903"/>
      <c r="V77" s="903"/>
      <c r="W77" s="903">
        <v>1</v>
      </c>
      <c r="X77" s="903"/>
      <c r="Y77" s="903"/>
      <c r="Z77" s="903"/>
      <c r="AA77" s="903"/>
      <c r="AB77" s="903"/>
      <c r="AC77" s="903"/>
      <c r="AD77" s="903"/>
      <c r="AE77" s="903"/>
      <c r="AF77" s="903"/>
      <c r="AG77" s="903">
        <v>1</v>
      </c>
      <c r="AH77" s="903"/>
      <c r="AI77" s="903"/>
      <c r="AJ77" s="903"/>
      <c r="AK77" s="903"/>
      <c r="AL77" s="903"/>
      <c r="AM77" s="903"/>
      <c r="AN77" s="903"/>
      <c r="AO77" s="441"/>
      <c r="AP77" s="907"/>
      <c r="AQ77" s="903">
        <v>2</v>
      </c>
      <c r="AR77" s="903"/>
      <c r="AS77" s="908"/>
      <c r="AT77" s="903"/>
      <c r="AU77" s="903"/>
      <c r="AV77" s="903"/>
      <c r="AW77" s="903"/>
      <c r="AX77" s="903"/>
      <c r="AY77" s="902" t="s">
        <v>41</v>
      </c>
      <c r="AZ77" s="907" t="s">
        <v>137</v>
      </c>
      <c r="BA77" s="903"/>
      <c r="BB77" s="903"/>
      <c r="BC77" s="903"/>
      <c r="BD77" s="441"/>
      <c r="BE77" s="441"/>
      <c r="BF77" s="902"/>
      <c r="BG77" s="903"/>
      <c r="BH77" s="903"/>
      <c r="BI77" s="903">
        <v>3</v>
      </c>
      <c r="BJ77" s="903"/>
      <c r="BK77" s="903"/>
      <c r="BL77" s="903"/>
      <c r="BM77" s="903"/>
      <c r="BN77" s="903"/>
      <c r="BO77" s="903"/>
      <c r="BP77" s="902"/>
      <c r="BQ77" s="909"/>
      <c r="BR77" s="908"/>
      <c r="BS77" s="902"/>
      <c r="BT77" s="416"/>
      <c r="BU77" s="416"/>
      <c r="BV77" s="418"/>
      <c r="BW77" s="416"/>
      <c r="BX77" s="441"/>
      <c r="BY77" s="441"/>
      <c r="BZ77" s="441"/>
      <c r="CA77" s="441"/>
      <c r="CB77" s="441"/>
      <c r="CC77" s="693"/>
      <c r="CD77" s="441"/>
      <c r="CE77" s="910" t="str">
        <f>IFERROR(WWWW[[#This Row],['#_Water sources passed]]/WWWW[[#This Row],['#_Water sources tested for fecal coliform ]],"no test")</f>
        <v>no test</v>
      </c>
      <c r="CF77" s="908" t="str">
        <f>IFERROR(WWWW[[#This Row],['#_Household passed]]/WWWW[[#This Row],['#_Household water samples tested for fecal coliform]],"no test")</f>
        <v>no test</v>
      </c>
      <c r="CG77" s="909" t="str">
        <f>IF(AND(WWWW[[#This Row],[% of water sources passed]]="no test",WWWW[[#This Row],[% Household passed]]="no test"),"No Test","Tested")</f>
        <v>No Test</v>
      </c>
      <c r="CH77" s="909">
        <f>WWWW[[#This Row],['#_Constructed/existing protected hand dug well]]-WWWW[[#This Row],['#_Non-functional protected hand dug well]]</f>
        <v>1</v>
      </c>
      <c r="CI77" s="909">
        <f>(WWWW[[#This Row],['#_Constructed/Existing tube wells/boreholes/handpumps_WASH_agency]]+WWWW[[#This Row],['#_Non-Cluster partner water tube-wells/boreholes/handpumps]])-WWWW[[#This Row],['#_Non-functional tube wells/boreholes/handpumps]]</f>
        <v>1</v>
      </c>
      <c r="CJ77" s="909">
        <f>WWWW[[#This Row],['#_Constructed/Existingwater storage tank with gravity fed reticulation system]]-WWWW[[#This Row],['#_Non-functional storage tank gravity fed reticulation system]]</f>
        <v>0</v>
      </c>
      <c r="CK77" s="909">
        <f>(WWWW[[#This Row],['#_Water_Liters_supplied_by_Water boating or water trucking]]/90)/15</f>
        <v>0</v>
      </c>
      <c r="CL77" s="909">
        <f>WWWW[[#This Row],['#_Water_Liters_from_Constructed/Existing water distribution system from river or natural spring]]/90/15</f>
        <v>0</v>
      </c>
      <c r="CM77" s="417">
        <f>IF(WWWW[[#This Row],['#_of water points in TLS/CFS]]*500&gt;WWWW[[#This Row],[Total PoP ]],WWWW[[#This Row],[Total PoP ]],WWWW[[#This Row],['#_of water points in TLS/CFS]]*500)</f>
        <v>0</v>
      </c>
      <c r="CN77" s="417">
        <f>IF(WWWW[[#This Row],['#_of water points in THF]]*500&gt;WWWW[[#This Row],[Total PoP ]],WWWW[[#This Row],[Total PoP ]],WWWW[[#This Row],['#_of water points in THF]]*500)</f>
        <v>0</v>
      </c>
      <c r="CO77" s="417"/>
      <c r="CP77"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77"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77" s="908">
        <f>IF(WWWW[[#This Row],[Location Type 1]]="Village",WWWW[[#This Row],[Access to safe drinking water for Village]],WWWW[[#This Row],[Access to safe drinking water for Camp]])</f>
        <v>1</v>
      </c>
      <c r="CS77" s="906">
        <f>WWWW[[#This Row],[%Equitable and continuous access to sufficient quantity of safe drinking water]]*WWWW[[#This Row],[Total PoP ]]</f>
        <v>222</v>
      </c>
      <c r="CT77" s="908">
        <f>IF((WWWW[[#This Row],['#_Constructed/Existing protected/fenced ponds]]*250)/WWWW[[#This Row],[Total PoP ]]&gt;1,1,(WWWW[[#This Row],['#_Constructed/Existing protected/fenced ponds]]*250)/WWWW[[#This Row],[Total PoP ]])</f>
        <v>0</v>
      </c>
      <c r="CU77" s="906">
        <f>WWWW[[#This Row],[% Access to unimproved water points]]*WWWW[[#This Row],[Total PoP ]]</f>
        <v>0</v>
      </c>
      <c r="CV77"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77"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222</v>
      </c>
      <c r="CX77" s="906">
        <f>WWWW[[#This Row],[HRP1]]/500</f>
        <v>0.44400000000000001</v>
      </c>
      <c r="CY77" s="911">
        <f>1-WWWW[[#This Row],[% Equitable and continuous access to sufficient quantity of domestic water]]</f>
        <v>0</v>
      </c>
      <c r="CZ77" s="906">
        <f>WWWW[[#This Row],[%equitable and continuous access to sufficient quantity of safe drinking and domestic water''s GAP]]*WWWW[[#This Row],[Total PoP ]]</f>
        <v>0</v>
      </c>
      <c r="DA77" s="909">
        <f>IF(WWWW[[#This Row],[Total required water points]]-WWWW[[#This Row],['#Water points coverage]]&lt;0,0,WWWW[[#This Row],[Total required water points]]-WWWW[[#This Row],['#Water points coverage]])</f>
        <v>0.55600000000000005</v>
      </c>
      <c r="DB77" s="909">
        <f>ROUND(IF(WWWW[[#This Row],[Total PoP ]]&lt;500,1,WWWW[[#This Row],[Total PoP ]]/500),0)</f>
        <v>1</v>
      </c>
      <c r="DC77" s="909">
        <f>(WWWW[[#This Row],['#_Constructed latrines_by_WASHAgencies]]+WWWW[[#This Row],['#_Non Cluster partner latrines]])-WWWW[[#This Row],['#_Non-functional latrines]]</f>
        <v>2</v>
      </c>
      <c r="DD77" s="615">
        <f>WWWW[[#This Row],[HRP2]]/WWWW[[#This Row],[Total PoP ]]</f>
        <v>0.18018018018018017</v>
      </c>
      <c r="DE77"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77"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7"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7" s="417">
        <f>IF(WWWW[[#This Row],['# of functional latrines in THF supported by WASH partners during the reporting period2]]="",0,WWWW[[#This Row],['# of functional latrines in THF supported by WASH partners during the reporting period2]]*50)</f>
        <v>0</v>
      </c>
      <c r="DI77" s="909">
        <f>ROUND(IF(WWWW[[#This Row],[Location Type 1]]="camp",WWWW[[#This Row],[Total PoP ]]/20,IF(WWWW[[#This Row],[Location Type 1]]="Temporary Location",WWWW[[#This Row],[Total PoP ]]/50,(WWWW[[#This Row],[Total PoP ]]/6))),0)</f>
        <v>11</v>
      </c>
      <c r="DJ77" s="909">
        <f>IF(WWWW[[#This Row],[Total required Latrines]]-(WWWW[[#This Row],['#_Constructed latrines_by_WASHAgencies]]+WWWW[[#This Row],['#_Non Cluster partner latrines]])&lt;0,0,WWWW[[#This Row],[Total required Latrines]]-(WWWW[[#This Row],['#_Constructed latrines_by_WASHAgencies]]+WWWW[[#This Row],['#_Non Cluster partner latrines]]))</f>
        <v>9</v>
      </c>
      <c r="DK77" s="911">
        <f>1-WWWW[[#This Row],[% people access to functioning Latrine]]</f>
        <v>0.81981981981981988</v>
      </c>
      <c r="DL77" s="910">
        <f>IF(OR(WWWW[[#This Row],['#_Non-functional latrines]]="",WWWW[[#This Row],['#_Non-functional latrines]]=0),0,WWWW[[#This Row],['#_Non-functional latrines]]/(WWWW[[#This Row],['#_Constructed latrines_by_WASHAgencies]]+WWWW[[#This Row],['#_Non Cluster partner latrines]]))</f>
        <v>0</v>
      </c>
      <c r="DM77" s="906">
        <f>IF(500*(WWWW[[#This Row],['#_male hygiene promoters]]+WWWW[[#This Row],['#_female hygiene promoters]])&gt;WWWW[[#This Row],[Total PoP ]],WWWW[[#This Row],[Total PoP ]],500*(WWWW[[#This Row],['#_male hygiene promoters]]+WWWW[[#This Row],['#_female hygiene promoters]]))</f>
        <v>0</v>
      </c>
      <c r="DN77"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77"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77" s="909">
        <f>IF(WWWW[[#This Row],['# People with access to soap]]&gt;WWWW[[#This Row],['# People with access to Sanity Pads]],WWWW[[#This Row],['# People with access to soap]],WWWW[[#This Row],['# People with access to Sanity Pads]])</f>
        <v>0</v>
      </c>
      <c r="DQ77"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77" s="911">
        <f>IF(WWWW[[#This Row],[HRP3]]/WWWW[[#This Row],[Total PoP ]]&gt;1,1,WWWW[[#This Row],[HRP3]]/WWWW[[#This Row],[Total PoP ]])</f>
        <v>0</v>
      </c>
      <c r="DS77" s="910">
        <f>1-WWWW[[#This Row],[Hygiene Coverage%]]</f>
        <v>1</v>
      </c>
      <c r="DT77" s="908">
        <f>WWWW[[#This Row],['# people reached by regular dedicated hygiene promotion_5]]/WWWW[[#This Row],[Total PoP ]]</f>
        <v>0</v>
      </c>
      <c r="DU77"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77"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77" s="909">
        <f>WWWW[[#This Row],['#_Constructed/Existing hand washing stations]]-WWWW[[#This Row],['#_Non-Functional_hand_washing_stations]]</f>
        <v>0</v>
      </c>
      <c r="DX77" s="906">
        <f>IF(WWWW[[#This Row],['# Functional hand washing stations during reporting period]]*20&gt;WWWW[[#This Row],[Total HH]],WWWW[[#This Row],[Total HH]],WWWW[[#This Row],['# Functional hand washing stations during reporting period]]*20)</f>
        <v>0</v>
      </c>
      <c r="DY77" s="906">
        <f>IF(WWWW[[#This Row],[Is sufficient soap available for TLS? (Yes/No)]]="yes",WWWW[[#This Row],['#_Constructed/Existing hand washing stations at TLS/CFS/THF]],0)</f>
        <v>0</v>
      </c>
      <c r="DZ77" s="421">
        <f>IF(WWWW[[#This Row],['# Functional hand washing stations during reporting period]]*100&gt;WWWW[[#This Row],[Total PoP ]],WWWW[[#This Row],[Total PoP ]],WWWW[[#This Row],['# Functional hand washing stations during reporting period]]*100)</f>
        <v>0</v>
      </c>
      <c r="EA77" s="421" t="str">
        <f>IF(OR(WWWW[[#This Row],['#_students at TLS_CFS]]="",WWWW[[#This Row],['#_students at TLS_CFS]]=0),"No","Yes")</f>
        <v>No</v>
      </c>
      <c r="EB7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7" s="566">
        <f>WWWW[[#This Row],[%_of_affected_people_surveyed_who_report_feeling_satistfied_with_the_latrine_design_and_sanitation_service]]*WWWW[[#This Row],[Total PoP ]]</f>
        <v>0</v>
      </c>
      <c r="ED77" s="566">
        <f>WWWW[[#This Row],[%_of_affected_people_surveyed_who_report_feeling_satistfied_with_the_water_point_design_and_water_service]]*WWWW[[#This Row],[Total PoP ]]</f>
        <v>0</v>
      </c>
      <c r="EE77" s="566">
        <f>WWWW[[#This Row],[%_of_complaints_received_that_result_in_timely_corrective_action_and_feedback_to_the_community]]*WWWW[[#This Row],[Total PoP ]]</f>
        <v>0</v>
      </c>
      <c r="EF7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7" s="902" t="str">
        <f>VLOOKUP(WWWW[[#This Row],[Site Name]],SiteDB6[[Site Name]:[CCCM Management]],6,FALSE)</f>
        <v>Yes</v>
      </c>
      <c r="EJ77" s="902" t="str">
        <f>VLOOKUP(WWWW[[#This Row],[Site Name]],SiteDB6[[Site Name]:[CCCM Focal Agency]],7,FALSE)</f>
        <v>KBC-BMO</v>
      </c>
      <c r="EK77" s="902" t="str">
        <f>VLOOKUP(WWWW[[#This Row],[Site Name]],SiteDB6[[Site Name]:[Location Type 1]],9,FALSE)</f>
        <v>Camp</v>
      </c>
      <c r="EL77" s="902" t="str">
        <f>VLOOKUP(WWWW[[#This Row],[Site Name]],SiteDB6[[Site Name]:[Type of Accommodation]],10,FALSE)</f>
        <v>Camp</v>
      </c>
      <c r="EM77" s="902" t="str">
        <f>VLOOKUP(WWWW[[#This Row],[Site Name]],SiteDB6[[Site Name]:[Ethnic or GCA/NGCA]],11,FALSE)</f>
        <v>GCA</v>
      </c>
      <c r="EN77" s="902">
        <f>VLOOKUP(WWWW[[#This Row],[Site Name]],SiteDB6[[Site Name]:[Lat]],12,FALSE)</f>
        <v>24.260466999999998</v>
      </c>
      <c r="EO77" s="902">
        <f>VLOOKUP(WWWW[[#This Row],[Site Name]],SiteDB6[[Site Name]:[Long]],13,FALSE)</f>
        <v>97.252650000000003</v>
      </c>
      <c r="EP77" s="902" t="str">
        <f>VLOOKUP(WWWW[[#This Row],[Site Name]],SiteDB6[[Site Name]:[Pcode]],3,FALSE)</f>
        <v>MMR001CMP194</v>
      </c>
      <c r="EQ77" s="907" t="str">
        <f t="shared" si="1"/>
        <v>Covered</v>
      </c>
      <c r="ER77" s="907" t="s">
        <v>3126</v>
      </c>
      <c r="ES77" s="907" t="s">
        <v>3126</v>
      </c>
      <c r="ET77" s="902">
        <f>VLOOKUP(WWWW[[#This Row],[Site Name]],SiteDB6[[Site Name]:[Pop
(Kachin/Shan-CCCM as of May 2023)]],16,FALSE)</f>
        <v>5</v>
      </c>
      <c r="EU77" s="902">
        <f>VLOOKUP(WWWW[[#This Row],[Site Name]],SiteDB6[[Site Name]:[Pop
(Kachin/Shan-CCCM as of May 2023)]],17,FALSE)</f>
        <v>23</v>
      </c>
    </row>
    <row r="78" spans="1:151" hidden="1">
      <c r="A78" s="900" t="s">
        <v>2961</v>
      </c>
      <c r="B78" s="900" t="s">
        <v>192</v>
      </c>
      <c r="C78" s="900" t="s">
        <v>192</v>
      </c>
      <c r="D78" s="901" t="s">
        <v>2883</v>
      </c>
      <c r="E78" s="901" t="s">
        <v>37</v>
      </c>
      <c r="F78" s="901" t="s">
        <v>195</v>
      </c>
      <c r="G78" s="902" t="str">
        <f>VLOOKUP(WWWW[[#This Row],[Site Name]],SiteDB6[[Site Name]:[Location Type]],8,FALSE)</f>
        <v>Camp</v>
      </c>
      <c r="H78" s="901" t="s">
        <v>198</v>
      </c>
      <c r="I78" s="903">
        <v>38</v>
      </c>
      <c r="J78" s="903">
        <v>226</v>
      </c>
      <c r="K78" s="904"/>
      <c r="L78" s="905"/>
      <c r="M78" s="903"/>
      <c r="N78" s="903"/>
      <c r="O78" s="903"/>
      <c r="P78" s="903"/>
      <c r="Q78" s="906" t="s">
        <v>41</v>
      </c>
      <c r="R78" s="903"/>
      <c r="S78" s="903">
        <v>5</v>
      </c>
      <c r="T78" s="441"/>
      <c r="U78" s="903"/>
      <c r="V78" s="903"/>
      <c r="W78" s="903">
        <v>2</v>
      </c>
      <c r="X78" s="903"/>
      <c r="Y78" s="903"/>
      <c r="Z78" s="903"/>
      <c r="AA78" s="903"/>
      <c r="AB78" s="903"/>
      <c r="AC78" s="903"/>
      <c r="AD78" s="903"/>
      <c r="AE78" s="903"/>
      <c r="AF78" s="903"/>
      <c r="AG78" s="903">
        <v>1</v>
      </c>
      <c r="AH78" s="903"/>
      <c r="AI78" s="903"/>
      <c r="AJ78" s="903"/>
      <c r="AK78" s="903"/>
      <c r="AL78" s="903"/>
      <c r="AM78" s="903"/>
      <c r="AN78" s="903"/>
      <c r="AO78" s="441"/>
      <c r="AP78" s="907"/>
      <c r="AQ78" s="903">
        <v>11</v>
      </c>
      <c r="AR78" s="903"/>
      <c r="AS78" s="908"/>
      <c r="AT78" s="903"/>
      <c r="AU78" s="903"/>
      <c r="AV78" s="903"/>
      <c r="AW78" s="903"/>
      <c r="AX78" s="903"/>
      <c r="AY78" s="902" t="s">
        <v>41</v>
      </c>
      <c r="AZ78" s="907" t="s">
        <v>137</v>
      </c>
      <c r="BA78" s="903"/>
      <c r="BB78" s="903"/>
      <c r="BC78" s="903"/>
      <c r="BD78" s="441"/>
      <c r="BE78" s="441"/>
      <c r="BF78" s="902"/>
      <c r="BG78" s="903"/>
      <c r="BH78" s="903"/>
      <c r="BI78" s="903"/>
      <c r="BJ78" s="903">
        <v>2</v>
      </c>
      <c r="BK78" s="903"/>
      <c r="BL78" s="903"/>
      <c r="BM78" s="903"/>
      <c r="BN78" s="903"/>
      <c r="BO78" s="903"/>
      <c r="BP78" s="902"/>
      <c r="BQ78" s="909"/>
      <c r="BR78" s="908"/>
      <c r="BS78" s="902"/>
      <c r="BT78" s="416"/>
      <c r="BU78" s="416"/>
      <c r="BV78" s="418"/>
      <c r="BW78" s="416"/>
      <c r="BX78" s="441"/>
      <c r="BY78" s="441"/>
      <c r="BZ78" s="441"/>
      <c r="CA78" s="441"/>
      <c r="CB78" s="441"/>
      <c r="CC78" s="693"/>
      <c r="CD78" s="441"/>
      <c r="CE78" s="910" t="str">
        <f>IFERROR(WWWW[[#This Row],['#_Water sources passed]]/WWWW[[#This Row],['#_Water sources tested for fecal coliform ]],"no test")</f>
        <v>no test</v>
      </c>
      <c r="CF78" s="908" t="str">
        <f>IFERROR(WWWW[[#This Row],['#_Household passed]]/WWWW[[#This Row],['#_Household water samples tested for fecal coliform]],"no test")</f>
        <v>no test</v>
      </c>
      <c r="CG78" s="909" t="str">
        <f>IF(AND(WWWW[[#This Row],[% of water sources passed]]="no test",WWWW[[#This Row],[% Household passed]]="no test"),"No Test","Tested")</f>
        <v>No Test</v>
      </c>
      <c r="CH78" s="909">
        <f>WWWW[[#This Row],['#_Constructed/existing protected hand dug well]]-WWWW[[#This Row],['#_Non-functional protected hand dug well]]</f>
        <v>0</v>
      </c>
      <c r="CI78" s="909">
        <f>(WWWW[[#This Row],['#_Constructed/Existing tube wells/boreholes/handpumps_WASH_agency]]+WWWW[[#This Row],['#_Non-Cluster partner water tube-wells/boreholes/handpumps]])-WWWW[[#This Row],['#_Non-functional tube wells/boreholes/handpumps]]</f>
        <v>2</v>
      </c>
      <c r="CJ78" s="909">
        <f>WWWW[[#This Row],['#_Constructed/Existingwater storage tank with gravity fed reticulation system]]-WWWW[[#This Row],['#_Non-functional storage tank gravity fed reticulation system]]</f>
        <v>0</v>
      </c>
      <c r="CK78" s="909">
        <f>(WWWW[[#This Row],['#_Water_Liters_supplied_by_Water boating or water trucking]]/90)/15</f>
        <v>0</v>
      </c>
      <c r="CL78" s="909">
        <f>WWWW[[#This Row],['#_Water_Liters_from_Constructed/Existing water distribution system from river or natural spring]]/90/15</f>
        <v>0</v>
      </c>
      <c r="CM78" s="417">
        <f>IF(WWWW[[#This Row],['#_of water points in TLS/CFS]]*500&gt;WWWW[[#This Row],[Total PoP ]],WWWW[[#This Row],[Total PoP ]],WWWW[[#This Row],['#_of water points in TLS/CFS]]*500)</f>
        <v>0</v>
      </c>
      <c r="CN78" s="417">
        <f>IF(WWWW[[#This Row],['#_of water points in THF]]*500&gt;WWWW[[#This Row],[Total PoP ]],WWWW[[#This Row],[Total PoP ]],WWWW[[#This Row],['#_of water points in THF]]*500)</f>
        <v>0</v>
      </c>
      <c r="CO78" s="417"/>
      <c r="CP78"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78"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78" s="908">
        <f>IF(WWWW[[#This Row],[Location Type 1]]="Village",WWWW[[#This Row],[Access to safe drinking water for Village]],WWWW[[#This Row],[Access to safe drinking water for Camp]])</f>
        <v>1</v>
      </c>
      <c r="CS78" s="906">
        <f>WWWW[[#This Row],[%Equitable and continuous access to sufficient quantity of safe drinking water]]*WWWW[[#This Row],[Total PoP ]]</f>
        <v>226</v>
      </c>
      <c r="CT78" s="908">
        <f>IF((WWWW[[#This Row],['#_Constructed/Existing protected/fenced ponds]]*250)/WWWW[[#This Row],[Total PoP ]]&gt;1,1,(WWWW[[#This Row],['#_Constructed/Existing protected/fenced ponds]]*250)/WWWW[[#This Row],[Total PoP ]])</f>
        <v>0</v>
      </c>
      <c r="CU78" s="906">
        <f>WWWW[[#This Row],[% Access to unimproved water points]]*WWWW[[#This Row],[Total PoP ]]</f>
        <v>0</v>
      </c>
      <c r="CV78"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78"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226</v>
      </c>
      <c r="CX78" s="906">
        <f>WWWW[[#This Row],[HRP1]]/500</f>
        <v>0.45200000000000001</v>
      </c>
      <c r="CY78" s="911">
        <f>1-WWWW[[#This Row],[% Equitable and continuous access to sufficient quantity of domestic water]]</f>
        <v>0</v>
      </c>
      <c r="CZ78" s="906">
        <f>WWWW[[#This Row],[%equitable and continuous access to sufficient quantity of safe drinking and domestic water''s GAP]]*WWWW[[#This Row],[Total PoP ]]</f>
        <v>0</v>
      </c>
      <c r="DA78" s="909">
        <f>IF(WWWW[[#This Row],[Total required water points]]-WWWW[[#This Row],['#Water points coverage]]&lt;0,0,WWWW[[#This Row],[Total required water points]]-WWWW[[#This Row],['#Water points coverage]])</f>
        <v>0.54800000000000004</v>
      </c>
      <c r="DB78" s="909">
        <f>ROUND(IF(WWWW[[#This Row],[Total PoP ]]&lt;500,1,WWWW[[#This Row],[Total PoP ]]/500),0)</f>
        <v>1</v>
      </c>
      <c r="DC78" s="909">
        <f>(WWWW[[#This Row],['#_Constructed latrines_by_WASHAgencies]]+WWWW[[#This Row],['#_Non Cluster partner latrines]])-WWWW[[#This Row],['#_Non-functional latrines]]</f>
        <v>11</v>
      </c>
      <c r="DD78" s="615">
        <f>WWWW[[#This Row],[HRP2]]/WWWW[[#This Row],[Total PoP ]]</f>
        <v>0.97345132743362828</v>
      </c>
      <c r="DE78"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220</v>
      </c>
      <c r="DF78"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8"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8" s="417">
        <f>IF(WWWW[[#This Row],['# of functional latrines in THF supported by WASH partners during the reporting period2]]="",0,WWWW[[#This Row],['# of functional latrines in THF supported by WASH partners during the reporting period2]]*50)</f>
        <v>0</v>
      </c>
      <c r="DI78" s="909">
        <f>ROUND(IF(WWWW[[#This Row],[Location Type 1]]="camp",WWWW[[#This Row],[Total PoP ]]/20,IF(WWWW[[#This Row],[Location Type 1]]="Temporary Location",WWWW[[#This Row],[Total PoP ]]/50,(WWWW[[#This Row],[Total PoP ]]/6))),0)</f>
        <v>11</v>
      </c>
      <c r="DJ78" s="909">
        <f>IF(WWWW[[#This Row],[Total required Latrines]]-(WWWW[[#This Row],['#_Constructed latrines_by_WASHAgencies]]+WWWW[[#This Row],['#_Non Cluster partner latrines]])&lt;0,0,WWWW[[#This Row],[Total required Latrines]]-(WWWW[[#This Row],['#_Constructed latrines_by_WASHAgencies]]+WWWW[[#This Row],['#_Non Cluster partner latrines]]))</f>
        <v>0</v>
      </c>
      <c r="DK78" s="911">
        <f>1-WWWW[[#This Row],[% people access to functioning Latrine]]</f>
        <v>2.6548672566371723E-2</v>
      </c>
      <c r="DL78" s="910">
        <f>IF(OR(WWWW[[#This Row],['#_Non-functional latrines]]="",WWWW[[#This Row],['#_Non-functional latrines]]=0),0,WWWW[[#This Row],['#_Non-functional latrines]]/(WWWW[[#This Row],['#_Constructed latrines_by_WASHAgencies]]+WWWW[[#This Row],['#_Non Cluster partner latrines]]))</f>
        <v>0</v>
      </c>
      <c r="DM78" s="906">
        <f>IF(500*(WWWW[[#This Row],['#_male hygiene promoters]]+WWWW[[#This Row],['#_female hygiene promoters]])&gt;WWWW[[#This Row],[Total PoP ]],WWWW[[#This Row],[Total PoP ]],500*(WWWW[[#This Row],['#_male hygiene promoters]]+WWWW[[#This Row],['#_female hygiene promoters]]))</f>
        <v>0</v>
      </c>
      <c r="DN78"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78"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78" s="909">
        <f>IF(WWWW[[#This Row],['# People with access to soap]]&gt;WWWW[[#This Row],['# People with access to Sanity Pads]],WWWW[[#This Row],['# People with access to soap]],WWWW[[#This Row],['# People with access to Sanity Pads]])</f>
        <v>0</v>
      </c>
      <c r="DQ78"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78" s="911">
        <f>IF(WWWW[[#This Row],[HRP3]]/WWWW[[#This Row],[Total PoP ]]&gt;1,1,WWWW[[#This Row],[HRP3]]/WWWW[[#This Row],[Total PoP ]])</f>
        <v>0</v>
      </c>
      <c r="DS78" s="910">
        <f>1-WWWW[[#This Row],[Hygiene Coverage%]]</f>
        <v>1</v>
      </c>
      <c r="DT78" s="908">
        <f>WWWW[[#This Row],['# people reached by regular dedicated hygiene promotion_5]]/WWWW[[#This Row],[Total PoP ]]</f>
        <v>0</v>
      </c>
      <c r="DU78"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78"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78" s="909">
        <f>WWWW[[#This Row],['#_Constructed/Existing hand washing stations]]-WWWW[[#This Row],['#_Non-Functional_hand_washing_stations]]</f>
        <v>0</v>
      </c>
      <c r="DX78" s="906">
        <f>IF(WWWW[[#This Row],['# Functional hand washing stations during reporting period]]*20&gt;WWWW[[#This Row],[Total HH]],WWWW[[#This Row],[Total HH]],WWWW[[#This Row],['# Functional hand washing stations during reporting period]]*20)</f>
        <v>0</v>
      </c>
      <c r="DY78" s="906">
        <f>IF(WWWW[[#This Row],[Is sufficient soap available for TLS? (Yes/No)]]="yes",WWWW[[#This Row],['#_Constructed/Existing hand washing stations at TLS/CFS/THF]],0)</f>
        <v>0</v>
      </c>
      <c r="DZ78" s="421">
        <f>IF(WWWW[[#This Row],['# Functional hand washing stations during reporting period]]*100&gt;WWWW[[#This Row],[Total PoP ]],WWWW[[#This Row],[Total PoP ]],WWWW[[#This Row],['# Functional hand washing stations during reporting period]]*100)</f>
        <v>0</v>
      </c>
      <c r="EA78" s="421" t="str">
        <f>IF(OR(WWWW[[#This Row],['#_students at TLS_CFS]]="",WWWW[[#This Row],['#_students at TLS_CFS]]=0),"No","Yes")</f>
        <v>No</v>
      </c>
      <c r="EB7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8" s="566">
        <f>WWWW[[#This Row],[%_of_affected_people_surveyed_who_report_feeling_satistfied_with_the_latrine_design_and_sanitation_service]]*WWWW[[#This Row],[Total PoP ]]</f>
        <v>0</v>
      </c>
      <c r="ED78" s="566">
        <f>WWWW[[#This Row],[%_of_affected_people_surveyed_who_report_feeling_satistfied_with_the_water_point_design_and_water_service]]*WWWW[[#This Row],[Total PoP ]]</f>
        <v>0</v>
      </c>
      <c r="EE78" s="566">
        <f>WWWW[[#This Row],[%_of_complaints_received_that_result_in_timely_corrective_action_and_feedback_to_the_community]]*WWWW[[#This Row],[Total PoP ]]</f>
        <v>0</v>
      </c>
      <c r="EF7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8" s="902" t="str">
        <f>VLOOKUP(WWWW[[#This Row],[Site Name]],SiteDB6[[Site Name]:[CCCM Management]],6,FALSE)</f>
        <v>Yes</v>
      </c>
      <c r="EJ78" s="902" t="str">
        <f>VLOOKUP(WWWW[[#This Row],[Site Name]],SiteDB6[[Site Name]:[CCCM Focal Agency]],7,FALSE)</f>
        <v>KBC-BMO</v>
      </c>
      <c r="EK78" s="902" t="str">
        <f>VLOOKUP(WWWW[[#This Row],[Site Name]],SiteDB6[[Site Name]:[Location Type 1]],9,FALSE)</f>
        <v>Camp</v>
      </c>
      <c r="EL78" s="902" t="str">
        <f>VLOOKUP(WWWW[[#This Row],[Site Name]],SiteDB6[[Site Name]:[Type of Accommodation]],10,FALSE)</f>
        <v>Camp</v>
      </c>
      <c r="EM78" s="902" t="str">
        <f>VLOOKUP(WWWW[[#This Row],[Site Name]],SiteDB6[[Site Name]:[Ethnic or GCA/NGCA]],11,FALSE)</f>
        <v>GCA</v>
      </c>
      <c r="EN78" s="902">
        <f>VLOOKUP(WWWW[[#This Row],[Site Name]],SiteDB6[[Site Name]:[Lat]],12,FALSE)</f>
        <v>24.24766</v>
      </c>
      <c r="EO78" s="902">
        <f>VLOOKUP(WWWW[[#This Row],[Site Name]],SiteDB6[[Site Name]:[Long]],13,FALSE)</f>
        <v>97.236919999999998</v>
      </c>
      <c r="EP78" s="902" t="str">
        <f>VLOOKUP(WWWW[[#This Row],[Site Name]],SiteDB6[[Site Name]:[Pcode]],3,FALSE)</f>
        <v>MMR001CMP052</v>
      </c>
      <c r="EQ78" s="907" t="str">
        <f t="shared" si="1"/>
        <v>Covered</v>
      </c>
      <c r="ER78" s="907" t="s">
        <v>3126</v>
      </c>
      <c r="ES78" s="907" t="s">
        <v>3126</v>
      </c>
      <c r="ET78" s="902">
        <f>VLOOKUP(WWWW[[#This Row],[Site Name]],SiteDB6[[Site Name]:[Pop
(Kachin/Shan-CCCM as of May 2023)]],16,FALSE)</f>
        <v>39</v>
      </c>
      <c r="EU78" s="902">
        <f>VLOOKUP(WWWW[[#This Row],[Site Name]],SiteDB6[[Site Name]:[Pop
(Kachin/Shan-CCCM as of May 2023)]],17,FALSE)</f>
        <v>229</v>
      </c>
    </row>
    <row r="79" spans="1:151" hidden="1">
      <c r="A79" s="900" t="s">
        <v>2961</v>
      </c>
      <c r="B79" s="900" t="s">
        <v>192</v>
      </c>
      <c r="C79" s="900" t="s">
        <v>192</v>
      </c>
      <c r="D79" s="901" t="s">
        <v>2884</v>
      </c>
      <c r="E79" s="901" t="s">
        <v>37</v>
      </c>
      <c r="F79" s="901" t="s">
        <v>195</v>
      </c>
      <c r="G79" s="902" t="str">
        <f>VLOOKUP(WWWW[[#This Row],[Site Name]],SiteDB6[[Site Name]:[Location Type]],8,FALSE)</f>
        <v>Camp</v>
      </c>
      <c r="H79" s="901" t="s">
        <v>279</v>
      </c>
      <c r="I79" s="903">
        <v>65</v>
      </c>
      <c r="J79" s="903">
        <v>334</v>
      </c>
      <c r="K79" s="904" t="s">
        <v>3131</v>
      </c>
      <c r="L79" s="905" t="s">
        <v>3132</v>
      </c>
      <c r="M79" s="903"/>
      <c r="N79" s="903"/>
      <c r="O79" s="903"/>
      <c r="P79" s="903"/>
      <c r="Q79" s="906" t="s">
        <v>41</v>
      </c>
      <c r="R79" s="903">
        <v>2</v>
      </c>
      <c r="S79" s="903">
        <v>4</v>
      </c>
      <c r="T79" s="441">
        <v>1</v>
      </c>
      <c r="U79" s="903"/>
      <c r="V79" s="903"/>
      <c r="W79" s="903">
        <v>2</v>
      </c>
      <c r="X79" s="903"/>
      <c r="Y79" s="903"/>
      <c r="Z79" s="903"/>
      <c r="AA79" s="903"/>
      <c r="AB79" s="903"/>
      <c r="AC79" s="903"/>
      <c r="AD79" s="903"/>
      <c r="AE79" s="903"/>
      <c r="AF79" s="903"/>
      <c r="AG79" s="903">
        <v>1</v>
      </c>
      <c r="AH79" s="903"/>
      <c r="AI79" s="903"/>
      <c r="AJ79" s="903"/>
      <c r="AK79" s="903"/>
      <c r="AL79" s="903"/>
      <c r="AM79" s="903"/>
      <c r="AN79" s="903"/>
      <c r="AO79" s="441"/>
      <c r="AP79" s="907"/>
      <c r="AQ79" s="903">
        <v>33</v>
      </c>
      <c r="AR79" s="903"/>
      <c r="AS79" s="908"/>
      <c r="AT79" s="903"/>
      <c r="AU79" s="903"/>
      <c r="AV79" s="903"/>
      <c r="AW79" s="903"/>
      <c r="AX79" s="903"/>
      <c r="AY79" s="902" t="s">
        <v>41</v>
      </c>
      <c r="AZ79" s="907" t="s">
        <v>137</v>
      </c>
      <c r="BA79" s="903"/>
      <c r="BB79" s="903"/>
      <c r="BC79" s="903"/>
      <c r="BD79" s="441"/>
      <c r="BE79" s="441"/>
      <c r="BF79" s="902"/>
      <c r="BG79" s="903">
        <v>19</v>
      </c>
      <c r="BH79" s="903"/>
      <c r="BI79" s="903"/>
      <c r="BJ79" s="903">
        <v>7</v>
      </c>
      <c r="BK79" s="903"/>
      <c r="BL79" s="903"/>
      <c r="BM79" s="903"/>
      <c r="BN79" s="903"/>
      <c r="BO79" s="903"/>
      <c r="BP79" s="902"/>
      <c r="BQ79" s="909"/>
      <c r="BR79" s="908"/>
      <c r="BS79" s="902"/>
      <c r="BT79" s="416"/>
      <c r="BU79" s="416"/>
      <c r="BV79" s="418"/>
      <c r="BW79" s="416"/>
      <c r="BX79" s="441"/>
      <c r="BY79" s="441"/>
      <c r="BZ79" s="441"/>
      <c r="CA79" s="441"/>
      <c r="CB79" s="441"/>
      <c r="CC79" s="693"/>
      <c r="CD79" s="441"/>
      <c r="CE79" s="910" t="str">
        <f>IFERROR(WWWW[[#This Row],['#_Water sources passed]]/WWWW[[#This Row],['#_Water sources tested for fecal coliform ]],"no test")</f>
        <v>no test</v>
      </c>
      <c r="CF79" s="908" t="str">
        <f>IFERROR(WWWW[[#This Row],['#_Household passed]]/WWWW[[#This Row],['#_Household water samples tested for fecal coliform]],"no test")</f>
        <v>no test</v>
      </c>
      <c r="CG79" s="909" t="str">
        <f>IF(AND(WWWW[[#This Row],[% of water sources passed]]="no test",WWWW[[#This Row],[% Household passed]]="no test"),"No Test","Tested")</f>
        <v>No Test</v>
      </c>
      <c r="CH79" s="909">
        <f>WWWW[[#This Row],['#_Constructed/existing protected hand dug well]]-WWWW[[#This Row],['#_Non-functional protected hand dug well]]</f>
        <v>1</v>
      </c>
      <c r="CI79" s="909">
        <f>(WWWW[[#This Row],['#_Constructed/Existing tube wells/boreholes/handpumps_WASH_agency]]+WWWW[[#This Row],['#_Non-Cluster partner water tube-wells/boreholes/handpumps]])-WWWW[[#This Row],['#_Non-functional tube wells/boreholes/handpumps]]</f>
        <v>2</v>
      </c>
      <c r="CJ79" s="909">
        <f>WWWW[[#This Row],['#_Constructed/Existingwater storage tank with gravity fed reticulation system]]-WWWW[[#This Row],['#_Non-functional storage tank gravity fed reticulation system]]</f>
        <v>0</v>
      </c>
      <c r="CK79" s="909">
        <f>(WWWW[[#This Row],['#_Water_Liters_supplied_by_Water boating or water trucking]]/90)/15</f>
        <v>0</v>
      </c>
      <c r="CL79" s="909">
        <f>WWWW[[#This Row],['#_Water_Liters_from_Constructed/Existing water distribution system from river or natural spring]]/90/15</f>
        <v>0</v>
      </c>
      <c r="CM79" s="417">
        <f>IF(WWWW[[#This Row],['#_of water points in TLS/CFS]]*500&gt;WWWW[[#This Row],[Total PoP ]],WWWW[[#This Row],[Total PoP ]],WWWW[[#This Row],['#_of water points in TLS/CFS]]*500)</f>
        <v>0</v>
      </c>
      <c r="CN79" s="417">
        <f>IF(WWWW[[#This Row],['#_of water points in THF]]*500&gt;WWWW[[#This Row],[Total PoP ]],WWWW[[#This Row],[Total PoP ]],WWWW[[#This Row],['#_of water points in THF]]*500)</f>
        <v>0</v>
      </c>
      <c r="CO79" s="417"/>
      <c r="CP79"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79"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79" s="908">
        <f>IF(WWWW[[#This Row],[Location Type 1]]="Village",WWWW[[#This Row],[Access to safe drinking water for Village]],WWWW[[#This Row],[Access to safe drinking water for Camp]])</f>
        <v>1</v>
      </c>
      <c r="CS79" s="906">
        <f>WWWW[[#This Row],[%Equitable and continuous access to sufficient quantity of safe drinking water]]*WWWW[[#This Row],[Total PoP ]]</f>
        <v>334</v>
      </c>
      <c r="CT79" s="908">
        <f>IF((WWWW[[#This Row],['#_Constructed/Existing protected/fenced ponds]]*250)/WWWW[[#This Row],[Total PoP ]]&gt;1,1,(WWWW[[#This Row],['#_Constructed/Existing protected/fenced ponds]]*250)/WWWW[[#This Row],[Total PoP ]])</f>
        <v>0</v>
      </c>
      <c r="CU79" s="906">
        <f>WWWW[[#This Row],[% Access to unimproved water points]]*WWWW[[#This Row],[Total PoP ]]</f>
        <v>0</v>
      </c>
      <c r="CV79"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79"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334</v>
      </c>
      <c r="CX79" s="906">
        <f>WWWW[[#This Row],[HRP1]]/500</f>
        <v>0.66800000000000004</v>
      </c>
      <c r="CY79" s="911">
        <f>1-WWWW[[#This Row],[% Equitable and continuous access to sufficient quantity of domestic water]]</f>
        <v>0</v>
      </c>
      <c r="CZ79" s="906">
        <f>WWWW[[#This Row],[%equitable and continuous access to sufficient quantity of safe drinking and domestic water''s GAP]]*WWWW[[#This Row],[Total PoP ]]</f>
        <v>0</v>
      </c>
      <c r="DA79" s="909">
        <f>IF(WWWW[[#This Row],[Total required water points]]-WWWW[[#This Row],['#Water points coverage]]&lt;0,0,WWWW[[#This Row],[Total required water points]]-WWWW[[#This Row],['#Water points coverage]])</f>
        <v>0.33199999999999996</v>
      </c>
      <c r="DB79" s="909">
        <f>ROUND(IF(WWWW[[#This Row],[Total PoP ]]&lt;500,1,WWWW[[#This Row],[Total PoP ]]/500),0)</f>
        <v>1</v>
      </c>
      <c r="DC79" s="909">
        <f>(WWWW[[#This Row],['#_Constructed latrines_by_WASHAgencies]]+WWWW[[#This Row],['#_Non Cluster partner latrines]])-WWWW[[#This Row],['#_Non-functional latrines]]</f>
        <v>33</v>
      </c>
      <c r="DD79" s="615">
        <f>WWWW[[#This Row],[HRP2]]/WWWW[[#This Row],[Total PoP ]]</f>
        <v>1</v>
      </c>
      <c r="DE79"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334</v>
      </c>
      <c r="DF79"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79"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79" s="417">
        <f>IF(WWWW[[#This Row],['# of functional latrines in THF supported by WASH partners during the reporting period2]]="",0,WWWW[[#This Row],['# of functional latrines in THF supported by WASH partners during the reporting period2]]*50)</f>
        <v>0</v>
      </c>
      <c r="DI79" s="909">
        <f>ROUND(IF(WWWW[[#This Row],[Location Type 1]]="camp",WWWW[[#This Row],[Total PoP ]]/20,IF(WWWW[[#This Row],[Location Type 1]]="Temporary Location",WWWW[[#This Row],[Total PoP ]]/50,(WWWW[[#This Row],[Total PoP ]]/6))),0)</f>
        <v>17</v>
      </c>
      <c r="DJ79" s="909">
        <f>IF(WWWW[[#This Row],[Total required Latrines]]-(WWWW[[#This Row],['#_Constructed latrines_by_WASHAgencies]]+WWWW[[#This Row],['#_Non Cluster partner latrines]])&lt;0,0,WWWW[[#This Row],[Total required Latrines]]-(WWWW[[#This Row],['#_Constructed latrines_by_WASHAgencies]]+WWWW[[#This Row],['#_Non Cluster partner latrines]]))</f>
        <v>0</v>
      </c>
      <c r="DK79" s="911">
        <f>1-WWWW[[#This Row],[% people access to functioning Latrine]]</f>
        <v>0</v>
      </c>
      <c r="DL79" s="910">
        <f>IF(OR(WWWW[[#This Row],['#_Non-functional latrines]]="",WWWW[[#This Row],['#_Non-functional latrines]]=0),0,WWWW[[#This Row],['#_Non-functional latrines]]/(WWWW[[#This Row],['#_Constructed latrines_by_WASHAgencies]]+WWWW[[#This Row],['#_Non Cluster partner latrines]]))</f>
        <v>0</v>
      </c>
      <c r="DM79" s="906">
        <f>IF(500*(WWWW[[#This Row],['#_male hygiene promoters]]+WWWW[[#This Row],['#_female hygiene promoters]])&gt;WWWW[[#This Row],[Total PoP ]],WWWW[[#This Row],[Total PoP ]],500*(WWWW[[#This Row],['#_male hygiene promoters]]+WWWW[[#This Row],['#_female hygiene promoters]]))</f>
        <v>0</v>
      </c>
      <c r="DN79"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79"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79" s="909">
        <f>IF(WWWW[[#This Row],['# People with access to soap]]&gt;WWWW[[#This Row],['# People with access to Sanity Pads]],WWWW[[#This Row],['# People with access to soap]],WWWW[[#This Row],['# People with access to Sanity Pads]])</f>
        <v>0</v>
      </c>
      <c r="DQ79"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79" s="911">
        <f>IF(WWWW[[#This Row],[HRP3]]/WWWW[[#This Row],[Total PoP ]]&gt;1,1,WWWW[[#This Row],[HRP3]]/WWWW[[#This Row],[Total PoP ]])</f>
        <v>0</v>
      </c>
      <c r="DS79" s="910">
        <f>1-WWWW[[#This Row],[Hygiene Coverage%]]</f>
        <v>1</v>
      </c>
      <c r="DT79" s="908">
        <f>WWWW[[#This Row],['# people reached by regular dedicated hygiene promotion_5]]/WWWW[[#This Row],[Total PoP ]]</f>
        <v>0</v>
      </c>
      <c r="DU79"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79"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79" s="909">
        <f>WWWW[[#This Row],['#_Constructed/Existing hand washing stations]]-WWWW[[#This Row],['#_Non-Functional_hand_washing_stations]]</f>
        <v>19</v>
      </c>
      <c r="DX79" s="906">
        <f>IF(WWWW[[#This Row],['# Functional hand washing stations during reporting period]]*20&gt;WWWW[[#This Row],[Total HH]],WWWW[[#This Row],[Total HH]],WWWW[[#This Row],['# Functional hand washing stations during reporting period]]*20)</f>
        <v>65</v>
      </c>
      <c r="DY79" s="906">
        <f>IF(WWWW[[#This Row],[Is sufficient soap available for TLS? (Yes/No)]]="yes",WWWW[[#This Row],['#_Constructed/Existing hand washing stations at TLS/CFS/THF]],0)</f>
        <v>0</v>
      </c>
      <c r="DZ79" s="421">
        <f>IF(WWWW[[#This Row],['# Functional hand washing stations during reporting period]]*100&gt;WWWW[[#This Row],[Total PoP ]],WWWW[[#This Row],[Total PoP ]],WWWW[[#This Row],['# Functional hand washing stations during reporting period]]*100)</f>
        <v>334</v>
      </c>
      <c r="EA79" s="421" t="str">
        <f>IF(OR(WWWW[[#This Row],['#_students at TLS_CFS]]="",WWWW[[#This Row],['#_students at TLS_CFS]]=0),"No","Yes")</f>
        <v>No</v>
      </c>
      <c r="EB7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79" s="566">
        <f>WWWW[[#This Row],[%_of_affected_people_surveyed_who_report_feeling_satistfied_with_the_latrine_design_and_sanitation_service]]*WWWW[[#This Row],[Total PoP ]]</f>
        <v>0</v>
      </c>
      <c r="ED79" s="566">
        <f>WWWW[[#This Row],[%_of_affected_people_surveyed_who_report_feeling_satistfied_with_the_water_point_design_and_water_service]]*WWWW[[#This Row],[Total PoP ]]</f>
        <v>0</v>
      </c>
      <c r="EE79" s="566">
        <f>WWWW[[#This Row],[%_of_complaints_received_that_result_in_timely_corrective_action_and_feedback_to_the_community]]*WWWW[[#This Row],[Total PoP ]]</f>
        <v>0</v>
      </c>
      <c r="EF7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7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7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79" s="902" t="str">
        <f>VLOOKUP(WWWW[[#This Row],[Site Name]],SiteDB6[[Site Name]:[CCCM Management]],6,FALSE)</f>
        <v>Yes</v>
      </c>
      <c r="EJ79" s="902" t="str">
        <f>VLOOKUP(WWWW[[#This Row],[Site Name]],SiteDB6[[Site Name]:[CCCM Focal Agency]],7,FALSE)</f>
        <v>KBC-BMO</v>
      </c>
      <c r="EK79" s="902" t="str">
        <f>VLOOKUP(WWWW[[#This Row],[Site Name]],SiteDB6[[Site Name]:[Location Type 1]],9,FALSE)</f>
        <v>Camp</v>
      </c>
      <c r="EL79" s="902" t="str">
        <f>VLOOKUP(WWWW[[#This Row],[Site Name]],SiteDB6[[Site Name]:[Type of Accommodation]],10,FALSE)</f>
        <v>Camp</v>
      </c>
      <c r="EM79" s="902" t="str">
        <f>VLOOKUP(WWWW[[#This Row],[Site Name]],SiteDB6[[Site Name]:[Ethnic or GCA/NGCA]],11,FALSE)</f>
        <v>GCA</v>
      </c>
      <c r="EN79" s="902">
        <f>VLOOKUP(WWWW[[#This Row],[Site Name]],SiteDB6[[Site Name]:[Lat]],12,FALSE)</f>
        <v>24.222349999999999</v>
      </c>
      <c r="EO79" s="902">
        <f>VLOOKUP(WWWW[[#This Row],[Site Name]],SiteDB6[[Site Name]:[Long]],13,FALSE)</f>
        <v>97.252650000000003</v>
      </c>
      <c r="EP79" s="902" t="str">
        <f>VLOOKUP(WWWW[[#This Row],[Site Name]],SiteDB6[[Site Name]:[Pcode]],3,FALSE)</f>
        <v>MMR001CMP193</v>
      </c>
      <c r="EQ79" s="907" t="str">
        <f t="shared" si="1"/>
        <v>Covered</v>
      </c>
      <c r="ER79" s="907" t="s">
        <v>3126</v>
      </c>
      <c r="ES79" s="907" t="s">
        <v>3126</v>
      </c>
      <c r="ET79" s="902">
        <f>VLOOKUP(WWWW[[#This Row],[Site Name]],SiteDB6[[Site Name]:[Pop
(Kachin/Shan-CCCM as of May 2023)]],16,FALSE)</f>
        <v>58</v>
      </c>
      <c r="EU79" s="902">
        <f>VLOOKUP(WWWW[[#This Row],[Site Name]],SiteDB6[[Site Name]:[Pop
(Kachin/Shan-CCCM as of May 2023)]],17,FALSE)</f>
        <v>314</v>
      </c>
    </row>
    <row r="80" spans="1:151" hidden="1">
      <c r="A80" s="900" t="s">
        <v>2961</v>
      </c>
      <c r="B80" s="900" t="s">
        <v>3141</v>
      </c>
      <c r="C80" s="900" t="s">
        <v>3141</v>
      </c>
      <c r="D80" s="938" t="s">
        <v>2633</v>
      </c>
      <c r="E80" s="901" t="s">
        <v>37</v>
      </c>
      <c r="F80" s="901" t="s">
        <v>38</v>
      </c>
      <c r="G80" s="902" t="str">
        <f>VLOOKUP(WWWW[[#This Row],[Site Name]],SiteDB6[[Site Name]:[Location Type]],8,FALSE)</f>
        <v>Camp</v>
      </c>
      <c r="H80" s="901" t="s">
        <v>298</v>
      </c>
      <c r="I80" s="903">
        <v>155</v>
      </c>
      <c r="J80" s="903">
        <v>655</v>
      </c>
      <c r="K80" s="904" t="s">
        <v>2946</v>
      </c>
      <c r="L80" s="905" t="s">
        <v>2956</v>
      </c>
      <c r="M80" s="903"/>
      <c r="N80" s="903">
        <v>2</v>
      </c>
      <c r="O80" s="903"/>
      <c r="P80" s="903"/>
      <c r="Q80" s="906" t="s">
        <v>41</v>
      </c>
      <c r="R80" s="903">
        <v>4</v>
      </c>
      <c r="S80" s="903">
        <v>3</v>
      </c>
      <c r="T80" s="441">
        <v>2</v>
      </c>
      <c r="U80" s="903"/>
      <c r="V80" s="903"/>
      <c r="W80" s="903"/>
      <c r="X80" s="903">
        <v>1</v>
      </c>
      <c r="Y80" s="903"/>
      <c r="Z80" s="903"/>
      <c r="AA80" s="903">
        <v>1</v>
      </c>
      <c r="AB80" s="903"/>
      <c r="AC80" s="903"/>
      <c r="AD80" s="903"/>
      <c r="AE80" s="903"/>
      <c r="AF80" s="903"/>
      <c r="AG80" s="903"/>
      <c r="AH80" s="903"/>
      <c r="AI80" s="903"/>
      <c r="AJ80" s="903"/>
      <c r="AK80" s="903"/>
      <c r="AL80" s="903"/>
      <c r="AM80" s="903"/>
      <c r="AN80" s="903"/>
      <c r="AO80" s="441"/>
      <c r="AP80" s="907"/>
      <c r="AQ80" s="903">
        <v>18</v>
      </c>
      <c r="AR80" s="903"/>
      <c r="AS80" s="908"/>
      <c r="AT80" s="903"/>
      <c r="AU80" s="903"/>
      <c r="AV80" s="903"/>
      <c r="AW80" s="903"/>
      <c r="AX80" s="903"/>
      <c r="AY80" s="902" t="s">
        <v>140</v>
      </c>
      <c r="AZ80" s="907" t="s">
        <v>140</v>
      </c>
      <c r="BA80" s="903"/>
      <c r="BB80" s="903"/>
      <c r="BC80" s="903"/>
      <c r="BD80" s="441"/>
      <c r="BE80" s="441"/>
      <c r="BF80" s="902"/>
      <c r="BG80" s="903">
        <v>3</v>
      </c>
      <c r="BH80" s="903"/>
      <c r="BI80" s="903"/>
      <c r="BJ80" s="903">
        <v>2</v>
      </c>
      <c r="BK80" s="903"/>
      <c r="BL80" s="903"/>
      <c r="BM80" s="903">
        <v>1</v>
      </c>
      <c r="BN80" s="903"/>
      <c r="BO80" s="903"/>
      <c r="BP80" s="902" t="s">
        <v>41</v>
      </c>
      <c r="BQ80" s="909"/>
      <c r="BR80" s="908"/>
      <c r="BS80" s="902"/>
      <c r="BT80" s="416"/>
      <c r="BU80" s="416"/>
      <c r="BV80" s="418"/>
      <c r="BW80" s="416"/>
      <c r="BX80" s="441"/>
      <c r="BY80" s="441"/>
      <c r="BZ80" s="441"/>
      <c r="CA80" s="441"/>
      <c r="CB80" s="441"/>
      <c r="CC80" s="693"/>
      <c r="CD80" s="441"/>
      <c r="CE80" s="910" t="str">
        <f>IFERROR(WWWW[[#This Row],['#_Water sources passed]]/WWWW[[#This Row],['#_Water sources tested for fecal coliform ]],"no test")</f>
        <v>no test</v>
      </c>
      <c r="CF80" s="908" t="str">
        <f>IFERROR(WWWW[[#This Row],['#_Household passed]]/WWWW[[#This Row],['#_Household water samples tested for fecal coliform]],"no test")</f>
        <v>no test</v>
      </c>
      <c r="CG80" s="909" t="str">
        <f>IF(AND(WWWW[[#This Row],[% of water sources passed]]="no test",WWWW[[#This Row],[% Household passed]]="no test"),"No Test","Tested")</f>
        <v>No Test</v>
      </c>
      <c r="CH80" s="909">
        <f>WWWW[[#This Row],['#_Constructed/existing protected hand dug well]]-WWWW[[#This Row],['#_Non-functional protected hand dug well]]</f>
        <v>2</v>
      </c>
      <c r="CI80" s="909">
        <f>(WWWW[[#This Row],['#_Constructed/Existing tube wells/boreholes/handpumps_WASH_agency]]+WWWW[[#This Row],['#_Non-Cluster partner water tube-wells/boreholes/handpumps]])-WWWW[[#This Row],['#_Non-functional tube wells/boreholes/handpumps]]</f>
        <v>1</v>
      </c>
      <c r="CJ80" s="909">
        <f>WWWW[[#This Row],['#_Constructed/Existingwater storage tank with gravity fed reticulation system]]-WWWW[[#This Row],['#_Non-functional storage tank gravity fed reticulation system]]</f>
        <v>1</v>
      </c>
      <c r="CK80" s="909">
        <f>(WWWW[[#This Row],['#_Water_Liters_supplied_by_Water boating or water trucking]]/90)/15</f>
        <v>0</v>
      </c>
      <c r="CL80" s="909">
        <f>WWWW[[#This Row],['#_Water_Liters_from_Constructed/Existing water distribution system from river or natural spring]]/90/15</f>
        <v>0</v>
      </c>
      <c r="CM80" s="417">
        <f>IF(WWWW[[#This Row],['#_of water points in TLS/CFS]]*500&gt;WWWW[[#This Row],[Total PoP ]],WWWW[[#This Row],[Total PoP ]],WWWW[[#This Row],['#_of water points in TLS/CFS]]*500)</f>
        <v>0</v>
      </c>
      <c r="CN80" s="417">
        <f>IF(WWWW[[#This Row],['#_of water points in THF]]*500&gt;WWWW[[#This Row],[Total PoP ]],WWWW[[#This Row],[Total PoP ]],WWWW[[#This Row],['#_of water points in THF]]*500)</f>
        <v>0</v>
      </c>
      <c r="CO80" s="417"/>
      <c r="CP80"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80"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80" s="908">
        <f>IF(WWWW[[#This Row],[Location Type 1]]="Village",WWWW[[#This Row],[Access to safe drinking water for Village]],WWWW[[#This Row],[Access to safe drinking water for Camp]])</f>
        <v>1</v>
      </c>
      <c r="CS80" s="906">
        <f>WWWW[[#This Row],[%Equitable and continuous access to sufficient quantity of safe drinking water]]*WWWW[[#This Row],[Total PoP ]]</f>
        <v>655</v>
      </c>
      <c r="CT80" s="908">
        <f>IF((WWWW[[#This Row],['#_Constructed/Existing protected/fenced ponds]]*250)/WWWW[[#This Row],[Total PoP ]]&gt;1,1,(WWWW[[#This Row],['#_Constructed/Existing protected/fenced ponds]]*250)/WWWW[[#This Row],[Total PoP ]])</f>
        <v>0</v>
      </c>
      <c r="CU80" s="906">
        <f>WWWW[[#This Row],[% Access to unimproved water points]]*WWWW[[#This Row],[Total PoP ]]</f>
        <v>0</v>
      </c>
      <c r="CV80"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80"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655</v>
      </c>
      <c r="CX80" s="906">
        <f>WWWW[[#This Row],[HRP1]]/500</f>
        <v>1.31</v>
      </c>
      <c r="CY80" s="911">
        <f>1-WWWW[[#This Row],[% Equitable and continuous access to sufficient quantity of domestic water]]</f>
        <v>0</v>
      </c>
      <c r="CZ80" s="906">
        <f>WWWW[[#This Row],[%equitable and continuous access to sufficient quantity of safe drinking and domestic water''s GAP]]*WWWW[[#This Row],[Total PoP ]]</f>
        <v>0</v>
      </c>
      <c r="DA80" s="909">
        <f>IF(WWWW[[#This Row],[Total required water points]]-WWWW[[#This Row],['#Water points coverage]]&lt;0,0,WWWW[[#This Row],[Total required water points]]-WWWW[[#This Row],['#Water points coverage]])</f>
        <v>0</v>
      </c>
      <c r="DB80" s="909">
        <f>ROUND(IF(WWWW[[#This Row],[Total PoP ]]&lt;500,1,WWWW[[#This Row],[Total PoP ]]/500),0)</f>
        <v>1</v>
      </c>
      <c r="DC80" s="909">
        <f>(WWWW[[#This Row],['#_Constructed latrines_by_WASHAgencies]]+WWWW[[#This Row],['#_Non Cluster partner latrines]])-WWWW[[#This Row],['#_Non-functional latrines]]</f>
        <v>18</v>
      </c>
      <c r="DD80" s="615">
        <f>WWWW[[#This Row],[HRP2]]/WWWW[[#This Row],[Total PoP ]]</f>
        <v>0.54961832061068705</v>
      </c>
      <c r="DE80"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360</v>
      </c>
      <c r="DF80"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80"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0" s="417">
        <f>IF(WWWW[[#This Row],['# of functional latrines in THF supported by WASH partners during the reporting period2]]="",0,WWWW[[#This Row],['# of functional latrines in THF supported by WASH partners during the reporting period2]]*50)</f>
        <v>0</v>
      </c>
      <c r="DI80" s="909">
        <f>ROUND(IF(WWWW[[#This Row],[Location Type 1]]="camp",WWWW[[#This Row],[Total PoP ]]/20,IF(WWWW[[#This Row],[Location Type 1]]="Temporary Location",WWWW[[#This Row],[Total PoP ]]/50,(WWWW[[#This Row],[Total PoP ]]/6))),0)</f>
        <v>33</v>
      </c>
      <c r="DJ80" s="909">
        <f>IF(WWWW[[#This Row],[Total required Latrines]]-(WWWW[[#This Row],['#_Constructed latrines_by_WASHAgencies]]+WWWW[[#This Row],['#_Non Cluster partner latrines]])&lt;0,0,WWWW[[#This Row],[Total required Latrines]]-(WWWW[[#This Row],['#_Constructed latrines_by_WASHAgencies]]+WWWW[[#This Row],['#_Non Cluster partner latrines]]))</f>
        <v>15</v>
      </c>
      <c r="DK80" s="911">
        <f>1-WWWW[[#This Row],[% people access to functioning Latrine]]</f>
        <v>0.45038167938931295</v>
      </c>
      <c r="DL80" s="910">
        <f>IF(OR(WWWW[[#This Row],['#_Non-functional latrines]]="",WWWW[[#This Row],['#_Non-functional latrines]]=0),0,WWWW[[#This Row],['#_Non-functional latrines]]/(WWWW[[#This Row],['#_Constructed latrines_by_WASHAgencies]]+WWWW[[#This Row],['#_Non Cluster partner latrines]]))</f>
        <v>0</v>
      </c>
      <c r="DM80" s="906">
        <f>IF(500*(WWWW[[#This Row],['#_male hygiene promoters]]+WWWW[[#This Row],['#_female hygiene promoters]])&gt;WWWW[[#This Row],[Total PoP ]],WWWW[[#This Row],[Total PoP ]],500*(WWWW[[#This Row],['#_male hygiene promoters]]+WWWW[[#This Row],['#_female hygiene promoters]]))</f>
        <v>500</v>
      </c>
      <c r="DN80"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80"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80" s="909">
        <f>IF(WWWW[[#This Row],['# People with access to soap]]&gt;WWWW[[#This Row],['# People with access to Sanity Pads]],WWWW[[#This Row],['# People with access to soap]],WWWW[[#This Row],['# People with access to Sanity Pads]])</f>
        <v>0</v>
      </c>
      <c r="DQ80" s="909">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80" s="911">
        <f>IF(WWWW[[#This Row],[HRP3]]/WWWW[[#This Row],[Total PoP ]]&gt;1,1,WWWW[[#This Row],[HRP3]]/WWWW[[#This Row],[Total PoP ]])</f>
        <v>0.76335877862595425</v>
      </c>
      <c r="DS80" s="910">
        <f>1-WWWW[[#This Row],[Hygiene Coverage%]]</f>
        <v>0.23664122137404575</v>
      </c>
      <c r="DT80" s="908">
        <f>WWWW[[#This Row],['# people reached by regular dedicated hygiene promotion_5]]/WWWW[[#This Row],[Total PoP ]]</f>
        <v>0.76335877862595425</v>
      </c>
      <c r="DU80"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80"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80" s="909">
        <f>WWWW[[#This Row],['#_Constructed/Existing hand washing stations]]-WWWW[[#This Row],['#_Non-Functional_hand_washing_stations]]</f>
        <v>3</v>
      </c>
      <c r="DX80" s="906">
        <f>IF(WWWW[[#This Row],['# Functional hand washing stations during reporting period]]*20&gt;WWWW[[#This Row],[Total HH]],WWWW[[#This Row],[Total HH]],WWWW[[#This Row],['# Functional hand washing stations during reporting period]]*20)</f>
        <v>60</v>
      </c>
      <c r="DY80" s="906">
        <f>IF(WWWW[[#This Row],[Is sufficient soap available for TLS? (Yes/No)]]="yes",WWWW[[#This Row],['#_Constructed/Existing hand washing stations at TLS/CFS/THF]],0)</f>
        <v>0</v>
      </c>
      <c r="DZ80" s="421">
        <f>IF(WWWW[[#This Row],['# Functional hand washing stations during reporting period]]*100&gt;WWWW[[#This Row],[Total PoP ]],WWWW[[#This Row],[Total PoP ]],WWWW[[#This Row],['# Functional hand washing stations during reporting period]]*100)</f>
        <v>300</v>
      </c>
      <c r="EA80" s="421" t="str">
        <f>IF(OR(WWWW[[#This Row],['#_students at TLS_CFS]]="",WWWW[[#This Row],['#_students at TLS_CFS]]=0),"No","Yes")</f>
        <v>No</v>
      </c>
      <c r="EB8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80" s="566">
        <f>WWWW[[#This Row],[%_of_affected_people_surveyed_who_report_feeling_satistfied_with_the_latrine_design_and_sanitation_service]]*WWWW[[#This Row],[Total PoP ]]</f>
        <v>0</v>
      </c>
      <c r="ED80" s="566">
        <f>WWWW[[#This Row],[%_of_affected_people_surveyed_who_report_feeling_satistfied_with_the_water_point_design_and_water_service]]*WWWW[[#This Row],[Total PoP ]]</f>
        <v>0</v>
      </c>
      <c r="EE80" s="566">
        <f>WWWW[[#This Row],[%_of_complaints_received_that_result_in_timely_corrective_action_and_feedback_to_the_community]]*WWWW[[#This Row],[Total PoP ]]</f>
        <v>0</v>
      </c>
      <c r="EF8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8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8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80" s="902" t="str">
        <f>VLOOKUP(WWWW[[#This Row],[Site Name]],SiteDB6[[Site Name]:[CCCM Management]],6,FALSE)</f>
        <v>Yes</v>
      </c>
      <c r="EJ80" s="902" t="str">
        <f>VLOOKUP(WWWW[[#This Row],[Site Name]],SiteDB6[[Site Name]:[CCCM Focal Agency]],7,FALSE)</f>
        <v>KBC-NSS</v>
      </c>
      <c r="EK80" s="902" t="str">
        <f>VLOOKUP(WWWW[[#This Row],[Site Name]],SiteDB6[[Site Name]:[Location Type 1]],9,FALSE)</f>
        <v>Camp</v>
      </c>
      <c r="EL80" s="902" t="str">
        <f>VLOOKUP(WWWW[[#This Row],[Site Name]],SiteDB6[[Site Name]:[Type of Accommodation]],10,FALSE)</f>
        <v>Camp</v>
      </c>
      <c r="EM80" s="902" t="str">
        <f>VLOOKUP(WWWW[[#This Row],[Site Name]],SiteDB6[[Site Name]:[Ethnic or GCA/NGCA]],11,FALSE)</f>
        <v>GCA</v>
      </c>
      <c r="EN80" s="902">
        <f>VLOOKUP(WWWW[[#This Row],[Site Name]],SiteDB6[[Site Name]:[Lat]],12,FALSE)</f>
        <v>23.83013</v>
      </c>
      <c r="EO80" s="902">
        <f>VLOOKUP(WWWW[[#This Row],[Site Name]],SiteDB6[[Site Name]:[Long]],13,FALSE)</f>
        <v>97.589979999999997</v>
      </c>
      <c r="EP80" s="902" t="str">
        <f>VLOOKUP(WWWW[[#This Row],[Site Name]],SiteDB6[[Site Name]:[Pcode]],3,FALSE)</f>
        <v>MMR001CMP133</v>
      </c>
      <c r="EQ80" s="907" t="str">
        <f t="shared" si="1"/>
        <v>Covered</v>
      </c>
      <c r="ER80" s="907" t="s">
        <v>3126</v>
      </c>
      <c r="ES80" s="907" t="s">
        <v>3126</v>
      </c>
      <c r="ET80" s="902">
        <f>VLOOKUP(WWWW[[#This Row],[Site Name]],SiteDB6[[Site Name]:[Pop
(Kachin/Shan-CCCM as of May 2023)]],16,FALSE)</f>
        <v>138</v>
      </c>
      <c r="EU80" s="902">
        <f>VLOOKUP(WWWW[[#This Row],[Site Name]],SiteDB6[[Site Name]:[Pop
(Kachin/Shan-CCCM as of May 2023)]],17,FALSE)</f>
        <v>633</v>
      </c>
    </row>
    <row r="81" spans="1:151" hidden="1">
      <c r="A81" s="900" t="s">
        <v>2961</v>
      </c>
      <c r="B81" s="900" t="s">
        <v>3141</v>
      </c>
      <c r="C81" s="900" t="s">
        <v>3141</v>
      </c>
      <c r="D81" s="938" t="s">
        <v>2633</v>
      </c>
      <c r="E81" s="901" t="s">
        <v>37</v>
      </c>
      <c r="F81" s="901" t="s">
        <v>38</v>
      </c>
      <c r="G81" s="902" t="str">
        <f>VLOOKUP(WWWW[[#This Row],[Site Name]],SiteDB6[[Site Name]:[Location Type]],8,FALSE)</f>
        <v>Camp</v>
      </c>
      <c r="H81" s="901" t="s">
        <v>300</v>
      </c>
      <c r="I81" s="903">
        <v>119</v>
      </c>
      <c r="J81" s="903">
        <v>538</v>
      </c>
      <c r="K81" s="904" t="s">
        <v>2946</v>
      </c>
      <c r="L81" s="905" t="s">
        <v>2956</v>
      </c>
      <c r="M81" s="903"/>
      <c r="N81" s="903">
        <v>2</v>
      </c>
      <c r="O81" s="903"/>
      <c r="P81" s="903"/>
      <c r="Q81" s="906" t="s">
        <v>41</v>
      </c>
      <c r="R81" s="903">
        <v>3</v>
      </c>
      <c r="S81" s="903">
        <v>4</v>
      </c>
      <c r="T81" s="441">
        <v>3</v>
      </c>
      <c r="U81" s="903"/>
      <c r="V81" s="903"/>
      <c r="W81" s="903"/>
      <c r="X81" s="903">
        <v>2</v>
      </c>
      <c r="Y81" s="903"/>
      <c r="Z81" s="903"/>
      <c r="AA81" s="903">
        <v>1</v>
      </c>
      <c r="AB81" s="903"/>
      <c r="AC81" s="903"/>
      <c r="AD81" s="903"/>
      <c r="AE81" s="903"/>
      <c r="AF81" s="903"/>
      <c r="AG81" s="903"/>
      <c r="AH81" s="903"/>
      <c r="AI81" s="903"/>
      <c r="AJ81" s="903"/>
      <c r="AK81" s="903"/>
      <c r="AL81" s="903"/>
      <c r="AM81" s="903"/>
      <c r="AN81" s="903"/>
      <c r="AO81" s="441"/>
      <c r="AP81" s="907"/>
      <c r="AQ81" s="903">
        <v>29</v>
      </c>
      <c r="AR81" s="903"/>
      <c r="AS81" s="908"/>
      <c r="AT81" s="903"/>
      <c r="AU81" s="903"/>
      <c r="AV81" s="903"/>
      <c r="AW81" s="903"/>
      <c r="AX81" s="903"/>
      <c r="AY81" s="902" t="s">
        <v>140</v>
      </c>
      <c r="AZ81" s="907" t="s">
        <v>140</v>
      </c>
      <c r="BA81" s="903"/>
      <c r="BB81" s="903"/>
      <c r="BC81" s="903"/>
      <c r="BD81" s="441"/>
      <c r="BE81" s="441"/>
      <c r="BF81" s="902"/>
      <c r="BG81" s="903">
        <v>3</v>
      </c>
      <c r="BH81" s="903"/>
      <c r="BI81" s="903"/>
      <c r="BJ81" s="903">
        <v>2</v>
      </c>
      <c r="BK81" s="903"/>
      <c r="BL81" s="903"/>
      <c r="BM81" s="903">
        <v>2</v>
      </c>
      <c r="BN81" s="903"/>
      <c r="BO81" s="903"/>
      <c r="BP81" s="902" t="s">
        <v>41</v>
      </c>
      <c r="BQ81" s="909"/>
      <c r="BR81" s="908"/>
      <c r="BS81" s="902"/>
      <c r="BT81" s="416"/>
      <c r="BU81" s="416"/>
      <c r="BV81" s="418"/>
      <c r="BW81" s="416"/>
      <c r="BX81" s="441"/>
      <c r="BY81" s="441"/>
      <c r="BZ81" s="441"/>
      <c r="CA81" s="441"/>
      <c r="CB81" s="441"/>
      <c r="CC81" s="693"/>
      <c r="CD81" s="441"/>
      <c r="CE81" s="910" t="str">
        <f>IFERROR(WWWW[[#This Row],['#_Water sources passed]]/WWWW[[#This Row],['#_Water sources tested for fecal coliform ]],"no test")</f>
        <v>no test</v>
      </c>
      <c r="CF81" s="908" t="str">
        <f>IFERROR(WWWW[[#This Row],['#_Household passed]]/WWWW[[#This Row],['#_Household water samples tested for fecal coliform]],"no test")</f>
        <v>no test</v>
      </c>
      <c r="CG81" s="909" t="str">
        <f>IF(AND(WWWW[[#This Row],[% of water sources passed]]="no test",WWWW[[#This Row],[% Household passed]]="no test"),"No Test","Tested")</f>
        <v>No Test</v>
      </c>
      <c r="CH81" s="909">
        <f>WWWW[[#This Row],['#_Constructed/existing protected hand dug well]]-WWWW[[#This Row],['#_Non-functional protected hand dug well]]</f>
        <v>3</v>
      </c>
      <c r="CI81" s="909">
        <f>(WWWW[[#This Row],['#_Constructed/Existing tube wells/boreholes/handpumps_WASH_agency]]+WWWW[[#This Row],['#_Non-Cluster partner water tube-wells/boreholes/handpumps]])-WWWW[[#This Row],['#_Non-functional tube wells/boreholes/handpumps]]</f>
        <v>2</v>
      </c>
      <c r="CJ81" s="909">
        <f>WWWW[[#This Row],['#_Constructed/Existingwater storage tank with gravity fed reticulation system]]-WWWW[[#This Row],['#_Non-functional storage tank gravity fed reticulation system]]</f>
        <v>1</v>
      </c>
      <c r="CK81" s="909">
        <f>(WWWW[[#This Row],['#_Water_Liters_supplied_by_Water boating or water trucking]]/90)/15</f>
        <v>0</v>
      </c>
      <c r="CL81" s="909">
        <f>WWWW[[#This Row],['#_Water_Liters_from_Constructed/Existing water distribution system from river or natural spring]]/90/15</f>
        <v>0</v>
      </c>
      <c r="CM81" s="417">
        <f>IF(WWWW[[#This Row],['#_of water points in TLS/CFS]]*500&gt;WWWW[[#This Row],[Total PoP ]],WWWW[[#This Row],[Total PoP ]],WWWW[[#This Row],['#_of water points in TLS/CFS]]*500)</f>
        <v>0</v>
      </c>
      <c r="CN81" s="417">
        <f>IF(WWWW[[#This Row],['#_of water points in THF]]*500&gt;WWWW[[#This Row],[Total PoP ]],WWWW[[#This Row],[Total PoP ]],WWWW[[#This Row],['#_of water points in THF]]*500)</f>
        <v>0</v>
      </c>
      <c r="CO81" s="417"/>
      <c r="CP81"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81"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81" s="908">
        <f>IF(WWWW[[#This Row],[Location Type 1]]="Village",WWWW[[#This Row],[Access to safe drinking water for Village]],WWWW[[#This Row],[Access to safe drinking water for Camp]])</f>
        <v>1</v>
      </c>
      <c r="CS81" s="906">
        <f>WWWW[[#This Row],[%Equitable and continuous access to sufficient quantity of safe drinking water]]*WWWW[[#This Row],[Total PoP ]]</f>
        <v>538</v>
      </c>
      <c r="CT81" s="908">
        <f>IF((WWWW[[#This Row],['#_Constructed/Existing protected/fenced ponds]]*250)/WWWW[[#This Row],[Total PoP ]]&gt;1,1,(WWWW[[#This Row],['#_Constructed/Existing protected/fenced ponds]]*250)/WWWW[[#This Row],[Total PoP ]])</f>
        <v>0</v>
      </c>
      <c r="CU81" s="906">
        <f>WWWW[[#This Row],[% Access to unimproved water points]]*WWWW[[#This Row],[Total PoP ]]</f>
        <v>0</v>
      </c>
      <c r="CV81"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81"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538</v>
      </c>
      <c r="CX81" s="906">
        <f>WWWW[[#This Row],[HRP1]]/500</f>
        <v>1.0760000000000001</v>
      </c>
      <c r="CY81" s="911">
        <f>1-WWWW[[#This Row],[% Equitable and continuous access to sufficient quantity of domestic water]]</f>
        <v>0</v>
      </c>
      <c r="CZ81" s="906">
        <f>WWWW[[#This Row],[%equitable and continuous access to sufficient quantity of safe drinking and domestic water''s GAP]]*WWWW[[#This Row],[Total PoP ]]</f>
        <v>0</v>
      </c>
      <c r="DA81" s="909">
        <f>IF(WWWW[[#This Row],[Total required water points]]-WWWW[[#This Row],['#Water points coverage]]&lt;0,0,WWWW[[#This Row],[Total required water points]]-WWWW[[#This Row],['#Water points coverage]])</f>
        <v>0</v>
      </c>
      <c r="DB81" s="909">
        <f>ROUND(IF(WWWW[[#This Row],[Total PoP ]]&lt;500,1,WWWW[[#This Row],[Total PoP ]]/500),0)</f>
        <v>1</v>
      </c>
      <c r="DC81" s="909">
        <f>(WWWW[[#This Row],['#_Constructed latrines_by_WASHAgencies]]+WWWW[[#This Row],['#_Non Cluster partner latrines]])-WWWW[[#This Row],['#_Non-functional latrines]]</f>
        <v>29</v>
      </c>
      <c r="DD81" s="615">
        <f>WWWW[[#This Row],[HRP2]]/WWWW[[#This Row],[Total PoP ]]</f>
        <v>1</v>
      </c>
      <c r="DE81"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538</v>
      </c>
      <c r="DF81"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81"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1" s="417">
        <f>IF(WWWW[[#This Row],['# of functional latrines in THF supported by WASH partners during the reporting period2]]="",0,WWWW[[#This Row],['# of functional latrines in THF supported by WASH partners during the reporting period2]]*50)</f>
        <v>0</v>
      </c>
      <c r="DI81" s="909">
        <f>ROUND(IF(WWWW[[#This Row],[Location Type 1]]="camp",WWWW[[#This Row],[Total PoP ]]/20,IF(WWWW[[#This Row],[Location Type 1]]="Temporary Location",WWWW[[#This Row],[Total PoP ]]/50,(WWWW[[#This Row],[Total PoP ]]/6))),0)</f>
        <v>27</v>
      </c>
      <c r="DJ81" s="909">
        <f>IF(WWWW[[#This Row],[Total required Latrines]]-(WWWW[[#This Row],['#_Constructed latrines_by_WASHAgencies]]+WWWW[[#This Row],['#_Non Cluster partner latrines]])&lt;0,0,WWWW[[#This Row],[Total required Latrines]]-(WWWW[[#This Row],['#_Constructed latrines_by_WASHAgencies]]+WWWW[[#This Row],['#_Non Cluster partner latrines]]))</f>
        <v>0</v>
      </c>
      <c r="DK81" s="911">
        <f>1-WWWW[[#This Row],[% people access to functioning Latrine]]</f>
        <v>0</v>
      </c>
      <c r="DL81" s="910">
        <f>IF(OR(WWWW[[#This Row],['#_Non-functional latrines]]="",WWWW[[#This Row],['#_Non-functional latrines]]=0),0,WWWW[[#This Row],['#_Non-functional latrines]]/(WWWW[[#This Row],['#_Constructed latrines_by_WASHAgencies]]+WWWW[[#This Row],['#_Non Cluster partner latrines]]))</f>
        <v>0</v>
      </c>
      <c r="DM81" s="906">
        <f>IF(500*(WWWW[[#This Row],['#_male hygiene promoters]]+WWWW[[#This Row],['#_female hygiene promoters]])&gt;WWWW[[#This Row],[Total PoP ]],WWWW[[#This Row],[Total PoP ]],500*(WWWW[[#This Row],['#_male hygiene promoters]]+WWWW[[#This Row],['#_female hygiene promoters]]))</f>
        <v>538</v>
      </c>
      <c r="DN81"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81"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81" s="909">
        <f>IF(WWWW[[#This Row],['# People with access to soap]]&gt;WWWW[[#This Row],['# People with access to Sanity Pads]],WWWW[[#This Row],['# People with access to soap]],WWWW[[#This Row],['# People with access to Sanity Pads]])</f>
        <v>0</v>
      </c>
      <c r="DQ81" s="909">
        <f>IF(WWWW[[#This Row],['# people reached by regular dedicated hygiene promotion_5]]&gt;WWWW[[#This Row],['# People received regular supply of hygiene items_6]],WWWW[[#This Row],['# people reached by regular dedicated hygiene promotion_5]],WWWW[[#This Row],['# People received regular supply of hygiene items_6]])</f>
        <v>538</v>
      </c>
      <c r="DR81" s="911">
        <f>IF(WWWW[[#This Row],[HRP3]]/WWWW[[#This Row],[Total PoP ]]&gt;1,1,WWWW[[#This Row],[HRP3]]/WWWW[[#This Row],[Total PoP ]])</f>
        <v>1</v>
      </c>
      <c r="DS81" s="910">
        <f>1-WWWW[[#This Row],[Hygiene Coverage%]]</f>
        <v>0</v>
      </c>
      <c r="DT81" s="908">
        <f>WWWW[[#This Row],['# people reached by regular dedicated hygiene promotion_5]]/WWWW[[#This Row],[Total PoP ]]</f>
        <v>1</v>
      </c>
      <c r="DU81"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81"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81" s="909">
        <f>WWWW[[#This Row],['#_Constructed/Existing hand washing stations]]-WWWW[[#This Row],['#_Non-Functional_hand_washing_stations]]</f>
        <v>3</v>
      </c>
      <c r="DX81" s="906">
        <f>IF(WWWW[[#This Row],['# Functional hand washing stations during reporting period]]*20&gt;WWWW[[#This Row],[Total HH]],WWWW[[#This Row],[Total HH]],WWWW[[#This Row],['# Functional hand washing stations during reporting period]]*20)</f>
        <v>60</v>
      </c>
      <c r="DY81" s="906">
        <f>IF(WWWW[[#This Row],[Is sufficient soap available for TLS? (Yes/No)]]="yes",WWWW[[#This Row],['#_Constructed/Existing hand washing stations at TLS/CFS/THF]],0)</f>
        <v>0</v>
      </c>
      <c r="DZ81" s="421">
        <f>IF(WWWW[[#This Row],['# Functional hand washing stations during reporting period]]*100&gt;WWWW[[#This Row],[Total PoP ]],WWWW[[#This Row],[Total PoP ]],WWWW[[#This Row],['# Functional hand washing stations during reporting period]]*100)</f>
        <v>300</v>
      </c>
      <c r="EA81" s="421" t="str">
        <f>IF(OR(WWWW[[#This Row],['#_students at TLS_CFS]]="",WWWW[[#This Row],['#_students at TLS_CFS]]=0),"No","Yes")</f>
        <v>No</v>
      </c>
      <c r="EB8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81" s="566">
        <f>WWWW[[#This Row],[%_of_affected_people_surveyed_who_report_feeling_satistfied_with_the_latrine_design_and_sanitation_service]]*WWWW[[#This Row],[Total PoP ]]</f>
        <v>0</v>
      </c>
      <c r="ED81" s="566">
        <f>WWWW[[#This Row],[%_of_affected_people_surveyed_who_report_feeling_satistfied_with_the_water_point_design_and_water_service]]*WWWW[[#This Row],[Total PoP ]]</f>
        <v>0</v>
      </c>
      <c r="EE81" s="566">
        <f>WWWW[[#This Row],[%_of_complaints_received_that_result_in_timely_corrective_action_and_feedback_to_the_community]]*WWWW[[#This Row],[Total PoP ]]</f>
        <v>0</v>
      </c>
      <c r="EF8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8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8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81" s="902" t="str">
        <f>VLOOKUP(WWWW[[#This Row],[Site Name]],SiteDB6[[Site Name]:[CCCM Management]],6,FALSE)</f>
        <v>Yes</v>
      </c>
      <c r="EJ81" s="902" t="str">
        <f>VLOOKUP(WWWW[[#This Row],[Site Name]],SiteDB6[[Site Name]:[CCCM Focal Agency]],7,FALSE)</f>
        <v>KBC-NSS</v>
      </c>
      <c r="EK81" s="902" t="str">
        <f>VLOOKUP(WWWW[[#This Row],[Site Name]],SiteDB6[[Site Name]:[Location Type 1]],9,FALSE)</f>
        <v>Camp</v>
      </c>
      <c r="EL81" s="902" t="str">
        <f>VLOOKUP(WWWW[[#This Row],[Site Name]],SiteDB6[[Site Name]:[Type of Accommodation]],10,FALSE)</f>
        <v>Camp</v>
      </c>
      <c r="EM81" s="902" t="str">
        <f>VLOOKUP(WWWW[[#This Row],[Site Name]],SiteDB6[[Site Name]:[Ethnic or GCA/NGCA]],11,FALSE)</f>
        <v>GCA</v>
      </c>
      <c r="EN81" s="902">
        <f>VLOOKUP(WWWW[[#This Row],[Site Name]],SiteDB6[[Site Name]:[Lat]],12,FALSE)</f>
        <v>23.829599000000002</v>
      </c>
      <c r="EO81" s="902">
        <f>VLOOKUP(WWWW[[#This Row],[Site Name]],SiteDB6[[Site Name]:[Long]],13,FALSE)</f>
        <v>97.590767</v>
      </c>
      <c r="EP81" s="902" t="str">
        <f>VLOOKUP(WWWW[[#This Row],[Site Name]],SiteDB6[[Site Name]:[Pcode]],3,FALSE)</f>
        <v>MMR001CMP230</v>
      </c>
      <c r="EQ81" s="907" t="str">
        <f t="shared" si="1"/>
        <v>Covered</v>
      </c>
      <c r="ER81" s="907" t="s">
        <v>3126</v>
      </c>
      <c r="ES81" s="907" t="s">
        <v>3126</v>
      </c>
      <c r="ET81" s="902">
        <f>VLOOKUP(WWWW[[#This Row],[Site Name]],SiteDB6[[Site Name]:[Pop
(Kachin/Shan-CCCM as of May 2023)]],16,FALSE)</f>
        <v>150</v>
      </c>
      <c r="EU81" s="902">
        <f>VLOOKUP(WWWW[[#This Row],[Site Name]],SiteDB6[[Site Name]:[Pop
(Kachin/Shan-CCCM as of May 2023)]],17,FALSE)</f>
        <v>655</v>
      </c>
    </row>
    <row r="82" spans="1:151" hidden="1">
      <c r="A82" s="900" t="s">
        <v>2961</v>
      </c>
      <c r="B82" s="900" t="s">
        <v>3141</v>
      </c>
      <c r="C82" s="900" t="s">
        <v>3141</v>
      </c>
      <c r="D82" s="938" t="s">
        <v>2633</v>
      </c>
      <c r="E82" s="901" t="s">
        <v>37</v>
      </c>
      <c r="F82" s="901" t="s">
        <v>38</v>
      </c>
      <c r="G82" s="902" t="str">
        <f>VLOOKUP(WWWW[[#This Row],[Site Name]],SiteDB6[[Site Name]:[Location Type]],8,FALSE)</f>
        <v>Camp</v>
      </c>
      <c r="H82" s="901" t="s">
        <v>301</v>
      </c>
      <c r="I82" s="903">
        <v>454</v>
      </c>
      <c r="J82" s="903">
        <v>2354</v>
      </c>
      <c r="K82" s="904" t="s">
        <v>2947</v>
      </c>
      <c r="L82" s="905" t="s">
        <v>2957</v>
      </c>
      <c r="M82" s="903"/>
      <c r="N82" s="903">
        <v>3</v>
      </c>
      <c r="O82" s="903"/>
      <c r="P82" s="903"/>
      <c r="Q82" s="906" t="s">
        <v>41</v>
      </c>
      <c r="R82" s="903">
        <v>4</v>
      </c>
      <c r="S82" s="903">
        <v>3</v>
      </c>
      <c r="T82" s="441">
        <v>2</v>
      </c>
      <c r="U82" s="903"/>
      <c r="V82" s="903"/>
      <c r="W82" s="903"/>
      <c r="X82" s="903">
        <v>1</v>
      </c>
      <c r="Y82" s="903"/>
      <c r="Z82" s="903"/>
      <c r="AA82" s="903">
        <v>1</v>
      </c>
      <c r="AB82" s="903"/>
      <c r="AC82" s="903"/>
      <c r="AD82" s="903"/>
      <c r="AE82" s="903"/>
      <c r="AF82" s="903"/>
      <c r="AG82" s="903"/>
      <c r="AH82" s="903"/>
      <c r="AI82" s="903"/>
      <c r="AJ82" s="903"/>
      <c r="AK82" s="903"/>
      <c r="AL82" s="903"/>
      <c r="AM82" s="903"/>
      <c r="AN82" s="903"/>
      <c r="AO82" s="441"/>
      <c r="AP82" s="907"/>
      <c r="AQ82" s="903">
        <v>147</v>
      </c>
      <c r="AR82" s="903"/>
      <c r="AS82" s="908"/>
      <c r="AT82" s="903"/>
      <c r="AU82" s="903"/>
      <c r="AV82" s="903"/>
      <c r="AW82" s="903"/>
      <c r="AX82" s="903"/>
      <c r="AY82" s="902" t="s">
        <v>140</v>
      </c>
      <c r="AZ82" s="907" t="s">
        <v>140</v>
      </c>
      <c r="BA82" s="903"/>
      <c r="BB82" s="903"/>
      <c r="BC82" s="903"/>
      <c r="BD82" s="441"/>
      <c r="BE82" s="441"/>
      <c r="BF82" s="902"/>
      <c r="BG82" s="903">
        <v>1</v>
      </c>
      <c r="BH82" s="903"/>
      <c r="BI82" s="903"/>
      <c r="BJ82" s="903">
        <v>3</v>
      </c>
      <c r="BK82" s="903"/>
      <c r="BL82" s="903"/>
      <c r="BM82" s="903">
        <v>1</v>
      </c>
      <c r="BN82" s="903"/>
      <c r="BO82" s="903"/>
      <c r="BP82" s="902" t="s">
        <v>41</v>
      </c>
      <c r="BQ82" s="909"/>
      <c r="BR82" s="908"/>
      <c r="BS82" s="902"/>
      <c r="BT82" s="416"/>
      <c r="BU82" s="416"/>
      <c r="BV82" s="418"/>
      <c r="BW82" s="416"/>
      <c r="BX82" s="441"/>
      <c r="BY82" s="441"/>
      <c r="BZ82" s="441"/>
      <c r="CA82" s="441"/>
      <c r="CB82" s="441"/>
      <c r="CC82" s="693"/>
      <c r="CD82" s="441"/>
      <c r="CE82" s="910" t="str">
        <f>IFERROR(WWWW[[#This Row],['#_Water sources passed]]/WWWW[[#This Row],['#_Water sources tested for fecal coliform ]],"no test")</f>
        <v>no test</v>
      </c>
      <c r="CF82" s="908" t="str">
        <f>IFERROR(WWWW[[#This Row],['#_Household passed]]/WWWW[[#This Row],['#_Household water samples tested for fecal coliform]],"no test")</f>
        <v>no test</v>
      </c>
      <c r="CG82" s="909" t="str">
        <f>IF(AND(WWWW[[#This Row],[% of water sources passed]]="no test",WWWW[[#This Row],[% Household passed]]="no test"),"No Test","Tested")</f>
        <v>No Test</v>
      </c>
      <c r="CH82" s="909">
        <f>WWWW[[#This Row],['#_Constructed/existing protected hand dug well]]-WWWW[[#This Row],['#_Non-functional protected hand dug well]]</f>
        <v>2</v>
      </c>
      <c r="CI82" s="909">
        <f>(WWWW[[#This Row],['#_Constructed/Existing tube wells/boreholes/handpumps_WASH_agency]]+WWWW[[#This Row],['#_Non-Cluster partner water tube-wells/boreholes/handpumps]])-WWWW[[#This Row],['#_Non-functional tube wells/boreholes/handpumps]]</f>
        <v>1</v>
      </c>
      <c r="CJ82" s="909">
        <f>WWWW[[#This Row],['#_Constructed/Existingwater storage tank with gravity fed reticulation system]]-WWWW[[#This Row],['#_Non-functional storage tank gravity fed reticulation system]]</f>
        <v>1</v>
      </c>
      <c r="CK82" s="909">
        <f>(WWWW[[#This Row],['#_Water_Liters_supplied_by_Water boating or water trucking]]/90)/15</f>
        <v>0</v>
      </c>
      <c r="CL82" s="909">
        <f>WWWW[[#This Row],['#_Water_Liters_from_Constructed/Existing water distribution system from river or natural spring]]/90/15</f>
        <v>0</v>
      </c>
      <c r="CM82" s="417">
        <f>IF(WWWW[[#This Row],['#_of water points in TLS/CFS]]*500&gt;WWWW[[#This Row],[Total PoP ]],WWWW[[#This Row],[Total PoP ]],WWWW[[#This Row],['#_of water points in TLS/CFS]]*500)</f>
        <v>0</v>
      </c>
      <c r="CN82" s="417">
        <f>IF(WWWW[[#This Row],['#_of water points in THF]]*500&gt;WWWW[[#This Row],[Total PoP ]],WWWW[[#This Row],[Total PoP ]],WWWW[[#This Row],['#_of water points in THF]]*500)</f>
        <v>0</v>
      </c>
      <c r="CO82" s="417"/>
      <c r="CP82"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0.5805720758991787</v>
      </c>
      <c r="CQ82"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0.34692721608609456</v>
      </c>
      <c r="CR82" s="908">
        <f>IF(WWWW[[#This Row],[Location Type 1]]="Village",WWWW[[#This Row],[Access to safe drinking water for Village]],WWWW[[#This Row],[Access to safe drinking water for Camp]])</f>
        <v>0.5805720758991787</v>
      </c>
      <c r="CS82" s="906">
        <f>WWWW[[#This Row],[%Equitable and continuous access to sufficient quantity of safe drinking water]]*WWWW[[#This Row],[Total PoP ]]</f>
        <v>1366.6666666666667</v>
      </c>
      <c r="CT82" s="908">
        <f>IF((WWWW[[#This Row],['#_Constructed/Existing protected/fenced ponds]]*250)/WWWW[[#This Row],[Total PoP ]]&gt;1,1,(WWWW[[#This Row],['#_Constructed/Existing protected/fenced ponds]]*250)/WWWW[[#This Row],[Total PoP ]])</f>
        <v>0</v>
      </c>
      <c r="CU82" s="906">
        <f>WWWW[[#This Row],[% Access to unimproved water points]]*WWWW[[#This Row],[Total PoP ]]</f>
        <v>0</v>
      </c>
      <c r="CV82"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0.5805720758991787</v>
      </c>
      <c r="CW82"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1366.6666666666667</v>
      </c>
      <c r="CX82" s="906">
        <f>WWWW[[#This Row],[HRP1]]/500</f>
        <v>2.7333333333333334</v>
      </c>
      <c r="CY82" s="911">
        <f>1-WWWW[[#This Row],[% Equitable and continuous access to sufficient quantity of domestic water]]</f>
        <v>0.4194279241008213</v>
      </c>
      <c r="CZ82" s="906">
        <f>WWWW[[#This Row],[%equitable and continuous access to sufficient quantity of safe drinking and domestic water''s GAP]]*WWWW[[#This Row],[Total PoP ]]</f>
        <v>987.33333333333337</v>
      </c>
      <c r="DA82" s="909">
        <f>IF(WWWW[[#This Row],[Total required water points]]-WWWW[[#This Row],['#Water points coverage]]&lt;0,0,WWWW[[#This Row],[Total required water points]]-WWWW[[#This Row],['#Water points coverage]])</f>
        <v>2.2666666666666666</v>
      </c>
      <c r="DB82" s="909">
        <f>ROUND(IF(WWWW[[#This Row],[Total PoP ]]&lt;500,1,WWWW[[#This Row],[Total PoP ]]/500),0)</f>
        <v>5</v>
      </c>
      <c r="DC82" s="909">
        <f>(WWWW[[#This Row],['#_Constructed latrines_by_WASHAgencies]]+WWWW[[#This Row],['#_Non Cluster partner latrines]])-WWWW[[#This Row],['#_Non-functional latrines]]</f>
        <v>147</v>
      </c>
      <c r="DD82" s="615">
        <f>WWWW[[#This Row],[HRP2]]/WWWW[[#This Row],[Total PoP ]]</f>
        <v>1</v>
      </c>
      <c r="DE82"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2354</v>
      </c>
      <c r="DF82"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82"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2" s="417">
        <f>IF(WWWW[[#This Row],['# of functional latrines in THF supported by WASH partners during the reporting period2]]="",0,WWWW[[#This Row],['# of functional latrines in THF supported by WASH partners during the reporting period2]]*50)</f>
        <v>0</v>
      </c>
      <c r="DI82" s="909">
        <f>ROUND(IF(WWWW[[#This Row],[Location Type 1]]="camp",WWWW[[#This Row],[Total PoP ]]/20,IF(WWWW[[#This Row],[Location Type 1]]="Temporary Location",WWWW[[#This Row],[Total PoP ]]/50,(WWWW[[#This Row],[Total PoP ]]/6))),0)</f>
        <v>118</v>
      </c>
      <c r="DJ82" s="909">
        <f>IF(WWWW[[#This Row],[Total required Latrines]]-(WWWW[[#This Row],['#_Constructed latrines_by_WASHAgencies]]+WWWW[[#This Row],['#_Non Cluster partner latrines]])&lt;0,0,WWWW[[#This Row],[Total required Latrines]]-(WWWW[[#This Row],['#_Constructed latrines_by_WASHAgencies]]+WWWW[[#This Row],['#_Non Cluster partner latrines]]))</f>
        <v>0</v>
      </c>
      <c r="DK82" s="911">
        <f>1-WWWW[[#This Row],[% people access to functioning Latrine]]</f>
        <v>0</v>
      </c>
      <c r="DL82" s="910">
        <f>IF(OR(WWWW[[#This Row],['#_Non-functional latrines]]="",WWWW[[#This Row],['#_Non-functional latrines]]=0),0,WWWW[[#This Row],['#_Non-functional latrines]]/(WWWW[[#This Row],['#_Constructed latrines_by_WASHAgencies]]+WWWW[[#This Row],['#_Non Cluster partner latrines]]))</f>
        <v>0</v>
      </c>
      <c r="DM82" s="906">
        <f>IF(500*(WWWW[[#This Row],['#_male hygiene promoters]]+WWWW[[#This Row],['#_female hygiene promoters]])&gt;WWWW[[#This Row],[Total PoP ]],WWWW[[#This Row],[Total PoP ]],500*(WWWW[[#This Row],['#_male hygiene promoters]]+WWWW[[#This Row],['#_female hygiene promoters]]))</f>
        <v>500</v>
      </c>
      <c r="DN82"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82"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82" s="909">
        <f>IF(WWWW[[#This Row],['# People with access to soap]]&gt;WWWW[[#This Row],['# People with access to Sanity Pads]],WWWW[[#This Row],['# People with access to soap]],WWWW[[#This Row],['# People with access to Sanity Pads]])</f>
        <v>0</v>
      </c>
      <c r="DQ82" s="909">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82" s="911">
        <f>IF(WWWW[[#This Row],[HRP3]]/WWWW[[#This Row],[Total PoP ]]&gt;1,1,WWWW[[#This Row],[HRP3]]/WWWW[[#This Row],[Total PoP ]])</f>
        <v>0.21240441801189464</v>
      </c>
      <c r="DS82" s="910">
        <f>1-WWWW[[#This Row],[Hygiene Coverage%]]</f>
        <v>0.78759558198810531</v>
      </c>
      <c r="DT82" s="908">
        <f>WWWW[[#This Row],['# people reached by regular dedicated hygiene promotion_5]]/WWWW[[#This Row],[Total PoP ]]</f>
        <v>0.21240441801189464</v>
      </c>
      <c r="DU82"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82"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82" s="909">
        <f>WWWW[[#This Row],['#_Constructed/Existing hand washing stations]]-WWWW[[#This Row],['#_Non-Functional_hand_washing_stations]]</f>
        <v>1</v>
      </c>
      <c r="DX82" s="906">
        <f>IF(WWWW[[#This Row],['# Functional hand washing stations during reporting period]]*20&gt;WWWW[[#This Row],[Total HH]],WWWW[[#This Row],[Total HH]],WWWW[[#This Row],['# Functional hand washing stations during reporting period]]*20)</f>
        <v>20</v>
      </c>
      <c r="DY82" s="906">
        <f>IF(WWWW[[#This Row],[Is sufficient soap available for TLS? (Yes/No)]]="yes",WWWW[[#This Row],['#_Constructed/Existing hand washing stations at TLS/CFS/THF]],0)</f>
        <v>0</v>
      </c>
      <c r="DZ82" s="421">
        <f>IF(WWWW[[#This Row],['# Functional hand washing stations during reporting period]]*100&gt;WWWW[[#This Row],[Total PoP ]],WWWW[[#This Row],[Total PoP ]],WWWW[[#This Row],['# Functional hand washing stations during reporting period]]*100)</f>
        <v>100</v>
      </c>
      <c r="EA82" s="421" t="str">
        <f>IF(OR(WWWW[[#This Row],['#_students at TLS_CFS]]="",WWWW[[#This Row],['#_students at TLS_CFS]]=0),"No","Yes")</f>
        <v>No</v>
      </c>
      <c r="EB8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82" s="566">
        <f>WWWW[[#This Row],[%_of_affected_people_surveyed_who_report_feeling_satistfied_with_the_latrine_design_and_sanitation_service]]*WWWW[[#This Row],[Total PoP ]]</f>
        <v>0</v>
      </c>
      <c r="ED82" s="566">
        <f>WWWW[[#This Row],[%_of_affected_people_surveyed_who_report_feeling_satistfied_with_the_water_point_design_and_water_service]]*WWWW[[#This Row],[Total PoP ]]</f>
        <v>0</v>
      </c>
      <c r="EE82" s="566">
        <f>WWWW[[#This Row],[%_of_complaints_received_that_result_in_timely_corrective_action_and_feedback_to_the_community]]*WWWW[[#This Row],[Total PoP ]]</f>
        <v>0</v>
      </c>
      <c r="EF8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8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8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82" s="902" t="str">
        <f>VLOOKUP(WWWW[[#This Row],[Site Name]],SiteDB6[[Site Name]:[CCCM Management]],6,FALSE)</f>
        <v>Yes</v>
      </c>
      <c r="EJ82" s="902" t="str">
        <f>VLOOKUP(WWWW[[#This Row],[Site Name]],SiteDB6[[Site Name]:[CCCM Focal Agency]],7,FALSE)</f>
        <v>KMSS-BMO</v>
      </c>
      <c r="EK82" s="902" t="str">
        <f>VLOOKUP(WWWW[[#This Row],[Site Name]],SiteDB6[[Site Name]:[Location Type 1]],9,FALSE)</f>
        <v>Camp</v>
      </c>
      <c r="EL82" s="902" t="str">
        <f>VLOOKUP(WWWW[[#This Row],[Site Name]],SiteDB6[[Site Name]:[Type of Accommodation]],10,FALSE)</f>
        <v>Camp</v>
      </c>
      <c r="EM82" s="902" t="str">
        <f>VLOOKUP(WWWW[[#This Row],[Site Name]],SiteDB6[[Site Name]:[Ethnic or GCA/NGCA]],11,FALSE)</f>
        <v>GCA</v>
      </c>
      <c r="EN82" s="902">
        <f>VLOOKUP(WWWW[[#This Row],[Site Name]],SiteDB6[[Site Name]:[Lat]],12,FALSE)</f>
        <v>23.835319999999999</v>
      </c>
      <c r="EO82" s="902">
        <f>VLOOKUP(WWWW[[#This Row],[Site Name]],SiteDB6[[Site Name]:[Long]],13,FALSE)</f>
        <v>97.578490000000002</v>
      </c>
      <c r="EP82" s="902" t="str">
        <f>VLOOKUP(WWWW[[#This Row],[Site Name]],SiteDB6[[Site Name]:[Pcode]],3,FALSE)</f>
        <v>MMR001CMP132</v>
      </c>
      <c r="EQ82" s="907" t="str">
        <f t="shared" si="1"/>
        <v>Covered</v>
      </c>
      <c r="ER82" s="907" t="s">
        <v>3126</v>
      </c>
      <c r="ES82" s="907" t="s">
        <v>3126</v>
      </c>
      <c r="ET82" s="902">
        <f>VLOOKUP(WWWW[[#This Row],[Site Name]],SiteDB6[[Site Name]:[Pop
(Kachin/Shan-CCCM as of May 2023)]],16,FALSE)</f>
        <v>625</v>
      </c>
      <c r="EU82" s="902">
        <f>VLOOKUP(WWWW[[#This Row],[Site Name]],SiteDB6[[Site Name]:[Pop
(Kachin/Shan-CCCM as of May 2023)]],17,FALSE)</f>
        <v>3397</v>
      </c>
    </row>
    <row r="83" spans="1:151" hidden="1">
      <c r="A83" s="900" t="s">
        <v>2961</v>
      </c>
      <c r="B83" s="900" t="s">
        <v>3141</v>
      </c>
      <c r="C83" s="900" t="s">
        <v>3141</v>
      </c>
      <c r="D83" s="938" t="s">
        <v>2633</v>
      </c>
      <c r="E83" s="901" t="s">
        <v>37</v>
      </c>
      <c r="F83" s="901" t="s">
        <v>38</v>
      </c>
      <c r="G83" s="902" t="str">
        <f>VLOOKUP(WWWW[[#This Row],[Site Name]],SiteDB6[[Site Name]:[Location Type]],8,FALSE)</f>
        <v>Camp</v>
      </c>
      <c r="H83" s="901" t="s">
        <v>302</v>
      </c>
      <c r="I83" s="903">
        <v>142</v>
      </c>
      <c r="J83" s="903">
        <v>737</v>
      </c>
      <c r="K83" s="904">
        <v>44511</v>
      </c>
      <c r="L83" s="905" t="s">
        <v>2957</v>
      </c>
      <c r="M83" s="903"/>
      <c r="N83" s="903">
        <v>3</v>
      </c>
      <c r="O83" s="903"/>
      <c r="P83" s="903"/>
      <c r="Q83" s="906" t="s">
        <v>41</v>
      </c>
      <c r="R83" s="903">
        <v>3</v>
      </c>
      <c r="S83" s="903">
        <v>4</v>
      </c>
      <c r="T83" s="441">
        <v>1</v>
      </c>
      <c r="U83" s="903"/>
      <c r="V83" s="903"/>
      <c r="W83" s="903"/>
      <c r="X83" s="903">
        <v>1</v>
      </c>
      <c r="Y83" s="903"/>
      <c r="Z83" s="903"/>
      <c r="AA83" s="903">
        <v>1</v>
      </c>
      <c r="AB83" s="903"/>
      <c r="AC83" s="903"/>
      <c r="AD83" s="903"/>
      <c r="AE83" s="903"/>
      <c r="AF83" s="903"/>
      <c r="AG83" s="903"/>
      <c r="AH83" s="903"/>
      <c r="AI83" s="903"/>
      <c r="AJ83" s="903"/>
      <c r="AK83" s="903"/>
      <c r="AL83" s="903"/>
      <c r="AM83" s="903"/>
      <c r="AN83" s="903"/>
      <c r="AO83" s="441"/>
      <c r="AP83" s="907"/>
      <c r="AQ83" s="903">
        <v>48</v>
      </c>
      <c r="AR83" s="903"/>
      <c r="AS83" s="908"/>
      <c r="AT83" s="903"/>
      <c r="AU83" s="903"/>
      <c r="AV83" s="903"/>
      <c r="AW83" s="903"/>
      <c r="AX83" s="903"/>
      <c r="AY83" s="902" t="s">
        <v>140</v>
      </c>
      <c r="AZ83" s="907" t="s">
        <v>140</v>
      </c>
      <c r="BA83" s="903"/>
      <c r="BB83" s="903"/>
      <c r="BC83" s="903"/>
      <c r="BD83" s="441"/>
      <c r="BE83" s="441"/>
      <c r="BF83" s="902"/>
      <c r="BG83" s="903">
        <v>1</v>
      </c>
      <c r="BH83" s="903"/>
      <c r="BI83" s="903"/>
      <c r="BJ83" s="903">
        <v>1</v>
      </c>
      <c r="BK83" s="903"/>
      <c r="BL83" s="903"/>
      <c r="BM83" s="903">
        <v>2</v>
      </c>
      <c r="BN83" s="903"/>
      <c r="BO83" s="903"/>
      <c r="BP83" s="902" t="s">
        <v>41</v>
      </c>
      <c r="BQ83" s="909"/>
      <c r="BR83" s="908"/>
      <c r="BS83" s="902"/>
      <c r="BT83" s="416"/>
      <c r="BU83" s="416"/>
      <c r="BV83" s="418"/>
      <c r="BW83" s="416"/>
      <c r="BX83" s="441"/>
      <c r="BY83" s="441"/>
      <c r="BZ83" s="441"/>
      <c r="CA83" s="441"/>
      <c r="CB83" s="441"/>
      <c r="CC83" s="693"/>
      <c r="CD83" s="441"/>
      <c r="CE83" s="910" t="str">
        <f>IFERROR(WWWW[[#This Row],['#_Water sources passed]]/WWWW[[#This Row],['#_Water sources tested for fecal coliform ]],"no test")</f>
        <v>no test</v>
      </c>
      <c r="CF83" s="908" t="str">
        <f>IFERROR(WWWW[[#This Row],['#_Household passed]]/WWWW[[#This Row],['#_Household water samples tested for fecal coliform]],"no test")</f>
        <v>no test</v>
      </c>
      <c r="CG83" s="909" t="str">
        <f>IF(AND(WWWW[[#This Row],[% of water sources passed]]="no test",WWWW[[#This Row],[% Household passed]]="no test"),"No Test","Tested")</f>
        <v>No Test</v>
      </c>
      <c r="CH83" s="909">
        <f>WWWW[[#This Row],['#_Constructed/existing protected hand dug well]]-WWWW[[#This Row],['#_Non-functional protected hand dug well]]</f>
        <v>1</v>
      </c>
      <c r="CI83" s="909">
        <f>(WWWW[[#This Row],['#_Constructed/Existing tube wells/boreholes/handpumps_WASH_agency]]+WWWW[[#This Row],['#_Non-Cluster partner water tube-wells/boreholes/handpumps]])-WWWW[[#This Row],['#_Non-functional tube wells/boreholes/handpumps]]</f>
        <v>1</v>
      </c>
      <c r="CJ83" s="909">
        <f>WWWW[[#This Row],['#_Constructed/Existingwater storage tank with gravity fed reticulation system]]-WWWW[[#This Row],['#_Non-functional storage tank gravity fed reticulation system]]</f>
        <v>1</v>
      </c>
      <c r="CK83" s="909">
        <f>(WWWW[[#This Row],['#_Water_Liters_supplied_by_Water boating or water trucking]]/90)/15</f>
        <v>0</v>
      </c>
      <c r="CL83" s="909">
        <f>WWWW[[#This Row],['#_Water_Liters_from_Constructed/Existing water distribution system from river or natural spring]]/90/15</f>
        <v>0</v>
      </c>
      <c r="CM83" s="417">
        <f>IF(WWWW[[#This Row],['#_of water points in TLS/CFS]]*500&gt;WWWW[[#This Row],[Total PoP ]],WWWW[[#This Row],[Total PoP ]],WWWW[[#This Row],['#_of water points in TLS/CFS]]*500)</f>
        <v>0</v>
      </c>
      <c r="CN83" s="417">
        <f>IF(WWWW[[#This Row],['#_of water points in THF]]*500&gt;WWWW[[#This Row],[Total PoP ]],WWWW[[#This Row],[Total PoP ]],WWWW[[#This Row],['#_of water points in THF]]*500)</f>
        <v>0</v>
      </c>
      <c r="CO83" s="417"/>
      <c r="CP83"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83"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0.76888285843509718</v>
      </c>
      <c r="CR83" s="908">
        <f>IF(WWWW[[#This Row],[Location Type 1]]="Village",WWWW[[#This Row],[Access to safe drinking water for Village]],WWWW[[#This Row],[Access to safe drinking water for Camp]])</f>
        <v>1</v>
      </c>
      <c r="CS83" s="906">
        <f>WWWW[[#This Row],[%Equitable and continuous access to sufficient quantity of safe drinking water]]*WWWW[[#This Row],[Total PoP ]]</f>
        <v>737</v>
      </c>
      <c r="CT83" s="908">
        <f>IF((WWWW[[#This Row],['#_Constructed/Existing protected/fenced ponds]]*250)/WWWW[[#This Row],[Total PoP ]]&gt;1,1,(WWWW[[#This Row],['#_Constructed/Existing protected/fenced ponds]]*250)/WWWW[[#This Row],[Total PoP ]])</f>
        <v>0</v>
      </c>
      <c r="CU83" s="906">
        <f>WWWW[[#This Row],[% Access to unimproved water points]]*WWWW[[#This Row],[Total PoP ]]</f>
        <v>0</v>
      </c>
      <c r="CV83"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83"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737</v>
      </c>
      <c r="CX83" s="906">
        <f>WWWW[[#This Row],[HRP1]]/500</f>
        <v>1.474</v>
      </c>
      <c r="CY83" s="911">
        <f>1-WWWW[[#This Row],[% Equitable and continuous access to sufficient quantity of domestic water]]</f>
        <v>0</v>
      </c>
      <c r="CZ83" s="906">
        <f>WWWW[[#This Row],[%equitable and continuous access to sufficient quantity of safe drinking and domestic water''s GAP]]*WWWW[[#This Row],[Total PoP ]]</f>
        <v>0</v>
      </c>
      <c r="DA83" s="909">
        <f>IF(WWWW[[#This Row],[Total required water points]]-WWWW[[#This Row],['#Water points coverage]]&lt;0,0,WWWW[[#This Row],[Total required water points]]-WWWW[[#This Row],['#Water points coverage]])</f>
        <v>0</v>
      </c>
      <c r="DB83" s="909">
        <f>ROUND(IF(WWWW[[#This Row],[Total PoP ]]&lt;500,1,WWWW[[#This Row],[Total PoP ]]/500),0)</f>
        <v>1</v>
      </c>
      <c r="DC83" s="909">
        <f>(WWWW[[#This Row],['#_Constructed latrines_by_WASHAgencies]]+WWWW[[#This Row],['#_Non Cluster partner latrines]])-WWWW[[#This Row],['#_Non-functional latrines]]</f>
        <v>48</v>
      </c>
      <c r="DD83" s="615">
        <f>WWWW[[#This Row],[HRP2]]/WWWW[[#This Row],[Total PoP ]]</f>
        <v>1</v>
      </c>
      <c r="DE83"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737</v>
      </c>
      <c r="DF83"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83"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3" s="417">
        <f>IF(WWWW[[#This Row],['# of functional latrines in THF supported by WASH partners during the reporting period2]]="",0,WWWW[[#This Row],['# of functional latrines in THF supported by WASH partners during the reporting period2]]*50)</f>
        <v>0</v>
      </c>
      <c r="DI83" s="909">
        <f>ROUND(IF(WWWW[[#This Row],[Location Type 1]]="camp",WWWW[[#This Row],[Total PoP ]]/20,IF(WWWW[[#This Row],[Location Type 1]]="Temporary Location",WWWW[[#This Row],[Total PoP ]]/50,(WWWW[[#This Row],[Total PoP ]]/6))),0)</f>
        <v>37</v>
      </c>
      <c r="DJ83" s="909">
        <f>IF(WWWW[[#This Row],[Total required Latrines]]-(WWWW[[#This Row],['#_Constructed latrines_by_WASHAgencies]]+WWWW[[#This Row],['#_Non Cluster partner latrines]])&lt;0,0,WWWW[[#This Row],[Total required Latrines]]-(WWWW[[#This Row],['#_Constructed latrines_by_WASHAgencies]]+WWWW[[#This Row],['#_Non Cluster partner latrines]]))</f>
        <v>0</v>
      </c>
      <c r="DK83" s="911">
        <f>1-WWWW[[#This Row],[% people access to functioning Latrine]]</f>
        <v>0</v>
      </c>
      <c r="DL83" s="910">
        <f>IF(OR(WWWW[[#This Row],['#_Non-functional latrines]]="",WWWW[[#This Row],['#_Non-functional latrines]]=0),0,WWWW[[#This Row],['#_Non-functional latrines]]/(WWWW[[#This Row],['#_Constructed latrines_by_WASHAgencies]]+WWWW[[#This Row],['#_Non Cluster partner latrines]]))</f>
        <v>0</v>
      </c>
      <c r="DM83" s="906">
        <f>IF(500*(WWWW[[#This Row],['#_male hygiene promoters]]+WWWW[[#This Row],['#_female hygiene promoters]])&gt;WWWW[[#This Row],[Total PoP ]],WWWW[[#This Row],[Total PoP ]],500*(WWWW[[#This Row],['#_male hygiene promoters]]+WWWW[[#This Row],['#_female hygiene promoters]]))</f>
        <v>737</v>
      </c>
      <c r="DN83"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83"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83" s="909">
        <f>IF(WWWW[[#This Row],['# People with access to soap]]&gt;WWWW[[#This Row],['# People with access to Sanity Pads]],WWWW[[#This Row],['# People with access to soap]],WWWW[[#This Row],['# People with access to Sanity Pads]])</f>
        <v>0</v>
      </c>
      <c r="DQ83" s="909">
        <f>IF(WWWW[[#This Row],['# people reached by regular dedicated hygiene promotion_5]]&gt;WWWW[[#This Row],['# People received regular supply of hygiene items_6]],WWWW[[#This Row],['# people reached by regular dedicated hygiene promotion_5]],WWWW[[#This Row],['# People received regular supply of hygiene items_6]])</f>
        <v>737</v>
      </c>
      <c r="DR83" s="911">
        <f>IF(WWWW[[#This Row],[HRP3]]/WWWW[[#This Row],[Total PoP ]]&gt;1,1,WWWW[[#This Row],[HRP3]]/WWWW[[#This Row],[Total PoP ]])</f>
        <v>1</v>
      </c>
      <c r="DS83" s="910">
        <f>1-WWWW[[#This Row],[Hygiene Coverage%]]</f>
        <v>0</v>
      </c>
      <c r="DT83" s="908">
        <f>WWWW[[#This Row],['# people reached by regular dedicated hygiene promotion_5]]/WWWW[[#This Row],[Total PoP ]]</f>
        <v>1</v>
      </c>
      <c r="DU83"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83"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83" s="909">
        <f>WWWW[[#This Row],['#_Constructed/Existing hand washing stations]]-WWWW[[#This Row],['#_Non-Functional_hand_washing_stations]]</f>
        <v>1</v>
      </c>
      <c r="DX83" s="906">
        <f>IF(WWWW[[#This Row],['# Functional hand washing stations during reporting period]]*20&gt;WWWW[[#This Row],[Total HH]],WWWW[[#This Row],[Total HH]],WWWW[[#This Row],['# Functional hand washing stations during reporting period]]*20)</f>
        <v>20</v>
      </c>
      <c r="DY83" s="906">
        <f>IF(WWWW[[#This Row],[Is sufficient soap available for TLS? (Yes/No)]]="yes",WWWW[[#This Row],['#_Constructed/Existing hand washing stations at TLS/CFS/THF]],0)</f>
        <v>0</v>
      </c>
      <c r="DZ83" s="421">
        <f>IF(WWWW[[#This Row],['# Functional hand washing stations during reporting period]]*100&gt;WWWW[[#This Row],[Total PoP ]],WWWW[[#This Row],[Total PoP ]],WWWW[[#This Row],['# Functional hand washing stations during reporting period]]*100)</f>
        <v>100</v>
      </c>
      <c r="EA83" s="421" t="str">
        <f>IF(OR(WWWW[[#This Row],['#_students at TLS_CFS]]="",WWWW[[#This Row],['#_students at TLS_CFS]]=0),"No","Yes")</f>
        <v>No</v>
      </c>
      <c r="EB8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83" s="566">
        <f>WWWW[[#This Row],[%_of_affected_people_surveyed_who_report_feeling_satistfied_with_the_latrine_design_and_sanitation_service]]*WWWW[[#This Row],[Total PoP ]]</f>
        <v>0</v>
      </c>
      <c r="ED83" s="566">
        <f>WWWW[[#This Row],[%_of_affected_people_surveyed_who_report_feeling_satistfied_with_the_water_point_design_and_water_service]]*WWWW[[#This Row],[Total PoP ]]</f>
        <v>0</v>
      </c>
      <c r="EE83" s="566">
        <f>WWWW[[#This Row],[%_of_complaints_received_that_result_in_timely_corrective_action_and_feedback_to_the_community]]*WWWW[[#This Row],[Total PoP ]]</f>
        <v>0</v>
      </c>
      <c r="EF8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8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8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83" s="902" t="str">
        <f>VLOOKUP(WWWW[[#This Row],[Site Name]],SiteDB6[[Site Name]:[CCCM Management]],6,FALSE)</f>
        <v>Yes</v>
      </c>
      <c r="EJ83" s="902" t="str">
        <f>VLOOKUP(WWWW[[#This Row],[Site Name]],SiteDB6[[Site Name]:[CCCM Focal Agency]],7,FALSE)</f>
        <v>KMSS-BMO</v>
      </c>
      <c r="EK83" s="902" t="str">
        <f>VLOOKUP(WWWW[[#This Row],[Site Name]],SiteDB6[[Site Name]:[Location Type 1]],9,FALSE)</f>
        <v>Camp</v>
      </c>
      <c r="EL83" s="902" t="str">
        <f>VLOOKUP(WWWW[[#This Row],[Site Name]],SiteDB6[[Site Name]:[Type of Accommodation]],10,FALSE)</f>
        <v>Camp</v>
      </c>
      <c r="EM83" s="902" t="str">
        <f>VLOOKUP(WWWW[[#This Row],[Site Name]],SiteDB6[[Site Name]:[Ethnic or GCA/NGCA]],11,FALSE)</f>
        <v>GCA</v>
      </c>
      <c r="EN83" s="902">
        <f>VLOOKUP(WWWW[[#This Row],[Site Name]],SiteDB6[[Site Name]:[Lat]],12,FALSE)</f>
        <v>23.833477999999999</v>
      </c>
      <c r="EO83" s="902">
        <f>VLOOKUP(WWWW[[#This Row],[Site Name]],SiteDB6[[Site Name]:[Long]],13,FALSE)</f>
        <v>97.578367</v>
      </c>
      <c r="EP83" s="902" t="str">
        <f>VLOOKUP(WWWW[[#This Row],[Site Name]],SiteDB6[[Site Name]:[Pcode]],3,FALSE)</f>
        <v>MMR001CMP228</v>
      </c>
      <c r="EQ83" s="907" t="str">
        <f t="shared" si="1"/>
        <v>Covered</v>
      </c>
      <c r="ER83" s="907" t="s">
        <v>3126</v>
      </c>
      <c r="ES83" s="907" t="s">
        <v>3126</v>
      </c>
      <c r="ET83" s="902">
        <f>VLOOKUP(WWWW[[#This Row],[Site Name]],SiteDB6[[Site Name]:[Pop
(Kachin/Shan-CCCM as of May 2023)]],16,FALSE)</f>
        <v>140</v>
      </c>
      <c r="EU83" s="902">
        <f>VLOOKUP(WWWW[[#This Row],[Site Name]],SiteDB6[[Site Name]:[Pop
(Kachin/Shan-CCCM as of May 2023)]],17,FALSE)</f>
        <v>830</v>
      </c>
    </row>
    <row r="84" spans="1:151" hidden="1">
      <c r="A84" s="900" t="s">
        <v>2961</v>
      </c>
      <c r="B84" s="900" t="s">
        <v>192</v>
      </c>
      <c r="C84" s="901" t="s">
        <v>192</v>
      </c>
      <c r="D84" s="901" t="s">
        <v>2633</v>
      </c>
      <c r="E84" s="901" t="s">
        <v>37</v>
      </c>
      <c r="F84" s="901" t="s">
        <v>38</v>
      </c>
      <c r="G84" s="902" t="str">
        <f>VLOOKUP(WWWW[[#This Row],[Site Name]],SiteDB6[[Site Name]:[Location Type]],8,FALSE)</f>
        <v>Camp</v>
      </c>
      <c r="H84" s="901" t="s">
        <v>2874</v>
      </c>
      <c r="I84" s="903">
        <v>97</v>
      </c>
      <c r="J84" s="903">
        <v>544</v>
      </c>
      <c r="K84" s="904">
        <v>44511</v>
      </c>
      <c r="L84" s="905" t="s">
        <v>2957</v>
      </c>
      <c r="M84" s="903"/>
      <c r="N84" s="903"/>
      <c r="O84" s="903"/>
      <c r="P84" s="903"/>
      <c r="Q84" s="906"/>
      <c r="R84" s="903"/>
      <c r="S84" s="903"/>
      <c r="T84" s="441">
        <v>3</v>
      </c>
      <c r="U84" s="903"/>
      <c r="V84" s="903"/>
      <c r="W84" s="903"/>
      <c r="X84" s="903"/>
      <c r="Y84" s="903"/>
      <c r="Z84" s="903"/>
      <c r="AA84" s="903"/>
      <c r="AB84" s="903"/>
      <c r="AC84" s="903"/>
      <c r="AD84" s="903"/>
      <c r="AE84" s="903"/>
      <c r="AF84" s="903"/>
      <c r="AG84" s="903"/>
      <c r="AH84" s="903"/>
      <c r="AI84" s="903"/>
      <c r="AJ84" s="903"/>
      <c r="AK84" s="903"/>
      <c r="AL84" s="903"/>
      <c r="AM84" s="903"/>
      <c r="AN84" s="903"/>
      <c r="AO84" s="441"/>
      <c r="AP84" s="907"/>
      <c r="AQ84" s="903"/>
      <c r="AR84" s="903"/>
      <c r="AS84" s="908"/>
      <c r="AT84" s="903"/>
      <c r="AU84" s="903"/>
      <c r="AV84" s="903"/>
      <c r="AW84" s="903"/>
      <c r="AX84" s="903"/>
      <c r="AY84" s="902" t="s">
        <v>140</v>
      </c>
      <c r="AZ84" s="907" t="s">
        <v>140</v>
      </c>
      <c r="BA84" s="903"/>
      <c r="BB84" s="903"/>
      <c r="BC84" s="903"/>
      <c r="BD84" s="441"/>
      <c r="BE84" s="441"/>
      <c r="BF84" s="902"/>
      <c r="BG84" s="903">
        <v>7</v>
      </c>
      <c r="BH84" s="903"/>
      <c r="BI84" s="903"/>
      <c r="BJ84" s="903">
        <v>7</v>
      </c>
      <c r="BK84" s="903"/>
      <c r="BL84" s="903"/>
      <c r="BM84" s="903"/>
      <c r="BN84" s="903"/>
      <c r="BO84" s="903"/>
      <c r="BP84" s="902" t="s">
        <v>41</v>
      </c>
      <c r="BQ84" s="909"/>
      <c r="BR84" s="908"/>
      <c r="BS84" s="902"/>
      <c r="BT84" s="416"/>
      <c r="BU84" s="416"/>
      <c r="BV84" s="418"/>
      <c r="BW84" s="416"/>
      <c r="BX84" s="441"/>
      <c r="BY84" s="441"/>
      <c r="BZ84" s="441"/>
      <c r="CA84" s="441"/>
      <c r="CB84" s="441"/>
      <c r="CC84" s="693"/>
      <c r="CD84" s="441"/>
      <c r="CE84" s="910" t="str">
        <f>IFERROR(WWWW[[#This Row],['#_Water sources passed]]/WWWW[[#This Row],['#_Water sources tested for fecal coliform ]],"no test")</f>
        <v>no test</v>
      </c>
      <c r="CF84" s="908" t="str">
        <f>IFERROR(WWWW[[#This Row],['#_Household passed]]/WWWW[[#This Row],['#_Household water samples tested for fecal coliform]],"no test")</f>
        <v>no test</v>
      </c>
      <c r="CG84" s="909" t="str">
        <f>IF(AND(WWWW[[#This Row],[% of water sources passed]]="no test",WWWW[[#This Row],[% Household passed]]="no test"),"No Test","Tested")</f>
        <v>No Test</v>
      </c>
      <c r="CH84" s="909">
        <f>WWWW[[#This Row],['#_Constructed/existing protected hand dug well]]-WWWW[[#This Row],['#_Non-functional protected hand dug well]]</f>
        <v>3</v>
      </c>
      <c r="CI84" s="909">
        <f>(WWWW[[#This Row],['#_Constructed/Existing tube wells/boreholes/handpumps_WASH_agency]]+WWWW[[#This Row],['#_Non-Cluster partner water tube-wells/boreholes/handpumps]])-WWWW[[#This Row],['#_Non-functional tube wells/boreholes/handpumps]]</f>
        <v>0</v>
      </c>
      <c r="CJ84" s="909">
        <f>WWWW[[#This Row],['#_Constructed/Existingwater storage tank with gravity fed reticulation system]]-WWWW[[#This Row],['#_Non-functional storage tank gravity fed reticulation system]]</f>
        <v>0</v>
      </c>
      <c r="CK84" s="909">
        <f>(WWWW[[#This Row],['#_Water_Liters_supplied_by_Water boating or water trucking]]/90)/15</f>
        <v>0</v>
      </c>
      <c r="CL84" s="909">
        <f>WWWW[[#This Row],['#_Water_Liters_from_Constructed/Existing water distribution system from river or natural spring]]/90/15</f>
        <v>0</v>
      </c>
      <c r="CM84" s="417">
        <f>IF(WWWW[[#This Row],['#_of water points in TLS/CFS]]*500&gt;WWWW[[#This Row],[Total PoP ]],WWWW[[#This Row],[Total PoP ]],WWWW[[#This Row],['#_of water points in TLS/CFS]]*500)</f>
        <v>0</v>
      </c>
      <c r="CN84" s="417">
        <f>IF(WWWW[[#This Row],['#_of water points in THF]]*500&gt;WWWW[[#This Row],[Total PoP ]],WWWW[[#This Row],[Total PoP ]],WWWW[[#This Row],['#_of water points in THF]]*500)</f>
        <v>0</v>
      </c>
      <c r="CO84" s="417"/>
      <c r="CP84"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84"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84" s="908">
        <f>IF(WWWW[[#This Row],[Location Type 1]]="Village",WWWW[[#This Row],[Access to safe drinking water for Village]],WWWW[[#This Row],[Access to safe drinking water for Camp]])</f>
        <v>1</v>
      </c>
      <c r="CS84" s="906">
        <f>WWWW[[#This Row],[%Equitable and continuous access to sufficient quantity of safe drinking water]]*WWWW[[#This Row],[Total PoP ]]</f>
        <v>544</v>
      </c>
      <c r="CT84" s="908">
        <f>IF((WWWW[[#This Row],['#_Constructed/Existing protected/fenced ponds]]*250)/WWWW[[#This Row],[Total PoP ]]&gt;1,1,(WWWW[[#This Row],['#_Constructed/Existing protected/fenced ponds]]*250)/WWWW[[#This Row],[Total PoP ]])</f>
        <v>0</v>
      </c>
      <c r="CU84" s="906">
        <f>WWWW[[#This Row],[% Access to unimproved water points]]*WWWW[[#This Row],[Total PoP ]]</f>
        <v>0</v>
      </c>
      <c r="CV84"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84"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544</v>
      </c>
      <c r="CX84" s="906">
        <f>WWWW[[#This Row],[HRP1]]/500</f>
        <v>1.0880000000000001</v>
      </c>
      <c r="CY84" s="911">
        <f>1-WWWW[[#This Row],[% Equitable and continuous access to sufficient quantity of domestic water]]</f>
        <v>0</v>
      </c>
      <c r="CZ84" s="906">
        <f>WWWW[[#This Row],[%equitable and continuous access to sufficient quantity of safe drinking and domestic water''s GAP]]*WWWW[[#This Row],[Total PoP ]]</f>
        <v>0</v>
      </c>
      <c r="DA84" s="909">
        <f>IF(WWWW[[#This Row],[Total required water points]]-WWWW[[#This Row],['#Water points coverage]]&lt;0,0,WWWW[[#This Row],[Total required water points]]-WWWW[[#This Row],['#Water points coverage]])</f>
        <v>0</v>
      </c>
      <c r="DB84" s="909">
        <f>ROUND(IF(WWWW[[#This Row],[Total PoP ]]&lt;500,1,WWWW[[#This Row],[Total PoP ]]/500),0)</f>
        <v>1</v>
      </c>
      <c r="DC84" s="909">
        <f>(WWWW[[#This Row],['#_Constructed latrines_by_WASHAgencies]]+WWWW[[#This Row],['#_Non Cluster partner latrines]])-WWWW[[#This Row],['#_Non-functional latrines]]</f>
        <v>0</v>
      </c>
      <c r="DD84" s="615">
        <f>WWWW[[#This Row],[HRP2]]/WWWW[[#This Row],[Total PoP ]]</f>
        <v>0</v>
      </c>
      <c r="DE84"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84"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84"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4" s="417">
        <f>IF(WWWW[[#This Row],['# of functional latrines in THF supported by WASH partners during the reporting period2]]="",0,WWWW[[#This Row],['# of functional latrines in THF supported by WASH partners during the reporting period2]]*50)</f>
        <v>0</v>
      </c>
      <c r="DI84" s="909">
        <f>ROUND(IF(WWWW[[#This Row],[Location Type 1]]="camp",WWWW[[#This Row],[Total PoP ]]/20,IF(WWWW[[#This Row],[Location Type 1]]="Temporary Location",WWWW[[#This Row],[Total PoP ]]/50,(WWWW[[#This Row],[Total PoP ]]/6))),0)</f>
        <v>27</v>
      </c>
      <c r="DJ84" s="909">
        <f>IF(WWWW[[#This Row],[Total required Latrines]]-(WWWW[[#This Row],['#_Constructed latrines_by_WASHAgencies]]+WWWW[[#This Row],['#_Non Cluster partner latrines]])&lt;0,0,WWWW[[#This Row],[Total required Latrines]]-(WWWW[[#This Row],['#_Constructed latrines_by_WASHAgencies]]+WWWW[[#This Row],['#_Non Cluster partner latrines]]))</f>
        <v>27</v>
      </c>
      <c r="DK84" s="911">
        <f>1-WWWW[[#This Row],[% people access to functioning Latrine]]</f>
        <v>1</v>
      </c>
      <c r="DL84" s="910">
        <f>IF(OR(WWWW[[#This Row],['#_Non-functional latrines]]="",WWWW[[#This Row],['#_Non-functional latrines]]=0),0,WWWW[[#This Row],['#_Non-functional latrines]]/(WWWW[[#This Row],['#_Constructed latrines_by_WASHAgencies]]+WWWW[[#This Row],['#_Non Cluster partner latrines]]))</f>
        <v>0</v>
      </c>
      <c r="DM84" s="906">
        <f>IF(500*(WWWW[[#This Row],['#_male hygiene promoters]]+WWWW[[#This Row],['#_female hygiene promoters]])&gt;WWWW[[#This Row],[Total PoP ]],WWWW[[#This Row],[Total PoP ]],500*(WWWW[[#This Row],['#_male hygiene promoters]]+WWWW[[#This Row],['#_female hygiene promoters]]))</f>
        <v>0</v>
      </c>
      <c r="DN84"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84"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84" s="909">
        <f>IF(WWWW[[#This Row],['# People with access to soap]]&gt;WWWW[[#This Row],['# People with access to Sanity Pads]],WWWW[[#This Row],['# People with access to soap]],WWWW[[#This Row],['# People with access to Sanity Pads]])</f>
        <v>0</v>
      </c>
      <c r="DQ84"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84" s="911">
        <f>IF(WWWW[[#This Row],[HRP3]]/WWWW[[#This Row],[Total PoP ]]&gt;1,1,WWWW[[#This Row],[HRP3]]/WWWW[[#This Row],[Total PoP ]])</f>
        <v>0</v>
      </c>
      <c r="DS84" s="910">
        <f>1-WWWW[[#This Row],[Hygiene Coverage%]]</f>
        <v>1</v>
      </c>
      <c r="DT84" s="908">
        <f>WWWW[[#This Row],['# people reached by regular dedicated hygiene promotion_5]]/WWWW[[#This Row],[Total PoP ]]</f>
        <v>0</v>
      </c>
      <c r="DU84"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84"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84" s="909">
        <f>WWWW[[#This Row],['#_Constructed/Existing hand washing stations]]-WWWW[[#This Row],['#_Non-Functional_hand_washing_stations]]</f>
        <v>7</v>
      </c>
      <c r="DX84" s="906">
        <f>IF(WWWW[[#This Row],['# Functional hand washing stations during reporting period]]*20&gt;WWWW[[#This Row],[Total HH]],WWWW[[#This Row],[Total HH]],WWWW[[#This Row],['# Functional hand washing stations during reporting period]]*20)</f>
        <v>97</v>
      </c>
      <c r="DY84" s="906">
        <f>IF(WWWW[[#This Row],[Is sufficient soap available for TLS? (Yes/No)]]="yes",WWWW[[#This Row],['#_Constructed/Existing hand washing stations at TLS/CFS/THF]],0)</f>
        <v>0</v>
      </c>
      <c r="DZ84" s="421">
        <f>IF(WWWW[[#This Row],['# Functional hand washing stations during reporting period]]*100&gt;WWWW[[#This Row],[Total PoP ]],WWWW[[#This Row],[Total PoP ]],WWWW[[#This Row],['# Functional hand washing stations during reporting period]]*100)</f>
        <v>544</v>
      </c>
      <c r="EA84" s="421" t="str">
        <f>IF(OR(WWWW[[#This Row],['#_students at TLS_CFS]]="",WWWW[[#This Row],['#_students at TLS_CFS]]=0),"No","Yes")</f>
        <v>No</v>
      </c>
      <c r="EB8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84" s="566">
        <f>WWWW[[#This Row],[%_of_affected_people_surveyed_who_report_feeling_satistfied_with_the_latrine_design_and_sanitation_service]]*WWWW[[#This Row],[Total PoP ]]</f>
        <v>0</v>
      </c>
      <c r="ED84" s="566">
        <f>WWWW[[#This Row],[%_of_affected_people_surveyed_who_report_feeling_satistfied_with_the_water_point_design_and_water_service]]*WWWW[[#This Row],[Total PoP ]]</f>
        <v>0</v>
      </c>
      <c r="EE84" s="566">
        <f>WWWW[[#This Row],[%_of_complaints_received_that_result_in_timely_corrective_action_and_feedback_to_the_community]]*WWWW[[#This Row],[Total PoP ]]</f>
        <v>0</v>
      </c>
      <c r="EF8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8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8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84" s="902">
        <f>VLOOKUP(WWWW[[#This Row],[Site Name]],SiteDB6[[Site Name]:[CCCM Management]],6,FALSE)</f>
        <v>0</v>
      </c>
      <c r="EJ84" s="902" t="str">
        <f>VLOOKUP(WWWW[[#This Row],[Site Name]],SiteDB6[[Site Name]:[CCCM Focal Agency]],7,FALSE)</f>
        <v>uncovered</v>
      </c>
      <c r="EK84" s="902" t="str">
        <f>VLOOKUP(WWWW[[#This Row],[Site Name]],SiteDB6[[Site Name]:[Location Type 1]],9,FALSE)</f>
        <v>Camp</v>
      </c>
      <c r="EL84" s="902" t="str">
        <f>VLOOKUP(WWWW[[#This Row],[Site Name]],SiteDB6[[Site Name]:[Type of Accommodation]],10,FALSE)</f>
        <v>IDPs in host</v>
      </c>
      <c r="EM84" s="902" t="str">
        <f>VLOOKUP(WWWW[[#This Row],[Site Name]],SiteDB6[[Site Name]:[Ethnic or GCA/NGCA]],11,FALSE)</f>
        <v>GCA</v>
      </c>
      <c r="EN84" s="902">
        <f>VLOOKUP(WWWW[[#This Row],[Site Name]],SiteDB6[[Site Name]:[Lat]],12,FALSE)</f>
        <v>23.827870999999998</v>
      </c>
      <c r="EO84" s="902">
        <f>VLOOKUP(WWWW[[#This Row],[Site Name]],SiteDB6[[Site Name]:[Long]],13,FALSE)</f>
        <v>97.588291999999996</v>
      </c>
      <c r="EP84" s="902" t="str">
        <f>VLOOKUP(WWWW[[#This Row],[Site Name]],SiteDB6[[Site Name]:[Pcode]],3,FALSE)</f>
        <v>MMR001CMP134</v>
      </c>
      <c r="EQ84" s="907" t="str">
        <f t="shared" si="1"/>
        <v>Covered</v>
      </c>
      <c r="ER84" s="907" t="s">
        <v>3126</v>
      </c>
      <c r="ES84" s="907" t="s">
        <v>3126</v>
      </c>
      <c r="ET84" s="902">
        <f>VLOOKUP(WWWW[[#This Row],[Site Name]],SiteDB6[[Site Name]:[Pop
(Kachin/Shan-CCCM as of May 2023)]],16,FALSE)</f>
        <v>120</v>
      </c>
      <c r="EU84" s="902">
        <f>VLOOKUP(WWWW[[#This Row],[Site Name]],SiteDB6[[Site Name]:[Pop
(Kachin/Shan-CCCM as of May 2023)]],17,FALSE)</f>
        <v>664</v>
      </c>
    </row>
    <row r="85" spans="1:151" hidden="1">
      <c r="A85" s="900" t="s">
        <v>2961</v>
      </c>
      <c r="B85" s="900" t="s">
        <v>192</v>
      </c>
      <c r="C85" s="900" t="s">
        <v>192</v>
      </c>
      <c r="D85" s="901" t="s">
        <v>2884</v>
      </c>
      <c r="E85" s="901" t="s">
        <v>37</v>
      </c>
      <c r="F85" s="901" t="s">
        <v>38</v>
      </c>
      <c r="G85" s="902" t="str">
        <f>VLOOKUP(WWWW[[#This Row],[Site Name]],SiteDB6[[Site Name]:[Location Type]],8,FALSE)</f>
        <v>Camp</v>
      </c>
      <c r="H85" s="901" t="s">
        <v>193</v>
      </c>
      <c r="I85" s="903">
        <v>172</v>
      </c>
      <c r="J85" s="903">
        <v>789</v>
      </c>
      <c r="K85" s="904" t="s">
        <v>3131</v>
      </c>
      <c r="L85" s="905" t="s">
        <v>3132</v>
      </c>
      <c r="M85" s="903"/>
      <c r="N85" s="903"/>
      <c r="O85" s="903"/>
      <c r="P85" s="903"/>
      <c r="Q85" s="906" t="s">
        <v>41</v>
      </c>
      <c r="R85" s="903"/>
      <c r="S85" s="903">
        <v>7</v>
      </c>
      <c r="T85" s="441">
        <v>4</v>
      </c>
      <c r="U85" s="903"/>
      <c r="V85" s="903"/>
      <c r="W85" s="903">
        <v>4</v>
      </c>
      <c r="X85" s="903"/>
      <c r="Y85" s="903"/>
      <c r="Z85" s="903"/>
      <c r="AA85" s="903"/>
      <c r="AB85" s="903"/>
      <c r="AC85" s="903"/>
      <c r="AD85" s="903"/>
      <c r="AE85" s="903"/>
      <c r="AF85" s="903"/>
      <c r="AG85" s="903">
        <v>1</v>
      </c>
      <c r="AH85" s="903"/>
      <c r="AI85" s="903"/>
      <c r="AJ85" s="903"/>
      <c r="AK85" s="903"/>
      <c r="AL85" s="903"/>
      <c r="AM85" s="903"/>
      <c r="AN85" s="903"/>
      <c r="AO85" s="441"/>
      <c r="AP85" s="907"/>
      <c r="AQ85" s="903">
        <v>44</v>
      </c>
      <c r="AR85" s="903"/>
      <c r="AS85" s="908"/>
      <c r="AT85" s="903"/>
      <c r="AU85" s="903"/>
      <c r="AV85" s="903"/>
      <c r="AW85" s="903"/>
      <c r="AX85" s="903"/>
      <c r="AY85" s="902" t="s">
        <v>41</v>
      </c>
      <c r="AZ85" s="907" t="s">
        <v>137</v>
      </c>
      <c r="BA85" s="903"/>
      <c r="BB85" s="903">
        <v>1</v>
      </c>
      <c r="BC85" s="903"/>
      <c r="BD85" s="441"/>
      <c r="BE85" s="441">
        <v>1</v>
      </c>
      <c r="BF85" s="902"/>
      <c r="BG85" s="903">
        <v>4</v>
      </c>
      <c r="BH85" s="903"/>
      <c r="BI85" s="903"/>
      <c r="BJ85" s="903">
        <v>5</v>
      </c>
      <c r="BK85" s="903"/>
      <c r="BL85" s="903"/>
      <c r="BM85" s="903"/>
      <c r="BN85" s="903"/>
      <c r="BO85" s="903"/>
      <c r="BP85" s="902"/>
      <c r="BQ85" s="909"/>
      <c r="BR85" s="908"/>
      <c r="BS85" s="902"/>
      <c r="BT85" s="416"/>
      <c r="BU85" s="416"/>
      <c r="BV85" s="418"/>
      <c r="BW85" s="416"/>
      <c r="BX85" s="441"/>
      <c r="BY85" s="441"/>
      <c r="BZ85" s="441"/>
      <c r="CA85" s="441"/>
      <c r="CB85" s="441"/>
      <c r="CC85" s="693"/>
      <c r="CD85" s="441"/>
      <c r="CE85" s="910" t="str">
        <f>IFERROR(WWWW[[#This Row],['#_Water sources passed]]/WWWW[[#This Row],['#_Water sources tested for fecal coliform ]],"no test")</f>
        <v>no test</v>
      </c>
      <c r="CF85" s="908" t="str">
        <f>IFERROR(WWWW[[#This Row],['#_Household passed]]/WWWW[[#This Row],['#_Household water samples tested for fecal coliform]],"no test")</f>
        <v>no test</v>
      </c>
      <c r="CG85" s="909" t="str">
        <f>IF(AND(WWWW[[#This Row],[% of water sources passed]]="no test",WWWW[[#This Row],[% Household passed]]="no test"),"No Test","Tested")</f>
        <v>No Test</v>
      </c>
      <c r="CH85" s="909">
        <f>WWWW[[#This Row],['#_Constructed/existing protected hand dug well]]-WWWW[[#This Row],['#_Non-functional protected hand dug well]]</f>
        <v>4</v>
      </c>
      <c r="CI85" s="909">
        <f>(WWWW[[#This Row],['#_Constructed/Existing tube wells/boreholes/handpumps_WASH_agency]]+WWWW[[#This Row],['#_Non-Cluster partner water tube-wells/boreholes/handpumps]])-WWWW[[#This Row],['#_Non-functional tube wells/boreholes/handpumps]]</f>
        <v>4</v>
      </c>
      <c r="CJ85" s="909">
        <f>WWWW[[#This Row],['#_Constructed/Existingwater storage tank with gravity fed reticulation system]]-WWWW[[#This Row],['#_Non-functional storage tank gravity fed reticulation system]]</f>
        <v>0</v>
      </c>
      <c r="CK85" s="909">
        <f>(WWWW[[#This Row],['#_Water_Liters_supplied_by_Water boating or water trucking]]/90)/15</f>
        <v>0</v>
      </c>
      <c r="CL85" s="909">
        <f>WWWW[[#This Row],['#_Water_Liters_from_Constructed/Existing water distribution system from river or natural spring]]/90/15</f>
        <v>0</v>
      </c>
      <c r="CM85" s="417">
        <f>IF(WWWW[[#This Row],['#_of water points in TLS/CFS]]*500&gt;WWWW[[#This Row],[Total PoP ]],WWWW[[#This Row],[Total PoP ]],WWWW[[#This Row],['#_of water points in TLS/CFS]]*500)</f>
        <v>0</v>
      </c>
      <c r="CN85" s="417">
        <f>IF(WWWW[[#This Row],['#_of water points in THF]]*500&gt;WWWW[[#This Row],[Total PoP ]],WWWW[[#This Row],[Total PoP ]],WWWW[[#This Row],['#_of water points in THF]]*500)</f>
        <v>0</v>
      </c>
      <c r="CO85" s="417"/>
      <c r="CP85"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85"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85" s="908">
        <f>IF(WWWW[[#This Row],[Location Type 1]]="Village",WWWW[[#This Row],[Access to safe drinking water for Village]],WWWW[[#This Row],[Access to safe drinking water for Camp]])</f>
        <v>1</v>
      </c>
      <c r="CS85" s="906">
        <f>WWWW[[#This Row],[%Equitable and continuous access to sufficient quantity of safe drinking water]]*WWWW[[#This Row],[Total PoP ]]</f>
        <v>789</v>
      </c>
      <c r="CT85" s="908">
        <f>IF((WWWW[[#This Row],['#_Constructed/Existing protected/fenced ponds]]*250)/WWWW[[#This Row],[Total PoP ]]&gt;1,1,(WWWW[[#This Row],['#_Constructed/Existing protected/fenced ponds]]*250)/WWWW[[#This Row],[Total PoP ]])</f>
        <v>0</v>
      </c>
      <c r="CU85" s="906">
        <f>WWWW[[#This Row],[% Access to unimproved water points]]*WWWW[[#This Row],[Total PoP ]]</f>
        <v>0</v>
      </c>
      <c r="CV85"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85"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789</v>
      </c>
      <c r="CX85" s="906">
        <f>WWWW[[#This Row],[HRP1]]/500</f>
        <v>1.5780000000000001</v>
      </c>
      <c r="CY85" s="911">
        <f>1-WWWW[[#This Row],[% Equitable and continuous access to sufficient quantity of domestic water]]</f>
        <v>0</v>
      </c>
      <c r="CZ85" s="906">
        <f>WWWW[[#This Row],[%equitable and continuous access to sufficient quantity of safe drinking and domestic water''s GAP]]*WWWW[[#This Row],[Total PoP ]]</f>
        <v>0</v>
      </c>
      <c r="DA85" s="909">
        <f>IF(WWWW[[#This Row],[Total required water points]]-WWWW[[#This Row],['#Water points coverage]]&lt;0,0,WWWW[[#This Row],[Total required water points]]-WWWW[[#This Row],['#Water points coverage]])</f>
        <v>0.42199999999999993</v>
      </c>
      <c r="DB85" s="909">
        <f>ROUND(IF(WWWW[[#This Row],[Total PoP ]]&lt;500,1,WWWW[[#This Row],[Total PoP ]]/500),0)</f>
        <v>2</v>
      </c>
      <c r="DC85" s="909">
        <f>(WWWW[[#This Row],['#_Constructed latrines_by_WASHAgencies]]+WWWW[[#This Row],['#_Non Cluster partner latrines]])-WWWW[[#This Row],['#_Non-functional latrines]]</f>
        <v>44</v>
      </c>
      <c r="DD85" s="615">
        <f>WWWW[[#This Row],[HRP2]]/WWWW[[#This Row],[Total PoP ]]</f>
        <v>1</v>
      </c>
      <c r="DE85"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789</v>
      </c>
      <c r="DF85"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85"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5" s="417">
        <f>IF(WWWW[[#This Row],['# of functional latrines in THF supported by WASH partners during the reporting period2]]="",0,WWWW[[#This Row],['# of functional latrines in THF supported by WASH partners during the reporting period2]]*50)</f>
        <v>0</v>
      </c>
      <c r="DI85" s="909">
        <f>ROUND(IF(WWWW[[#This Row],[Location Type 1]]="camp",WWWW[[#This Row],[Total PoP ]]/20,IF(WWWW[[#This Row],[Location Type 1]]="Temporary Location",WWWW[[#This Row],[Total PoP ]]/50,(WWWW[[#This Row],[Total PoP ]]/6))),0)</f>
        <v>39</v>
      </c>
      <c r="DJ85" s="909">
        <f>IF(WWWW[[#This Row],[Total required Latrines]]-(WWWW[[#This Row],['#_Constructed latrines_by_WASHAgencies]]+WWWW[[#This Row],['#_Non Cluster partner latrines]])&lt;0,0,WWWW[[#This Row],[Total required Latrines]]-(WWWW[[#This Row],['#_Constructed latrines_by_WASHAgencies]]+WWWW[[#This Row],['#_Non Cluster partner latrines]]))</f>
        <v>0</v>
      </c>
      <c r="DK85" s="911">
        <f>1-WWWW[[#This Row],[% people access to functioning Latrine]]</f>
        <v>0</v>
      </c>
      <c r="DL85" s="910">
        <f>IF(OR(WWWW[[#This Row],['#_Non-functional latrines]]="",WWWW[[#This Row],['#_Non-functional latrines]]=0),0,WWWW[[#This Row],['#_Non-functional latrines]]/(WWWW[[#This Row],['#_Constructed latrines_by_WASHAgencies]]+WWWW[[#This Row],['#_Non Cluster partner latrines]]))</f>
        <v>0</v>
      </c>
      <c r="DM85" s="906">
        <f>IF(500*(WWWW[[#This Row],['#_male hygiene promoters]]+WWWW[[#This Row],['#_female hygiene promoters]])&gt;WWWW[[#This Row],[Total PoP ]],WWWW[[#This Row],[Total PoP ]],500*(WWWW[[#This Row],['#_male hygiene promoters]]+WWWW[[#This Row],['#_female hygiene promoters]]))</f>
        <v>0</v>
      </c>
      <c r="DN85"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85"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85" s="909">
        <f>IF(WWWW[[#This Row],['# People with access to soap]]&gt;WWWW[[#This Row],['# People with access to Sanity Pads]],WWWW[[#This Row],['# People with access to soap]],WWWW[[#This Row],['# People with access to Sanity Pads]])</f>
        <v>0</v>
      </c>
      <c r="DQ85"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85" s="911">
        <f>IF(WWWW[[#This Row],[HRP3]]/WWWW[[#This Row],[Total PoP ]]&gt;1,1,WWWW[[#This Row],[HRP3]]/WWWW[[#This Row],[Total PoP ]])</f>
        <v>0</v>
      </c>
      <c r="DS85" s="910">
        <f>1-WWWW[[#This Row],[Hygiene Coverage%]]</f>
        <v>1</v>
      </c>
      <c r="DT85" s="908">
        <f>WWWW[[#This Row],['# people reached by regular dedicated hygiene promotion_5]]/WWWW[[#This Row],[Total PoP ]]</f>
        <v>0</v>
      </c>
      <c r="DU85"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85"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85" s="909">
        <f>WWWW[[#This Row],['#_Constructed/Existing hand washing stations]]-WWWW[[#This Row],['#_Non-Functional_hand_washing_stations]]</f>
        <v>4</v>
      </c>
      <c r="DX85" s="906">
        <f>IF(WWWW[[#This Row],['# Functional hand washing stations during reporting period]]*20&gt;WWWW[[#This Row],[Total HH]],WWWW[[#This Row],[Total HH]],WWWW[[#This Row],['# Functional hand washing stations during reporting period]]*20)</f>
        <v>80</v>
      </c>
      <c r="DY85" s="906">
        <f>IF(WWWW[[#This Row],[Is sufficient soap available for TLS? (Yes/No)]]="yes",WWWW[[#This Row],['#_Constructed/Existing hand washing stations at TLS/CFS/THF]],0)</f>
        <v>0</v>
      </c>
      <c r="DZ85" s="421">
        <f>IF(WWWW[[#This Row],['# Functional hand washing stations during reporting period]]*100&gt;WWWW[[#This Row],[Total PoP ]],WWWW[[#This Row],[Total PoP ]],WWWW[[#This Row],['# Functional hand washing stations during reporting period]]*100)</f>
        <v>400</v>
      </c>
      <c r="EA85" s="421" t="str">
        <f>IF(OR(WWWW[[#This Row],['#_students at TLS_CFS]]="",WWWW[[#This Row],['#_students at TLS_CFS]]=0),"No","Yes")</f>
        <v>No</v>
      </c>
      <c r="EB8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85" s="566">
        <f>WWWW[[#This Row],[%_of_affected_people_surveyed_who_report_feeling_satistfied_with_the_latrine_design_and_sanitation_service]]*WWWW[[#This Row],[Total PoP ]]</f>
        <v>0</v>
      </c>
      <c r="ED85" s="566">
        <f>WWWW[[#This Row],[%_of_affected_people_surveyed_who_report_feeling_satistfied_with_the_water_point_design_and_water_service]]*WWWW[[#This Row],[Total PoP ]]</f>
        <v>0</v>
      </c>
      <c r="EE85" s="566">
        <f>WWWW[[#This Row],[%_of_complaints_received_that_result_in_timely_corrective_action_and_feedback_to_the_community]]*WWWW[[#This Row],[Total PoP ]]</f>
        <v>0</v>
      </c>
      <c r="EF8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8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8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85" s="902" t="str">
        <f>VLOOKUP(WWWW[[#This Row],[Site Name]],SiteDB6[[Site Name]:[CCCM Management]],6,FALSE)</f>
        <v>Yes</v>
      </c>
      <c r="EJ85" s="902" t="str">
        <f>VLOOKUP(WWWW[[#This Row],[Site Name]],SiteDB6[[Site Name]:[CCCM Focal Agency]],7,FALSE)</f>
        <v>KBC-BMO</v>
      </c>
      <c r="EK85" s="902" t="str">
        <f>VLOOKUP(WWWW[[#This Row],[Site Name]],SiteDB6[[Site Name]:[Location Type 1]],9,FALSE)</f>
        <v>Camp</v>
      </c>
      <c r="EL85" s="902" t="str">
        <f>VLOOKUP(WWWW[[#This Row],[Site Name]],SiteDB6[[Site Name]:[Type of Accommodation]],10,FALSE)</f>
        <v>Camp</v>
      </c>
      <c r="EM85" s="902" t="str">
        <f>VLOOKUP(WWWW[[#This Row],[Site Name]],SiteDB6[[Site Name]:[Ethnic or GCA/NGCA]],11,FALSE)</f>
        <v>GCA</v>
      </c>
      <c r="EN85" s="902">
        <f>VLOOKUP(WWWW[[#This Row],[Site Name]],SiteDB6[[Site Name]:[Lat]],12,FALSE)</f>
        <v>24.129059999999999</v>
      </c>
      <c r="EO85" s="902">
        <f>VLOOKUP(WWWW[[#This Row],[Site Name]],SiteDB6[[Site Name]:[Long]],13,FALSE)</f>
        <v>97.291820000000001</v>
      </c>
      <c r="EP85" s="902" t="str">
        <f>VLOOKUP(WWWW[[#This Row],[Site Name]],SiteDB6[[Site Name]:[Pcode]],3,FALSE)</f>
        <v>MMR001CMP066</v>
      </c>
      <c r="EQ85" s="907" t="str">
        <f t="shared" si="1"/>
        <v>Covered</v>
      </c>
      <c r="ER85" s="907" t="s">
        <v>3126</v>
      </c>
      <c r="ES85" s="907" t="s">
        <v>3126</v>
      </c>
      <c r="ET85" s="902">
        <f>VLOOKUP(WWWW[[#This Row],[Site Name]],SiteDB6[[Site Name]:[Pop
(Kachin/Shan-CCCM as of May 2023)]],16,FALSE)</f>
        <v>114</v>
      </c>
      <c r="EU85" s="902">
        <f>VLOOKUP(WWWW[[#This Row],[Site Name]],SiteDB6[[Site Name]:[Pop
(Kachin/Shan-CCCM as of May 2023)]],17,FALSE)</f>
        <v>547</v>
      </c>
    </row>
    <row r="86" spans="1:151" hidden="1">
      <c r="A86" s="900" t="s">
        <v>2961</v>
      </c>
      <c r="B86" s="900" t="s">
        <v>192</v>
      </c>
      <c r="C86" s="901" t="s">
        <v>192</v>
      </c>
      <c r="D86" s="901" t="s">
        <v>2884</v>
      </c>
      <c r="E86" s="901" t="s">
        <v>37</v>
      </c>
      <c r="F86" s="901" t="s">
        <v>205</v>
      </c>
      <c r="G86" s="902" t="str">
        <f>VLOOKUP(WWWW[[#This Row],[Site Name]],SiteDB6[[Site Name]:[Location Type]],8,FALSE)</f>
        <v>Camp</v>
      </c>
      <c r="H86" s="901" t="s">
        <v>217</v>
      </c>
      <c r="I86" s="903">
        <v>689</v>
      </c>
      <c r="J86" s="903">
        <v>3545</v>
      </c>
      <c r="K86" s="904" t="s">
        <v>3131</v>
      </c>
      <c r="L86" s="905" t="s">
        <v>3132</v>
      </c>
      <c r="M86" s="903"/>
      <c r="N86" s="903"/>
      <c r="O86" s="903"/>
      <c r="P86" s="903"/>
      <c r="Q86" s="906" t="s">
        <v>41</v>
      </c>
      <c r="R86" s="903">
        <v>1</v>
      </c>
      <c r="S86" s="903">
        <v>3</v>
      </c>
      <c r="T86" s="441">
        <v>3</v>
      </c>
      <c r="U86" s="903"/>
      <c r="V86" s="903"/>
      <c r="W86" s="903"/>
      <c r="X86" s="903"/>
      <c r="Y86" s="903"/>
      <c r="Z86" s="903"/>
      <c r="AA86" s="903">
        <v>11</v>
      </c>
      <c r="AB86" s="903"/>
      <c r="AC86" s="903"/>
      <c r="AD86" s="903"/>
      <c r="AE86" s="903"/>
      <c r="AF86" s="903"/>
      <c r="AG86" s="903">
        <v>1</v>
      </c>
      <c r="AH86" s="903"/>
      <c r="AI86" s="903"/>
      <c r="AJ86" s="903"/>
      <c r="AK86" s="903"/>
      <c r="AL86" s="903"/>
      <c r="AM86" s="903">
        <v>5</v>
      </c>
      <c r="AN86" s="903">
        <v>3</v>
      </c>
      <c r="AO86" s="441"/>
      <c r="AP86" s="907"/>
      <c r="AQ86" s="903">
        <v>313</v>
      </c>
      <c r="AR86" s="903"/>
      <c r="AS86" s="908"/>
      <c r="AT86" s="903"/>
      <c r="AU86" s="903"/>
      <c r="AV86" s="903"/>
      <c r="AW86" s="903"/>
      <c r="AX86" s="903"/>
      <c r="AY86" s="902" t="s">
        <v>41</v>
      </c>
      <c r="AZ86" s="907" t="s">
        <v>137</v>
      </c>
      <c r="BA86" s="903">
        <v>13</v>
      </c>
      <c r="BB86" s="903"/>
      <c r="BC86" s="903">
        <v>46</v>
      </c>
      <c r="BD86" s="441">
        <v>4</v>
      </c>
      <c r="BE86" s="441"/>
      <c r="BF86" s="902"/>
      <c r="BG86" s="903">
        <v>1</v>
      </c>
      <c r="BH86" s="903"/>
      <c r="BI86" s="903"/>
      <c r="BJ86" s="903">
        <v>22</v>
      </c>
      <c r="BK86" s="903"/>
      <c r="BL86" s="903"/>
      <c r="BM86" s="903"/>
      <c r="BN86" s="903">
        <v>681</v>
      </c>
      <c r="BO86" s="903">
        <v>1773</v>
      </c>
      <c r="BP86" s="902"/>
      <c r="BQ86" s="909"/>
      <c r="BR86" s="908"/>
      <c r="BS86" s="902"/>
      <c r="BT86" s="416"/>
      <c r="BU86" s="416"/>
      <c r="BV86" s="418"/>
      <c r="BW86" s="416"/>
      <c r="BX86" s="441"/>
      <c r="BY86" s="441"/>
      <c r="BZ86" s="441"/>
      <c r="CA86" s="441"/>
      <c r="CB86" s="441"/>
      <c r="CC86" s="693"/>
      <c r="CD86" s="441"/>
      <c r="CE86" s="910" t="str">
        <f>IFERROR(WWWW[[#This Row],['#_Water sources passed]]/WWWW[[#This Row],['#_Water sources tested for fecal coliform ]],"no test")</f>
        <v>no test</v>
      </c>
      <c r="CF86" s="908" t="str">
        <f>IFERROR(WWWW[[#This Row],['#_Household passed]]/WWWW[[#This Row],['#_Household water samples tested for fecal coliform]],"no test")</f>
        <v>no test</v>
      </c>
      <c r="CG86" s="909" t="str">
        <f>IF(AND(WWWW[[#This Row],[% of water sources passed]]="no test",WWWW[[#This Row],[% Household passed]]="no test"),"No Test","Tested")</f>
        <v>No Test</v>
      </c>
      <c r="CH86" s="909">
        <f>WWWW[[#This Row],['#_Constructed/existing protected hand dug well]]-WWWW[[#This Row],['#_Non-functional protected hand dug well]]</f>
        <v>3</v>
      </c>
      <c r="CI86" s="909">
        <f>(WWWW[[#This Row],['#_Constructed/Existing tube wells/boreholes/handpumps_WASH_agency]]+WWWW[[#This Row],['#_Non-Cluster partner water tube-wells/boreholes/handpumps]])-WWWW[[#This Row],['#_Non-functional tube wells/boreholes/handpumps]]</f>
        <v>0</v>
      </c>
      <c r="CJ86" s="909">
        <f>WWWW[[#This Row],['#_Constructed/Existingwater storage tank with gravity fed reticulation system]]-WWWW[[#This Row],['#_Non-functional storage tank gravity fed reticulation system]]</f>
        <v>11</v>
      </c>
      <c r="CK86" s="909">
        <f>(WWWW[[#This Row],['#_Water_Liters_supplied_by_Water boating or water trucking]]/90)/15</f>
        <v>0</v>
      </c>
      <c r="CL86" s="909">
        <f>WWWW[[#This Row],['#_Water_Liters_from_Constructed/Existing water distribution system from river or natural spring]]/90/15</f>
        <v>0</v>
      </c>
      <c r="CM86" s="417">
        <f>IF(WWWW[[#This Row],['#_of water points in TLS/CFS]]*500&gt;WWWW[[#This Row],[Total PoP ]],WWWW[[#This Row],[Total PoP ]],WWWW[[#This Row],['#_of water points in TLS/CFS]]*500)</f>
        <v>1500</v>
      </c>
      <c r="CN86" s="417">
        <f>IF(WWWW[[#This Row],['#_of water points in THF]]*500&gt;WWWW[[#This Row],[Total PoP ]],WWWW[[#This Row],[Total PoP ]],WWWW[[#This Row],['#_of water points in THF]]*500)</f>
        <v>0</v>
      </c>
      <c r="CO86" s="417"/>
      <c r="CP86"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0.54536906440996713</v>
      </c>
      <c r="CQ86"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0.41842971321109546</v>
      </c>
      <c r="CR86" s="908">
        <f>IF(WWWW[[#This Row],[Location Type 1]]="Village",WWWW[[#This Row],[Access to safe drinking water for Village]],WWWW[[#This Row],[Access to safe drinking water for Camp]])</f>
        <v>0.54536906440996713</v>
      </c>
      <c r="CS86" s="906">
        <f>WWWW[[#This Row],[%Equitable and continuous access to sufficient quantity of safe drinking water]]*WWWW[[#This Row],[Total PoP ]]</f>
        <v>1933.3333333333335</v>
      </c>
      <c r="CT86" s="908">
        <f>IF((WWWW[[#This Row],['#_Constructed/Existing protected/fenced ponds]]*250)/WWWW[[#This Row],[Total PoP ]]&gt;1,1,(WWWW[[#This Row],['#_Constructed/Existing protected/fenced ponds]]*250)/WWWW[[#This Row],[Total PoP ]])</f>
        <v>0</v>
      </c>
      <c r="CU86" s="906">
        <f>WWWW[[#This Row],[% Access to unimproved water points]]*WWWW[[#This Row],[Total PoP ]]</f>
        <v>0</v>
      </c>
      <c r="CV86"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0.54536906440996713</v>
      </c>
      <c r="CW86"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1933.3333333333335</v>
      </c>
      <c r="CX86" s="906">
        <f>WWWW[[#This Row],[HRP1]]/500</f>
        <v>3.8666666666666671</v>
      </c>
      <c r="CY86" s="911">
        <f>1-WWWW[[#This Row],[% Equitable and continuous access to sufficient quantity of domestic water]]</f>
        <v>0.45463093559003287</v>
      </c>
      <c r="CZ86" s="906">
        <f>WWWW[[#This Row],[%equitable and continuous access to sufficient quantity of safe drinking and domestic water''s GAP]]*WWWW[[#This Row],[Total PoP ]]</f>
        <v>1611.6666666666665</v>
      </c>
      <c r="DA86" s="909">
        <f>IF(WWWW[[#This Row],[Total required water points]]-WWWW[[#This Row],['#Water points coverage]]&lt;0,0,WWWW[[#This Row],[Total required water points]]-WWWW[[#This Row],['#Water points coverage]])</f>
        <v>3.1333333333333329</v>
      </c>
      <c r="DB86" s="909">
        <f>ROUND(IF(WWWW[[#This Row],[Total PoP ]]&lt;500,1,WWWW[[#This Row],[Total PoP ]]/500),0)</f>
        <v>7</v>
      </c>
      <c r="DC86" s="909">
        <f>(WWWW[[#This Row],['#_Constructed latrines_by_WASHAgencies]]+WWWW[[#This Row],['#_Non Cluster partner latrines]])-WWWW[[#This Row],['#_Non-functional latrines]]</f>
        <v>313</v>
      </c>
      <c r="DD86" s="615">
        <f>WWWW[[#This Row],[HRP2]]/WWWW[[#This Row],[Total PoP ]]</f>
        <v>1</v>
      </c>
      <c r="DE86"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3545</v>
      </c>
      <c r="DF86"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86"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6" s="417">
        <f>IF(WWWW[[#This Row],['# of functional latrines in THF supported by WASH partners during the reporting period2]]="",0,WWWW[[#This Row],['# of functional latrines in THF supported by WASH partners during the reporting period2]]*50)</f>
        <v>200</v>
      </c>
      <c r="DI86" s="909">
        <f>ROUND(IF(WWWW[[#This Row],[Location Type 1]]="camp",WWWW[[#This Row],[Total PoP ]]/20,IF(WWWW[[#This Row],[Location Type 1]]="Temporary Location",WWWW[[#This Row],[Total PoP ]]/50,(WWWW[[#This Row],[Total PoP ]]/6))),0)</f>
        <v>177</v>
      </c>
      <c r="DJ86" s="909">
        <f>IF(WWWW[[#This Row],[Total required Latrines]]-(WWWW[[#This Row],['#_Constructed latrines_by_WASHAgencies]]+WWWW[[#This Row],['#_Non Cluster partner latrines]])&lt;0,0,WWWW[[#This Row],[Total required Latrines]]-(WWWW[[#This Row],['#_Constructed latrines_by_WASHAgencies]]+WWWW[[#This Row],['#_Non Cluster partner latrines]]))</f>
        <v>0</v>
      </c>
      <c r="DK86" s="911">
        <f>1-WWWW[[#This Row],[% people access to functioning Latrine]]</f>
        <v>0</v>
      </c>
      <c r="DL86" s="910">
        <f>IF(OR(WWWW[[#This Row],['#_Non-functional latrines]]="",WWWW[[#This Row],['#_Non-functional latrines]]=0),0,WWWW[[#This Row],['#_Non-functional latrines]]/(WWWW[[#This Row],['#_Constructed latrines_by_WASHAgencies]]+WWWW[[#This Row],['#_Non Cluster partner latrines]]))</f>
        <v>0</v>
      </c>
      <c r="DM86" s="906">
        <f>IF(500*(WWWW[[#This Row],['#_male hygiene promoters]]+WWWW[[#This Row],['#_female hygiene promoters]])&gt;WWWW[[#This Row],[Total PoP ]],WWWW[[#This Row],[Total PoP ]],500*(WWWW[[#This Row],['#_male hygiene promoters]]+WWWW[[#This Row],['#_female hygiene promoters]]))</f>
        <v>0</v>
      </c>
      <c r="DN86"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3405</v>
      </c>
      <c r="DO86"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1773</v>
      </c>
      <c r="DP86" s="909">
        <f>IF(WWWW[[#This Row],['# People with access to soap]]&gt;WWWW[[#This Row],['# People with access to Sanity Pads]],WWWW[[#This Row],['# People with access to soap]],WWWW[[#This Row],['# People with access to Sanity Pads]])</f>
        <v>3405</v>
      </c>
      <c r="DQ86" s="909">
        <f>IF(WWWW[[#This Row],['# people reached by regular dedicated hygiene promotion_5]]&gt;WWWW[[#This Row],['# People received regular supply of hygiene items_6]],WWWW[[#This Row],['# people reached by regular dedicated hygiene promotion_5]],WWWW[[#This Row],['# People received regular supply of hygiene items_6]])</f>
        <v>3405</v>
      </c>
      <c r="DR86" s="911">
        <f>IF(WWWW[[#This Row],[HRP3]]/WWWW[[#This Row],[Total PoP ]]&gt;1,1,WWWW[[#This Row],[HRP3]]/WWWW[[#This Row],[Total PoP ]])</f>
        <v>0.96050775740479544</v>
      </c>
      <c r="DS86" s="910">
        <f>1-WWWW[[#This Row],[Hygiene Coverage%]]</f>
        <v>3.9492242595204563E-2</v>
      </c>
      <c r="DT86" s="908">
        <f>WWWW[[#This Row],['# people reached by regular dedicated hygiene promotion_5]]/WWWW[[#This Row],[Total PoP ]]</f>
        <v>0</v>
      </c>
      <c r="DU86"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0.98838896952104505</v>
      </c>
      <c r="DV86"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86" s="909">
        <f>WWWW[[#This Row],['#_Constructed/Existing hand washing stations]]-WWWW[[#This Row],['#_Non-Functional_hand_washing_stations]]</f>
        <v>1</v>
      </c>
      <c r="DX86" s="906">
        <f>IF(WWWW[[#This Row],['# Functional hand washing stations during reporting period]]*20&gt;WWWW[[#This Row],[Total HH]],WWWW[[#This Row],[Total HH]],WWWW[[#This Row],['# Functional hand washing stations during reporting period]]*20)</f>
        <v>20</v>
      </c>
      <c r="DY86" s="906">
        <f>IF(WWWW[[#This Row],[Is sufficient soap available for TLS? (Yes/No)]]="yes",WWWW[[#This Row],['#_Constructed/Existing hand washing stations at TLS/CFS/THF]],0)</f>
        <v>0</v>
      </c>
      <c r="DZ86" s="421">
        <f>IF(WWWW[[#This Row],['# Functional hand washing stations during reporting period]]*100&gt;WWWW[[#This Row],[Total PoP ]],WWWW[[#This Row],[Total PoP ]],WWWW[[#This Row],['# Functional hand washing stations during reporting period]]*100)</f>
        <v>100</v>
      </c>
      <c r="EA86" s="421" t="str">
        <f>IF(OR(WWWW[[#This Row],['#_students at TLS_CFS]]="",WWWW[[#This Row],['#_students at TLS_CFS]]=0),"No","Yes")</f>
        <v>No</v>
      </c>
      <c r="EB8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86" s="566">
        <f>WWWW[[#This Row],[%_of_affected_people_surveyed_who_report_feeling_satistfied_with_the_latrine_design_and_sanitation_service]]*WWWW[[#This Row],[Total PoP ]]</f>
        <v>0</v>
      </c>
      <c r="ED86" s="566">
        <f>WWWW[[#This Row],[%_of_affected_people_surveyed_who_report_feeling_satistfied_with_the_water_point_design_and_water_service]]*WWWW[[#This Row],[Total PoP ]]</f>
        <v>0</v>
      </c>
      <c r="EE86" s="566">
        <f>WWWW[[#This Row],[%_of_complaints_received_that_result_in_timely_corrective_action_and_feedback_to_the_community]]*WWWW[[#This Row],[Total PoP ]]</f>
        <v>0</v>
      </c>
      <c r="EF8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8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1500</v>
      </c>
      <c r="EH8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200</v>
      </c>
      <c r="EI86" s="902" t="str">
        <f>VLOOKUP(WWWW[[#This Row],[Site Name]],SiteDB6[[Site Name]:[CCCM Management]],6,FALSE)</f>
        <v>Yes</v>
      </c>
      <c r="EJ86" s="902" t="str">
        <f>VLOOKUP(WWWW[[#This Row],[Site Name]],SiteDB6[[Site Name]:[CCCM Focal Agency]],7,FALSE)</f>
        <v>KMSS-MYT</v>
      </c>
      <c r="EK86" s="902" t="str">
        <f>VLOOKUP(WWWW[[#This Row],[Site Name]],SiteDB6[[Site Name]:[Location Type 1]],9,FALSE)</f>
        <v>Camp</v>
      </c>
      <c r="EL86" s="902" t="str">
        <f>VLOOKUP(WWWW[[#This Row],[Site Name]],SiteDB6[[Site Name]:[Type of Accommodation]],10,FALSE)</f>
        <v>Camp</v>
      </c>
      <c r="EM86" s="902" t="str">
        <f>VLOOKUP(WWWW[[#This Row],[Site Name]],SiteDB6[[Site Name]:[Ethnic or GCA/NGCA]],11,FALSE)</f>
        <v>NGCA</v>
      </c>
      <c r="EN86" s="902">
        <f>VLOOKUP(WWWW[[#This Row],[Site Name]],SiteDB6[[Site Name]:[Lat]],12,FALSE)</f>
        <v>24.661905999999998</v>
      </c>
      <c r="EO86" s="902">
        <f>VLOOKUP(WWWW[[#This Row],[Site Name]],SiteDB6[[Site Name]:[Long]],13,FALSE)</f>
        <v>97.573126000000002</v>
      </c>
      <c r="EP86" s="902" t="str">
        <f>VLOOKUP(WWWW[[#This Row],[Site Name]],SiteDB6[[Site Name]:[Pcode]],3,FALSE)</f>
        <v>MMR001CMP122</v>
      </c>
      <c r="EQ86" s="907" t="str">
        <f t="shared" si="1"/>
        <v>Covered</v>
      </c>
      <c r="ER86" s="907" t="s">
        <v>3126</v>
      </c>
      <c r="ES86" s="907" t="s">
        <v>3126</v>
      </c>
      <c r="ET86" s="902">
        <f>VLOOKUP(WWWW[[#This Row],[Site Name]],SiteDB6[[Site Name]:[Pop
(Kachin/Shan-CCCM as of May 2023)]],16,FALSE)</f>
        <v>676</v>
      </c>
      <c r="EU86" s="902">
        <f>VLOOKUP(WWWW[[#This Row],[Site Name]],SiteDB6[[Site Name]:[Pop
(Kachin/Shan-CCCM as of May 2023)]],17,FALSE)</f>
        <v>3508</v>
      </c>
    </row>
    <row r="87" spans="1:151" hidden="1">
      <c r="A87" s="900" t="s">
        <v>2961</v>
      </c>
      <c r="B87" s="900" t="s">
        <v>192</v>
      </c>
      <c r="C87" s="900" t="s">
        <v>192</v>
      </c>
      <c r="D87" s="901" t="s">
        <v>2883</v>
      </c>
      <c r="E87" s="901" t="s">
        <v>37</v>
      </c>
      <c r="F87" s="901" t="s">
        <v>205</v>
      </c>
      <c r="G87" s="902" t="s">
        <v>3064</v>
      </c>
      <c r="H87" s="901" t="s">
        <v>2153</v>
      </c>
      <c r="I87" s="903">
        <v>11</v>
      </c>
      <c r="J87" s="903">
        <v>32</v>
      </c>
      <c r="K87" s="904"/>
      <c r="L87" s="905"/>
      <c r="M87" s="903"/>
      <c r="N87" s="903"/>
      <c r="O87" s="903">
        <v>1</v>
      </c>
      <c r="P87" s="903"/>
      <c r="Q87" s="906" t="s">
        <v>41</v>
      </c>
      <c r="R87" s="903">
        <v>3</v>
      </c>
      <c r="S87" s="903">
        <v>8</v>
      </c>
      <c r="T87" s="441"/>
      <c r="U87" s="903"/>
      <c r="V87" s="903"/>
      <c r="W87" s="903">
        <v>1</v>
      </c>
      <c r="X87" s="903"/>
      <c r="Y87" s="903"/>
      <c r="Z87" s="903"/>
      <c r="AA87" s="903">
        <v>1</v>
      </c>
      <c r="AB87" s="903"/>
      <c r="AC87" s="903"/>
      <c r="AD87" s="903"/>
      <c r="AE87" s="903"/>
      <c r="AF87" s="903"/>
      <c r="AG87" s="903">
        <v>1</v>
      </c>
      <c r="AH87" s="903"/>
      <c r="AI87" s="903"/>
      <c r="AJ87" s="903"/>
      <c r="AK87" s="903"/>
      <c r="AL87" s="903"/>
      <c r="AM87" s="903"/>
      <c r="AN87" s="903"/>
      <c r="AO87" s="441"/>
      <c r="AP87" s="907"/>
      <c r="AQ87" s="903">
        <v>12</v>
      </c>
      <c r="AR87" s="903"/>
      <c r="AS87" s="908"/>
      <c r="AT87" s="903"/>
      <c r="AU87" s="903"/>
      <c r="AV87" s="903"/>
      <c r="AW87" s="903"/>
      <c r="AX87" s="903"/>
      <c r="AY87" s="902" t="s">
        <v>41</v>
      </c>
      <c r="AZ87" s="907" t="s">
        <v>137</v>
      </c>
      <c r="BA87" s="903"/>
      <c r="BB87" s="903"/>
      <c r="BC87" s="903"/>
      <c r="BD87" s="441"/>
      <c r="BE87" s="441"/>
      <c r="BF87" s="902"/>
      <c r="BG87" s="903">
        <v>7</v>
      </c>
      <c r="BH87" s="903"/>
      <c r="BI87" s="903"/>
      <c r="BJ87" s="903">
        <v>2</v>
      </c>
      <c r="BK87" s="903"/>
      <c r="BL87" s="903"/>
      <c r="BM87" s="903">
        <v>1</v>
      </c>
      <c r="BN87" s="903"/>
      <c r="BO87" s="903"/>
      <c r="BP87" s="902"/>
      <c r="BQ87" s="909"/>
      <c r="BR87" s="908"/>
      <c r="BS87" s="902"/>
      <c r="BT87" s="416"/>
      <c r="BU87" s="416"/>
      <c r="BV87" s="418"/>
      <c r="BW87" s="416"/>
      <c r="BX87" s="441"/>
      <c r="BY87" s="441"/>
      <c r="BZ87" s="441"/>
      <c r="CA87" s="441"/>
      <c r="CB87" s="441"/>
      <c r="CC87" s="693"/>
      <c r="CD87" s="441"/>
      <c r="CE87" s="910" t="str">
        <f>IFERROR(WWWW[[#This Row],['#_Water sources passed]]/WWWW[[#This Row],['#_Water sources tested for fecal coliform ]],"no test")</f>
        <v>no test</v>
      </c>
      <c r="CF87" s="908" t="str">
        <f>IFERROR(WWWW[[#This Row],['#_Household passed]]/WWWW[[#This Row],['#_Household water samples tested for fecal coliform]],"no test")</f>
        <v>no test</v>
      </c>
      <c r="CG87" s="909" t="str">
        <f>IF(AND(WWWW[[#This Row],[% of water sources passed]]="no test",WWWW[[#This Row],[% Household passed]]="no test"),"No Test","Tested")</f>
        <v>No Test</v>
      </c>
      <c r="CH87" s="909">
        <f>WWWW[[#This Row],['#_Constructed/existing protected hand dug well]]-WWWW[[#This Row],['#_Non-functional protected hand dug well]]</f>
        <v>0</v>
      </c>
      <c r="CI87" s="909">
        <f>(WWWW[[#This Row],['#_Constructed/Existing tube wells/boreholes/handpumps_WASH_agency]]+WWWW[[#This Row],['#_Non-Cluster partner water tube-wells/boreholes/handpumps]])-WWWW[[#This Row],['#_Non-functional tube wells/boreholes/handpumps]]</f>
        <v>1</v>
      </c>
      <c r="CJ87" s="909">
        <f>WWWW[[#This Row],['#_Constructed/Existingwater storage tank with gravity fed reticulation system]]-WWWW[[#This Row],['#_Non-functional storage tank gravity fed reticulation system]]</f>
        <v>1</v>
      </c>
      <c r="CK87" s="909">
        <f>(WWWW[[#This Row],['#_Water_Liters_supplied_by_Water boating or water trucking]]/90)/15</f>
        <v>0</v>
      </c>
      <c r="CL87" s="909">
        <f>WWWW[[#This Row],['#_Water_Liters_from_Constructed/Existing water distribution system from river or natural spring]]/90/15</f>
        <v>0</v>
      </c>
      <c r="CM87" s="417">
        <f>IF(WWWW[[#This Row],['#_of water points in TLS/CFS]]*500&gt;WWWW[[#This Row],[Total PoP ]],WWWW[[#This Row],[Total PoP ]],WWWW[[#This Row],['#_of water points in TLS/CFS]]*500)</f>
        <v>0</v>
      </c>
      <c r="CN87" s="417">
        <f>IF(WWWW[[#This Row],['#_of water points in THF]]*500&gt;WWWW[[#This Row],[Total PoP ]],WWWW[[#This Row],[Total PoP ]],WWWW[[#This Row],['#_of water points in THF]]*500)</f>
        <v>0</v>
      </c>
      <c r="CO87" s="417"/>
      <c r="CP87"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87"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87" s="908">
        <f>IF(WWWW[[#This Row],[Location Type 1]]="Village",WWWW[[#This Row],[Access to safe drinking water for Village]],WWWW[[#This Row],[Access to safe drinking water for Camp]])</f>
        <v>1</v>
      </c>
      <c r="CS87" s="906">
        <f>WWWW[[#This Row],[%Equitable and continuous access to sufficient quantity of safe drinking water]]*WWWW[[#This Row],[Total PoP ]]</f>
        <v>32</v>
      </c>
      <c r="CT87" s="908">
        <f>IF((WWWW[[#This Row],['#_Constructed/Existing protected/fenced ponds]]*250)/WWWW[[#This Row],[Total PoP ]]&gt;1,1,(WWWW[[#This Row],['#_Constructed/Existing protected/fenced ponds]]*250)/WWWW[[#This Row],[Total PoP ]])</f>
        <v>0</v>
      </c>
      <c r="CU87" s="906">
        <f>WWWW[[#This Row],[% Access to unimproved water points]]*WWWW[[#This Row],[Total PoP ]]</f>
        <v>0</v>
      </c>
      <c r="CV87"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87"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v>
      </c>
      <c r="CX87" s="906">
        <f>WWWW[[#This Row],[HRP1]]/500</f>
        <v>6.4000000000000001E-2</v>
      </c>
      <c r="CY87" s="911">
        <f>1-WWWW[[#This Row],[% Equitable and continuous access to sufficient quantity of domestic water]]</f>
        <v>0</v>
      </c>
      <c r="CZ87" s="906">
        <f>WWWW[[#This Row],[%equitable and continuous access to sufficient quantity of safe drinking and domestic water''s GAP]]*WWWW[[#This Row],[Total PoP ]]</f>
        <v>0</v>
      </c>
      <c r="DA87" s="909">
        <f>IF(WWWW[[#This Row],[Total required water points]]-WWWW[[#This Row],['#Water points coverage]]&lt;0,0,WWWW[[#This Row],[Total required water points]]-WWWW[[#This Row],['#Water points coverage]])</f>
        <v>0.93599999999999994</v>
      </c>
      <c r="DB87" s="909">
        <f>ROUND(IF(WWWW[[#This Row],[Total PoP ]]&lt;500,1,WWWW[[#This Row],[Total PoP ]]/500),0)</f>
        <v>1</v>
      </c>
      <c r="DC87" s="909">
        <f>(WWWW[[#This Row],['#_Constructed latrines_by_WASHAgencies]]+WWWW[[#This Row],['#_Non Cluster partner latrines]])-WWWW[[#This Row],['#_Non-functional latrines]]</f>
        <v>12</v>
      </c>
      <c r="DD87" s="615">
        <f>WWWW[[#This Row],[HRP2]]/WWWW[[#This Row],[Total PoP ]]</f>
        <v>1</v>
      </c>
      <c r="DE87"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32</v>
      </c>
      <c r="DF87"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87"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7" s="417">
        <f>IF(WWWW[[#This Row],['# of functional latrines in THF supported by WASH partners during the reporting period2]]="",0,WWWW[[#This Row],['# of functional latrines in THF supported by WASH partners during the reporting period2]]*50)</f>
        <v>0</v>
      </c>
      <c r="DI87" s="909">
        <f>ROUND(IF(WWWW[[#This Row],[Location Type 1]]="camp",WWWW[[#This Row],[Total PoP ]]/20,IF(WWWW[[#This Row],[Location Type 1]]="Temporary Location",WWWW[[#This Row],[Total PoP ]]/50,(WWWW[[#This Row],[Total PoP ]]/6))),0)</f>
        <v>2</v>
      </c>
      <c r="DJ87" s="909">
        <f>IF(WWWW[[#This Row],[Total required Latrines]]-(WWWW[[#This Row],['#_Constructed latrines_by_WASHAgencies]]+WWWW[[#This Row],['#_Non Cluster partner latrines]])&lt;0,0,WWWW[[#This Row],[Total required Latrines]]-(WWWW[[#This Row],['#_Constructed latrines_by_WASHAgencies]]+WWWW[[#This Row],['#_Non Cluster partner latrines]]))</f>
        <v>0</v>
      </c>
      <c r="DK87" s="911">
        <f>1-WWWW[[#This Row],[% people access to functioning Latrine]]</f>
        <v>0</v>
      </c>
      <c r="DL87" s="910">
        <f>IF(OR(WWWW[[#This Row],['#_Non-functional latrines]]="",WWWW[[#This Row],['#_Non-functional latrines]]=0),0,WWWW[[#This Row],['#_Non-functional latrines]]/(WWWW[[#This Row],['#_Constructed latrines_by_WASHAgencies]]+WWWW[[#This Row],['#_Non Cluster partner latrines]]))</f>
        <v>0</v>
      </c>
      <c r="DM87" s="906">
        <f>IF(500*(WWWW[[#This Row],['#_male hygiene promoters]]+WWWW[[#This Row],['#_female hygiene promoters]])&gt;WWWW[[#This Row],[Total PoP ]],WWWW[[#This Row],[Total PoP ]],500*(WWWW[[#This Row],['#_male hygiene promoters]]+WWWW[[#This Row],['#_female hygiene promoters]]))</f>
        <v>32</v>
      </c>
      <c r="DN87"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87"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87" s="909">
        <f>IF(WWWW[[#This Row],['# People with access to soap]]&gt;WWWW[[#This Row],['# People with access to Sanity Pads]],WWWW[[#This Row],['# People with access to soap]],WWWW[[#This Row],['# People with access to Sanity Pads]])</f>
        <v>0</v>
      </c>
      <c r="DQ87" s="909">
        <f>IF(WWWW[[#This Row],['# people reached by regular dedicated hygiene promotion_5]]&gt;WWWW[[#This Row],['# People received regular supply of hygiene items_6]],WWWW[[#This Row],['# people reached by regular dedicated hygiene promotion_5]],WWWW[[#This Row],['# People received regular supply of hygiene items_6]])</f>
        <v>32</v>
      </c>
      <c r="DR87" s="911">
        <f>IF(WWWW[[#This Row],[HRP3]]/WWWW[[#This Row],[Total PoP ]]&gt;1,1,WWWW[[#This Row],[HRP3]]/WWWW[[#This Row],[Total PoP ]])</f>
        <v>1</v>
      </c>
      <c r="DS87" s="910">
        <f>1-WWWW[[#This Row],[Hygiene Coverage%]]</f>
        <v>0</v>
      </c>
      <c r="DT87" s="908">
        <f>WWWW[[#This Row],['# people reached by regular dedicated hygiene promotion_5]]/WWWW[[#This Row],[Total PoP ]]</f>
        <v>1</v>
      </c>
      <c r="DU87"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87"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87" s="909">
        <f>WWWW[[#This Row],['#_Constructed/Existing hand washing stations]]-WWWW[[#This Row],['#_Non-Functional_hand_washing_stations]]</f>
        <v>7</v>
      </c>
      <c r="DX87" s="906">
        <f>IF(WWWW[[#This Row],['# Functional hand washing stations during reporting period]]*20&gt;WWWW[[#This Row],[Total HH]],WWWW[[#This Row],[Total HH]],WWWW[[#This Row],['# Functional hand washing stations during reporting period]]*20)</f>
        <v>11</v>
      </c>
      <c r="DY87" s="906">
        <f>IF(WWWW[[#This Row],[Is sufficient soap available for TLS? (Yes/No)]]="yes",WWWW[[#This Row],['#_Constructed/Existing hand washing stations at TLS/CFS/THF]],0)</f>
        <v>0</v>
      </c>
      <c r="DZ87" s="421">
        <f>IF(WWWW[[#This Row],['# Functional hand washing stations during reporting period]]*100&gt;WWWW[[#This Row],[Total PoP ]],WWWW[[#This Row],[Total PoP ]],WWWW[[#This Row],['# Functional hand washing stations during reporting period]]*100)</f>
        <v>32</v>
      </c>
      <c r="EA87" s="421" t="str">
        <f>IF(OR(WWWW[[#This Row],['#_students at TLS_CFS]]="",WWWW[[#This Row],['#_students at TLS_CFS]]=0),"No","Yes")</f>
        <v>No</v>
      </c>
      <c r="EB8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87" s="566">
        <f>WWWW[[#This Row],[%_of_affected_people_surveyed_who_report_feeling_satistfied_with_the_latrine_design_and_sanitation_service]]*WWWW[[#This Row],[Total PoP ]]</f>
        <v>0</v>
      </c>
      <c r="ED87" s="566">
        <f>WWWW[[#This Row],[%_of_affected_people_surveyed_who_report_feeling_satistfied_with_the_water_point_design_and_water_service]]*WWWW[[#This Row],[Total PoP ]]</f>
        <v>0</v>
      </c>
      <c r="EE87" s="566">
        <f>WWWW[[#This Row],[%_of_complaints_received_that_result_in_timely_corrective_action_and_feedback_to_the_community]]*WWWW[[#This Row],[Total PoP ]]</f>
        <v>0</v>
      </c>
      <c r="EF8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8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8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87" s="902">
        <f>VLOOKUP(WWWW[[#This Row],[Site Name]],SiteDB6[[Site Name]:[CCCM Management]],6,FALSE)</f>
        <v>0</v>
      </c>
      <c r="EJ87" s="902">
        <f>VLOOKUP(WWWW[[#This Row],[Site Name]],SiteDB6[[Site Name]:[CCCM Focal Agency]],7,FALSE)</f>
        <v>0</v>
      </c>
      <c r="EK87" s="902" t="str">
        <f>VLOOKUP(WWWW[[#This Row],[Site Name]],SiteDB6[[Site Name]:[Location Type 1]],9,FALSE)</f>
        <v>Camp</v>
      </c>
      <c r="EL87" s="902" t="str">
        <f>VLOOKUP(WWWW[[#This Row],[Site Name]],SiteDB6[[Site Name]:[Type of Accommodation]],10,FALSE)</f>
        <v>Camp</v>
      </c>
      <c r="EM87" s="902" t="str">
        <f>VLOOKUP(WWWW[[#This Row],[Site Name]],SiteDB6[[Site Name]:[Ethnic or GCA/NGCA]],11,FALSE)</f>
        <v>GCA</v>
      </c>
      <c r="EN87" s="902">
        <f>VLOOKUP(WWWW[[#This Row],[Site Name]],SiteDB6[[Site Name]:[Lat]],12,FALSE)</f>
        <v>0</v>
      </c>
      <c r="EO87" s="902">
        <f>VLOOKUP(WWWW[[#This Row],[Site Name]],SiteDB6[[Site Name]:[Long]],13,FALSE)</f>
        <v>0</v>
      </c>
      <c r="EP87" s="902">
        <f>VLOOKUP(WWWW[[#This Row],[Site Name]],SiteDB6[[Site Name]:[Pcode]],3,FALSE)</f>
        <v>0</v>
      </c>
      <c r="EQ87" s="907" t="str">
        <f t="shared" si="1"/>
        <v>Covered</v>
      </c>
      <c r="ER87" s="907" t="s">
        <v>3126</v>
      </c>
      <c r="ES87" s="907" t="s">
        <v>3126</v>
      </c>
      <c r="ET87" s="902">
        <f>VLOOKUP(WWWW[[#This Row],[Site Name]],SiteDB6[[Site Name]:[Pop
(Kachin/Shan-CCCM as of May 2023)]],16,FALSE)</f>
        <v>0</v>
      </c>
      <c r="EU87" s="902">
        <f>VLOOKUP(WWWW[[#This Row],[Site Name]],SiteDB6[[Site Name]:[Pop
(Kachin/Shan-CCCM as of May 2023)]],17,FALSE)</f>
        <v>0</v>
      </c>
    </row>
    <row r="88" spans="1:151" hidden="1">
      <c r="A88" s="900" t="s">
        <v>2961</v>
      </c>
      <c r="B88" s="900" t="s">
        <v>192</v>
      </c>
      <c r="C88" s="900" t="s">
        <v>192</v>
      </c>
      <c r="D88" s="901" t="s">
        <v>2883</v>
      </c>
      <c r="E88" s="901" t="s">
        <v>37</v>
      </c>
      <c r="F88" s="901" t="s">
        <v>205</v>
      </c>
      <c r="G88" s="902" t="s">
        <v>3064</v>
      </c>
      <c r="H88" s="901" t="s">
        <v>209</v>
      </c>
      <c r="I88" s="903">
        <v>46</v>
      </c>
      <c r="J88" s="903">
        <v>263</v>
      </c>
      <c r="K88" s="904" t="s">
        <v>3131</v>
      </c>
      <c r="L88" s="905" t="s">
        <v>3132</v>
      </c>
      <c r="M88" s="903"/>
      <c r="N88" s="903"/>
      <c r="O88" s="903"/>
      <c r="P88" s="903"/>
      <c r="Q88" s="906" t="s">
        <v>41</v>
      </c>
      <c r="R88" s="903">
        <v>4</v>
      </c>
      <c r="S88" s="903"/>
      <c r="T88" s="441">
        <v>1</v>
      </c>
      <c r="U88" s="903"/>
      <c r="V88" s="903"/>
      <c r="W88" s="903">
        <v>2</v>
      </c>
      <c r="X88" s="903"/>
      <c r="Y88" s="903"/>
      <c r="Z88" s="903"/>
      <c r="AA88" s="903"/>
      <c r="AB88" s="903"/>
      <c r="AC88" s="903"/>
      <c r="AD88" s="903"/>
      <c r="AE88" s="903"/>
      <c r="AF88" s="903"/>
      <c r="AG88" s="903">
        <v>1</v>
      </c>
      <c r="AH88" s="903"/>
      <c r="AI88" s="903"/>
      <c r="AJ88" s="903"/>
      <c r="AK88" s="903"/>
      <c r="AL88" s="903"/>
      <c r="AM88" s="903"/>
      <c r="AN88" s="903"/>
      <c r="AO88" s="441"/>
      <c r="AP88" s="907"/>
      <c r="AQ88" s="903">
        <v>5</v>
      </c>
      <c r="AR88" s="903"/>
      <c r="AS88" s="908"/>
      <c r="AT88" s="903"/>
      <c r="AU88" s="903"/>
      <c r="AV88" s="903"/>
      <c r="AW88" s="903"/>
      <c r="AX88" s="903"/>
      <c r="AY88" s="902" t="s">
        <v>41</v>
      </c>
      <c r="AZ88" s="907" t="s">
        <v>137</v>
      </c>
      <c r="BA88" s="903"/>
      <c r="BB88" s="903"/>
      <c r="BC88" s="903"/>
      <c r="BD88" s="441"/>
      <c r="BE88" s="441"/>
      <c r="BF88" s="902"/>
      <c r="BG88" s="903">
        <v>2</v>
      </c>
      <c r="BH88" s="903"/>
      <c r="BI88" s="903"/>
      <c r="BJ88" s="903">
        <v>2</v>
      </c>
      <c r="BK88" s="903"/>
      <c r="BL88" s="903"/>
      <c r="BM88" s="903"/>
      <c r="BN88" s="903"/>
      <c r="BO88" s="903"/>
      <c r="BP88" s="902"/>
      <c r="BQ88" s="909"/>
      <c r="BR88" s="908"/>
      <c r="BS88" s="902"/>
      <c r="BT88" s="416"/>
      <c r="BU88" s="416"/>
      <c r="BV88" s="418"/>
      <c r="BW88" s="416"/>
      <c r="BX88" s="441"/>
      <c r="BY88" s="441"/>
      <c r="BZ88" s="441"/>
      <c r="CA88" s="441"/>
      <c r="CB88" s="441"/>
      <c r="CC88" s="693"/>
      <c r="CD88" s="441"/>
      <c r="CE88" s="910" t="str">
        <f>IFERROR(WWWW[[#This Row],['#_Water sources passed]]/WWWW[[#This Row],['#_Water sources tested for fecal coliform ]],"no test")</f>
        <v>no test</v>
      </c>
      <c r="CF88" s="908" t="str">
        <f>IFERROR(WWWW[[#This Row],['#_Household passed]]/WWWW[[#This Row],['#_Household water samples tested for fecal coliform]],"no test")</f>
        <v>no test</v>
      </c>
      <c r="CG88" s="909" t="str">
        <f>IF(AND(WWWW[[#This Row],[% of water sources passed]]="no test",WWWW[[#This Row],[% Household passed]]="no test"),"No Test","Tested")</f>
        <v>No Test</v>
      </c>
      <c r="CH88" s="909">
        <f>WWWW[[#This Row],['#_Constructed/existing protected hand dug well]]-WWWW[[#This Row],['#_Non-functional protected hand dug well]]</f>
        <v>1</v>
      </c>
      <c r="CI88" s="909">
        <f>(WWWW[[#This Row],['#_Constructed/Existing tube wells/boreholes/handpumps_WASH_agency]]+WWWW[[#This Row],['#_Non-Cluster partner water tube-wells/boreholes/handpumps]])-WWWW[[#This Row],['#_Non-functional tube wells/boreholes/handpumps]]</f>
        <v>2</v>
      </c>
      <c r="CJ88" s="909">
        <f>WWWW[[#This Row],['#_Constructed/Existingwater storage tank with gravity fed reticulation system]]-WWWW[[#This Row],['#_Non-functional storage tank gravity fed reticulation system]]</f>
        <v>0</v>
      </c>
      <c r="CK88" s="909">
        <f>(WWWW[[#This Row],['#_Water_Liters_supplied_by_Water boating or water trucking]]/90)/15</f>
        <v>0</v>
      </c>
      <c r="CL88" s="909">
        <f>WWWW[[#This Row],['#_Water_Liters_from_Constructed/Existing water distribution system from river or natural spring]]/90/15</f>
        <v>0</v>
      </c>
      <c r="CM88" s="417">
        <f>IF(WWWW[[#This Row],['#_of water points in TLS/CFS]]*500&gt;WWWW[[#This Row],[Total PoP ]],WWWW[[#This Row],[Total PoP ]],WWWW[[#This Row],['#_of water points in TLS/CFS]]*500)</f>
        <v>0</v>
      </c>
      <c r="CN88" s="417">
        <f>IF(WWWW[[#This Row],['#_of water points in THF]]*500&gt;WWWW[[#This Row],[Total PoP ]],WWWW[[#This Row],[Total PoP ]],WWWW[[#This Row],['#_of water points in THF]]*500)</f>
        <v>0</v>
      </c>
      <c r="CO88" s="417"/>
      <c r="CP88"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88"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88" s="908">
        <f>IF(WWWW[[#This Row],[Location Type 1]]="Village",WWWW[[#This Row],[Access to safe drinking water for Village]],WWWW[[#This Row],[Access to safe drinking water for Camp]])</f>
        <v>1</v>
      </c>
      <c r="CS88" s="906">
        <f>WWWW[[#This Row],[%Equitable and continuous access to sufficient quantity of safe drinking water]]*WWWW[[#This Row],[Total PoP ]]</f>
        <v>263</v>
      </c>
      <c r="CT88" s="908">
        <f>IF((WWWW[[#This Row],['#_Constructed/Existing protected/fenced ponds]]*250)/WWWW[[#This Row],[Total PoP ]]&gt;1,1,(WWWW[[#This Row],['#_Constructed/Existing protected/fenced ponds]]*250)/WWWW[[#This Row],[Total PoP ]])</f>
        <v>0</v>
      </c>
      <c r="CU88" s="906">
        <f>WWWW[[#This Row],[% Access to unimproved water points]]*WWWW[[#This Row],[Total PoP ]]</f>
        <v>0</v>
      </c>
      <c r="CV88"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88"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263</v>
      </c>
      <c r="CX88" s="906">
        <f>WWWW[[#This Row],[HRP1]]/500</f>
        <v>0.52600000000000002</v>
      </c>
      <c r="CY88" s="911">
        <f>1-WWWW[[#This Row],[% Equitable and continuous access to sufficient quantity of domestic water]]</f>
        <v>0</v>
      </c>
      <c r="CZ88" s="906">
        <f>WWWW[[#This Row],[%equitable and continuous access to sufficient quantity of safe drinking and domestic water''s GAP]]*WWWW[[#This Row],[Total PoP ]]</f>
        <v>0</v>
      </c>
      <c r="DA88" s="909">
        <f>IF(WWWW[[#This Row],[Total required water points]]-WWWW[[#This Row],['#Water points coverage]]&lt;0,0,WWWW[[#This Row],[Total required water points]]-WWWW[[#This Row],['#Water points coverage]])</f>
        <v>0.47399999999999998</v>
      </c>
      <c r="DB88" s="909">
        <f>ROUND(IF(WWWW[[#This Row],[Total PoP ]]&lt;500,1,WWWW[[#This Row],[Total PoP ]]/500),0)</f>
        <v>1</v>
      </c>
      <c r="DC88" s="909">
        <f>(WWWW[[#This Row],['#_Constructed latrines_by_WASHAgencies]]+WWWW[[#This Row],['#_Non Cluster partner latrines]])-WWWW[[#This Row],['#_Non-functional latrines]]</f>
        <v>5</v>
      </c>
      <c r="DD88" s="615">
        <f>WWWW[[#This Row],[HRP2]]/WWWW[[#This Row],[Total PoP ]]</f>
        <v>0.38022813688212925</v>
      </c>
      <c r="DE88"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88"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88"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8" s="417">
        <f>IF(WWWW[[#This Row],['# of functional latrines in THF supported by WASH partners during the reporting period2]]="",0,WWWW[[#This Row],['# of functional latrines in THF supported by WASH partners during the reporting period2]]*50)</f>
        <v>0</v>
      </c>
      <c r="DI88" s="909">
        <f>ROUND(IF(WWWW[[#This Row],[Location Type 1]]="camp",WWWW[[#This Row],[Total PoP ]]/20,IF(WWWW[[#This Row],[Location Type 1]]="Temporary Location",WWWW[[#This Row],[Total PoP ]]/50,(WWWW[[#This Row],[Total PoP ]]/6))),0)</f>
        <v>13</v>
      </c>
      <c r="DJ88" s="909">
        <f>IF(WWWW[[#This Row],[Total required Latrines]]-(WWWW[[#This Row],['#_Constructed latrines_by_WASHAgencies]]+WWWW[[#This Row],['#_Non Cluster partner latrines]])&lt;0,0,WWWW[[#This Row],[Total required Latrines]]-(WWWW[[#This Row],['#_Constructed latrines_by_WASHAgencies]]+WWWW[[#This Row],['#_Non Cluster partner latrines]]))</f>
        <v>8</v>
      </c>
      <c r="DK88" s="911">
        <f>1-WWWW[[#This Row],[% people access to functioning Latrine]]</f>
        <v>0.6197718631178708</v>
      </c>
      <c r="DL88" s="910">
        <f>IF(OR(WWWW[[#This Row],['#_Non-functional latrines]]="",WWWW[[#This Row],['#_Non-functional latrines]]=0),0,WWWW[[#This Row],['#_Non-functional latrines]]/(WWWW[[#This Row],['#_Constructed latrines_by_WASHAgencies]]+WWWW[[#This Row],['#_Non Cluster partner latrines]]))</f>
        <v>0</v>
      </c>
      <c r="DM88" s="906">
        <f>IF(500*(WWWW[[#This Row],['#_male hygiene promoters]]+WWWW[[#This Row],['#_female hygiene promoters]])&gt;WWWW[[#This Row],[Total PoP ]],WWWW[[#This Row],[Total PoP ]],500*(WWWW[[#This Row],['#_male hygiene promoters]]+WWWW[[#This Row],['#_female hygiene promoters]]))</f>
        <v>0</v>
      </c>
      <c r="DN88"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88"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88" s="909">
        <f>IF(WWWW[[#This Row],['# People with access to soap]]&gt;WWWW[[#This Row],['# People with access to Sanity Pads]],WWWW[[#This Row],['# People with access to soap]],WWWW[[#This Row],['# People with access to Sanity Pads]])</f>
        <v>0</v>
      </c>
      <c r="DQ88"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88" s="911">
        <f>IF(WWWW[[#This Row],[HRP3]]/WWWW[[#This Row],[Total PoP ]]&gt;1,1,WWWW[[#This Row],[HRP3]]/WWWW[[#This Row],[Total PoP ]])</f>
        <v>0</v>
      </c>
      <c r="DS88" s="910">
        <f>1-WWWW[[#This Row],[Hygiene Coverage%]]</f>
        <v>1</v>
      </c>
      <c r="DT88" s="908">
        <f>WWWW[[#This Row],['# people reached by regular dedicated hygiene promotion_5]]/WWWW[[#This Row],[Total PoP ]]</f>
        <v>0</v>
      </c>
      <c r="DU88"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88"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88" s="909">
        <f>WWWW[[#This Row],['#_Constructed/Existing hand washing stations]]-WWWW[[#This Row],['#_Non-Functional_hand_washing_stations]]</f>
        <v>2</v>
      </c>
      <c r="DX88" s="906">
        <f>IF(WWWW[[#This Row],['# Functional hand washing stations during reporting period]]*20&gt;WWWW[[#This Row],[Total HH]],WWWW[[#This Row],[Total HH]],WWWW[[#This Row],['# Functional hand washing stations during reporting period]]*20)</f>
        <v>40</v>
      </c>
      <c r="DY88" s="906">
        <f>IF(WWWW[[#This Row],[Is sufficient soap available for TLS? (Yes/No)]]="yes",WWWW[[#This Row],['#_Constructed/Existing hand washing stations at TLS/CFS/THF]],0)</f>
        <v>0</v>
      </c>
      <c r="DZ88" s="421">
        <f>IF(WWWW[[#This Row],['# Functional hand washing stations during reporting period]]*100&gt;WWWW[[#This Row],[Total PoP ]],WWWW[[#This Row],[Total PoP ]],WWWW[[#This Row],['# Functional hand washing stations during reporting period]]*100)</f>
        <v>200</v>
      </c>
      <c r="EA88" s="421" t="str">
        <f>IF(OR(WWWW[[#This Row],['#_students at TLS_CFS]]="",WWWW[[#This Row],['#_students at TLS_CFS]]=0),"No","Yes")</f>
        <v>No</v>
      </c>
      <c r="EB8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88" s="566">
        <f>WWWW[[#This Row],[%_of_affected_people_surveyed_who_report_feeling_satistfied_with_the_latrine_design_and_sanitation_service]]*WWWW[[#This Row],[Total PoP ]]</f>
        <v>0</v>
      </c>
      <c r="ED88" s="566">
        <f>WWWW[[#This Row],[%_of_affected_people_surveyed_who_report_feeling_satistfied_with_the_water_point_design_and_water_service]]*WWWW[[#This Row],[Total PoP ]]</f>
        <v>0</v>
      </c>
      <c r="EE88" s="566">
        <f>WWWW[[#This Row],[%_of_complaints_received_that_result_in_timely_corrective_action_and_feedback_to_the_community]]*WWWW[[#This Row],[Total PoP ]]</f>
        <v>0</v>
      </c>
      <c r="EF8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8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8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88" s="902">
        <f>VLOOKUP(WWWW[[#This Row],[Site Name]],SiteDB6[[Site Name]:[CCCM Management]],6,FALSE)</f>
        <v>0</v>
      </c>
      <c r="EJ88" s="902">
        <f>VLOOKUP(WWWW[[#This Row],[Site Name]],SiteDB6[[Site Name]:[CCCM Focal Agency]],7,FALSE)</f>
        <v>0</v>
      </c>
      <c r="EK88" s="902" t="str">
        <f>VLOOKUP(WWWW[[#This Row],[Site Name]],SiteDB6[[Site Name]:[Location Type 1]],9,FALSE)</f>
        <v>Camp</v>
      </c>
      <c r="EL88" s="902" t="str">
        <f>VLOOKUP(WWWW[[#This Row],[Site Name]],SiteDB6[[Site Name]:[Type of Accommodation]],10,FALSE)</f>
        <v>Camp</v>
      </c>
      <c r="EM88" s="902" t="str">
        <f>VLOOKUP(WWWW[[#This Row],[Site Name]],SiteDB6[[Site Name]:[Ethnic or GCA/NGCA]],11,FALSE)</f>
        <v>GCA</v>
      </c>
      <c r="EN88" s="902">
        <f>VLOOKUP(WWWW[[#This Row],[Site Name]],SiteDB6[[Site Name]:[Lat]],12,FALSE)</f>
        <v>0</v>
      </c>
      <c r="EO88" s="902">
        <f>VLOOKUP(WWWW[[#This Row],[Site Name]],SiteDB6[[Site Name]:[Long]],13,FALSE)</f>
        <v>0</v>
      </c>
      <c r="EP88" s="902">
        <f>VLOOKUP(WWWW[[#This Row],[Site Name]],SiteDB6[[Site Name]:[Pcode]],3,FALSE)</f>
        <v>0</v>
      </c>
      <c r="EQ88" s="907" t="str">
        <f t="shared" si="1"/>
        <v>Covered</v>
      </c>
      <c r="ER88" s="907" t="s">
        <v>3126</v>
      </c>
      <c r="ES88" s="907" t="s">
        <v>3126</v>
      </c>
      <c r="ET88" s="902">
        <f>VLOOKUP(WWWW[[#This Row],[Site Name]],SiteDB6[[Site Name]:[Pop
(Kachin/Shan-CCCM as of May 2023)]],16,FALSE)</f>
        <v>0</v>
      </c>
      <c r="EU88" s="902">
        <f>VLOOKUP(WWWW[[#This Row],[Site Name]],SiteDB6[[Site Name]:[Pop
(Kachin/Shan-CCCM as of May 2023)]],17,FALSE)</f>
        <v>0</v>
      </c>
    </row>
    <row r="89" spans="1:151" hidden="1">
      <c r="A89" s="900" t="s">
        <v>2961</v>
      </c>
      <c r="B89" s="900" t="s">
        <v>192</v>
      </c>
      <c r="C89" s="900" t="s">
        <v>192</v>
      </c>
      <c r="D89" s="901" t="s">
        <v>2883</v>
      </c>
      <c r="E89" s="901" t="s">
        <v>37</v>
      </c>
      <c r="F89" s="901" t="s">
        <v>205</v>
      </c>
      <c r="G89" s="902" t="str">
        <f>VLOOKUP(WWWW[[#This Row],[Site Name]],SiteDB6[[Site Name]:[Location Type]],8,FALSE)</f>
        <v>Camp</v>
      </c>
      <c r="H89" s="901" t="s">
        <v>282</v>
      </c>
      <c r="I89" s="903">
        <v>68</v>
      </c>
      <c r="J89" s="903">
        <v>426</v>
      </c>
      <c r="K89" s="904"/>
      <c r="L89" s="905"/>
      <c r="M89" s="903"/>
      <c r="N89" s="903"/>
      <c r="O89" s="903">
        <v>1</v>
      </c>
      <c r="P89" s="903"/>
      <c r="Q89" s="906" t="s">
        <v>41</v>
      </c>
      <c r="R89" s="903">
        <v>5</v>
      </c>
      <c r="S89" s="903">
        <v>6</v>
      </c>
      <c r="T89" s="441"/>
      <c r="U89" s="903"/>
      <c r="V89" s="903"/>
      <c r="W89" s="903">
        <v>1</v>
      </c>
      <c r="X89" s="903"/>
      <c r="Y89" s="903"/>
      <c r="Z89" s="903"/>
      <c r="AA89" s="903">
        <v>1</v>
      </c>
      <c r="AB89" s="903"/>
      <c r="AC89" s="903"/>
      <c r="AD89" s="903"/>
      <c r="AE89" s="903"/>
      <c r="AF89" s="903"/>
      <c r="AG89" s="903">
        <v>1</v>
      </c>
      <c r="AH89" s="903"/>
      <c r="AI89" s="903"/>
      <c r="AJ89" s="903"/>
      <c r="AK89" s="903"/>
      <c r="AL89" s="903"/>
      <c r="AM89" s="903"/>
      <c r="AN89" s="903"/>
      <c r="AO89" s="441"/>
      <c r="AP89" s="907"/>
      <c r="AQ89" s="903">
        <v>6</v>
      </c>
      <c r="AR89" s="903"/>
      <c r="AS89" s="908"/>
      <c r="AT89" s="903"/>
      <c r="AU89" s="903"/>
      <c r="AV89" s="903"/>
      <c r="AW89" s="903"/>
      <c r="AX89" s="903"/>
      <c r="AY89" s="902" t="s">
        <v>41</v>
      </c>
      <c r="AZ89" s="907" t="s">
        <v>137</v>
      </c>
      <c r="BA89" s="903"/>
      <c r="BB89" s="903">
        <v>1</v>
      </c>
      <c r="BC89" s="903"/>
      <c r="BD89" s="441"/>
      <c r="BE89" s="441">
        <v>6</v>
      </c>
      <c r="BF89" s="902"/>
      <c r="BG89" s="903">
        <v>3</v>
      </c>
      <c r="BH89" s="903"/>
      <c r="BI89" s="903"/>
      <c r="BJ89" s="903">
        <v>1</v>
      </c>
      <c r="BK89" s="903"/>
      <c r="BL89" s="903"/>
      <c r="BM89" s="903">
        <v>1</v>
      </c>
      <c r="BN89" s="903"/>
      <c r="BO89" s="903"/>
      <c r="BP89" s="902"/>
      <c r="BQ89" s="909"/>
      <c r="BR89" s="908"/>
      <c r="BS89" s="902"/>
      <c r="BT89" s="416">
        <v>0.92</v>
      </c>
      <c r="BU89" s="416">
        <v>0.92</v>
      </c>
      <c r="BV89" s="418"/>
      <c r="BW89" s="416"/>
      <c r="BX89" s="441"/>
      <c r="BY89" s="441"/>
      <c r="BZ89" s="441"/>
      <c r="CA89" s="441"/>
      <c r="CB89" s="441"/>
      <c r="CC89" s="693"/>
      <c r="CD89" s="441"/>
      <c r="CE89" s="910" t="str">
        <f>IFERROR(WWWW[[#This Row],['#_Water sources passed]]/WWWW[[#This Row],['#_Water sources tested for fecal coliform ]],"no test")</f>
        <v>no test</v>
      </c>
      <c r="CF89" s="908" t="str">
        <f>IFERROR(WWWW[[#This Row],['#_Household passed]]/WWWW[[#This Row],['#_Household water samples tested for fecal coliform]],"no test")</f>
        <v>no test</v>
      </c>
      <c r="CG89" s="909" t="str">
        <f>IF(AND(WWWW[[#This Row],[% of water sources passed]]="no test",WWWW[[#This Row],[% Household passed]]="no test"),"No Test","Tested")</f>
        <v>No Test</v>
      </c>
      <c r="CH89" s="909">
        <f>WWWW[[#This Row],['#_Constructed/existing protected hand dug well]]-WWWW[[#This Row],['#_Non-functional protected hand dug well]]</f>
        <v>0</v>
      </c>
      <c r="CI89" s="909">
        <f>(WWWW[[#This Row],['#_Constructed/Existing tube wells/boreholes/handpumps_WASH_agency]]+WWWW[[#This Row],['#_Non-Cluster partner water tube-wells/boreholes/handpumps]])-WWWW[[#This Row],['#_Non-functional tube wells/boreholes/handpumps]]</f>
        <v>1</v>
      </c>
      <c r="CJ89" s="909">
        <f>WWWW[[#This Row],['#_Constructed/Existingwater storage tank with gravity fed reticulation system]]-WWWW[[#This Row],['#_Non-functional storage tank gravity fed reticulation system]]</f>
        <v>1</v>
      </c>
      <c r="CK89" s="909">
        <f>(WWWW[[#This Row],['#_Water_Liters_supplied_by_Water boating or water trucking]]/90)/15</f>
        <v>0</v>
      </c>
      <c r="CL89" s="909">
        <f>WWWW[[#This Row],['#_Water_Liters_from_Constructed/Existing water distribution system from river or natural spring]]/90/15</f>
        <v>0</v>
      </c>
      <c r="CM89" s="417">
        <f>IF(WWWW[[#This Row],['#_of water points in TLS/CFS]]*500&gt;WWWW[[#This Row],[Total PoP ]],WWWW[[#This Row],[Total PoP ]],WWWW[[#This Row],['#_of water points in TLS/CFS]]*500)</f>
        <v>0</v>
      </c>
      <c r="CN89" s="417">
        <f>IF(WWWW[[#This Row],['#_of water points in THF]]*500&gt;WWWW[[#This Row],[Total PoP ]],WWWW[[#This Row],[Total PoP ]],WWWW[[#This Row],['#_of water points in THF]]*500)</f>
        <v>0</v>
      </c>
      <c r="CO89" s="417"/>
      <c r="CP89"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89"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0.74334898278560257</v>
      </c>
      <c r="CR89" s="908">
        <f>IF(WWWW[[#This Row],[Location Type 1]]="Village",WWWW[[#This Row],[Access to safe drinking water for Village]],WWWW[[#This Row],[Access to safe drinking water for Camp]])</f>
        <v>1</v>
      </c>
      <c r="CS89" s="906">
        <f>WWWW[[#This Row],[%Equitable and continuous access to sufficient quantity of safe drinking water]]*WWWW[[#This Row],[Total PoP ]]</f>
        <v>426</v>
      </c>
      <c r="CT89" s="908">
        <f>IF((WWWW[[#This Row],['#_Constructed/Existing protected/fenced ponds]]*250)/WWWW[[#This Row],[Total PoP ]]&gt;1,1,(WWWW[[#This Row],['#_Constructed/Existing protected/fenced ponds]]*250)/WWWW[[#This Row],[Total PoP ]])</f>
        <v>0</v>
      </c>
      <c r="CU89" s="906">
        <f>WWWW[[#This Row],[% Access to unimproved water points]]*WWWW[[#This Row],[Total PoP ]]</f>
        <v>0</v>
      </c>
      <c r="CV89"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89"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426</v>
      </c>
      <c r="CX89" s="906">
        <f>WWWW[[#This Row],[HRP1]]/500</f>
        <v>0.85199999999999998</v>
      </c>
      <c r="CY89" s="911">
        <f>1-WWWW[[#This Row],[% Equitable and continuous access to sufficient quantity of domestic water]]</f>
        <v>0</v>
      </c>
      <c r="CZ89" s="906">
        <f>WWWW[[#This Row],[%equitable and continuous access to sufficient quantity of safe drinking and domestic water''s GAP]]*WWWW[[#This Row],[Total PoP ]]</f>
        <v>0</v>
      </c>
      <c r="DA89" s="909">
        <f>IF(WWWW[[#This Row],[Total required water points]]-WWWW[[#This Row],['#Water points coverage]]&lt;0,0,WWWW[[#This Row],[Total required water points]]-WWWW[[#This Row],['#Water points coverage]])</f>
        <v>0.14800000000000002</v>
      </c>
      <c r="DB89" s="909">
        <f>ROUND(IF(WWWW[[#This Row],[Total PoP ]]&lt;500,1,WWWW[[#This Row],[Total PoP ]]/500),0)</f>
        <v>1</v>
      </c>
      <c r="DC89" s="909">
        <f>(WWWW[[#This Row],['#_Constructed latrines_by_WASHAgencies]]+WWWW[[#This Row],['#_Non Cluster partner latrines]])-WWWW[[#This Row],['#_Non-functional latrines]]</f>
        <v>6</v>
      </c>
      <c r="DD89" s="615">
        <f>WWWW[[#This Row],[HRP2]]/WWWW[[#This Row],[Total PoP ]]</f>
        <v>0.29577464788732394</v>
      </c>
      <c r="DE89"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126</v>
      </c>
      <c r="DF89"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89"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89" s="417">
        <f>IF(WWWW[[#This Row],['# of functional latrines in THF supported by WASH partners during the reporting period2]]="",0,WWWW[[#This Row],['# of functional latrines in THF supported by WASH partners during the reporting period2]]*50)</f>
        <v>0</v>
      </c>
      <c r="DI89" s="909">
        <f>ROUND(IF(WWWW[[#This Row],[Location Type 1]]="camp",WWWW[[#This Row],[Total PoP ]]/20,IF(WWWW[[#This Row],[Location Type 1]]="Temporary Location",WWWW[[#This Row],[Total PoP ]]/50,(WWWW[[#This Row],[Total PoP ]]/6))),0)</f>
        <v>21</v>
      </c>
      <c r="DJ89" s="909">
        <f>IF(WWWW[[#This Row],[Total required Latrines]]-(WWWW[[#This Row],['#_Constructed latrines_by_WASHAgencies]]+WWWW[[#This Row],['#_Non Cluster partner latrines]])&lt;0,0,WWWW[[#This Row],[Total required Latrines]]-(WWWW[[#This Row],['#_Constructed latrines_by_WASHAgencies]]+WWWW[[#This Row],['#_Non Cluster partner latrines]]))</f>
        <v>15</v>
      </c>
      <c r="DK89" s="911">
        <f>1-WWWW[[#This Row],[% people access to functioning Latrine]]</f>
        <v>0.70422535211267601</v>
      </c>
      <c r="DL89" s="910">
        <f>IF(OR(WWWW[[#This Row],['#_Non-functional latrines]]="",WWWW[[#This Row],['#_Non-functional latrines]]=0),0,WWWW[[#This Row],['#_Non-functional latrines]]/(WWWW[[#This Row],['#_Constructed latrines_by_WASHAgencies]]+WWWW[[#This Row],['#_Non Cluster partner latrines]]))</f>
        <v>0</v>
      </c>
      <c r="DM89" s="906">
        <f>IF(500*(WWWW[[#This Row],['#_male hygiene promoters]]+WWWW[[#This Row],['#_female hygiene promoters]])&gt;WWWW[[#This Row],[Total PoP ]],WWWW[[#This Row],[Total PoP ]],500*(WWWW[[#This Row],['#_male hygiene promoters]]+WWWW[[#This Row],['#_female hygiene promoters]]))</f>
        <v>426</v>
      </c>
      <c r="DN89"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89"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89" s="909">
        <f>IF(WWWW[[#This Row],['# People with access to soap]]&gt;WWWW[[#This Row],['# People with access to Sanity Pads]],WWWW[[#This Row],['# People with access to soap]],WWWW[[#This Row],['# People with access to Sanity Pads]])</f>
        <v>0</v>
      </c>
      <c r="DQ89" s="909">
        <f>IF(WWWW[[#This Row],['# people reached by regular dedicated hygiene promotion_5]]&gt;WWWW[[#This Row],['# People received regular supply of hygiene items_6]],WWWW[[#This Row],['# people reached by regular dedicated hygiene promotion_5]],WWWW[[#This Row],['# People received regular supply of hygiene items_6]])</f>
        <v>426</v>
      </c>
      <c r="DR89" s="911">
        <f>IF(WWWW[[#This Row],[HRP3]]/WWWW[[#This Row],[Total PoP ]]&gt;1,1,WWWW[[#This Row],[HRP3]]/WWWW[[#This Row],[Total PoP ]])</f>
        <v>1</v>
      </c>
      <c r="DS89" s="910">
        <f>1-WWWW[[#This Row],[Hygiene Coverage%]]</f>
        <v>0</v>
      </c>
      <c r="DT89" s="908">
        <f>WWWW[[#This Row],['# people reached by regular dedicated hygiene promotion_5]]/WWWW[[#This Row],[Total PoP ]]</f>
        <v>1</v>
      </c>
      <c r="DU89"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89"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89" s="909">
        <f>WWWW[[#This Row],['#_Constructed/Existing hand washing stations]]-WWWW[[#This Row],['#_Non-Functional_hand_washing_stations]]</f>
        <v>3</v>
      </c>
      <c r="DX89" s="906">
        <f>IF(WWWW[[#This Row],['# Functional hand washing stations during reporting period]]*20&gt;WWWW[[#This Row],[Total HH]],WWWW[[#This Row],[Total HH]],WWWW[[#This Row],['# Functional hand washing stations during reporting period]]*20)</f>
        <v>60</v>
      </c>
      <c r="DY89" s="906">
        <f>IF(WWWW[[#This Row],[Is sufficient soap available for TLS? (Yes/No)]]="yes",WWWW[[#This Row],['#_Constructed/Existing hand washing stations at TLS/CFS/THF]],0)</f>
        <v>0</v>
      </c>
      <c r="DZ89" s="421">
        <f>IF(WWWW[[#This Row],['# Functional hand washing stations during reporting period]]*100&gt;WWWW[[#This Row],[Total PoP ]],WWWW[[#This Row],[Total PoP ]],WWWW[[#This Row],['# Functional hand washing stations during reporting period]]*100)</f>
        <v>300</v>
      </c>
      <c r="EA89" s="421" t="str">
        <f>IF(OR(WWWW[[#This Row],['#_students at TLS_CFS]]="",WWWW[[#This Row],['#_students at TLS_CFS]]=0),"No","Yes")</f>
        <v>No</v>
      </c>
      <c r="EB8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89" s="566">
        <f>WWWW[[#This Row],[%_of_affected_people_surveyed_who_report_feeling_satistfied_with_the_latrine_design_and_sanitation_service]]*WWWW[[#This Row],[Total PoP ]]</f>
        <v>391.92</v>
      </c>
      <c r="ED89" s="566">
        <f>WWWW[[#This Row],[%_of_affected_people_surveyed_who_report_feeling_satistfied_with_the_water_point_design_and_water_service]]*WWWW[[#This Row],[Total PoP ]]</f>
        <v>391.92</v>
      </c>
      <c r="EE89" s="566">
        <f>WWWW[[#This Row],[%_of_complaints_received_that_result_in_timely_corrective_action_and_feedback_to_the_community]]*WWWW[[#This Row],[Total PoP ]]</f>
        <v>0</v>
      </c>
      <c r="EF8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391.92</v>
      </c>
      <c r="EG8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8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89" s="902" t="str">
        <f>VLOOKUP(WWWW[[#This Row],[Site Name]],SiteDB6[[Site Name]:[CCCM Management]],6,FALSE)</f>
        <v>Yes</v>
      </c>
      <c r="EJ89" s="902" t="str">
        <f>VLOOKUP(WWWW[[#This Row],[Site Name]],SiteDB6[[Site Name]:[CCCM Focal Agency]],7,FALSE)</f>
        <v>KMSS-BMO</v>
      </c>
      <c r="EK89" s="902" t="str">
        <f>VLOOKUP(WWWW[[#This Row],[Site Name]],SiteDB6[[Site Name]:[Location Type 1]],9,FALSE)</f>
        <v>Camp</v>
      </c>
      <c r="EL89" s="902" t="str">
        <f>VLOOKUP(WWWW[[#This Row],[Site Name]],SiteDB6[[Site Name]:[Type of Accommodation]],10,FALSE)</f>
        <v>Camp</v>
      </c>
      <c r="EM89" s="902" t="str">
        <f>VLOOKUP(WWWW[[#This Row],[Site Name]],SiteDB6[[Site Name]:[Ethnic or GCA/NGCA]],11,FALSE)</f>
        <v>GCA</v>
      </c>
      <c r="EN89" s="902">
        <f>VLOOKUP(WWWW[[#This Row],[Site Name]],SiteDB6[[Site Name]:[Lat]],12,FALSE)</f>
        <v>24.205417000000001</v>
      </c>
      <c r="EO89" s="902">
        <f>VLOOKUP(WWWW[[#This Row],[Site Name]],SiteDB6[[Site Name]:[Long]],13,FALSE)</f>
        <v>97.724566999999993</v>
      </c>
      <c r="EP89" s="902" t="str">
        <f>VLOOKUP(WWWW[[#This Row],[Site Name]],SiteDB6[[Site Name]:[Pcode]],3,FALSE)</f>
        <v>MMR001CMP069</v>
      </c>
      <c r="EQ89" s="907" t="str">
        <f t="shared" si="1"/>
        <v>Covered</v>
      </c>
      <c r="ER89" s="907" t="s">
        <v>3126</v>
      </c>
      <c r="ES89" s="907" t="s">
        <v>3126</v>
      </c>
      <c r="ET89" s="902">
        <f>VLOOKUP(WWWW[[#This Row],[Site Name]],SiteDB6[[Site Name]:[Pop
(Kachin/Shan-CCCM as of May 2023)]],16,FALSE)</f>
        <v>81</v>
      </c>
      <c r="EU89" s="902">
        <f>VLOOKUP(WWWW[[#This Row],[Site Name]],SiteDB6[[Site Name]:[Pop
(Kachin/Shan-CCCM as of May 2023)]],17,FALSE)</f>
        <v>451</v>
      </c>
    </row>
    <row r="90" spans="1:151" hidden="1">
      <c r="A90" s="900" t="s">
        <v>2961</v>
      </c>
      <c r="B90" s="900" t="s">
        <v>192</v>
      </c>
      <c r="C90" s="900" t="s">
        <v>192</v>
      </c>
      <c r="D90" s="901" t="s">
        <v>2883</v>
      </c>
      <c r="E90" s="901" t="s">
        <v>37</v>
      </c>
      <c r="F90" s="901" t="s">
        <v>205</v>
      </c>
      <c r="G90" s="902" t="str">
        <f>VLOOKUP(WWWW[[#This Row],[Site Name]],SiteDB6[[Site Name]:[Location Type]],8,FALSE)</f>
        <v>Camp</v>
      </c>
      <c r="H90" s="901" t="s">
        <v>210</v>
      </c>
      <c r="I90" s="903">
        <v>127</v>
      </c>
      <c r="J90" s="903">
        <v>741</v>
      </c>
      <c r="K90" s="904"/>
      <c r="L90" s="905"/>
      <c r="M90" s="903"/>
      <c r="N90" s="903"/>
      <c r="O90" s="903"/>
      <c r="P90" s="903"/>
      <c r="Q90" s="906" t="s">
        <v>41</v>
      </c>
      <c r="R90" s="903">
        <v>3</v>
      </c>
      <c r="S90" s="903">
        <v>3</v>
      </c>
      <c r="T90" s="441"/>
      <c r="U90" s="903"/>
      <c r="V90" s="903"/>
      <c r="W90" s="903">
        <v>3</v>
      </c>
      <c r="X90" s="903"/>
      <c r="Y90" s="903"/>
      <c r="Z90" s="903"/>
      <c r="AA90" s="903"/>
      <c r="AB90" s="903"/>
      <c r="AC90" s="903"/>
      <c r="AD90" s="903"/>
      <c r="AE90" s="903"/>
      <c r="AF90" s="903"/>
      <c r="AG90" s="903">
        <v>1</v>
      </c>
      <c r="AH90" s="903"/>
      <c r="AI90" s="903"/>
      <c r="AJ90" s="903"/>
      <c r="AK90" s="903"/>
      <c r="AL90" s="903"/>
      <c r="AM90" s="903"/>
      <c r="AN90" s="903"/>
      <c r="AO90" s="441"/>
      <c r="AP90" s="907"/>
      <c r="AQ90" s="903">
        <v>50</v>
      </c>
      <c r="AR90" s="903"/>
      <c r="AS90" s="908"/>
      <c r="AT90" s="903"/>
      <c r="AU90" s="903"/>
      <c r="AV90" s="903"/>
      <c r="AW90" s="903"/>
      <c r="AX90" s="903"/>
      <c r="AY90" s="902" t="s">
        <v>41</v>
      </c>
      <c r="AZ90" s="907" t="s">
        <v>137</v>
      </c>
      <c r="BA90" s="903"/>
      <c r="BB90" s="903"/>
      <c r="BC90" s="903"/>
      <c r="BD90" s="441"/>
      <c r="BE90" s="441"/>
      <c r="BF90" s="902"/>
      <c r="BG90" s="903">
        <v>8</v>
      </c>
      <c r="BH90" s="903"/>
      <c r="BI90" s="903"/>
      <c r="BJ90" s="903">
        <v>7</v>
      </c>
      <c r="BK90" s="903"/>
      <c r="BL90" s="903"/>
      <c r="BM90" s="903"/>
      <c r="BN90" s="903"/>
      <c r="BO90" s="903"/>
      <c r="BP90" s="902"/>
      <c r="BQ90" s="909"/>
      <c r="BR90" s="908"/>
      <c r="BS90" s="902"/>
      <c r="BT90" s="416"/>
      <c r="BU90" s="416"/>
      <c r="BV90" s="418"/>
      <c r="BW90" s="416"/>
      <c r="BX90" s="441"/>
      <c r="BY90" s="441"/>
      <c r="BZ90" s="441"/>
      <c r="CA90" s="441"/>
      <c r="CB90" s="441"/>
      <c r="CC90" s="693"/>
      <c r="CD90" s="441"/>
      <c r="CE90" s="910" t="str">
        <f>IFERROR(WWWW[[#This Row],['#_Water sources passed]]/WWWW[[#This Row],['#_Water sources tested for fecal coliform ]],"no test")</f>
        <v>no test</v>
      </c>
      <c r="CF90" s="908" t="str">
        <f>IFERROR(WWWW[[#This Row],['#_Household passed]]/WWWW[[#This Row],['#_Household water samples tested for fecal coliform]],"no test")</f>
        <v>no test</v>
      </c>
      <c r="CG90" s="909" t="str">
        <f>IF(AND(WWWW[[#This Row],[% of water sources passed]]="no test",WWWW[[#This Row],[% Household passed]]="no test"),"No Test","Tested")</f>
        <v>No Test</v>
      </c>
      <c r="CH90" s="909">
        <f>WWWW[[#This Row],['#_Constructed/existing protected hand dug well]]-WWWW[[#This Row],['#_Non-functional protected hand dug well]]</f>
        <v>0</v>
      </c>
      <c r="CI90" s="909">
        <f>(WWWW[[#This Row],['#_Constructed/Existing tube wells/boreholes/handpumps_WASH_agency]]+WWWW[[#This Row],['#_Non-Cluster partner water tube-wells/boreholes/handpumps]])-WWWW[[#This Row],['#_Non-functional tube wells/boreholes/handpumps]]</f>
        <v>3</v>
      </c>
      <c r="CJ90" s="909">
        <f>WWWW[[#This Row],['#_Constructed/Existingwater storage tank with gravity fed reticulation system]]-WWWW[[#This Row],['#_Non-functional storage tank gravity fed reticulation system]]</f>
        <v>0</v>
      </c>
      <c r="CK90" s="909">
        <f>(WWWW[[#This Row],['#_Water_Liters_supplied_by_Water boating or water trucking]]/90)/15</f>
        <v>0</v>
      </c>
      <c r="CL90" s="909">
        <f>WWWW[[#This Row],['#_Water_Liters_from_Constructed/Existing water distribution system from river or natural spring]]/90/15</f>
        <v>0</v>
      </c>
      <c r="CM90" s="417">
        <f>IF(WWWW[[#This Row],['#_of water points in TLS/CFS]]*500&gt;WWWW[[#This Row],[Total PoP ]],WWWW[[#This Row],[Total PoP ]],WWWW[[#This Row],['#_of water points in TLS/CFS]]*500)</f>
        <v>0</v>
      </c>
      <c r="CN90" s="417">
        <f>IF(WWWW[[#This Row],['#_of water points in THF]]*500&gt;WWWW[[#This Row],[Total PoP ]],WWWW[[#This Row],[Total PoP ]],WWWW[[#This Row],['#_of water points in THF]]*500)</f>
        <v>0</v>
      </c>
      <c r="CO90" s="417"/>
      <c r="CP90"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90"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90" s="908">
        <f>IF(WWWW[[#This Row],[Location Type 1]]="Village",WWWW[[#This Row],[Access to safe drinking water for Village]],WWWW[[#This Row],[Access to safe drinking water for Camp]])</f>
        <v>1</v>
      </c>
      <c r="CS90" s="906">
        <f>WWWW[[#This Row],[%Equitable and continuous access to sufficient quantity of safe drinking water]]*WWWW[[#This Row],[Total PoP ]]</f>
        <v>741</v>
      </c>
      <c r="CT90" s="908">
        <f>IF((WWWW[[#This Row],['#_Constructed/Existing protected/fenced ponds]]*250)/WWWW[[#This Row],[Total PoP ]]&gt;1,1,(WWWW[[#This Row],['#_Constructed/Existing protected/fenced ponds]]*250)/WWWW[[#This Row],[Total PoP ]])</f>
        <v>0</v>
      </c>
      <c r="CU90" s="906">
        <f>WWWW[[#This Row],[% Access to unimproved water points]]*WWWW[[#This Row],[Total PoP ]]</f>
        <v>0</v>
      </c>
      <c r="CV90"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90"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741</v>
      </c>
      <c r="CX90" s="906">
        <f>WWWW[[#This Row],[HRP1]]/500</f>
        <v>1.482</v>
      </c>
      <c r="CY90" s="911">
        <f>1-WWWW[[#This Row],[% Equitable and continuous access to sufficient quantity of domestic water]]</f>
        <v>0</v>
      </c>
      <c r="CZ90" s="906">
        <f>WWWW[[#This Row],[%equitable and continuous access to sufficient quantity of safe drinking and domestic water''s GAP]]*WWWW[[#This Row],[Total PoP ]]</f>
        <v>0</v>
      </c>
      <c r="DA90" s="909">
        <f>IF(WWWW[[#This Row],[Total required water points]]-WWWW[[#This Row],['#Water points coverage]]&lt;0,0,WWWW[[#This Row],[Total required water points]]-WWWW[[#This Row],['#Water points coverage]])</f>
        <v>0</v>
      </c>
      <c r="DB90" s="909">
        <f>ROUND(IF(WWWW[[#This Row],[Total PoP ]]&lt;500,1,WWWW[[#This Row],[Total PoP ]]/500),0)</f>
        <v>1</v>
      </c>
      <c r="DC90" s="909">
        <f>(WWWW[[#This Row],['#_Constructed latrines_by_WASHAgencies]]+WWWW[[#This Row],['#_Non Cluster partner latrines]])-WWWW[[#This Row],['#_Non-functional latrines]]</f>
        <v>50</v>
      </c>
      <c r="DD90" s="615">
        <f>WWWW[[#This Row],[HRP2]]/WWWW[[#This Row],[Total PoP ]]</f>
        <v>1</v>
      </c>
      <c r="DE90"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741</v>
      </c>
      <c r="DF90"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0"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0" s="417">
        <f>IF(WWWW[[#This Row],['# of functional latrines in THF supported by WASH partners during the reporting period2]]="",0,WWWW[[#This Row],['# of functional latrines in THF supported by WASH partners during the reporting period2]]*50)</f>
        <v>0</v>
      </c>
      <c r="DI90" s="909">
        <f>ROUND(IF(WWWW[[#This Row],[Location Type 1]]="camp",WWWW[[#This Row],[Total PoP ]]/20,IF(WWWW[[#This Row],[Location Type 1]]="Temporary Location",WWWW[[#This Row],[Total PoP ]]/50,(WWWW[[#This Row],[Total PoP ]]/6))),0)</f>
        <v>37</v>
      </c>
      <c r="DJ90" s="909">
        <f>IF(WWWW[[#This Row],[Total required Latrines]]-(WWWW[[#This Row],['#_Constructed latrines_by_WASHAgencies]]+WWWW[[#This Row],['#_Non Cluster partner latrines]])&lt;0,0,WWWW[[#This Row],[Total required Latrines]]-(WWWW[[#This Row],['#_Constructed latrines_by_WASHAgencies]]+WWWW[[#This Row],['#_Non Cluster partner latrines]]))</f>
        <v>0</v>
      </c>
      <c r="DK90" s="911">
        <f>1-WWWW[[#This Row],[% people access to functioning Latrine]]</f>
        <v>0</v>
      </c>
      <c r="DL90" s="910">
        <f>IF(OR(WWWW[[#This Row],['#_Non-functional latrines]]="",WWWW[[#This Row],['#_Non-functional latrines]]=0),0,WWWW[[#This Row],['#_Non-functional latrines]]/(WWWW[[#This Row],['#_Constructed latrines_by_WASHAgencies]]+WWWW[[#This Row],['#_Non Cluster partner latrines]]))</f>
        <v>0</v>
      </c>
      <c r="DM90" s="906">
        <f>IF(500*(WWWW[[#This Row],['#_male hygiene promoters]]+WWWW[[#This Row],['#_female hygiene promoters]])&gt;WWWW[[#This Row],[Total PoP ]],WWWW[[#This Row],[Total PoP ]],500*(WWWW[[#This Row],['#_male hygiene promoters]]+WWWW[[#This Row],['#_female hygiene promoters]]))</f>
        <v>0</v>
      </c>
      <c r="DN90"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0"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0" s="909">
        <f>IF(WWWW[[#This Row],['# People with access to soap]]&gt;WWWW[[#This Row],['# People with access to Sanity Pads]],WWWW[[#This Row],['# People with access to soap]],WWWW[[#This Row],['# People with access to Sanity Pads]])</f>
        <v>0</v>
      </c>
      <c r="DQ90"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90" s="911">
        <f>IF(WWWW[[#This Row],[HRP3]]/WWWW[[#This Row],[Total PoP ]]&gt;1,1,WWWW[[#This Row],[HRP3]]/WWWW[[#This Row],[Total PoP ]])</f>
        <v>0</v>
      </c>
      <c r="DS90" s="910">
        <f>1-WWWW[[#This Row],[Hygiene Coverage%]]</f>
        <v>1</v>
      </c>
      <c r="DT90" s="908">
        <f>WWWW[[#This Row],['# people reached by regular dedicated hygiene promotion_5]]/WWWW[[#This Row],[Total PoP ]]</f>
        <v>0</v>
      </c>
      <c r="DU90"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0"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0" s="909">
        <f>WWWW[[#This Row],['#_Constructed/Existing hand washing stations]]-WWWW[[#This Row],['#_Non-Functional_hand_washing_stations]]</f>
        <v>8</v>
      </c>
      <c r="DX90" s="906">
        <f>IF(WWWW[[#This Row],['# Functional hand washing stations during reporting period]]*20&gt;WWWW[[#This Row],[Total HH]],WWWW[[#This Row],[Total HH]],WWWW[[#This Row],['# Functional hand washing stations during reporting period]]*20)</f>
        <v>127</v>
      </c>
      <c r="DY90" s="906">
        <f>IF(WWWW[[#This Row],[Is sufficient soap available for TLS? (Yes/No)]]="yes",WWWW[[#This Row],['#_Constructed/Existing hand washing stations at TLS/CFS/THF]],0)</f>
        <v>0</v>
      </c>
      <c r="DZ90" s="421">
        <f>IF(WWWW[[#This Row],['# Functional hand washing stations during reporting period]]*100&gt;WWWW[[#This Row],[Total PoP ]],WWWW[[#This Row],[Total PoP ]],WWWW[[#This Row],['# Functional hand washing stations during reporting period]]*100)</f>
        <v>741</v>
      </c>
      <c r="EA90" s="421" t="str">
        <f>IF(OR(WWWW[[#This Row],['#_students at TLS_CFS]]="",WWWW[[#This Row],['#_students at TLS_CFS]]=0),"No","Yes")</f>
        <v>No</v>
      </c>
      <c r="EB9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90" s="566">
        <f>WWWW[[#This Row],[%_of_affected_people_surveyed_who_report_feeling_satistfied_with_the_latrine_design_and_sanitation_service]]*WWWW[[#This Row],[Total PoP ]]</f>
        <v>0</v>
      </c>
      <c r="ED90" s="566">
        <f>WWWW[[#This Row],[%_of_affected_people_surveyed_who_report_feeling_satistfied_with_the_water_point_design_and_water_service]]*WWWW[[#This Row],[Total PoP ]]</f>
        <v>0</v>
      </c>
      <c r="EE90" s="566">
        <f>WWWW[[#This Row],[%_of_complaints_received_that_result_in_timely_corrective_action_and_feedback_to_the_community]]*WWWW[[#This Row],[Total PoP ]]</f>
        <v>0</v>
      </c>
      <c r="EF9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9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9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0" s="902" t="str">
        <f>VLOOKUP(WWWW[[#This Row],[Site Name]],SiteDB6[[Site Name]:[CCCM Management]],6,FALSE)</f>
        <v>Yes</v>
      </c>
      <c r="EJ90" s="902" t="str">
        <f>VLOOKUP(WWWW[[#This Row],[Site Name]],SiteDB6[[Site Name]:[CCCM Focal Agency]],7,FALSE)</f>
        <v>KMSS-BMO</v>
      </c>
      <c r="EK90" s="902" t="str">
        <f>VLOOKUP(WWWW[[#This Row],[Site Name]],SiteDB6[[Site Name]:[Location Type 1]],9,FALSE)</f>
        <v>Camp</v>
      </c>
      <c r="EL90" s="902" t="str">
        <f>VLOOKUP(WWWW[[#This Row],[Site Name]],SiteDB6[[Site Name]:[Type of Accommodation]],10,FALSE)</f>
        <v>Camp</v>
      </c>
      <c r="EM90" s="902" t="str">
        <f>VLOOKUP(WWWW[[#This Row],[Site Name]],SiteDB6[[Site Name]:[Ethnic or GCA/NGCA]],11,FALSE)</f>
        <v>GCA</v>
      </c>
      <c r="EN90" s="902">
        <f>VLOOKUP(WWWW[[#This Row],[Site Name]],SiteDB6[[Site Name]:[Lat]],12,FALSE)</f>
        <v>24.245100000000001</v>
      </c>
      <c r="EO90" s="902">
        <f>VLOOKUP(WWWW[[#This Row],[Site Name]],SiteDB6[[Site Name]:[Long]],13,FALSE)</f>
        <v>97.325019999999995</v>
      </c>
      <c r="EP90" s="902" t="str">
        <f>VLOOKUP(WWWW[[#This Row],[Site Name]],SiteDB6[[Site Name]:[Pcode]],3,FALSE)</f>
        <v>MMR001CMP062</v>
      </c>
      <c r="EQ90" s="907" t="str">
        <f t="shared" si="1"/>
        <v>Covered</v>
      </c>
      <c r="ER90" s="907" t="s">
        <v>3126</v>
      </c>
      <c r="ES90" s="907" t="s">
        <v>3126</v>
      </c>
      <c r="ET90" s="902">
        <f>VLOOKUP(WWWW[[#This Row],[Site Name]],SiteDB6[[Site Name]:[Pop
(Kachin/Shan-CCCM as of May 2023)]],16,FALSE)</f>
        <v>93</v>
      </c>
      <c r="EU90" s="902">
        <f>VLOOKUP(WWWW[[#This Row],[Site Name]],SiteDB6[[Site Name]:[Pop
(Kachin/Shan-CCCM as of May 2023)]],17,FALSE)</f>
        <v>441</v>
      </c>
    </row>
    <row r="91" spans="1:151" hidden="1">
      <c r="A91" s="900" t="s">
        <v>2961</v>
      </c>
      <c r="B91" s="900" t="s">
        <v>192</v>
      </c>
      <c r="C91" s="900" t="s">
        <v>192</v>
      </c>
      <c r="D91" s="901" t="s">
        <v>2883</v>
      </c>
      <c r="E91" s="901" t="s">
        <v>37</v>
      </c>
      <c r="F91" s="901" t="s">
        <v>205</v>
      </c>
      <c r="G91" s="902" t="str">
        <f>VLOOKUP(WWWW[[#This Row],[Site Name]],SiteDB6[[Site Name]:[Location Type]],8,FALSE)</f>
        <v>Camp</v>
      </c>
      <c r="H91" s="901" t="s">
        <v>213</v>
      </c>
      <c r="I91" s="903">
        <v>86</v>
      </c>
      <c r="J91" s="903">
        <v>424</v>
      </c>
      <c r="K91" s="904" t="s">
        <v>3131</v>
      </c>
      <c r="L91" s="905" t="s">
        <v>3132</v>
      </c>
      <c r="M91" s="903"/>
      <c r="N91" s="903"/>
      <c r="O91" s="903"/>
      <c r="P91" s="903"/>
      <c r="Q91" s="906" t="s">
        <v>41</v>
      </c>
      <c r="R91" s="903">
        <v>2</v>
      </c>
      <c r="S91" s="903">
        <v>5</v>
      </c>
      <c r="T91" s="441">
        <v>2</v>
      </c>
      <c r="U91" s="903"/>
      <c r="V91" s="903"/>
      <c r="W91" s="903"/>
      <c r="X91" s="903"/>
      <c r="Y91" s="903"/>
      <c r="Z91" s="903"/>
      <c r="AA91" s="903"/>
      <c r="AB91" s="903"/>
      <c r="AC91" s="903"/>
      <c r="AD91" s="903"/>
      <c r="AE91" s="903"/>
      <c r="AF91" s="903"/>
      <c r="AG91" s="903">
        <v>1</v>
      </c>
      <c r="AH91" s="903"/>
      <c r="AI91" s="903"/>
      <c r="AJ91" s="903"/>
      <c r="AK91" s="903"/>
      <c r="AL91" s="903"/>
      <c r="AM91" s="903"/>
      <c r="AN91" s="903"/>
      <c r="AO91" s="441"/>
      <c r="AP91" s="907"/>
      <c r="AQ91" s="903">
        <v>6</v>
      </c>
      <c r="AR91" s="903"/>
      <c r="AS91" s="908"/>
      <c r="AT91" s="903"/>
      <c r="AU91" s="903"/>
      <c r="AV91" s="903"/>
      <c r="AW91" s="903"/>
      <c r="AX91" s="903"/>
      <c r="AY91" s="902" t="s">
        <v>41</v>
      </c>
      <c r="AZ91" s="907" t="s">
        <v>137</v>
      </c>
      <c r="BA91" s="903"/>
      <c r="BB91" s="903"/>
      <c r="BC91" s="903"/>
      <c r="BD91" s="441"/>
      <c r="BE91" s="441"/>
      <c r="BF91" s="902"/>
      <c r="BG91" s="903"/>
      <c r="BH91" s="903"/>
      <c r="BI91" s="903"/>
      <c r="BJ91" s="903">
        <v>1</v>
      </c>
      <c r="BK91" s="903"/>
      <c r="BL91" s="903"/>
      <c r="BM91" s="903"/>
      <c r="BN91" s="903"/>
      <c r="BO91" s="903"/>
      <c r="BP91" s="902"/>
      <c r="BQ91" s="909"/>
      <c r="BR91" s="908"/>
      <c r="BS91" s="902"/>
      <c r="BT91" s="416"/>
      <c r="BU91" s="416"/>
      <c r="BV91" s="418"/>
      <c r="BW91" s="416"/>
      <c r="BX91" s="441"/>
      <c r="BY91" s="441"/>
      <c r="BZ91" s="441"/>
      <c r="CA91" s="441"/>
      <c r="CB91" s="441"/>
      <c r="CC91" s="693"/>
      <c r="CD91" s="441"/>
      <c r="CE91" s="910" t="str">
        <f>IFERROR(WWWW[[#This Row],['#_Water sources passed]]/WWWW[[#This Row],['#_Water sources tested for fecal coliform ]],"no test")</f>
        <v>no test</v>
      </c>
      <c r="CF91" s="908" t="str">
        <f>IFERROR(WWWW[[#This Row],['#_Household passed]]/WWWW[[#This Row],['#_Household water samples tested for fecal coliform]],"no test")</f>
        <v>no test</v>
      </c>
      <c r="CG91" s="909" t="str">
        <f>IF(AND(WWWW[[#This Row],[% of water sources passed]]="no test",WWWW[[#This Row],[% Household passed]]="no test"),"No Test","Tested")</f>
        <v>No Test</v>
      </c>
      <c r="CH91" s="909">
        <f>WWWW[[#This Row],['#_Constructed/existing protected hand dug well]]-WWWW[[#This Row],['#_Non-functional protected hand dug well]]</f>
        <v>2</v>
      </c>
      <c r="CI91" s="909">
        <f>(WWWW[[#This Row],['#_Constructed/Existing tube wells/boreholes/handpumps_WASH_agency]]+WWWW[[#This Row],['#_Non-Cluster partner water tube-wells/boreholes/handpumps]])-WWWW[[#This Row],['#_Non-functional tube wells/boreholes/handpumps]]</f>
        <v>0</v>
      </c>
      <c r="CJ91" s="909">
        <f>WWWW[[#This Row],['#_Constructed/Existingwater storage tank with gravity fed reticulation system]]-WWWW[[#This Row],['#_Non-functional storage tank gravity fed reticulation system]]</f>
        <v>0</v>
      </c>
      <c r="CK91" s="909">
        <f>(WWWW[[#This Row],['#_Water_Liters_supplied_by_Water boating or water trucking]]/90)/15</f>
        <v>0</v>
      </c>
      <c r="CL91" s="909">
        <f>WWWW[[#This Row],['#_Water_Liters_from_Constructed/Existing water distribution system from river or natural spring]]/90/15</f>
        <v>0</v>
      </c>
      <c r="CM91" s="417">
        <f>IF(WWWW[[#This Row],['#_of water points in TLS/CFS]]*500&gt;WWWW[[#This Row],[Total PoP ]],WWWW[[#This Row],[Total PoP ]],WWWW[[#This Row],['#_of water points in TLS/CFS]]*500)</f>
        <v>0</v>
      </c>
      <c r="CN91" s="417">
        <f>IF(WWWW[[#This Row],['#_of water points in THF]]*500&gt;WWWW[[#This Row],[Total PoP ]],WWWW[[#This Row],[Total PoP ]],WWWW[[#This Row],['#_of water points in THF]]*500)</f>
        <v>0</v>
      </c>
      <c r="CO91" s="417"/>
      <c r="CP91"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91"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91" s="908">
        <f>IF(WWWW[[#This Row],[Location Type 1]]="Village",WWWW[[#This Row],[Access to safe drinking water for Village]],WWWW[[#This Row],[Access to safe drinking water for Camp]])</f>
        <v>1</v>
      </c>
      <c r="CS91" s="906">
        <f>WWWW[[#This Row],[%Equitable and continuous access to sufficient quantity of safe drinking water]]*WWWW[[#This Row],[Total PoP ]]</f>
        <v>424</v>
      </c>
      <c r="CT91" s="908">
        <f>IF((WWWW[[#This Row],['#_Constructed/Existing protected/fenced ponds]]*250)/WWWW[[#This Row],[Total PoP ]]&gt;1,1,(WWWW[[#This Row],['#_Constructed/Existing protected/fenced ponds]]*250)/WWWW[[#This Row],[Total PoP ]])</f>
        <v>0</v>
      </c>
      <c r="CU91" s="906">
        <f>WWWW[[#This Row],[% Access to unimproved water points]]*WWWW[[#This Row],[Total PoP ]]</f>
        <v>0</v>
      </c>
      <c r="CV91"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91"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424</v>
      </c>
      <c r="CX91" s="906">
        <f>WWWW[[#This Row],[HRP1]]/500</f>
        <v>0.84799999999999998</v>
      </c>
      <c r="CY91" s="911">
        <f>1-WWWW[[#This Row],[% Equitable and continuous access to sufficient quantity of domestic water]]</f>
        <v>0</v>
      </c>
      <c r="CZ91" s="906">
        <f>WWWW[[#This Row],[%equitable and continuous access to sufficient quantity of safe drinking and domestic water''s GAP]]*WWWW[[#This Row],[Total PoP ]]</f>
        <v>0</v>
      </c>
      <c r="DA91" s="909">
        <f>IF(WWWW[[#This Row],[Total required water points]]-WWWW[[#This Row],['#Water points coverage]]&lt;0,0,WWWW[[#This Row],[Total required water points]]-WWWW[[#This Row],['#Water points coverage]])</f>
        <v>0.15200000000000002</v>
      </c>
      <c r="DB91" s="909">
        <f>ROUND(IF(WWWW[[#This Row],[Total PoP ]]&lt;500,1,WWWW[[#This Row],[Total PoP ]]/500),0)</f>
        <v>1</v>
      </c>
      <c r="DC91" s="909">
        <f>(WWWW[[#This Row],['#_Constructed latrines_by_WASHAgencies]]+WWWW[[#This Row],['#_Non Cluster partner latrines]])-WWWW[[#This Row],['#_Non-functional latrines]]</f>
        <v>6</v>
      </c>
      <c r="DD91" s="615">
        <f>WWWW[[#This Row],[HRP2]]/WWWW[[#This Row],[Total PoP ]]</f>
        <v>0.28301886792452829</v>
      </c>
      <c r="DE91"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120</v>
      </c>
      <c r="DF91"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1"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1" s="417">
        <f>IF(WWWW[[#This Row],['# of functional latrines in THF supported by WASH partners during the reporting period2]]="",0,WWWW[[#This Row],['# of functional latrines in THF supported by WASH partners during the reporting period2]]*50)</f>
        <v>0</v>
      </c>
      <c r="DI91" s="909">
        <f>ROUND(IF(WWWW[[#This Row],[Location Type 1]]="camp",WWWW[[#This Row],[Total PoP ]]/20,IF(WWWW[[#This Row],[Location Type 1]]="Temporary Location",WWWW[[#This Row],[Total PoP ]]/50,(WWWW[[#This Row],[Total PoP ]]/6))),0)</f>
        <v>21</v>
      </c>
      <c r="DJ91" s="909">
        <f>IF(WWWW[[#This Row],[Total required Latrines]]-(WWWW[[#This Row],['#_Constructed latrines_by_WASHAgencies]]+WWWW[[#This Row],['#_Non Cluster partner latrines]])&lt;0,0,WWWW[[#This Row],[Total required Latrines]]-(WWWW[[#This Row],['#_Constructed latrines_by_WASHAgencies]]+WWWW[[#This Row],['#_Non Cluster partner latrines]]))</f>
        <v>15</v>
      </c>
      <c r="DK91" s="911">
        <f>1-WWWW[[#This Row],[% people access to functioning Latrine]]</f>
        <v>0.71698113207547176</v>
      </c>
      <c r="DL91" s="910">
        <f>IF(OR(WWWW[[#This Row],['#_Non-functional latrines]]="",WWWW[[#This Row],['#_Non-functional latrines]]=0),0,WWWW[[#This Row],['#_Non-functional latrines]]/(WWWW[[#This Row],['#_Constructed latrines_by_WASHAgencies]]+WWWW[[#This Row],['#_Non Cluster partner latrines]]))</f>
        <v>0</v>
      </c>
      <c r="DM91" s="906">
        <f>IF(500*(WWWW[[#This Row],['#_male hygiene promoters]]+WWWW[[#This Row],['#_female hygiene promoters]])&gt;WWWW[[#This Row],[Total PoP ]],WWWW[[#This Row],[Total PoP ]],500*(WWWW[[#This Row],['#_male hygiene promoters]]+WWWW[[#This Row],['#_female hygiene promoters]]))</f>
        <v>0</v>
      </c>
      <c r="DN91"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1"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1" s="909">
        <f>IF(WWWW[[#This Row],['# People with access to soap]]&gt;WWWW[[#This Row],['# People with access to Sanity Pads]],WWWW[[#This Row],['# People with access to soap]],WWWW[[#This Row],['# People with access to Sanity Pads]])</f>
        <v>0</v>
      </c>
      <c r="DQ91"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91" s="911">
        <f>IF(WWWW[[#This Row],[HRP3]]/WWWW[[#This Row],[Total PoP ]]&gt;1,1,WWWW[[#This Row],[HRP3]]/WWWW[[#This Row],[Total PoP ]])</f>
        <v>0</v>
      </c>
      <c r="DS91" s="910">
        <f>1-WWWW[[#This Row],[Hygiene Coverage%]]</f>
        <v>1</v>
      </c>
      <c r="DT91" s="908">
        <f>WWWW[[#This Row],['# people reached by regular dedicated hygiene promotion_5]]/WWWW[[#This Row],[Total PoP ]]</f>
        <v>0</v>
      </c>
      <c r="DU91"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1"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1" s="909">
        <f>WWWW[[#This Row],['#_Constructed/Existing hand washing stations]]-WWWW[[#This Row],['#_Non-Functional_hand_washing_stations]]</f>
        <v>0</v>
      </c>
      <c r="DX91" s="906">
        <f>IF(WWWW[[#This Row],['# Functional hand washing stations during reporting period]]*20&gt;WWWW[[#This Row],[Total HH]],WWWW[[#This Row],[Total HH]],WWWW[[#This Row],['# Functional hand washing stations during reporting period]]*20)</f>
        <v>0</v>
      </c>
      <c r="DY91" s="906">
        <f>IF(WWWW[[#This Row],[Is sufficient soap available for TLS? (Yes/No)]]="yes",WWWW[[#This Row],['#_Constructed/Existing hand washing stations at TLS/CFS/THF]],0)</f>
        <v>0</v>
      </c>
      <c r="DZ91" s="421">
        <f>IF(WWWW[[#This Row],['# Functional hand washing stations during reporting period]]*100&gt;WWWW[[#This Row],[Total PoP ]],WWWW[[#This Row],[Total PoP ]],WWWW[[#This Row],['# Functional hand washing stations during reporting period]]*100)</f>
        <v>0</v>
      </c>
      <c r="EA91" s="421" t="str">
        <f>IF(OR(WWWW[[#This Row],['#_students at TLS_CFS]]="",WWWW[[#This Row],['#_students at TLS_CFS]]=0),"No","Yes")</f>
        <v>No</v>
      </c>
      <c r="EB9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91" s="566">
        <f>WWWW[[#This Row],[%_of_affected_people_surveyed_who_report_feeling_satistfied_with_the_latrine_design_and_sanitation_service]]*WWWW[[#This Row],[Total PoP ]]</f>
        <v>0</v>
      </c>
      <c r="ED91" s="566">
        <f>WWWW[[#This Row],[%_of_affected_people_surveyed_who_report_feeling_satistfied_with_the_water_point_design_and_water_service]]*WWWW[[#This Row],[Total PoP ]]</f>
        <v>0</v>
      </c>
      <c r="EE91" s="566">
        <f>WWWW[[#This Row],[%_of_complaints_received_that_result_in_timely_corrective_action_and_feedback_to_the_community]]*WWWW[[#This Row],[Total PoP ]]</f>
        <v>0</v>
      </c>
      <c r="EF9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9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9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1" s="902" t="str">
        <f>VLOOKUP(WWWW[[#This Row],[Site Name]],SiteDB6[[Site Name]:[CCCM Management]],6,FALSE)</f>
        <v>Yes</v>
      </c>
      <c r="EJ91" s="902" t="str">
        <f>VLOOKUP(WWWW[[#This Row],[Site Name]],SiteDB6[[Site Name]:[CCCM Focal Agency]],7,FALSE)</f>
        <v>KBC-BMO</v>
      </c>
      <c r="EK91" s="902" t="str">
        <f>VLOOKUP(WWWW[[#This Row],[Site Name]],SiteDB6[[Site Name]:[Location Type 1]],9,FALSE)</f>
        <v>Camp</v>
      </c>
      <c r="EL91" s="902" t="str">
        <f>VLOOKUP(WWWW[[#This Row],[Site Name]],SiteDB6[[Site Name]:[Type of Accommodation]],10,FALSE)</f>
        <v>Camp</v>
      </c>
      <c r="EM91" s="902" t="str">
        <f>VLOOKUP(WWWW[[#This Row],[Site Name]],SiteDB6[[Site Name]:[Ethnic or GCA/NGCA]],11,FALSE)</f>
        <v>GCA</v>
      </c>
      <c r="EN91" s="902">
        <f>VLOOKUP(WWWW[[#This Row],[Site Name]],SiteDB6[[Site Name]:[Lat]],12,FALSE)</f>
        <v>24.250689999999999</v>
      </c>
      <c r="EO91" s="902">
        <f>VLOOKUP(WWWW[[#This Row],[Site Name]],SiteDB6[[Site Name]:[Long]],13,FALSE)</f>
        <v>97.344359999999995</v>
      </c>
      <c r="EP91" s="902" t="str">
        <f>VLOOKUP(WWWW[[#This Row],[Site Name]],SiteDB6[[Site Name]:[Pcode]],3,FALSE)</f>
        <v>MMR001CMP056</v>
      </c>
      <c r="EQ91" s="907" t="str">
        <f t="shared" si="1"/>
        <v>Covered</v>
      </c>
      <c r="ER91" s="907" t="s">
        <v>3126</v>
      </c>
      <c r="ES91" s="907" t="s">
        <v>3126</v>
      </c>
      <c r="ET91" s="902">
        <f>VLOOKUP(WWWW[[#This Row],[Site Name]],SiteDB6[[Site Name]:[Pop
(Kachin/Shan-CCCM as of May 2023)]],16,FALSE)</f>
        <v>416</v>
      </c>
      <c r="EU91" s="902">
        <f>VLOOKUP(WWWW[[#This Row],[Site Name]],SiteDB6[[Site Name]:[Pop
(Kachin/Shan-CCCM as of May 2023)]],17,FALSE)</f>
        <v>1936</v>
      </c>
    </row>
    <row r="92" spans="1:151" hidden="1">
      <c r="A92" s="900" t="s">
        <v>2961</v>
      </c>
      <c r="B92" s="900" t="s">
        <v>192</v>
      </c>
      <c r="C92" s="900" t="s">
        <v>192</v>
      </c>
      <c r="D92" s="901" t="s">
        <v>2884</v>
      </c>
      <c r="E92" s="901" t="s">
        <v>37</v>
      </c>
      <c r="F92" s="901" t="s">
        <v>214</v>
      </c>
      <c r="G92" s="902" t="str">
        <f>VLOOKUP(WWWW[[#This Row],[Site Name]],SiteDB6[[Site Name]:[Location Type]],8,FALSE)</f>
        <v>Camp</v>
      </c>
      <c r="H92" s="901" t="s">
        <v>216</v>
      </c>
      <c r="I92" s="903">
        <v>43</v>
      </c>
      <c r="J92" s="903">
        <v>182</v>
      </c>
      <c r="K92" s="904" t="s">
        <v>3131</v>
      </c>
      <c r="L92" s="905" t="s">
        <v>3132</v>
      </c>
      <c r="M92" s="903"/>
      <c r="N92" s="903"/>
      <c r="O92" s="903"/>
      <c r="P92" s="903"/>
      <c r="Q92" s="906" t="s">
        <v>41</v>
      </c>
      <c r="R92" s="903">
        <v>1</v>
      </c>
      <c r="S92" s="903">
        <v>3</v>
      </c>
      <c r="T92" s="441"/>
      <c r="U92" s="903"/>
      <c r="V92" s="903"/>
      <c r="W92" s="903">
        <v>2</v>
      </c>
      <c r="X92" s="903"/>
      <c r="Y92" s="903"/>
      <c r="Z92" s="903"/>
      <c r="AA92" s="903"/>
      <c r="AB92" s="903"/>
      <c r="AC92" s="903"/>
      <c r="AD92" s="903"/>
      <c r="AE92" s="903"/>
      <c r="AF92" s="903"/>
      <c r="AG92" s="903">
        <v>1</v>
      </c>
      <c r="AH92" s="903"/>
      <c r="AI92" s="903"/>
      <c r="AJ92" s="903"/>
      <c r="AK92" s="903"/>
      <c r="AL92" s="903"/>
      <c r="AM92" s="903"/>
      <c r="AN92" s="903"/>
      <c r="AO92" s="441"/>
      <c r="AP92" s="907"/>
      <c r="AQ92" s="903">
        <v>10</v>
      </c>
      <c r="AR92" s="903"/>
      <c r="AS92" s="908"/>
      <c r="AT92" s="903"/>
      <c r="AU92" s="903"/>
      <c r="AV92" s="903"/>
      <c r="AW92" s="903"/>
      <c r="AX92" s="903"/>
      <c r="AY92" s="902" t="s">
        <v>41</v>
      </c>
      <c r="AZ92" s="907" t="s">
        <v>137</v>
      </c>
      <c r="BA92" s="903"/>
      <c r="BB92" s="903"/>
      <c r="BC92" s="903"/>
      <c r="BD92" s="441"/>
      <c r="BE92" s="441"/>
      <c r="BF92" s="902"/>
      <c r="BG92" s="903">
        <v>3</v>
      </c>
      <c r="BH92" s="903"/>
      <c r="BI92" s="903"/>
      <c r="BJ92" s="903">
        <v>2</v>
      </c>
      <c r="BK92" s="903"/>
      <c r="BL92" s="903"/>
      <c r="BM92" s="903"/>
      <c r="BN92" s="903"/>
      <c r="BO92" s="903"/>
      <c r="BP92" s="902"/>
      <c r="BQ92" s="909"/>
      <c r="BR92" s="908"/>
      <c r="BS92" s="902"/>
      <c r="BT92" s="416"/>
      <c r="BU92" s="416"/>
      <c r="BV92" s="418"/>
      <c r="BW92" s="416"/>
      <c r="BX92" s="441"/>
      <c r="BY92" s="441"/>
      <c r="BZ92" s="441"/>
      <c r="CA92" s="441"/>
      <c r="CB92" s="441"/>
      <c r="CC92" s="693"/>
      <c r="CD92" s="441"/>
      <c r="CE92" s="910" t="str">
        <f>IFERROR(WWWW[[#This Row],['#_Water sources passed]]/WWWW[[#This Row],['#_Water sources tested for fecal coliform ]],"no test")</f>
        <v>no test</v>
      </c>
      <c r="CF92" s="908" t="str">
        <f>IFERROR(WWWW[[#This Row],['#_Household passed]]/WWWW[[#This Row],['#_Household water samples tested for fecal coliform]],"no test")</f>
        <v>no test</v>
      </c>
      <c r="CG92" s="909" t="str">
        <f>IF(AND(WWWW[[#This Row],[% of water sources passed]]="no test",WWWW[[#This Row],[% Household passed]]="no test"),"No Test","Tested")</f>
        <v>No Test</v>
      </c>
      <c r="CH92" s="909">
        <f>WWWW[[#This Row],['#_Constructed/existing protected hand dug well]]-WWWW[[#This Row],['#_Non-functional protected hand dug well]]</f>
        <v>0</v>
      </c>
      <c r="CI92" s="909">
        <f>(WWWW[[#This Row],['#_Constructed/Existing tube wells/boreholes/handpumps_WASH_agency]]+WWWW[[#This Row],['#_Non-Cluster partner water tube-wells/boreholes/handpumps]])-WWWW[[#This Row],['#_Non-functional tube wells/boreholes/handpumps]]</f>
        <v>2</v>
      </c>
      <c r="CJ92" s="909">
        <f>WWWW[[#This Row],['#_Constructed/Existingwater storage tank with gravity fed reticulation system]]-WWWW[[#This Row],['#_Non-functional storage tank gravity fed reticulation system]]</f>
        <v>0</v>
      </c>
      <c r="CK92" s="909">
        <f>(WWWW[[#This Row],['#_Water_Liters_supplied_by_Water boating or water trucking]]/90)/15</f>
        <v>0</v>
      </c>
      <c r="CL92" s="909">
        <f>WWWW[[#This Row],['#_Water_Liters_from_Constructed/Existing water distribution system from river or natural spring]]/90/15</f>
        <v>0</v>
      </c>
      <c r="CM92" s="417">
        <f>IF(WWWW[[#This Row],['#_of water points in TLS/CFS]]*500&gt;WWWW[[#This Row],[Total PoP ]],WWWW[[#This Row],[Total PoP ]],WWWW[[#This Row],['#_of water points in TLS/CFS]]*500)</f>
        <v>0</v>
      </c>
      <c r="CN92" s="417">
        <f>IF(WWWW[[#This Row],['#_of water points in THF]]*500&gt;WWWW[[#This Row],[Total PoP ]],WWWW[[#This Row],[Total PoP ]],WWWW[[#This Row],['#_of water points in THF]]*500)</f>
        <v>0</v>
      </c>
      <c r="CO92" s="417"/>
      <c r="CP92"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92"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92" s="908">
        <f>IF(WWWW[[#This Row],[Location Type 1]]="Village",WWWW[[#This Row],[Access to safe drinking water for Village]],WWWW[[#This Row],[Access to safe drinking water for Camp]])</f>
        <v>1</v>
      </c>
      <c r="CS92" s="906">
        <f>WWWW[[#This Row],[%Equitable and continuous access to sufficient quantity of safe drinking water]]*WWWW[[#This Row],[Total PoP ]]</f>
        <v>182</v>
      </c>
      <c r="CT92" s="908">
        <f>IF((WWWW[[#This Row],['#_Constructed/Existing protected/fenced ponds]]*250)/WWWW[[#This Row],[Total PoP ]]&gt;1,1,(WWWW[[#This Row],['#_Constructed/Existing protected/fenced ponds]]*250)/WWWW[[#This Row],[Total PoP ]])</f>
        <v>0</v>
      </c>
      <c r="CU92" s="906">
        <f>WWWW[[#This Row],[% Access to unimproved water points]]*WWWW[[#This Row],[Total PoP ]]</f>
        <v>0</v>
      </c>
      <c r="CV92"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92"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182</v>
      </c>
      <c r="CX92" s="906">
        <f>WWWW[[#This Row],[HRP1]]/500</f>
        <v>0.36399999999999999</v>
      </c>
      <c r="CY92" s="911">
        <f>1-WWWW[[#This Row],[% Equitable and continuous access to sufficient quantity of domestic water]]</f>
        <v>0</v>
      </c>
      <c r="CZ92" s="906">
        <f>WWWW[[#This Row],[%equitable and continuous access to sufficient quantity of safe drinking and domestic water''s GAP]]*WWWW[[#This Row],[Total PoP ]]</f>
        <v>0</v>
      </c>
      <c r="DA92" s="909">
        <f>IF(WWWW[[#This Row],[Total required water points]]-WWWW[[#This Row],['#Water points coverage]]&lt;0,0,WWWW[[#This Row],[Total required water points]]-WWWW[[#This Row],['#Water points coverage]])</f>
        <v>0.63600000000000001</v>
      </c>
      <c r="DB92" s="909">
        <f>ROUND(IF(WWWW[[#This Row],[Total PoP ]]&lt;500,1,WWWW[[#This Row],[Total PoP ]]/500),0)</f>
        <v>1</v>
      </c>
      <c r="DC92" s="909">
        <f>(WWWW[[#This Row],['#_Constructed latrines_by_WASHAgencies]]+WWWW[[#This Row],['#_Non Cluster partner latrines]])-WWWW[[#This Row],['#_Non-functional latrines]]</f>
        <v>10</v>
      </c>
      <c r="DD92" s="615">
        <f>WWWW[[#This Row],[HRP2]]/WWWW[[#This Row],[Total PoP ]]</f>
        <v>1</v>
      </c>
      <c r="DE92"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182</v>
      </c>
      <c r="DF92"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2"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2" s="417">
        <f>IF(WWWW[[#This Row],['# of functional latrines in THF supported by WASH partners during the reporting period2]]="",0,WWWW[[#This Row],['# of functional latrines in THF supported by WASH partners during the reporting period2]]*50)</f>
        <v>0</v>
      </c>
      <c r="DI92" s="909">
        <f>ROUND(IF(WWWW[[#This Row],[Location Type 1]]="camp",WWWW[[#This Row],[Total PoP ]]/20,IF(WWWW[[#This Row],[Location Type 1]]="Temporary Location",WWWW[[#This Row],[Total PoP ]]/50,(WWWW[[#This Row],[Total PoP ]]/6))),0)</f>
        <v>9</v>
      </c>
      <c r="DJ92" s="909">
        <f>IF(WWWW[[#This Row],[Total required Latrines]]-(WWWW[[#This Row],['#_Constructed latrines_by_WASHAgencies]]+WWWW[[#This Row],['#_Non Cluster partner latrines]])&lt;0,0,WWWW[[#This Row],[Total required Latrines]]-(WWWW[[#This Row],['#_Constructed latrines_by_WASHAgencies]]+WWWW[[#This Row],['#_Non Cluster partner latrines]]))</f>
        <v>0</v>
      </c>
      <c r="DK92" s="911">
        <f>1-WWWW[[#This Row],[% people access to functioning Latrine]]</f>
        <v>0</v>
      </c>
      <c r="DL92" s="910">
        <f>IF(OR(WWWW[[#This Row],['#_Non-functional latrines]]="",WWWW[[#This Row],['#_Non-functional latrines]]=0),0,WWWW[[#This Row],['#_Non-functional latrines]]/(WWWW[[#This Row],['#_Constructed latrines_by_WASHAgencies]]+WWWW[[#This Row],['#_Non Cluster partner latrines]]))</f>
        <v>0</v>
      </c>
      <c r="DM92" s="906">
        <f>IF(500*(WWWW[[#This Row],['#_male hygiene promoters]]+WWWW[[#This Row],['#_female hygiene promoters]])&gt;WWWW[[#This Row],[Total PoP ]],WWWW[[#This Row],[Total PoP ]],500*(WWWW[[#This Row],['#_male hygiene promoters]]+WWWW[[#This Row],['#_female hygiene promoters]]))</f>
        <v>0</v>
      </c>
      <c r="DN92"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2"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2" s="909">
        <f>IF(WWWW[[#This Row],['# People with access to soap]]&gt;WWWW[[#This Row],['# People with access to Sanity Pads]],WWWW[[#This Row],['# People with access to soap]],WWWW[[#This Row],['# People with access to Sanity Pads]])</f>
        <v>0</v>
      </c>
      <c r="DQ92"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92" s="911">
        <f>IF(WWWW[[#This Row],[HRP3]]/WWWW[[#This Row],[Total PoP ]]&gt;1,1,WWWW[[#This Row],[HRP3]]/WWWW[[#This Row],[Total PoP ]])</f>
        <v>0</v>
      </c>
      <c r="DS92" s="910">
        <f>1-WWWW[[#This Row],[Hygiene Coverage%]]</f>
        <v>1</v>
      </c>
      <c r="DT92" s="908">
        <f>WWWW[[#This Row],['# people reached by regular dedicated hygiene promotion_5]]/WWWW[[#This Row],[Total PoP ]]</f>
        <v>0</v>
      </c>
      <c r="DU92"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2"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2" s="909">
        <f>WWWW[[#This Row],['#_Constructed/Existing hand washing stations]]-WWWW[[#This Row],['#_Non-Functional_hand_washing_stations]]</f>
        <v>3</v>
      </c>
      <c r="DX92" s="906">
        <f>IF(WWWW[[#This Row],['# Functional hand washing stations during reporting period]]*20&gt;WWWW[[#This Row],[Total HH]],WWWW[[#This Row],[Total HH]],WWWW[[#This Row],['# Functional hand washing stations during reporting period]]*20)</f>
        <v>43</v>
      </c>
      <c r="DY92" s="906">
        <f>IF(WWWW[[#This Row],[Is sufficient soap available for TLS? (Yes/No)]]="yes",WWWW[[#This Row],['#_Constructed/Existing hand washing stations at TLS/CFS/THF]],0)</f>
        <v>0</v>
      </c>
      <c r="DZ92" s="421">
        <f>IF(WWWW[[#This Row],['# Functional hand washing stations during reporting period]]*100&gt;WWWW[[#This Row],[Total PoP ]],WWWW[[#This Row],[Total PoP ]],WWWW[[#This Row],['# Functional hand washing stations during reporting period]]*100)</f>
        <v>182</v>
      </c>
      <c r="EA92" s="421" t="str">
        <f>IF(OR(WWWW[[#This Row],['#_students at TLS_CFS]]="",WWWW[[#This Row],['#_students at TLS_CFS]]=0),"No","Yes")</f>
        <v>No</v>
      </c>
      <c r="EB9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92" s="566">
        <f>WWWW[[#This Row],[%_of_affected_people_surveyed_who_report_feeling_satistfied_with_the_latrine_design_and_sanitation_service]]*WWWW[[#This Row],[Total PoP ]]</f>
        <v>0</v>
      </c>
      <c r="ED92" s="566">
        <f>WWWW[[#This Row],[%_of_affected_people_surveyed_who_report_feeling_satistfied_with_the_water_point_design_and_water_service]]*WWWW[[#This Row],[Total PoP ]]</f>
        <v>0</v>
      </c>
      <c r="EE92" s="566">
        <f>WWWW[[#This Row],[%_of_complaints_received_that_result_in_timely_corrective_action_and_feedback_to_the_community]]*WWWW[[#This Row],[Total PoP ]]</f>
        <v>0</v>
      </c>
      <c r="EF9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9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9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2" s="902" t="str">
        <f>VLOOKUP(WWWW[[#This Row],[Site Name]],SiteDB6[[Site Name]:[CCCM Management]],6,FALSE)</f>
        <v>Yes</v>
      </c>
      <c r="EJ92" s="902" t="str">
        <f>VLOOKUP(WWWW[[#This Row],[Site Name]],SiteDB6[[Site Name]:[CCCM Focal Agency]],7,FALSE)</f>
        <v>KMSS-BMO</v>
      </c>
      <c r="EK92" s="902" t="str">
        <f>VLOOKUP(WWWW[[#This Row],[Site Name]],SiteDB6[[Site Name]:[Location Type 1]],9,FALSE)</f>
        <v>Camp</v>
      </c>
      <c r="EL92" s="902" t="str">
        <f>VLOOKUP(WWWW[[#This Row],[Site Name]],SiteDB6[[Site Name]:[Type of Accommodation]],10,FALSE)</f>
        <v>Camp</v>
      </c>
      <c r="EM92" s="902" t="str">
        <f>VLOOKUP(WWWW[[#This Row],[Site Name]],SiteDB6[[Site Name]:[Ethnic or GCA/NGCA]],11,FALSE)</f>
        <v>GCA</v>
      </c>
      <c r="EN92" s="902">
        <f>VLOOKUP(WWWW[[#This Row],[Site Name]],SiteDB6[[Site Name]:[Lat]],12,FALSE)</f>
        <v>24.200367</v>
      </c>
      <c r="EO92" s="902">
        <f>VLOOKUP(WWWW[[#This Row],[Site Name]],SiteDB6[[Site Name]:[Long]],13,FALSE)</f>
        <v>96.807353000000006</v>
      </c>
      <c r="EP92" s="902" t="str">
        <f>VLOOKUP(WWWW[[#This Row],[Site Name]],SiteDB6[[Site Name]:[Pcode]],3,FALSE)</f>
        <v>MMR001CMP068</v>
      </c>
      <c r="EQ92" s="907" t="str">
        <f t="shared" si="1"/>
        <v>Covered</v>
      </c>
      <c r="ER92" s="907" t="s">
        <v>3126</v>
      </c>
      <c r="ES92" s="907" t="s">
        <v>3126</v>
      </c>
      <c r="ET92" s="902">
        <f>VLOOKUP(WWWW[[#This Row],[Site Name]],SiteDB6[[Site Name]:[Pop
(Kachin/Shan-CCCM as of May 2023)]],16,FALSE)</f>
        <v>33</v>
      </c>
      <c r="EU92" s="902">
        <f>VLOOKUP(WWWW[[#This Row],[Site Name]],SiteDB6[[Site Name]:[Pop
(Kachin/Shan-CCCM as of May 2023)]],17,FALSE)</f>
        <v>152</v>
      </c>
    </row>
    <row r="93" spans="1:151" hidden="1">
      <c r="A93" s="900" t="s">
        <v>2961</v>
      </c>
      <c r="B93" s="900" t="s">
        <v>192</v>
      </c>
      <c r="C93" s="901" t="s">
        <v>192</v>
      </c>
      <c r="D93" s="901" t="s">
        <v>2884</v>
      </c>
      <c r="E93" s="901" t="s">
        <v>37</v>
      </c>
      <c r="F93" s="901" t="s">
        <v>142</v>
      </c>
      <c r="G93" s="902" t="str">
        <f>VLOOKUP(WWWW[[#This Row],[Site Name]],SiteDB6[[Site Name]:[Location Type]],8,FALSE)</f>
        <v>Camp</v>
      </c>
      <c r="H93" s="901" t="s">
        <v>224</v>
      </c>
      <c r="I93" s="903">
        <v>426.2</v>
      </c>
      <c r="J93" s="903">
        <v>2322</v>
      </c>
      <c r="K93" s="904" t="s">
        <v>3131</v>
      </c>
      <c r="L93" s="905" t="s">
        <v>3132</v>
      </c>
      <c r="M93" s="903"/>
      <c r="N93" s="903"/>
      <c r="O93" s="903"/>
      <c r="P93" s="903"/>
      <c r="Q93" s="906" t="s">
        <v>41</v>
      </c>
      <c r="R93" s="903">
        <v>3</v>
      </c>
      <c r="S93" s="903">
        <v>6</v>
      </c>
      <c r="T93" s="441"/>
      <c r="U93" s="903"/>
      <c r="V93" s="903"/>
      <c r="W93" s="903"/>
      <c r="X93" s="903"/>
      <c r="Y93" s="903"/>
      <c r="Z93" s="903"/>
      <c r="AA93" s="903">
        <v>8</v>
      </c>
      <c r="AB93" s="903"/>
      <c r="AC93" s="903"/>
      <c r="AD93" s="903"/>
      <c r="AE93" s="903"/>
      <c r="AF93" s="903"/>
      <c r="AG93" s="903"/>
      <c r="AH93" s="903"/>
      <c r="AI93" s="903"/>
      <c r="AJ93" s="903"/>
      <c r="AK93" s="903"/>
      <c r="AL93" s="903"/>
      <c r="AM93" s="903">
        <v>14</v>
      </c>
      <c r="AN93" s="903">
        <v>5</v>
      </c>
      <c r="AO93" s="441"/>
      <c r="AP93" s="907"/>
      <c r="AQ93" s="903">
        <v>100</v>
      </c>
      <c r="AR93" s="903"/>
      <c r="AS93" s="908"/>
      <c r="AT93" s="903"/>
      <c r="AU93" s="903"/>
      <c r="AV93" s="903"/>
      <c r="AW93" s="903"/>
      <c r="AX93" s="903"/>
      <c r="AY93" s="902" t="s">
        <v>41</v>
      </c>
      <c r="AZ93" s="907" t="s">
        <v>137</v>
      </c>
      <c r="BA93" s="903"/>
      <c r="BB93" s="903"/>
      <c r="BC93" s="903"/>
      <c r="BD93" s="441"/>
      <c r="BE93" s="441"/>
      <c r="BF93" s="902"/>
      <c r="BG93" s="903">
        <v>10</v>
      </c>
      <c r="BH93" s="903"/>
      <c r="BI93" s="903"/>
      <c r="BJ93" s="903">
        <v>8</v>
      </c>
      <c r="BK93" s="903"/>
      <c r="BL93" s="903"/>
      <c r="BM93" s="903"/>
      <c r="BN93" s="903"/>
      <c r="BO93" s="903"/>
      <c r="BP93" s="902"/>
      <c r="BQ93" s="909"/>
      <c r="BR93" s="908"/>
      <c r="BS93" s="902"/>
      <c r="BT93" s="416"/>
      <c r="BU93" s="416"/>
      <c r="BV93" s="418"/>
      <c r="BW93" s="416"/>
      <c r="BX93" s="441"/>
      <c r="BY93" s="441"/>
      <c r="BZ93" s="441"/>
      <c r="CA93" s="441"/>
      <c r="CB93" s="441"/>
      <c r="CC93" s="693"/>
      <c r="CD93" s="441"/>
      <c r="CE93" s="910" t="str">
        <f>IFERROR(WWWW[[#This Row],['#_Water sources passed]]/WWWW[[#This Row],['#_Water sources tested for fecal coliform ]],"no test")</f>
        <v>no test</v>
      </c>
      <c r="CF93" s="908" t="str">
        <f>IFERROR(WWWW[[#This Row],['#_Household passed]]/WWWW[[#This Row],['#_Household water samples tested for fecal coliform]],"no test")</f>
        <v>no test</v>
      </c>
      <c r="CG93" s="909" t="str">
        <f>IF(AND(WWWW[[#This Row],[% of water sources passed]]="no test",WWWW[[#This Row],[% Household passed]]="no test"),"No Test","Tested")</f>
        <v>No Test</v>
      </c>
      <c r="CH93" s="909">
        <f>WWWW[[#This Row],['#_Constructed/existing protected hand dug well]]-WWWW[[#This Row],['#_Non-functional protected hand dug well]]</f>
        <v>0</v>
      </c>
      <c r="CI93" s="909">
        <f>(WWWW[[#This Row],['#_Constructed/Existing tube wells/boreholes/handpumps_WASH_agency]]+WWWW[[#This Row],['#_Non-Cluster partner water tube-wells/boreholes/handpumps]])-WWWW[[#This Row],['#_Non-functional tube wells/boreholes/handpumps]]</f>
        <v>0</v>
      </c>
      <c r="CJ93" s="909">
        <f>WWWW[[#This Row],['#_Constructed/Existingwater storage tank with gravity fed reticulation system]]-WWWW[[#This Row],['#_Non-functional storage tank gravity fed reticulation system]]</f>
        <v>8</v>
      </c>
      <c r="CK93" s="909">
        <f>(WWWW[[#This Row],['#_Water_Liters_supplied_by_Water boating or water trucking]]/90)/15</f>
        <v>0</v>
      </c>
      <c r="CL93" s="909">
        <f>WWWW[[#This Row],['#_Water_Liters_from_Constructed/Existing water distribution system from river or natural spring]]/90/15</f>
        <v>0</v>
      </c>
      <c r="CM93" s="417">
        <f>IF(WWWW[[#This Row],['#_of water points in TLS/CFS]]*500&gt;WWWW[[#This Row],[Total PoP ]],WWWW[[#This Row],[Total PoP ]],WWWW[[#This Row],['#_of water points in TLS/CFS]]*500)</f>
        <v>2322</v>
      </c>
      <c r="CN93" s="417">
        <f>IF(WWWW[[#This Row],['#_of water points in THF]]*500&gt;WWWW[[#This Row],[Total PoP ]],WWWW[[#This Row],[Total PoP ]],WWWW[[#This Row],['#_of water points in THF]]*500)</f>
        <v>0</v>
      </c>
      <c r="CO93" s="417"/>
      <c r="CP93"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0.22968705139247778</v>
      </c>
      <c r="CQ93"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0.22968705139247778</v>
      </c>
      <c r="CR93" s="908">
        <f>IF(WWWW[[#This Row],[Location Type 1]]="Village",WWWW[[#This Row],[Access to safe drinking water for Village]],WWWW[[#This Row],[Access to safe drinking water for Camp]])</f>
        <v>0.22968705139247778</v>
      </c>
      <c r="CS93" s="906">
        <f>WWWW[[#This Row],[%Equitable and continuous access to sufficient quantity of safe drinking water]]*WWWW[[#This Row],[Total PoP ]]</f>
        <v>533.33333333333337</v>
      </c>
      <c r="CT93" s="908">
        <f>IF((WWWW[[#This Row],['#_Constructed/Existing protected/fenced ponds]]*250)/WWWW[[#This Row],[Total PoP ]]&gt;1,1,(WWWW[[#This Row],['#_Constructed/Existing protected/fenced ponds]]*250)/WWWW[[#This Row],[Total PoP ]])</f>
        <v>0</v>
      </c>
      <c r="CU93" s="906">
        <f>WWWW[[#This Row],[% Access to unimproved water points]]*WWWW[[#This Row],[Total PoP ]]</f>
        <v>0</v>
      </c>
      <c r="CV93"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0.22968705139247778</v>
      </c>
      <c r="CW93"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533.33333333333337</v>
      </c>
      <c r="CX93" s="906">
        <f>WWWW[[#This Row],[HRP1]]/500</f>
        <v>1.0666666666666667</v>
      </c>
      <c r="CY93" s="911">
        <f>1-WWWW[[#This Row],[% Equitable and continuous access to sufficient quantity of domestic water]]</f>
        <v>0.7703129486075222</v>
      </c>
      <c r="CZ93" s="906">
        <f>WWWW[[#This Row],[%equitable and continuous access to sufficient quantity of safe drinking and domestic water''s GAP]]*WWWW[[#This Row],[Total PoP ]]</f>
        <v>1788.6666666666665</v>
      </c>
      <c r="DA93" s="909">
        <f>IF(WWWW[[#This Row],[Total required water points]]-WWWW[[#This Row],['#Water points coverage]]&lt;0,0,WWWW[[#This Row],[Total required water points]]-WWWW[[#This Row],['#Water points coverage]])</f>
        <v>3.9333333333333336</v>
      </c>
      <c r="DB93" s="909">
        <f>ROUND(IF(WWWW[[#This Row],[Total PoP ]]&lt;500,1,WWWW[[#This Row],[Total PoP ]]/500),0)</f>
        <v>5</v>
      </c>
      <c r="DC93" s="909">
        <f>(WWWW[[#This Row],['#_Constructed latrines_by_WASHAgencies]]+WWWW[[#This Row],['#_Non Cluster partner latrines]])-WWWW[[#This Row],['#_Non-functional latrines]]</f>
        <v>100</v>
      </c>
      <c r="DD93" s="615">
        <f>WWWW[[#This Row],[HRP2]]/WWWW[[#This Row],[Total PoP ]]</f>
        <v>0.8613264427217916</v>
      </c>
      <c r="DE93"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2000</v>
      </c>
      <c r="DF93"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3"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3" s="417">
        <f>IF(WWWW[[#This Row],['# of functional latrines in THF supported by WASH partners during the reporting period2]]="",0,WWWW[[#This Row],['# of functional latrines in THF supported by WASH partners during the reporting period2]]*50)</f>
        <v>0</v>
      </c>
      <c r="DI93" s="909">
        <f>ROUND(IF(WWWW[[#This Row],[Location Type 1]]="camp",WWWW[[#This Row],[Total PoP ]]/20,IF(WWWW[[#This Row],[Location Type 1]]="Temporary Location",WWWW[[#This Row],[Total PoP ]]/50,(WWWW[[#This Row],[Total PoP ]]/6))),0)</f>
        <v>116</v>
      </c>
      <c r="DJ93" s="909">
        <f>IF(WWWW[[#This Row],[Total required Latrines]]-(WWWW[[#This Row],['#_Constructed latrines_by_WASHAgencies]]+WWWW[[#This Row],['#_Non Cluster partner latrines]])&lt;0,0,WWWW[[#This Row],[Total required Latrines]]-(WWWW[[#This Row],['#_Constructed latrines_by_WASHAgencies]]+WWWW[[#This Row],['#_Non Cluster partner latrines]]))</f>
        <v>16</v>
      </c>
      <c r="DK93" s="911">
        <f>1-WWWW[[#This Row],[% people access to functioning Latrine]]</f>
        <v>0.1386735572782084</v>
      </c>
      <c r="DL93" s="910">
        <f>IF(OR(WWWW[[#This Row],['#_Non-functional latrines]]="",WWWW[[#This Row],['#_Non-functional latrines]]=0),0,WWWW[[#This Row],['#_Non-functional latrines]]/(WWWW[[#This Row],['#_Constructed latrines_by_WASHAgencies]]+WWWW[[#This Row],['#_Non Cluster partner latrines]]))</f>
        <v>0</v>
      </c>
      <c r="DM93" s="906">
        <f>IF(500*(WWWW[[#This Row],['#_male hygiene promoters]]+WWWW[[#This Row],['#_female hygiene promoters]])&gt;WWWW[[#This Row],[Total PoP ]],WWWW[[#This Row],[Total PoP ]],500*(WWWW[[#This Row],['#_male hygiene promoters]]+WWWW[[#This Row],['#_female hygiene promoters]]))</f>
        <v>0</v>
      </c>
      <c r="DN93"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3"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3" s="909">
        <f>IF(WWWW[[#This Row],['# People with access to soap]]&gt;WWWW[[#This Row],['# People with access to Sanity Pads]],WWWW[[#This Row],['# People with access to soap]],WWWW[[#This Row],['# People with access to Sanity Pads]])</f>
        <v>0</v>
      </c>
      <c r="DQ93"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93" s="911">
        <f>IF(WWWW[[#This Row],[HRP3]]/WWWW[[#This Row],[Total PoP ]]&gt;1,1,WWWW[[#This Row],[HRP3]]/WWWW[[#This Row],[Total PoP ]])</f>
        <v>0</v>
      </c>
      <c r="DS93" s="910">
        <f>1-WWWW[[#This Row],[Hygiene Coverage%]]</f>
        <v>1</v>
      </c>
      <c r="DT93" s="908">
        <f>WWWW[[#This Row],['# people reached by regular dedicated hygiene promotion_5]]/WWWW[[#This Row],[Total PoP ]]</f>
        <v>0</v>
      </c>
      <c r="DU93"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3"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3" s="909">
        <f>WWWW[[#This Row],['#_Constructed/Existing hand washing stations]]-WWWW[[#This Row],['#_Non-Functional_hand_washing_stations]]</f>
        <v>10</v>
      </c>
      <c r="DX93" s="906">
        <f>IF(WWWW[[#This Row],['# Functional hand washing stations during reporting period]]*20&gt;WWWW[[#This Row],[Total HH]],WWWW[[#This Row],[Total HH]],WWWW[[#This Row],['# Functional hand washing stations during reporting period]]*20)</f>
        <v>200</v>
      </c>
      <c r="DY93" s="906">
        <f>IF(WWWW[[#This Row],[Is sufficient soap available for TLS? (Yes/No)]]="yes",WWWW[[#This Row],['#_Constructed/Existing hand washing stations at TLS/CFS/THF]],0)</f>
        <v>0</v>
      </c>
      <c r="DZ93" s="421">
        <f>IF(WWWW[[#This Row],['# Functional hand washing stations during reporting period]]*100&gt;WWWW[[#This Row],[Total PoP ]],WWWW[[#This Row],[Total PoP ]],WWWW[[#This Row],['# Functional hand washing stations during reporting period]]*100)</f>
        <v>1000</v>
      </c>
      <c r="EA93" s="421" t="str">
        <f>IF(OR(WWWW[[#This Row],['#_students at TLS_CFS]]="",WWWW[[#This Row],['#_students at TLS_CFS]]=0),"No","Yes")</f>
        <v>No</v>
      </c>
      <c r="EB9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93" s="566">
        <f>WWWW[[#This Row],[%_of_affected_people_surveyed_who_report_feeling_satistfied_with_the_latrine_design_and_sanitation_service]]*WWWW[[#This Row],[Total PoP ]]</f>
        <v>0</v>
      </c>
      <c r="ED93" s="566">
        <f>WWWW[[#This Row],[%_of_affected_people_surveyed_who_report_feeling_satistfied_with_the_water_point_design_and_water_service]]*WWWW[[#This Row],[Total PoP ]]</f>
        <v>0</v>
      </c>
      <c r="EE93" s="566">
        <f>WWWW[[#This Row],[%_of_complaints_received_that_result_in_timely_corrective_action_and_feedback_to_the_community]]*WWWW[[#This Row],[Total PoP ]]</f>
        <v>0</v>
      </c>
      <c r="EF9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9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2322</v>
      </c>
      <c r="EH9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3" s="902">
        <f>VLOOKUP(WWWW[[#This Row],[Site Name]],SiteDB6[[Site Name]:[CCCM Management]],6,FALSE)</f>
        <v>0</v>
      </c>
      <c r="EJ93" s="902" t="str">
        <f>VLOOKUP(WWWW[[#This Row],[Site Name]],SiteDB6[[Site Name]:[CCCM Focal Agency]],7,FALSE)</f>
        <v>uncovered</v>
      </c>
      <c r="EK93" s="902" t="str">
        <f>VLOOKUP(WWWW[[#This Row],[Site Name]],SiteDB6[[Site Name]:[Location Type 1]],9,FALSE)</f>
        <v>Camp</v>
      </c>
      <c r="EL93" s="902" t="str">
        <f>VLOOKUP(WWWW[[#This Row],[Site Name]],SiteDB6[[Site Name]:[Type of Accommodation]],10,FALSE)</f>
        <v>Boarding School</v>
      </c>
      <c r="EM93" s="902" t="str">
        <f>VLOOKUP(WWWW[[#This Row],[Site Name]],SiteDB6[[Site Name]:[Ethnic or GCA/NGCA]],11,FALSE)</f>
        <v>NGCA</v>
      </c>
      <c r="EN93" s="902">
        <f>VLOOKUP(WWWW[[#This Row],[Site Name]],SiteDB6[[Site Name]:[Lat]],12,FALSE)</f>
        <v>24.752471</v>
      </c>
      <c r="EO93" s="902">
        <f>VLOOKUP(WWWW[[#This Row],[Site Name]],SiteDB6[[Site Name]:[Long]],13,FALSE)</f>
        <v>97.541793999999996</v>
      </c>
      <c r="EP93" s="902" t="str">
        <f>VLOOKUP(WWWW[[#This Row],[Site Name]],SiteDB6[[Site Name]:[Pcode]],3,FALSE)</f>
        <v>MMR001CMP208</v>
      </c>
      <c r="EQ93" s="907" t="str">
        <f t="shared" si="1"/>
        <v>Covered</v>
      </c>
      <c r="ER93" s="907" t="s">
        <v>3126</v>
      </c>
      <c r="ES93" s="907" t="s">
        <v>3126</v>
      </c>
      <c r="ET93" s="902">
        <f>VLOOKUP(WWWW[[#This Row],[Site Name]],SiteDB6[[Site Name]:[Pop
(Kachin/Shan-CCCM as of May 2023)]],16,FALSE)</f>
        <v>0</v>
      </c>
      <c r="EU93" s="902">
        <f>VLOOKUP(WWWW[[#This Row],[Site Name]],SiteDB6[[Site Name]:[Pop
(Kachin/Shan-CCCM as of May 2023)]],17,FALSE)</f>
        <v>366</v>
      </c>
    </row>
    <row r="94" spans="1:151" hidden="1">
      <c r="A94" s="900" t="s">
        <v>2961</v>
      </c>
      <c r="B94" s="900" t="s">
        <v>192</v>
      </c>
      <c r="C94" s="901" t="s">
        <v>192</v>
      </c>
      <c r="D94" s="901" t="s">
        <v>2884</v>
      </c>
      <c r="E94" s="901" t="s">
        <v>37</v>
      </c>
      <c r="F94" s="901" t="s">
        <v>142</v>
      </c>
      <c r="G94" s="902" t="str">
        <f>VLOOKUP(WWWW[[#This Row],[Site Name]],SiteDB6[[Site Name]:[Location Type]],8,FALSE)</f>
        <v>Camp</v>
      </c>
      <c r="H94" s="901" t="s">
        <v>221</v>
      </c>
      <c r="I94" s="903">
        <v>1350</v>
      </c>
      <c r="J94" s="903">
        <v>7394</v>
      </c>
      <c r="K94" s="904" t="s">
        <v>3131</v>
      </c>
      <c r="L94" s="905" t="s">
        <v>3132</v>
      </c>
      <c r="M94" s="903"/>
      <c r="N94" s="903"/>
      <c r="O94" s="903"/>
      <c r="P94" s="903"/>
      <c r="Q94" s="906" t="s">
        <v>41</v>
      </c>
      <c r="R94" s="903">
        <v>2</v>
      </c>
      <c r="S94" s="903">
        <v>2</v>
      </c>
      <c r="T94" s="441"/>
      <c r="U94" s="903"/>
      <c r="V94" s="903"/>
      <c r="W94" s="903"/>
      <c r="X94" s="903"/>
      <c r="Y94" s="903"/>
      <c r="Z94" s="903"/>
      <c r="AA94" s="903">
        <v>11</v>
      </c>
      <c r="AB94" s="903"/>
      <c r="AC94" s="903"/>
      <c r="AD94" s="903"/>
      <c r="AE94" s="903"/>
      <c r="AF94" s="903"/>
      <c r="AG94" s="903"/>
      <c r="AH94" s="903"/>
      <c r="AI94" s="903"/>
      <c r="AJ94" s="903"/>
      <c r="AK94" s="903"/>
      <c r="AL94" s="903"/>
      <c r="AM94" s="903">
        <v>6</v>
      </c>
      <c r="AN94" s="903">
        <v>3</v>
      </c>
      <c r="AO94" s="441"/>
      <c r="AP94" s="907"/>
      <c r="AQ94" s="903">
        <v>247</v>
      </c>
      <c r="AR94" s="903"/>
      <c r="AS94" s="908"/>
      <c r="AT94" s="903"/>
      <c r="AU94" s="903"/>
      <c r="AV94" s="903"/>
      <c r="AW94" s="903"/>
      <c r="AX94" s="903"/>
      <c r="AY94" s="902" t="s">
        <v>41</v>
      </c>
      <c r="AZ94" s="907" t="s">
        <v>137</v>
      </c>
      <c r="BA94" s="903">
        <v>4</v>
      </c>
      <c r="BB94" s="903">
        <v>2</v>
      </c>
      <c r="BC94" s="903"/>
      <c r="BD94" s="441"/>
      <c r="BE94" s="441"/>
      <c r="BF94" s="902"/>
      <c r="BG94" s="903">
        <v>1</v>
      </c>
      <c r="BH94" s="903"/>
      <c r="BI94" s="903"/>
      <c r="BJ94" s="903">
        <v>1</v>
      </c>
      <c r="BK94" s="903"/>
      <c r="BL94" s="903"/>
      <c r="BM94" s="903">
        <v>3</v>
      </c>
      <c r="BN94" s="903"/>
      <c r="BO94" s="903"/>
      <c r="BP94" s="902"/>
      <c r="BQ94" s="909"/>
      <c r="BR94" s="908"/>
      <c r="BS94" s="902"/>
      <c r="BT94" s="416"/>
      <c r="BU94" s="416"/>
      <c r="BV94" s="418"/>
      <c r="BW94" s="416"/>
      <c r="BX94" s="441">
        <v>20</v>
      </c>
      <c r="BY94" s="441"/>
      <c r="BZ94" s="441"/>
      <c r="CA94" s="441"/>
      <c r="CB94" s="441"/>
      <c r="CC94" s="693"/>
      <c r="CD94" s="441"/>
      <c r="CE94" s="910" t="str">
        <f>IFERROR(WWWW[[#This Row],['#_Water sources passed]]/WWWW[[#This Row],['#_Water sources tested for fecal coliform ]],"no test")</f>
        <v>no test</v>
      </c>
      <c r="CF94" s="908" t="str">
        <f>IFERROR(WWWW[[#This Row],['#_Household passed]]/WWWW[[#This Row],['#_Household water samples tested for fecal coliform]],"no test")</f>
        <v>no test</v>
      </c>
      <c r="CG94" s="909" t="str">
        <f>IF(AND(WWWW[[#This Row],[% of water sources passed]]="no test",WWWW[[#This Row],[% Household passed]]="no test"),"No Test","Tested")</f>
        <v>No Test</v>
      </c>
      <c r="CH94" s="909">
        <f>WWWW[[#This Row],['#_Constructed/existing protected hand dug well]]-WWWW[[#This Row],['#_Non-functional protected hand dug well]]</f>
        <v>0</v>
      </c>
      <c r="CI94" s="909">
        <f>(WWWW[[#This Row],['#_Constructed/Existing tube wells/boreholes/handpumps_WASH_agency]]+WWWW[[#This Row],['#_Non-Cluster partner water tube-wells/boreholes/handpumps]])-WWWW[[#This Row],['#_Non-functional tube wells/boreholes/handpumps]]</f>
        <v>0</v>
      </c>
      <c r="CJ94" s="909">
        <f>WWWW[[#This Row],['#_Constructed/Existingwater storage tank with gravity fed reticulation system]]-WWWW[[#This Row],['#_Non-functional storage tank gravity fed reticulation system]]</f>
        <v>11</v>
      </c>
      <c r="CK94" s="909">
        <f>(WWWW[[#This Row],['#_Water_Liters_supplied_by_Water boating or water trucking]]/90)/15</f>
        <v>0</v>
      </c>
      <c r="CL94" s="909">
        <f>WWWW[[#This Row],['#_Water_Liters_from_Constructed/Existing water distribution system from river or natural spring]]/90/15</f>
        <v>0</v>
      </c>
      <c r="CM94" s="417">
        <f>IF(WWWW[[#This Row],['#_of water points in TLS/CFS]]*500&gt;WWWW[[#This Row],[Total PoP ]],WWWW[[#This Row],[Total PoP ]],WWWW[[#This Row],['#_of water points in TLS/CFS]]*500)</f>
        <v>1500</v>
      </c>
      <c r="CN94" s="417">
        <f>IF(WWWW[[#This Row],['#_of water points in THF]]*500&gt;WWWW[[#This Row],[Total PoP ]],WWWW[[#This Row],[Total PoP ]],WWWW[[#This Row],['#_of water points in THF]]*500)</f>
        <v>0</v>
      </c>
      <c r="CO94" s="417"/>
      <c r="CP94"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9.9179514922008841E-2</v>
      </c>
      <c r="CQ94"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9.9179514922008841E-2</v>
      </c>
      <c r="CR94" s="908">
        <f>IF(WWWW[[#This Row],[Location Type 1]]="Village",WWWW[[#This Row],[Access to safe drinking water for Village]],WWWW[[#This Row],[Access to safe drinking water for Camp]])</f>
        <v>9.9179514922008841E-2</v>
      </c>
      <c r="CS94" s="906">
        <f>WWWW[[#This Row],[%Equitable and continuous access to sufficient quantity of safe drinking water]]*WWWW[[#This Row],[Total PoP ]]</f>
        <v>733.33333333333337</v>
      </c>
      <c r="CT94" s="908">
        <f>IF((WWWW[[#This Row],['#_Constructed/Existing protected/fenced ponds]]*250)/WWWW[[#This Row],[Total PoP ]]&gt;1,1,(WWWW[[#This Row],['#_Constructed/Existing protected/fenced ponds]]*250)/WWWW[[#This Row],[Total PoP ]])</f>
        <v>0</v>
      </c>
      <c r="CU94" s="906">
        <f>WWWW[[#This Row],[% Access to unimproved water points]]*WWWW[[#This Row],[Total PoP ]]</f>
        <v>0</v>
      </c>
      <c r="CV94"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9.9179514922008841E-2</v>
      </c>
      <c r="CW94"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733.33333333333337</v>
      </c>
      <c r="CX94" s="906">
        <f>WWWW[[#This Row],[HRP1]]/500</f>
        <v>1.4666666666666668</v>
      </c>
      <c r="CY94" s="911">
        <f>1-WWWW[[#This Row],[% Equitable and continuous access to sufficient quantity of domestic water]]</f>
        <v>0.90082048507799117</v>
      </c>
      <c r="CZ94" s="906">
        <f>WWWW[[#This Row],[%equitable and continuous access to sufficient quantity of safe drinking and domestic water''s GAP]]*WWWW[[#This Row],[Total PoP ]]</f>
        <v>6660.666666666667</v>
      </c>
      <c r="DA94" s="909">
        <f>IF(WWWW[[#This Row],[Total required water points]]-WWWW[[#This Row],['#Water points coverage]]&lt;0,0,WWWW[[#This Row],[Total required water points]]-WWWW[[#This Row],['#Water points coverage]])</f>
        <v>13.533333333333333</v>
      </c>
      <c r="DB94" s="909">
        <f>ROUND(IF(WWWW[[#This Row],[Total PoP ]]&lt;500,1,WWWW[[#This Row],[Total PoP ]]/500),0)</f>
        <v>15</v>
      </c>
      <c r="DC94" s="909">
        <f>(WWWW[[#This Row],['#_Constructed latrines_by_WASHAgencies]]+WWWW[[#This Row],['#_Non Cluster partner latrines]])-WWWW[[#This Row],['#_Non-functional latrines]]</f>
        <v>247</v>
      </c>
      <c r="DD94" s="615">
        <f>WWWW[[#This Row],[HRP2]]/WWWW[[#This Row],[Total PoP ]]</f>
        <v>0.67892886123884233</v>
      </c>
      <c r="DE94"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5020</v>
      </c>
      <c r="DF94"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4"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4" s="417">
        <f>IF(WWWW[[#This Row],['# of functional latrines in THF supported by WASH partners during the reporting period2]]="",0,WWWW[[#This Row],['# of functional latrines in THF supported by WASH partners during the reporting period2]]*50)</f>
        <v>0</v>
      </c>
      <c r="DI94" s="909">
        <f>ROUND(IF(WWWW[[#This Row],[Location Type 1]]="camp",WWWW[[#This Row],[Total PoP ]]/20,IF(WWWW[[#This Row],[Location Type 1]]="Temporary Location",WWWW[[#This Row],[Total PoP ]]/50,(WWWW[[#This Row],[Total PoP ]]/6))),0)</f>
        <v>370</v>
      </c>
      <c r="DJ94" s="909">
        <f>IF(WWWW[[#This Row],[Total required Latrines]]-(WWWW[[#This Row],['#_Constructed latrines_by_WASHAgencies]]+WWWW[[#This Row],['#_Non Cluster partner latrines]])&lt;0,0,WWWW[[#This Row],[Total required Latrines]]-(WWWW[[#This Row],['#_Constructed latrines_by_WASHAgencies]]+WWWW[[#This Row],['#_Non Cluster partner latrines]]))</f>
        <v>123</v>
      </c>
      <c r="DK94" s="911">
        <f>1-WWWW[[#This Row],[% people access to functioning Latrine]]</f>
        <v>0.32107113876115767</v>
      </c>
      <c r="DL94" s="910">
        <f>IF(OR(WWWW[[#This Row],['#_Non-functional latrines]]="",WWWW[[#This Row],['#_Non-functional latrines]]=0),0,WWWW[[#This Row],['#_Non-functional latrines]]/(WWWW[[#This Row],['#_Constructed latrines_by_WASHAgencies]]+WWWW[[#This Row],['#_Non Cluster partner latrines]]))</f>
        <v>0</v>
      </c>
      <c r="DM94" s="906">
        <f>IF(500*(WWWW[[#This Row],['#_male hygiene promoters]]+WWWW[[#This Row],['#_female hygiene promoters]])&gt;WWWW[[#This Row],[Total PoP ]],WWWW[[#This Row],[Total PoP ]],500*(WWWW[[#This Row],['#_male hygiene promoters]]+WWWW[[#This Row],['#_female hygiene promoters]]))</f>
        <v>1500</v>
      </c>
      <c r="DN94"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4"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4" s="909">
        <f>IF(WWWW[[#This Row],['# People with access to soap]]&gt;WWWW[[#This Row],['# People with access to Sanity Pads]],WWWW[[#This Row],['# People with access to soap]],WWWW[[#This Row],['# People with access to Sanity Pads]])</f>
        <v>0</v>
      </c>
      <c r="DQ94" s="909">
        <f>IF(WWWW[[#This Row],['# people reached by regular dedicated hygiene promotion_5]]&gt;WWWW[[#This Row],['# People received regular supply of hygiene items_6]],WWWW[[#This Row],['# people reached by regular dedicated hygiene promotion_5]],WWWW[[#This Row],['# People received regular supply of hygiene items_6]])</f>
        <v>1500</v>
      </c>
      <c r="DR94" s="911">
        <f>IF(WWWW[[#This Row],[HRP3]]/WWWW[[#This Row],[Total PoP ]]&gt;1,1,WWWW[[#This Row],[HRP3]]/WWWW[[#This Row],[Total PoP ]])</f>
        <v>0.20286718961319988</v>
      </c>
      <c r="DS94" s="910">
        <f>1-WWWW[[#This Row],[Hygiene Coverage%]]</f>
        <v>0.79713281038680006</v>
      </c>
      <c r="DT94" s="908">
        <f>WWWW[[#This Row],['# people reached by regular dedicated hygiene promotion_5]]/WWWW[[#This Row],[Total PoP ]]</f>
        <v>0.20286718961319988</v>
      </c>
      <c r="DU94"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4"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4" s="909">
        <f>WWWW[[#This Row],['#_Constructed/Existing hand washing stations]]-WWWW[[#This Row],['#_Non-Functional_hand_washing_stations]]</f>
        <v>1</v>
      </c>
      <c r="DX94" s="906">
        <f>IF(WWWW[[#This Row],['# Functional hand washing stations during reporting period]]*20&gt;WWWW[[#This Row],[Total HH]],WWWW[[#This Row],[Total HH]],WWWW[[#This Row],['# Functional hand washing stations during reporting period]]*20)</f>
        <v>20</v>
      </c>
      <c r="DY94" s="906">
        <f>IF(WWWW[[#This Row],[Is sufficient soap available for TLS? (Yes/No)]]="yes",WWWW[[#This Row],['#_Constructed/Existing hand washing stations at TLS/CFS/THF]],0)</f>
        <v>0</v>
      </c>
      <c r="DZ94" s="421">
        <f>IF(WWWW[[#This Row],['# Functional hand washing stations during reporting period]]*100&gt;WWWW[[#This Row],[Total PoP ]],WWWW[[#This Row],[Total PoP ]],WWWW[[#This Row],['# Functional hand washing stations during reporting period]]*100)</f>
        <v>100</v>
      </c>
      <c r="EA94" s="421" t="str">
        <f>IF(OR(WWWW[[#This Row],['#_students at TLS_CFS]]="",WWWW[[#This Row],['#_students at TLS_CFS]]=0),"No","Yes")</f>
        <v>No</v>
      </c>
      <c r="EB9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94" s="566">
        <f>WWWW[[#This Row],[%_of_affected_people_surveyed_who_report_feeling_satistfied_with_the_latrine_design_and_sanitation_service]]*WWWW[[#This Row],[Total PoP ]]</f>
        <v>0</v>
      </c>
      <c r="ED94" s="566">
        <f>WWWW[[#This Row],[%_of_affected_people_surveyed_who_report_feeling_satistfied_with_the_water_point_design_and_water_service]]*WWWW[[#This Row],[Total PoP ]]</f>
        <v>0</v>
      </c>
      <c r="EE94" s="566">
        <f>WWWW[[#This Row],[%_of_complaints_received_that_result_in_timely_corrective_action_and_feedback_to_the_community]]*WWWW[[#This Row],[Total PoP ]]</f>
        <v>0</v>
      </c>
      <c r="EF9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9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1500</v>
      </c>
      <c r="EH9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4" s="902" t="str">
        <f>VLOOKUP(WWWW[[#This Row],[Site Name]],SiteDB6[[Site Name]:[CCCM Management]],6,FALSE)</f>
        <v>Yes</v>
      </c>
      <c r="EJ94" s="902" t="str">
        <f>VLOOKUP(WWWW[[#This Row],[Site Name]],SiteDB6[[Site Name]:[CCCM Focal Agency]],7,FALSE)</f>
        <v>KMSS-MYT</v>
      </c>
      <c r="EK94" s="902" t="str">
        <f>VLOOKUP(WWWW[[#This Row],[Site Name]],SiteDB6[[Site Name]:[Location Type 1]],9,FALSE)</f>
        <v>Camp</v>
      </c>
      <c r="EL94" s="902" t="str">
        <f>VLOOKUP(WWWW[[#This Row],[Site Name]],SiteDB6[[Site Name]:[Type of Accommodation]],10,FALSE)</f>
        <v>Camp</v>
      </c>
      <c r="EM94" s="902" t="str">
        <f>VLOOKUP(WWWW[[#This Row],[Site Name]],SiteDB6[[Site Name]:[Ethnic or GCA/NGCA]],11,FALSE)</f>
        <v>NGCA</v>
      </c>
      <c r="EN94" s="902">
        <f>VLOOKUP(WWWW[[#This Row],[Site Name]],SiteDB6[[Site Name]:[Lat]],12,FALSE)</f>
        <v>24.755253</v>
      </c>
      <c r="EO94" s="902">
        <f>VLOOKUP(WWWW[[#This Row],[Site Name]],SiteDB6[[Site Name]:[Long]],13,FALSE)</f>
        <v>97.546893999999995</v>
      </c>
      <c r="EP94" s="902" t="str">
        <f>VLOOKUP(WWWW[[#This Row],[Site Name]],SiteDB6[[Site Name]:[Pcode]],3,FALSE)</f>
        <v>MMR001CMP116</v>
      </c>
      <c r="EQ94" s="907" t="str">
        <f t="shared" si="1"/>
        <v>Covered</v>
      </c>
      <c r="ER94" s="907" t="s">
        <v>3126</v>
      </c>
      <c r="ES94" s="907" t="s">
        <v>3126</v>
      </c>
      <c r="ET94" s="902">
        <f>VLOOKUP(WWWW[[#This Row],[Site Name]],SiteDB6[[Site Name]:[Pop
(Kachin/Shan-CCCM as of May 2023)]],16,FALSE)</f>
        <v>1352</v>
      </c>
      <c r="EU94" s="902">
        <f>VLOOKUP(WWWW[[#This Row],[Site Name]],SiteDB6[[Site Name]:[Pop
(Kachin/Shan-CCCM as of May 2023)]],17,FALSE)</f>
        <v>7353</v>
      </c>
    </row>
    <row r="95" spans="1:151" hidden="1">
      <c r="A95" s="900" t="s">
        <v>2961</v>
      </c>
      <c r="B95" s="900" t="s">
        <v>192</v>
      </c>
      <c r="C95" s="901" t="s">
        <v>192</v>
      </c>
      <c r="D95" s="901" t="s">
        <v>2884</v>
      </c>
      <c r="E95" s="901" t="s">
        <v>37</v>
      </c>
      <c r="F95" s="901" t="s">
        <v>142</v>
      </c>
      <c r="G95" s="902" t="str">
        <f>VLOOKUP(WWWW[[#This Row],[Site Name]],SiteDB6[[Site Name]:[Location Type]],8,FALSE)</f>
        <v>Camp_not registered</v>
      </c>
      <c r="H95" s="901" t="s">
        <v>223</v>
      </c>
      <c r="I95" s="903">
        <v>134</v>
      </c>
      <c r="J95" s="903">
        <v>709</v>
      </c>
      <c r="K95" s="904" t="s">
        <v>3131</v>
      </c>
      <c r="L95" s="905" t="s">
        <v>3132</v>
      </c>
      <c r="M95" s="903"/>
      <c r="N95" s="903"/>
      <c r="O95" s="903"/>
      <c r="P95" s="903"/>
      <c r="Q95" s="906" t="s">
        <v>136</v>
      </c>
      <c r="R95" s="903"/>
      <c r="S95" s="903"/>
      <c r="T95" s="441"/>
      <c r="U95" s="903"/>
      <c r="V95" s="903"/>
      <c r="W95" s="903"/>
      <c r="X95" s="903"/>
      <c r="Y95" s="903"/>
      <c r="Z95" s="903"/>
      <c r="AA95" s="903">
        <v>1</v>
      </c>
      <c r="AB95" s="903"/>
      <c r="AC95" s="903"/>
      <c r="AD95" s="903"/>
      <c r="AE95" s="903"/>
      <c r="AF95" s="903"/>
      <c r="AG95" s="903"/>
      <c r="AH95" s="903"/>
      <c r="AI95" s="903"/>
      <c r="AJ95" s="903"/>
      <c r="AK95" s="903"/>
      <c r="AL95" s="903"/>
      <c r="AM95" s="903"/>
      <c r="AN95" s="903"/>
      <c r="AO95" s="441"/>
      <c r="AP95" s="907"/>
      <c r="AQ95" s="903"/>
      <c r="AR95" s="903"/>
      <c r="AS95" s="908"/>
      <c r="AT95" s="903"/>
      <c r="AU95" s="903"/>
      <c r="AV95" s="903"/>
      <c r="AW95" s="903"/>
      <c r="AX95" s="903"/>
      <c r="AY95" s="902" t="s">
        <v>41</v>
      </c>
      <c r="AZ95" s="907" t="s">
        <v>899</v>
      </c>
      <c r="BA95" s="903"/>
      <c r="BB95" s="903"/>
      <c r="BC95" s="903"/>
      <c r="BD95" s="441"/>
      <c r="BE95" s="441"/>
      <c r="BF95" s="902"/>
      <c r="BG95" s="903">
        <v>8</v>
      </c>
      <c r="BH95" s="903"/>
      <c r="BI95" s="903"/>
      <c r="BJ95" s="903">
        <v>3</v>
      </c>
      <c r="BK95" s="903"/>
      <c r="BL95" s="903"/>
      <c r="BM95" s="903"/>
      <c r="BN95" s="903"/>
      <c r="BO95" s="903"/>
      <c r="BP95" s="902"/>
      <c r="BQ95" s="909"/>
      <c r="BR95" s="908"/>
      <c r="BS95" s="902"/>
      <c r="BT95" s="416"/>
      <c r="BU95" s="416"/>
      <c r="BV95" s="418"/>
      <c r="BW95" s="416"/>
      <c r="BX95" s="441"/>
      <c r="BY95" s="441"/>
      <c r="BZ95" s="441"/>
      <c r="CA95" s="441"/>
      <c r="CB95" s="441"/>
      <c r="CC95" s="693"/>
      <c r="CD95" s="441"/>
      <c r="CE95" s="910" t="str">
        <f>IFERROR(WWWW[[#This Row],['#_Water sources passed]]/WWWW[[#This Row],['#_Water sources tested for fecal coliform ]],"no test")</f>
        <v>no test</v>
      </c>
      <c r="CF95" s="908" t="str">
        <f>IFERROR(WWWW[[#This Row],['#_Household passed]]/WWWW[[#This Row],['#_Household water samples tested for fecal coliform]],"no test")</f>
        <v>no test</v>
      </c>
      <c r="CG95" s="909" t="str">
        <f>IF(AND(WWWW[[#This Row],[% of water sources passed]]="no test",WWWW[[#This Row],[% Household passed]]="no test"),"No Test","Tested")</f>
        <v>No Test</v>
      </c>
      <c r="CH95" s="909">
        <f>WWWW[[#This Row],['#_Constructed/existing protected hand dug well]]-WWWW[[#This Row],['#_Non-functional protected hand dug well]]</f>
        <v>0</v>
      </c>
      <c r="CI95" s="909">
        <f>(WWWW[[#This Row],['#_Constructed/Existing tube wells/boreholes/handpumps_WASH_agency]]+WWWW[[#This Row],['#_Non-Cluster partner water tube-wells/boreholes/handpumps]])-WWWW[[#This Row],['#_Non-functional tube wells/boreholes/handpumps]]</f>
        <v>0</v>
      </c>
      <c r="CJ95" s="909">
        <f>WWWW[[#This Row],['#_Constructed/Existingwater storage tank with gravity fed reticulation system]]-WWWW[[#This Row],['#_Non-functional storage tank gravity fed reticulation system]]</f>
        <v>1</v>
      </c>
      <c r="CK95" s="909">
        <f>(WWWW[[#This Row],['#_Water_Liters_supplied_by_Water boating or water trucking]]/90)/15</f>
        <v>0</v>
      </c>
      <c r="CL95" s="909">
        <f>WWWW[[#This Row],['#_Water_Liters_from_Constructed/Existing water distribution system from river or natural spring]]/90/15</f>
        <v>0</v>
      </c>
      <c r="CM95" s="417">
        <f>IF(WWWW[[#This Row],['#_of water points in TLS/CFS]]*500&gt;WWWW[[#This Row],[Total PoP ]],WWWW[[#This Row],[Total PoP ]],WWWW[[#This Row],['#_of water points in TLS/CFS]]*500)</f>
        <v>0</v>
      </c>
      <c r="CN95" s="417">
        <f>IF(WWWW[[#This Row],['#_of water points in THF]]*500&gt;WWWW[[#This Row],[Total PoP ]],WWWW[[#This Row],[Total PoP ]],WWWW[[#This Row],['#_of water points in THF]]*500)</f>
        <v>0</v>
      </c>
      <c r="CO95" s="417"/>
      <c r="CP95"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9.4029149036201229E-2</v>
      </c>
      <c r="CQ95"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9.4029149036201229E-2</v>
      </c>
      <c r="CR95" s="908">
        <f>IF(WWWW[[#This Row],[Location Type 1]]="Village",WWWW[[#This Row],[Access to safe drinking water for Village]],WWWW[[#This Row],[Access to safe drinking water for Camp]])</f>
        <v>9.4029149036201229E-2</v>
      </c>
      <c r="CS95" s="906">
        <f>WWWW[[#This Row],[%Equitable and continuous access to sufficient quantity of safe drinking water]]*WWWW[[#This Row],[Total PoP ]]</f>
        <v>66.666666666666671</v>
      </c>
      <c r="CT95" s="908">
        <f>IF((WWWW[[#This Row],['#_Constructed/Existing protected/fenced ponds]]*250)/WWWW[[#This Row],[Total PoP ]]&gt;1,1,(WWWW[[#This Row],['#_Constructed/Existing protected/fenced ponds]]*250)/WWWW[[#This Row],[Total PoP ]])</f>
        <v>0</v>
      </c>
      <c r="CU95" s="906">
        <f>WWWW[[#This Row],[% Access to unimproved water points]]*WWWW[[#This Row],[Total PoP ]]</f>
        <v>0</v>
      </c>
      <c r="CV95"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9.4029149036201229E-2</v>
      </c>
      <c r="CW95"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X95" s="906">
        <f>WWWW[[#This Row],[HRP1]]/500</f>
        <v>0.13333333333333333</v>
      </c>
      <c r="CY95" s="911">
        <f>1-WWWW[[#This Row],[% Equitable and continuous access to sufficient quantity of domestic water]]</f>
        <v>0.90597085096379881</v>
      </c>
      <c r="CZ95" s="906">
        <f>WWWW[[#This Row],[%equitable and continuous access to sufficient quantity of safe drinking and domestic water''s GAP]]*WWWW[[#This Row],[Total PoP ]]</f>
        <v>642.33333333333337</v>
      </c>
      <c r="DA95" s="909">
        <f>IF(WWWW[[#This Row],[Total required water points]]-WWWW[[#This Row],['#Water points coverage]]&lt;0,0,WWWW[[#This Row],[Total required water points]]-WWWW[[#This Row],['#Water points coverage]])</f>
        <v>0.8666666666666667</v>
      </c>
      <c r="DB95" s="909">
        <f>ROUND(IF(WWWW[[#This Row],[Total PoP ]]&lt;500,1,WWWW[[#This Row],[Total PoP ]]/500),0)</f>
        <v>1</v>
      </c>
      <c r="DC95" s="909">
        <f>(WWWW[[#This Row],['#_Constructed latrines_by_WASHAgencies]]+WWWW[[#This Row],['#_Non Cluster partner latrines]])-WWWW[[#This Row],['#_Non-functional latrines]]</f>
        <v>0</v>
      </c>
      <c r="DD95" s="615">
        <f>WWWW[[#This Row],[HRP2]]/WWWW[[#This Row],[Total PoP ]]</f>
        <v>0</v>
      </c>
      <c r="DE95"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95"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5"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5" s="417">
        <f>IF(WWWW[[#This Row],['# of functional latrines in THF supported by WASH partners during the reporting period2]]="",0,WWWW[[#This Row],['# of functional latrines in THF supported by WASH partners during the reporting period2]]*50)</f>
        <v>0</v>
      </c>
      <c r="DI95" s="909">
        <f>ROUND(IF(WWWW[[#This Row],[Location Type 1]]="camp",WWWW[[#This Row],[Total PoP ]]/20,IF(WWWW[[#This Row],[Location Type 1]]="Temporary Location",WWWW[[#This Row],[Total PoP ]]/50,(WWWW[[#This Row],[Total PoP ]]/6))),0)</f>
        <v>35</v>
      </c>
      <c r="DJ95" s="909">
        <f>IF(WWWW[[#This Row],[Total required Latrines]]-(WWWW[[#This Row],['#_Constructed latrines_by_WASHAgencies]]+WWWW[[#This Row],['#_Non Cluster partner latrines]])&lt;0,0,WWWW[[#This Row],[Total required Latrines]]-(WWWW[[#This Row],['#_Constructed latrines_by_WASHAgencies]]+WWWW[[#This Row],['#_Non Cluster partner latrines]]))</f>
        <v>35</v>
      </c>
      <c r="DK95" s="911">
        <f>1-WWWW[[#This Row],[% people access to functioning Latrine]]</f>
        <v>1</v>
      </c>
      <c r="DL95" s="910">
        <f>IF(OR(WWWW[[#This Row],['#_Non-functional latrines]]="",WWWW[[#This Row],['#_Non-functional latrines]]=0),0,WWWW[[#This Row],['#_Non-functional latrines]]/(WWWW[[#This Row],['#_Constructed latrines_by_WASHAgencies]]+WWWW[[#This Row],['#_Non Cluster partner latrines]]))</f>
        <v>0</v>
      </c>
      <c r="DM95" s="906">
        <f>IF(500*(WWWW[[#This Row],['#_male hygiene promoters]]+WWWW[[#This Row],['#_female hygiene promoters]])&gt;WWWW[[#This Row],[Total PoP ]],WWWW[[#This Row],[Total PoP ]],500*(WWWW[[#This Row],['#_male hygiene promoters]]+WWWW[[#This Row],['#_female hygiene promoters]]))</f>
        <v>0</v>
      </c>
      <c r="DN95"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5"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5" s="909">
        <f>IF(WWWW[[#This Row],['# People with access to soap]]&gt;WWWW[[#This Row],['# People with access to Sanity Pads]],WWWW[[#This Row],['# People with access to soap]],WWWW[[#This Row],['# People with access to Sanity Pads]])</f>
        <v>0</v>
      </c>
      <c r="DQ95"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95" s="911">
        <f>IF(WWWW[[#This Row],[HRP3]]/WWWW[[#This Row],[Total PoP ]]&gt;1,1,WWWW[[#This Row],[HRP3]]/WWWW[[#This Row],[Total PoP ]])</f>
        <v>0</v>
      </c>
      <c r="DS95" s="910">
        <f>1-WWWW[[#This Row],[Hygiene Coverage%]]</f>
        <v>1</v>
      </c>
      <c r="DT95" s="908">
        <f>WWWW[[#This Row],['# people reached by regular dedicated hygiene promotion_5]]/WWWW[[#This Row],[Total PoP ]]</f>
        <v>0</v>
      </c>
      <c r="DU95"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5"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5" s="909">
        <f>WWWW[[#This Row],['#_Constructed/Existing hand washing stations]]-WWWW[[#This Row],['#_Non-Functional_hand_washing_stations]]</f>
        <v>8</v>
      </c>
      <c r="DX95" s="906">
        <f>IF(WWWW[[#This Row],['# Functional hand washing stations during reporting period]]*20&gt;WWWW[[#This Row],[Total HH]],WWWW[[#This Row],[Total HH]],WWWW[[#This Row],['# Functional hand washing stations during reporting period]]*20)</f>
        <v>134</v>
      </c>
      <c r="DY95" s="906">
        <f>IF(WWWW[[#This Row],[Is sufficient soap available for TLS? (Yes/No)]]="yes",WWWW[[#This Row],['#_Constructed/Existing hand washing stations at TLS/CFS/THF]],0)</f>
        <v>0</v>
      </c>
      <c r="DZ95" s="421">
        <f>IF(WWWW[[#This Row],['# Functional hand washing stations during reporting period]]*100&gt;WWWW[[#This Row],[Total PoP ]],WWWW[[#This Row],[Total PoP ]],WWWW[[#This Row],['# Functional hand washing stations during reporting period]]*100)</f>
        <v>709</v>
      </c>
      <c r="EA95" s="421" t="str">
        <f>IF(OR(WWWW[[#This Row],['#_students at TLS_CFS]]="",WWWW[[#This Row],['#_students at TLS_CFS]]=0),"No","Yes")</f>
        <v>No</v>
      </c>
      <c r="EB9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95" s="566">
        <f>WWWW[[#This Row],[%_of_affected_people_surveyed_who_report_feeling_satistfied_with_the_latrine_design_and_sanitation_service]]*WWWW[[#This Row],[Total PoP ]]</f>
        <v>0</v>
      </c>
      <c r="ED95" s="566">
        <f>WWWW[[#This Row],[%_of_affected_people_surveyed_who_report_feeling_satistfied_with_the_water_point_design_and_water_service]]*WWWW[[#This Row],[Total PoP ]]</f>
        <v>0</v>
      </c>
      <c r="EE95" s="566">
        <f>WWWW[[#This Row],[%_of_complaints_received_that_result_in_timely_corrective_action_and_feedback_to_the_community]]*WWWW[[#This Row],[Total PoP ]]</f>
        <v>0</v>
      </c>
      <c r="EF9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9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9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5" s="902">
        <f>VLOOKUP(WWWW[[#This Row],[Site Name]],SiteDB6[[Site Name]:[CCCM Management]],6,FALSE)</f>
        <v>0</v>
      </c>
      <c r="EJ95" s="902">
        <f>VLOOKUP(WWWW[[#This Row],[Site Name]],SiteDB6[[Site Name]:[CCCM Focal Agency]],7,FALSE)</f>
        <v>0</v>
      </c>
      <c r="EK95" s="902" t="str">
        <f>VLOOKUP(WWWW[[#This Row],[Site Name]],SiteDB6[[Site Name]:[Location Type 1]],9,FALSE)</f>
        <v>Camp</v>
      </c>
      <c r="EL95" s="902" t="str">
        <f>VLOOKUP(WWWW[[#This Row],[Site Name]],SiteDB6[[Site Name]:[Type of Accommodation]],10,FALSE)</f>
        <v>CAMP</v>
      </c>
      <c r="EM95" s="902" t="str">
        <f>VLOOKUP(WWWW[[#This Row],[Site Name]],SiteDB6[[Site Name]:[Ethnic or GCA/NGCA]],11,FALSE)</f>
        <v>NGCA</v>
      </c>
      <c r="EN95" s="902">
        <f>VLOOKUP(WWWW[[#This Row],[Site Name]],SiteDB6[[Site Name]:[Lat]],12,FALSE)</f>
        <v>0</v>
      </c>
      <c r="EO95" s="902">
        <f>VLOOKUP(WWWW[[#This Row],[Site Name]],SiteDB6[[Site Name]:[Long]],13,FALSE)</f>
        <v>0</v>
      </c>
      <c r="EP95" s="902">
        <f>VLOOKUP(WWWW[[#This Row],[Site Name]],SiteDB6[[Site Name]:[Pcode]],3,FALSE)</f>
        <v>0</v>
      </c>
      <c r="EQ95" s="907" t="str">
        <f t="shared" si="1"/>
        <v>Covered</v>
      </c>
      <c r="ER95" s="907" t="s">
        <v>3126</v>
      </c>
      <c r="ES95" s="907" t="s">
        <v>3126</v>
      </c>
      <c r="ET95" s="902">
        <f>VLOOKUP(WWWW[[#This Row],[Site Name]],SiteDB6[[Site Name]:[Pop
(Kachin/Shan-CCCM as of May 2023)]],16,FALSE)</f>
        <v>0</v>
      </c>
      <c r="EU95" s="902">
        <f>VLOOKUP(WWWW[[#This Row],[Site Name]],SiteDB6[[Site Name]:[Pop
(Kachin/Shan-CCCM as of May 2023)]],17,FALSE)</f>
        <v>0</v>
      </c>
    </row>
    <row r="96" spans="1:151" hidden="1">
      <c r="A96" s="900" t="s">
        <v>2961</v>
      </c>
      <c r="B96" s="900" t="s">
        <v>192</v>
      </c>
      <c r="C96" s="901" t="s">
        <v>192</v>
      </c>
      <c r="D96" s="901" t="s">
        <v>2884</v>
      </c>
      <c r="E96" s="901" t="s">
        <v>37</v>
      </c>
      <c r="F96" s="901" t="s">
        <v>142</v>
      </c>
      <c r="G96" s="902" t="str">
        <f>VLOOKUP(WWWW[[#This Row],[Site Name]],SiteDB6[[Site Name]:[Location Type]],8,FALSE)</f>
        <v>Camp_not registered</v>
      </c>
      <c r="H96" s="901" t="s">
        <v>222</v>
      </c>
      <c r="I96" s="903">
        <v>546</v>
      </c>
      <c r="J96" s="903">
        <v>2550</v>
      </c>
      <c r="K96" s="904" t="s">
        <v>3131</v>
      </c>
      <c r="L96" s="905" t="s">
        <v>3132</v>
      </c>
      <c r="M96" s="903"/>
      <c r="N96" s="903"/>
      <c r="O96" s="903"/>
      <c r="P96" s="903"/>
      <c r="Q96" s="906" t="s">
        <v>136</v>
      </c>
      <c r="R96" s="903"/>
      <c r="S96" s="903"/>
      <c r="T96" s="441"/>
      <c r="U96" s="903"/>
      <c r="V96" s="903"/>
      <c r="W96" s="903"/>
      <c r="X96" s="903"/>
      <c r="Y96" s="903"/>
      <c r="Z96" s="903"/>
      <c r="AA96" s="903"/>
      <c r="AB96" s="903"/>
      <c r="AC96" s="903"/>
      <c r="AD96" s="903"/>
      <c r="AE96" s="903"/>
      <c r="AF96" s="903"/>
      <c r="AG96" s="903"/>
      <c r="AH96" s="903"/>
      <c r="AI96" s="903"/>
      <c r="AJ96" s="903"/>
      <c r="AK96" s="903"/>
      <c r="AL96" s="903"/>
      <c r="AM96" s="903"/>
      <c r="AN96" s="903"/>
      <c r="AO96" s="441"/>
      <c r="AP96" s="907"/>
      <c r="AQ96" s="903"/>
      <c r="AR96" s="903"/>
      <c r="AS96" s="908"/>
      <c r="AT96" s="903"/>
      <c r="AU96" s="903"/>
      <c r="AV96" s="903"/>
      <c r="AW96" s="903"/>
      <c r="AX96" s="903"/>
      <c r="AY96" s="902" t="s">
        <v>136</v>
      </c>
      <c r="AZ96" s="907" t="s">
        <v>136</v>
      </c>
      <c r="BA96" s="903"/>
      <c r="BB96" s="903"/>
      <c r="BC96" s="903"/>
      <c r="BD96" s="441"/>
      <c r="BE96" s="441"/>
      <c r="BF96" s="902"/>
      <c r="BG96" s="903">
        <v>7</v>
      </c>
      <c r="BH96" s="903"/>
      <c r="BI96" s="903"/>
      <c r="BJ96" s="903">
        <v>7</v>
      </c>
      <c r="BK96" s="903"/>
      <c r="BL96" s="903"/>
      <c r="BM96" s="903"/>
      <c r="BN96" s="903"/>
      <c r="BO96" s="903"/>
      <c r="BP96" s="902"/>
      <c r="BQ96" s="909"/>
      <c r="BR96" s="908"/>
      <c r="BS96" s="902"/>
      <c r="BT96" s="416"/>
      <c r="BU96" s="416"/>
      <c r="BV96" s="418"/>
      <c r="BW96" s="416"/>
      <c r="BX96" s="441"/>
      <c r="BY96" s="441"/>
      <c r="BZ96" s="441"/>
      <c r="CA96" s="441"/>
      <c r="CB96" s="441"/>
      <c r="CC96" s="693"/>
      <c r="CD96" s="441"/>
      <c r="CE96" s="910" t="str">
        <f>IFERROR(WWWW[[#This Row],['#_Water sources passed]]/WWWW[[#This Row],['#_Water sources tested for fecal coliform ]],"no test")</f>
        <v>no test</v>
      </c>
      <c r="CF96" s="908" t="str">
        <f>IFERROR(WWWW[[#This Row],['#_Household passed]]/WWWW[[#This Row],['#_Household water samples tested for fecal coliform]],"no test")</f>
        <v>no test</v>
      </c>
      <c r="CG96" s="909" t="str">
        <f>IF(AND(WWWW[[#This Row],[% of water sources passed]]="no test",WWWW[[#This Row],[% Household passed]]="no test"),"No Test","Tested")</f>
        <v>No Test</v>
      </c>
      <c r="CH96" s="909">
        <f>WWWW[[#This Row],['#_Constructed/existing protected hand dug well]]-WWWW[[#This Row],['#_Non-functional protected hand dug well]]</f>
        <v>0</v>
      </c>
      <c r="CI96" s="909">
        <f>(WWWW[[#This Row],['#_Constructed/Existing tube wells/boreholes/handpumps_WASH_agency]]+WWWW[[#This Row],['#_Non-Cluster partner water tube-wells/boreholes/handpumps]])-WWWW[[#This Row],['#_Non-functional tube wells/boreholes/handpumps]]</f>
        <v>0</v>
      </c>
      <c r="CJ96" s="909">
        <f>WWWW[[#This Row],['#_Constructed/Existingwater storage tank with gravity fed reticulation system]]-WWWW[[#This Row],['#_Non-functional storage tank gravity fed reticulation system]]</f>
        <v>0</v>
      </c>
      <c r="CK96" s="909">
        <f>(WWWW[[#This Row],['#_Water_Liters_supplied_by_Water boating or water trucking]]/90)/15</f>
        <v>0</v>
      </c>
      <c r="CL96" s="909">
        <f>WWWW[[#This Row],['#_Water_Liters_from_Constructed/Existing water distribution system from river or natural spring]]/90/15</f>
        <v>0</v>
      </c>
      <c r="CM96" s="417">
        <f>IF(WWWW[[#This Row],['#_of water points in TLS/CFS]]*500&gt;WWWW[[#This Row],[Total PoP ]],WWWW[[#This Row],[Total PoP ]],WWWW[[#This Row],['#_of water points in TLS/CFS]]*500)</f>
        <v>0</v>
      </c>
      <c r="CN96" s="417">
        <f>IF(WWWW[[#This Row],['#_of water points in THF]]*500&gt;WWWW[[#This Row],[Total PoP ]],WWWW[[#This Row],[Total PoP ]],WWWW[[#This Row],['#_of water points in THF]]*500)</f>
        <v>0</v>
      </c>
      <c r="CO96" s="417"/>
      <c r="CP96"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96"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96" s="908">
        <f>IF(WWWW[[#This Row],[Location Type 1]]="Village",WWWW[[#This Row],[Access to safe drinking water for Village]],WWWW[[#This Row],[Access to safe drinking water for Camp]])</f>
        <v>0</v>
      </c>
      <c r="CS96" s="906">
        <f>WWWW[[#This Row],[%Equitable and continuous access to sufficient quantity of safe drinking water]]*WWWW[[#This Row],[Total PoP ]]</f>
        <v>0</v>
      </c>
      <c r="CT96" s="908">
        <f>IF((WWWW[[#This Row],['#_Constructed/Existing protected/fenced ponds]]*250)/WWWW[[#This Row],[Total PoP ]]&gt;1,1,(WWWW[[#This Row],['#_Constructed/Existing protected/fenced ponds]]*250)/WWWW[[#This Row],[Total PoP ]])</f>
        <v>0</v>
      </c>
      <c r="CU96" s="906">
        <f>WWWW[[#This Row],[% Access to unimproved water points]]*WWWW[[#This Row],[Total PoP ]]</f>
        <v>0</v>
      </c>
      <c r="CV96"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96"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96" s="906">
        <f>WWWW[[#This Row],[HRP1]]/500</f>
        <v>0</v>
      </c>
      <c r="CY96" s="911">
        <f>1-WWWW[[#This Row],[% Equitable and continuous access to sufficient quantity of domestic water]]</f>
        <v>1</v>
      </c>
      <c r="CZ96" s="906">
        <f>WWWW[[#This Row],[%equitable and continuous access to sufficient quantity of safe drinking and domestic water''s GAP]]*WWWW[[#This Row],[Total PoP ]]</f>
        <v>2550</v>
      </c>
      <c r="DA96" s="909">
        <f>IF(WWWW[[#This Row],[Total required water points]]-WWWW[[#This Row],['#Water points coverage]]&lt;0,0,WWWW[[#This Row],[Total required water points]]-WWWW[[#This Row],['#Water points coverage]])</f>
        <v>5</v>
      </c>
      <c r="DB96" s="909">
        <f>ROUND(IF(WWWW[[#This Row],[Total PoP ]]&lt;500,1,WWWW[[#This Row],[Total PoP ]]/500),0)</f>
        <v>5</v>
      </c>
      <c r="DC96" s="909">
        <f>(WWWW[[#This Row],['#_Constructed latrines_by_WASHAgencies]]+WWWW[[#This Row],['#_Non Cluster partner latrines]])-WWWW[[#This Row],['#_Non-functional latrines]]</f>
        <v>0</v>
      </c>
      <c r="DD96" s="615">
        <f>WWWW[[#This Row],[HRP2]]/WWWW[[#This Row],[Total PoP ]]</f>
        <v>0</v>
      </c>
      <c r="DE96"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96"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6"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6" s="417">
        <f>IF(WWWW[[#This Row],['# of functional latrines in THF supported by WASH partners during the reporting period2]]="",0,WWWW[[#This Row],['# of functional latrines in THF supported by WASH partners during the reporting period2]]*50)</f>
        <v>0</v>
      </c>
      <c r="DI96" s="909">
        <f>ROUND(IF(WWWW[[#This Row],[Location Type 1]]="camp",WWWW[[#This Row],[Total PoP ]]/20,IF(WWWW[[#This Row],[Location Type 1]]="Temporary Location",WWWW[[#This Row],[Total PoP ]]/50,(WWWW[[#This Row],[Total PoP ]]/6))),0)</f>
        <v>128</v>
      </c>
      <c r="DJ96" s="909">
        <f>IF(WWWW[[#This Row],[Total required Latrines]]-(WWWW[[#This Row],['#_Constructed latrines_by_WASHAgencies]]+WWWW[[#This Row],['#_Non Cluster partner latrines]])&lt;0,0,WWWW[[#This Row],[Total required Latrines]]-(WWWW[[#This Row],['#_Constructed latrines_by_WASHAgencies]]+WWWW[[#This Row],['#_Non Cluster partner latrines]]))</f>
        <v>128</v>
      </c>
      <c r="DK96" s="911">
        <f>1-WWWW[[#This Row],[% people access to functioning Latrine]]</f>
        <v>1</v>
      </c>
      <c r="DL96" s="910">
        <f>IF(OR(WWWW[[#This Row],['#_Non-functional latrines]]="",WWWW[[#This Row],['#_Non-functional latrines]]=0),0,WWWW[[#This Row],['#_Non-functional latrines]]/(WWWW[[#This Row],['#_Constructed latrines_by_WASHAgencies]]+WWWW[[#This Row],['#_Non Cluster partner latrines]]))</f>
        <v>0</v>
      </c>
      <c r="DM96" s="906">
        <f>IF(500*(WWWW[[#This Row],['#_male hygiene promoters]]+WWWW[[#This Row],['#_female hygiene promoters]])&gt;WWWW[[#This Row],[Total PoP ]],WWWW[[#This Row],[Total PoP ]],500*(WWWW[[#This Row],['#_male hygiene promoters]]+WWWW[[#This Row],['#_female hygiene promoters]]))</f>
        <v>0</v>
      </c>
      <c r="DN96"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6"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6" s="909">
        <f>IF(WWWW[[#This Row],['# People with access to soap]]&gt;WWWW[[#This Row],['# People with access to Sanity Pads]],WWWW[[#This Row],['# People with access to soap]],WWWW[[#This Row],['# People with access to Sanity Pads]])</f>
        <v>0</v>
      </c>
      <c r="DQ96"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96" s="911">
        <f>IF(WWWW[[#This Row],[HRP3]]/WWWW[[#This Row],[Total PoP ]]&gt;1,1,WWWW[[#This Row],[HRP3]]/WWWW[[#This Row],[Total PoP ]])</f>
        <v>0</v>
      </c>
      <c r="DS96" s="910">
        <f>1-WWWW[[#This Row],[Hygiene Coverage%]]</f>
        <v>1</v>
      </c>
      <c r="DT96" s="908">
        <f>WWWW[[#This Row],['# people reached by regular dedicated hygiene promotion_5]]/WWWW[[#This Row],[Total PoP ]]</f>
        <v>0</v>
      </c>
      <c r="DU96"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6"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6" s="909">
        <f>WWWW[[#This Row],['#_Constructed/Existing hand washing stations]]-WWWW[[#This Row],['#_Non-Functional_hand_washing_stations]]</f>
        <v>7</v>
      </c>
      <c r="DX96" s="906">
        <f>IF(WWWW[[#This Row],['# Functional hand washing stations during reporting period]]*20&gt;WWWW[[#This Row],[Total HH]],WWWW[[#This Row],[Total HH]],WWWW[[#This Row],['# Functional hand washing stations during reporting period]]*20)</f>
        <v>140</v>
      </c>
      <c r="DY96" s="906">
        <f>IF(WWWW[[#This Row],[Is sufficient soap available for TLS? (Yes/No)]]="yes",WWWW[[#This Row],['#_Constructed/Existing hand washing stations at TLS/CFS/THF]],0)</f>
        <v>0</v>
      </c>
      <c r="DZ96" s="421">
        <f>IF(WWWW[[#This Row],['# Functional hand washing stations during reporting period]]*100&gt;WWWW[[#This Row],[Total PoP ]],WWWW[[#This Row],[Total PoP ]],WWWW[[#This Row],['# Functional hand washing stations during reporting period]]*100)</f>
        <v>700</v>
      </c>
      <c r="EA96" s="421" t="str">
        <f>IF(OR(WWWW[[#This Row],['#_students at TLS_CFS]]="",WWWW[[#This Row],['#_students at TLS_CFS]]=0),"No","Yes")</f>
        <v>No</v>
      </c>
      <c r="EB9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96" s="566">
        <f>WWWW[[#This Row],[%_of_affected_people_surveyed_who_report_feeling_satistfied_with_the_latrine_design_and_sanitation_service]]*WWWW[[#This Row],[Total PoP ]]</f>
        <v>0</v>
      </c>
      <c r="ED96" s="566">
        <f>WWWW[[#This Row],[%_of_affected_people_surveyed_who_report_feeling_satistfied_with_the_water_point_design_and_water_service]]*WWWW[[#This Row],[Total PoP ]]</f>
        <v>0</v>
      </c>
      <c r="EE96" s="566">
        <f>WWWW[[#This Row],[%_of_complaints_received_that_result_in_timely_corrective_action_and_feedback_to_the_community]]*WWWW[[#This Row],[Total PoP ]]</f>
        <v>0</v>
      </c>
      <c r="EF9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9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9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6" s="902">
        <f>VLOOKUP(WWWW[[#This Row],[Site Name]],SiteDB6[[Site Name]:[CCCM Management]],6,FALSE)</f>
        <v>0</v>
      </c>
      <c r="EJ96" s="902">
        <f>VLOOKUP(WWWW[[#This Row],[Site Name]],SiteDB6[[Site Name]:[CCCM Focal Agency]],7,FALSE)</f>
        <v>0</v>
      </c>
      <c r="EK96" s="902" t="str">
        <f>VLOOKUP(WWWW[[#This Row],[Site Name]],SiteDB6[[Site Name]:[Location Type 1]],9,FALSE)</f>
        <v>Camp</v>
      </c>
      <c r="EL96" s="902" t="str">
        <f>VLOOKUP(WWWW[[#This Row],[Site Name]],SiteDB6[[Site Name]:[Type of Accommodation]],10,FALSE)</f>
        <v>IDPs in host</v>
      </c>
      <c r="EM96" s="902" t="str">
        <f>VLOOKUP(WWWW[[#This Row],[Site Name]],SiteDB6[[Site Name]:[Ethnic or GCA/NGCA]],11,FALSE)</f>
        <v>NGCA</v>
      </c>
      <c r="EN96" s="902">
        <f>VLOOKUP(WWWW[[#This Row],[Site Name]],SiteDB6[[Site Name]:[Lat]],12,FALSE)</f>
        <v>0</v>
      </c>
      <c r="EO96" s="902">
        <f>VLOOKUP(WWWW[[#This Row],[Site Name]],SiteDB6[[Site Name]:[Long]],13,FALSE)</f>
        <v>0</v>
      </c>
      <c r="EP96" s="902">
        <f>VLOOKUP(WWWW[[#This Row],[Site Name]],SiteDB6[[Site Name]:[Pcode]],3,FALSE)</f>
        <v>0</v>
      </c>
      <c r="EQ96" s="907" t="str">
        <f t="shared" si="1"/>
        <v>Covered</v>
      </c>
      <c r="ER96" s="907" t="s">
        <v>3126</v>
      </c>
      <c r="ES96" s="907" t="s">
        <v>3126</v>
      </c>
      <c r="ET96" s="902">
        <f>VLOOKUP(WWWW[[#This Row],[Site Name]],SiteDB6[[Site Name]:[Pop
(Kachin/Shan-CCCM as of May 2023)]],16,FALSE)</f>
        <v>0</v>
      </c>
      <c r="EU96" s="902">
        <f>VLOOKUP(WWWW[[#This Row],[Site Name]],SiteDB6[[Site Name]:[Pop
(Kachin/Shan-CCCM as of May 2023)]],17,FALSE)</f>
        <v>0</v>
      </c>
    </row>
    <row r="97" spans="1:151" hidden="1">
      <c r="A97" s="900" t="s">
        <v>2961</v>
      </c>
      <c r="B97" s="900" t="s">
        <v>192</v>
      </c>
      <c r="C97" s="901" t="s">
        <v>192</v>
      </c>
      <c r="D97" s="901" t="s">
        <v>2633</v>
      </c>
      <c r="E97" s="901" t="s">
        <v>515</v>
      </c>
      <c r="F97" s="901" t="s">
        <v>534</v>
      </c>
      <c r="G97" s="902" t="str">
        <f>VLOOKUP(WWWW[[#This Row],[Site Name]],SiteDB6[[Site Name]:[Location Type]],8,FALSE)</f>
        <v>Camp</v>
      </c>
      <c r="H97" s="901" t="s">
        <v>535</v>
      </c>
      <c r="I97" s="903">
        <v>40</v>
      </c>
      <c r="J97" s="903">
        <v>206</v>
      </c>
      <c r="K97" s="904">
        <v>44511</v>
      </c>
      <c r="L97" s="905">
        <v>44926</v>
      </c>
      <c r="M97" s="903"/>
      <c r="N97" s="903"/>
      <c r="O97" s="903">
        <v>1</v>
      </c>
      <c r="P97" s="903"/>
      <c r="Q97" s="906" t="s">
        <v>41</v>
      </c>
      <c r="R97" s="903"/>
      <c r="S97" s="903">
        <v>5</v>
      </c>
      <c r="T97" s="441">
        <v>4</v>
      </c>
      <c r="U97" s="903"/>
      <c r="V97" s="903"/>
      <c r="W97" s="903">
        <v>1</v>
      </c>
      <c r="X97" s="903"/>
      <c r="Y97" s="903"/>
      <c r="Z97" s="903"/>
      <c r="AA97" s="903"/>
      <c r="AB97" s="903"/>
      <c r="AC97" s="903"/>
      <c r="AD97" s="903"/>
      <c r="AE97" s="903"/>
      <c r="AF97" s="903"/>
      <c r="AG97" s="903"/>
      <c r="AH97" s="903"/>
      <c r="AI97" s="903"/>
      <c r="AJ97" s="903"/>
      <c r="AK97" s="903"/>
      <c r="AL97" s="903"/>
      <c r="AM97" s="903"/>
      <c r="AN97" s="903"/>
      <c r="AO97" s="441"/>
      <c r="AP97" s="907"/>
      <c r="AQ97" s="903">
        <v>6</v>
      </c>
      <c r="AR97" s="903">
        <v>10</v>
      </c>
      <c r="AS97" s="908"/>
      <c r="AT97" s="903"/>
      <c r="AU97" s="903"/>
      <c r="AV97" s="903"/>
      <c r="AW97" s="903"/>
      <c r="AX97" s="903"/>
      <c r="AY97" s="902" t="s">
        <v>41</v>
      </c>
      <c r="AZ97" s="907" t="s">
        <v>137</v>
      </c>
      <c r="BA97" s="903"/>
      <c r="BB97" s="903"/>
      <c r="BC97" s="903"/>
      <c r="BD97" s="441"/>
      <c r="BE97" s="441"/>
      <c r="BF97" s="902"/>
      <c r="BG97" s="903"/>
      <c r="BH97" s="903"/>
      <c r="BI97" s="903"/>
      <c r="BJ97" s="903">
        <v>2</v>
      </c>
      <c r="BK97" s="903"/>
      <c r="BL97" s="903"/>
      <c r="BM97" s="903">
        <v>1</v>
      </c>
      <c r="BN97" s="903"/>
      <c r="BO97" s="903"/>
      <c r="BP97" s="902" t="s">
        <v>41</v>
      </c>
      <c r="BQ97" s="909"/>
      <c r="BR97" s="908"/>
      <c r="BS97" s="902"/>
      <c r="BT97" s="416"/>
      <c r="BU97" s="416"/>
      <c r="BV97" s="418"/>
      <c r="BW97" s="416"/>
      <c r="BX97" s="441"/>
      <c r="BY97" s="441"/>
      <c r="BZ97" s="441"/>
      <c r="CA97" s="441"/>
      <c r="CB97" s="441"/>
      <c r="CC97" s="693"/>
      <c r="CD97" s="441"/>
      <c r="CE97" s="910" t="str">
        <f>IFERROR(WWWW[[#This Row],['#_Water sources passed]]/WWWW[[#This Row],['#_Water sources tested for fecal coliform ]],"no test")</f>
        <v>no test</v>
      </c>
      <c r="CF97" s="908" t="str">
        <f>IFERROR(WWWW[[#This Row],['#_Household passed]]/WWWW[[#This Row],['#_Household water samples tested for fecal coliform]],"no test")</f>
        <v>no test</v>
      </c>
      <c r="CG97" s="909" t="str">
        <f>IF(AND(WWWW[[#This Row],[% of water sources passed]]="no test",WWWW[[#This Row],[% Household passed]]="no test"),"No Test","Tested")</f>
        <v>No Test</v>
      </c>
      <c r="CH97" s="909">
        <f>WWWW[[#This Row],['#_Constructed/existing protected hand dug well]]-WWWW[[#This Row],['#_Non-functional protected hand dug well]]</f>
        <v>4</v>
      </c>
      <c r="CI97" s="909">
        <f>(WWWW[[#This Row],['#_Constructed/Existing tube wells/boreholes/handpumps_WASH_agency]]+WWWW[[#This Row],['#_Non-Cluster partner water tube-wells/boreholes/handpumps]])-WWWW[[#This Row],['#_Non-functional tube wells/boreholes/handpumps]]</f>
        <v>1</v>
      </c>
      <c r="CJ97" s="909">
        <f>WWWW[[#This Row],['#_Constructed/Existingwater storage tank with gravity fed reticulation system]]-WWWW[[#This Row],['#_Non-functional storage tank gravity fed reticulation system]]</f>
        <v>0</v>
      </c>
      <c r="CK97" s="909">
        <f>(WWWW[[#This Row],['#_Water_Liters_supplied_by_Water boating or water trucking]]/90)/15</f>
        <v>0</v>
      </c>
      <c r="CL97" s="909">
        <f>WWWW[[#This Row],['#_Water_Liters_from_Constructed/Existing water distribution system from river or natural spring]]/90/15</f>
        <v>0</v>
      </c>
      <c r="CM97" s="417">
        <f>IF(WWWW[[#This Row],['#_of water points in TLS/CFS]]*500&gt;WWWW[[#This Row],[Total PoP ]],WWWW[[#This Row],[Total PoP ]],WWWW[[#This Row],['#_of water points in TLS/CFS]]*500)</f>
        <v>0</v>
      </c>
      <c r="CN97" s="417">
        <f>IF(WWWW[[#This Row],['#_of water points in THF]]*500&gt;WWWW[[#This Row],[Total PoP ]],WWWW[[#This Row],[Total PoP ]],WWWW[[#This Row],['#_of water points in THF]]*500)</f>
        <v>0</v>
      </c>
      <c r="CO97" s="417"/>
      <c r="CP97"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97"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97" s="908">
        <f>IF(WWWW[[#This Row],[Location Type 1]]="Village",WWWW[[#This Row],[Access to safe drinking water for Village]],WWWW[[#This Row],[Access to safe drinking water for Camp]])</f>
        <v>1</v>
      </c>
      <c r="CS97" s="906">
        <f>WWWW[[#This Row],[%Equitable and continuous access to sufficient quantity of safe drinking water]]*WWWW[[#This Row],[Total PoP ]]</f>
        <v>206</v>
      </c>
      <c r="CT97" s="908">
        <f>IF((WWWW[[#This Row],['#_Constructed/Existing protected/fenced ponds]]*250)/WWWW[[#This Row],[Total PoP ]]&gt;1,1,(WWWW[[#This Row],['#_Constructed/Existing protected/fenced ponds]]*250)/WWWW[[#This Row],[Total PoP ]])</f>
        <v>0</v>
      </c>
      <c r="CU97" s="906">
        <f>WWWW[[#This Row],[% Access to unimproved water points]]*WWWW[[#This Row],[Total PoP ]]</f>
        <v>0</v>
      </c>
      <c r="CV97"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97"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206</v>
      </c>
      <c r="CX97" s="906">
        <f>WWWW[[#This Row],[HRP1]]/500</f>
        <v>0.41199999999999998</v>
      </c>
      <c r="CY97" s="911">
        <f>1-WWWW[[#This Row],[% Equitable and continuous access to sufficient quantity of domestic water]]</f>
        <v>0</v>
      </c>
      <c r="CZ97" s="906">
        <f>WWWW[[#This Row],[%equitable and continuous access to sufficient quantity of safe drinking and domestic water''s GAP]]*WWWW[[#This Row],[Total PoP ]]</f>
        <v>0</v>
      </c>
      <c r="DA97" s="909">
        <f>IF(WWWW[[#This Row],[Total required water points]]-WWWW[[#This Row],['#Water points coverage]]&lt;0,0,WWWW[[#This Row],[Total required water points]]-WWWW[[#This Row],['#Water points coverage]])</f>
        <v>0.58800000000000008</v>
      </c>
      <c r="DB97" s="909">
        <f>ROUND(IF(WWWW[[#This Row],[Total PoP ]]&lt;500,1,WWWW[[#This Row],[Total PoP ]]/500),0)</f>
        <v>1</v>
      </c>
      <c r="DC97" s="909">
        <f>(WWWW[[#This Row],['#_Constructed latrines_by_WASHAgencies]]+WWWW[[#This Row],['#_Non Cluster partner latrines]])-WWWW[[#This Row],['#_Non-functional latrines]]</f>
        <v>16</v>
      </c>
      <c r="DD97" s="615">
        <f>WWWW[[#This Row],[HRP2]]/WWWW[[#This Row],[Total PoP ]]</f>
        <v>1</v>
      </c>
      <c r="DE97"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206</v>
      </c>
      <c r="DF97"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7"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7" s="417">
        <f>IF(WWWW[[#This Row],['# of functional latrines in THF supported by WASH partners during the reporting period2]]="",0,WWWW[[#This Row],['# of functional latrines in THF supported by WASH partners during the reporting period2]]*50)</f>
        <v>0</v>
      </c>
      <c r="DI97" s="909">
        <f>ROUND(IF(WWWW[[#This Row],[Location Type 1]]="camp",WWWW[[#This Row],[Total PoP ]]/20,IF(WWWW[[#This Row],[Location Type 1]]="Temporary Location",WWWW[[#This Row],[Total PoP ]]/50,(WWWW[[#This Row],[Total PoP ]]/6))),0)</f>
        <v>10</v>
      </c>
      <c r="DJ97" s="909">
        <f>IF(WWWW[[#This Row],[Total required Latrines]]-(WWWW[[#This Row],['#_Constructed latrines_by_WASHAgencies]]+WWWW[[#This Row],['#_Non Cluster partner latrines]])&lt;0,0,WWWW[[#This Row],[Total required Latrines]]-(WWWW[[#This Row],['#_Constructed latrines_by_WASHAgencies]]+WWWW[[#This Row],['#_Non Cluster partner latrines]]))</f>
        <v>0</v>
      </c>
      <c r="DK97" s="911">
        <f>1-WWWW[[#This Row],[% people access to functioning Latrine]]</f>
        <v>0</v>
      </c>
      <c r="DL97" s="910">
        <f>IF(OR(WWWW[[#This Row],['#_Non-functional latrines]]="",WWWW[[#This Row],['#_Non-functional latrines]]=0),0,WWWW[[#This Row],['#_Non-functional latrines]]/(WWWW[[#This Row],['#_Constructed latrines_by_WASHAgencies]]+WWWW[[#This Row],['#_Non Cluster partner latrines]]))</f>
        <v>0</v>
      </c>
      <c r="DM97" s="906">
        <f>IF(500*(WWWW[[#This Row],['#_male hygiene promoters]]+WWWW[[#This Row],['#_female hygiene promoters]])&gt;WWWW[[#This Row],[Total PoP ]],WWWW[[#This Row],[Total PoP ]],500*(WWWW[[#This Row],['#_male hygiene promoters]]+WWWW[[#This Row],['#_female hygiene promoters]]))</f>
        <v>206</v>
      </c>
      <c r="DN97"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7"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7" s="909">
        <f>IF(WWWW[[#This Row],['# People with access to soap]]&gt;WWWW[[#This Row],['# People with access to Sanity Pads]],WWWW[[#This Row],['# People with access to soap]],WWWW[[#This Row],['# People with access to Sanity Pads]])</f>
        <v>0</v>
      </c>
      <c r="DQ97" s="909">
        <f>IF(WWWW[[#This Row],['# people reached by regular dedicated hygiene promotion_5]]&gt;WWWW[[#This Row],['# People received regular supply of hygiene items_6]],WWWW[[#This Row],['# people reached by regular dedicated hygiene promotion_5]],WWWW[[#This Row],['# People received regular supply of hygiene items_6]])</f>
        <v>206</v>
      </c>
      <c r="DR97" s="911">
        <f>IF(WWWW[[#This Row],[HRP3]]/WWWW[[#This Row],[Total PoP ]]&gt;1,1,WWWW[[#This Row],[HRP3]]/WWWW[[#This Row],[Total PoP ]])</f>
        <v>1</v>
      </c>
      <c r="DS97" s="910">
        <f>1-WWWW[[#This Row],[Hygiene Coverage%]]</f>
        <v>0</v>
      </c>
      <c r="DT97" s="908">
        <f>WWWW[[#This Row],['# people reached by regular dedicated hygiene promotion_5]]/WWWW[[#This Row],[Total PoP ]]</f>
        <v>1</v>
      </c>
      <c r="DU97"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7"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7" s="909">
        <f>WWWW[[#This Row],['#_Constructed/Existing hand washing stations]]-WWWW[[#This Row],['#_Non-Functional_hand_washing_stations]]</f>
        <v>0</v>
      </c>
      <c r="DX97" s="906">
        <f>IF(WWWW[[#This Row],['# Functional hand washing stations during reporting period]]*20&gt;WWWW[[#This Row],[Total HH]],WWWW[[#This Row],[Total HH]],WWWW[[#This Row],['# Functional hand washing stations during reporting period]]*20)</f>
        <v>0</v>
      </c>
      <c r="DY97" s="906">
        <f>IF(WWWW[[#This Row],[Is sufficient soap available for TLS? (Yes/No)]]="yes",WWWW[[#This Row],['#_Constructed/Existing hand washing stations at TLS/CFS/THF]],0)</f>
        <v>0</v>
      </c>
      <c r="DZ97" s="421">
        <f>IF(WWWW[[#This Row],['# Functional hand washing stations during reporting period]]*100&gt;WWWW[[#This Row],[Total PoP ]],WWWW[[#This Row],[Total PoP ]],WWWW[[#This Row],['# Functional hand washing stations during reporting period]]*100)</f>
        <v>0</v>
      </c>
      <c r="EA97" s="421" t="str">
        <f>IF(OR(WWWW[[#This Row],['#_students at TLS_CFS]]="",WWWW[[#This Row],['#_students at TLS_CFS]]=0),"No","Yes")</f>
        <v>No</v>
      </c>
      <c r="EB9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97" s="566">
        <f>WWWW[[#This Row],[%_of_affected_people_surveyed_who_report_feeling_satistfied_with_the_latrine_design_and_sanitation_service]]*WWWW[[#This Row],[Total PoP ]]</f>
        <v>0</v>
      </c>
      <c r="ED97" s="566">
        <f>WWWW[[#This Row],[%_of_affected_people_surveyed_who_report_feeling_satistfied_with_the_water_point_design_and_water_service]]*WWWW[[#This Row],[Total PoP ]]</f>
        <v>0</v>
      </c>
      <c r="EE97" s="566">
        <f>WWWW[[#This Row],[%_of_complaints_received_that_result_in_timely_corrective_action_and_feedback_to_the_community]]*WWWW[[#This Row],[Total PoP ]]</f>
        <v>0</v>
      </c>
      <c r="EF9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9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9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7" s="902" t="str">
        <f>VLOOKUP(WWWW[[#This Row],[Site Name]],SiteDB6[[Site Name]:[CCCM Management]],6,FALSE)</f>
        <v>Yes</v>
      </c>
      <c r="EJ97" s="902" t="str">
        <f>VLOOKUP(WWWW[[#This Row],[Site Name]],SiteDB6[[Site Name]:[CCCM Focal Agency]],7,FALSE)</f>
        <v>KBC-NSS</v>
      </c>
      <c r="EK97" s="902" t="str">
        <f>VLOOKUP(WWWW[[#This Row],[Site Name]],SiteDB6[[Site Name]:[Location Type 1]],9,FALSE)</f>
        <v>Camp</v>
      </c>
      <c r="EL97" s="902" t="str">
        <f>VLOOKUP(WWWW[[#This Row],[Site Name]],SiteDB6[[Site Name]:[Type of Accommodation]],10,FALSE)</f>
        <v>Camp</v>
      </c>
      <c r="EM97" s="902" t="str">
        <f>VLOOKUP(WWWW[[#This Row],[Site Name]],SiteDB6[[Site Name]:[Ethnic or GCA/NGCA]],11,FALSE)</f>
        <v>GCA</v>
      </c>
      <c r="EN97" s="902">
        <f>VLOOKUP(WWWW[[#This Row],[Site Name]],SiteDB6[[Site Name]:[Lat]],12,FALSE)</f>
        <v>23.354268999999999</v>
      </c>
      <c r="EO97" s="902">
        <f>VLOOKUP(WWWW[[#This Row],[Site Name]],SiteDB6[[Site Name]:[Long]],13,FALSE)</f>
        <v>98.218626999999998</v>
      </c>
      <c r="EP97" s="902" t="str">
        <f>VLOOKUP(WWWW[[#This Row],[Site Name]],SiteDB6[[Site Name]:[Pcode]],3,FALSE)</f>
        <v>MMR015CMP036</v>
      </c>
      <c r="EQ97" s="907" t="str">
        <f t="shared" si="1"/>
        <v>Covered</v>
      </c>
      <c r="ER97" s="907" t="s">
        <v>3126</v>
      </c>
      <c r="ES97" s="907" t="s">
        <v>3126</v>
      </c>
      <c r="ET97" s="902">
        <f>VLOOKUP(WWWW[[#This Row],[Site Name]],SiteDB6[[Site Name]:[Pop
(Kachin/Shan-CCCM as of May 2023)]],16,FALSE)</f>
        <v>33</v>
      </c>
      <c r="EU97" s="902">
        <f>VLOOKUP(WWWW[[#This Row],[Site Name]],SiteDB6[[Site Name]:[Pop
(Kachin/Shan-CCCM as of May 2023)]],17,FALSE)</f>
        <v>158</v>
      </c>
    </row>
    <row r="98" spans="1:151" hidden="1">
      <c r="A98" s="900" t="s">
        <v>2961</v>
      </c>
      <c r="B98" s="900" t="s">
        <v>192</v>
      </c>
      <c r="C98" s="901" t="s">
        <v>192</v>
      </c>
      <c r="D98" s="901" t="s">
        <v>2633</v>
      </c>
      <c r="E98" s="901" t="s">
        <v>515</v>
      </c>
      <c r="F98" s="901" t="s">
        <v>534</v>
      </c>
      <c r="G98" s="902" t="str">
        <f>VLOOKUP(WWWW[[#This Row],[Site Name]],SiteDB6[[Site Name]:[Location Type]],8,FALSE)</f>
        <v>Camp</v>
      </c>
      <c r="H98" s="901" t="s">
        <v>563</v>
      </c>
      <c r="I98" s="903">
        <v>42</v>
      </c>
      <c r="J98" s="903">
        <v>195</v>
      </c>
      <c r="K98" s="904">
        <v>44511</v>
      </c>
      <c r="L98" s="905">
        <v>44926</v>
      </c>
      <c r="M98" s="903"/>
      <c r="N98" s="903"/>
      <c r="O98" s="903"/>
      <c r="P98" s="903"/>
      <c r="Q98" s="906"/>
      <c r="R98" s="903">
        <v>4</v>
      </c>
      <c r="S98" s="903">
        <v>4</v>
      </c>
      <c r="T98" s="441"/>
      <c r="U98" s="903"/>
      <c r="V98" s="903"/>
      <c r="W98" s="903">
        <v>1</v>
      </c>
      <c r="X98" s="903"/>
      <c r="Y98" s="903"/>
      <c r="Z98" s="903"/>
      <c r="AA98" s="903">
        <v>1</v>
      </c>
      <c r="AB98" s="903"/>
      <c r="AC98" s="903"/>
      <c r="AD98" s="903"/>
      <c r="AE98" s="903"/>
      <c r="AF98" s="903"/>
      <c r="AG98" s="903"/>
      <c r="AH98" s="903">
        <v>1</v>
      </c>
      <c r="AI98" s="903"/>
      <c r="AJ98" s="903"/>
      <c r="AK98" s="903"/>
      <c r="AL98" s="903"/>
      <c r="AM98" s="903">
        <v>1</v>
      </c>
      <c r="AN98" s="903"/>
      <c r="AO98" s="441"/>
      <c r="AP98" s="907"/>
      <c r="AQ98" s="903">
        <v>38</v>
      </c>
      <c r="AR98" s="903"/>
      <c r="AS98" s="908"/>
      <c r="AT98" s="903"/>
      <c r="AU98" s="903"/>
      <c r="AV98" s="903"/>
      <c r="AW98" s="903"/>
      <c r="AX98" s="903"/>
      <c r="AY98" s="902" t="s">
        <v>136</v>
      </c>
      <c r="AZ98" s="907" t="s">
        <v>136</v>
      </c>
      <c r="BA98" s="903"/>
      <c r="BB98" s="903"/>
      <c r="BC98" s="903"/>
      <c r="BD98" s="441"/>
      <c r="BE98" s="441"/>
      <c r="BF98" s="902"/>
      <c r="BG98" s="903"/>
      <c r="BH98" s="903"/>
      <c r="BI98" s="903"/>
      <c r="BJ98" s="903"/>
      <c r="BK98" s="903"/>
      <c r="BL98" s="903"/>
      <c r="BM98" s="903">
        <v>1</v>
      </c>
      <c r="BN98" s="903"/>
      <c r="BO98" s="903"/>
      <c r="BP98" s="902" t="s">
        <v>41</v>
      </c>
      <c r="BQ98" s="909"/>
      <c r="BR98" s="908"/>
      <c r="BS98" s="902"/>
      <c r="BT98" s="416"/>
      <c r="BU98" s="416"/>
      <c r="BV98" s="418"/>
      <c r="BW98" s="416"/>
      <c r="BX98" s="441"/>
      <c r="BY98" s="441"/>
      <c r="BZ98" s="441"/>
      <c r="CA98" s="441"/>
      <c r="CB98" s="441"/>
      <c r="CC98" s="693"/>
      <c r="CD98" s="441"/>
      <c r="CE98" s="910" t="str">
        <f>IFERROR(WWWW[[#This Row],['#_Water sources passed]]/WWWW[[#This Row],['#_Water sources tested for fecal coliform ]],"no test")</f>
        <v>no test</v>
      </c>
      <c r="CF98" s="908" t="str">
        <f>IFERROR(WWWW[[#This Row],['#_Household passed]]/WWWW[[#This Row],['#_Household water samples tested for fecal coliform]],"no test")</f>
        <v>no test</v>
      </c>
      <c r="CG98" s="909" t="str">
        <f>IF(AND(WWWW[[#This Row],[% of water sources passed]]="no test",WWWW[[#This Row],[% Household passed]]="no test"),"No Test","Tested")</f>
        <v>No Test</v>
      </c>
      <c r="CH98" s="909">
        <f>WWWW[[#This Row],['#_Constructed/existing protected hand dug well]]-WWWW[[#This Row],['#_Non-functional protected hand dug well]]</f>
        <v>0</v>
      </c>
      <c r="CI98" s="909">
        <f>(WWWW[[#This Row],['#_Constructed/Existing tube wells/boreholes/handpumps_WASH_agency]]+WWWW[[#This Row],['#_Non-Cluster partner water tube-wells/boreholes/handpumps]])-WWWW[[#This Row],['#_Non-functional tube wells/boreholes/handpumps]]</f>
        <v>1</v>
      </c>
      <c r="CJ98" s="909">
        <f>WWWW[[#This Row],['#_Constructed/Existingwater storage tank with gravity fed reticulation system]]-WWWW[[#This Row],['#_Non-functional storage tank gravity fed reticulation system]]</f>
        <v>1</v>
      </c>
      <c r="CK98" s="909">
        <f>(WWWW[[#This Row],['#_Water_Liters_supplied_by_Water boating or water trucking]]/90)/15</f>
        <v>0</v>
      </c>
      <c r="CL98" s="909">
        <f>WWWW[[#This Row],['#_Water_Liters_from_Constructed/Existing water distribution system from river or natural spring]]/90/15</f>
        <v>0</v>
      </c>
      <c r="CM98" s="417">
        <f>IF(WWWW[[#This Row],['#_of water points in TLS/CFS]]*500&gt;WWWW[[#This Row],[Total PoP ]],WWWW[[#This Row],[Total PoP ]],WWWW[[#This Row],['#_of water points in TLS/CFS]]*500)</f>
        <v>0</v>
      </c>
      <c r="CN98" s="417">
        <f>IF(WWWW[[#This Row],['#_of water points in THF]]*500&gt;WWWW[[#This Row],[Total PoP ]],WWWW[[#This Row],[Total PoP ]],WWWW[[#This Row],['#_of water points in THF]]*500)</f>
        <v>0</v>
      </c>
      <c r="CO98" s="417"/>
      <c r="CP98"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98"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98" s="908">
        <f>IF(WWWW[[#This Row],[Location Type 1]]="Village",WWWW[[#This Row],[Access to safe drinking water for Village]],WWWW[[#This Row],[Access to safe drinking water for Camp]])</f>
        <v>1</v>
      </c>
      <c r="CS98" s="906">
        <f>WWWW[[#This Row],[%Equitable and continuous access to sufficient quantity of safe drinking water]]*WWWW[[#This Row],[Total PoP ]]</f>
        <v>195</v>
      </c>
      <c r="CT98" s="908">
        <f>IF((WWWW[[#This Row],['#_Constructed/Existing protected/fenced ponds]]*250)/WWWW[[#This Row],[Total PoP ]]&gt;1,1,(WWWW[[#This Row],['#_Constructed/Existing protected/fenced ponds]]*250)/WWWW[[#This Row],[Total PoP ]])</f>
        <v>0</v>
      </c>
      <c r="CU98" s="906">
        <f>WWWW[[#This Row],[% Access to unimproved water points]]*WWWW[[#This Row],[Total PoP ]]</f>
        <v>0</v>
      </c>
      <c r="CV98"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98"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195</v>
      </c>
      <c r="CX98" s="906">
        <f>WWWW[[#This Row],[HRP1]]/500</f>
        <v>0.39</v>
      </c>
      <c r="CY98" s="911">
        <f>1-WWWW[[#This Row],[% Equitable and continuous access to sufficient quantity of domestic water]]</f>
        <v>0</v>
      </c>
      <c r="CZ98" s="906">
        <f>WWWW[[#This Row],[%equitable and continuous access to sufficient quantity of safe drinking and domestic water''s GAP]]*WWWW[[#This Row],[Total PoP ]]</f>
        <v>0</v>
      </c>
      <c r="DA98" s="909">
        <f>IF(WWWW[[#This Row],[Total required water points]]-WWWW[[#This Row],['#Water points coverage]]&lt;0,0,WWWW[[#This Row],[Total required water points]]-WWWW[[#This Row],['#Water points coverage]])</f>
        <v>0.61</v>
      </c>
      <c r="DB98" s="909">
        <f>ROUND(IF(WWWW[[#This Row],[Total PoP ]]&lt;500,1,WWWW[[#This Row],[Total PoP ]]/500),0)</f>
        <v>1</v>
      </c>
      <c r="DC98" s="909">
        <f>(WWWW[[#This Row],['#_Constructed latrines_by_WASHAgencies]]+WWWW[[#This Row],['#_Non Cluster partner latrines]])-WWWW[[#This Row],['#_Non-functional latrines]]</f>
        <v>38</v>
      </c>
      <c r="DD98" s="615">
        <f>WWWW[[#This Row],[HRP2]]/WWWW[[#This Row],[Total PoP ]]</f>
        <v>1</v>
      </c>
      <c r="DE98"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195</v>
      </c>
      <c r="DF98"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8"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8" s="417">
        <f>IF(WWWW[[#This Row],['# of functional latrines in THF supported by WASH partners during the reporting period2]]="",0,WWWW[[#This Row],['# of functional latrines in THF supported by WASH partners during the reporting period2]]*50)</f>
        <v>0</v>
      </c>
      <c r="DI98" s="909">
        <f>ROUND(IF(WWWW[[#This Row],[Location Type 1]]="camp",WWWW[[#This Row],[Total PoP ]]/20,IF(WWWW[[#This Row],[Location Type 1]]="Temporary Location",WWWW[[#This Row],[Total PoP ]]/50,(WWWW[[#This Row],[Total PoP ]]/6))),0)</f>
        <v>10</v>
      </c>
      <c r="DJ98" s="909">
        <f>IF(WWWW[[#This Row],[Total required Latrines]]-(WWWW[[#This Row],['#_Constructed latrines_by_WASHAgencies]]+WWWW[[#This Row],['#_Non Cluster partner latrines]])&lt;0,0,WWWW[[#This Row],[Total required Latrines]]-(WWWW[[#This Row],['#_Constructed latrines_by_WASHAgencies]]+WWWW[[#This Row],['#_Non Cluster partner latrines]]))</f>
        <v>0</v>
      </c>
      <c r="DK98" s="911">
        <f>1-WWWW[[#This Row],[% people access to functioning Latrine]]</f>
        <v>0</v>
      </c>
      <c r="DL98" s="910">
        <f>IF(OR(WWWW[[#This Row],['#_Non-functional latrines]]="",WWWW[[#This Row],['#_Non-functional latrines]]=0),0,WWWW[[#This Row],['#_Non-functional latrines]]/(WWWW[[#This Row],['#_Constructed latrines_by_WASHAgencies]]+WWWW[[#This Row],['#_Non Cluster partner latrines]]))</f>
        <v>0</v>
      </c>
      <c r="DM98" s="906">
        <f>IF(500*(WWWW[[#This Row],['#_male hygiene promoters]]+WWWW[[#This Row],['#_female hygiene promoters]])&gt;WWWW[[#This Row],[Total PoP ]],WWWW[[#This Row],[Total PoP ]],500*(WWWW[[#This Row],['#_male hygiene promoters]]+WWWW[[#This Row],['#_female hygiene promoters]]))</f>
        <v>195</v>
      </c>
      <c r="DN98"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8"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8" s="909">
        <f>IF(WWWW[[#This Row],['# People with access to soap]]&gt;WWWW[[#This Row],['# People with access to Sanity Pads]],WWWW[[#This Row],['# People with access to soap]],WWWW[[#This Row],['# People with access to Sanity Pads]])</f>
        <v>0</v>
      </c>
      <c r="DQ98" s="909">
        <f>IF(WWWW[[#This Row],['# people reached by regular dedicated hygiene promotion_5]]&gt;WWWW[[#This Row],['# People received regular supply of hygiene items_6]],WWWW[[#This Row],['# people reached by regular dedicated hygiene promotion_5]],WWWW[[#This Row],['# People received regular supply of hygiene items_6]])</f>
        <v>195</v>
      </c>
      <c r="DR98" s="911">
        <f>IF(WWWW[[#This Row],[HRP3]]/WWWW[[#This Row],[Total PoP ]]&gt;1,1,WWWW[[#This Row],[HRP3]]/WWWW[[#This Row],[Total PoP ]])</f>
        <v>1</v>
      </c>
      <c r="DS98" s="910">
        <f>1-WWWW[[#This Row],[Hygiene Coverage%]]</f>
        <v>0</v>
      </c>
      <c r="DT98" s="908">
        <f>WWWW[[#This Row],['# people reached by regular dedicated hygiene promotion_5]]/WWWW[[#This Row],[Total PoP ]]</f>
        <v>1</v>
      </c>
      <c r="DU98"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8"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8" s="909">
        <f>WWWW[[#This Row],['#_Constructed/Existing hand washing stations]]-WWWW[[#This Row],['#_Non-Functional_hand_washing_stations]]</f>
        <v>0</v>
      </c>
      <c r="DX98" s="906">
        <f>IF(WWWW[[#This Row],['# Functional hand washing stations during reporting period]]*20&gt;WWWW[[#This Row],[Total HH]],WWWW[[#This Row],[Total HH]],WWWW[[#This Row],['# Functional hand washing stations during reporting period]]*20)</f>
        <v>0</v>
      </c>
      <c r="DY98" s="906">
        <f>IF(WWWW[[#This Row],[Is sufficient soap available for TLS? (Yes/No)]]="yes",WWWW[[#This Row],['#_Constructed/Existing hand washing stations at TLS/CFS/THF]],0)</f>
        <v>1</v>
      </c>
      <c r="DZ98" s="421">
        <f>IF(WWWW[[#This Row],['# Functional hand washing stations during reporting period]]*100&gt;WWWW[[#This Row],[Total PoP ]],WWWW[[#This Row],[Total PoP ]],WWWW[[#This Row],['# Functional hand washing stations during reporting period]]*100)</f>
        <v>0</v>
      </c>
      <c r="EA98" s="421" t="str">
        <f>IF(OR(WWWW[[#This Row],['#_students at TLS_CFS]]="",WWWW[[#This Row],['#_students at TLS_CFS]]=0),"No","Yes")</f>
        <v>No</v>
      </c>
      <c r="EB9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98" s="566">
        <f>WWWW[[#This Row],[%_of_affected_people_surveyed_who_report_feeling_satistfied_with_the_latrine_design_and_sanitation_service]]*WWWW[[#This Row],[Total PoP ]]</f>
        <v>0</v>
      </c>
      <c r="ED98" s="566">
        <f>WWWW[[#This Row],[%_of_affected_people_surveyed_who_report_feeling_satistfied_with_the_water_point_design_and_water_service]]*WWWW[[#This Row],[Total PoP ]]</f>
        <v>0</v>
      </c>
      <c r="EE98" s="566">
        <f>WWWW[[#This Row],[%_of_complaints_received_that_result_in_timely_corrective_action_and_feedback_to_the_community]]*WWWW[[#This Row],[Total PoP ]]</f>
        <v>0</v>
      </c>
      <c r="EF9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9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9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8" s="902">
        <f>VLOOKUP(WWWW[[#This Row],[Site Name]],SiteDB6[[Site Name]:[CCCM Management]],6,FALSE)</f>
        <v>0</v>
      </c>
      <c r="EJ98" s="902">
        <f>VLOOKUP(WWWW[[#This Row],[Site Name]],SiteDB6[[Site Name]:[CCCM Focal Agency]],7,FALSE)</f>
        <v>0</v>
      </c>
      <c r="EK98" s="902" t="str">
        <f>VLOOKUP(WWWW[[#This Row],[Site Name]],SiteDB6[[Site Name]:[Location Type 1]],9,FALSE)</f>
        <v>Camp</v>
      </c>
      <c r="EL98" s="902" t="str">
        <f>VLOOKUP(WWWW[[#This Row],[Site Name]],SiteDB6[[Site Name]:[Type of Accommodation]],10,FALSE)</f>
        <v>Closed Camp</v>
      </c>
      <c r="EM98" s="902" t="str">
        <f>VLOOKUP(WWWW[[#This Row],[Site Name]],SiteDB6[[Site Name]:[Ethnic or GCA/NGCA]],11,FALSE)</f>
        <v>GCA</v>
      </c>
      <c r="EN98" s="902">
        <f>VLOOKUP(WWWW[[#This Row],[Site Name]],SiteDB6[[Site Name]:[Lat]],12,FALSE)</f>
        <v>23.353999999999999</v>
      </c>
      <c r="EO98" s="902">
        <f>VLOOKUP(WWWW[[#This Row],[Site Name]],SiteDB6[[Site Name]:[Long]],13,FALSE)</f>
        <v>98.221000000000004</v>
      </c>
      <c r="EP98" s="902" t="str">
        <f>VLOOKUP(WWWW[[#This Row],[Site Name]],SiteDB6[[Site Name]:[Pcode]],3,FALSE)</f>
        <v>MMR015CMP226</v>
      </c>
      <c r="EQ98" s="907" t="str">
        <f t="shared" si="1"/>
        <v>Covered</v>
      </c>
      <c r="ER98" s="907" t="s">
        <v>3126</v>
      </c>
      <c r="ES98" s="907" t="s">
        <v>3126</v>
      </c>
      <c r="ET98" s="902">
        <f>VLOOKUP(WWWW[[#This Row],[Site Name]],SiteDB6[[Site Name]:[Pop
(Kachin/Shan-CCCM as of May 2023)]],16,FALSE)</f>
        <v>0</v>
      </c>
      <c r="EU98" s="902">
        <f>VLOOKUP(WWWW[[#This Row],[Site Name]],SiteDB6[[Site Name]:[Pop
(Kachin/Shan-CCCM as of May 2023)]],17,FALSE)</f>
        <v>0</v>
      </c>
    </row>
    <row r="99" spans="1:151" hidden="1">
      <c r="A99" s="900" t="s">
        <v>2961</v>
      </c>
      <c r="B99" s="900" t="s">
        <v>192</v>
      </c>
      <c r="C99" s="901" t="s">
        <v>192</v>
      </c>
      <c r="D99" s="901" t="s">
        <v>241</v>
      </c>
      <c r="E99" s="901" t="s">
        <v>515</v>
      </c>
      <c r="F99" s="901" t="s">
        <v>519</v>
      </c>
      <c r="G99" s="902" t="str">
        <f>VLOOKUP(WWWW[[#This Row],[Site Name]],SiteDB6[[Site Name]:[Location Type]],8,FALSE)</f>
        <v>Camp</v>
      </c>
      <c r="H99" s="901" t="s">
        <v>2881</v>
      </c>
      <c r="I99" s="903">
        <v>27</v>
      </c>
      <c r="J99" s="903">
        <v>162</v>
      </c>
      <c r="K99" s="904">
        <v>44511</v>
      </c>
      <c r="L99" s="905">
        <v>44926</v>
      </c>
      <c r="M99" s="903"/>
      <c r="N99" s="903"/>
      <c r="O99" s="903"/>
      <c r="P99" s="903"/>
      <c r="Q99" s="906"/>
      <c r="R99" s="903"/>
      <c r="S99" s="903"/>
      <c r="T99" s="441"/>
      <c r="U99" s="903"/>
      <c r="V99" s="903"/>
      <c r="W99" s="903"/>
      <c r="X99" s="903"/>
      <c r="Y99" s="903"/>
      <c r="Z99" s="903"/>
      <c r="AA99" s="903"/>
      <c r="AB99" s="903"/>
      <c r="AC99" s="903"/>
      <c r="AD99" s="903"/>
      <c r="AE99" s="903"/>
      <c r="AF99" s="903"/>
      <c r="AG99" s="903"/>
      <c r="AH99" s="903"/>
      <c r="AI99" s="903"/>
      <c r="AJ99" s="903"/>
      <c r="AK99" s="903"/>
      <c r="AL99" s="903"/>
      <c r="AM99" s="903"/>
      <c r="AN99" s="903"/>
      <c r="AO99" s="441"/>
      <c r="AP99" s="907"/>
      <c r="AQ99" s="903">
        <v>26</v>
      </c>
      <c r="AR99" s="903"/>
      <c r="AS99" s="908"/>
      <c r="AT99" s="903"/>
      <c r="AU99" s="903"/>
      <c r="AV99" s="903"/>
      <c r="AW99" s="903"/>
      <c r="AX99" s="903"/>
      <c r="AY99" s="902" t="s">
        <v>140</v>
      </c>
      <c r="AZ99" s="907" t="s">
        <v>140</v>
      </c>
      <c r="BA99" s="903"/>
      <c r="BB99" s="903"/>
      <c r="BC99" s="903"/>
      <c r="BD99" s="441"/>
      <c r="BE99" s="441"/>
      <c r="BF99" s="902"/>
      <c r="BG99" s="903">
        <v>7</v>
      </c>
      <c r="BH99" s="903"/>
      <c r="BI99" s="903"/>
      <c r="BJ99" s="903">
        <v>4</v>
      </c>
      <c r="BK99" s="903"/>
      <c r="BL99" s="903"/>
      <c r="BM99" s="903"/>
      <c r="BN99" s="903"/>
      <c r="BO99" s="903"/>
      <c r="BP99" s="902" t="s">
        <v>41</v>
      </c>
      <c r="BQ99" s="909"/>
      <c r="BR99" s="908"/>
      <c r="BS99" s="902"/>
      <c r="BT99" s="416"/>
      <c r="BU99" s="416"/>
      <c r="BV99" s="418"/>
      <c r="BW99" s="416"/>
      <c r="BX99" s="441"/>
      <c r="BY99" s="441"/>
      <c r="BZ99" s="441"/>
      <c r="CA99" s="441"/>
      <c r="CB99" s="441"/>
      <c r="CC99" s="693"/>
      <c r="CD99" s="441"/>
      <c r="CE99" s="910" t="str">
        <f>IFERROR(WWWW[[#This Row],['#_Water sources passed]]/WWWW[[#This Row],['#_Water sources tested for fecal coliform ]],"no test")</f>
        <v>no test</v>
      </c>
      <c r="CF99" s="908" t="str">
        <f>IFERROR(WWWW[[#This Row],['#_Household passed]]/WWWW[[#This Row],['#_Household water samples tested for fecal coliform]],"no test")</f>
        <v>no test</v>
      </c>
      <c r="CG99" s="909" t="str">
        <f>IF(AND(WWWW[[#This Row],[% of water sources passed]]="no test",WWWW[[#This Row],[% Household passed]]="no test"),"No Test","Tested")</f>
        <v>No Test</v>
      </c>
      <c r="CH99" s="909">
        <f>WWWW[[#This Row],['#_Constructed/existing protected hand dug well]]-WWWW[[#This Row],['#_Non-functional protected hand dug well]]</f>
        <v>0</v>
      </c>
      <c r="CI99" s="909">
        <f>(WWWW[[#This Row],['#_Constructed/Existing tube wells/boreholes/handpumps_WASH_agency]]+WWWW[[#This Row],['#_Non-Cluster partner water tube-wells/boreholes/handpumps]])-WWWW[[#This Row],['#_Non-functional tube wells/boreholes/handpumps]]</f>
        <v>0</v>
      </c>
      <c r="CJ99" s="909">
        <f>WWWW[[#This Row],['#_Constructed/Existingwater storage tank with gravity fed reticulation system]]-WWWW[[#This Row],['#_Non-functional storage tank gravity fed reticulation system]]</f>
        <v>0</v>
      </c>
      <c r="CK99" s="909">
        <f>(WWWW[[#This Row],['#_Water_Liters_supplied_by_Water boating or water trucking]]/90)/15</f>
        <v>0</v>
      </c>
      <c r="CL99" s="909">
        <f>WWWW[[#This Row],['#_Water_Liters_from_Constructed/Existing water distribution system from river or natural spring]]/90/15</f>
        <v>0</v>
      </c>
      <c r="CM99" s="417">
        <f>IF(WWWW[[#This Row],['#_of water points in TLS/CFS]]*500&gt;WWWW[[#This Row],[Total PoP ]],WWWW[[#This Row],[Total PoP ]],WWWW[[#This Row],['#_of water points in TLS/CFS]]*500)</f>
        <v>0</v>
      </c>
      <c r="CN99" s="417">
        <f>IF(WWWW[[#This Row],['#_of water points in THF]]*500&gt;WWWW[[#This Row],[Total PoP ]],WWWW[[#This Row],[Total PoP ]],WWWW[[#This Row],['#_of water points in THF]]*500)</f>
        <v>0</v>
      </c>
      <c r="CO99" s="417"/>
      <c r="CP99"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99"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99" s="908">
        <f>IF(WWWW[[#This Row],[Location Type 1]]="Village",WWWW[[#This Row],[Access to safe drinking water for Village]],WWWW[[#This Row],[Access to safe drinking water for Camp]])</f>
        <v>0</v>
      </c>
      <c r="CS99" s="906">
        <f>WWWW[[#This Row],[%Equitable and continuous access to sufficient quantity of safe drinking water]]*WWWW[[#This Row],[Total PoP ]]</f>
        <v>0</v>
      </c>
      <c r="CT99" s="908">
        <f>IF((WWWW[[#This Row],['#_Constructed/Existing protected/fenced ponds]]*250)/WWWW[[#This Row],[Total PoP ]]&gt;1,1,(WWWW[[#This Row],['#_Constructed/Existing protected/fenced ponds]]*250)/WWWW[[#This Row],[Total PoP ]])</f>
        <v>0</v>
      </c>
      <c r="CU99" s="906">
        <f>WWWW[[#This Row],[% Access to unimproved water points]]*WWWW[[#This Row],[Total PoP ]]</f>
        <v>0</v>
      </c>
      <c r="CV99"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99"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99" s="906">
        <f>WWWW[[#This Row],[HRP1]]/500</f>
        <v>0</v>
      </c>
      <c r="CY99" s="911">
        <f>1-WWWW[[#This Row],[% Equitable and continuous access to sufficient quantity of domestic water]]</f>
        <v>1</v>
      </c>
      <c r="CZ99" s="906">
        <f>WWWW[[#This Row],[%equitable and continuous access to sufficient quantity of safe drinking and domestic water''s GAP]]*WWWW[[#This Row],[Total PoP ]]</f>
        <v>162</v>
      </c>
      <c r="DA99" s="909">
        <f>IF(WWWW[[#This Row],[Total required water points]]-WWWW[[#This Row],['#Water points coverage]]&lt;0,0,WWWW[[#This Row],[Total required water points]]-WWWW[[#This Row],['#Water points coverage]])</f>
        <v>1</v>
      </c>
      <c r="DB99" s="909">
        <f>ROUND(IF(WWWW[[#This Row],[Total PoP ]]&lt;500,1,WWWW[[#This Row],[Total PoP ]]/500),0)</f>
        <v>1</v>
      </c>
      <c r="DC99" s="909">
        <f>(WWWW[[#This Row],['#_Constructed latrines_by_WASHAgencies]]+WWWW[[#This Row],['#_Non Cluster partner latrines]])-WWWW[[#This Row],['#_Non-functional latrines]]</f>
        <v>26</v>
      </c>
      <c r="DD99" s="615">
        <f>WWWW[[#This Row],[HRP2]]/WWWW[[#This Row],[Total PoP ]]</f>
        <v>1</v>
      </c>
      <c r="DE99"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162</v>
      </c>
      <c r="DF99"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99"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99" s="417">
        <f>IF(WWWW[[#This Row],['# of functional latrines in THF supported by WASH partners during the reporting period2]]="",0,WWWW[[#This Row],['# of functional latrines in THF supported by WASH partners during the reporting period2]]*50)</f>
        <v>0</v>
      </c>
      <c r="DI99" s="909">
        <f>ROUND(IF(WWWW[[#This Row],[Location Type 1]]="camp",WWWW[[#This Row],[Total PoP ]]/20,IF(WWWW[[#This Row],[Location Type 1]]="Temporary Location",WWWW[[#This Row],[Total PoP ]]/50,(WWWW[[#This Row],[Total PoP ]]/6))),0)</f>
        <v>8</v>
      </c>
      <c r="DJ99" s="909">
        <f>IF(WWWW[[#This Row],[Total required Latrines]]-(WWWW[[#This Row],['#_Constructed latrines_by_WASHAgencies]]+WWWW[[#This Row],['#_Non Cluster partner latrines]])&lt;0,0,WWWW[[#This Row],[Total required Latrines]]-(WWWW[[#This Row],['#_Constructed latrines_by_WASHAgencies]]+WWWW[[#This Row],['#_Non Cluster partner latrines]]))</f>
        <v>0</v>
      </c>
      <c r="DK99" s="911">
        <f>1-WWWW[[#This Row],[% people access to functioning Latrine]]</f>
        <v>0</v>
      </c>
      <c r="DL99" s="910">
        <f>IF(OR(WWWW[[#This Row],['#_Non-functional latrines]]="",WWWW[[#This Row],['#_Non-functional latrines]]=0),0,WWWW[[#This Row],['#_Non-functional latrines]]/(WWWW[[#This Row],['#_Constructed latrines_by_WASHAgencies]]+WWWW[[#This Row],['#_Non Cluster partner latrines]]))</f>
        <v>0</v>
      </c>
      <c r="DM99" s="906">
        <f>IF(500*(WWWW[[#This Row],['#_male hygiene promoters]]+WWWW[[#This Row],['#_female hygiene promoters]])&gt;WWWW[[#This Row],[Total PoP ]],WWWW[[#This Row],[Total PoP ]],500*(WWWW[[#This Row],['#_male hygiene promoters]]+WWWW[[#This Row],['#_female hygiene promoters]]))</f>
        <v>0</v>
      </c>
      <c r="DN99"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99"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99" s="909">
        <f>IF(WWWW[[#This Row],['# People with access to soap]]&gt;WWWW[[#This Row],['# People with access to Sanity Pads]],WWWW[[#This Row],['# People with access to soap]],WWWW[[#This Row],['# People with access to Sanity Pads]])</f>
        <v>0</v>
      </c>
      <c r="DQ99"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99" s="911">
        <f>IF(WWWW[[#This Row],[HRP3]]/WWWW[[#This Row],[Total PoP ]]&gt;1,1,WWWW[[#This Row],[HRP3]]/WWWW[[#This Row],[Total PoP ]])</f>
        <v>0</v>
      </c>
      <c r="DS99" s="910">
        <f>1-WWWW[[#This Row],[Hygiene Coverage%]]</f>
        <v>1</v>
      </c>
      <c r="DT99" s="908">
        <f>WWWW[[#This Row],['# people reached by regular dedicated hygiene promotion_5]]/WWWW[[#This Row],[Total PoP ]]</f>
        <v>0</v>
      </c>
      <c r="DU99"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99"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99" s="909">
        <f>WWWW[[#This Row],['#_Constructed/Existing hand washing stations]]-WWWW[[#This Row],['#_Non-Functional_hand_washing_stations]]</f>
        <v>7</v>
      </c>
      <c r="DX99" s="906">
        <f>IF(WWWW[[#This Row],['# Functional hand washing stations during reporting period]]*20&gt;WWWW[[#This Row],[Total HH]],WWWW[[#This Row],[Total HH]],WWWW[[#This Row],['# Functional hand washing stations during reporting period]]*20)</f>
        <v>27</v>
      </c>
      <c r="DY99" s="906">
        <f>IF(WWWW[[#This Row],[Is sufficient soap available for TLS? (Yes/No)]]="yes",WWWW[[#This Row],['#_Constructed/Existing hand washing stations at TLS/CFS/THF]],0)</f>
        <v>0</v>
      </c>
      <c r="DZ99" s="421">
        <f>IF(WWWW[[#This Row],['# Functional hand washing stations during reporting period]]*100&gt;WWWW[[#This Row],[Total PoP ]],WWWW[[#This Row],[Total PoP ]],WWWW[[#This Row],['# Functional hand washing stations during reporting period]]*100)</f>
        <v>162</v>
      </c>
      <c r="EA99" s="421" t="str">
        <f>IF(OR(WWWW[[#This Row],['#_students at TLS_CFS]]="",WWWW[[#This Row],['#_students at TLS_CFS]]=0),"No","Yes")</f>
        <v>No</v>
      </c>
      <c r="EB9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99" s="566">
        <f>WWWW[[#This Row],[%_of_affected_people_surveyed_who_report_feeling_satistfied_with_the_latrine_design_and_sanitation_service]]*WWWW[[#This Row],[Total PoP ]]</f>
        <v>0</v>
      </c>
      <c r="ED99" s="566">
        <f>WWWW[[#This Row],[%_of_affected_people_surveyed_who_report_feeling_satistfied_with_the_water_point_design_and_water_service]]*WWWW[[#This Row],[Total PoP ]]</f>
        <v>0</v>
      </c>
      <c r="EE99" s="566">
        <f>WWWW[[#This Row],[%_of_complaints_received_that_result_in_timely_corrective_action_and_feedback_to_the_community]]*WWWW[[#This Row],[Total PoP ]]</f>
        <v>0</v>
      </c>
      <c r="EF9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9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9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99" s="902">
        <f>VLOOKUP(WWWW[[#This Row],[Site Name]],SiteDB6[[Site Name]:[CCCM Management]],6,FALSE)</f>
        <v>0</v>
      </c>
      <c r="EJ99" s="902">
        <f>VLOOKUP(WWWW[[#This Row],[Site Name]],SiteDB6[[Site Name]:[CCCM Focal Agency]],7,FALSE)</f>
        <v>0</v>
      </c>
      <c r="EK99" s="902" t="str">
        <f>VLOOKUP(WWWW[[#This Row],[Site Name]],SiteDB6[[Site Name]:[Location Type 1]],9,FALSE)</f>
        <v>Camp</v>
      </c>
      <c r="EL99" s="902" t="str">
        <f>VLOOKUP(WWWW[[#This Row],[Site Name]],SiteDB6[[Site Name]:[Type of Accommodation]],10,FALSE)</f>
        <v>IDPs in host</v>
      </c>
      <c r="EM99" s="902" t="str">
        <f>VLOOKUP(WWWW[[#This Row],[Site Name]],SiteDB6[[Site Name]:[Ethnic or GCA/NGCA]],11,FALSE)</f>
        <v>GCA</v>
      </c>
      <c r="EN99" s="902">
        <f>VLOOKUP(WWWW[[#This Row],[Site Name]],SiteDB6[[Site Name]:[Lat]],12,FALSE)</f>
        <v>23.400155999999999</v>
      </c>
      <c r="EO99" s="902">
        <f>VLOOKUP(WWWW[[#This Row],[Site Name]],SiteDB6[[Site Name]:[Long]],13,FALSE)</f>
        <v>98.220614999999995</v>
      </c>
      <c r="EP99" s="902" t="str">
        <f>VLOOKUP(WWWW[[#This Row],[Site Name]],SiteDB6[[Site Name]:[Pcode]],3,FALSE)</f>
        <v>MMR015CMP071</v>
      </c>
      <c r="EQ99" s="907" t="str">
        <f t="shared" si="1"/>
        <v>Covered</v>
      </c>
      <c r="ER99" s="907" t="s">
        <v>3126</v>
      </c>
      <c r="ES99" s="907" t="s">
        <v>3126</v>
      </c>
      <c r="ET99" s="902">
        <f>VLOOKUP(WWWW[[#This Row],[Site Name]],SiteDB6[[Site Name]:[Pop
(Kachin/Shan-CCCM as of May 2023)]],16,FALSE)</f>
        <v>27</v>
      </c>
      <c r="EU99" s="902">
        <f>VLOOKUP(WWWW[[#This Row],[Site Name]],SiteDB6[[Site Name]:[Pop
(Kachin/Shan-CCCM as of May 2023)]],17,FALSE)</f>
        <v>162</v>
      </c>
    </row>
    <row r="100" spans="1:151" hidden="1">
      <c r="A100" s="900" t="s">
        <v>2961</v>
      </c>
      <c r="B100" s="900" t="s">
        <v>192</v>
      </c>
      <c r="C100" s="901" t="s">
        <v>192</v>
      </c>
      <c r="D100" s="901" t="s">
        <v>2633</v>
      </c>
      <c r="E100" s="901" t="s">
        <v>515</v>
      </c>
      <c r="F100" s="901" t="s">
        <v>519</v>
      </c>
      <c r="G100" s="902" t="str">
        <f>VLOOKUP(WWWW[[#This Row],[Site Name]],SiteDB6[[Site Name]:[Location Type]],8,FALSE)</f>
        <v>Camp</v>
      </c>
      <c r="H100" s="901" t="s">
        <v>1715</v>
      </c>
      <c r="I100" s="903">
        <v>74</v>
      </c>
      <c r="J100" s="903">
        <v>439</v>
      </c>
      <c r="K100" s="904">
        <v>44511</v>
      </c>
      <c r="L100" s="905">
        <v>44926</v>
      </c>
      <c r="M100" s="903"/>
      <c r="N100" s="903">
        <v>1</v>
      </c>
      <c r="O100" s="903"/>
      <c r="P100" s="903"/>
      <c r="Q100" s="906" t="s">
        <v>41</v>
      </c>
      <c r="R100" s="903">
        <v>5</v>
      </c>
      <c r="S100" s="903">
        <v>1</v>
      </c>
      <c r="T100" s="441"/>
      <c r="U100" s="903"/>
      <c r="V100" s="903"/>
      <c r="W100" s="903"/>
      <c r="X100" s="903"/>
      <c r="Y100" s="903"/>
      <c r="Z100" s="903"/>
      <c r="AA100" s="903">
        <v>14</v>
      </c>
      <c r="AB100" s="903"/>
      <c r="AC100" s="903"/>
      <c r="AD100" s="903"/>
      <c r="AE100" s="903"/>
      <c r="AF100" s="903"/>
      <c r="AG100" s="903"/>
      <c r="AH100" s="903"/>
      <c r="AI100" s="903"/>
      <c r="AJ100" s="903"/>
      <c r="AK100" s="903"/>
      <c r="AL100" s="903"/>
      <c r="AM100" s="903"/>
      <c r="AN100" s="903"/>
      <c r="AO100" s="441"/>
      <c r="AP100" s="907"/>
      <c r="AQ100" s="903">
        <v>40</v>
      </c>
      <c r="AR100" s="903"/>
      <c r="AS100" s="908"/>
      <c r="AT100" s="903"/>
      <c r="AU100" s="903"/>
      <c r="AV100" s="903"/>
      <c r="AW100" s="903"/>
      <c r="AX100" s="903"/>
      <c r="AY100" s="902" t="s">
        <v>140</v>
      </c>
      <c r="AZ100" s="907" t="s">
        <v>140</v>
      </c>
      <c r="BA100" s="903"/>
      <c r="BB100" s="903"/>
      <c r="BC100" s="903"/>
      <c r="BD100" s="441"/>
      <c r="BE100" s="441"/>
      <c r="BF100" s="902"/>
      <c r="BG100" s="903">
        <v>3</v>
      </c>
      <c r="BH100" s="903"/>
      <c r="BI100" s="903"/>
      <c r="BJ100" s="903">
        <v>2</v>
      </c>
      <c r="BK100" s="903"/>
      <c r="BL100" s="903"/>
      <c r="BM100" s="903">
        <v>1</v>
      </c>
      <c r="BN100" s="903"/>
      <c r="BO100" s="903"/>
      <c r="BP100" s="902" t="s">
        <v>41</v>
      </c>
      <c r="BQ100" s="909"/>
      <c r="BR100" s="908"/>
      <c r="BS100" s="902"/>
      <c r="BT100" s="416"/>
      <c r="BU100" s="416"/>
      <c r="BV100" s="418"/>
      <c r="BW100" s="416"/>
      <c r="BX100" s="441"/>
      <c r="BY100" s="441"/>
      <c r="BZ100" s="441"/>
      <c r="CA100" s="441"/>
      <c r="CB100" s="441"/>
      <c r="CC100" s="693"/>
      <c r="CD100" s="441"/>
      <c r="CE100" s="910" t="str">
        <f>IFERROR(WWWW[[#This Row],['#_Water sources passed]]/WWWW[[#This Row],['#_Water sources tested for fecal coliform ]],"no test")</f>
        <v>no test</v>
      </c>
      <c r="CF100" s="908" t="str">
        <f>IFERROR(WWWW[[#This Row],['#_Household passed]]/WWWW[[#This Row],['#_Household water samples tested for fecal coliform]],"no test")</f>
        <v>no test</v>
      </c>
      <c r="CG100" s="909" t="str">
        <f>IF(AND(WWWW[[#This Row],[% of water sources passed]]="no test",WWWW[[#This Row],[% Household passed]]="no test"),"No Test","Tested")</f>
        <v>No Test</v>
      </c>
      <c r="CH100" s="909">
        <f>WWWW[[#This Row],['#_Constructed/existing protected hand dug well]]-WWWW[[#This Row],['#_Non-functional protected hand dug well]]</f>
        <v>0</v>
      </c>
      <c r="CI100" s="909">
        <f>(WWWW[[#This Row],['#_Constructed/Existing tube wells/boreholes/handpumps_WASH_agency]]+WWWW[[#This Row],['#_Non-Cluster partner water tube-wells/boreholes/handpumps]])-WWWW[[#This Row],['#_Non-functional tube wells/boreholes/handpumps]]</f>
        <v>0</v>
      </c>
      <c r="CJ100" s="909">
        <f>WWWW[[#This Row],['#_Constructed/Existingwater storage tank with gravity fed reticulation system]]-WWWW[[#This Row],['#_Non-functional storage tank gravity fed reticulation system]]</f>
        <v>14</v>
      </c>
      <c r="CK100" s="909">
        <f>(WWWW[[#This Row],['#_Water_Liters_supplied_by_Water boating or water trucking]]/90)/15</f>
        <v>0</v>
      </c>
      <c r="CL100" s="909">
        <f>WWWW[[#This Row],['#_Water_Liters_from_Constructed/Existing water distribution system from river or natural spring]]/90/15</f>
        <v>0</v>
      </c>
      <c r="CM100" s="417">
        <f>IF(WWWW[[#This Row],['#_of water points in TLS/CFS]]*500&gt;WWWW[[#This Row],[Total PoP ]],WWWW[[#This Row],[Total PoP ]],WWWW[[#This Row],['#_of water points in TLS/CFS]]*500)</f>
        <v>0</v>
      </c>
      <c r="CN100" s="417">
        <f>IF(WWWW[[#This Row],['#_of water points in THF]]*500&gt;WWWW[[#This Row],[Total PoP ]],WWWW[[#This Row],[Total PoP ]],WWWW[[#This Row],['#_of water points in THF]]*500)</f>
        <v>0</v>
      </c>
      <c r="CO100" s="417"/>
      <c r="CP100"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00"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00" s="908">
        <f>IF(WWWW[[#This Row],[Location Type 1]]="Village",WWWW[[#This Row],[Access to safe drinking water for Village]],WWWW[[#This Row],[Access to safe drinking water for Camp]])</f>
        <v>1</v>
      </c>
      <c r="CS100" s="906">
        <f>WWWW[[#This Row],[%Equitable and continuous access to sufficient quantity of safe drinking water]]*WWWW[[#This Row],[Total PoP ]]</f>
        <v>439</v>
      </c>
      <c r="CT100" s="908">
        <f>IF((WWWW[[#This Row],['#_Constructed/Existing protected/fenced ponds]]*250)/WWWW[[#This Row],[Total PoP ]]&gt;1,1,(WWWW[[#This Row],['#_Constructed/Existing protected/fenced ponds]]*250)/WWWW[[#This Row],[Total PoP ]])</f>
        <v>0</v>
      </c>
      <c r="CU100" s="906">
        <f>WWWW[[#This Row],[% Access to unimproved water points]]*WWWW[[#This Row],[Total PoP ]]</f>
        <v>0</v>
      </c>
      <c r="CV100"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00"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439</v>
      </c>
      <c r="CX100" s="906">
        <f>WWWW[[#This Row],[HRP1]]/500</f>
        <v>0.878</v>
      </c>
      <c r="CY100" s="911">
        <f>1-WWWW[[#This Row],[% Equitable and continuous access to sufficient quantity of domestic water]]</f>
        <v>0</v>
      </c>
      <c r="CZ100" s="906">
        <f>WWWW[[#This Row],[%equitable and continuous access to sufficient quantity of safe drinking and domestic water''s GAP]]*WWWW[[#This Row],[Total PoP ]]</f>
        <v>0</v>
      </c>
      <c r="DA100" s="909">
        <f>IF(WWWW[[#This Row],[Total required water points]]-WWWW[[#This Row],['#Water points coverage]]&lt;0,0,WWWW[[#This Row],[Total required water points]]-WWWW[[#This Row],['#Water points coverage]])</f>
        <v>0.122</v>
      </c>
      <c r="DB100" s="909">
        <f>ROUND(IF(WWWW[[#This Row],[Total PoP ]]&lt;500,1,WWWW[[#This Row],[Total PoP ]]/500),0)</f>
        <v>1</v>
      </c>
      <c r="DC100" s="909">
        <f>(WWWW[[#This Row],['#_Constructed latrines_by_WASHAgencies]]+WWWW[[#This Row],['#_Non Cluster partner latrines]])-WWWW[[#This Row],['#_Non-functional latrines]]</f>
        <v>40</v>
      </c>
      <c r="DD100" s="615">
        <f>WWWW[[#This Row],[HRP2]]/WWWW[[#This Row],[Total PoP ]]</f>
        <v>1</v>
      </c>
      <c r="DE100"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439</v>
      </c>
      <c r="DF100"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0"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0" s="417">
        <f>IF(WWWW[[#This Row],['# of functional latrines in THF supported by WASH partners during the reporting period2]]="",0,WWWW[[#This Row],['# of functional latrines in THF supported by WASH partners during the reporting period2]]*50)</f>
        <v>0</v>
      </c>
      <c r="DI100" s="909">
        <f>ROUND(IF(WWWW[[#This Row],[Location Type 1]]="camp",WWWW[[#This Row],[Total PoP ]]/20,IF(WWWW[[#This Row],[Location Type 1]]="Temporary Location",WWWW[[#This Row],[Total PoP ]]/50,(WWWW[[#This Row],[Total PoP ]]/6))),0)</f>
        <v>22</v>
      </c>
      <c r="DJ100" s="909">
        <f>IF(WWWW[[#This Row],[Total required Latrines]]-(WWWW[[#This Row],['#_Constructed latrines_by_WASHAgencies]]+WWWW[[#This Row],['#_Non Cluster partner latrines]])&lt;0,0,WWWW[[#This Row],[Total required Latrines]]-(WWWW[[#This Row],['#_Constructed latrines_by_WASHAgencies]]+WWWW[[#This Row],['#_Non Cluster partner latrines]]))</f>
        <v>0</v>
      </c>
      <c r="DK100" s="911">
        <f>1-WWWW[[#This Row],[% people access to functioning Latrine]]</f>
        <v>0</v>
      </c>
      <c r="DL100" s="910">
        <f>IF(OR(WWWW[[#This Row],['#_Non-functional latrines]]="",WWWW[[#This Row],['#_Non-functional latrines]]=0),0,WWWW[[#This Row],['#_Non-functional latrines]]/(WWWW[[#This Row],['#_Constructed latrines_by_WASHAgencies]]+WWWW[[#This Row],['#_Non Cluster partner latrines]]))</f>
        <v>0</v>
      </c>
      <c r="DM100" s="906">
        <f>IF(500*(WWWW[[#This Row],['#_male hygiene promoters]]+WWWW[[#This Row],['#_female hygiene promoters]])&gt;WWWW[[#This Row],[Total PoP ]],WWWW[[#This Row],[Total PoP ]],500*(WWWW[[#This Row],['#_male hygiene promoters]]+WWWW[[#This Row],['#_female hygiene promoters]]))</f>
        <v>439</v>
      </c>
      <c r="DN100"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0"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0" s="909">
        <f>IF(WWWW[[#This Row],['# People with access to soap]]&gt;WWWW[[#This Row],['# People with access to Sanity Pads]],WWWW[[#This Row],['# People with access to soap]],WWWW[[#This Row],['# People with access to Sanity Pads]])</f>
        <v>0</v>
      </c>
      <c r="DQ100" s="909">
        <f>IF(WWWW[[#This Row],['# people reached by regular dedicated hygiene promotion_5]]&gt;WWWW[[#This Row],['# People received regular supply of hygiene items_6]],WWWW[[#This Row],['# people reached by regular dedicated hygiene promotion_5]],WWWW[[#This Row],['# People received regular supply of hygiene items_6]])</f>
        <v>439</v>
      </c>
      <c r="DR100" s="911">
        <f>IF(WWWW[[#This Row],[HRP3]]/WWWW[[#This Row],[Total PoP ]]&gt;1,1,WWWW[[#This Row],[HRP3]]/WWWW[[#This Row],[Total PoP ]])</f>
        <v>1</v>
      </c>
      <c r="DS100" s="910">
        <f>1-WWWW[[#This Row],[Hygiene Coverage%]]</f>
        <v>0</v>
      </c>
      <c r="DT100" s="908">
        <f>WWWW[[#This Row],['# people reached by regular dedicated hygiene promotion_5]]/WWWW[[#This Row],[Total PoP ]]</f>
        <v>1</v>
      </c>
      <c r="DU100"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0"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0" s="909">
        <f>WWWW[[#This Row],['#_Constructed/Existing hand washing stations]]-WWWW[[#This Row],['#_Non-Functional_hand_washing_stations]]</f>
        <v>3</v>
      </c>
      <c r="DX100" s="906">
        <f>IF(WWWW[[#This Row],['# Functional hand washing stations during reporting period]]*20&gt;WWWW[[#This Row],[Total HH]],WWWW[[#This Row],[Total HH]],WWWW[[#This Row],['# Functional hand washing stations during reporting period]]*20)</f>
        <v>60</v>
      </c>
      <c r="DY100" s="906">
        <f>IF(WWWW[[#This Row],[Is sufficient soap available for TLS? (Yes/No)]]="yes",WWWW[[#This Row],['#_Constructed/Existing hand washing stations at TLS/CFS/THF]],0)</f>
        <v>0</v>
      </c>
      <c r="DZ100" s="421">
        <f>IF(WWWW[[#This Row],['# Functional hand washing stations during reporting period]]*100&gt;WWWW[[#This Row],[Total PoP ]],WWWW[[#This Row],[Total PoP ]],WWWW[[#This Row],['# Functional hand washing stations during reporting period]]*100)</f>
        <v>300</v>
      </c>
      <c r="EA100" s="421" t="str">
        <f>IF(OR(WWWW[[#This Row],['#_students at TLS_CFS]]="",WWWW[[#This Row],['#_students at TLS_CFS]]=0),"No","Yes")</f>
        <v>No</v>
      </c>
      <c r="EB10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0" s="566">
        <f>WWWW[[#This Row],[%_of_affected_people_surveyed_who_report_feeling_satistfied_with_the_latrine_design_and_sanitation_service]]*WWWW[[#This Row],[Total PoP ]]</f>
        <v>0</v>
      </c>
      <c r="ED100" s="566">
        <f>WWWW[[#This Row],[%_of_affected_people_surveyed_who_report_feeling_satistfied_with_the_water_point_design_and_water_service]]*WWWW[[#This Row],[Total PoP ]]</f>
        <v>0</v>
      </c>
      <c r="EE100" s="566">
        <f>WWWW[[#This Row],[%_of_complaints_received_that_result_in_timely_corrective_action_and_feedback_to_the_community]]*WWWW[[#This Row],[Total PoP ]]</f>
        <v>0</v>
      </c>
      <c r="EF10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0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0" s="902">
        <f>VLOOKUP(WWWW[[#This Row],[Site Name]],SiteDB6[[Site Name]:[CCCM Management]],6,FALSE)</f>
        <v>0</v>
      </c>
      <c r="EJ100" s="902" t="str">
        <f>VLOOKUP(WWWW[[#This Row],[Site Name]],SiteDB6[[Site Name]:[CCCM Focal Agency]],7,FALSE)</f>
        <v>uncovered</v>
      </c>
      <c r="EK100" s="902" t="str">
        <f>VLOOKUP(WWWW[[#This Row],[Site Name]],SiteDB6[[Site Name]:[Location Type 1]],9,FALSE)</f>
        <v>Camp</v>
      </c>
      <c r="EL100" s="902" t="str">
        <f>VLOOKUP(WWWW[[#This Row],[Site Name]],SiteDB6[[Site Name]:[Type of Accommodation]],10,FALSE)</f>
        <v>Camp like setting</v>
      </c>
      <c r="EM100" s="902" t="str">
        <f>VLOOKUP(WWWW[[#This Row],[Site Name]],SiteDB6[[Site Name]:[Ethnic or GCA/NGCA]],11,FALSE)</f>
        <v>GCA</v>
      </c>
      <c r="EN100" s="902">
        <f>VLOOKUP(WWWW[[#This Row],[Site Name]],SiteDB6[[Site Name]:[Lat]],12,FALSE)</f>
        <v>23.234137</v>
      </c>
      <c r="EO100" s="902">
        <f>VLOOKUP(WWWW[[#This Row],[Site Name]],SiteDB6[[Site Name]:[Long]],13,FALSE)</f>
        <v>97.505339000000006</v>
      </c>
      <c r="EP100" s="902" t="str">
        <f>VLOOKUP(WWWW[[#This Row],[Site Name]],SiteDB6[[Site Name]:[Pcode]],3,FALSE)</f>
        <v>MMR015CMP030</v>
      </c>
      <c r="EQ100" s="907" t="str">
        <f t="shared" si="1"/>
        <v>Covered</v>
      </c>
      <c r="ER100" s="907" t="s">
        <v>3126</v>
      </c>
      <c r="ES100" s="907" t="s">
        <v>3126</v>
      </c>
      <c r="ET100" s="902">
        <f>VLOOKUP(WWWW[[#This Row],[Site Name]],SiteDB6[[Site Name]:[Pop
(Kachin/Shan-CCCM as of May 2023)]],16,FALSE)</f>
        <v>86</v>
      </c>
      <c r="EU100" s="902">
        <f>VLOOKUP(WWWW[[#This Row],[Site Name]],SiteDB6[[Site Name]:[Pop
(Kachin/Shan-CCCM as of May 2023)]],17,FALSE)</f>
        <v>525</v>
      </c>
    </row>
    <row r="101" spans="1:151" hidden="1">
      <c r="A101" s="900" t="s">
        <v>2961</v>
      </c>
      <c r="B101" s="900" t="s">
        <v>192</v>
      </c>
      <c r="C101" s="901" t="s">
        <v>192</v>
      </c>
      <c r="D101" s="901" t="s">
        <v>2633</v>
      </c>
      <c r="E101" s="901" t="s">
        <v>515</v>
      </c>
      <c r="F101" s="901" t="s">
        <v>519</v>
      </c>
      <c r="G101" s="902" t="str">
        <f>VLOOKUP(WWWW[[#This Row],[Site Name]],SiteDB6[[Site Name]:[Location Type]],8,FALSE)</f>
        <v>Camp</v>
      </c>
      <c r="H101" s="901" t="s">
        <v>2882</v>
      </c>
      <c r="I101" s="903">
        <v>26</v>
      </c>
      <c r="J101" s="903">
        <v>132</v>
      </c>
      <c r="K101" s="904">
        <v>44511</v>
      </c>
      <c r="L101" s="905">
        <v>44875</v>
      </c>
      <c r="M101" s="903"/>
      <c r="N101" s="903"/>
      <c r="O101" s="903"/>
      <c r="P101" s="903"/>
      <c r="Q101" s="906"/>
      <c r="R101" s="903">
        <v>3</v>
      </c>
      <c r="S101" s="903">
        <v>2</v>
      </c>
      <c r="T101" s="441"/>
      <c r="U101" s="903"/>
      <c r="V101" s="903"/>
      <c r="W101" s="903"/>
      <c r="X101" s="903"/>
      <c r="Y101" s="903"/>
      <c r="Z101" s="903"/>
      <c r="AA101" s="903">
        <v>8</v>
      </c>
      <c r="AB101" s="903"/>
      <c r="AC101" s="903"/>
      <c r="AD101" s="903"/>
      <c r="AE101" s="903"/>
      <c r="AF101" s="903"/>
      <c r="AG101" s="903"/>
      <c r="AH101" s="903"/>
      <c r="AI101" s="903"/>
      <c r="AJ101" s="903"/>
      <c r="AK101" s="903"/>
      <c r="AL101" s="903"/>
      <c r="AM101" s="903"/>
      <c r="AN101" s="903"/>
      <c r="AO101" s="441"/>
      <c r="AP101" s="907"/>
      <c r="AQ101" s="903">
        <v>27</v>
      </c>
      <c r="AR101" s="903"/>
      <c r="AS101" s="908"/>
      <c r="AT101" s="903"/>
      <c r="AU101" s="903"/>
      <c r="AV101" s="903"/>
      <c r="AW101" s="903"/>
      <c r="AX101" s="903">
        <v>2</v>
      </c>
      <c r="AY101" s="902" t="s">
        <v>41</v>
      </c>
      <c r="AZ101" s="907" t="s">
        <v>136</v>
      </c>
      <c r="BA101" s="903"/>
      <c r="BB101" s="903"/>
      <c r="BC101" s="903"/>
      <c r="BD101" s="441"/>
      <c r="BE101" s="441"/>
      <c r="BF101" s="902"/>
      <c r="BG101" s="903">
        <v>7</v>
      </c>
      <c r="BH101" s="903"/>
      <c r="BI101" s="903"/>
      <c r="BJ101" s="903">
        <v>7</v>
      </c>
      <c r="BK101" s="903"/>
      <c r="BL101" s="903"/>
      <c r="BM101" s="903">
        <v>1</v>
      </c>
      <c r="BN101" s="903"/>
      <c r="BO101" s="903"/>
      <c r="BP101" s="902"/>
      <c r="BQ101" s="909"/>
      <c r="BR101" s="908"/>
      <c r="BS101" s="902"/>
      <c r="BT101" s="416"/>
      <c r="BU101" s="416"/>
      <c r="BV101" s="418"/>
      <c r="BW101" s="416"/>
      <c r="BX101" s="441"/>
      <c r="BY101" s="441"/>
      <c r="BZ101" s="441"/>
      <c r="CA101" s="441"/>
      <c r="CB101" s="441"/>
      <c r="CC101" s="693"/>
      <c r="CD101" s="441"/>
      <c r="CE101" s="910" t="str">
        <f>IFERROR(WWWW[[#This Row],['#_Water sources passed]]/WWWW[[#This Row],['#_Water sources tested for fecal coliform ]],"no test")</f>
        <v>no test</v>
      </c>
      <c r="CF101" s="908" t="str">
        <f>IFERROR(WWWW[[#This Row],['#_Household passed]]/WWWW[[#This Row],['#_Household water samples tested for fecal coliform]],"no test")</f>
        <v>no test</v>
      </c>
      <c r="CG101" s="909" t="str">
        <f>IF(AND(WWWW[[#This Row],[% of water sources passed]]="no test",WWWW[[#This Row],[% Household passed]]="no test"),"No Test","Tested")</f>
        <v>No Test</v>
      </c>
      <c r="CH101" s="909">
        <f>WWWW[[#This Row],['#_Constructed/existing protected hand dug well]]-WWWW[[#This Row],['#_Non-functional protected hand dug well]]</f>
        <v>0</v>
      </c>
      <c r="CI101" s="909">
        <f>(WWWW[[#This Row],['#_Constructed/Existing tube wells/boreholes/handpumps_WASH_agency]]+WWWW[[#This Row],['#_Non-Cluster partner water tube-wells/boreholes/handpumps]])-WWWW[[#This Row],['#_Non-functional tube wells/boreholes/handpumps]]</f>
        <v>0</v>
      </c>
      <c r="CJ101" s="909">
        <f>WWWW[[#This Row],['#_Constructed/Existingwater storage tank with gravity fed reticulation system]]-WWWW[[#This Row],['#_Non-functional storage tank gravity fed reticulation system]]</f>
        <v>8</v>
      </c>
      <c r="CK101" s="909">
        <f>(WWWW[[#This Row],['#_Water_Liters_supplied_by_Water boating or water trucking]]/90)/15</f>
        <v>0</v>
      </c>
      <c r="CL101" s="909">
        <f>WWWW[[#This Row],['#_Water_Liters_from_Constructed/Existing water distribution system from river or natural spring]]/90/15</f>
        <v>0</v>
      </c>
      <c r="CM101" s="417">
        <f>IF(WWWW[[#This Row],['#_of water points in TLS/CFS]]*500&gt;WWWW[[#This Row],[Total PoP ]],WWWW[[#This Row],[Total PoP ]],WWWW[[#This Row],['#_of water points in TLS/CFS]]*500)</f>
        <v>0</v>
      </c>
      <c r="CN101" s="417">
        <f>IF(WWWW[[#This Row],['#_of water points in THF]]*500&gt;WWWW[[#This Row],[Total PoP ]],WWWW[[#This Row],[Total PoP ]],WWWW[[#This Row],['#_of water points in THF]]*500)</f>
        <v>0</v>
      </c>
      <c r="CO101" s="417"/>
      <c r="CP101"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01"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01" s="908">
        <f>IF(WWWW[[#This Row],[Location Type 1]]="Village",WWWW[[#This Row],[Access to safe drinking water for Village]],WWWW[[#This Row],[Access to safe drinking water for Camp]])</f>
        <v>1</v>
      </c>
      <c r="CS101" s="906">
        <f>WWWW[[#This Row],[%Equitable and continuous access to sufficient quantity of safe drinking water]]*WWWW[[#This Row],[Total PoP ]]</f>
        <v>132</v>
      </c>
      <c r="CT101" s="908">
        <f>IF((WWWW[[#This Row],['#_Constructed/Existing protected/fenced ponds]]*250)/WWWW[[#This Row],[Total PoP ]]&gt;1,1,(WWWW[[#This Row],['#_Constructed/Existing protected/fenced ponds]]*250)/WWWW[[#This Row],[Total PoP ]])</f>
        <v>0</v>
      </c>
      <c r="CU101" s="906">
        <f>WWWW[[#This Row],[% Access to unimproved water points]]*WWWW[[#This Row],[Total PoP ]]</f>
        <v>0</v>
      </c>
      <c r="CV101"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01"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132</v>
      </c>
      <c r="CX101" s="906">
        <f>WWWW[[#This Row],[HRP1]]/500</f>
        <v>0.26400000000000001</v>
      </c>
      <c r="CY101" s="911">
        <f>1-WWWW[[#This Row],[% Equitable and continuous access to sufficient quantity of domestic water]]</f>
        <v>0</v>
      </c>
      <c r="CZ101" s="906">
        <f>WWWW[[#This Row],[%equitable and continuous access to sufficient quantity of safe drinking and domestic water''s GAP]]*WWWW[[#This Row],[Total PoP ]]</f>
        <v>0</v>
      </c>
      <c r="DA101" s="909">
        <f>IF(WWWW[[#This Row],[Total required water points]]-WWWW[[#This Row],['#Water points coverage]]&lt;0,0,WWWW[[#This Row],[Total required water points]]-WWWW[[#This Row],['#Water points coverage]])</f>
        <v>0.73599999999999999</v>
      </c>
      <c r="DB101" s="909">
        <f>ROUND(IF(WWWW[[#This Row],[Total PoP ]]&lt;500,1,WWWW[[#This Row],[Total PoP ]]/500),0)</f>
        <v>1</v>
      </c>
      <c r="DC101" s="909">
        <f>(WWWW[[#This Row],['#_Constructed latrines_by_WASHAgencies]]+WWWW[[#This Row],['#_Non Cluster partner latrines]])-WWWW[[#This Row],['#_Non-functional latrines]]</f>
        <v>27</v>
      </c>
      <c r="DD101" s="615">
        <f>WWWW[[#This Row],[HRP2]]/WWWW[[#This Row],[Total PoP ]]</f>
        <v>1</v>
      </c>
      <c r="DE101"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132</v>
      </c>
      <c r="DF101"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1"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1" s="417">
        <f>IF(WWWW[[#This Row],['# of functional latrines in THF supported by WASH partners during the reporting period2]]="",0,WWWW[[#This Row],['# of functional latrines in THF supported by WASH partners during the reporting period2]]*50)</f>
        <v>0</v>
      </c>
      <c r="DI101" s="909">
        <f>ROUND(IF(WWWW[[#This Row],[Location Type 1]]="camp",WWWW[[#This Row],[Total PoP ]]/20,IF(WWWW[[#This Row],[Location Type 1]]="Temporary Location",WWWW[[#This Row],[Total PoP ]]/50,(WWWW[[#This Row],[Total PoP ]]/6))),0)</f>
        <v>7</v>
      </c>
      <c r="DJ101" s="909">
        <f>IF(WWWW[[#This Row],[Total required Latrines]]-(WWWW[[#This Row],['#_Constructed latrines_by_WASHAgencies]]+WWWW[[#This Row],['#_Non Cluster partner latrines]])&lt;0,0,WWWW[[#This Row],[Total required Latrines]]-(WWWW[[#This Row],['#_Constructed latrines_by_WASHAgencies]]+WWWW[[#This Row],['#_Non Cluster partner latrines]]))</f>
        <v>0</v>
      </c>
      <c r="DK101" s="911">
        <f>1-WWWW[[#This Row],[% people access to functioning Latrine]]</f>
        <v>0</v>
      </c>
      <c r="DL101" s="910">
        <f>IF(OR(WWWW[[#This Row],['#_Non-functional latrines]]="",WWWW[[#This Row],['#_Non-functional latrines]]=0),0,WWWW[[#This Row],['#_Non-functional latrines]]/(WWWW[[#This Row],['#_Constructed latrines_by_WASHAgencies]]+WWWW[[#This Row],['#_Non Cluster partner latrines]]))</f>
        <v>0</v>
      </c>
      <c r="DM101" s="906">
        <f>IF(500*(WWWW[[#This Row],['#_male hygiene promoters]]+WWWW[[#This Row],['#_female hygiene promoters]])&gt;WWWW[[#This Row],[Total PoP ]],WWWW[[#This Row],[Total PoP ]],500*(WWWW[[#This Row],['#_male hygiene promoters]]+WWWW[[#This Row],['#_female hygiene promoters]]))</f>
        <v>132</v>
      </c>
      <c r="DN101"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1"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1" s="909">
        <f>IF(WWWW[[#This Row],['# People with access to soap]]&gt;WWWW[[#This Row],['# People with access to Sanity Pads]],WWWW[[#This Row],['# People with access to soap]],WWWW[[#This Row],['# People with access to Sanity Pads]])</f>
        <v>0</v>
      </c>
      <c r="DQ101" s="909">
        <f>IF(WWWW[[#This Row],['# people reached by regular dedicated hygiene promotion_5]]&gt;WWWW[[#This Row],['# People received regular supply of hygiene items_6]],WWWW[[#This Row],['# people reached by regular dedicated hygiene promotion_5]],WWWW[[#This Row],['# People received regular supply of hygiene items_6]])</f>
        <v>132</v>
      </c>
      <c r="DR101" s="911">
        <f>IF(WWWW[[#This Row],[HRP3]]/WWWW[[#This Row],[Total PoP ]]&gt;1,1,WWWW[[#This Row],[HRP3]]/WWWW[[#This Row],[Total PoP ]])</f>
        <v>1</v>
      </c>
      <c r="DS101" s="910">
        <f>1-WWWW[[#This Row],[Hygiene Coverage%]]</f>
        <v>0</v>
      </c>
      <c r="DT101" s="908">
        <f>WWWW[[#This Row],['# people reached by regular dedicated hygiene promotion_5]]/WWWW[[#This Row],[Total PoP ]]</f>
        <v>1</v>
      </c>
      <c r="DU101"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1"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1" s="909">
        <f>WWWW[[#This Row],['#_Constructed/Existing hand washing stations]]-WWWW[[#This Row],['#_Non-Functional_hand_washing_stations]]</f>
        <v>7</v>
      </c>
      <c r="DX101" s="906">
        <f>IF(WWWW[[#This Row],['# Functional hand washing stations during reporting period]]*20&gt;WWWW[[#This Row],[Total HH]],WWWW[[#This Row],[Total HH]],WWWW[[#This Row],['# Functional hand washing stations during reporting period]]*20)</f>
        <v>26</v>
      </c>
      <c r="DY101" s="906">
        <f>IF(WWWW[[#This Row],[Is sufficient soap available for TLS? (Yes/No)]]="yes",WWWW[[#This Row],['#_Constructed/Existing hand washing stations at TLS/CFS/THF]],0)</f>
        <v>0</v>
      </c>
      <c r="DZ101" s="421">
        <f>IF(WWWW[[#This Row],['# Functional hand washing stations during reporting period]]*100&gt;WWWW[[#This Row],[Total PoP ]],WWWW[[#This Row],[Total PoP ]],WWWW[[#This Row],['# Functional hand washing stations during reporting period]]*100)</f>
        <v>132</v>
      </c>
      <c r="EA101" s="421" t="str">
        <f>IF(OR(WWWW[[#This Row],['#_students at TLS_CFS]]="",WWWW[[#This Row],['#_students at TLS_CFS]]=0),"No","Yes")</f>
        <v>No</v>
      </c>
      <c r="EB10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1" s="566">
        <f>WWWW[[#This Row],[%_of_affected_people_surveyed_who_report_feeling_satistfied_with_the_latrine_design_and_sanitation_service]]*WWWW[[#This Row],[Total PoP ]]</f>
        <v>0</v>
      </c>
      <c r="ED101" s="566">
        <f>WWWW[[#This Row],[%_of_affected_people_surveyed_who_report_feeling_satistfied_with_the_water_point_design_and_water_service]]*WWWW[[#This Row],[Total PoP ]]</f>
        <v>0</v>
      </c>
      <c r="EE101" s="566">
        <f>WWWW[[#This Row],[%_of_complaints_received_that_result_in_timely_corrective_action_and_feedback_to_the_community]]*WWWW[[#This Row],[Total PoP ]]</f>
        <v>0</v>
      </c>
      <c r="EF10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0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1" s="902" t="str">
        <f>VLOOKUP(WWWW[[#This Row],[Site Name]],SiteDB6[[Site Name]:[CCCM Management]],6,FALSE)</f>
        <v>Yes</v>
      </c>
      <c r="EJ101" s="902" t="str">
        <f>VLOOKUP(WWWW[[#This Row],[Site Name]],SiteDB6[[Site Name]:[CCCM Focal Agency]],7,FALSE)</f>
        <v>KMSS-LSO</v>
      </c>
      <c r="EK101" s="902" t="str">
        <f>VLOOKUP(WWWW[[#This Row],[Site Name]],SiteDB6[[Site Name]:[Location Type 1]],9,FALSE)</f>
        <v>Camp</v>
      </c>
      <c r="EL101" s="902" t="str">
        <f>VLOOKUP(WWWW[[#This Row],[Site Name]],SiteDB6[[Site Name]:[Type of Accommodation]],10,FALSE)</f>
        <v>Camp</v>
      </c>
      <c r="EM101" s="902" t="str">
        <f>VLOOKUP(WWWW[[#This Row],[Site Name]],SiteDB6[[Site Name]:[Ethnic or GCA/NGCA]],11,FALSE)</f>
        <v>GCA</v>
      </c>
      <c r="EN101" s="902">
        <f>VLOOKUP(WWWW[[#This Row],[Site Name]],SiteDB6[[Site Name]:[Lat]],12,FALSE)</f>
        <v>23.38503</v>
      </c>
      <c r="EO101" s="902">
        <f>VLOOKUP(WWWW[[#This Row],[Site Name]],SiteDB6[[Site Name]:[Long]],13,FALSE)</f>
        <v>97.837040000000002</v>
      </c>
      <c r="EP101" s="902" t="str">
        <f>VLOOKUP(WWWW[[#This Row],[Site Name]],SiteDB6[[Site Name]:[Pcode]],3,FALSE)</f>
        <v>MMR015CMP017</v>
      </c>
      <c r="EQ101" s="907" t="str">
        <f t="shared" si="1"/>
        <v>Covered</v>
      </c>
      <c r="ER101" s="907" t="s">
        <v>3126</v>
      </c>
      <c r="ES101" s="907" t="s">
        <v>3126</v>
      </c>
      <c r="ET101" s="902">
        <f>VLOOKUP(WWWW[[#This Row],[Site Name]],SiteDB6[[Site Name]:[Pop
(Kachin/Shan-CCCM as of May 2023)]],16,FALSE)</f>
        <v>26</v>
      </c>
      <c r="EU101" s="902">
        <f>VLOOKUP(WWWW[[#This Row],[Site Name]],SiteDB6[[Site Name]:[Pop
(Kachin/Shan-CCCM as of May 2023)]],17,FALSE)</f>
        <v>135</v>
      </c>
    </row>
    <row r="102" spans="1:151" hidden="1">
      <c r="A102" s="900" t="s">
        <v>2961</v>
      </c>
      <c r="B102" s="900" t="s">
        <v>192</v>
      </c>
      <c r="C102" s="901" t="s">
        <v>192</v>
      </c>
      <c r="D102" s="901" t="s">
        <v>2633</v>
      </c>
      <c r="E102" s="901" t="s">
        <v>515</v>
      </c>
      <c r="F102" s="901" t="s">
        <v>519</v>
      </c>
      <c r="G102" s="902" t="str">
        <f>VLOOKUP(WWWW[[#This Row],[Site Name]],SiteDB6[[Site Name]:[Location Type]],8,FALSE)</f>
        <v>Camp</v>
      </c>
      <c r="H102" s="901" t="s">
        <v>1721</v>
      </c>
      <c r="I102" s="903">
        <v>29</v>
      </c>
      <c r="J102" s="903">
        <v>130</v>
      </c>
      <c r="K102" s="904">
        <v>44511</v>
      </c>
      <c r="L102" s="905">
        <v>44926</v>
      </c>
      <c r="M102" s="903"/>
      <c r="N102" s="903">
        <v>1</v>
      </c>
      <c r="O102" s="903"/>
      <c r="P102" s="903"/>
      <c r="Q102" s="906" t="s">
        <v>41</v>
      </c>
      <c r="R102" s="903">
        <v>4</v>
      </c>
      <c r="S102" s="903">
        <v>5</v>
      </c>
      <c r="T102" s="441"/>
      <c r="U102" s="903"/>
      <c r="V102" s="903"/>
      <c r="W102" s="903"/>
      <c r="X102" s="903"/>
      <c r="Y102" s="903"/>
      <c r="Z102" s="903"/>
      <c r="AA102" s="903">
        <v>13</v>
      </c>
      <c r="AB102" s="903"/>
      <c r="AC102" s="903"/>
      <c r="AD102" s="903"/>
      <c r="AE102" s="903"/>
      <c r="AF102" s="903"/>
      <c r="AG102" s="903"/>
      <c r="AH102" s="903"/>
      <c r="AI102" s="903"/>
      <c r="AJ102" s="903"/>
      <c r="AK102" s="903"/>
      <c r="AL102" s="903"/>
      <c r="AM102" s="903"/>
      <c r="AN102" s="903"/>
      <c r="AO102" s="441"/>
      <c r="AP102" s="907"/>
      <c r="AQ102" s="903">
        <v>30</v>
      </c>
      <c r="AR102" s="903"/>
      <c r="AS102" s="908"/>
      <c r="AT102" s="903"/>
      <c r="AU102" s="903"/>
      <c r="AV102" s="903"/>
      <c r="AW102" s="903"/>
      <c r="AX102" s="903"/>
      <c r="AY102" s="902" t="s">
        <v>41</v>
      </c>
      <c r="AZ102" s="907" t="s">
        <v>137</v>
      </c>
      <c r="BA102" s="903"/>
      <c r="BB102" s="903"/>
      <c r="BC102" s="903"/>
      <c r="BD102" s="441"/>
      <c r="BE102" s="441"/>
      <c r="BF102" s="902"/>
      <c r="BG102" s="903">
        <v>7</v>
      </c>
      <c r="BH102" s="903"/>
      <c r="BI102" s="903"/>
      <c r="BJ102" s="903">
        <v>1</v>
      </c>
      <c r="BK102" s="903"/>
      <c r="BL102" s="903"/>
      <c r="BM102" s="903">
        <v>1</v>
      </c>
      <c r="BN102" s="903"/>
      <c r="BO102" s="903"/>
      <c r="BP102" s="902" t="s">
        <v>41</v>
      </c>
      <c r="BQ102" s="909"/>
      <c r="BR102" s="908"/>
      <c r="BS102" s="902"/>
      <c r="BT102" s="416"/>
      <c r="BU102" s="416"/>
      <c r="BV102" s="418"/>
      <c r="BW102" s="416"/>
      <c r="BX102" s="441"/>
      <c r="BY102" s="441"/>
      <c r="BZ102" s="441"/>
      <c r="CA102" s="441"/>
      <c r="CB102" s="441"/>
      <c r="CC102" s="693"/>
      <c r="CD102" s="441"/>
      <c r="CE102" s="910" t="str">
        <f>IFERROR(WWWW[[#This Row],['#_Water sources passed]]/WWWW[[#This Row],['#_Water sources tested for fecal coliform ]],"no test")</f>
        <v>no test</v>
      </c>
      <c r="CF102" s="908" t="str">
        <f>IFERROR(WWWW[[#This Row],['#_Household passed]]/WWWW[[#This Row],['#_Household water samples tested for fecal coliform]],"no test")</f>
        <v>no test</v>
      </c>
      <c r="CG102" s="909" t="str">
        <f>IF(AND(WWWW[[#This Row],[% of water sources passed]]="no test",WWWW[[#This Row],[% Household passed]]="no test"),"No Test","Tested")</f>
        <v>No Test</v>
      </c>
      <c r="CH102" s="909">
        <f>WWWW[[#This Row],['#_Constructed/existing protected hand dug well]]-WWWW[[#This Row],['#_Non-functional protected hand dug well]]</f>
        <v>0</v>
      </c>
      <c r="CI102" s="909">
        <f>(WWWW[[#This Row],['#_Constructed/Existing tube wells/boreholes/handpumps_WASH_agency]]+WWWW[[#This Row],['#_Non-Cluster partner water tube-wells/boreholes/handpumps]])-WWWW[[#This Row],['#_Non-functional tube wells/boreholes/handpumps]]</f>
        <v>0</v>
      </c>
      <c r="CJ102" s="909">
        <f>WWWW[[#This Row],['#_Constructed/Existingwater storage tank with gravity fed reticulation system]]-WWWW[[#This Row],['#_Non-functional storage tank gravity fed reticulation system]]</f>
        <v>13</v>
      </c>
      <c r="CK102" s="909">
        <f>(WWWW[[#This Row],['#_Water_Liters_supplied_by_Water boating or water trucking]]/90)/15</f>
        <v>0</v>
      </c>
      <c r="CL102" s="909">
        <f>WWWW[[#This Row],['#_Water_Liters_from_Constructed/Existing water distribution system from river or natural spring]]/90/15</f>
        <v>0</v>
      </c>
      <c r="CM102" s="417">
        <f>IF(WWWW[[#This Row],['#_of water points in TLS/CFS]]*500&gt;WWWW[[#This Row],[Total PoP ]],WWWW[[#This Row],[Total PoP ]],WWWW[[#This Row],['#_of water points in TLS/CFS]]*500)</f>
        <v>0</v>
      </c>
      <c r="CN102" s="417">
        <f>IF(WWWW[[#This Row],['#_of water points in THF]]*500&gt;WWWW[[#This Row],[Total PoP ]],WWWW[[#This Row],[Total PoP ]],WWWW[[#This Row],['#_of water points in THF]]*500)</f>
        <v>0</v>
      </c>
      <c r="CO102" s="417"/>
      <c r="CP102"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02"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02" s="908">
        <f>IF(WWWW[[#This Row],[Location Type 1]]="Village",WWWW[[#This Row],[Access to safe drinking water for Village]],WWWW[[#This Row],[Access to safe drinking water for Camp]])</f>
        <v>1</v>
      </c>
      <c r="CS102" s="906">
        <f>WWWW[[#This Row],[%Equitable and continuous access to sufficient quantity of safe drinking water]]*WWWW[[#This Row],[Total PoP ]]</f>
        <v>130</v>
      </c>
      <c r="CT102" s="908">
        <f>IF((WWWW[[#This Row],['#_Constructed/Existing protected/fenced ponds]]*250)/WWWW[[#This Row],[Total PoP ]]&gt;1,1,(WWWW[[#This Row],['#_Constructed/Existing protected/fenced ponds]]*250)/WWWW[[#This Row],[Total PoP ]])</f>
        <v>0</v>
      </c>
      <c r="CU102" s="906">
        <f>WWWW[[#This Row],[% Access to unimproved water points]]*WWWW[[#This Row],[Total PoP ]]</f>
        <v>0</v>
      </c>
      <c r="CV102"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02"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130</v>
      </c>
      <c r="CX102" s="906">
        <f>WWWW[[#This Row],[HRP1]]/500</f>
        <v>0.26</v>
      </c>
      <c r="CY102" s="911">
        <f>1-WWWW[[#This Row],[% Equitable and continuous access to sufficient quantity of domestic water]]</f>
        <v>0</v>
      </c>
      <c r="CZ102" s="906">
        <f>WWWW[[#This Row],[%equitable and continuous access to sufficient quantity of safe drinking and domestic water''s GAP]]*WWWW[[#This Row],[Total PoP ]]</f>
        <v>0</v>
      </c>
      <c r="DA102" s="909">
        <f>IF(WWWW[[#This Row],[Total required water points]]-WWWW[[#This Row],['#Water points coverage]]&lt;0,0,WWWW[[#This Row],[Total required water points]]-WWWW[[#This Row],['#Water points coverage]])</f>
        <v>0.74</v>
      </c>
      <c r="DB102" s="909">
        <f>ROUND(IF(WWWW[[#This Row],[Total PoP ]]&lt;500,1,WWWW[[#This Row],[Total PoP ]]/500),0)</f>
        <v>1</v>
      </c>
      <c r="DC102" s="909">
        <f>(WWWW[[#This Row],['#_Constructed latrines_by_WASHAgencies]]+WWWW[[#This Row],['#_Non Cluster partner latrines]])-WWWW[[#This Row],['#_Non-functional latrines]]</f>
        <v>30</v>
      </c>
      <c r="DD102" s="615">
        <f>WWWW[[#This Row],[HRP2]]/WWWW[[#This Row],[Total PoP ]]</f>
        <v>1</v>
      </c>
      <c r="DE102"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130</v>
      </c>
      <c r="DF102"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2"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2" s="417">
        <f>IF(WWWW[[#This Row],['# of functional latrines in THF supported by WASH partners during the reporting period2]]="",0,WWWW[[#This Row],['# of functional latrines in THF supported by WASH partners during the reporting period2]]*50)</f>
        <v>0</v>
      </c>
      <c r="DI102" s="909">
        <f>ROUND(IF(WWWW[[#This Row],[Location Type 1]]="camp",WWWW[[#This Row],[Total PoP ]]/20,IF(WWWW[[#This Row],[Location Type 1]]="Temporary Location",WWWW[[#This Row],[Total PoP ]]/50,(WWWW[[#This Row],[Total PoP ]]/6))),0)</f>
        <v>7</v>
      </c>
      <c r="DJ102" s="909">
        <f>IF(WWWW[[#This Row],[Total required Latrines]]-(WWWW[[#This Row],['#_Constructed latrines_by_WASHAgencies]]+WWWW[[#This Row],['#_Non Cluster partner latrines]])&lt;0,0,WWWW[[#This Row],[Total required Latrines]]-(WWWW[[#This Row],['#_Constructed latrines_by_WASHAgencies]]+WWWW[[#This Row],['#_Non Cluster partner latrines]]))</f>
        <v>0</v>
      </c>
      <c r="DK102" s="911">
        <f>1-WWWW[[#This Row],[% people access to functioning Latrine]]</f>
        <v>0</v>
      </c>
      <c r="DL102" s="910">
        <f>IF(OR(WWWW[[#This Row],['#_Non-functional latrines]]="",WWWW[[#This Row],['#_Non-functional latrines]]=0),0,WWWW[[#This Row],['#_Non-functional latrines]]/(WWWW[[#This Row],['#_Constructed latrines_by_WASHAgencies]]+WWWW[[#This Row],['#_Non Cluster partner latrines]]))</f>
        <v>0</v>
      </c>
      <c r="DM102" s="906">
        <f>IF(500*(WWWW[[#This Row],['#_male hygiene promoters]]+WWWW[[#This Row],['#_female hygiene promoters]])&gt;WWWW[[#This Row],[Total PoP ]],WWWW[[#This Row],[Total PoP ]],500*(WWWW[[#This Row],['#_male hygiene promoters]]+WWWW[[#This Row],['#_female hygiene promoters]]))</f>
        <v>130</v>
      </c>
      <c r="DN102"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2"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2" s="909">
        <f>IF(WWWW[[#This Row],['# People with access to soap]]&gt;WWWW[[#This Row],['# People with access to Sanity Pads]],WWWW[[#This Row],['# People with access to soap]],WWWW[[#This Row],['# People with access to Sanity Pads]])</f>
        <v>0</v>
      </c>
      <c r="DQ102" s="909">
        <f>IF(WWWW[[#This Row],['# people reached by regular dedicated hygiene promotion_5]]&gt;WWWW[[#This Row],['# People received regular supply of hygiene items_6]],WWWW[[#This Row],['# people reached by regular dedicated hygiene promotion_5]],WWWW[[#This Row],['# People received regular supply of hygiene items_6]])</f>
        <v>130</v>
      </c>
      <c r="DR102" s="911">
        <f>IF(WWWW[[#This Row],[HRP3]]/WWWW[[#This Row],[Total PoP ]]&gt;1,1,WWWW[[#This Row],[HRP3]]/WWWW[[#This Row],[Total PoP ]])</f>
        <v>1</v>
      </c>
      <c r="DS102" s="910">
        <f>1-WWWW[[#This Row],[Hygiene Coverage%]]</f>
        <v>0</v>
      </c>
      <c r="DT102" s="908">
        <f>WWWW[[#This Row],['# people reached by regular dedicated hygiene promotion_5]]/WWWW[[#This Row],[Total PoP ]]</f>
        <v>1</v>
      </c>
      <c r="DU102"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2"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2" s="909">
        <f>WWWW[[#This Row],['#_Constructed/Existing hand washing stations]]-WWWW[[#This Row],['#_Non-Functional_hand_washing_stations]]</f>
        <v>7</v>
      </c>
      <c r="DX102" s="906">
        <f>IF(WWWW[[#This Row],['# Functional hand washing stations during reporting period]]*20&gt;WWWW[[#This Row],[Total HH]],WWWW[[#This Row],[Total HH]],WWWW[[#This Row],['# Functional hand washing stations during reporting period]]*20)</f>
        <v>29</v>
      </c>
      <c r="DY102" s="906">
        <f>IF(WWWW[[#This Row],[Is sufficient soap available for TLS? (Yes/No)]]="yes",WWWW[[#This Row],['#_Constructed/Existing hand washing stations at TLS/CFS/THF]],0)</f>
        <v>0</v>
      </c>
      <c r="DZ102" s="421">
        <f>IF(WWWW[[#This Row],['# Functional hand washing stations during reporting period]]*100&gt;WWWW[[#This Row],[Total PoP ]],WWWW[[#This Row],[Total PoP ]],WWWW[[#This Row],['# Functional hand washing stations during reporting period]]*100)</f>
        <v>130</v>
      </c>
      <c r="EA102" s="421" t="str">
        <f>IF(OR(WWWW[[#This Row],['#_students at TLS_CFS]]="",WWWW[[#This Row],['#_students at TLS_CFS]]=0),"No","Yes")</f>
        <v>No</v>
      </c>
      <c r="EB10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2" s="566">
        <f>WWWW[[#This Row],[%_of_affected_people_surveyed_who_report_feeling_satistfied_with_the_latrine_design_and_sanitation_service]]*WWWW[[#This Row],[Total PoP ]]</f>
        <v>0</v>
      </c>
      <c r="ED102" s="566">
        <f>WWWW[[#This Row],[%_of_affected_people_surveyed_who_report_feeling_satistfied_with_the_water_point_design_and_water_service]]*WWWW[[#This Row],[Total PoP ]]</f>
        <v>0</v>
      </c>
      <c r="EE102" s="566">
        <f>WWWW[[#This Row],[%_of_complaints_received_that_result_in_timely_corrective_action_and_feedback_to_the_community]]*WWWW[[#This Row],[Total PoP ]]</f>
        <v>0</v>
      </c>
      <c r="EF10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0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2" s="902" t="str">
        <f>VLOOKUP(WWWW[[#This Row],[Site Name]],SiteDB6[[Site Name]:[CCCM Management]],6,FALSE)</f>
        <v>Yes</v>
      </c>
      <c r="EJ102" s="902" t="str">
        <f>VLOOKUP(WWWW[[#This Row],[Site Name]],SiteDB6[[Site Name]:[CCCM Focal Agency]],7,FALSE)</f>
        <v>KMSS-LSO</v>
      </c>
      <c r="EK102" s="902" t="str">
        <f>VLOOKUP(WWWW[[#This Row],[Site Name]],SiteDB6[[Site Name]:[Location Type 1]],9,FALSE)</f>
        <v>Camp</v>
      </c>
      <c r="EL102" s="902" t="str">
        <f>VLOOKUP(WWWW[[#This Row],[Site Name]],SiteDB6[[Site Name]:[Type of Accommodation]],10,FALSE)</f>
        <v>Camp</v>
      </c>
      <c r="EM102" s="902" t="str">
        <f>VLOOKUP(WWWW[[#This Row],[Site Name]],SiteDB6[[Site Name]:[Ethnic or GCA/NGCA]],11,FALSE)</f>
        <v>GCA</v>
      </c>
      <c r="EN102" s="902">
        <f>VLOOKUP(WWWW[[#This Row],[Site Name]],SiteDB6[[Site Name]:[Lat]],12,FALSE)</f>
        <v>23.638999999999999</v>
      </c>
      <c r="EO102" s="902">
        <f>VLOOKUP(WWWW[[#This Row],[Site Name]],SiteDB6[[Site Name]:[Long]],13,FALSE)</f>
        <v>97.861999999999995</v>
      </c>
      <c r="EP102" s="902" t="str">
        <f>VLOOKUP(WWWW[[#This Row],[Site Name]],SiteDB6[[Site Name]:[Pcode]],3,FALSE)</f>
        <v>MMR015CMP068</v>
      </c>
      <c r="EQ102" s="907" t="str">
        <f t="shared" si="1"/>
        <v>Covered</v>
      </c>
      <c r="ER102" s="907" t="s">
        <v>3126</v>
      </c>
      <c r="ES102" s="907" t="s">
        <v>3126</v>
      </c>
      <c r="ET102" s="902">
        <f>VLOOKUP(WWWW[[#This Row],[Site Name]],SiteDB6[[Site Name]:[Pop
(Kachin/Shan-CCCM as of May 2023)]],16,FALSE)</f>
        <v>31</v>
      </c>
      <c r="EU102" s="902">
        <f>VLOOKUP(WWWW[[#This Row],[Site Name]],SiteDB6[[Site Name]:[Pop
(Kachin/Shan-CCCM as of May 2023)]],17,FALSE)</f>
        <v>145</v>
      </c>
    </row>
    <row r="103" spans="1:151" hidden="1">
      <c r="A103" s="900" t="s">
        <v>2961</v>
      </c>
      <c r="B103" s="900" t="s">
        <v>192</v>
      </c>
      <c r="C103" s="901" t="s">
        <v>192</v>
      </c>
      <c r="D103" s="901" t="s">
        <v>2633</v>
      </c>
      <c r="E103" s="901" t="s">
        <v>515</v>
      </c>
      <c r="F103" s="901" t="s">
        <v>519</v>
      </c>
      <c r="G103" s="902" t="str">
        <f>VLOOKUP(WWWW[[#This Row],[Site Name]],SiteDB6[[Site Name]:[Location Type]],8,FALSE)</f>
        <v>Camp</v>
      </c>
      <c r="H103" s="901" t="s">
        <v>541</v>
      </c>
      <c r="I103" s="903">
        <v>40</v>
      </c>
      <c r="J103" s="903">
        <v>244</v>
      </c>
      <c r="K103" s="904">
        <v>44511</v>
      </c>
      <c r="L103" s="905">
        <v>44926</v>
      </c>
      <c r="M103" s="903"/>
      <c r="N103" s="903">
        <v>1</v>
      </c>
      <c r="O103" s="903"/>
      <c r="P103" s="903"/>
      <c r="Q103" s="906" t="s">
        <v>41</v>
      </c>
      <c r="R103" s="903">
        <v>3</v>
      </c>
      <c r="S103" s="903">
        <v>3</v>
      </c>
      <c r="T103" s="441">
        <v>1</v>
      </c>
      <c r="U103" s="903"/>
      <c r="V103" s="903"/>
      <c r="W103" s="903">
        <v>1</v>
      </c>
      <c r="X103" s="903">
        <v>2</v>
      </c>
      <c r="Y103" s="903"/>
      <c r="Z103" s="903"/>
      <c r="AA103" s="903"/>
      <c r="AB103" s="903"/>
      <c r="AC103" s="903"/>
      <c r="AD103" s="903"/>
      <c r="AE103" s="903"/>
      <c r="AF103" s="903"/>
      <c r="AG103" s="903"/>
      <c r="AH103" s="903"/>
      <c r="AI103" s="903"/>
      <c r="AJ103" s="903"/>
      <c r="AK103" s="903"/>
      <c r="AL103" s="903"/>
      <c r="AM103" s="903"/>
      <c r="AN103" s="903"/>
      <c r="AO103" s="441"/>
      <c r="AP103" s="907"/>
      <c r="AQ103" s="903">
        <v>12</v>
      </c>
      <c r="AR103" s="903"/>
      <c r="AS103" s="908"/>
      <c r="AT103" s="903"/>
      <c r="AU103" s="903"/>
      <c r="AV103" s="903"/>
      <c r="AW103" s="903"/>
      <c r="AX103" s="903"/>
      <c r="AY103" s="902" t="s">
        <v>41</v>
      </c>
      <c r="AZ103" s="907" t="s">
        <v>136</v>
      </c>
      <c r="BA103" s="903"/>
      <c r="BB103" s="903"/>
      <c r="BC103" s="903">
        <v>1</v>
      </c>
      <c r="BD103" s="441"/>
      <c r="BE103" s="441"/>
      <c r="BF103" s="902"/>
      <c r="BG103" s="903">
        <v>7</v>
      </c>
      <c r="BH103" s="903"/>
      <c r="BI103" s="903"/>
      <c r="BJ103" s="903">
        <v>1</v>
      </c>
      <c r="BK103" s="903"/>
      <c r="BL103" s="903"/>
      <c r="BM103" s="903">
        <v>1</v>
      </c>
      <c r="BN103" s="903"/>
      <c r="BO103" s="903"/>
      <c r="BP103" s="902" t="s">
        <v>41</v>
      </c>
      <c r="BQ103" s="909"/>
      <c r="BR103" s="908"/>
      <c r="BS103" s="902"/>
      <c r="BT103" s="416"/>
      <c r="BU103" s="416"/>
      <c r="BV103" s="418"/>
      <c r="BW103" s="416"/>
      <c r="BX103" s="441"/>
      <c r="BY103" s="441"/>
      <c r="BZ103" s="441"/>
      <c r="CA103" s="441"/>
      <c r="CB103" s="441"/>
      <c r="CC103" s="693"/>
      <c r="CD103" s="441"/>
      <c r="CE103" s="910" t="str">
        <f>IFERROR(WWWW[[#This Row],['#_Water sources passed]]/WWWW[[#This Row],['#_Water sources tested for fecal coliform ]],"no test")</f>
        <v>no test</v>
      </c>
      <c r="CF103" s="908" t="str">
        <f>IFERROR(WWWW[[#This Row],['#_Household passed]]/WWWW[[#This Row],['#_Household water samples tested for fecal coliform]],"no test")</f>
        <v>no test</v>
      </c>
      <c r="CG103" s="909" t="str">
        <f>IF(AND(WWWW[[#This Row],[% of water sources passed]]="no test",WWWW[[#This Row],[% Household passed]]="no test"),"No Test","Tested")</f>
        <v>No Test</v>
      </c>
      <c r="CH103" s="909">
        <f>WWWW[[#This Row],['#_Constructed/existing protected hand dug well]]-WWWW[[#This Row],['#_Non-functional protected hand dug well]]</f>
        <v>1</v>
      </c>
      <c r="CI103" s="909">
        <f>(WWWW[[#This Row],['#_Constructed/Existing tube wells/boreholes/handpumps_WASH_agency]]+WWWW[[#This Row],['#_Non-Cluster partner water tube-wells/boreholes/handpumps]])-WWWW[[#This Row],['#_Non-functional tube wells/boreholes/handpumps]]</f>
        <v>3</v>
      </c>
      <c r="CJ103" s="909">
        <f>WWWW[[#This Row],['#_Constructed/Existingwater storage tank with gravity fed reticulation system]]-WWWW[[#This Row],['#_Non-functional storage tank gravity fed reticulation system]]</f>
        <v>0</v>
      </c>
      <c r="CK103" s="909">
        <f>(WWWW[[#This Row],['#_Water_Liters_supplied_by_Water boating or water trucking]]/90)/15</f>
        <v>0</v>
      </c>
      <c r="CL103" s="909">
        <f>WWWW[[#This Row],['#_Water_Liters_from_Constructed/Existing water distribution system from river or natural spring]]/90/15</f>
        <v>0</v>
      </c>
      <c r="CM103" s="417">
        <f>IF(WWWW[[#This Row],['#_of water points in TLS/CFS]]*500&gt;WWWW[[#This Row],[Total PoP ]],WWWW[[#This Row],[Total PoP ]],WWWW[[#This Row],['#_of water points in TLS/CFS]]*500)</f>
        <v>0</v>
      </c>
      <c r="CN103" s="417">
        <f>IF(WWWW[[#This Row],['#_of water points in THF]]*500&gt;WWWW[[#This Row],[Total PoP ]],WWWW[[#This Row],[Total PoP ]],WWWW[[#This Row],['#_of water points in THF]]*500)</f>
        <v>0</v>
      </c>
      <c r="CO103" s="417"/>
      <c r="CP103"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03"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03" s="908">
        <f>IF(WWWW[[#This Row],[Location Type 1]]="Village",WWWW[[#This Row],[Access to safe drinking water for Village]],WWWW[[#This Row],[Access to safe drinking water for Camp]])</f>
        <v>1</v>
      </c>
      <c r="CS103" s="906">
        <f>WWWW[[#This Row],[%Equitable and continuous access to sufficient quantity of safe drinking water]]*WWWW[[#This Row],[Total PoP ]]</f>
        <v>244</v>
      </c>
      <c r="CT103" s="908">
        <f>IF((WWWW[[#This Row],['#_Constructed/Existing protected/fenced ponds]]*250)/WWWW[[#This Row],[Total PoP ]]&gt;1,1,(WWWW[[#This Row],['#_Constructed/Existing protected/fenced ponds]]*250)/WWWW[[#This Row],[Total PoP ]])</f>
        <v>0</v>
      </c>
      <c r="CU103" s="906">
        <f>WWWW[[#This Row],[% Access to unimproved water points]]*WWWW[[#This Row],[Total PoP ]]</f>
        <v>0</v>
      </c>
      <c r="CV103"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03"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244</v>
      </c>
      <c r="CX103" s="906">
        <f>WWWW[[#This Row],[HRP1]]/500</f>
        <v>0.48799999999999999</v>
      </c>
      <c r="CY103" s="911">
        <f>1-WWWW[[#This Row],[% Equitable and continuous access to sufficient quantity of domestic water]]</f>
        <v>0</v>
      </c>
      <c r="CZ103" s="906">
        <f>WWWW[[#This Row],[%equitable and continuous access to sufficient quantity of safe drinking and domestic water''s GAP]]*WWWW[[#This Row],[Total PoP ]]</f>
        <v>0</v>
      </c>
      <c r="DA103" s="909">
        <f>IF(WWWW[[#This Row],[Total required water points]]-WWWW[[#This Row],['#Water points coverage]]&lt;0,0,WWWW[[#This Row],[Total required water points]]-WWWW[[#This Row],['#Water points coverage]])</f>
        <v>0.51200000000000001</v>
      </c>
      <c r="DB103" s="909">
        <f>ROUND(IF(WWWW[[#This Row],[Total PoP ]]&lt;500,1,WWWW[[#This Row],[Total PoP ]]/500),0)</f>
        <v>1</v>
      </c>
      <c r="DC103" s="909">
        <f>(WWWW[[#This Row],['#_Constructed latrines_by_WASHAgencies]]+WWWW[[#This Row],['#_Non Cluster partner latrines]])-WWWW[[#This Row],['#_Non-functional latrines]]</f>
        <v>12</v>
      </c>
      <c r="DD103" s="615">
        <f>WWWW[[#This Row],[HRP2]]/WWWW[[#This Row],[Total PoP ]]</f>
        <v>0.98360655737704916</v>
      </c>
      <c r="DE103"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240</v>
      </c>
      <c r="DF103"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3"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3" s="417">
        <f>IF(WWWW[[#This Row],['# of functional latrines in THF supported by WASH partners during the reporting period2]]="",0,WWWW[[#This Row],['# of functional latrines in THF supported by WASH partners during the reporting period2]]*50)</f>
        <v>0</v>
      </c>
      <c r="DI103" s="909">
        <f>ROUND(IF(WWWW[[#This Row],[Location Type 1]]="camp",WWWW[[#This Row],[Total PoP ]]/20,IF(WWWW[[#This Row],[Location Type 1]]="Temporary Location",WWWW[[#This Row],[Total PoP ]]/50,(WWWW[[#This Row],[Total PoP ]]/6))),0)</f>
        <v>12</v>
      </c>
      <c r="DJ103" s="909">
        <f>IF(WWWW[[#This Row],[Total required Latrines]]-(WWWW[[#This Row],['#_Constructed latrines_by_WASHAgencies]]+WWWW[[#This Row],['#_Non Cluster partner latrines]])&lt;0,0,WWWW[[#This Row],[Total required Latrines]]-(WWWW[[#This Row],['#_Constructed latrines_by_WASHAgencies]]+WWWW[[#This Row],['#_Non Cluster partner latrines]]))</f>
        <v>0</v>
      </c>
      <c r="DK103" s="911">
        <f>1-WWWW[[#This Row],[% people access to functioning Latrine]]</f>
        <v>1.6393442622950838E-2</v>
      </c>
      <c r="DL103" s="910">
        <f>IF(OR(WWWW[[#This Row],['#_Non-functional latrines]]="",WWWW[[#This Row],['#_Non-functional latrines]]=0),0,WWWW[[#This Row],['#_Non-functional latrines]]/(WWWW[[#This Row],['#_Constructed latrines_by_WASHAgencies]]+WWWW[[#This Row],['#_Non Cluster partner latrines]]))</f>
        <v>0</v>
      </c>
      <c r="DM103" s="906">
        <f>IF(500*(WWWW[[#This Row],['#_male hygiene promoters]]+WWWW[[#This Row],['#_female hygiene promoters]])&gt;WWWW[[#This Row],[Total PoP ]],WWWW[[#This Row],[Total PoP ]],500*(WWWW[[#This Row],['#_male hygiene promoters]]+WWWW[[#This Row],['#_female hygiene promoters]]))</f>
        <v>244</v>
      </c>
      <c r="DN103"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3"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3" s="909">
        <f>IF(WWWW[[#This Row],['# People with access to soap]]&gt;WWWW[[#This Row],['# People with access to Sanity Pads]],WWWW[[#This Row],['# People with access to soap]],WWWW[[#This Row],['# People with access to Sanity Pads]])</f>
        <v>0</v>
      </c>
      <c r="DQ103" s="909">
        <f>IF(WWWW[[#This Row],['# people reached by regular dedicated hygiene promotion_5]]&gt;WWWW[[#This Row],['# People received regular supply of hygiene items_6]],WWWW[[#This Row],['# people reached by regular dedicated hygiene promotion_5]],WWWW[[#This Row],['# People received regular supply of hygiene items_6]])</f>
        <v>244</v>
      </c>
      <c r="DR103" s="911">
        <f>IF(WWWW[[#This Row],[HRP3]]/WWWW[[#This Row],[Total PoP ]]&gt;1,1,WWWW[[#This Row],[HRP3]]/WWWW[[#This Row],[Total PoP ]])</f>
        <v>1</v>
      </c>
      <c r="DS103" s="910">
        <f>1-WWWW[[#This Row],[Hygiene Coverage%]]</f>
        <v>0</v>
      </c>
      <c r="DT103" s="908">
        <f>WWWW[[#This Row],['# people reached by regular dedicated hygiene promotion_5]]/WWWW[[#This Row],[Total PoP ]]</f>
        <v>1</v>
      </c>
      <c r="DU103"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3"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3" s="909">
        <f>WWWW[[#This Row],['#_Constructed/Existing hand washing stations]]-WWWW[[#This Row],['#_Non-Functional_hand_washing_stations]]</f>
        <v>7</v>
      </c>
      <c r="DX103" s="906">
        <f>IF(WWWW[[#This Row],['# Functional hand washing stations during reporting period]]*20&gt;WWWW[[#This Row],[Total HH]],WWWW[[#This Row],[Total HH]],WWWW[[#This Row],['# Functional hand washing stations during reporting period]]*20)</f>
        <v>40</v>
      </c>
      <c r="DY103" s="906">
        <f>IF(WWWW[[#This Row],[Is sufficient soap available for TLS? (Yes/No)]]="yes",WWWW[[#This Row],['#_Constructed/Existing hand washing stations at TLS/CFS/THF]],0)</f>
        <v>0</v>
      </c>
      <c r="DZ103" s="421">
        <f>IF(WWWW[[#This Row],['# Functional hand washing stations during reporting period]]*100&gt;WWWW[[#This Row],[Total PoP ]],WWWW[[#This Row],[Total PoP ]],WWWW[[#This Row],['# Functional hand washing stations during reporting period]]*100)</f>
        <v>244</v>
      </c>
      <c r="EA103" s="421" t="str">
        <f>IF(OR(WWWW[[#This Row],['#_students at TLS_CFS]]="",WWWW[[#This Row],['#_students at TLS_CFS]]=0),"No","Yes")</f>
        <v>No</v>
      </c>
      <c r="EB10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3" s="566">
        <f>WWWW[[#This Row],[%_of_affected_people_surveyed_who_report_feeling_satistfied_with_the_latrine_design_and_sanitation_service]]*WWWW[[#This Row],[Total PoP ]]</f>
        <v>0</v>
      </c>
      <c r="ED103" s="566">
        <f>WWWW[[#This Row],[%_of_affected_people_surveyed_who_report_feeling_satistfied_with_the_water_point_design_and_water_service]]*WWWW[[#This Row],[Total PoP ]]</f>
        <v>0</v>
      </c>
      <c r="EE103" s="566">
        <f>WWWW[[#This Row],[%_of_complaints_received_that_result_in_timely_corrective_action_and_feedback_to_the_community]]*WWWW[[#This Row],[Total PoP ]]</f>
        <v>0</v>
      </c>
      <c r="EF10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0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3" s="902" t="str">
        <f>VLOOKUP(WWWW[[#This Row],[Site Name]],SiteDB6[[Site Name]:[CCCM Management]],6,FALSE)</f>
        <v>Yes</v>
      </c>
      <c r="EJ103" s="902" t="str">
        <f>VLOOKUP(WWWW[[#This Row],[Site Name]],SiteDB6[[Site Name]:[CCCM Focal Agency]],7,FALSE)</f>
        <v>KBC-NSS</v>
      </c>
      <c r="EK103" s="902" t="str">
        <f>VLOOKUP(WWWW[[#This Row],[Site Name]],SiteDB6[[Site Name]:[Location Type 1]],9,FALSE)</f>
        <v>Camp</v>
      </c>
      <c r="EL103" s="902" t="str">
        <f>VLOOKUP(WWWW[[#This Row],[Site Name]],SiteDB6[[Site Name]:[Type of Accommodation]],10,FALSE)</f>
        <v>Camp</v>
      </c>
      <c r="EM103" s="902" t="str">
        <f>VLOOKUP(WWWW[[#This Row],[Site Name]],SiteDB6[[Site Name]:[Ethnic or GCA/NGCA]],11,FALSE)</f>
        <v>GCA</v>
      </c>
      <c r="EN103" s="902">
        <f>VLOOKUP(WWWW[[#This Row],[Site Name]],SiteDB6[[Site Name]:[Lat]],12,FALSE)</f>
        <v>23.450914000000001</v>
      </c>
      <c r="EO103" s="902">
        <f>VLOOKUP(WWWW[[#This Row],[Site Name]],SiteDB6[[Site Name]:[Long]],13,FALSE)</f>
        <v>97.926813999999993</v>
      </c>
      <c r="EP103" s="902" t="str">
        <f>VLOOKUP(WWWW[[#This Row],[Site Name]],SiteDB6[[Site Name]:[Pcode]],3,FALSE)</f>
        <v>MMR015CMP016</v>
      </c>
      <c r="EQ103" s="907" t="str">
        <f t="shared" si="1"/>
        <v>Covered</v>
      </c>
      <c r="ER103" s="907" t="s">
        <v>3126</v>
      </c>
      <c r="ES103" s="907" t="s">
        <v>3126</v>
      </c>
      <c r="ET103" s="902">
        <f>VLOOKUP(WWWW[[#This Row],[Site Name]],SiteDB6[[Site Name]:[Pop
(Kachin/Shan-CCCM as of May 2023)]],16,FALSE)</f>
        <v>39</v>
      </c>
      <c r="EU103" s="902">
        <f>VLOOKUP(WWWW[[#This Row],[Site Name]],SiteDB6[[Site Name]:[Pop
(Kachin/Shan-CCCM as of May 2023)]],17,FALSE)</f>
        <v>243</v>
      </c>
    </row>
    <row r="104" spans="1:151" hidden="1">
      <c r="A104" s="900" t="s">
        <v>2961</v>
      </c>
      <c r="B104" s="900" t="s">
        <v>192</v>
      </c>
      <c r="C104" s="901" t="s">
        <v>192</v>
      </c>
      <c r="D104" s="901" t="s">
        <v>2633</v>
      </c>
      <c r="E104" s="901" t="s">
        <v>515</v>
      </c>
      <c r="F104" s="901" t="s">
        <v>519</v>
      </c>
      <c r="G104" s="902" t="str">
        <f>VLOOKUP(WWWW[[#This Row],[Site Name]],SiteDB6[[Site Name]:[Location Type]],8,FALSE)</f>
        <v>Camp</v>
      </c>
      <c r="H104" s="901" t="s">
        <v>546</v>
      </c>
      <c r="I104" s="903">
        <v>38</v>
      </c>
      <c r="J104" s="903">
        <v>180</v>
      </c>
      <c r="K104" s="904">
        <v>44511</v>
      </c>
      <c r="L104" s="905">
        <v>44926</v>
      </c>
      <c r="M104" s="903"/>
      <c r="N104" s="903"/>
      <c r="O104" s="903"/>
      <c r="P104" s="903"/>
      <c r="Q104" s="906"/>
      <c r="R104" s="903">
        <v>4</v>
      </c>
      <c r="S104" s="903">
        <v>5</v>
      </c>
      <c r="T104" s="441">
        <v>1</v>
      </c>
      <c r="U104" s="903"/>
      <c r="V104" s="903"/>
      <c r="W104" s="903">
        <v>1</v>
      </c>
      <c r="X104" s="903"/>
      <c r="Y104" s="903"/>
      <c r="Z104" s="903"/>
      <c r="AA104" s="903"/>
      <c r="AB104" s="903"/>
      <c r="AC104" s="903"/>
      <c r="AD104" s="903"/>
      <c r="AE104" s="903"/>
      <c r="AF104" s="903"/>
      <c r="AG104" s="903"/>
      <c r="AH104" s="903"/>
      <c r="AI104" s="903"/>
      <c r="AJ104" s="903"/>
      <c r="AK104" s="903"/>
      <c r="AL104" s="903"/>
      <c r="AM104" s="903"/>
      <c r="AN104" s="903"/>
      <c r="AO104" s="441"/>
      <c r="AP104" s="907"/>
      <c r="AQ104" s="903">
        <v>9</v>
      </c>
      <c r="AR104" s="903"/>
      <c r="AS104" s="908"/>
      <c r="AT104" s="903"/>
      <c r="AU104" s="903"/>
      <c r="AV104" s="903"/>
      <c r="AW104" s="903"/>
      <c r="AX104" s="903"/>
      <c r="AY104" s="902" t="s">
        <v>41</v>
      </c>
      <c r="AZ104" s="907" t="s">
        <v>137</v>
      </c>
      <c r="BA104" s="903"/>
      <c r="BB104" s="903"/>
      <c r="BC104" s="903"/>
      <c r="BD104" s="441"/>
      <c r="BE104" s="441"/>
      <c r="BF104" s="902"/>
      <c r="BG104" s="903">
        <v>4</v>
      </c>
      <c r="BH104" s="903"/>
      <c r="BI104" s="903"/>
      <c r="BJ104" s="903">
        <v>2</v>
      </c>
      <c r="BK104" s="903"/>
      <c r="BL104" s="903"/>
      <c r="BM104" s="903">
        <v>1</v>
      </c>
      <c r="BN104" s="903"/>
      <c r="BO104" s="903"/>
      <c r="BP104" s="902" t="s">
        <v>41</v>
      </c>
      <c r="BQ104" s="909"/>
      <c r="BR104" s="908"/>
      <c r="BS104" s="902"/>
      <c r="BT104" s="416"/>
      <c r="BU104" s="416"/>
      <c r="BV104" s="418"/>
      <c r="BW104" s="416"/>
      <c r="BX104" s="441"/>
      <c r="BY104" s="441"/>
      <c r="BZ104" s="441"/>
      <c r="CA104" s="441"/>
      <c r="CB104" s="441"/>
      <c r="CC104" s="693"/>
      <c r="CD104" s="441"/>
      <c r="CE104" s="910" t="str">
        <f>IFERROR(WWWW[[#This Row],['#_Water sources passed]]/WWWW[[#This Row],['#_Water sources tested for fecal coliform ]],"no test")</f>
        <v>no test</v>
      </c>
      <c r="CF104" s="908" t="str">
        <f>IFERROR(WWWW[[#This Row],['#_Household passed]]/WWWW[[#This Row],['#_Household water samples tested for fecal coliform]],"no test")</f>
        <v>no test</v>
      </c>
      <c r="CG104" s="909" t="str">
        <f>IF(AND(WWWW[[#This Row],[% of water sources passed]]="no test",WWWW[[#This Row],[% Household passed]]="no test"),"No Test","Tested")</f>
        <v>No Test</v>
      </c>
      <c r="CH104" s="909">
        <f>WWWW[[#This Row],['#_Constructed/existing protected hand dug well]]-WWWW[[#This Row],['#_Non-functional protected hand dug well]]</f>
        <v>1</v>
      </c>
      <c r="CI104" s="909">
        <f>(WWWW[[#This Row],['#_Constructed/Existing tube wells/boreholes/handpumps_WASH_agency]]+WWWW[[#This Row],['#_Non-Cluster partner water tube-wells/boreholes/handpumps]])-WWWW[[#This Row],['#_Non-functional tube wells/boreholes/handpumps]]</f>
        <v>1</v>
      </c>
      <c r="CJ104" s="909">
        <f>WWWW[[#This Row],['#_Constructed/Existingwater storage tank with gravity fed reticulation system]]-WWWW[[#This Row],['#_Non-functional storage tank gravity fed reticulation system]]</f>
        <v>0</v>
      </c>
      <c r="CK104" s="909">
        <f>(WWWW[[#This Row],['#_Water_Liters_supplied_by_Water boating or water trucking]]/90)/15</f>
        <v>0</v>
      </c>
      <c r="CL104" s="909">
        <f>WWWW[[#This Row],['#_Water_Liters_from_Constructed/Existing water distribution system from river or natural spring]]/90/15</f>
        <v>0</v>
      </c>
      <c r="CM104" s="417">
        <f>IF(WWWW[[#This Row],['#_of water points in TLS/CFS]]*500&gt;WWWW[[#This Row],[Total PoP ]],WWWW[[#This Row],[Total PoP ]],WWWW[[#This Row],['#_of water points in TLS/CFS]]*500)</f>
        <v>0</v>
      </c>
      <c r="CN104" s="417">
        <f>IF(WWWW[[#This Row],['#_of water points in THF]]*500&gt;WWWW[[#This Row],[Total PoP ]],WWWW[[#This Row],[Total PoP ]],WWWW[[#This Row],['#_of water points in THF]]*500)</f>
        <v>0</v>
      </c>
      <c r="CO104" s="417"/>
      <c r="CP104"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04"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04" s="908">
        <f>IF(WWWW[[#This Row],[Location Type 1]]="Village",WWWW[[#This Row],[Access to safe drinking water for Village]],WWWW[[#This Row],[Access to safe drinking water for Camp]])</f>
        <v>1</v>
      </c>
      <c r="CS104" s="906">
        <f>WWWW[[#This Row],[%Equitable and continuous access to sufficient quantity of safe drinking water]]*WWWW[[#This Row],[Total PoP ]]</f>
        <v>180</v>
      </c>
      <c r="CT104" s="908">
        <f>IF((WWWW[[#This Row],['#_Constructed/Existing protected/fenced ponds]]*250)/WWWW[[#This Row],[Total PoP ]]&gt;1,1,(WWWW[[#This Row],['#_Constructed/Existing protected/fenced ponds]]*250)/WWWW[[#This Row],[Total PoP ]])</f>
        <v>0</v>
      </c>
      <c r="CU104" s="906">
        <f>WWWW[[#This Row],[% Access to unimproved water points]]*WWWW[[#This Row],[Total PoP ]]</f>
        <v>0</v>
      </c>
      <c r="CV104"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04"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180</v>
      </c>
      <c r="CX104" s="906">
        <f>WWWW[[#This Row],[HRP1]]/500</f>
        <v>0.36</v>
      </c>
      <c r="CY104" s="911">
        <f>1-WWWW[[#This Row],[% Equitable and continuous access to sufficient quantity of domestic water]]</f>
        <v>0</v>
      </c>
      <c r="CZ104" s="906">
        <f>WWWW[[#This Row],[%equitable and continuous access to sufficient quantity of safe drinking and domestic water''s GAP]]*WWWW[[#This Row],[Total PoP ]]</f>
        <v>0</v>
      </c>
      <c r="DA104" s="909">
        <f>IF(WWWW[[#This Row],[Total required water points]]-WWWW[[#This Row],['#Water points coverage]]&lt;0,0,WWWW[[#This Row],[Total required water points]]-WWWW[[#This Row],['#Water points coverage]])</f>
        <v>0.64</v>
      </c>
      <c r="DB104" s="909">
        <f>ROUND(IF(WWWW[[#This Row],[Total PoP ]]&lt;500,1,WWWW[[#This Row],[Total PoP ]]/500),0)</f>
        <v>1</v>
      </c>
      <c r="DC104" s="909">
        <f>(WWWW[[#This Row],['#_Constructed latrines_by_WASHAgencies]]+WWWW[[#This Row],['#_Non Cluster partner latrines]])-WWWW[[#This Row],['#_Non-functional latrines]]</f>
        <v>9</v>
      </c>
      <c r="DD104" s="615">
        <f>WWWW[[#This Row],[HRP2]]/WWWW[[#This Row],[Total PoP ]]</f>
        <v>1</v>
      </c>
      <c r="DE104"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180</v>
      </c>
      <c r="DF104"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4"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4" s="417">
        <f>IF(WWWW[[#This Row],['# of functional latrines in THF supported by WASH partners during the reporting period2]]="",0,WWWW[[#This Row],['# of functional latrines in THF supported by WASH partners during the reporting period2]]*50)</f>
        <v>0</v>
      </c>
      <c r="DI104" s="909">
        <f>ROUND(IF(WWWW[[#This Row],[Location Type 1]]="camp",WWWW[[#This Row],[Total PoP ]]/20,IF(WWWW[[#This Row],[Location Type 1]]="Temporary Location",WWWW[[#This Row],[Total PoP ]]/50,(WWWW[[#This Row],[Total PoP ]]/6))),0)</f>
        <v>9</v>
      </c>
      <c r="DJ104" s="909">
        <f>IF(WWWW[[#This Row],[Total required Latrines]]-(WWWW[[#This Row],['#_Constructed latrines_by_WASHAgencies]]+WWWW[[#This Row],['#_Non Cluster partner latrines]])&lt;0,0,WWWW[[#This Row],[Total required Latrines]]-(WWWW[[#This Row],['#_Constructed latrines_by_WASHAgencies]]+WWWW[[#This Row],['#_Non Cluster partner latrines]]))</f>
        <v>0</v>
      </c>
      <c r="DK104" s="911">
        <f>1-WWWW[[#This Row],[% people access to functioning Latrine]]</f>
        <v>0</v>
      </c>
      <c r="DL104" s="910">
        <f>IF(OR(WWWW[[#This Row],['#_Non-functional latrines]]="",WWWW[[#This Row],['#_Non-functional latrines]]=0),0,WWWW[[#This Row],['#_Non-functional latrines]]/(WWWW[[#This Row],['#_Constructed latrines_by_WASHAgencies]]+WWWW[[#This Row],['#_Non Cluster partner latrines]]))</f>
        <v>0</v>
      </c>
      <c r="DM104" s="906">
        <f>IF(500*(WWWW[[#This Row],['#_male hygiene promoters]]+WWWW[[#This Row],['#_female hygiene promoters]])&gt;WWWW[[#This Row],[Total PoP ]],WWWW[[#This Row],[Total PoP ]],500*(WWWW[[#This Row],['#_male hygiene promoters]]+WWWW[[#This Row],['#_female hygiene promoters]]))</f>
        <v>180</v>
      </c>
      <c r="DN104"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4"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4" s="909">
        <f>IF(WWWW[[#This Row],['# People with access to soap]]&gt;WWWW[[#This Row],['# People with access to Sanity Pads]],WWWW[[#This Row],['# People with access to soap]],WWWW[[#This Row],['# People with access to Sanity Pads]])</f>
        <v>0</v>
      </c>
      <c r="DQ104" s="909">
        <f>IF(WWWW[[#This Row],['# people reached by regular dedicated hygiene promotion_5]]&gt;WWWW[[#This Row],['# People received regular supply of hygiene items_6]],WWWW[[#This Row],['# people reached by regular dedicated hygiene promotion_5]],WWWW[[#This Row],['# People received regular supply of hygiene items_6]])</f>
        <v>180</v>
      </c>
      <c r="DR104" s="911">
        <f>IF(WWWW[[#This Row],[HRP3]]/WWWW[[#This Row],[Total PoP ]]&gt;1,1,WWWW[[#This Row],[HRP3]]/WWWW[[#This Row],[Total PoP ]])</f>
        <v>1</v>
      </c>
      <c r="DS104" s="910">
        <f>1-WWWW[[#This Row],[Hygiene Coverage%]]</f>
        <v>0</v>
      </c>
      <c r="DT104" s="908">
        <f>WWWW[[#This Row],['# people reached by regular dedicated hygiene promotion_5]]/WWWW[[#This Row],[Total PoP ]]</f>
        <v>1</v>
      </c>
      <c r="DU104"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4"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4" s="909">
        <f>WWWW[[#This Row],['#_Constructed/Existing hand washing stations]]-WWWW[[#This Row],['#_Non-Functional_hand_washing_stations]]</f>
        <v>4</v>
      </c>
      <c r="DX104" s="906">
        <f>IF(WWWW[[#This Row],['# Functional hand washing stations during reporting period]]*20&gt;WWWW[[#This Row],[Total HH]],WWWW[[#This Row],[Total HH]],WWWW[[#This Row],['# Functional hand washing stations during reporting period]]*20)</f>
        <v>38</v>
      </c>
      <c r="DY104" s="906">
        <f>IF(WWWW[[#This Row],[Is sufficient soap available for TLS? (Yes/No)]]="yes",WWWW[[#This Row],['#_Constructed/Existing hand washing stations at TLS/CFS/THF]],0)</f>
        <v>0</v>
      </c>
      <c r="DZ104" s="421">
        <f>IF(WWWW[[#This Row],['# Functional hand washing stations during reporting period]]*100&gt;WWWW[[#This Row],[Total PoP ]],WWWW[[#This Row],[Total PoP ]],WWWW[[#This Row],['# Functional hand washing stations during reporting period]]*100)</f>
        <v>180</v>
      </c>
      <c r="EA104" s="421" t="str">
        <f>IF(OR(WWWW[[#This Row],['#_students at TLS_CFS]]="",WWWW[[#This Row],['#_students at TLS_CFS]]=0),"No","Yes")</f>
        <v>No</v>
      </c>
      <c r="EB10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4" s="566">
        <f>WWWW[[#This Row],[%_of_affected_people_surveyed_who_report_feeling_satistfied_with_the_latrine_design_and_sanitation_service]]*WWWW[[#This Row],[Total PoP ]]</f>
        <v>0</v>
      </c>
      <c r="ED104" s="566">
        <f>WWWW[[#This Row],[%_of_affected_people_surveyed_who_report_feeling_satistfied_with_the_water_point_design_and_water_service]]*WWWW[[#This Row],[Total PoP ]]</f>
        <v>0</v>
      </c>
      <c r="EE104" s="566">
        <f>WWWW[[#This Row],[%_of_complaints_received_that_result_in_timely_corrective_action_and_feedback_to_the_community]]*WWWW[[#This Row],[Total PoP ]]</f>
        <v>0</v>
      </c>
      <c r="EF10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0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4" s="902" t="str">
        <f>VLOOKUP(WWWW[[#This Row],[Site Name]],SiteDB6[[Site Name]:[CCCM Management]],6,FALSE)</f>
        <v>Yes</v>
      </c>
      <c r="EJ104" s="902" t="str">
        <f>VLOOKUP(WWWW[[#This Row],[Site Name]],SiteDB6[[Site Name]:[CCCM Focal Agency]],7,FALSE)</f>
        <v>KBC-NSS</v>
      </c>
      <c r="EK104" s="902" t="str">
        <f>VLOOKUP(WWWW[[#This Row],[Site Name]],SiteDB6[[Site Name]:[Location Type 1]],9,FALSE)</f>
        <v>Camp</v>
      </c>
      <c r="EL104" s="902" t="str">
        <f>VLOOKUP(WWWW[[#This Row],[Site Name]],SiteDB6[[Site Name]:[Type of Accommodation]],10,FALSE)</f>
        <v>Camp</v>
      </c>
      <c r="EM104" s="902" t="str">
        <f>VLOOKUP(WWWW[[#This Row],[Site Name]],SiteDB6[[Site Name]:[Ethnic or GCA/NGCA]],11,FALSE)</f>
        <v>GCA</v>
      </c>
      <c r="EN104" s="902">
        <f>VLOOKUP(WWWW[[#This Row],[Site Name]],SiteDB6[[Site Name]:[Lat]],12,FALSE)</f>
        <v>23.460349999999998</v>
      </c>
      <c r="EO104" s="902">
        <f>VLOOKUP(WWWW[[#This Row],[Site Name]],SiteDB6[[Site Name]:[Long]],13,FALSE)</f>
        <v>97.947360000000003</v>
      </c>
      <c r="EP104" s="902" t="str">
        <f>VLOOKUP(WWWW[[#This Row],[Site Name]],SiteDB6[[Site Name]:[Pcode]],3,FALSE)</f>
        <v>MMR015CMP063</v>
      </c>
      <c r="EQ104" s="907" t="str">
        <f t="shared" si="1"/>
        <v>Covered</v>
      </c>
      <c r="ER104" s="907" t="s">
        <v>3126</v>
      </c>
      <c r="ES104" s="907" t="s">
        <v>3126</v>
      </c>
      <c r="ET104" s="902">
        <f>VLOOKUP(WWWW[[#This Row],[Site Name]],SiteDB6[[Site Name]:[Pop
(Kachin/Shan-CCCM as of May 2023)]],16,FALSE)</f>
        <v>34</v>
      </c>
      <c r="EU104" s="902">
        <f>VLOOKUP(WWWW[[#This Row],[Site Name]],SiteDB6[[Site Name]:[Pop
(Kachin/Shan-CCCM as of May 2023)]],17,FALSE)</f>
        <v>150</v>
      </c>
    </row>
    <row r="105" spans="1:151" hidden="1">
      <c r="A105" s="900" t="s">
        <v>2961</v>
      </c>
      <c r="B105" s="900" t="s">
        <v>192</v>
      </c>
      <c r="C105" s="901" t="s">
        <v>192</v>
      </c>
      <c r="D105" s="901" t="s">
        <v>2633</v>
      </c>
      <c r="E105" s="901" t="s">
        <v>515</v>
      </c>
      <c r="F105" s="901" t="s">
        <v>519</v>
      </c>
      <c r="G105" s="902" t="str">
        <f>VLOOKUP(WWWW[[#This Row],[Site Name]],SiteDB6[[Site Name]:[Location Type]],8,FALSE)</f>
        <v>Camp</v>
      </c>
      <c r="H105" s="901" t="s">
        <v>1611</v>
      </c>
      <c r="I105" s="903">
        <v>74</v>
      </c>
      <c r="J105" s="903">
        <v>502</v>
      </c>
      <c r="K105" s="904">
        <v>44511</v>
      </c>
      <c r="L105" s="905">
        <v>44926</v>
      </c>
      <c r="M105" s="903"/>
      <c r="N105" s="903"/>
      <c r="O105" s="903"/>
      <c r="P105" s="903"/>
      <c r="Q105" s="906"/>
      <c r="R105" s="903">
        <v>6</v>
      </c>
      <c r="S105" s="903">
        <v>3</v>
      </c>
      <c r="T105" s="441"/>
      <c r="U105" s="903"/>
      <c r="V105" s="903"/>
      <c r="W105" s="903"/>
      <c r="X105" s="903"/>
      <c r="Y105" s="903"/>
      <c r="Z105" s="903"/>
      <c r="AA105" s="903">
        <v>8</v>
      </c>
      <c r="AB105" s="903"/>
      <c r="AC105" s="903"/>
      <c r="AD105" s="903"/>
      <c r="AE105" s="903"/>
      <c r="AF105" s="903"/>
      <c r="AG105" s="903"/>
      <c r="AH105" s="903"/>
      <c r="AI105" s="903"/>
      <c r="AJ105" s="903"/>
      <c r="AK105" s="903"/>
      <c r="AL105" s="903"/>
      <c r="AM105" s="903">
        <v>1</v>
      </c>
      <c r="AN105" s="903">
        <v>2</v>
      </c>
      <c r="AO105" s="441"/>
      <c r="AP105" s="907"/>
      <c r="AQ105" s="903">
        <v>85</v>
      </c>
      <c r="AR105" s="903"/>
      <c r="AS105" s="908"/>
      <c r="AT105" s="903"/>
      <c r="AU105" s="903"/>
      <c r="AV105" s="903"/>
      <c r="AW105" s="903"/>
      <c r="AX105" s="903">
        <v>5</v>
      </c>
      <c r="AY105" s="902" t="s">
        <v>41</v>
      </c>
      <c r="AZ105" s="907" t="s">
        <v>899</v>
      </c>
      <c r="BA105" s="903"/>
      <c r="BB105" s="903"/>
      <c r="BC105" s="903"/>
      <c r="BD105" s="441"/>
      <c r="BE105" s="441"/>
      <c r="BF105" s="902"/>
      <c r="BG105" s="903">
        <v>2</v>
      </c>
      <c r="BH105" s="903"/>
      <c r="BI105" s="903"/>
      <c r="BJ105" s="903">
        <v>1</v>
      </c>
      <c r="BK105" s="903"/>
      <c r="BL105" s="903">
        <v>1</v>
      </c>
      <c r="BM105" s="903"/>
      <c r="BN105" s="903"/>
      <c r="BO105" s="903"/>
      <c r="BP105" s="902" t="s">
        <v>41</v>
      </c>
      <c r="BQ105" s="909"/>
      <c r="BR105" s="908"/>
      <c r="BS105" s="902"/>
      <c r="BT105" s="416"/>
      <c r="BU105" s="416"/>
      <c r="BV105" s="418"/>
      <c r="BW105" s="416"/>
      <c r="BX105" s="441"/>
      <c r="BY105" s="441"/>
      <c r="BZ105" s="441"/>
      <c r="CA105" s="441"/>
      <c r="CB105" s="441"/>
      <c r="CC105" s="693"/>
      <c r="CD105" s="441"/>
      <c r="CE105" s="910" t="str">
        <f>IFERROR(WWWW[[#This Row],['#_Water sources passed]]/WWWW[[#This Row],['#_Water sources tested for fecal coliform ]],"no test")</f>
        <v>no test</v>
      </c>
      <c r="CF105" s="908" t="str">
        <f>IFERROR(WWWW[[#This Row],['#_Household passed]]/WWWW[[#This Row],['#_Household water samples tested for fecal coliform]],"no test")</f>
        <v>no test</v>
      </c>
      <c r="CG105" s="909" t="str">
        <f>IF(AND(WWWW[[#This Row],[% of water sources passed]]="no test",WWWW[[#This Row],[% Household passed]]="no test"),"No Test","Tested")</f>
        <v>No Test</v>
      </c>
      <c r="CH105" s="909">
        <f>WWWW[[#This Row],['#_Constructed/existing protected hand dug well]]-WWWW[[#This Row],['#_Non-functional protected hand dug well]]</f>
        <v>0</v>
      </c>
      <c r="CI105" s="909">
        <f>(WWWW[[#This Row],['#_Constructed/Existing tube wells/boreholes/handpumps_WASH_agency]]+WWWW[[#This Row],['#_Non-Cluster partner water tube-wells/boreholes/handpumps]])-WWWW[[#This Row],['#_Non-functional tube wells/boreholes/handpumps]]</f>
        <v>0</v>
      </c>
      <c r="CJ105" s="909">
        <f>WWWW[[#This Row],['#_Constructed/Existingwater storage tank with gravity fed reticulation system]]-WWWW[[#This Row],['#_Non-functional storage tank gravity fed reticulation system]]</f>
        <v>8</v>
      </c>
      <c r="CK105" s="909">
        <f>(WWWW[[#This Row],['#_Water_Liters_supplied_by_Water boating or water trucking]]/90)/15</f>
        <v>0</v>
      </c>
      <c r="CL105" s="909">
        <f>WWWW[[#This Row],['#_Water_Liters_from_Constructed/Existing water distribution system from river or natural spring]]/90/15</f>
        <v>0</v>
      </c>
      <c r="CM105" s="417">
        <f>IF(WWWW[[#This Row],['#_of water points in TLS/CFS]]*500&gt;WWWW[[#This Row],[Total PoP ]],WWWW[[#This Row],[Total PoP ]],WWWW[[#This Row],['#_of water points in TLS/CFS]]*500)</f>
        <v>502</v>
      </c>
      <c r="CN105" s="417">
        <f>IF(WWWW[[#This Row],['#_of water points in THF]]*500&gt;WWWW[[#This Row],[Total PoP ]],WWWW[[#This Row],[Total PoP ]],WWWW[[#This Row],['#_of water points in THF]]*500)</f>
        <v>0</v>
      </c>
      <c r="CO105" s="417"/>
      <c r="CP105"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05"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05" s="908">
        <f>IF(WWWW[[#This Row],[Location Type 1]]="Village",WWWW[[#This Row],[Access to safe drinking water for Village]],WWWW[[#This Row],[Access to safe drinking water for Camp]])</f>
        <v>1</v>
      </c>
      <c r="CS105" s="906">
        <f>WWWW[[#This Row],[%Equitable and continuous access to sufficient quantity of safe drinking water]]*WWWW[[#This Row],[Total PoP ]]</f>
        <v>502</v>
      </c>
      <c r="CT105" s="908">
        <f>IF((WWWW[[#This Row],['#_Constructed/Existing protected/fenced ponds]]*250)/WWWW[[#This Row],[Total PoP ]]&gt;1,1,(WWWW[[#This Row],['#_Constructed/Existing protected/fenced ponds]]*250)/WWWW[[#This Row],[Total PoP ]])</f>
        <v>0</v>
      </c>
      <c r="CU105" s="906">
        <f>WWWW[[#This Row],[% Access to unimproved water points]]*WWWW[[#This Row],[Total PoP ]]</f>
        <v>0</v>
      </c>
      <c r="CV105"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05"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502</v>
      </c>
      <c r="CX105" s="906">
        <f>WWWW[[#This Row],[HRP1]]/500</f>
        <v>1.004</v>
      </c>
      <c r="CY105" s="911">
        <f>1-WWWW[[#This Row],[% Equitable and continuous access to sufficient quantity of domestic water]]</f>
        <v>0</v>
      </c>
      <c r="CZ105" s="906">
        <f>WWWW[[#This Row],[%equitable and continuous access to sufficient quantity of safe drinking and domestic water''s GAP]]*WWWW[[#This Row],[Total PoP ]]</f>
        <v>0</v>
      </c>
      <c r="DA105" s="909">
        <f>IF(WWWW[[#This Row],[Total required water points]]-WWWW[[#This Row],['#Water points coverage]]&lt;0,0,WWWW[[#This Row],[Total required water points]]-WWWW[[#This Row],['#Water points coverage]])</f>
        <v>0</v>
      </c>
      <c r="DB105" s="909">
        <f>ROUND(IF(WWWW[[#This Row],[Total PoP ]]&lt;500,1,WWWW[[#This Row],[Total PoP ]]/500),0)</f>
        <v>1</v>
      </c>
      <c r="DC105" s="909">
        <f>(WWWW[[#This Row],['#_Constructed latrines_by_WASHAgencies]]+WWWW[[#This Row],['#_Non Cluster partner latrines]])-WWWW[[#This Row],['#_Non-functional latrines]]</f>
        <v>85</v>
      </c>
      <c r="DD105" s="615">
        <f>WWWW[[#This Row],[HRP2]]/WWWW[[#This Row],[Total PoP ]]</f>
        <v>1</v>
      </c>
      <c r="DE105"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502</v>
      </c>
      <c r="DF105"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5"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5" s="417">
        <f>IF(WWWW[[#This Row],['# of functional latrines in THF supported by WASH partners during the reporting period2]]="",0,WWWW[[#This Row],['# of functional latrines in THF supported by WASH partners during the reporting period2]]*50)</f>
        <v>0</v>
      </c>
      <c r="DI105" s="909">
        <f>ROUND(IF(WWWW[[#This Row],[Location Type 1]]="camp",WWWW[[#This Row],[Total PoP ]]/20,IF(WWWW[[#This Row],[Location Type 1]]="Temporary Location",WWWW[[#This Row],[Total PoP ]]/50,(WWWW[[#This Row],[Total PoP ]]/6))),0)</f>
        <v>25</v>
      </c>
      <c r="DJ105" s="909">
        <f>IF(WWWW[[#This Row],[Total required Latrines]]-(WWWW[[#This Row],['#_Constructed latrines_by_WASHAgencies]]+WWWW[[#This Row],['#_Non Cluster partner latrines]])&lt;0,0,WWWW[[#This Row],[Total required Latrines]]-(WWWW[[#This Row],['#_Constructed latrines_by_WASHAgencies]]+WWWW[[#This Row],['#_Non Cluster partner latrines]]))</f>
        <v>0</v>
      </c>
      <c r="DK105" s="911">
        <f>1-WWWW[[#This Row],[% people access to functioning Latrine]]</f>
        <v>0</v>
      </c>
      <c r="DL105" s="910">
        <f>IF(OR(WWWW[[#This Row],['#_Non-functional latrines]]="",WWWW[[#This Row],['#_Non-functional latrines]]=0),0,WWWW[[#This Row],['#_Non-functional latrines]]/(WWWW[[#This Row],['#_Constructed latrines_by_WASHAgencies]]+WWWW[[#This Row],['#_Non Cluster partner latrines]]))</f>
        <v>0</v>
      </c>
      <c r="DM105" s="906">
        <f>IF(500*(WWWW[[#This Row],['#_male hygiene promoters]]+WWWW[[#This Row],['#_female hygiene promoters]])&gt;WWWW[[#This Row],[Total PoP ]],WWWW[[#This Row],[Total PoP ]],500*(WWWW[[#This Row],['#_male hygiene promoters]]+WWWW[[#This Row],['#_female hygiene promoters]]))</f>
        <v>500</v>
      </c>
      <c r="DN105"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5"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5" s="909">
        <f>IF(WWWW[[#This Row],['# People with access to soap]]&gt;WWWW[[#This Row],['# People with access to Sanity Pads]],WWWW[[#This Row],['# People with access to soap]],WWWW[[#This Row],['# People with access to Sanity Pads]])</f>
        <v>0</v>
      </c>
      <c r="DQ105" s="909">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105" s="911">
        <f>IF(WWWW[[#This Row],[HRP3]]/WWWW[[#This Row],[Total PoP ]]&gt;1,1,WWWW[[#This Row],[HRP3]]/WWWW[[#This Row],[Total PoP ]])</f>
        <v>0.99601593625498008</v>
      </c>
      <c r="DS105" s="910">
        <f>1-WWWW[[#This Row],[Hygiene Coverage%]]</f>
        <v>3.9840637450199168E-3</v>
      </c>
      <c r="DT105" s="908">
        <f>WWWW[[#This Row],['# people reached by regular dedicated hygiene promotion_5]]/WWWW[[#This Row],[Total PoP ]]</f>
        <v>0.99601593625498008</v>
      </c>
      <c r="DU105"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5"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5" s="909">
        <f>WWWW[[#This Row],['#_Constructed/Existing hand washing stations]]-WWWW[[#This Row],['#_Non-Functional_hand_washing_stations]]</f>
        <v>2</v>
      </c>
      <c r="DX105" s="906">
        <f>IF(WWWW[[#This Row],['# Functional hand washing stations during reporting period]]*20&gt;WWWW[[#This Row],[Total HH]],WWWW[[#This Row],[Total HH]],WWWW[[#This Row],['# Functional hand washing stations during reporting period]]*20)</f>
        <v>40</v>
      </c>
      <c r="DY105" s="906">
        <f>IF(WWWW[[#This Row],[Is sufficient soap available for TLS? (Yes/No)]]="yes",WWWW[[#This Row],['#_Constructed/Existing hand washing stations at TLS/CFS/THF]],0)</f>
        <v>1</v>
      </c>
      <c r="DZ105" s="421">
        <f>IF(WWWW[[#This Row],['# Functional hand washing stations during reporting period]]*100&gt;WWWW[[#This Row],[Total PoP ]],WWWW[[#This Row],[Total PoP ]],WWWW[[#This Row],['# Functional hand washing stations during reporting period]]*100)</f>
        <v>200</v>
      </c>
      <c r="EA105" s="421" t="str">
        <f>IF(OR(WWWW[[#This Row],['#_students at TLS_CFS]]="",WWWW[[#This Row],['#_students at TLS_CFS]]=0),"No","Yes")</f>
        <v>No</v>
      </c>
      <c r="EB10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5" s="566">
        <f>WWWW[[#This Row],[%_of_affected_people_surveyed_who_report_feeling_satistfied_with_the_latrine_design_and_sanitation_service]]*WWWW[[#This Row],[Total PoP ]]</f>
        <v>0</v>
      </c>
      <c r="ED105" s="566">
        <f>WWWW[[#This Row],[%_of_affected_people_surveyed_who_report_feeling_satistfied_with_the_water_point_design_and_water_service]]*WWWW[[#This Row],[Total PoP ]]</f>
        <v>0</v>
      </c>
      <c r="EE105" s="566">
        <f>WWWW[[#This Row],[%_of_complaints_received_that_result_in_timely_corrective_action_and_feedback_to_the_community]]*WWWW[[#This Row],[Total PoP ]]</f>
        <v>0</v>
      </c>
      <c r="EF10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502</v>
      </c>
      <c r="EH10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5" s="902" t="str">
        <f>VLOOKUP(WWWW[[#This Row],[Site Name]],SiteDB6[[Site Name]:[CCCM Management]],6,FALSE)</f>
        <v>Yes</v>
      </c>
      <c r="EJ105" s="902" t="str">
        <f>VLOOKUP(WWWW[[#This Row],[Site Name]],SiteDB6[[Site Name]:[CCCM Focal Agency]],7,FALSE)</f>
        <v>KMSS-LSO</v>
      </c>
      <c r="EK105" s="902" t="str">
        <f>VLOOKUP(WWWW[[#This Row],[Site Name]],SiteDB6[[Site Name]:[Location Type 1]],9,FALSE)</f>
        <v>Camp</v>
      </c>
      <c r="EL105" s="902" t="str">
        <f>VLOOKUP(WWWW[[#This Row],[Site Name]],SiteDB6[[Site Name]:[Type of Accommodation]],10,FALSE)</f>
        <v>Camp</v>
      </c>
      <c r="EM105" s="902" t="str">
        <f>VLOOKUP(WWWW[[#This Row],[Site Name]],SiteDB6[[Site Name]:[Ethnic or GCA/NGCA]],11,FALSE)</f>
        <v>GCA</v>
      </c>
      <c r="EN105" s="902">
        <f>VLOOKUP(WWWW[[#This Row],[Site Name]],SiteDB6[[Site Name]:[Lat]],12,FALSE)</f>
        <v>23.591999999999999</v>
      </c>
      <c r="EO105" s="902">
        <f>VLOOKUP(WWWW[[#This Row],[Site Name]],SiteDB6[[Site Name]:[Long]],13,FALSE)</f>
        <v>97.796999999999997</v>
      </c>
      <c r="EP105" s="902" t="str">
        <f>VLOOKUP(WWWW[[#This Row],[Site Name]],SiteDB6[[Site Name]:[Pcode]],3,FALSE)</f>
        <v>MMR015CMP038</v>
      </c>
      <c r="EQ105" s="907" t="str">
        <f t="shared" si="1"/>
        <v>Covered</v>
      </c>
      <c r="ER105" s="907" t="s">
        <v>3126</v>
      </c>
      <c r="ES105" s="907" t="s">
        <v>3126</v>
      </c>
      <c r="ET105" s="902">
        <f>VLOOKUP(WWWW[[#This Row],[Site Name]],SiteDB6[[Site Name]:[Pop
(Kachin/Shan-CCCM as of May 2023)]],16,FALSE)</f>
        <v>72</v>
      </c>
      <c r="EU105" s="902">
        <f>VLOOKUP(WWWW[[#This Row],[Site Name]],SiteDB6[[Site Name]:[Pop
(Kachin/Shan-CCCM as of May 2023)]],17,FALSE)</f>
        <v>376</v>
      </c>
    </row>
    <row r="106" spans="1:151" hidden="1">
      <c r="A106" s="900" t="s">
        <v>2961</v>
      </c>
      <c r="B106" s="900" t="s">
        <v>192</v>
      </c>
      <c r="C106" s="901" t="s">
        <v>192</v>
      </c>
      <c r="D106" s="901" t="s">
        <v>2633</v>
      </c>
      <c r="E106" s="901" t="s">
        <v>515</v>
      </c>
      <c r="F106" s="901" t="s">
        <v>519</v>
      </c>
      <c r="G106" s="902" t="str">
        <f>VLOOKUP(WWWW[[#This Row],[Site Name]],SiteDB6[[Site Name]:[Location Type]],8,FALSE)</f>
        <v>Camp</v>
      </c>
      <c r="H106" s="901" t="s">
        <v>554</v>
      </c>
      <c r="I106" s="903">
        <v>26</v>
      </c>
      <c r="J106" s="903">
        <v>104</v>
      </c>
      <c r="K106" s="904">
        <v>44511</v>
      </c>
      <c r="L106" s="905">
        <v>44926</v>
      </c>
      <c r="M106" s="903"/>
      <c r="N106" s="903"/>
      <c r="O106" s="903"/>
      <c r="P106" s="903"/>
      <c r="Q106" s="906"/>
      <c r="R106" s="903"/>
      <c r="S106" s="903"/>
      <c r="T106" s="441"/>
      <c r="U106" s="903"/>
      <c r="V106" s="903"/>
      <c r="W106" s="903"/>
      <c r="X106" s="903">
        <v>1</v>
      </c>
      <c r="Y106" s="903"/>
      <c r="Z106" s="903"/>
      <c r="AA106" s="903"/>
      <c r="AB106" s="903"/>
      <c r="AC106" s="903"/>
      <c r="AD106" s="903"/>
      <c r="AE106" s="903"/>
      <c r="AF106" s="903"/>
      <c r="AG106" s="903"/>
      <c r="AH106" s="903"/>
      <c r="AI106" s="903"/>
      <c r="AJ106" s="903"/>
      <c r="AK106" s="903"/>
      <c r="AL106" s="903"/>
      <c r="AM106" s="903"/>
      <c r="AN106" s="903"/>
      <c r="AO106" s="441"/>
      <c r="AP106" s="907"/>
      <c r="AQ106" s="903">
        <v>4</v>
      </c>
      <c r="AR106" s="903"/>
      <c r="AS106" s="908"/>
      <c r="AT106" s="903"/>
      <c r="AU106" s="903"/>
      <c r="AV106" s="903"/>
      <c r="AW106" s="903"/>
      <c r="AX106" s="903"/>
      <c r="AY106" s="902" t="s">
        <v>140</v>
      </c>
      <c r="AZ106" s="907" t="s">
        <v>140</v>
      </c>
      <c r="BA106" s="903"/>
      <c r="BB106" s="903"/>
      <c r="BC106" s="903"/>
      <c r="BD106" s="441"/>
      <c r="BE106" s="441"/>
      <c r="BF106" s="902"/>
      <c r="BG106" s="903">
        <v>8</v>
      </c>
      <c r="BH106" s="903"/>
      <c r="BI106" s="903"/>
      <c r="BJ106" s="903">
        <v>3</v>
      </c>
      <c r="BK106" s="903"/>
      <c r="BL106" s="903"/>
      <c r="BM106" s="903"/>
      <c r="BN106" s="903"/>
      <c r="BO106" s="903"/>
      <c r="BP106" s="902" t="s">
        <v>41</v>
      </c>
      <c r="BQ106" s="909"/>
      <c r="BR106" s="908"/>
      <c r="BS106" s="902"/>
      <c r="BT106" s="416"/>
      <c r="BU106" s="416"/>
      <c r="BV106" s="418"/>
      <c r="BW106" s="416"/>
      <c r="BX106" s="441"/>
      <c r="BY106" s="441"/>
      <c r="BZ106" s="441"/>
      <c r="CA106" s="441"/>
      <c r="CB106" s="441"/>
      <c r="CC106" s="693"/>
      <c r="CD106" s="441"/>
      <c r="CE106" s="910" t="str">
        <f>IFERROR(WWWW[[#This Row],['#_Water sources passed]]/WWWW[[#This Row],['#_Water sources tested for fecal coliform ]],"no test")</f>
        <v>no test</v>
      </c>
      <c r="CF106" s="908" t="str">
        <f>IFERROR(WWWW[[#This Row],['#_Household passed]]/WWWW[[#This Row],['#_Household water samples tested for fecal coliform]],"no test")</f>
        <v>no test</v>
      </c>
      <c r="CG106" s="909" t="str">
        <f>IF(AND(WWWW[[#This Row],[% of water sources passed]]="no test",WWWW[[#This Row],[% Household passed]]="no test"),"No Test","Tested")</f>
        <v>No Test</v>
      </c>
      <c r="CH106" s="909">
        <f>WWWW[[#This Row],['#_Constructed/existing protected hand dug well]]-WWWW[[#This Row],['#_Non-functional protected hand dug well]]</f>
        <v>0</v>
      </c>
      <c r="CI106" s="909">
        <f>(WWWW[[#This Row],['#_Constructed/Existing tube wells/boreholes/handpumps_WASH_agency]]+WWWW[[#This Row],['#_Non-Cluster partner water tube-wells/boreholes/handpumps]])-WWWW[[#This Row],['#_Non-functional tube wells/boreholes/handpumps]]</f>
        <v>1</v>
      </c>
      <c r="CJ106" s="909">
        <f>WWWW[[#This Row],['#_Constructed/Existingwater storage tank with gravity fed reticulation system]]-WWWW[[#This Row],['#_Non-functional storage tank gravity fed reticulation system]]</f>
        <v>0</v>
      </c>
      <c r="CK106" s="909">
        <f>(WWWW[[#This Row],['#_Water_Liters_supplied_by_Water boating or water trucking]]/90)/15</f>
        <v>0</v>
      </c>
      <c r="CL106" s="909">
        <f>WWWW[[#This Row],['#_Water_Liters_from_Constructed/Existing water distribution system from river or natural spring]]/90/15</f>
        <v>0</v>
      </c>
      <c r="CM106" s="417">
        <f>IF(WWWW[[#This Row],['#_of water points in TLS/CFS]]*500&gt;WWWW[[#This Row],[Total PoP ]],WWWW[[#This Row],[Total PoP ]],WWWW[[#This Row],['#_of water points in TLS/CFS]]*500)</f>
        <v>0</v>
      </c>
      <c r="CN106" s="417">
        <f>IF(WWWW[[#This Row],['#_of water points in THF]]*500&gt;WWWW[[#This Row],[Total PoP ]],WWWW[[#This Row],[Total PoP ]],WWWW[[#This Row],['#_of water points in THF]]*500)</f>
        <v>0</v>
      </c>
      <c r="CO106" s="417"/>
      <c r="CP106"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06"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06" s="908">
        <f>IF(WWWW[[#This Row],[Location Type 1]]="Village",WWWW[[#This Row],[Access to safe drinking water for Village]],WWWW[[#This Row],[Access to safe drinking water for Camp]])</f>
        <v>1</v>
      </c>
      <c r="CS106" s="906">
        <f>WWWW[[#This Row],[%Equitable and continuous access to sufficient quantity of safe drinking water]]*WWWW[[#This Row],[Total PoP ]]</f>
        <v>104</v>
      </c>
      <c r="CT106" s="908">
        <f>IF((WWWW[[#This Row],['#_Constructed/Existing protected/fenced ponds]]*250)/WWWW[[#This Row],[Total PoP ]]&gt;1,1,(WWWW[[#This Row],['#_Constructed/Existing protected/fenced ponds]]*250)/WWWW[[#This Row],[Total PoP ]])</f>
        <v>0</v>
      </c>
      <c r="CU106" s="906">
        <f>WWWW[[#This Row],[% Access to unimproved water points]]*WWWW[[#This Row],[Total PoP ]]</f>
        <v>0</v>
      </c>
      <c r="CV106"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06"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104</v>
      </c>
      <c r="CX106" s="906">
        <f>WWWW[[#This Row],[HRP1]]/500</f>
        <v>0.20799999999999999</v>
      </c>
      <c r="CY106" s="911">
        <f>1-WWWW[[#This Row],[% Equitable and continuous access to sufficient quantity of domestic water]]</f>
        <v>0</v>
      </c>
      <c r="CZ106" s="906">
        <f>WWWW[[#This Row],[%equitable and continuous access to sufficient quantity of safe drinking and domestic water''s GAP]]*WWWW[[#This Row],[Total PoP ]]</f>
        <v>0</v>
      </c>
      <c r="DA106" s="909">
        <f>IF(WWWW[[#This Row],[Total required water points]]-WWWW[[#This Row],['#Water points coverage]]&lt;0,0,WWWW[[#This Row],[Total required water points]]-WWWW[[#This Row],['#Water points coverage]])</f>
        <v>0.79200000000000004</v>
      </c>
      <c r="DB106" s="909">
        <f>ROUND(IF(WWWW[[#This Row],[Total PoP ]]&lt;500,1,WWWW[[#This Row],[Total PoP ]]/500),0)</f>
        <v>1</v>
      </c>
      <c r="DC106" s="909">
        <f>(WWWW[[#This Row],['#_Constructed latrines_by_WASHAgencies]]+WWWW[[#This Row],['#_Non Cluster partner latrines]])-WWWW[[#This Row],['#_Non-functional latrines]]</f>
        <v>4</v>
      </c>
      <c r="DD106" s="615">
        <f>WWWW[[#This Row],[HRP2]]/WWWW[[#This Row],[Total PoP ]]</f>
        <v>0.76923076923076927</v>
      </c>
      <c r="DE106"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80</v>
      </c>
      <c r="DF106"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6"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6" s="417">
        <f>IF(WWWW[[#This Row],['# of functional latrines in THF supported by WASH partners during the reporting period2]]="",0,WWWW[[#This Row],['# of functional latrines in THF supported by WASH partners during the reporting period2]]*50)</f>
        <v>0</v>
      </c>
      <c r="DI106" s="909">
        <f>ROUND(IF(WWWW[[#This Row],[Location Type 1]]="camp",WWWW[[#This Row],[Total PoP ]]/20,IF(WWWW[[#This Row],[Location Type 1]]="Temporary Location",WWWW[[#This Row],[Total PoP ]]/50,(WWWW[[#This Row],[Total PoP ]]/6))),0)</f>
        <v>5</v>
      </c>
      <c r="DJ106" s="909">
        <f>IF(WWWW[[#This Row],[Total required Latrines]]-(WWWW[[#This Row],['#_Constructed latrines_by_WASHAgencies]]+WWWW[[#This Row],['#_Non Cluster partner latrines]])&lt;0,0,WWWW[[#This Row],[Total required Latrines]]-(WWWW[[#This Row],['#_Constructed latrines_by_WASHAgencies]]+WWWW[[#This Row],['#_Non Cluster partner latrines]]))</f>
        <v>1</v>
      </c>
      <c r="DK106" s="911">
        <f>1-WWWW[[#This Row],[% people access to functioning Latrine]]</f>
        <v>0.23076923076923073</v>
      </c>
      <c r="DL106" s="910">
        <f>IF(OR(WWWW[[#This Row],['#_Non-functional latrines]]="",WWWW[[#This Row],['#_Non-functional latrines]]=0),0,WWWW[[#This Row],['#_Non-functional latrines]]/(WWWW[[#This Row],['#_Constructed latrines_by_WASHAgencies]]+WWWW[[#This Row],['#_Non Cluster partner latrines]]))</f>
        <v>0</v>
      </c>
      <c r="DM106" s="906">
        <f>IF(500*(WWWW[[#This Row],['#_male hygiene promoters]]+WWWW[[#This Row],['#_female hygiene promoters]])&gt;WWWW[[#This Row],[Total PoP ]],WWWW[[#This Row],[Total PoP ]],500*(WWWW[[#This Row],['#_male hygiene promoters]]+WWWW[[#This Row],['#_female hygiene promoters]]))</f>
        <v>0</v>
      </c>
      <c r="DN106"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6"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6" s="909">
        <f>IF(WWWW[[#This Row],['# People with access to soap]]&gt;WWWW[[#This Row],['# People with access to Sanity Pads]],WWWW[[#This Row],['# People with access to soap]],WWWW[[#This Row],['# People with access to Sanity Pads]])</f>
        <v>0</v>
      </c>
      <c r="DQ106"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06" s="911">
        <f>IF(WWWW[[#This Row],[HRP3]]/WWWW[[#This Row],[Total PoP ]]&gt;1,1,WWWW[[#This Row],[HRP3]]/WWWW[[#This Row],[Total PoP ]])</f>
        <v>0</v>
      </c>
      <c r="DS106" s="910">
        <f>1-WWWW[[#This Row],[Hygiene Coverage%]]</f>
        <v>1</v>
      </c>
      <c r="DT106" s="908">
        <f>WWWW[[#This Row],['# people reached by regular dedicated hygiene promotion_5]]/WWWW[[#This Row],[Total PoP ]]</f>
        <v>0</v>
      </c>
      <c r="DU106"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6"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6" s="909">
        <f>WWWW[[#This Row],['#_Constructed/Existing hand washing stations]]-WWWW[[#This Row],['#_Non-Functional_hand_washing_stations]]</f>
        <v>8</v>
      </c>
      <c r="DX106" s="906">
        <f>IF(WWWW[[#This Row],['# Functional hand washing stations during reporting period]]*20&gt;WWWW[[#This Row],[Total HH]],WWWW[[#This Row],[Total HH]],WWWW[[#This Row],['# Functional hand washing stations during reporting period]]*20)</f>
        <v>26</v>
      </c>
      <c r="DY106" s="906">
        <f>IF(WWWW[[#This Row],[Is sufficient soap available for TLS? (Yes/No)]]="yes",WWWW[[#This Row],['#_Constructed/Existing hand washing stations at TLS/CFS/THF]],0)</f>
        <v>0</v>
      </c>
      <c r="DZ106" s="421">
        <f>IF(WWWW[[#This Row],['# Functional hand washing stations during reporting period]]*100&gt;WWWW[[#This Row],[Total PoP ]],WWWW[[#This Row],[Total PoP ]],WWWW[[#This Row],['# Functional hand washing stations during reporting period]]*100)</f>
        <v>104</v>
      </c>
      <c r="EA106" s="421" t="str">
        <f>IF(OR(WWWW[[#This Row],['#_students at TLS_CFS]]="",WWWW[[#This Row],['#_students at TLS_CFS]]=0),"No","Yes")</f>
        <v>No</v>
      </c>
      <c r="EB10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6" s="566">
        <f>WWWW[[#This Row],[%_of_affected_people_surveyed_who_report_feeling_satistfied_with_the_latrine_design_and_sanitation_service]]*WWWW[[#This Row],[Total PoP ]]</f>
        <v>0</v>
      </c>
      <c r="ED106" s="566">
        <f>WWWW[[#This Row],[%_of_affected_people_surveyed_who_report_feeling_satistfied_with_the_water_point_design_and_water_service]]*WWWW[[#This Row],[Total PoP ]]</f>
        <v>0</v>
      </c>
      <c r="EE106" s="566">
        <f>WWWW[[#This Row],[%_of_complaints_received_that_result_in_timely_corrective_action_and_feedback_to_the_community]]*WWWW[[#This Row],[Total PoP ]]</f>
        <v>0</v>
      </c>
      <c r="EF10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0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6" s="902">
        <f>VLOOKUP(WWWW[[#This Row],[Site Name]],SiteDB6[[Site Name]:[CCCM Management]],6,FALSE)</f>
        <v>0</v>
      </c>
      <c r="EJ106" s="902" t="str">
        <f>VLOOKUP(WWWW[[#This Row],[Site Name]],SiteDB6[[Site Name]:[CCCM Focal Agency]],7,FALSE)</f>
        <v>uncovered</v>
      </c>
      <c r="EK106" s="902" t="str">
        <f>VLOOKUP(WWWW[[#This Row],[Site Name]],SiteDB6[[Site Name]:[Location Type 1]],9,FALSE)</f>
        <v>Camp</v>
      </c>
      <c r="EL106" s="902" t="str">
        <f>VLOOKUP(WWWW[[#This Row],[Site Name]],SiteDB6[[Site Name]:[Type of Accommodation]],10,FALSE)</f>
        <v>Closed Camp</v>
      </c>
      <c r="EM106" s="902" t="str">
        <f>VLOOKUP(WWWW[[#This Row],[Site Name]],SiteDB6[[Site Name]:[Ethnic or GCA/NGCA]],11,FALSE)</f>
        <v>GCA</v>
      </c>
      <c r="EN106" s="902">
        <f>VLOOKUP(WWWW[[#This Row],[Site Name]],SiteDB6[[Site Name]:[Lat]],12,FALSE)</f>
        <v>23.621317999999999</v>
      </c>
      <c r="EO106" s="902">
        <f>VLOOKUP(WWWW[[#This Row],[Site Name]],SiteDB6[[Site Name]:[Long]],13,FALSE)</f>
        <v>97.795981999999995</v>
      </c>
      <c r="EP106" s="902" t="str">
        <f>VLOOKUP(WWWW[[#This Row],[Site Name]],SiteDB6[[Site Name]:[Pcode]],3,FALSE)</f>
        <v>MMR015CMP064</v>
      </c>
      <c r="EQ106" s="907" t="str">
        <f t="shared" si="1"/>
        <v>Covered</v>
      </c>
      <c r="ER106" s="907" t="s">
        <v>3126</v>
      </c>
      <c r="ES106" s="907" t="s">
        <v>3126</v>
      </c>
      <c r="ET106" s="902">
        <f>VLOOKUP(WWWW[[#This Row],[Site Name]],SiteDB6[[Site Name]:[Pop
(Kachin/Shan-CCCM as of May 2023)]],16,FALSE)</f>
        <v>24</v>
      </c>
      <c r="EU106" s="902">
        <f>VLOOKUP(WWWW[[#This Row],[Site Name]],SiteDB6[[Site Name]:[Pop
(Kachin/Shan-CCCM as of May 2023)]],17,FALSE)</f>
        <v>84</v>
      </c>
    </row>
    <row r="107" spans="1:151" hidden="1">
      <c r="A107" s="900" t="s">
        <v>2961</v>
      </c>
      <c r="B107" s="900" t="s">
        <v>192</v>
      </c>
      <c r="C107" s="901" t="s">
        <v>192</v>
      </c>
      <c r="D107" s="901" t="s">
        <v>2633</v>
      </c>
      <c r="E107" s="901" t="s">
        <v>515</v>
      </c>
      <c r="F107" s="901" t="s">
        <v>519</v>
      </c>
      <c r="G107" s="902" t="str">
        <f>VLOOKUP(WWWW[[#This Row],[Site Name]],SiteDB6[[Site Name]:[Location Type]],8,FALSE)</f>
        <v>Camp</v>
      </c>
      <c r="H107" s="901" t="s">
        <v>1612</v>
      </c>
      <c r="I107" s="903">
        <v>64</v>
      </c>
      <c r="J107" s="903">
        <v>251</v>
      </c>
      <c r="K107" s="904">
        <v>44511</v>
      </c>
      <c r="L107" s="905">
        <v>44926</v>
      </c>
      <c r="M107" s="903"/>
      <c r="N107" s="903">
        <v>1</v>
      </c>
      <c r="O107" s="903"/>
      <c r="P107" s="903"/>
      <c r="Q107" s="906" t="s">
        <v>41</v>
      </c>
      <c r="R107" s="903">
        <v>4</v>
      </c>
      <c r="S107" s="903">
        <v>5</v>
      </c>
      <c r="T107" s="441"/>
      <c r="U107" s="903"/>
      <c r="V107" s="903"/>
      <c r="W107" s="903"/>
      <c r="X107" s="903"/>
      <c r="Y107" s="903"/>
      <c r="Z107" s="903"/>
      <c r="AA107" s="903">
        <v>14</v>
      </c>
      <c r="AB107" s="903"/>
      <c r="AC107" s="903"/>
      <c r="AD107" s="903"/>
      <c r="AE107" s="903"/>
      <c r="AF107" s="903"/>
      <c r="AG107" s="903"/>
      <c r="AH107" s="903">
        <v>1</v>
      </c>
      <c r="AI107" s="903"/>
      <c r="AJ107" s="903"/>
      <c r="AK107" s="903"/>
      <c r="AL107" s="903"/>
      <c r="AM107" s="903">
        <v>3</v>
      </c>
      <c r="AN107" s="903"/>
      <c r="AO107" s="441"/>
      <c r="AP107" s="907"/>
      <c r="AQ107" s="903">
        <v>71</v>
      </c>
      <c r="AR107" s="903"/>
      <c r="AS107" s="908"/>
      <c r="AT107" s="903"/>
      <c r="AU107" s="903"/>
      <c r="AV107" s="903"/>
      <c r="AW107" s="903"/>
      <c r="AX107" s="903"/>
      <c r="AY107" s="902" t="s">
        <v>136</v>
      </c>
      <c r="AZ107" s="907" t="s">
        <v>899</v>
      </c>
      <c r="BA107" s="903"/>
      <c r="BB107" s="903"/>
      <c r="BC107" s="903">
        <v>4</v>
      </c>
      <c r="BD107" s="441"/>
      <c r="BE107" s="441"/>
      <c r="BF107" s="902"/>
      <c r="BG107" s="903">
        <v>5</v>
      </c>
      <c r="BH107" s="903"/>
      <c r="BI107" s="903"/>
      <c r="BJ107" s="903">
        <v>3</v>
      </c>
      <c r="BK107" s="903"/>
      <c r="BL107" s="903">
        <v>1</v>
      </c>
      <c r="BM107" s="903"/>
      <c r="BN107" s="903"/>
      <c r="BO107" s="903"/>
      <c r="BP107" s="902" t="s">
        <v>41</v>
      </c>
      <c r="BQ107" s="909"/>
      <c r="BR107" s="908"/>
      <c r="BS107" s="902"/>
      <c r="BT107" s="416"/>
      <c r="BU107" s="416"/>
      <c r="BV107" s="418"/>
      <c r="BW107" s="416"/>
      <c r="BX107" s="441"/>
      <c r="BY107" s="441"/>
      <c r="BZ107" s="441"/>
      <c r="CA107" s="441"/>
      <c r="CB107" s="441"/>
      <c r="CC107" s="693"/>
      <c r="CD107" s="441"/>
      <c r="CE107" s="910" t="str">
        <f>IFERROR(WWWW[[#This Row],['#_Water sources passed]]/WWWW[[#This Row],['#_Water sources tested for fecal coliform ]],"no test")</f>
        <v>no test</v>
      </c>
      <c r="CF107" s="908" t="str">
        <f>IFERROR(WWWW[[#This Row],['#_Household passed]]/WWWW[[#This Row],['#_Household water samples tested for fecal coliform]],"no test")</f>
        <v>no test</v>
      </c>
      <c r="CG107" s="909" t="str">
        <f>IF(AND(WWWW[[#This Row],[% of water sources passed]]="no test",WWWW[[#This Row],[% Household passed]]="no test"),"No Test","Tested")</f>
        <v>No Test</v>
      </c>
      <c r="CH107" s="909">
        <f>WWWW[[#This Row],['#_Constructed/existing protected hand dug well]]-WWWW[[#This Row],['#_Non-functional protected hand dug well]]</f>
        <v>0</v>
      </c>
      <c r="CI107" s="909">
        <f>(WWWW[[#This Row],['#_Constructed/Existing tube wells/boreholes/handpumps_WASH_agency]]+WWWW[[#This Row],['#_Non-Cluster partner water tube-wells/boreholes/handpumps]])-WWWW[[#This Row],['#_Non-functional tube wells/boreholes/handpumps]]</f>
        <v>0</v>
      </c>
      <c r="CJ107" s="909">
        <f>WWWW[[#This Row],['#_Constructed/Existingwater storage tank with gravity fed reticulation system]]-WWWW[[#This Row],['#_Non-functional storage tank gravity fed reticulation system]]</f>
        <v>14</v>
      </c>
      <c r="CK107" s="909">
        <f>(WWWW[[#This Row],['#_Water_Liters_supplied_by_Water boating or water trucking]]/90)/15</f>
        <v>0</v>
      </c>
      <c r="CL107" s="909">
        <f>WWWW[[#This Row],['#_Water_Liters_from_Constructed/Existing water distribution system from river or natural spring]]/90/15</f>
        <v>0</v>
      </c>
      <c r="CM107" s="417">
        <f>IF(WWWW[[#This Row],['#_of water points in TLS/CFS]]*500&gt;WWWW[[#This Row],[Total PoP ]],WWWW[[#This Row],[Total PoP ]],WWWW[[#This Row],['#_of water points in TLS/CFS]]*500)</f>
        <v>0</v>
      </c>
      <c r="CN107" s="417">
        <f>IF(WWWW[[#This Row],['#_of water points in THF]]*500&gt;WWWW[[#This Row],[Total PoP ]],WWWW[[#This Row],[Total PoP ]],WWWW[[#This Row],['#_of water points in THF]]*500)</f>
        <v>0</v>
      </c>
      <c r="CO107" s="417"/>
      <c r="CP107"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07"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07" s="908">
        <f>IF(WWWW[[#This Row],[Location Type 1]]="Village",WWWW[[#This Row],[Access to safe drinking water for Village]],WWWW[[#This Row],[Access to safe drinking water for Camp]])</f>
        <v>1</v>
      </c>
      <c r="CS107" s="906">
        <f>WWWW[[#This Row],[%Equitable and continuous access to sufficient quantity of safe drinking water]]*WWWW[[#This Row],[Total PoP ]]</f>
        <v>251</v>
      </c>
      <c r="CT107" s="908">
        <f>IF((WWWW[[#This Row],['#_Constructed/Existing protected/fenced ponds]]*250)/WWWW[[#This Row],[Total PoP ]]&gt;1,1,(WWWW[[#This Row],['#_Constructed/Existing protected/fenced ponds]]*250)/WWWW[[#This Row],[Total PoP ]])</f>
        <v>0</v>
      </c>
      <c r="CU107" s="906">
        <f>WWWW[[#This Row],[% Access to unimproved water points]]*WWWW[[#This Row],[Total PoP ]]</f>
        <v>0</v>
      </c>
      <c r="CV107"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07"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251</v>
      </c>
      <c r="CX107" s="906">
        <f>WWWW[[#This Row],[HRP1]]/500</f>
        <v>0.502</v>
      </c>
      <c r="CY107" s="911">
        <f>1-WWWW[[#This Row],[% Equitable and continuous access to sufficient quantity of domestic water]]</f>
        <v>0</v>
      </c>
      <c r="CZ107" s="906">
        <f>WWWW[[#This Row],[%equitable and continuous access to sufficient quantity of safe drinking and domestic water''s GAP]]*WWWW[[#This Row],[Total PoP ]]</f>
        <v>0</v>
      </c>
      <c r="DA107" s="909">
        <f>IF(WWWW[[#This Row],[Total required water points]]-WWWW[[#This Row],['#Water points coverage]]&lt;0,0,WWWW[[#This Row],[Total required water points]]-WWWW[[#This Row],['#Water points coverage]])</f>
        <v>0.498</v>
      </c>
      <c r="DB107" s="909">
        <f>ROUND(IF(WWWW[[#This Row],[Total PoP ]]&lt;500,1,WWWW[[#This Row],[Total PoP ]]/500),0)</f>
        <v>1</v>
      </c>
      <c r="DC107" s="909">
        <f>(WWWW[[#This Row],['#_Constructed latrines_by_WASHAgencies]]+WWWW[[#This Row],['#_Non Cluster partner latrines]])-WWWW[[#This Row],['#_Non-functional latrines]]</f>
        <v>71</v>
      </c>
      <c r="DD107" s="615">
        <f>WWWW[[#This Row],[HRP2]]/WWWW[[#This Row],[Total PoP ]]</f>
        <v>1</v>
      </c>
      <c r="DE107"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251</v>
      </c>
      <c r="DF107"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7"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7" s="417">
        <f>IF(WWWW[[#This Row],['# of functional latrines in THF supported by WASH partners during the reporting period2]]="",0,WWWW[[#This Row],['# of functional latrines in THF supported by WASH partners during the reporting period2]]*50)</f>
        <v>0</v>
      </c>
      <c r="DI107" s="909">
        <f>ROUND(IF(WWWW[[#This Row],[Location Type 1]]="camp",WWWW[[#This Row],[Total PoP ]]/20,IF(WWWW[[#This Row],[Location Type 1]]="Temporary Location",WWWW[[#This Row],[Total PoP ]]/50,(WWWW[[#This Row],[Total PoP ]]/6))),0)</f>
        <v>42</v>
      </c>
      <c r="DJ107" s="909">
        <f>IF(WWWW[[#This Row],[Total required Latrines]]-(WWWW[[#This Row],['#_Constructed latrines_by_WASHAgencies]]+WWWW[[#This Row],['#_Non Cluster partner latrines]])&lt;0,0,WWWW[[#This Row],[Total required Latrines]]-(WWWW[[#This Row],['#_Constructed latrines_by_WASHAgencies]]+WWWW[[#This Row],['#_Non Cluster partner latrines]]))</f>
        <v>0</v>
      </c>
      <c r="DK107" s="911">
        <f>1-WWWW[[#This Row],[% people access to functioning Latrine]]</f>
        <v>0</v>
      </c>
      <c r="DL107" s="910">
        <f>IF(OR(WWWW[[#This Row],['#_Non-functional latrines]]="",WWWW[[#This Row],['#_Non-functional latrines]]=0),0,WWWW[[#This Row],['#_Non-functional latrines]]/(WWWW[[#This Row],['#_Constructed latrines_by_WASHAgencies]]+WWWW[[#This Row],['#_Non Cluster partner latrines]]))</f>
        <v>0</v>
      </c>
      <c r="DM107" s="906">
        <f>IF(500*(WWWW[[#This Row],['#_male hygiene promoters]]+WWWW[[#This Row],['#_female hygiene promoters]])&gt;WWWW[[#This Row],[Total PoP ]],WWWW[[#This Row],[Total PoP ]],500*(WWWW[[#This Row],['#_male hygiene promoters]]+WWWW[[#This Row],['#_female hygiene promoters]]))</f>
        <v>251</v>
      </c>
      <c r="DN107"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7"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7" s="909">
        <f>IF(WWWW[[#This Row],['# People with access to soap]]&gt;WWWW[[#This Row],['# People with access to Sanity Pads]],WWWW[[#This Row],['# People with access to soap]],WWWW[[#This Row],['# People with access to Sanity Pads]])</f>
        <v>0</v>
      </c>
      <c r="DQ107" s="909">
        <f>IF(WWWW[[#This Row],['# people reached by regular dedicated hygiene promotion_5]]&gt;WWWW[[#This Row],['# People received regular supply of hygiene items_6]],WWWW[[#This Row],['# people reached by regular dedicated hygiene promotion_5]],WWWW[[#This Row],['# People received regular supply of hygiene items_6]])</f>
        <v>251</v>
      </c>
      <c r="DR107" s="911">
        <f>IF(WWWW[[#This Row],[HRP3]]/WWWW[[#This Row],[Total PoP ]]&gt;1,1,WWWW[[#This Row],[HRP3]]/WWWW[[#This Row],[Total PoP ]])</f>
        <v>1</v>
      </c>
      <c r="DS107" s="910">
        <f>1-WWWW[[#This Row],[Hygiene Coverage%]]</f>
        <v>0</v>
      </c>
      <c r="DT107" s="908">
        <f>WWWW[[#This Row],['# people reached by regular dedicated hygiene promotion_5]]/WWWW[[#This Row],[Total PoP ]]</f>
        <v>1</v>
      </c>
      <c r="DU107"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7"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7" s="909">
        <f>WWWW[[#This Row],['#_Constructed/Existing hand washing stations]]-WWWW[[#This Row],['#_Non-Functional_hand_washing_stations]]</f>
        <v>5</v>
      </c>
      <c r="DX107" s="906">
        <f>IF(WWWW[[#This Row],['# Functional hand washing stations during reporting period]]*20&gt;WWWW[[#This Row],[Total HH]],WWWW[[#This Row],[Total HH]],WWWW[[#This Row],['# Functional hand washing stations during reporting period]]*20)</f>
        <v>64</v>
      </c>
      <c r="DY107" s="906">
        <f>IF(WWWW[[#This Row],[Is sufficient soap available for TLS? (Yes/No)]]="yes",WWWW[[#This Row],['#_Constructed/Existing hand washing stations at TLS/CFS/THF]],0)</f>
        <v>3</v>
      </c>
      <c r="DZ107" s="421">
        <f>IF(WWWW[[#This Row],['# Functional hand washing stations during reporting period]]*100&gt;WWWW[[#This Row],[Total PoP ]],WWWW[[#This Row],[Total PoP ]],WWWW[[#This Row],['# Functional hand washing stations during reporting period]]*100)</f>
        <v>251</v>
      </c>
      <c r="EA107" s="421" t="str">
        <f>IF(OR(WWWW[[#This Row],['#_students at TLS_CFS]]="",WWWW[[#This Row],['#_students at TLS_CFS]]=0),"No","Yes")</f>
        <v>No</v>
      </c>
      <c r="EB10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7" s="566">
        <f>WWWW[[#This Row],[%_of_affected_people_surveyed_who_report_feeling_satistfied_with_the_latrine_design_and_sanitation_service]]*WWWW[[#This Row],[Total PoP ]]</f>
        <v>0</v>
      </c>
      <c r="ED107" s="566">
        <f>WWWW[[#This Row],[%_of_affected_people_surveyed_who_report_feeling_satistfied_with_the_water_point_design_and_water_service]]*WWWW[[#This Row],[Total PoP ]]</f>
        <v>0</v>
      </c>
      <c r="EE107" s="566">
        <f>WWWW[[#This Row],[%_of_complaints_received_that_result_in_timely_corrective_action_and_feedback_to_the_community]]*WWWW[[#This Row],[Total PoP ]]</f>
        <v>0</v>
      </c>
      <c r="EF10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0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7" s="902" t="str">
        <f>VLOOKUP(WWWW[[#This Row],[Site Name]],SiteDB6[[Site Name]:[CCCM Management]],6,FALSE)</f>
        <v>Yes</v>
      </c>
      <c r="EJ107" s="902" t="str">
        <f>VLOOKUP(WWWW[[#This Row],[Site Name]],SiteDB6[[Site Name]:[CCCM Focal Agency]],7,FALSE)</f>
        <v>KMSS-LSO</v>
      </c>
      <c r="EK107" s="902" t="str">
        <f>VLOOKUP(WWWW[[#This Row],[Site Name]],SiteDB6[[Site Name]:[Location Type 1]],9,FALSE)</f>
        <v>Village Type Camp</v>
      </c>
      <c r="EL107" s="902" t="str">
        <f>VLOOKUP(WWWW[[#This Row],[Site Name]],SiteDB6[[Site Name]:[Type of Accommodation]],10,FALSE)</f>
        <v>Camp</v>
      </c>
      <c r="EM107" s="902" t="str">
        <f>VLOOKUP(WWWW[[#This Row],[Site Name]],SiteDB6[[Site Name]:[Ethnic or GCA/NGCA]],11,FALSE)</f>
        <v>GCA</v>
      </c>
      <c r="EN107" s="902">
        <f>VLOOKUP(WWWW[[#This Row],[Site Name]],SiteDB6[[Site Name]:[Lat]],12,FALSE)</f>
        <v>23.588920000000002</v>
      </c>
      <c r="EO107" s="902">
        <f>VLOOKUP(WWWW[[#This Row],[Site Name]],SiteDB6[[Site Name]:[Long]],13,FALSE)</f>
        <v>97.793019999999999</v>
      </c>
      <c r="EP107" s="902" t="str">
        <f>VLOOKUP(WWWW[[#This Row],[Site Name]],SiteDB6[[Site Name]:[Pcode]],3,FALSE)</f>
        <v>MMR015CMP018</v>
      </c>
      <c r="EQ107" s="907" t="str">
        <f t="shared" si="1"/>
        <v>Covered</v>
      </c>
      <c r="ER107" s="907" t="s">
        <v>3126</v>
      </c>
      <c r="ES107" s="907" t="s">
        <v>3126</v>
      </c>
      <c r="ET107" s="902">
        <f>VLOOKUP(WWWW[[#This Row],[Site Name]],SiteDB6[[Site Name]:[Pop
(Kachin/Shan-CCCM as of May 2023)]],16,FALSE)</f>
        <v>68</v>
      </c>
      <c r="EU107" s="902">
        <f>VLOOKUP(WWWW[[#This Row],[Site Name]],SiteDB6[[Site Name]:[Pop
(Kachin/Shan-CCCM as of May 2023)]],17,FALSE)</f>
        <v>260</v>
      </c>
    </row>
    <row r="108" spans="1:151" hidden="1">
      <c r="A108" s="900" t="s">
        <v>2961</v>
      </c>
      <c r="B108" s="900" t="s">
        <v>192</v>
      </c>
      <c r="C108" s="901" t="s">
        <v>192</v>
      </c>
      <c r="D108" s="901" t="s">
        <v>2633</v>
      </c>
      <c r="E108" s="901" t="s">
        <v>515</v>
      </c>
      <c r="F108" s="901" t="s">
        <v>519</v>
      </c>
      <c r="G108" s="902" t="str">
        <f>VLOOKUP(WWWW[[#This Row],[Site Name]],SiteDB6[[Site Name]:[Location Type]],8,FALSE)</f>
        <v>Camp</v>
      </c>
      <c r="H108" s="901" t="s">
        <v>545</v>
      </c>
      <c r="I108" s="903">
        <v>31</v>
      </c>
      <c r="J108" s="903">
        <v>176</v>
      </c>
      <c r="K108" s="904">
        <v>44511</v>
      </c>
      <c r="L108" s="905">
        <v>44926</v>
      </c>
      <c r="M108" s="903"/>
      <c r="N108" s="903"/>
      <c r="O108" s="903"/>
      <c r="P108" s="903"/>
      <c r="Q108" s="906"/>
      <c r="R108" s="903">
        <v>5</v>
      </c>
      <c r="S108" s="903">
        <v>4</v>
      </c>
      <c r="T108" s="441"/>
      <c r="U108" s="903"/>
      <c r="V108" s="903"/>
      <c r="W108" s="903"/>
      <c r="X108" s="903"/>
      <c r="Y108" s="903"/>
      <c r="Z108" s="903"/>
      <c r="AA108" s="903">
        <v>14</v>
      </c>
      <c r="AB108" s="903"/>
      <c r="AC108" s="903"/>
      <c r="AD108" s="903"/>
      <c r="AE108" s="903"/>
      <c r="AF108" s="903"/>
      <c r="AG108" s="903"/>
      <c r="AH108" s="903"/>
      <c r="AI108" s="903"/>
      <c r="AJ108" s="903"/>
      <c r="AK108" s="903"/>
      <c r="AL108" s="903"/>
      <c r="AM108" s="903"/>
      <c r="AN108" s="903"/>
      <c r="AO108" s="441"/>
      <c r="AP108" s="907"/>
      <c r="AQ108" s="903">
        <v>34</v>
      </c>
      <c r="AR108" s="903"/>
      <c r="AS108" s="908"/>
      <c r="AT108" s="903"/>
      <c r="AU108" s="903"/>
      <c r="AV108" s="903"/>
      <c r="AW108" s="903"/>
      <c r="AX108" s="903"/>
      <c r="AY108" s="902" t="s">
        <v>41</v>
      </c>
      <c r="AZ108" s="907" t="s">
        <v>137</v>
      </c>
      <c r="BA108" s="903"/>
      <c r="BB108" s="903"/>
      <c r="BC108" s="903">
        <v>2</v>
      </c>
      <c r="BD108" s="441"/>
      <c r="BE108" s="441"/>
      <c r="BF108" s="902"/>
      <c r="BG108" s="903">
        <v>2</v>
      </c>
      <c r="BH108" s="903"/>
      <c r="BI108" s="903"/>
      <c r="BJ108" s="903">
        <v>2</v>
      </c>
      <c r="BK108" s="903"/>
      <c r="BL108" s="903"/>
      <c r="BM108" s="903">
        <v>1</v>
      </c>
      <c r="BN108" s="903"/>
      <c r="BO108" s="903"/>
      <c r="BP108" s="902" t="s">
        <v>41</v>
      </c>
      <c r="BQ108" s="909"/>
      <c r="BR108" s="908"/>
      <c r="BS108" s="902"/>
      <c r="BT108" s="416"/>
      <c r="BU108" s="416"/>
      <c r="BV108" s="418"/>
      <c r="BW108" s="416"/>
      <c r="BX108" s="441"/>
      <c r="BY108" s="441"/>
      <c r="BZ108" s="441"/>
      <c r="CA108" s="441"/>
      <c r="CB108" s="441"/>
      <c r="CC108" s="693"/>
      <c r="CD108" s="441"/>
      <c r="CE108" s="910" t="str">
        <f>IFERROR(WWWW[[#This Row],['#_Water sources passed]]/WWWW[[#This Row],['#_Water sources tested for fecal coliform ]],"no test")</f>
        <v>no test</v>
      </c>
      <c r="CF108" s="908" t="str">
        <f>IFERROR(WWWW[[#This Row],['#_Household passed]]/WWWW[[#This Row],['#_Household water samples tested for fecal coliform]],"no test")</f>
        <v>no test</v>
      </c>
      <c r="CG108" s="909" t="str">
        <f>IF(AND(WWWW[[#This Row],[% of water sources passed]]="no test",WWWW[[#This Row],[% Household passed]]="no test"),"No Test","Tested")</f>
        <v>No Test</v>
      </c>
      <c r="CH108" s="909">
        <f>WWWW[[#This Row],['#_Constructed/existing protected hand dug well]]-WWWW[[#This Row],['#_Non-functional protected hand dug well]]</f>
        <v>0</v>
      </c>
      <c r="CI108" s="909">
        <f>(WWWW[[#This Row],['#_Constructed/Existing tube wells/boreholes/handpumps_WASH_agency]]+WWWW[[#This Row],['#_Non-Cluster partner water tube-wells/boreholes/handpumps]])-WWWW[[#This Row],['#_Non-functional tube wells/boreholes/handpumps]]</f>
        <v>0</v>
      </c>
      <c r="CJ108" s="909">
        <f>WWWW[[#This Row],['#_Constructed/Existingwater storage tank with gravity fed reticulation system]]-WWWW[[#This Row],['#_Non-functional storage tank gravity fed reticulation system]]</f>
        <v>14</v>
      </c>
      <c r="CK108" s="909">
        <f>(WWWW[[#This Row],['#_Water_Liters_supplied_by_Water boating or water trucking]]/90)/15</f>
        <v>0</v>
      </c>
      <c r="CL108" s="909">
        <f>WWWW[[#This Row],['#_Water_Liters_from_Constructed/Existing water distribution system from river or natural spring]]/90/15</f>
        <v>0</v>
      </c>
      <c r="CM108" s="417">
        <f>IF(WWWW[[#This Row],['#_of water points in TLS/CFS]]*500&gt;WWWW[[#This Row],[Total PoP ]],WWWW[[#This Row],[Total PoP ]],WWWW[[#This Row],['#_of water points in TLS/CFS]]*500)</f>
        <v>0</v>
      </c>
      <c r="CN108" s="417">
        <f>IF(WWWW[[#This Row],['#_of water points in THF]]*500&gt;WWWW[[#This Row],[Total PoP ]],WWWW[[#This Row],[Total PoP ]],WWWW[[#This Row],['#_of water points in THF]]*500)</f>
        <v>0</v>
      </c>
      <c r="CO108" s="417"/>
      <c r="CP108"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08"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08" s="908">
        <f>IF(WWWW[[#This Row],[Location Type 1]]="Village",WWWW[[#This Row],[Access to safe drinking water for Village]],WWWW[[#This Row],[Access to safe drinking water for Camp]])</f>
        <v>1</v>
      </c>
      <c r="CS108" s="906">
        <f>WWWW[[#This Row],[%Equitable and continuous access to sufficient quantity of safe drinking water]]*WWWW[[#This Row],[Total PoP ]]</f>
        <v>176</v>
      </c>
      <c r="CT108" s="908">
        <f>IF((WWWW[[#This Row],['#_Constructed/Existing protected/fenced ponds]]*250)/WWWW[[#This Row],[Total PoP ]]&gt;1,1,(WWWW[[#This Row],['#_Constructed/Existing protected/fenced ponds]]*250)/WWWW[[#This Row],[Total PoP ]])</f>
        <v>0</v>
      </c>
      <c r="CU108" s="906">
        <f>WWWW[[#This Row],[% Access to unimproved water points]]*WWWW[[#This Row],[Total PoP ]]</f>
        <v>0</v>
      </c>
      <c r="CV108"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08"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176</v>
      </c>
      <c r="CX108" s="906">
        <f>WWWW[[#This Row],[HRP1]]/500</f>
        <v>0.35199999999999998</v>
      </c>
      <c r="CY108" s="911">
        <f>1-WWWW[[#This Row],[% Equitable and continuous access to sufficient quantity of domestic water]]</f>
        <v>0</v>
      </c>
      <c r="CZ108" s="906">
        <f>WWWW[[#This Row],[%equitable and continuous access to sufficient quantity of safe drinking and domestic water''s GAP]]*WWWW[[#This Row],[Total PoP ]]</f>
        <v>0</v>
      </c>
      <c r="DA108" s="909">
        <f>IF(WWWW[[#This Row],[Total required water points]]-WWWW[[#This Row],['#Water points coverage]]&lt;0,0,WWWW[[#This Row],[Total required water points]]-WWWW[[#This Row],['#Water points coverage]])</f>
        <v>0.64800000000000002</v>
      </c>
      <c r="DB108" s="909">
        <f>ROUND(IF(WWWW[[#This Row],[Total PoP ]]&lt;500,1,WWWW[[#This Row],[Total PoP ]]/500),0)</f>
        <v>1</v>
      </c>
      <c r="DC108" s="909">
        <f>(WWWW[[#This Row],['#_Constructed latrines_by_WASHAgencies]]+WWWW[[#This Row],['#_Non Cluster partner latrines]])-WWWW[[#This Row],['#_Non-functional latrines]]</f>
        <v>34</v>
      </c>
      <c r="DD108" s="615">
        <f>WWWW[[#This Row],[HRP2]]/WWWW[[#This Row],[Total PoP ]]</f>
        <v>1</v>
      </c>
      <c r="DE108"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176</v>
      </c>
      <c r="DF108"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8"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8" s="417">
        <f>IF(WWWW[[#This Row],['# of functional latrines in THF supported by WASH partners during the reporting period2]]="",0,WWWW[[#This Row],['# of functional latrines in THF supported by WASH partners during the reporting period2]]*50)</f>
        <v>0</v>
      </c>
      <c r="DI108" s="909">
        <f>ROUND(IF(WWWW[[#This Row],[Location Type 1]]="camp",WWWW[[#This Row],[Total PoP ]]/20,IF(WWWW[[#This Row],[Location Type 1]]="Temporary Location",WWWW[[#This Row],[Total PoP ]]/50,(WWWW[[#This Row],[Total PoP ]]/6))),0)</f>
        <v>9</v>
      </c>
      <c r="DJ108" s="909">
        <f>IF(WWWW[[#This Row],[Total required Latrines]]-(WWWW[[#This Row],['#_Constructed latrines_by_WASHAgencies]]+WWWW[[#This Row],['#_Non Cluster partner latrines]])&lt;0,0,WWWW[[#This Row],[Total required Latrines]]-(WWWW[[#This Row],['#_Constructed latrines_by_WASHAgencies]]+WWWW[[#This Row],['#_Non Cluster partner latrines]]))</f>
        <v>0</v>
      </c>
      <c r="DK108" s="911">
        <f>1-WWWW[[#This Row],[% people access to functioning Latrine]]</f>
        <v>0</v>
      </c>
      <c r="DL108" s="910">
        <f>IF(OR(WWWW[[#This Row],['#_Non-functional latrines]]="",WWWW[[#This Row],['#_Non-functional latrines]]=0),0,WWWW[[#This Row],['#_Non-functional latrines]]/(WWWW[[#This Row],['#_Constructed latrines_by_WASHAgencies]]+WWWW[[#This Row],['#_Non Cluster partner latrines]]))</f>
        <v>0</v>
      </c>
      <c r="DM108" s="906">
        <f>IF(500*(WWWW[[#This Row],['#_male hygiene promoters]]+WWWW[[#This Row],['#_female hygiene promoters]])&gt;WWWW[[#This Row],[Total PoP ]],WWWW[[#This Row],[Total PoP ]],500*(WWWW[[#This Row],['#_male hygiene promoters]]+WWWW[[#This Row],['#_female hygiene promoters]]))</f>
        <v>176</v>
      </c>
      <c r="DN108"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8"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8" s="909">
        <f>IF(WWWW[[#This Row],['# People with access to soap]]&gt;WWWW[[#This Row],['# People with access to Sanity Pads]],WWWW[[#This Row],['# People with access to soap]],WWWW[[#This Row],['# People with access to Sanity Pads]])</f>
        <v>0</v>
      </c>
      <c r="DQ108" s="909">
        <f>IF(WWWW[[#This Row],['# people reached by regular dedicated hygiene promotion_5]]&gt;WWWW[[#This Row],['# People received regular supply of hygiene items_6]],WWWW[[#This Row],['# people reached by regular dedicated hygiene promotion_5]],WWWW[[#This Row],['# People received regular supply of hygiene items_6]])</f>
        <v>176</v>
      </c>
      <c r="DR108" s="911">
        <f>IF(WWWW[[#This Row],[HRP3]]/WWWW[[#This Row],[Total PoP ]]&gt;1,1,WWWW[[#This Row],[HRP3]]/WWWW[[#This Row],[Total PoP ]])</f>
        <v>1</v>
      </c>
      <c r="DS108" s="910">
        <f>1-WWWW[[#This Row],[Hygiene Coverage%]]</f>
        <v>0</v>
      </c>
      <c r="DT108" s="908">
        <f>WWWW[[#This Row],['# people reached by regular dedicated hygiene promotion_5]]/WWWW[[#This Row],[Total PoP ]]</f>
        <v>1</v>
      </c>
      <c r="DU108"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8"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8" s="909">
        <f>WWWW[[#This Row],['#_Constructed/Existing hand washing stations]]-WWWW[[#This Row],['#_Non-Functional_hand_washing_stations]]</f>
        <v>2</v>
      </c>
      <c r="DX108" s="906">
        <f>IF(WWWW[[#This Row],['# Functional hand washing stations during reporting period]]*20&gt;WWWW[[#This Row],[Total HH]],WWWW[[#This Row],[Total HH]],WWWW[[#This Row],['# Functional hand washing stations during reporting period]]*20)</f>
        <v>31</v>
      </c>
      <c r="DY108" s="906">
        <f>IF(WWWW[[#This Row],[Is sufficient soap available for TLS? (Yes/No)]]="yes",WWWW[[#This Row],['#_Constructed/Existing hand washing stations at TLS/CFS/THF]],0)</f>
        <v>0</v>
      </c>
      <c r="DZ108" s="421">
        <f>IF(WWWW[[#This Row],['# Functional hand washing stations during reporting period]]*100&gt;WWWW[[#This Row],[Total PoP ]],WWWW[[#This Row],[Total PoP ]],WWWW[[#This Row],['# Functional hand washing stations during reporting period]]*100)</f>
        <v>176</v>
      </c>
      <c r="EA108" s="421" t="str">
        <f>IF(OR(WWWW[[#This Row],['#_students at TLS_CFS]]="",WWWW[[#This Row],['#_students at TLS_CFS]]=0),"No","Yes")</f>
        <v>No</v>
      </c>
      <c r="EB10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8" s="566">
        <f>WWWW[[#This Row],[%_of_affected_people_surveyed_who_report_feeling_satistfied_with_the_latrine_design_and_sanitation_service]]*WWWW[[#This Row],[Total PoP ]]</f>
        <v>0</v>
      </c>
      <c r="ED108" s="566">
        <f>WWWW[[#This Row],[%_of_affected_people_surveyed_who_report_feeling_satistfied_with_the_water_point_design_and_water_service]]*WWWW[[#This Row],[Total PoP ]]</f>
        <v>0</v>
      </c>
      <c r="EE108" s="566">
        <f>WWWW[[#This Row],[%_of_complaints_received_that_result_in_timely_corrective_action_and_feedback_to_the_community]]*WWWW[[#This Row],[Total PoP ]]</f>
        <v>0</v>
      </c>
      <c r="EF10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0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8" s="902">
        <f>VLOOKUP(WWWW[[#This Row],[Site Name]],SiteDB6[[Site Name]:[CCCM Management]],6,FALSE)</f>
        <v>0</v>
      </c>
      <c r="EJ108" s="902" t="str">
        <f>VLOOKUP(WWWW[[#This Row],[Site Name]],SiteDB6[[Site Name]:[CCCM Focal Agency]],7,FALSE)</f>
        <v>uncovered</v>
      </c>
      <c r="EK108" s="902" t="str">
        <f>VLOOKUP(WWWW[[#This Row],[Site Name]],SiteDB6[[Site Name]:[Location Type 1]],9,FALSE)</f>
        <v>Camp</v>
      </c>
      <c r="EL108" s="902" t="str">
        <f>VLOOKUP(WWWW[[#This Row],[Site Name]],SiteDB6[[Site Name]:[Type of Accommodation]],10,FALSE)</f>
        <v>Camp like setting</v>
      </c>
      <c r="EM108" s="902" t="str">
        <f>VLOOKUP(WWWW[[#This Row],[Site Name]],SiteDB6[[Site Name]:[Ethnic or GCA/NGCA]],11,FALSE)</f>
        <v>GCA</v>
      </c>
      <c r="EN108" s="902">
        <f>VLOOKUP(WWWW[[#This Row],[Site Name]],SiteDB6[[Site Name]:[Lat]],12,FALSE)</f>
        <v>23.850999999999999</v>
      </c>
      <c r="EO108" s="902">
        <f>VLOOKUP(WWWW[[#This Row],[Site Name]],SiteDB6[[Site Name]:[Long]],13,FALSE)</f>
        <v>98.337999999999994</v>
      </c>
      <c r="EP108" s="902" t="str">
        <f>VLOOKUP(WWWW[[#This Row],[Site Name]],SiteDB6[[Site Name]:[Pcode]],3,FALSE)</f>
        <v>MMR015CMP045</v>
      </c>
      <c r="EQ108" s="907" t="str">
        <f t="shared" si="1"/>
        <v>Covered</v>
      </c>
      <c r="ER108" s="907" t="s">
        <v>3126</v>
      </c>
      <c r="ES108" s="907" t="s">
        <v>3126</v>
      </c>
      <c r="ET108" s="902">
        <f>VLOOKUP(WWWW[[#This Row],[Site Name]],SiteDB6[[Site Name]:[Pop
(Kachin/Shan-CCCM as of May 2023)]],16,FALSE)</f>
        <v>30</v>
      </c>
      <c r="EU108" s="902">
        <f>VLOOKUP(WWWW[[#This Row],[Site Name]],SiteDB6[[Site Name]:[Pop
(Kachin/Shan-CCCM as of May 2023)]],17,FALSE)</f>
        <v>170</v>
      </c>
    </row>
    <row r="109" spans="1:151" hidden="1">
      <c r="A109" s="900" t="s">
        <v>2961</v>
      </c>
      <c r="B109" s="900" t="s">
        <v>192</v>
      </c>
      <c r="C109" s="901" t="s">
        <v>192</v>
      </c>
      <c r="D109" s="901" t="s">
        <v>2633</v>
      </c>
      <c r="E109" s="901" t="s">
        <v>515</v>
      </c>
      <c r="F109" s="901" t="s">
        <v>519</v>
      </c>
      <c r="G109" s="902" t="str">
        <f>VLOOKUP(WWWW[[#This Row],[Site Name]],SiteDB6[[Site Name]:[Location Type]],8,FALSE)</f>
        <v>Camp</v>
      </c>
      <c r="H109" s="901" t="s">
        <v>531</v>
      </c>
      <c r="I109" s="903">
        <v>54</v>
      </c>
      <c r="J109" s="903">
        <v>250</v>
      </c>
      <c r="K109" s="904">
        <v>44511</v>
      </c>
      <c r="L109" s="905">
        <v>44926</v>
      </c>
      <c r="M109" s="903"/>
      <c r="N109" s="903">
        <v>1</v>
      </c>
      <c r="O109" s="903"/>
      <c r="P109" s="903"/>
      <c r="Q109" s="906" t="s">
        <v>41</v>
      </c>
      <c r="R109" s="903">
        <v>5</v>
      </c>
      <c r="S109" s="903">
        <v>4</v>
      </c>
      <c r="T109" s="441"/>
      <c r="U109" s="903"/>
      <c r="V109" s="903"/>
      <c r="W109" s="903"/>
      <c r="X109" s="903"/>
      <c r="Y109" s="903"/>
      <c r="Z109" s="903"/>
      <c r="AA109" s="903">
        <v>12</v>
      </c>
      <c r="AB109" s="903"/>
      <c r="AC109" s="903"/>
      <c r="AD109" s="903"/>
      <c r="AE109" s="903"/>
      <c r="AF109" s="903"/>
      <c r="AG109" s="903"/>
      <c r="AH109" s="903">
        <v>1</v>
      </c>
      <c r="AI109" s="903"/>
      <c r="AJ109" s="903"/>
      <c r="AK109" s="903"/>
      <c r="AL109" s="903"/>
      <c r="AM109" s="903"/>
      <c r="AN109" s="903"/>
      <c r="AO109" s="441"/>
      <c r="AP109" s="907"/>
      <c r="AQ109" s="903">
        <v>18</v>
      </c>
      <c r="AR109" s="903"/>
      <c r="AS109" s="908"/>
      <c r="AT109" s="903"/>
      <c r="AU109" s="903"/>
      <c r="AV109" s="903"/>
      <c r="AW109" s="903"/>
      <c r="AX109" s="903"/>
      <c r="AY109" s="902" t="s">
        <v>41</v>
      </c>
      <c r="AZ109" s="907" t="s">
        <v>137</v>
      </c>
      <c r="BA109" s="903"/>
      <c r="BB109" s="903"/>
      <c r="BC109" s="903"/>
      <c r="BD109" s="441"/>
      <c r="BE109" s="441"/>
      <c r="BF109" s="902"/>
      <c r="BG109" s="903">
        <v>6</v>
      </c>
      <c r="BH109" s="903"/>
      <c r="BI109" s="903"/>
      <c r="BJ109" s="903">
        <v>1</v>
      </c>
      <c r="BK109" s="903"/>
      <c r="BL109" s="903"/>
      <c r="BM109" s="903">
        <v>2</v>
      </c>
      <c r="BN109" s="903"/>
      <c r="BO109" s="903"/>
      <c r="BP109" s="902" t="s">
        <v>41</v>
      </c>
      <c r="BQ109" s="909"/>
      <c r="BR109" s="908"/>
      <c r="BS109" s="902"/>
      <c r="BT109" s="416"/>
      <c r="BU109" s="416"/>
      <c r="BV109" s="418"/>
      <c r="BW109" s="416"/>
      <c r="BX109" s="441"/>
      <c r="BY109" s="441"/>
      <c r="BZ109" s="441"/>
      <c r="CA109" s="441"/>
      <c r="CB109" s="441"/>
      <c r="CC109" s="693"/>
      <c r="CD109" s="441"/>
      <c r="CE109" s="910" t="str">
        <f>IFERROR(WWWW[[#This Row],['#_Water sources passed]]/WWWW[[#This Row],['#_Water sources tested for fecal coliform ]],"no test")</f>
        <v>no test</v>
      </c>
      <c r="CF109" s="908" t="str">
        <f>IFERROR(WWWW[[#This Row],['#_Household passed]]/WWWW[[#This Row],['#_Household water samples tested for fecal coliform]],"no test")</f>
        <v>no test</v>
      </c>
      <c r="CG109" s="909" t="str">
        <f>IF(AND(WWWW[[#This Row],[% of water sources passed]]="no test",WWWW[[#This Row],[% Household passed]]="no test"),"No Test","Tested")</f>
        <v>No Test</v>
      </c>
      <c r="CH109" s="909">
        <f>WWWW[[#This Row],['#_Constructed/existing protected hand dug well]]-WWWW[[#This Row],['#_Non-functional protected hand dug well]]</f>
        <v>0</v>
      </c>
      <c r="CI109" s="909">
        <f>(WWWW[[#This Row],['#_Constructed/Existing tube wells/boreholes/handpumps_WASH_agency]]+WWWW[[#This Row],['#_Non-Cluster partner water tube-wells/boreholes/handpumps]])-WWWW[[#This Row],['#_Non-functional tube wells/boreholes/handpumps]]</f>
        <v>0</v>
      </c>
      <c r="CJ109" s="909">
        <f>WWWW[[#This Row],['#_Constructed/Existingwater storage tank with gravity fed reticulation system]]-WWWW[[#This Row],['#_Non-functional storage tank gravity fed reticulation system]]</f>
        <v>12</v>
      </c>
      <c r="CK109" s="909">
        <f>(WWWW[[#This Row],['#_Water_Liters_supplied_by_Water boating or water trucking]]/90)/15</f>
        <v>0</v>
      </c>
      <c r="CL109" s="909">
        <f>WWWW[[#This Row],['#_Water_Liters_from_Constructed/Existing water distribution system from river or natural spring]]/90/15</f>
        <v>0</v>
      </c>
      <c r="CM109" s="417">
        <f>IF(WWWW[[#This Row],['#_of water points in TLS/CFS]]*500&gt;WWWW[[#This Row],[Total PoP ]],WWWW[[#This Row],[Total PoP ]],WWWW[[#This Row],['#_of water points in TLS/CFS]]*500)</f>
        <v>0</v>
      </c>
      <c r="CN109" s="417">
        <f>IF(WWWW[[#This Row],['#_of water points in THF]]*500&gt;WWWW[[#This Row],[Total PoP ]],WWWW[[#This Row],[Total PoP ]],WWWW[[#This Row],['#_of water points in THF]]*500)</f>
        <v>0</v>
      </c>
      <c r="CO109" s="417"/>
      <c r="CP109"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09"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09" s="908">
        <f>IF(WWWW[[#This Row],[Location Type 1]]="Village",WWWW[[#This Row],[Access to safe drinking water for Village]],WWWW[[#This Row],[Access to safe drinking water for Camp]])</f>
        <v>1</v>
      </c>
      <c r="CS109" s="906">
        <f>WWWW[[#This Row],[%Equitable and continuous access to sufficient quantity of safe drinking water]]*WWWW[[#This Row],[Total PoP ]]</f>
        <v>250</v>
      </c>
      <c r="CT109" s="908">
        <f>IF((WWWW[[#This Row],['#_Constructed/Existing protected/fenced ponds]]*250)/WWWW[[#This Row],[Total PoP ]]&gt;1,1,(WWWW[[#This Row],['#_Constructed/Existing protected/fenced ponds]]*250)/WWWW[[#This Row],[Total PoP ]])</f>
        <v>0</v>
      </c>
      <c r="CU109" s="906">
        <f>WWWW[[#This Row],[% Access to unimproved water points]]*WWWW[[#This Row],[Total PoP ]]</f>
        <v>0</v>
      </c>
      <c r="CV109"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09"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X109" s="906">
        <f>WWWW[[#This Row],[HRP1]]/500</f>
        <v>0.5</v>
      </c>
      <c r="CY109" s="911">
        <f>1-WWWW[[#This Row],[% Equitable and continuous access to sufficient quantity of domestic water]]</f>
        <v>0</v>
      </c>
      <c r="CZ109" s="906">
        <f>WWWW[[#This Row],[%equitable and continuous access to sufficient quantity of safe drinking and domestic water''s GAP]]*WWWW[[#This Row],[Total PoP ]]</f>
        <v>0</v>
      </c>
      <c r="DA109" s="909">
        <f>IF(WWWW[[#This Row],[Total required water points]]-WWWW[[#This Row],['#Water points coverage]]&lt;0,0,WWWW[[#This Row],[Total required water points]]-WWWW[[#This Row],['#Water points coverage]])</f>
        <v>0.5</v>
      </c>
      <c r="DB109" s="909">
        <f>ROUND(IF(WWWW[[#This Row],[Total PoP ]]&lt;500,1,WWWW[[#This Row],[Total PoP ]]/500),0)</f>
        <v>1</v>
      </c>
      <c r="DC109" s="909">
        <f>(WWWW[[#This Row],['#_Constructed latrines_by_WASHAgencies]]+WWWW[[#This Row],['#_Non Cluster partner latrines]])-WWWW[[#This Row],['#_Non-functional latrines]]</f>
        <v>18</v>
      </c>
      <c r="DD109" s="615">
        <f>WWWW[[#This Row],[HRP2]]/WWWW[[#This Row],[Total PoP ]]</f>
        <v>1</v>
      </c>
      <c r="DE109"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250</v>
      </c>
      <c r="DF109"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09"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09" s="417">
        <f>IF(WWWW[[#This Row],['# of functional latrines in THF supported by WASH partners during the reporting period2]]="",0,WWWW[[#This Row],['# of functional latrines in THF supported by WASH partners during the reporting period2]]*50)</f>
        <v>0</v>
      </c>
      <c r="DI109" s="909">
        <f>ROUND(IF(WWWW[[#This Row],[Location Type 1]]="camp",WWWW[[#This Row],[Total PoP ]]/20,IF(WWWW[[#This Row],[Location Type 1]]="Temporary Location",WWWW[[#This Row],[Total PoP ]]/50,(WWWW[[#This Row],[Total PoP ]]/6))),0)</f>
        <v>13</v>
      </c>
      <c r="DJ109" s="909">
        <f>IF(WWWW[[#This Row],[Total required Latrines]]-(WWWW[[#This Row],['#_Constructed latrines_by_WASHAgencies]]+WWWW[[#This Row],['#_Non Cluster partner latrines]])&lt;0,0,WWWW[[#This Row],[Total required Latrines]]-(WWWW[[#This Row],['#_Constructed latrines_by_WASHAgencies]]+WWWW[[#This Row],['#_Non Cluster partner latrines]]))</f>
        <v>0</v>
      </c>
      <c r="DK109" s="911">
        <f>1-WWWW[[#This Row],[% people access to functioning Latrine]]</f>
        <v>0</v>
      </c>
      <c r="DL109" s="910">
        <f>IF(OR(WWWW[[#This Row],['#_Non-functional latrines]]="",WWWW[[#This Row],['#_Non-functional latrines]]=0),0,WWWW[[#This Row],['#_Non-functional latrines]]/(WWWW[[#This Row],['#_Constructed latrines_by_WASHAgencies]]+WWWW[[#This Row],['#_Non Cluster partner latrines]]))</f>
        <v>0</v>
      </c>
      <c r="DM109" s="906">
        <f>IF(500*(WWWW[[#This Row],['#_male hygiene promoters]]+WWWW[[#This Row],['#_female hygiene promoters]])&gt;WWWW[[#This Row],[Total PoP ]],WWWW[[#This Row],[Total PoP ]],500*(WWWW[[#This Row],['#_male hygiene promoters]]+WWWW[[#This Row],['#_female hygiene promoters]]))</f>
        <v>250</v>
      </c>
      <c r="DN109"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09"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09" s="909">
        <f>IF(WWWW[[#This Row],['# People with access to soap]]&gt;WWWW[[#This Row],['# People with access to Sanity Pads]],WWWW[[#This Row],['# People with access to soap]],WWWW[[#This Row],['# People with access to Sanity Pads]])</f>
        <v>0</v>
      </c>
      <c r="DQ109" s="909">
        <f>IF(WWWW[[#This Row],['# people reached by regular dedicated hygiene promotion_5]]&gt;WWWW[[#This Row],['# People received regular supply of hygiene items_6]],WWWW[[#This Row],['# people reached by regular dedicated hygiene promotion_5]],WWWW[[#This Row],['# People received regular supply of hygiene items_6]])</f>
        <v>250</v>
      </c>
      <c r="DR109" s="911">
        <f>IF(WWWW[[#This Row],[HRP3]]/WWWW[[#This Row],[Total PoP ]]&gt;1,1,WWWW[[#This Row],[HRP3]]/WWWW[[#This Row],[Total PoP ]])</f>
        <v>1</v>
      </c>
      <c r="DS109" s="910">
        <f>1-WWWW[[#This Row],[Hygiene Coverage%]]</f>
        <v>0</v>
      </c>
      <c r="DT109" s="908">
        <f>WWWW[[#This Row],['# people reached by regular dedicated hygiene promotion_5]]/WWWW[[#This Row],[Total PoP ]]</f>
        <v>1</v>
      </c>
      <c r="DU109"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09"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09" s="909">
        <f>WWWW[[#This Row],['#_Constructed/Existing hand washing stations]]-WWWW[[#This Row],['#_Non-Functional_hand_washing_stations]]</f>
        <v>6</v>
      </c>
      <c r="DX109" s="906">
        <f>IF(WWWW[[#This Row],['# Functional hand washing stations during reporting period]]*20&gt;WWWW[[#This Row],[Total HH]],WWWW[[#This Row],[Total HH]],WWWW[[#This Row],['# Functional hand washing stations during reporting period]]*20)</f>
        <v>54</v>
      </c>
      <c r="DY109" s="906">
        <f>IF(WWWW[[#This Row],[Is sufficient soap available for TLS? (Yes/No)]]="yes",WWWW[[#This Row],['#_Constructed/Existing hand washing stations at TLS/CFS/THF]],0)</f>
        <v>0</v>
      </c>
      <c r="DZ109" s="421">
        <f>IF(WWWW[[#This Row],['# Functional hand washing stations during reporting period]]*100&gt;WWWW[[#This Row],[Total PoP ]],WWWW[[#This Row],[Total PoP ]],WWWW[[#This Row],['# Functional hand washing stations during reporting period]]*100)</f>
        <v>250</v>
      </c>
      <c r="EA109" s="421" t="str">
        <f>IF(OR(WWWW[[#This Row],['#_students at TLS_CFS]]="",WWWW[[#This Row],['#_students at TLS_CFS]]=0),"No","Yes")</f>
        <v>No</v>
      </c>
      <c r="EB10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09" s="566">
        <f>WWWW[[#This Row],[%_of_affected_people_surveyed_who_report_feeling_satistfied_with_the_latrine_design_and_sanitation_service]]*WWWW[[#This Row],[Total PoP ]]</f>
        <v>0</v>
      </c>
      <c r="ED109" s="566">
        <f>WWWW[[#This Row],[%_of_affected_people_surveyed_who_report_feeling_satistfied_with_the_water_point_design_and_water_service]]*WWWW[[#This Row],[Total PoP ]]</f>
        <v>0</v>
      </c>
      <c r="EE109" s="566">
        <f>WWWW[[#This Row],[%_of_complaints_received_that_result_in_timely_corrective_action_and_feedback_to_the_community]]*WWWW[[#This Row],[Total PoP ]]</f>
        <v>0</v>
      </c>
      <c r="EF10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0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0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09" s="902" t="str">
        <f>VLOOKUP(WWWW[[#This Row],[Site Name]],SiteDB6[[Site Name]:[CCCM Management]],6,FALSE)</f>
        <v>Yes</v>
      </c>
      <c r="EJ109" s="902" t="str">
        <f>VLOOKUP(WWWW[[#This Row],[Site Name]],SiteDB6[[Site Name]:[CCCM Focal Agency]],7,FALSE)</f>
        <v>KBC-NSS</v>
      </c>
      <c r="EK109" s="902" t="str">
        <f>VLOOKUP(WWWW[[#This Row],[Site Name]],SiteDB6[[Site Name]:[Location Type 1]],9,FALSE)</f>
        <v>Camp</v>
      </c>
      <c r="EL109" s="902" t="str">
        <f>VLOOKUP(WWWW[[#This Row],[Site Name]],SiteDB6[[Site Name]:[Type of Accommodation]],10,FALSE)</f>
        <v>Camp</v>
      </c>
      <c r="EM109" s="902" t="str">
        <f>VLOOKUP(WWWW[[#This Row],[Site Name]],SiteDB6[[Site Name]:[Ethnic or GCA/NGCA]],11,FALSE)</f>
        <v>GCA</v>
      </c>
      <c r="EN109" s="902">
        <f>VLOOKUP(WWWW[[#This Row],[Site Name]],SiteDB6[[Site Name]:[Lat]],12,FALSE)</f>
        <v>23.694130000000001</v>
      </c>
      <c r="EO109" s="902">
        <f>VLOOKUP(WWWW[[#This Row],[Site Name]],SiteDB6[[Site Name]:[Long]],13,FALSE)</f>
        <v>97.818979999999996</v>
      </c>
      <c r="EP109" s="902" t="str">
        <f>VLOOKUP(WWWW[[#This Row],[Site Name]],SiteDB6[[Site Name]:[Pcode]],3,FALSE)</f>
        <v>MMR015CMP007</v>
      </c>
      <c r="EQ109" s="907" t="str">
        <f t="shared" si="1"/>
        <v>Covered</v>
      </c>
      <c r="ER109" s="907" t="s">
        <v>3126</v>
      </c>
      <c r="ES109" s="907" t="s">
        <v>3126</v>
      </c>
      <c r="ET109" s="902">
        <f>VLOOKUP(WWWW[[#This Row],[Site Name]],SiteDB6[[Site Name]:[Pop
(Kachin/Shan-CCCM as of May 2023)]],16,FALSE)</f>
        <v>57</v>
      </c>
      <c r="EU109" s="902">
        <f>VLOOKUP(WWWW[[#This Row],[Site Name]],SiteDB6[[Site Name]:[Pop
(Kachin/Shan-CCCM as of May 2023)]],17,FALSE)</f>
        <v>303</v>
      </c>
    </row>
    <row r="110" spans="1:151" hidden="1">
      <c r="A110" s="900" t="s">
        <v>2961</v>
      </c>
      <c r="B110" s="900" t="s">
        <v>192</v>
      </c>
      <c r="C110" s="901" t="s">
        <v>192</v>
      </c>
      <c r="D110" s="901" t="s">
        <v>2633</v>
      </c>
      <c r="E110" s="901" t="s">
        <v>515</v>
      </c>
      <c r="F110" s="901" t="s">
        <v>519</v>
      </c>
      <c r="G110" s="902" t="str">
        <f>VLOOKUP(WWWW[[#This Row],[Site Name]],SiteDB6[[Site Name]:[Location Type]],8,FALSE)</f>
        <v>Camp</v>
      </c>
      <c r="H110" s="901" t="s">
        <v>1613</v>
      </c>
      <c r="I110" s="903">
        <v>35</v>
      </c>
      <c r="J110" s="903">
        <v>158</v>
      </c>
      <c r="K110" s="904">
        <v>44511</v>
      </c>
      <c r="L110" s="905">
        <v>44926</v>
      </c>
      <c r="M110" s="903"/>
      <c r="N110" s="903">
        <v>1</v>
      </c>
      <c r="O110" s="903"/>
      <c r="P110" s="903"/>
      <c r="Q110" s="906" t="s">
        <v>41</v>
      </c>
      <c r="R110" s="903">
        <v>5</v>
      </c>
      <c r="S110" s="903">
        <v>4</v>
      </c>
      <c r="T110" s="441"/>
      <c r="U110" s="903"/>
      <c r="V110" s="903"/>
      <c r="W110" s="903">
        <v>2</v>
      </c>
      <c r="X110" s="903"/>
      <c r="Y110" s="903"/>
      <c r="Z110" s="903"/>
      <c r="AA110" s="903"/>
      <c r="AB110" s="903"/>
      <c r="AC110" s="903"/>
      <c r="AD110" s="903"/>
      <c r="AE110" s="903"/>
      <c r="AF110" s="903"/>
      <c r="AG110" s="903"/>
      <c r="AH110" s="903">
        <v>1</v>
      </c>
      <c r="AI110" s="903"/>
      <c r="AJ110" s="903"/>
      <c r="AK110" s="903"/>
      <c r="AL110" s="903"/>
      <c r="AM110" s="903"/>
      <c r="AN110" s="903"/>
      <c r="AO110" s="441"/>
      <c r="AP110" s="907"/>
      <c r="AQ110" s="903">
        <v>8</v>
      </c>
      <c r="AR110" s="903"/>
      <c r="AS110" s="908"/>
      <c r="AT110" s="903"/>
      <c r="AU110" s="903"/>
      <c r="AV110" s="903"/>
      <c r="AW110" s="903"/>
      <c r="AX110" s="903"/>
      <c r="AY110" s="902" t="s">
        <v>41</v>
      </c>
      <c r="AZ110" s="907" t="s">
        <v>136</v>
      </c>
      <c r="BA110" s="903"/>
      <c r="BB110" s="903"/>
      <c r="BC110" s="903"/>
      <c r="BD110" s="441"/>
      <c r="BE110" s="441"/>
      <c r="BF110" s="902"/>
      <c r="BG110" s="903">
        <v>4</v>
      </c>
      <c r="BH110" s="903"/>
      <c r="BI110" s="903"/>
      <c r="BJ110" s="903">
        <v>1</v>
      </c>
      <c r="BK110" s="903"/>
      <c r="BL110" s="903"/>
      <c r="BM110" s="903">
        <v>2</v>
      </c>
      <c r="BN110" s="903"/>
      <c r="BO110" s="903"/>
      <c r="BP110" s="902" t="s">
        <v>41</v>
      </c>
      <c r="BQ110" s="909"/>
      <c r="BR110" s="908"/>
      <c r="BS110" s="902"/>
      <c r="BT110" s="416"/>
      <c r="BU110" s="416"/>
      <c r="BV110" s="418"/>
      <c r="BW110" s="416"/>
      <c r="BX110" s="441"/>
      <c r="BY110" s="441"/>
      <c r="BZ110" s="441"/>
      <c r="CA110" s="441"/>
      <c r="CB110" s="441"/>
      <c r="CC110" s="693"/>
      <c r="CD110" s="441"/>
      <c r="CE110" s="910" t="str">
        <f>IFERROR(WWWW[[#This Row],['#_Water sources passed]]/WWWW[[#This Row],['#_Water sources tested for fecal coliform ]],"no test")</f>
        <v>no test</v>
      </c>
      <c r="CF110" s="908" t="str">
        <f>IFERROR(WWWW[[#This Row],['#_Household passed]]/WWWW[[#This Row],['#_Household water samples tested for fecal coliform]],"no test")</f>
        <v>no test</v>
      </c>
      <c r="CG110" s="909" t="str">
        <f>IF(AND(WWWW[[#This Row],[% of water sources passed]]="no test",WWWW[[#This Row],[% Household passed]]="no test"),"No Test","Tested")</f>
        <v>No Test</v>
      </c>
      <c r="CH110" s="909">
        <f>WWWW[[#This Row],['#_Constructed/existing protected hand dug well]]-WWWW[[#This Row],['#_Non-functional protected hand dug well]]</f>
        <v>0</v>
      </c>
      <c r="CI110" s="909">
        <f>(WWWW[[#This Row],['#_Constructed/Existing tube wells/boreholes/handpumps_WASH_agency]]+WWWW[[#This Row],['#_Non-Cluster partner water tube-wells/boreholes/handpumps]])-WWWW[[#This Row],['#_Non-functional tube wells/boreholes/handpumps]]</f>
        <v>2</v>
      </c>
      <c r="CJ110" s="909">
        <f>WWWW[[#This Row],['#_Constructed/Existingwater storage tank with gravity fed reticulation system]]-WWWW[[#This Row],['#_Non-functional storage tank gravity fed reticulation system]]</f>
        <v>0</v>
      </c>
      <c r="CK110" s="909">
        <f>(WWWW[[#This Row],['#_Water_Liters_supplied_by_Water boating or water trucking]]/90)/15</f>
        <v>0</v>
      </c>
      <c r="CL110" s="909">
        <f>WWWW[[#This Row],['#_Water_Liters_from_Constructed/Existing water distribution system from river or natural spring]]/90/15</f>
        <v>0</v>
      </c>
      <c r="CM110" s="417">
        <f>IF(WWWW[[#This Row],['#_of water points in TLS/CFS]]*500&gt;WWWW[[#This Row],[Total PoP ]],WWWW[[#This Row],[Total PoP ]],WWWW[[#This Row],['#_of water points in TLS/CFS]]*500)</f>
        <v>0</v>
      </c>
      <c r="CN110" s="417">
        <f>IF(WWWW[[#This Row],['#_of water points in THF]]*500&gt;WWWW[[#This Row],[Total PoP ]],WWWW[[#This Row],[Total PoP ]],WWWW[[#This Row],['#_of water points in THF]]*500)</f>
        <v>0</v>
      </c>
      <c r="CO110" s="417"/>
      <c r="CP110"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10"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10" s="908">
        <f>IF(WWWW[[#This Row],[Location Type 1]]="Village",WWWW[[#This Row],[Access to safe drinking water for Village]],WWWW[[#This Row],[Access to safe drinking water for Camp]])</f>
        <v>1</v>
      </c>
      <c r="CS110" s="906">
        <f>WWWW[[#This Row],[%Equitable and continuous access to sufficient quantity of safe drinking water]]*WWWW[[#This Row],[Total PoP ]]</f>
        <v>158</v>
      </c>
      <c r="CT110" s="908">
        <f>IF((WWWW[[#This Row],['#_Constructed/Existing protected/fenced ponds]]*250)/WWWW[[#This Row],[Total PoP ]]&gt;1,1,(WWWW[[#This Row],['#_Constructed/Existing protected/fenced ponds]]*250)/WWWW[[#This Row],[Total PoP ]])</f>
        <v>0</v>
      </c>
      <c r="CU110" s="906">
        <f>WWWW[[#This Row],[% Access to unimproved water points]]*WWWW[[#This Row],[Total PoP ]]</f>
        <v>0</v>
      </c>
      <c r="CV110"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10"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158</v>
      </c>
      <c r="CX110" s="906">
        <f>WWWW[[#This Row],[HRP1]]/500</f>
        <v>0.316</v>
      </c>
      <c r="CY110" s="911">
        <f>1-WWWW[[#This Row],[% Equitable and continuous access to sufficient quantity of domestic water]]</f>
        <v>0</v>
      </c>
      <c r="CZ110" s="906">
        <f>WWWW[[#This Row],[%equitable and continuous access to sufficient quantity of safe drinking and domestic water''s GAP]]*WWWW[[#This Row],[Total PoP ]]</f>
        <v>0</v>
      </c>
      <c r="DA110" s="909">
        <f>IF(WWWW[[#This Row],[Total required water points]]-WWWW[[#This Row],['#Water points coverage]]&lt;0,0,WWWW[[#This Row],[Total required water points]]-WWWW[[#This Row],['#Water points coverage]])</f>
        <v>0.68399999999999994</v>
      </c>
      <c r="DB110" s="909">
        <f>ROUND(IF(WWWW[[#This Row],[Total PoP ]]&lt;500,1,WWWW[[#This Row],[Total PoP ]]/500),0)</f>
        <v>1</v>
      </c>
      <c r="DC110" s="909">
        <f>(WWWW[[#This Row],['#_Constructed latrines_by_WASHAgencies]]+WWWW[[#This Row],['#_Non Cluster partner latrines]])-WWWW[[#This Row],['#_Non-functional latrines]]</f>
        <v>8</v>
      </c>
      <c r="DD110" s="615">
        <f>WWWW[[#This Row],[HRP2]]/WWWW[[#This Row],[Total PoP ]]</f>
        <v>1</v>
      </c>
      <c r="DE110"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158</v>
      </c>
      <c r="DF110"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0"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0" s="417">
        <f>IF(WWWW[[#This Row],['# of functional latrines in THF supported by WASH partners during the reporting period2]]="",0,WWWW[[#This Row],['# of functional latrines in THF supported by WASH partners during the reporting period2]]*50)</f>
        <v>0</v>
      </c>
      <c r="DI110" s="909">
        <f>ROUND(IF(WWWW[[#This Row],[Location Type 1]]="camp",WWWW[[#This Row],[Total PoP ]]/20,IF(WWWW[[#This Row],[Location Type 1]]="Temporary Location",WWWW[[#This Row],[Total PoP ]]/50,(WWWW[[#This Row],[Total PoP ]]/6))),0)</f>
        <v>8</v>
      </c>
      <c r="DJ110" s="909">
        <f>IF(WWWW[[#This Row],[Total required Latrines]]-(WWWW[[#This Row],['#_Constructed latrines_by_WASHAgencies]]+WWWW[[#This Row],['#_Non Cluster partner latrines]])&lt;0,0,WWWW[[#This Row],[Total required Latrines]]-(WWWW[[#This Row],['#_Constructed latrines_by_WASHAgencies]]+WWWW[[#This Row],['#_Non Cluster partner latrines]]))</f>
        <v>0</v>
      </c>
      <c r="DK110" s="911">
        <f>1-WWWW[[#This Row],[% people access to functioning Latrine]]</f>
        <v>0</v>
      </c>
      <c r="DL110" s="910">
        <f>IF(OR(WWWW[[#This Row],['#_Non-functional latrines]]="",WWWW[[#This Row],['#_Non-functional latrines]]=0),0,WWWW[[#This Row],['#_Non-functional latrines]]/(WWWW[[#This Row],['#_Constructed latrines_by_WASHAgencies]]+WWWW[[#This Row],['#_Non Cluster partner latrines]]))</f>
        <v>0</v>
      </c>
      <c r="DM110" s="906">
        <f>IF(500*(WWWW[[#This Row],['#_male hygiene promoters]]+WWWW[[#This Row],['#_female hygiene promoters]])&gt;WWWW[[#This Row],[Total PoP ]],WWWW[[#This Row],[Total PoP ]],500*(WWWW[[#This Row],['#_male hygiene promoters]]+WWWW[[#This Row],['#_female hygiene promoters]]))</f>
        <v>158</v>
      </c>
      <c r="DN110"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0"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0" s="909">
        <f>IF(WWWW[[#This Row],['# People with access to soap]]&gt;WWWW[[#This Row],['# People with access to Sanity Pads]],WWWW[[#This Row],['# People with access to soap]],WWWW[[#This Row],['# People with access to Sanity Pads]])</f>
        <v>0</v>
      </c>
      <c r="DQ110" s="909">
        <f>IF(WWWW[[#This Row],['# people reached by regular dedicated hygiene promotion_5]]&gt;WWWW[[#This Row],['# People received regular supply of hygiene items_6]],WWWW[[#This Row],['# people reached by regular dedicated hygiene promotion_5]],WWWW[[#This Row],['# People received regular supply of hygiene items_6]])</f>
        <v>158</v>
      </c>
      <c r="DR110" s="911">
        <f>IF(WWWW[[#This Row],[HRP3]]/WWWW[[#This Row],[Total PoP ]]&gt;1,1,WWWW[[#This Row],[HRP3]]/WWWW[[#This Row],[Total PoP ]])</f>
        <v>1</v>
      </c>
      <c r="DS110" s="910">
        <f>1-WWWW[[#This Row],[Hygiene Coverage%]]</f>
        <v>0</v>
      </c>
      <c r="DT110" s="908">
        <f>WWWW[[#This Row],['# people reached by regular dedicated hygiene promotion_5]]/WWWW[[#This Row],[Total PoP ]]</f>
        <v>1</v>
      </c>
      <c r="DU110"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0"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0" s="909">
        <f>WWWW[[#This Row],['#_Constructed/Existing hand washing stations]]-WWWW[[#This Row],['#_Non-Functional_hand_washing_stations]]</f>
        <v>4</v>
      </c>
      <c r="DX110" s="906">
        <f>IF(WWWW[[#This Row],['# Functional hand washing stations during reporting period]]*20&gt;WWWW[[#This Row],[Total HH]],WWWW[[#This Row],[Total HH]],WWWW[[#This Row],['# Functional hand washing stations during reporting period]]*20)</f>
        <v>35</v>
      </c>
      <c r="DY110" s="906">
        <f>IF(WWWW[[#This Row],[Is sufficient soap available for TLS? (Yes/No)]]="yes",WWWW[[#This Row],['#_Constructed/Existing hand washing stations at TLS/CFS/THF]],0)</f>
        <v>0</v>
      </c>
      <c r="DZ110" s="421">
        <f>IF(WWWW[[#This Row],['# Functional hand washing stations during reporting period]]*100&gt;WWWW[[#This Row],[Total PoP ]],WWWW[[#This Row],[Total PoP ]],WWWW[[#This Row],['# Functional hand washing stations during reporting period]]*100)</f>
        <v>158</v>
      </c>
      <c r="EA110" s="421" t="str">
        <f>IF(OR(WWWW[[#This Row],['#_students at TLS_CFS]]="",WWWW[[#This Row],['#_students at TLS_CFS]]=0),"No","Yes")</f>
        <v>No</v>
      </c>
      <c r="EB11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0" s="566">
        <f>WWWW[[#This Row],[%_of_affected_people_surveyed_who_report_feeling_satistfied_with_the_latrine_design_and_sanitation_service]]*WWWW[[#This Row],[Total PoP ]]</f>
        <v>0</v>
      </c>
      <c r="ED110" s="566">
        <f>WWWW[[#This Row],[%_of_affected_people_surveyed_who_report_feeling_satistfied_with_the_water_point_design_and_water_service]]*WWWW[[#This Row],[Total PoP ]]</f>
        <v>0</v>
      </c>
      <c r="EE110" s="566">
        <f>WWWW[[#This Row],[%_of_complaints_received_that_result_in_timely_corrective_action_and_feedback_to_the_community]]*WWWW[[#This Row],[Total PoP ]]</f>
        <v>0</v>
      </c>
      <c r="EF11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1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0" s="902" t="str">
        <f>VLOOKUP(WWWW[[#This Row],[Site Name]],SiteDB6[[Site Name]:[CCCM Management]],6,FALSE)</f>
        <v>Yes</v>
      </c>
      <c r="EJ110" s="902" t="str">
        <f>VLOOKUP(WWWW[[#This Row],[Site Name]],SiteDB6[[Site Name]:[CCCM Focal Agency]],7,FALSE)</f>
        <v>KMSS-LSO</v>
      </c>
      <c r="EK110" s="902" t="str">
        <f>VLOOKUP(WWWW[[#This Row],[Site Name]],SiteDB6[[Site Name]:[Location Type 1]],9,FALSE)</f>
        <v>Camp</v>
      </c>
      <c r="EL110" s="902" t="str">
        <f>VLOOKUP(WWWW[[#This Row],[Site Name]],SiteDB6[[Site Name]:[Type of Accommodation]],10,FALSE)</f>
        <v>Camp</v>
      </c>
      <c r="EM110" s="902" t="str">
        <f>VLOOKUP(WWWW[[#This Row],[Site Name]],SiteDB6[[Site Name]:[Ethnic or GCA/NGCA]],11,FALSE)</f>
        <v>GCA</v>
      </c>
      <c r="EN110" s="902">
        <f>VLOOKUP(WWWW[[#This Row],[Site Name]],SiteDB6[[Site Name]:[Lat]],12,FALSE)</f>
        <v>23.682887999999998</v>
      </c>
      <c r="EO110" s="902">
        <f>VLOOKUP(WWWW[[#This Row],[Site Name]],SiteDB6[[Site Name]:[Long]],13,FALSE)</f>
        <v>97.810101000000003</v>
      </c>
      <c r="EP110" s="902" t="str">
        <f>VLOOKUP(WWWW[[#This Row],[Site Name]],SiteDB6[[Site Name]:[Pcode]],3,FALSE)</f>
        <v>MMR015CMP043</v>
      </c>
      <c r="EQ110" s="907" t="str">
        <f t="shared" si="1"/>
        <v>Covered</v>
      </c>
      <c r="ER110" s="907" t="s">
        <v>3126</v>
      </c>
      <c r="ES110" s="907" t="s">
        <v>3126</v>
      </c>
      <c r="ET110" s="902">
        <f>VLOOKUP(WWWW[[#This Row],[Site Name]],SiteDB6[[Site Name]:[Pop
(Kachin/Shan-CCCM as of May 2023)]],16,FALSE)</f>
        <v>36</v>
      </c>
      <c r="EU110" s="902">
        <f>VLOOKUP(WWWW[[#This Row],[Site Name]],SiteDB6[[Site Name]:[Pop
(Kachin/Shan-CCCM as of May 2023)]],17,FALSE)</f>
        <v>161</v>
      </c>
    </row>
    <row r="111" spans="1:151" hidden="1">
      <c r="A111" s="900" t="s">
        <v>2961</v>
      </c>
      <c r="B111" s="900" t="s">
        <v>192</v>
      </c>
      <c r="C111" s="901" t="s">
        <v>192</v>
      </c>
      <c r="D111" s="901" t="s">
        <v>2633</v>
      </c>
      <c r="E111" s="901" t="s">
        <v>515</v>
      </c>
      <c r="F111" s="901" t="s">
        <v>519</v>
      </c>
      <c r="G111" s="902" t="str">
        <f>VLOOKUP(WWWW[[#This Row],[Site Name]],SiteDB6[[Site Name]:[Location Type]],8,FALSE)</f>
        <v>Camp</v>
      </c>
      <c r="H111" s="901" t="s">
        <v>542</v>
      </c>
      <c r="I111" s="903">
        <v>121</v>
      </c>
      <c r="J111" s="903">
        <v>664</v>
      </c>
      <c r="K111" s="904">
        <v>44511</v>
      </c>
      <c r="L111" s="905">
        <v>44926</v>
      </c>
      <c r="M111" s="903"/>
      <c r="N111" s="903">
        <v>1</v>
      </c>
      <c r="O111" s="903"/>
      <c r="P111" s="903"/>
      <c r="Q111" s="906" t="s">
        <v>41</v>
      </c>
      <c r="R111" s="903">
        <v>4</v>
      </c>
      <c r="S111" s="903">
        <v>5</v>
      </c>
      <c r="T111" s="441"/>
      <c r="U111" s="903"/>
      <c r="V111" s="903"/>
      <c r="W111" s="903"/>
      <c r="X111" s="903"/>
      <c r="Y111" s="903"/>
      <c r="Z111" s="903"/>
      <c r="AA111" s="903">
        <v>8</v>
      </c>
      <c r="AB111" s="903"/>
      <c r="AC111" s="903"/>
      <c r="AD111" s="903"/>
      <c r="AE111" s="903"/>
      <c r="AF111" s="903"/>
      <c r="AG111" s="903"/>
      <c r="AH111" s="903"/>
      <c r="AI111" s="903"/>
      <c r="AJ111" s="903"/>
      <c r="AK111" s="903"/>
      <c r="AL111" s="903"/>
      <c r="AM111" s="903">
        <v>1</v>
      </c>
      <c r="AN111" s="903"/>
      <c r="AO111" s="441"/>
      <c r="AP111" s="907"/>
      <c r="AQ111" s="903">
        <v>105</v>
      </c>
      <c r="AR111" s="903"/>
      <c r="AS111" s="908"/>
      <c r="AT111" s="903"/>
      <c r="AU111" s="903"/>
      <c r="AV111" s="903"/>
      <c r="AW111" s="903"/>
      <c r="AX111" s="903"/>
      <c r="AY111" s="902" t="s">
        <v>41</v>
      </c>
      <c r="AZ111" s="907" t="s">
        <v>137</v>
      </c>
      <c r="BA111" s="903"/>
      <c r="BB111" s="903"/>
      <c r="BC111" s="903"/>
      <c r="BD111" s="441"/>
      <c r="BE111" s="441"/>
      <c r="BF111" s="902"/>
      <c r="BG111" s="903">
        <v>8</v>
      </c>
      <c r="BH111" s="903"/>
      <c r="BI111" s="903"/>
      <c r="BJ111" s="903">
        <v>3</v>
      </c>
      <c r="BK111" s="903"/>
      <c r="BL111" s="903"/>
      <c r="BM111" s="903">
        <v>1</v>
      </c>
      <c r="BN111" s="903"/>
      <c r="BO111" s="903"/>
      <c r="BP111" s="902" t="s">
        <v>41</v>
      </c>
      <c r="BQ111" s="909"/>
      <c r="BR111" s="908"/>
      <c r="BS111" s="902"/>
      <c r="BT111" s="416"/>
      <c r="BU111" s="416"/>
      <c r="BV111" s="418"/>
      <c r="BW111" s="416"/>
      <c r="BX111" s="441"/>
      <c r="BY111" s="441"/>
      <c r="BZ111" s="441"/>
      <c r="CA111" s="441"/>
      <c r="CB111" s="441"/>
      <c r="CC111" s="693"/>
      <c r="CD111" s="441"/>
      <c r="CE111" s="910" t="str">
        <f>IFERROR(WWWW[[#This Row],['#_Water sources passed]]/WWWW[[#This Row],['#_Water sources tested for fecal coliform ]],"no test")</f>
        <v>no test</v>
      </c>
      <c r="CF111" s="908" t="str">
        <f>IFERROR(WWWW[[#This Row],['#_Household passed]]/WWWW[[#This Row],['#_Household water samples tested for fecal coliform]],"no test")</f>
        <v>no test</v>
      </c>
      <c r="CG111" s="909" t="str">
        <f>IF(AND(WWWW[[#This Row],[% of water sources passed]]="no test",WWWW[[#This Row],[% Household passed]]="no test"),"No Test","Tested")</f>
        <v>No Test</v>
      </c>
      <c r="CH111" s="909">
        <f>WWWW[[#This Row],['#_Constructed/existing protected hand dug well]]-WWWW[[#This Row],['#_Non-functional protected hand dug well]]</f>
        <v>0</v>
      </c>
      <c r="CI111" s="909">
        <f>(WWWW[[#This Row],['#_Constructed/Existing tube wells/boreholes/handpumps_WASH_agency]]+WWWW[[#This Row],['#_Non-Cluster partner water tube-wells/boreholes/handpumps]])-WWWW[[#This Row],['#_Non-functional tube wells/boreholes/handpumps]]</f>
        <v>0</v>
      </c>
      <c r="CJ111" s="909">
        <f>WWWW[[#This Row],['#_Constructed/Existingwater storage tank with gravity fed reticulation system]]-WWWW[[#This Row],['#_Non-functional storage tank gravity fed reticulation system]]</f>
        <v>8</v>
      </c>
      <c r="CK111" s="909">
        <f>(WWWW[[#This Row],['#_Water_Liters_supplied_by_Water boating or water trucking]]/90)/15</f>
        <v>0</v>
      </c>
      <c r="CL111" s="909">
        <f>WWWW[[#This Row],['#_Water_Liters_from_Constructed/Existing water distribution system from river or natural spring]]/90/15</f>
        <v>0</v>
      </c>
      <c r="CM111" s="417">
        <f>IF(WWWW[[#This Row],['#_of water points in TLS/CFS]]*500&gt;WWWW[[#This Row],[Total PoP ]],WWWW[[#This Row],[Total PoP ]],WWWW[[#This Row],['#_of water points in TLS/CFS]]*500)</f>
        <v>0</v>
      </c>
      <c r="CN111" s="417">
        <f>IF(WWWW[[#This Row],['#_of water points in THF]]*500&gt;WWWW[[#This Row],[Total PoP ]],WWWW[[#This Row],[Total PoP ]],WWWW[[#This Row],['#_of water points in THF]]*500)</f>
        <v>0</v>
      </c>
      <c r="CO111" s="417"/>
      <c r="CP111"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0.8032128514056226</v>
      </c>
      <c r="CQ111"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0.8032128514056226</v>
      </c>
      <c r="CR111" s="908">
        <f>IF(WWWW[[#This Row],[Location Type 1]]="Village",WWWW[[#This Row],[Access to safe drinking water for Village]],WWWW[[#This Row],[Access to safe drinking water for Camp]])</f>
        <v>0.8032128514056226</v>
      </c>
      <c r="CS111" s="906">
        <f>WWWW[[#This Row],[%Equitable and continuous access to sufficient quantity of safe drinking water]]*WWWW[[#This Row],[Total PoP ]]</f>
        <v>533.33333333333337</v>
      </c>
      <c r="CT111" s="908">
        <f>IF((WWWW[[#This Row],['#_Constructed/Existing protected/fenced ponds]]*250)/WWWW[[#This Row],[Total PoP ]]&gt;1,1,(WWWW[[#This Row],['#_Constructed/Existing protected/fenced ponds]]*250)/WWWW[[#This Row],[Total PoP ]])</f>
        <v>0</v>
      </c>
      <c r="CU111" s="906">
        <f>WWWW[[#This Row],[% Access to unimproved water points]]*WWWW[[#This Row],[Total PoP ]]</f>
        <v>0</v>
      </c>
      <c r="CV111"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0.8032128514056226</v>
      </c>
      <c r="CW111"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533.33333333333337</v>
      </c>
      <c r="CX111" s="906">
        <f>WWWW[[#This Row],[HRP1]]/500</f>
        <v>1.0666666666666667</v>
      </c>
      <c r="CY111" s="911">
        <f>1-WWWW[[#This Row],[% Equitable and continuous access to sufficient quantity of domestic water]]</f>
        <v>0.1967871485943774</v>
      </c>
      <c r="CZ111" s="906">
        <f>WWWW[[#This Row],[%equitable and continuous access to sufficient quantity of safe drinking and domestic water''s GAP]]*WWWW[[#This Row],[Total PoP ]]</f>
        <v>130.6666666666666</v>
      </c>
      <c r="DA111" s="909">
        <f>IF(WWWW[[#This Row],[Total required water points]]-WWWW[[#This Row],['#Water points coverage]]&lt;0,0,WWWW[[#This Row],[Total required water points]]-WWWW[[#This Row],['#Water points coverage]])</f>
        <v>0</v>
      </c>
      <c r="DB111" s="909">
        <f>ROUND(IF(WWWW[[#This Row],[Total PoP ]]&lt;500,1,WWWW[[#This Row],[Total PoP ]]/500),0)</f>
        <v>1</v>
      </c>
      <c r="DC111" s="909">
        <f>(WWWW[[#This Row],['#_Constructed latrines_by_WASHAgencies]]+WWWW[[#This Row],['#_Non Cluster partner latrines]])-WWWW[[#This Row],['#_Non-functional latrines]]</f>
        <v>105</v>
      </c>
      <c r="DD111" s="615">
        <f>WWWW[[#This Row],[HRP2]]/WWWW[[#This Row],[Total PoP ]]</f>
        <v>0.79066265060240959</v>
      </c>
      <c r="DE111"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525</v>
      </c>
      <c r="DF111"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1"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1" s="417">
        <f>IF(WWWW[[#This Row],['# of functional latrines in THF supported by WASH partners during the reporting period2]]="",0,WWWW[[#This Row],['# of functional latrines in THF supported by WASH partners during the reporting period2]]*50)</f>
        <v>0</v>
      </c>
      <c r="DI111" s="909">
        <f>ROUND(IF(WWWW[[#This Row],[Location Type 1]]="camp",WWWW[[#This Row],[Total PoP ]]/20,IF(WWWW[[#This Row],[Location Type 1]]="Temporary Location",WWWW[[#This Row],[Total PoP ]]/50,(WWWW[[#This Row],[Total PoP ]]/6))),0)</f>
        <v>111</v>
      </c>
      <c r="DJ111" s="909">
        <f>IF(WWWW[[#This Row],[Total required Latrines]]-(WWWW[[#This Row],['#_Constructed latrines_by_WASHAgencies]]+WWWW[[#This Row],['#_Non Cluster partner latrines]])&lt;0,0,WWWW[[#This Row],[Total required Latrines]]-(WWWW[[#This Row],['#_Constructed latrines_by_WASHAgencies]]+WWWW[[#This Row],['#_Non Cluster partner latrines]]))</f>
        <v>6</v>
      </c>
      <c r="DK111" s="911">
        <f>1-WWWW[[#This Row],[% people access to functioning Latrine]]</f>
        <v>0.20933734939759041</v>
      </c>
      <c r="DL111" s="910">
        <f>IF(OR(WWWW[[#This Row],['#_Non-functional latrines]]="",WWWW[[#This Row],['#_Non-functional latrines]]=0),0,WWWW[[#This Row],['#_Non-functional latrines]]/(WWWW[[#This Row],['#_Constructed latrines_by_WASHAgencies]]+WWWW[[#This Row],['#_Non Cluster partner latrines]]))</f>
        <v>0</v>
      </c>
      <c r="DM111" s="906">
        <f>IF(500*(WWWW[[#This Row],['#_male hygiene promoters]]+WWWW[[#This Row],['#_female hygiene promoters]])&gt;WWWW[[#This Row],[Total PoP ]],WWWW[[#This Row],[Total PoP ]],500*(WWWW[[#This Row],['#_male hygiene promoters]]+WWWW[[#This Row],['#_female hygiene promoters]]))</f>
        <v>500</v>
      </c>
      <c r="DN111"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1"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1" s="909">
        <f>IF(WWWW[[#This Row],['# People with access to soap]]&gt;WWWW[[#This Row],['# People with access to Sanity Pads]],WWWW[[#This Row],['# People with access to soap]],WWWW[[#This Row],['# People with access to Sanity Pads]])</f>
        <v>0</v>
      </c>
      <c r="DQ111" s="909">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111" s="911">
        <f>IF(WWWW[[#This Row],[HRP3]]/WWWW[[#This Row],[Total PoP ]]&gt;1,1,WWWW[[#This Row],[HRP3]]/WWWW[[#This Row],[Total PoP ]])</f>
        <v>0.75301204819277112</v>
      </c>
      <c r="DS111" s="910">
        <f>1-WWWW[[#This Row],[Hygiene Coverage%]]</f>
        <v>0.24698795180722888</v>
      </c>
      <c r="DT111" s="908">
        <f>WWWW[[#This Row],['# people reached by regular dedicated hygiene promotion_5]]/WWWW[[#This Row],[Total PoP ]]</f>
        <v>0.75301204819277112</v>
      </c>
      <c r="DU111"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1"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1" s="909">
        <f>WWWW[[#This Row],['#_Constructed/Existing hand washing stations]]-WWWW[[#This Row],['#_Non-Functional_hand_washing_stations]]</f>
        <v>8</v>
      </c>
      <c r="DX111" s="906">
        <f>IF(WWWW[[#This Row],['# Functional hand washing stations during reporting period]]*20&gt;WWWW[[#This Row],[Total HH]],WWWW[[#This Row],[Total HH]],WWWW[[#This Row],['# Functional hand washing stations during reporting period]]*20)</f>
        <v>121</v>
      </c>
      <c r="DY111" s="906">
        <f>IF(WWWW[[#This Row],[Is sufficient soap available for TLS? (Yes/No)]]="yes",WWWW[[#This Row],['#_Constructed/Existing hand washing stations at TLS/CFS/THF]],0)</f>
        <v>1</v>
      </c>
      <c r="DZ111" s="421">
        <f>IF(WWWW[[#This Row],['# Functional hand washing stations during reporting period]]*100&gt;WWWW[[#This Row],[Total PoP ]],WWWW[[#This Row],[Total PoP ]],WWWW[[#This Row],['# Functional hand washing stations during reporting period]]*100)</f>
        <v>664</v>
      </c>
      <c r="EA111" s="421" t="str">
        <f>IF(OR(WWWW[[#This Row],['#_students at TLS_CFS]]="",WWWW[[#This Row],['#_students at TLS_CFS]]=0),"No","Yes")</f>
        <v>No</v>
      </c>
      <c r="EB11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1" s="566">
        <f>WWWW[[#This Row],[%_of_affected_people_surveyed_who_report_feeling_satistfied_with_the_latrine_design_and_sanitation_service]]*WWWW[[#This Row],[Total PoP ]]</f>
        <v>0</v>
      </c>
      <c r="ED111" s="566">
        <f>WWWW[[#This Row],[%_of_affected_people_surveyed_who_report_feeling_satistfied_with_the_water_point_design_and_water_service]]*WWWW[[#This Row],[Total PoP ]]</f>
        <v>0</v>
      </c>
      <c r="EE111" s="566">
        <f>WWWW[[#This Row],[%_of_complaints_received_that_result_in_timely_corrective_action_and_feedback_to_the_community]]*WWWW[[#This Row],[Total PoP ]]</f>
        <v>0</v>
      </c>
      <c r="EF11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1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1" s="902" t="str">
        <f>VLOOKUP(WWWW[[#This Row],[Site Name]],SiteDB6[[Site Name]:[CCCM Management]],6,FALSE)</f>
        <v>Yes</v>
      </c>
      <c r="EJ111" s="902" t="str">
        <f>VLOOKUP(WWWW[[#This Row],[Site Name]],SiteDB6[[Site Name]:[CCCM Focal Agency]],7,FALSE)</f>
        <v>KMSS-LSO</v>
      </c>
      <c r="EK111" s="902" t="str">
        <f>VLOOKUP(WWWW[[#This Row],[Site Name]],SiteDB6[[Site Name]:[Location Type 1]],9,FALSE)</f>
        <v>Village Type Camp</v>
      </c>
      <c r="EL111" s="902" t="str">
        <f>VLOOKUP(WWWW[[#This Row],[Site Name]],SiteDB6[[Site Name]:[Type of Accommodation]],10,FALSE)</f>
        <v>Camp</v>
      </c>
      <c r="EM111" s="902" t="str">
        <f>VLOOKUP(WWWW[[#This Row],[Site Name]],SiteDB6[[Site Name]:[Ethnic or GCA/NGCA]],11,FALSE)</f>
        <v>GCA</v>
      </c>
      <c r="EN111" s="902">
        <f>VLOOKUP(WWWW[[#This Row],[Site Name]],SiteDB6[[Site Name]:[Lat]],12,FALSE)</f>
        <v>23.447111</v>
      </c>
      <c r="EO111" s="902">
        <f>VLOOKUP(WWWW[[#This Row],[Site Name]],SiteDB6[[Site Name]:[Long]],13,FALSE)</f>
        <v>97.868876999999998</v>
      </c>
      <c r="EP111" s="902" t="str">
        <f>VLOOKUP(WWWW[[#This Row],[Site Name]],SiteDB6[[Site Name]:[Pcode]],3,FALSE)</f>
        <v>MMR015CMP037</v>
      </c>
      <c r="EQ111" s="907" t="str">
        <f t="shared" si="1"/>
        <v>Covered</v>
      </c>
      <c r="ER111" s="907" t="s">
        <v>3126</v>
      </c>
      <c r="ES111" s="907" t="s">
        <v>3126</v>
      </c>
      <c r="ET111" s="902">
        <f>VLOOKUP(WWWW[[#This Row],[Site Name]],SiteDB6[[Site Name]:[Pop
(Kachin/Shan-CCCM as of May 2023)]],16,FALSE)</f>
        <v>127</v>
      </c>
      <c r="EU111" s="902">
        <f>VLOOKUP(WWWW[[#This Row],[Site Name]],SiteDB6[[Site Name]:[Pop
(Kachin/Shan-CCCM as of May 2023)]],17,FALSE)</f>
        <v>713</v>
      </c>
    </row>
    <row r="112" spans="1:151" hidden="1">
      <c r="A112" s="900" t="s">
        <v>2961</v>
      </c>
      <c r="B112" s="900" t="s">
        <v>192</v>
      </c>
      <c r="C112" s="901" t="s">
        <v>192</v>
      </c>
      <c r="D112" s="901" t="s">
        <v>2633</v>
      </c>
      <c r="E112" s="901" t="s">
        <v>515</v>
      </c>
      <c r="F112" s="901" t="s">
        <v>519</v>
      </c>
      <c r="G112" s="902" t="str">
        <f>VLOOKUP(WWWW[[#This Row],[Site Name]],SiteDB6[[Site Name]:[Location Type]],8,FALSE)</f>
        <v>Camp</v>
      </c>
      <c r="H112" s="901" t="s">
        <v>561</v>
      </c>
      <c r="I112" s="903">
        <v>45</v>
      </c>
      <c r="J112" s="903">
        <v>221</v>
      </c>
      <c r="K112" s="904">
        <v>44511</v>
      </c>
      <c r="L112" s="905">
        <v>44926</v>
      </c>
      <c r="M112" s="903"/>
      <c r="N112" s="903"/>
      <c r="O112" s="903"/>
      <c r="P112" s="903"/>
      <c r="Q112" s="906"/>
      <c r="R112" s="903">
        <v>5</v>
      </c>
      <c r="S112" s="903">
        <v>4</v>
      </c>
      <c r="T112" s="441"/>
      <c r="U112" s="903"/>
      <c r="V112" s="903"/>
      <c r="W112" s="903"/>
      <c r="X112" s="903"/>
      <c r="Y112" s="903"/>
      <c r="Z112" s="903"/>
      <c r="AA112" s="903">
        <v>8</v>
      </c>
      <c r="AB112" s="903"/>
      <c r="AC112" s="903"/>
      <c r="AD112" s="903"/>
      <c r="AE112" s="903"/>
      <c r="AF112" s="903"/>
      <c r="AG112" s="903"/>
      <c r="AH112" s="903">
        <v>1</v>
      </c>
      <c r="AI112" s="903"/>
      <c r="AJ112" s="903"/>
      <c r="AK112" s="903"/>
      <c r="AL112" s="903"/>
      <c r="AM112" s="903">
        <v>2</v>
      </c>
      <c r="AN112" s="903">
        <v>1</v>
      </c>
      <c r="AO112" s="441"/>
      <c r="AP112" s="907"/>
      <c r="AQ112" s="903">
        <v>37</v>
      </c>
      <c r="AR112" s="903"/>
      <c r="AS112" s="908"/>
      <c r="AT112" s="903"/>
      <c r="AU112" s="903"/>
      <c r="AV112" s="903"/>
      <c r="AW112" s="903"/>
      <c r="AX112" s="903">
        <v>3</v>
      </c>
      <c r="AY112" s="902" t="s">
        <v>136</v>
      </c>
      <c r="AZ112" s="907" t="s">
        <v>899</v>
      </c>
      <c r="BA112" s="903"/>
      <c r="BB112" s="903"/>
      <c r="BC112" s="903">
        <v>2</v>
      </c>
      <c r="BD112" s="441"/>
      <c r="BE112" s="441"/>
      <c r="BF112" s="902"/>
      <c r="BG112" s="903">
        <v>7</v>
      </c>
      <c r="BH112" s="903"/>
      <c r="BI112" s="903"/>
      <c r="BJ112" s="903"/>
      <c r="BK112" s="903"/>
      <c r="BL112" s="903"/>
      <c r="BM112" s="903">
        <v>1</v>
      </c>
      <c r="BN112" s="903"/>
      <c r="BO112" s="903"/>
      <c r="BP112" s="902" t="s">
        <v>41</v>
      </c>
      <c r="BQ112" s="909"/>
      <c r="BR112" s="908"/>
      <c r="BS112" s="902"/>
      <c r="BT112" s="416"/>
      <c r="BU112" s="416"/>
      <c r="BV112" s="418"/>
      <c r="BW112" s="416"/>
      <c r="BX112" s="441"/>
      <c r="BY112" s="441"/>
      <c r="BZ112" s="441"/>
      <c r="CA112" s="441"/>
      <c r="CB112" s="441"/>
      <c r="CC112" s="693"/>
      <c r="CD112" s="441"/>
      <c r="CE112" s="910" t="str">
        <f>IFERROR(WWWW[[#This Row],['#_Water sources passed]]/WWWW[[#This Row],['#_Water sources tested for fecal coliform ]],"no test")</f>
        <v>no test</v>
      </c>
      <c r="CF112" s="908" t="str">
        <f>IFERROR(WWWW[[#This Row],['#_Household passed]]/WWWW[[#This Row],['#_Household water samples tested for fecal coliform]],"no test")</f>
        <v>no test</v>
      </c>
      <c r="CG112" s="909" t="str">
        <f>IF(AND(WWWW[[#This Row],[% of water sources passed]]="no test",WWWW[[#This Row],[% Household passed]]="no test"),"No Test","Tested")</f>
        <v>No Test</v>
      </c>
      <c r="CH112" s="909">
        <f>WWWW[[#This Row],['#_Constructed/existing protected hand dug well]]-WWWW[[#This Row],['#_Non-functional protected hand dug well]]</f>
        <v>0</v>
      </c>
      <c r="CI112" s="909">
        <f>(WWWW[[#This Row],['#_Constructed/Existing tube wells/boreholes/handpumps_WASH_agency]]+WWWW[[#This Row],['#_Non-Cluster partner water tube-wells/boreholes/handpumps]])-WWWW[[#This Row],['#_Non-functional tube wells/boreholes/handpumps]]</f>
        <v>0</v>
      </c>
      <c r="CJ112" s="909">
        <f>WWWW[[#This Row],['#_Constructed/Existingwater storage tank with gravity fed reticulation system]]-WWWW[[#This Row],['#_Non-functional storage tank gravity fed reticulation system]]</f>
        <v>8</v>
      </c>
      <c r="CK112" s="909">
        <f>(WWWW[[#This Row],['#_Water_Liters_supplied_by_Water boating or water trucking]]/90)/15</f>
        <v>0</v>
      </c>
      <c r="CL112" s="909">
        <f>WWWW[[#This Row],['#_Water_Liters_from_Constructed/Existing water distribution system from river or natural spring]]/90/15</f>
        <v>0</v>
      </c>
      <c r="CM112" s="417">
        <f>IF(WWWW[[#This Row],['#_of water points in TLS/CFS]]*500&gt;WWWW[[#This Row],[Total PoP ]],WWWW[[#This Row],[Total PoP ]],WWWW[[#This Row],['#_of water points in TLS/CFS]]*500)</f>
        <v>221</v>
      </c>
      <c r="CN112" s="417">
        <f>IF(WWWW[[#This Row],['#_of water points in THF]]*500&gt;WWWW[[#This Row],[Total PoP ]],WWWW[[#This Row],[Total PoP ]],WWWW[[#This Row],['#_of water points in THF]]*500)</f>
        <v>0</v>
      </c>
      <c r="CO112" s="417"/>
      <c r="CP112"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12"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12" s="908">
        <f>IF(WWWW[[#This Row],[Location Type 1]]="Village",WWWW[[#This Row],[Access to safe drinking water for Village]],WWWW[[#This Row],[Access to safe drinking water for Camp]])</f>
        <v>1</v>
      </c>
      <c r="CS112" s="906">
        <f>WWWW[[#This Row],[%Equitable and continuous access to sufficient quantity of safe drinking water]]*WWWW[[#This Row],[Total PoP ]]</f>
        <v>221</v>
      </c>
      <c r="CT112" s="908">
        <f>IF((WWWW[[#This Row],['#_Constructed/Existing protected/fenced ponds]]*250)/WWWW[[#This Row],[Total PoP ]]&gt;1,1,(WWWW[[#This Row],['#_Constructed/Existing protected/fenced ponds]]*250)/WWWW[[#This Row],[Total PoP ]])</f>
        <v>0</v>
      </c>
      <c r="CU112" s="906">
        <f>WWWW[[#This Row],[% Access to unimproved water points]]*WWWW[[#This Row],[Total PoP ]]</f>
        <v>0</v>
      </c>
      <c r="CV112"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12"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221</v>
      </c>
      <c r="CX112" s="906">
        <f>WWWW[[#This Row],[HRP1]]/500</f>
        <v>0.442</v>
      </c>
      <c r="CY112" s="911">
        <f>1-WWWW[[#This Row],[% Equitable and continuous access to sufficient quantity of domestic water]]</f>
        <v>0</v>
      </c>
      <c r="CZ112" s="906">
        <f>WWWW[[#This Row],[%equitable and continuous access to sufficient quantity of safe drinking and domestic water''s GAP]]*WWWW[[#This Row],[Total PoP ]]</f>
        <v>0</v>
      </c>
      <c r="DA112" s="909">
        <f>IF(WWWW[[#This Row],[Total required water points]]-WWWW[[#This Row],['#Water points coverage]]&lt;0,0,WWWW[[#This Row],[Total required water points]]-WWWW[[#This Row],['#Water points coverage]])</f>
        <v>0.55800000000000005</v>
      </c>
      <c r="DB112" s="909">
        <f>ROUND(IF(WWWW[[#This Row],[Total PoP ]]&lt;500,1,WWWW[[#This Row],[Total PoP ]]/500),0)</f>
        <v>1</v>
      </c>
      <c r="DC112" s="909">
        <f>(WWWW[[#This Row],['#_Constructed latrines_by_WASHAgencies]]+WWWW[[#This Row],['#_Non Cluster partner latrines]])-WWWW[[#This Row],['#_Non-functional latrines]]</f>
        <v>37</v>
      </c>
      <c r="DD112" s="615">
        <f>WWWW[[#This Row],[HRP2]]/WWWW[[#This Row],[Total PoP ]]</f>
        <v>1</v>
      </c>
      <c r="DE112"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221</v>
      </c>
      <c r="DF112"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2"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2" s="417">
        <f>IF(WWWW[[#This Row],['# of functional latrines in THF supported by WASH partners during the reporting period2]]="",0,WWWW[[#This Row],['# of functional latrines in THF supported by WASH partners during the reporting period2]]*50)</f>
        <v>0</v>
      </c>
      <c r="DI112" s="909">
        <f>ROUND(IF(WWWW[[#This Row],[Location Type 1]]="camp",WWWW[[#This Row],[Total PoP ]]/20,IF(WWWW[[#This Row],[Location Type 1]]="Temporary Location",WWWW[[#This Row],[Total PoP ]]/50,(WWWW[[#This Row],[Total PoP ]]/6))),0)</f>
        <v>11</v>
      </c>
      <c r="DJ112" s="909">
        <f>IF(WWWW[[#This Row],[Total required Latrines]]-(WWWW[[#This Row],['#_Constructed latrines_by_WASHAgencies]]+WWWW[[#This Row],['#_Non Cluster partner latrines]])&lt;0,0,WWWW[[#This Row],[Total required Latrines]]-(WWWW[[#This Row],['#_Constructed latrines_by_WASHAgencies]]+WWWW[[#This Row],['#_Non Cluster partner latrines]]))</f>
        <v>0</v>
      </c>
      <c r="DK112" s="911">
        <f>1-WWWW[[#This Row],[% people access to functioning Latrine]]</f>
        <v>0</v>
      </c>
      <c r="DL112" s="910">
        <f>IF(OR(WWWW[[#This Row],['#_Non-functional latrines]]="",WWWW[[#This Row],['#_Non-functional latrines]]=0),0,WWWW[[#This Row],['#_Non-functional latrines]]/(WWWW[[#This Row],['#_Constructed latrines_by_WASHAgencies]]+WWWW[[#This Row],['#_Non Cluster partner latrines]]))</f>
        <v>0</v>
      </c>
      <c r="DM112" s="906">
        <f>IF(500*(WWWW[[#This Row],['#_male hygiene promoters]]+WWWW[[#This Row],['#_female hygiene promoters]])&gt;WWWW[[#This Row],[Total PoP ]],WWWW[[#This Row],[Total PoP ]],500*(WWWW[[#This Row],['#_male hygiene promoters]]+WWWW[[#This Row],['#_female hygiene promoters]]))</f>
        <v>221</v>
      </c>
      <c r="DN112"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2"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2" s="909">
        <f>IF(WWWW[[#This Row],['# People with access to soap]]&gt;WWWW[[#This Row],['# People with access to Sanity Pads]],WWWW[[#This Row],['# People with access to soap]],WWWW[[#This Row],['# People with access to Sanity Pads]])</f>
        <v>0</v>
      </c>
      <c r="DQ112" s="909">
        <f>IF(WWWW[[#This Row],['# people reached by regular dedicated hygiene promotion_5]]&gt;WWWW[[#This Row],['# People received regular supply of hygiene items_6]],WWWW[[#This Row],['# people reached by regular dedicated hygiene promotion_5]],WWWW[[#This Row],['# People received regular supply of hygiene items_6]])</f>
        <v>221</v>
      </c>
      <c r="DR112" s="911">
        <f>IF(WWWW[[#This Row],[HRP3]]/WWWW[[#This Row],[Total PoP ]]&gt;1,1,WWWW[[#This Row],[HRP3]]/WWWW[[#This Row],[Total PoP ]])</f>
        <v>1</v>
      </c>
      <c r="DS112" s="910">
        <f>1-WWWW[[#This Row],[Hygiene Coverage%]]</f>
        <v>0</v>
      </c>
      <c r="DT112" s="908">
        <f>WWWW[[#This Row],['# people reached by regular dedicated hygiene promotion_5]]/WWWW[[#This Row],[Total PoP ]]</f>
        <v>1</v>
      </c>
      <c r="DU112"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2"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2" s="909">
        <f>WWWW[[#This Row],['#_Constructed/Existing hand washing stations]]-WWWW[[#This Row],['#_Non-Functional_hand_washing_stations]]</f>
        <v>7</v>
      </c>
      <c r="DX112" s="906">
        <f>IF(WWWW[[#This Row],['# Functional hand washing stations during reporting period]]*20&gt;WWWW[[#This Row],[Total HH]],WWWW[[#This Row],[Total HH]],WWWW[[#This Row],['# Functional hand washing stations during reporting period]]*20)</f>
        <v>45</v>
      </c>
      <c r="DY112" s="906">
        <f>IF(WWWW[[#This Row],[Is sufficient soap available for TLS? (Yes/No)]]="yes",WWWW[[#This Row],['#_Constructed/Existing hand washing stations at TLS/CFS/THF]],0)</f>
        <v>2</v>
      </c>
      <c r="DZ112" s="421">
        <f>IF(WWWW[[#This Row],['# Functional hand washing stations during reporting period]]*100&gt;WWWW[[#This Row],[Total PoP ]],WWWW[[#This Row],[Total PoP ]],WWWW[[#This Row],['# Functional hand washing stations during reporting period]]*100)</f>
        <v>221</v>
      </c>
      <c r="EA112" s="421" t="str">
        <f>IF(OR(WWWW[[#This Row],['#_students at TLS_CFS]]="",WWWW[[#This Row],['#_students at TLS_CFS]]=0),"No","Yes")</f>
        <v>No</v>
      </c>
      <c r="EB11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2" s="566">
        <f>WWWW[[#This Row],[%_of_affected_people_surveyed_who_report_feeling_satistfied_with_the_latrine_design_and_sanitation_service]]*WWWW[[#This Row],[Total PoP ]]</f>
        <v>0</v>
      </c>
      <c r="ED112" s="566">
        <f>WWWW[[#This Row],[%_of_affected_people_surveyed_who_report_feeling_satistfied_with_the_water_point_design_and_water_service]]*WWWW[[#This Row],[Total PoP ]]</f>
        <v>0</v>
      </c>
      <c r="EE112" s="566">
        <f>WWWW[[#This Row],[%_of_complaints_received_that_result_in_timely_corrective_action_and_feedback_to_the_community]]*WWWW[[#This Row],[Total PoP ]]</f>
        <v>0</v>
      </c>
      <c r="EF11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221</v>
      </c>
      <c r="EH11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2" s="902" t="str">
        <f>VLOOKUP(WWWW[[#This Row],[Site Name]],SiteDB6[[Site Name]:[CCCM Management]],6,FALSE)</f>
        <v>Yes</v>
      </c>
      <c r="EJ112" s="902" t="str">
        <f>VLOOKUP(WWWW[[#This Row],[Site Name]],SiteDB6[[Site Name]:[CCCM Focal Agency]],7,FALSE)</f>
        <v>KMSS-LSO</v>
      </c>
      <c r="EK112" s="902" t="str">
        <f>VLOOKUP(WWWW[[#This Row],[Site Name]],SiteDB6[[Site Name]:[Location Type 1]],9,FALSE)</f>
        <v>Camp</v>
      </c>
      <c r="EL112" s="902" t="str">
        <f>VLOOKUP(WWWW[[#This Row],[Site Name]],SiteDB6[[Site Name]:[Type of Accommodation]],10,FALSE)</f>
        <v>Camp</v>
      </c>
      <c r="EM112" s="902" t="str">
        <f>VLOOKUP(WWWW[[#This Row],[Site Name]],SiteDB6[[Site Name]:[Ethnic or GCA/NGCA]],11,FALSE)</f>
        <v>GCA</v>
      </c>
      <c r="EN112" s="902">
        <f>VLOOKUP(WWWW[[#This Row],[Site Name]],SiteDB6[[Site Name]:[Lat]],12,FALSE)</f>
        <v>23.59</v>
      </c>
      <c r="EO112" s="902">
        <f>VLOOKUP(WWWW[[#This Row],[Site Name]],SiteDB6[[Site Name]:[Long]],13,FALSE)</f>
        <v>97.805999999999997</v>
      </c>
      <c r="EP112" s="902" t="str">
        <f>VLOOKUP(WWWW[[#This Row],[Site Name]],SiteDB6[[Site Name]:[Pcode]],3,FALSE)</f>
        <v>MMR015CMP067</v>
      </c>
      <c r="EQ112" s="907" t="str">
        <f t="shared" si="1"/>
        <v>Covered</v>
      </c>
      <c r="ER112" s="907" t="s">
        <v>3126</v>
      </c>
      <c r="ES112" s="907" t="s">
        <v>3126</v>
      </c>
      <c r="ET112" s="902">
        <f>VLOOKUP(WWWW[[#This Row],[Site Name]],SiteDB6[[Site Name]:[Pop
(Kachin/Shan-CCCM as of May 2023)]],16,FALSE)</f>
        <v>49</v>
      </c>
      <c r="EU112" s="902">
        <f>VLOOKUP(WWWW[[#This Row],[Site Name]],SiteDB6[[Site Name]:[Pop
(Kachin/Shan-CCCM as of May 2023)]],17,FALSE)</f>
        <v>233</v>
      </c>
    </row>
    <row r="113" spans="1:151" hidden="1">
      <c r="A113" s="900" t="s">
        <v>2961</v>
      </c>
      <c r="B113" s="900" t="s">
        <v>192</v>
      </c>
      <c r="C113" s="901" t="s">
        <v>192</v>
      </c>
      <c r="D113" s="901" t="s">
        <v>2633</v>
      </c>
      <c r="E113" s="901" t="s">
        <v>515</v>
      </c>
      <c r="F113" s="901" t="s">
        <v>519</v>
      </c>
      <c r="G113" s="902" t="str">
        <f>VLOOKUP(WWWW[[#This Row],[Site Name]],SiteDB6[[Site Name]:[Location Type]],8,FALSE)</f>
        <v>Camp</v>
      </c>
      <c r="H113" s="901" t="s">
        <v>538</v>
      </c>
      <c r="I113" s="903">
        <v>209</v>
      </c>
      <c r="J113" s="903">
        <v>1101</v>
      </c>
      <c r="K113" s="904">
        <v>44511</v>
      </c>
      <c r="L113" s="905">
        <v>44926</v>
      </c>
      <c r="M113" s="903"/>
      <c r="N113" s="903">
        <v>2</v>
      </c>
      <c r="O113" s="903"/>
      <c r="P113" s="903"/>
      <c r="Q113" s="906" t="s">
        <v>41</v>
      </c>
      <c r="R113" s="903">
        <v>5</v>
      </c>
      <c r="S113" s="903">
        <v>4</v>
      </c>
      <c r="T113" s="441">
        <v>2</v>
      </c>
      <c r="U113" s="903"/>
      <c r="V113" s="903"/>
      <c r="W113" s="903">
        <v>1</v>
      </c>
      <c r="X113" s="903"/>
      <c r="Y113" s="903"/>
      <c r="Z113" s="903"/>
      <c r="AA113" s="903">
        <v>48</v>
      </c>
      <c r="AB113" s="903"/>
      <c r="AC113" s="903"/>
      <c r="AD113" s="903"/>
      <c r="AE113" s="903"/>
      <c r="AF113" s="903"/>
      <c r="AG113" s="903"/>
      <c r="AH113" s="903">
        <v>1</v>
      </c>
      <c r="AI113" s="903"/>
      <c r="AJ113" s="903"/>
      <c r="AK113" s="903"/>
      <c r="AL113" s="903"/>
      <c r="AM113" s="903"/>
      <c r="AN113" s="903">
        <v>2</v>
      </c>
      <c r="AO113" s="441"/>
      <c r="AP113" s="907"/>
      <c r="AQ113" s="903">
        <v>200</v>
      </c>
      <c r="AR113" s="903">
        <v>5</v>
      </c>
      <c r="AS113" s="908"/>
      <c r="AT113" s="903"/>
      <c r="AU113" s="903"/>
      <c r="AV113" s="903"/>
      <c r="AW113" s="903"/>
      <c r="AX113" s="903">
        <v>18</v>
      </c>
      <c r="AY113" s="902" t="s">
        <v>136</v>
      </c>
      <c r="AZ113" s="907" t="s">
        <v>136</v>
      </c>
      <c r="BA113" s="903"/>
      <c r="BB113" s="903"/>
      <c r="BC113" s="903">
        <v>2</v>
      </c>
      <c r="BD113" s="441"/>
      <c r="BE113" s="441"/>
      <c r="BF113" s="902"/>
      <c r="BG113" s="903">
        <v>2</v>
      </c>
      <c r="BH113" s="903"/>
      <c r="BI113" s="903"/>
      <c r="BJ113" s="903">
        <v>5</v>
      </c>
      <c r="BK113" s="903"/>
      <c r="BL113" s="903"/>
      <c r="BM113" s="903">
        <v>1</v>
      </c>
      <c r="BN113" s="903"/>
      <c r="BO113" s="903"/>
      <c r="BP113" s="902" t="s">
        <v>41</v>
      </c>
      <c r="BQ113" s="909"/>
      <c r="BR113" s="908"/>
      <c r="BS113" s="902"/>
      <c r="BT113" s="416"/>
      <c r="BU113" s="416"/>
      <c r="BV113" s="418"/>
      <c r="BW113" s="416"/>
      <c r="BX113" s="441"/>
      <c r="BY113" s="441"/>
      <c r="BZ113" s="441"/>
      <c r="CA113" s="441"/>
      <c r="CB113" s="441"/>
      <c r="CC113" s="693"/>
      <c r="CD113" s="441"/>
      <c r="CE113" s="910" t="str">
        <f>IFERROR(WWWW[[#This Row],['#_Water sources passed]]/WWWW[[#This Row],['#_Water sources tested for fecal coliform ]],"no test")</f>
        <v>no test</v>
      </c>
      <c r="CF113" s="908" t="str">
        <f>IFERROR(WWWW[[#This Row],['#_Household passed]]/WWWW[[#This Row],['#_Household water samples tested for fecal coliform]],"no test")</f>
        <v>no test</v>
      </c>
      <c r="CG113" s="909" t="str">
        <f>IF(AND(WWWW[[#This Row],[% of water sources passed]]="no test",WWWW[[#This Row],[% Household passed]]="no test"),"No Test","Tested")</f>
        <v>No Test</v>
      </c>
      <c r="CH113" s="909">
        <f>WWWW[[#This Row],['#_Constructed/existing protected hand dug well]]-WWWW[[#This Row],['#_Non-functional protected hand dug well]]</f>
        <v>2</v>
      </c>
      <c r="CI113" s="909">
        <f>(WWWW[[#This Row],['#_Constructed/Existing tube wells/boreholes/handpumps_WASH_agency]]+WWWW[[#This Row],['#_Non-Cluster partner water tube-wells/boreholes/handpumps]])-WWWW[[#This Row],['#_Non-functional tube wells/boreholes/handpumps]]</f>
        <v>1</v>
      </c>
      <c r="CJ113" s="909">
        <f>WWWW[[#This Row],['#_Constructed/Existingwater storage tank with gravity fed reticulation system]]-WWWW[[#This Row],['#_Non-functional storage tank gravity fed reticulation system]]</f>
        <v>48</v>
      </c>
      <c r="CK113" s="909">
        <f>(WWWW[[#This Row],['#_Water_Liters_supplied_by_Water boating or water trucking]]/90)/15</f>
        <v>0</v>
      </c>
      <c r="CL113" s="909">
        <f>WWWW[[#This Row],['#_Water_Liters_from_Constructed/Existing water distribution system from river or natural spring]]/90/15</f>
        <v>0</v>
      </c>
      <c r="CM113" s="417">
        <f>IF(WWWW[[#This Row],['#_of water points in TLS/CFS]]*500&gt;WWWW[[#This Row],[Total PoP ]],WWWW[[#This Row],[Total PoP ]],WWWW[[#This Row],['#_of water points in TLS/CFS]]*500)</f>
        <v>1000</v>
      </c>
      <c r="CN113" s="417">
        <f>IF(WWWW[[#This Row],['#_of water points in THF]]*500&gt;WWWW[[#This Row],[Total PoP ]],WWWW[[#This Row],[Total PoP ]],WWWW[[#This Row],['#_of water points in THF]]*500)</f>
        <v>0</v>
      </c>
      <c r="CO113" s="417"/>
      <c r="CP113"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13"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13" s="908">
        <f>IF(WWWW[[#This Row],[Location Type 1]]="Village",WWWW[[#This Row],[Access to safe drinking water for Village]],WWWW[[#This Row],[Access to safe drinking water for Camp]])</f>
        <v>1</v>
      </c>
      <c r="CS113" s="906">
        <f>WWWW[[#This Row],[%Equitable and continuous access to sufficient quantity of safe drinking water]]*WWWW[[#This Row],[Total PoP ]]</f>
        <v>1101</v>
      </c>
      <c r="CT113" s="908">
        <f>IF((WWWW[[#This Row],['#_Constructed/Existing protected/fenced ponds]]*250)/WWWW[[#This Row],[Total PoP ]]&gt;1,1,(WWWW[[#This Row],['#_Constructed/Existing protected/fenced ponds]]*250)/WWWW[[#This Row],[Total PoP ]])</f>
        <v>0</v>
      </c>
      <c r="CU113" s="906">
        <f>WWWW[[#This Row],[% Access to unimproved water points]]*WWWW[[#This Row],[Total PoP ]]</f>
        <v>0</v>
      </c>
      <c r="CV113"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13"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1101</v>
      </c>
      <c r="CX113" s="906">
        <f>WWWW[[#This Row],[HRP1]]/500</f>
        <v>2.202</v>
      </c>
      <c r="CY113" s="911">
        <f>1-WWWW[[#This Row],[% Equitable and continuous access to sufficient quantity of domestic water]]</f>
        <v>0</v>
      </c>
      <c r="CZ113" s="906">
        <f>WWWW[[#This Row],[%equitable and continuous access to sufficient quantity of safe drinking and domestic water''s GAP]]*WWWW[[#This Row],[Total PoP ]]</f>
        <v>0</v>
      </c>
      <c r="DA113" s="909">
        <f>IF(WWWW[[#This Row],[Total required water points]]-WWWW[[#This Row],['#Water points coverage]]&lt;0,0,WWWW[[#This Row],[Total required water points]]-WWWW[[#This Row],['#Water points coverage]])</f>
        <v>0</v>
      </c>
      <c r="DB113" s="909">
        <f>ROUND(IF(WWWW[[#This Row],[Total PoP ]]&lt;500,1,WWWW[[#This Row],[Total PoP ]]/500),0)</f>
        <v>2</v>
      </c>
      <c r="DC113" s="909">
        <f>(WWWW[[#This Row],['#_Constructed latrines_by_WASHAgencies]]+WWWW[[#This Row],['#_Non Cluster partner latrines]])-WWWW[[#This Row],['#_Non-functional latrines]]</f>
        <v>205</v>
      </c>
      <c r="DD113" s="615">
        <f>WWWW[[#This Row],[HRP2]]/WWWW[[#This Row],[Total PoP ]]</f>
        <v>1</v>
      </c>
      <c r="DE113"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1101</v>
      </c>
      <c r="DF113"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3"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3" s="417">
        <f>IF(WWWW[[#This Row],['# of functional latrines in THF supported by WASH partners during the reporting period2]]="",0,WWWW[[#This Row],['# of functional latrines in THF supported by WASH partners during the reporting period2]]*50)</f>
        <v>0</v>
      </c>
      <c r="DI113" s="909">
        <f>ROUND(IF(WWWW[[#This Row],[Location Type 1]]="camp",WWWW[[#This Row],[Total PoP ]]/20,IF(WWWW[[#This Row],[Location Type 1]]="Temporary Location",WWWW[[#This Row],[Total PoP ]]/50,(WWWW[[#This Row],[Total PoP ]]/6))),0)</f>
        <v>55</v>
      </c>
      <c r="DJ113" s="909">
        <f>IF(WWWW[[#This Row],[Total required Latrines]]-(WWWW[[#This Row],['#_Constructed latrines_by_WASHAgencies]]+WWWW[[#This Row],['#_Non Cluster partner latrines]])&lt;0,0,WWWW[[#This Row],[Total required Latrines]]-(WWWW[[#This Row],['#_Constructed latrines_by_WASHAgencies]]+WWWW[[#This Row],['#_Non Cluster partner latrines]]))</f>
        <v>0</v>
      </c>
      <c r="DK113" s="911">
        <f>1-WWWW[[#This Row],[% people access to functioning Latrine]]</f>
        <v>0</v>
      </c>
      <c r="DL113" s="910">
        <f>IF(OR(WWWW[[#This Row],['#_Non-functional latrines]]="",WWWW[[#This Row],['#_Non-functional latrines]]=0),0,WWWW[[#This Row],['#_Non-functional latrines]]/(WWWW[[#This Row],['#_Constructed latrines_by_WASHAgencies]]+WWWW[[#This Row],['#_Non Cluster partner latrines]]))</f>
        <v>0</v>
      </c>
      <c r="DM113" s="906">
        <f>IF(500*(WWWW[[#This Row],['#_male hygiene promoters]]+WWWW[[#This Row],['#_female hygiene promoters]])&gt;WWWW[[#This Row],[Total PoP ]],WWWW[[#This Row],[Total PoP ]],500*(WWWW[[#This Row],['#_male hygiene promoters]]+WWWW[[#This Row],['#_female hygiene promoters]]))</f>
        <v>500</v>
      </c>
      <c r="DN113"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3"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3" s="909">
        <f>IF(WWWW[[#This Row],['# People with access to soap]]&gt;WWWW[[#This Row],['# People with access to Sanity Pads]],WWWW[[#This Row],['# People with access to soap]],WWWW[[#This Row],['# People with access to Sanity Pads]])</f>
        <v>0</v>
      </c>
      <c r="DQ113" s="909">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113" s="911">
        <f>IF(WWWW[[#This Row],[HRP3]]/WWWW[[#This Row],[Total PoP ]]&gt;1,1,WWWW[[#This Row],[HRP3]]/WWWW[[#This Row],[Total PoP ]])</f>
        <v>0.45413260672116257</v>
      </c>
      <c r="DS113" s="910">
        <f>1-WWWW[[#This Row],[Hygiene Coverage%]]</f>
        <v>0.54586739327883738</v>
      </c>
      <c r="DT113" s="908">
        <f>WWWW[[#This Row],['# people reached by regular dedicated hygiene promotion_5]]/WWWW[[#This Row],[Total PoP ]]</f>
        <v>0.45413260672116257</v>
      </c>
      <c r="DU113"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3"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3" s="909">
        <f>WWWW[[#This Row],['#_Constructed/Existing hand washing stations]]-WWWW[[#This Row],['#_Non-Functional_hand_washing_stations]]</f>
        <v>2</v>
      </c>
      <c r="DX113" s="906">
        <f>IF(WWWW[[#This Row],['# Functional hand washing stations during reporting period]]*20&gt;WWWW[[#This Row],[Total HH]],WWWW[[#This Row],[Total HH]],WWWW[[#This Row],['# Functional hand washing stations during reporting period]]*20)</f>
        <v>40</v>
      </c>
      <c r="DY113" s="906">
        <f>IF(WWWW[[#This Row],[Is sufficient soap available for TLS? (Yes/No)]]="yes",WWWW[[#This Row],['#_Constructed/Existing hand washing stations at TLS/CFS/THF]],0)</f>
        <v>0</v>
      </c>
      <c r="DZ113" s="421">
        <f>IF(WWWW[[#This Row],['# Functional hand washing stations during reporting period]]*100&gt;WWWW[[#This Row],[Total PoP ]],WWWW[[#This Row],[Total PoP ]],WWWW[[#This Row],['# Functional hand washing stations during reporting period]]*100)</f>
        <v>200</v>
      </c>
      <c r="EA113" s="421" t="str">
        <f>IF(OR(WWWW[[#This Row],['#_students at TLS_CFS]]="",WWWW[[#This Row],['#_students at TLS_CFS]]=0),"No","Yes")</f>
        <v>No</v>
      </c>
      <c r="EB11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3" s="566">
        <f>WWWW[[#This Row],[%_of_affected_people_surveyed_who_report_feeling_satistfied_with_the_latrine_design_and_sanitation_service]]*WWWW[[#This Row],[Total PoP ]]</f>
        <v>0</v>
      </c>
      <c r="ED113" s="566">
        <f>WWWW[[#This Row],[%_of_affected_people_surveyed_who_report_feeling_satistfied_with_the_water_point_design_and_water_service]]*WWWW[[#This Row],[Total PoP ]]</f>
        <v>0</v>
      </c>
      <c r="EE113" s="566">
        <f>WWWW[[#This Row],[%_of_complaints_received_that_result_in_timely_corrective_action_and_feedback_to_the_community]]*WWWW[[#This Row],[Total PoP ]]</f>
        <v>0</v>
      </c>
      <c r="EF11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H11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3" s="902" t="str">
        <f>VLOOKUP(WWWW[[#This Row],[Site Name]],SiteDB6[[Site Name]:[CCCM Management]],6,FALSE)</f>
        <v>Yes</v>
      </c>
      <c r="EJ113" s="902" t="str">
        <f>VLOOKUP(WWWW[[#This Row],[Site Name]],SiteDB6[[Site Name]:[CCCM Focal Agency]],7,FALSE)</f>
        <v>KBC-NSS</v>
      </c>
      <c r="EK113" s="902" t="str">
        <f>VLOOKUP(WWWW[[#This Row],[Site Name]],SiteDB6[[Site Name]:[Location Type 1]],9,FALSE)</f>
        <v>Camp</v>
      </c>
      <c r="EL113" s="902" t="str">
        <f>VLOOKUP(WWWW[[#This Row],[Site Name]],SiteDB6[[Site Name]:[Type of Accommodation]],10,FALSE)</f>
        <v>Camp like setting</v>
      </c>
      <c r="EM113" s="902" t="str">
        <f>VLOOKUP(WWWW[[#This Row],[Site Name]],SiteDB6[[Site Name]:[Ethnic or GCA/NGCA]],11,FALSE)</f>
        <v>GCA</v>
      </c>
      <c r="EN113" s="902">
        <f>VLOOKUP(WWWW[[#This Row],[Site Name]],SiteDB6[[Site Name]:[Lat]],12,FALSE)</f>
        <v>23.38503</v>
      </c>
      <c r="EO113" s="902">
        <f>VLOOKUP(WWWW[[#This Row],[Site Name]],SiteDB6[[Site Name]:[Long]],13,FALSE)</f>
        <v>97.837040000000002</v>
      </c>
      <c r="EP113" s="902" t="str">
        <f>VLOOKUP(WWWW[[#This Row],[Site Name]],SiteDB6[[Site Name]:[Pcode]],3,FALSE)</f>
        <v>MMR015CMP020</v>
      </c>
      <c r="EQ113" s="907" t="str">
        <f t="shared" si="1"/>
        <v>Covered</v>
      </c>
      <c r="ER113" s="907" t="s">
        <v>3126</v>
      </c>
      <c r="ES113" s="907" t="s">
        <v>3126</v>
      </c>
      <c r="ET113" s="902">
        <f>VLOOKUP(WWWW[[#This Row],[Site Name]],SiteDB6[[Site Name]:[Pop
(Kachin/Shan-CCCM as of May 2023)]],16,FALSE)</f>
        <v>209</v>
      </c>
      <c r="EU113" s="902">
        <f>VLOOKUP(WWWW[[#This Row],[Site Name]],SiteDB6[[Site Name]:[Pop
(Kachin/Shan-CCCM as of May 2023)]],17,FALSE)</f>
        <v>1084</v>
      </c>
    </row>
    <row r="114" spans="1:151" hidden="1">
      <c r="A114" s="900" t="s">
        <v>2961</v>
      </c>
      <c r="B114" s="900" t="s">
        <v>192</v>
      </c>
      <c r="C114" s="901" t="s">
        <v>192</v>
      </c>
      <c r="D114" s="901" t="s">
        <v>241</v>
      </c>
      <c r="E114" s="901" t="s">
        <v>515</v>
      </c>
      <c r="F114" s="901" t="s">
        <v>955</v>
      </c>
      <c r="G114" s="902" t="str">
        <f>VLOOKUP(WWWW[[#This Row],[Site Name]],SiteDB6[[Site Name]:[Location Type]],8,FALSE)</f>
        <v>Camp</v>
      </c>
      <c r="H114" s="901" t="s">
        <v>2842</v>
      </c>
      <c r="I114" s="903">
        <v>11</v>
      </c>
      <c r="J114" s="903">
        <v>40</v>
      </c>
      <c r="K114" s="904">
        <v>44511</v>
      </c>
      <c r="L114" s="905">
        <v>44875</v>
      </c>
      <c r="M114" s="903"/>
      <c r="N114" s="903"/>
      <c r="O114" s="903"/>
      <c r="P114" s="903"/>
      <c r="Q114" s="906"/>
      <c r="R114" s="903"/>
      <c r="S114" s="903"/>
      <c r="T114" s="441"/>
      <c r="U114" s="903"/>
      <c r="V114" s="903"/>
      <c r="W114" s="903"/>
      <c r="X114" s="903"/>
      <c r="Y114" s="903"/>
      <c r="Z114" s="903"/>
      <c r="AA114" s="903"/>
      <c r="AB114" s="903"/>
      <c r="AC114" s="903"/>
      <c r="AD114" s="903"/>
      <c r="AE114" s="903"/>
      <c r="AF114" s="903"/>
      <c r="AG114" s="903"/>
      <c r="AH114" s="903"/>
      <c r="AI114" s="903"/>
      <c r="AJ114" s="903"/>
      <c r="AK114" s="903"/>
      <c r="AL114" s="903"/>
      <c r="AM114" s="903"/>
      <c r="AN114" s="903"/>
      <c r="AO114" s="441"/>
      <c r="AP114" s="907"/>
      <c r="AQ114" s="903"/>
      <c r="AR114" s="903">
        <v>3</v>
      </c>
      <c r="AS114" s="908"/>
      <c r="AT114" s="903"/>
      <c r="AU114" s="903"/>
      <c r="AV114" s="903"/>
      <c r="AW114" s="903"/>
      <c r="AX114" s="903"/>
      <c r="AY114" s="902" t="s">
        <v>140</v>
      </c>
      <c r="AZ114" s="907" t="s">
        <v>140</v>
      </c>
      <c r="BA114" s="903"/>
      <c r="BB114" s="903"/>
      <c r="BC114" s="903"/>
      <c r="BD114" s="441"/>
      <c r="BE114" s="441"/>
      <c r="BF114" s="902"/>
      <c r="BG114" s="903"/>
      <c r="BH114" s="903"/>
      <c r="BI114" s="903"/>
      <c r="BJ114" s="903"/>
      <c r="BK114" s="903"/>
      <c r="BL114" s="903"/>
      <c r="BM114" s="903"/>
      <c r="BN114" s="903"/>
      <c r="BO114" s="903"/>
      <c r="BP114" s="902" t="s">
        <v>41</v>
      </c>
      <c r="BQ114" s="909"/>
      <c r="BR114" s="908"/>
      <c r="BS114" s="902"/>
      <c r="BT114" s="416"/>
      <c r="BU114" s="416"/>
      <c r="BV114" s="418"/>
      <c r="BW114" s="416"/>
      <c r="BX114" s="441"/>
      <c r="BY114" s="441"/>
      <c r="BZ114" s="441"/>
      <c r="CA114" s="441"/>
      <c r="CB114" s="441"/>
      <c r="CC114" s="693"/>
      <c r="CD114" s="441"/>
      <c r="CE114" s="910" t="str">
        <f>IFERROR(WWWW[[#This Row],['#_Water sources passed]]/WWWW[[#This Row],['#_Water sources tested for fecal coliform ]],"no test")</f>
        <v>no test</v>
      </c>
      <c r="CF114" s="908" t="str">
        <f>IFERROR(WWWW[[#This Row],['#_Household passed]]/WWWW[[#This Row],['#_Household water samples tested for fecal coliform]],"no test")</f>
        <v>no test</v>
      </c>
      <c r="CG114" s="909" t="str">
        <f>IF(AND(WWWW[[#This Row],[% of water sources passed]]="no test",WWWW[[#This Row],[% Household passed]]="no test"),"No Test","Tested")</f>
        <v>No Test</v>
      </c>
      <c r="CH114" s="909">
        <f>WWWW[[#This Row],['#_Constructed/existing protected hand dug well]]-WWWW[[#This Row],['#_Non-functional protected hand dug well]]</f>
        <v>0</v>
      </c>
      <c r="CI114" s="909">
        <f>(WWWW[[#This Row],['#_Constructed/Existing tube wells/boreholes/handpumps_WASH_agency]]+WWWW[[#This Row],['#_Non-Cluster partner water tube-wells/boreholes/handpumps]])-WWWW[[#This Row],['#_Non-functional tube wells/boreholes/handpumps]]</f>
        <v>0</v>
      </c>
      <c r="CJ114" s="909">
        <f>WWWW[[#This Row],['#_Constructed/Existingwater storage tank with gravity fed reticulation system]]-WWWW[[#This Row],['#_Non-functional storage tank gravity fed reticulation system]]</f>
        <v>0</v>
      </c>
      <c r="CK114" s="909">
        <f>(WWWW[[#This Row],['#_Water_Liters_supplied_by_Water boating or water trucking]]/90)/15</f>
        <v>0</v>
      </c>
      <c r="CL114" s="909">
        <f>WWWW[[#This Row],['#_Water_Liters_from_Constructed/Existing water distribution system from river or natural spring]]/90/15</f>
        <v>0</v>
      </c>
      <c r="CM114" s="417">
        <f>IF(WWWW[[#This Row],['#_of water points in TLS/CFS]]*500&gt;WWWW[[#This Row],[Total PoP ]],WWWW[[#This Row],[Total PoP ]],WWWW[[#This Row],['#_of water points in TLS/CFS]]*500)</f>
        <v>0</v>
      </c>
      <c r="CN114" s="417">
        <f>IF(WWWW[[#This Row],['#_of water points in THF]]*500&gt;WWWW[[#This Row],[Total PoP ]],WWWW[[#This Row],[Total PoP ]],WWWW[[#This Row],['#_of water points in THF]]*500)</f>
        <v>0</v>
      </c>
      <c r="CO114" s="417"/>
      <c r="CP114"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14"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14" s="908">
        <f>IF(WWWW[[#This Row],[Location Type 1]]="Village",WWWW[[#This Row],[Access to safe drinking water for Village]],WWWW[[#This Row],[Access to safe drinking water for Camp]])</f>
        <v>0</v>
      </c>
      <c r="CS114" s="906">
        <f>WWWW[[#This Row],[%Equitable and continuous access to sufficient quantity of safe drinking water]]*WWWW[[#This Row],[Total PoP ]]</f>
        <v>0</v>
      </c>
      <c r="CT114" s="908">
        <f>IF((WWWW[[#This Row],['#_Constructed/Existing protected/fenced ponds]]*250)/WWWW[[#This Row],[Total PoP ]]&gt;1,1,(WWWW[[#This Row],['#_Constructed/Existing protected/fenced ponds]]*250)/WWWW[[#This Row],[Total PoP ]])</f>
        <v>0</v>
      </c>
      <c r="CU114" s="906">
        <f>WWWW[[#This Row],[% Access to unimproved water points]]*WWWW[[#This Row],[Total PoP ]]</f>
        <v>0</v>
      </c>
      <c r="CV114"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14"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14" s="906">
        <f>WWWW[[#This Row],[HRP1]]/500</f>
        <v>0</v>
      </c>
      <c r="CY114" s="911">
        <f>1-WWWW[[#This Row],[% Equitable and continuous access to sufficient quantity of domestic water]]</f>
        <v>1</v>
      </c>
      <c r="CZ114" s="906">
        <f>WWWW[[#This Row],[%equitable and continuous access to sufficient quantity of safe drinking and domestic water''s GAP]]*WWWW[[#This Row],[Total PoP ]]</f>
        <v>40</v>
      </c>
      <c r="DA114" s="909">
        <f>IF(WWWW[[#This Row],[Total required water points]]-WWWW[[#This Row],['#Water points coverage]]&lt;0,0,WWWW[[#This Row],[Total required water points]]-WWWW[[#This Row],['#Water points coverage]])</f>
        <v>1</v>
      </c>
      <c r="DB114" s="909">
        <f>ROUND(IF(WWWW[[#This Row],[Total PoP ]]&lt;500,1,WWWW[[#This Row],[Total PoP ]]/500),0)</f>
        <v>1</v>
      </c>
      <c r="DC114" s="909">
        <f>(WWWW[[#This Row],['#_Constructed latrines_by_WASHAgencies]]+WWWW[[#This Row],['#_Non Cluster partner latrines]])-WWWW[[#This Row],['#_Non-functional latrines]]</f>
        <v>3</v>
      </c>
      <c r="DD114" s="615">
        <f>WWWW[[#This Row],[HRP2]]/WWWW[[#This Row],[Total PoP ]]</f>
        <v>1</v>
      </c>
      <c r="DE114"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114"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4"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4" s="417">
        <f>IF(WWWW[[#This Row],['# of functional latrines in THF supported by WASH partners during the reporting period2]]="",0,WWWW[[#This Row],['# of functional latrines in THF supported by WASH partners during the reporting period2]]*50)</f>
        <v>0</v>
      </c>
      <c r="DI114" s="909">
        <f>ROUND(IF(WWWW[[#This Row],[Location Type 1]]="camp",WWWW[[#This Row],[Total PoP ]]/20,IF(WWWW[[#This Row],[Location Type 1]]="Temporary Location",WWWW[[#This Row],[Total PoP ]]/50,(WWWW[[#This Row],[Total PoP ]]/6))),0)</f>
        <v>2</v>
      </c>
      <c r="DJ114" s="909">
        <f>IF(WWWW[[#This Row],[Total required Latrines]]-(WWWW[[#This Row],['#_Constructed latrines_by_WASHAgencies]]+WWWW[[#This Row],['#_Non Cluster partner latrines]])&lt;0,0,WWWW[[#This Row],[Total required Latrines]]-(WWWW[[#This Row],['#_Constructed latrines_by_WASHAgencies]]+WWWW[[#This Row],['#_Non Cluster partner latrines]]))</f>
        <v>0</v>
      </c>
      <c r="DK114" s="911">
        <f>1-WWWW[[#This Row],[% people access to functioning Latrine]]</f>
        <v>0</v>
      </c>
      <c r="DL114" s="910">
        <f>IF(OR(WWWW[[#This Row],['#_Non-functional latrines]]="",WWWW[[#This Row],['#_Non-functional latrines]]=0),0,WWWW[[#This Row],['#_Non-functional latrines]]/(WWWW[[#This Row],['#_Constructed latrines_by_WASHAgencies]]+WWWW[[#This Row],['#_Non Cluster partner latrines]]))</f>
        <v>0</v>
      </c>
      <c r="DM114" s="906">
        <f>IF(500*(WWWW[[#This Row],['#_male hygiene promoters]]+WWWW[[#This Row],['#_female hygiene promoters]])&gt;WWWW[[#This Row],[Total PoP ]],WWWW[[#This Row],[Total PoP ]],500*(WWWW[[#This Row],['#_male hygiene promoters]]+WWWW[[#This Row],['#_female hygiene promoters]]))</f>
        <v>0</v>
      </c>
      <c r="DN114"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4"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4" s="909">
        <f>IF(WWWW[[#This Row],['# People with access to soap]]&gt;WWWW[[#This Row],['# People with access to Sanity Pads]],WWWW[[#This Row],['# People with access to soap]],WWWW[[#This Row],['# People with access to Sanity Pads]])</f>
        <v>0</v>
      </c>
      <c r="DQ114"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14" s="911">
        <f>IF(WWWW[[#This Row],[HRP3]]/WWWW[[#This Row],[Total PoP ]]&gt;1,1,WWWW[[#This Row],[HRP3]]/WWWW[[#This Row],[Total PoP ]])</f>
        <v>0</v>
      </c>
      <c r="DS114" s="910">
        <f>1-WWWW[[#This Row],[Hygiene Coverage%]]</f>
        <v>1</v>
      </c>
      <c r="DT114" s="908">
        <f>WWWW[[#This Row],['# people reached by regular dedicated hygiene promotion_5]]/WWWW[[#This Row],[Total PoP ]]</f>
        <v>0</v>
      </c>
      <c r="DU114"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4"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4" s="909">
        <f>WWWW[[#This Row],['#_Constructed/Existing hand washing stations]]-WWWW[[#This Row],['#_Non-Functional_hand_washing_stations]]</f>
        <v>0</v>
      </c>
      <c r="DX114" s="906">
        <f>IF(WWWW[[#This Row],['# Functional hand washing stations during reporting period]]*20&gt;WWWW[[#This Row],[Total HH]],WWWW[[#This Row],[Total HH]],WWWW[[#This Row],['# Functional hand washing stations during reporting period]]*20)</f>
        <v>0</v>
      </c>
      <c r="DY114" s="906">
        <f>IF(WWWW[[#This Row],[Is sufficient soap available for TLS? (Yes/No)]]="yes",WWWW[[#This Row],['#_Constructed/Existing hand washing stations at TLS/CFS/THF]],0)</f>
        <v>0</v>
      </c>
      <c r="DZ114" s="421">
        <f>IF(WWWW[[#This Row],['# Functional hand washing stations during reporting period]]*100&gt;WWWW[[#This Row],[Total PoP ]],WWWW[[#This Row],[Total PoP ]],WWWW[[#This Row],['# Functional hand washing stations during reporting period]]*100)</f>
        <v>0</v>
      </c>
      <c r="EA114" s="421" t="str">
        <f>IF(OR(WWWW[[#This Row],['#_students at TLS_CFS]]="",WWWW[[#This Row],['#_students at TLS_CFS]]=0),"No","Yes")</f>
        <v>No</v>
      </c>
      <c r="EB11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4" s="566">
        <f>WWWW[[#This Row],[%_of_affected_people_surveyed_who_report_feeling_satistfied_with_the_latrine_design_and_sanitation_service]]*WWWW[[#This Row],[Total PoP ]]</f>
        <v>0</v>
      </c>
      <c r="ED114" s="566">
        <f>WWWW[[#This Row],[%_of_affected_people_surveyed_who_report_feeling_satistfied_with_the_water_point_design_and_water_service]]*WWWW[[#This Row],[Total PoP ]]</f>
        <v>0</v>
      </c>
      <c r="EE114" s="566">
        <f>WWWW[[#This Row],[%_of_complaints_received_that_result_in_timely_corrective_action_and_feedback_to_the_community]]*WWWW[[#This Row],[Total PoP ]]</f>
        <v>0</v>
      </c>
      <c r="EF11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1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4" s="902">
        <f>VLOOKUP(WWWW[[#This Row],[Site Name]],SiteDB6[[Site Name]:[CCCM Management]],6,FALSE)</f>
        <v>0</v>
      </c>
      <c r="EJ114" s="902">
        <f>VLOOKUP(WWWW[[#This Row],[Site Name]],SiteDB6[[Site Name]:[CCCM Focal Agency]],7,FALSE)</f>
        <v>0</v>
      </c>
      <c r="EK114" s="902" t="str">
        <f>VLOOKUP(WWWW[[#This Row],[Site Name]],SiteDB6[[Site Name]:[Location Type 1]],9,FALSE)</f>
        <v>Camp</v>
      </c>
      <c r="EL114" s="902" t="str">
        <f>VLOOKUP(WWWW[[#This Row],[Site Name]],SiteDB6[[Site Name]:[Type of Accommodation]],10,FALSE)</f>
        <v>Camp like setting</v>
      </c>
      <c r="EM114" s="902" t="str">
        <f>VLOOKUP(WWWW[[#This Row],[Site Name]],SiteDB6[[Site Name]:[Ethnic or GCA/NGCA]],11,FALSE)</f>
        <v>GCA</v>
      </c>
      <c r="EN114" s="902">
        <f>VLOOKUP(WWWW[[#This Row],[Site Name]],SiteDB6[[Site Name]:[Lat]],12,FALSE)</f>
        <v>0</v>
      </c>
      <c r="EO114" s="902">
        <f>VLOOKUP(WWWW[[#This Row],[Site Name]],SiteDB6[[Site Name]:[Long]],13,FALSE)</f>
        <v>0</v>
      </c>
      <c r="EP114" s="902" t="str">
        <f>VLOOKUP(WWWW[[#This Row],[Site Name]],SiteDB6[[Site Name]:[Pcode]],3,FALSE)</f>
        <v>MMR015CMP077</v>
      </c>
      <c r="EQ114" s="907" t="str">
        <f t="shared" si="1"/>
        <v>Covered</v>
      </c>
      <c r="ER114" s="907" t="s">
        <v>3126</v>
      </c>
      <c r="ES114" s="907" t="s">
        <v>3126</v>
      </c>
      <c r="ET114" s="902">
        <f>VLOOKUP(WWWW[[#This Row],[Site Name]],SiteDB6[[Site Name]:[Pop
(Kachin/Shan-CCCM as of May 2023)]],16,FALSE)</f>
        <v>7</v>
      </c>
      <c r="EU114" s="902">
        <f>VLOOKUP(WWWW[[#This Row],[Site Name]],SiteDB6[[Site Name]:[Pop
(Kachin/Shan-CCCM as of May 2023)]],17,FALSE)</f>
        <v>25</v>
      </c>
    </row>
    <row r="115" spans="1:151" hidden="1">
      <c r="A115" s="900" t="s">
        <v>2961</v>
      </c>
      <c r="B115" s="900" t="s">
        <v>192</v>
      </c>
      <c r="C115" s="901" t="s">
        <v>192</v>
      </c>
      <c r="D115" s="901" t="s">
        <v>241</v>
      </c>
      <c r="E115" s="901" t="s">
        <v>515</v>
      </c>
      <c r="F115" s="901" t="s">
        <v>955</v>
      </c>
      <c r="G115" s="902" t="str">
        <f>VLOOKUP(WWWW[[#This Row],[Site Name]],SiteDB6[[Site Name]:[Location Type]],8,FALSE)</f>
        <v>Camp</v>
      </c>
      <c r="H115" s="901" t="s">
        <v>2843</v>
      </c>
      <c r="I115" s="903">
        <v>9</v>
      </c>
      <c r="J115" s="903">
        <v>28</v>
      </c>
      <c r="K115" s="904">
        <v>44511</v>
      </c>
      <c r="L115" s="905">
        <v>44875</v>
      </c>
      <c r="M115" s="903"/>
      <c r="N115" s="903"/>
      <c r="O115" s="903"/>
      <c r="P115" s="903"/>
      <c r="Q115" s="906"/>
      <c r="R115" s="903"/>
      <c r="S115" s="903"/>
      <c r="T115" s="441"/>
      <c r="U115" s="903"/>
      <c r="V115" s="903"/>
      <c r="W115" s="903"/>
      <c r="X115" s="903"/>
      <c r="Y115" s="903"/>
      <c r="Z115" s="903"/>
      <c r="AA115" s="903"/>
      <c r="AB115" s="903"/>
      <c r="AC115" s="903"/>
      <c r="AD115" s="903"/>
      <c r="AE115" s="903"/>
      <c r="AF115" s="903"/>
      <c r="AG115" s="903"/>
      <c r="AH115" s="903"/>
      <c r="AI115" s="903"/>
      <c r="AJ115" s="903"/>
      <c r="AK115" s="903"/>
      <c r="AL115" s="903"/>
      <c r="AM115" s="903"/>
      <c r="AN115" s="903"/>
      <c r="AO115" s="441"/>
      <c r="AP115" s="907"/>
      <c r="AQ115" s="903"/>
      <c r="AR115" s="903">
        <v>6</v>
      </c>
      <c r="AS115" s="908"/>
      <c r="AT115" s="903"/>
      <c r="AU115" s="903"/>
      <c r="AV115" s="903"/>
      <c r="AW115" s="903"/>
      <c r="AX115" s="903"/>
      <c r="AY115" s="902" t="s">
        <v>140</v>
      </c>
      <c r="AZ115" s="907" t="s">
        <v>140</v>
      </c>
      <c r="BA115" s="903"/>
      <c r="BB115" s="903"/>
      <c r="BC115" s="903"/>
      <c r="BD115" s="441"/>
      <c r="BE115" s="441"/>
      <c r="BF115" s="902"/>
      <c r="BG115" s="903"/>
      <c r="BH115" s="903"/>
      <c r="BI115" s="903"/>
      <c r="BJ115" s="903"/>
      <c r="BK115" s="903"/>
      <c r="BL115" s="903"/>
      <c r="BM115" s="903"/>
      <c r="BN115" s="903"/>
      <c r="BO115" s="903"/>
      <c r="BP115" s="902" t="s">
        <v>41</v>
      </c>
      <c r="BQ115" s="909"/>
      <c r="BR115" s="908"/>
      <c r="BS115" s="902"/>
      <c r="BT115" s="416"/>
      <c r="BU115" s="416"/>
      <c r="BV115" s="418"/>
      <c r="BW115" s="416"/>
      <c r="BX115" s="441"/>
      <c r="BY115" s="441"/>
      <c r="BZ115" s="441"/>
      <c r="CA115" s="441"/>
      <c r="CB115" s="441"/>
      <c r="CC115" s="693"/>
      <c r="CD115" s="441"/>
      <c r="CE115" s="910" t="str">
        <f>IFERROR(WWWW[[#This Row],['#_Water sources passed]]/WWWW[[#This Row],['#_Water sources tested for fecal coliform ]],"no test")</f>
        <v>no test</v>
      </c>
      <c r="CF115" s="908" t="str">
        <f>IFERROR(WWWW[[#This Row],['#_Household passed]]/WWWW[[#This Row],['#_Household water samples tested for fecal coliform]],"no test")</f>
        <v>no test</v>
      </c>
      <c r="CG115" s="909" t="str">
        <f>IF(AND(WWWW[[#This Row],[% of water sources passed]]="no test",WWWW[[#This Row],[% Household passed]]="no test"),"No Test","Tested")</f>
        <v>No Test</v>
      </c>
      <c r="CH115" s="909">
        <f>WWWW[[#This Row],['#_Constructed/existing protected hand dug well]]-WWWW[[#This Row],['#_Non-functional protected hand dug well]]</f>
        <v>0</v>
      </c>
      <c r="CI115" s="909">
        <f>(WWWW[[#This Row],['#_Constructed/Existing tube wells/boreholes/handpumps_WASH_agency]]+WWWW[[#This Row],['#_Non-Cluster partner water tube-wells/boreholes/handpumps]])-WWWW[[#This Row],['#_Non-functional tube wells/boreholes/handpumps]]</f>
        <v>0</v>
      </c>
      <c r="CJ115" s="909">
        <f>WWWW[[#This Row],['#_Constructed/Existingwater storage tank with gravity fed reticulation system]]-WWWW[[#This Row],['#_Non-functional storage tank gravity fed reticulation system]]</f>
        <v>0</v>
      </c>
      <c r="CK115" s="909">
        <f>(WWWW[[#This Row],['#_Water_Liters_supplied_by_Water boating or water trucking]]/90)/15</f>
        <v>0</v>
      </c>
      <c r="CL115" s="909">
        <f>WWWW[[#This Row],['#_Water_Liters_from_Constructed/Existing water distribution system from river or natural spring]]/90/15</f>
        <v>0</v>
      </c>
      <c r="CM115" s="417">
        <f>IF(WWWW[[#This Row],['#_of water points in TLS/CFS]]*500&gt;WWWW[[#This Row],[Total PoP ]],WWWW[[#This Row],[Total PoP ]],WWWW[[#This Row],['#_of water points in TLS/CFS]]*500)</f>
        <v>0</v>
      </c>
      <c r="CN115" s="417">
        <f>IF(WWWW[[#This Row],['#_of water points in THF]]*500&gt;WWWW[[#This Row],[Total PoP ]],WWWW[[#This Row],[Total PoP ]],WWWW[[#This Row],['#_of water points in THF]]*500)</f>
        <v>0</v>
      </c>
      <c r="CO115" s="417"/>
      <c r="CP115"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15"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15" s="908">
        <f>IF(WWWW[[#This Row],[Location Type 1]]="Village",WWWW[[#This Row],[Access to safe drinking water for Village]],WWWW[[#This Row],[Access to safe drinking water for Camp]])</f>
        <v>0</v>
      </c>
      <c r="CS115" s="906">
        <f>WWWW[[#This Row],[%Equitable and continuous access to sufficient quantity of safe drinking water]]*WWWW[[#This Row],[Total PoP ]]</f>
        <v>0</v>
      </c>
      <c r="CT115" s="908">
        <f>IF((WWWW[[#This Row],['#_Constructed/Existing protected/fenced ponds]]*250)/WWWW[[#This Row],[Total PoP ]]&gt;1,1,(WWWW[[#This Row],['#_Constructed/Existing protected/fenced ponds]]*250)/WWWW[[#This Row],[Total PoP ]])</f>
        <v>0</v>
      </c>
      <c r="CU115" s="906">
        <f>WWWW[[#This Row],[% Access to unimproved water points]]*WWWW[[#This Row],[Total PoP ]]</f>
        <v>0</v>
      </c>
      <c r="CV115"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15"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15" s="906">
        <f>WWWW[[#This Row],[HRP1]]/500</f>
        <v>0</v>
      </c>
      <c r="CY115" s="911">
        <f>1-WWWW[[#This Row],[% Equitable and continuous access to sufficient quantity of domestic water]]</f>
        <v>1</v>
      </c>
      <c r="CZ115" s="906">
        <f>WWWW[[#This Row],[%equitable and continuous access to sufficient quantity of safe drinking and domestic water''s GAP]]*WWWW[[#This Row],[Total PoP ]]</f>
        <v>28</v>
      </c>
      <c r="DA115" s="909">
        <f>IF(WWWW[[#This Row],[Total required water points]]-WWWW[[#This Row],['#Water points coverage]]&lt;0,0,WWWW[[#This Row],[Total required water points]]-WWWW[[#This Row],['#Water points coverage]])</f>
        <v>1</v>
      </c>
      <c r="DB115" s="909">
        <f>ROUND(IF(WWWW[[#This Row],[Total PoP ]]&lt;500,1,WWWW[[#This Row],[Total PoP ]]/500),0)</f>
        <v>1</v>
      </c>
      <c r="DC115" s="909">
        <f>(WWWW[[#This Row],['#_Constructed latrines_by_WASHAgencies]]+WWWW[[#This Row],['#_Non Cluster partner latrines]])-WWWW[[#This Row],['#_Non-functional latrines]]</f>
        <v>6</v>
      </c>
      <c r="DD115" s="615">
        <f>WWWW[[#This Row],[HRP2]]/WWWW[[#This Row],[Total PoP ]]</f>
        <v>1</v>
      </c>
      <c r="DE115"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28</v>
      </c>
      <c r="DF115"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5"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5" s="417">
        <f>IF(WWWW[[#This Row],['# of functional latrines in THF supported by WASH partners during the reporting period2]]="",0,WWWW[[#This Row],['# of functional latrines in THF supported by WASH partners during the reporting period2]]*50)</f>
        <v>0</v>
      </c>
      <c r="DI115" s="909">
        <f>ROUND(IF(WWWW[[#This Row],[Location Type 1]]="camp",WWWW[[#This Row],[Total PoP ]]/20,IF(WWWW[[#This Row],[Location Type 1]]="Temporary Location",WWWW[[#This Row],[Total PoP ]]/50,(WWWW[[#This Row],[Total PoP ]]/6))),0)</f>
        <v>1</v>
      </c>
      <c r="DJ115" s="909">
        <f>IF(WWWW[[#This Row],[Total required Latrines]]-(WWWW[[#This Row],['#_Constructed latrines_by_WASHAgencies]]+WWWW[[#This Row],['#_Non Cluster partner latrines]])&lt;0,0,WWWW[[#This Row],[Total required Latrines]]-(WWWW[[#This Row],['#_Constructed latrines_by_WASHAgencies]]+WWWW[[#This Row],['#_Non Cluster partner latrines]]))</f>
        <v>0</v>
      </c>
      <c r="DK115" s="911">
        <f>1-WWWW[[#This Row],[% people access to functioning Latrine]]</f>
        <v>0</v>
      </c>
      <c r="DL115" s="910">
        <f>IF(OR(WWWW[[#This Row],['#_Non-functional latrines]]="",WWWW[[#This Row],['#_Non-functional latrines]]=0),0,WWWW[[#This Row],['#_Non-functional latrines]]/(WWWW[[#This Row],['#_Constructed latrines_by_WASHAgencies]]+WWWW[[#This Row],['#_Non Cluster partner latrines]]))</f>
        <v>0</v>
      </c>
      <c r="DM115" s="906">
        <f>IF(500*(WWWW[[#This Row],['#_male hygiene promoters]]+WWWW[[#This Row],['#_female hygiene promoters]])&gt;WWWW[[#This Row],[Total PoP ]],WWWW[[#This Row],[Total PoP ]],500*(WWWW[[#This Row],['#_male hygiene promoters]]+WWWW[[#This Row],['#_female hygiene promoters]]))</f>
        <v>0</v>
      </c>
      <c r="DN115"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5"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5" s="909">
        <f>IF(WWWW[[#This Row],['# People with access to soap]]&gt;WWWW[[#This Row],['# People with access to Sanity Pads]],WWWW[[#This Row],['# People with access to soap]],WWWW[[#This Row],['# People with access to Sanity Pads]])</f>
        <v>0</v>
      </c>
      <c r="DQ115"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15" s="911">
        <f>IF(WWWW[[#This Row],[HRP3]]/WWWW[[#This Row],[Total PoP ]]&gt;1,1,WWWW[[#This Row],[HRP3]]/WWWW[[#This Row],[Total PoP ]])</f>
        <v>0</v>
      </c>
      <c r="DS115" s="910">
        <f>1-WWWW[[#This Row],[Hygiene Coverage%]]</f>
        <v>1</v>
      </c>
      <c r="DT115" s="908">
        <f>WWWW[[#This Row],['# people reached by regular dedicated hygiene promotion_5]]/WWWW[[#This Row],[Total PoP ]]</f>
        <v>0</v>
      </c>
      <c r="DU115"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5"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5" s="909">
        <f>WWWW[[#This Row],['#_Constructed/Existing hand washing stations]]-WWWW[[#This Row],['#_Non-Functional_hand_washing_stations]]</f>
        <v>0</v>
      </c>
      <c r="DX115" s="906">
        <f>IF(WWWW[[#This Row],['# Functional hand washing stations during reporting period]]*20&gt;WWWW[[#This Row],[Total HH]],WWWW[[#This Row],[Total HH]],WWWW[[#This Row],['# Functional hand washing stations during reporting period]]*20)</f>
        <v>0</v>
      </c>
      <c r="DY115" s="906">
        <f>IF(WWWW[[#This Row],[Is sufficient soap available for TLS? (Yes/No)]]="yes",WWWW[[#This Row],['#_Constructed/Existing hand washing stations at TLS/CFS/THF]],0)</f>
        <v>0</v>
      </c>
      <c r="DZ115" s="421">
        <f>IF(WWWW[[#This Row],['# Functional hand washing stations during reporting period]]*100&gt;WWWW[[#This Row],[Total PoP ]],WWWW[[#This Row],[Total PoP ]],WWWW[[#This Row],['# Functional hand washing stations during reporting period]]*100)</f>
        <v>0</v>
      </c>
      <c r="EA115" s="421" t="str">
        <f>IF(OR(WWWW[[#This Row],['#_students at TLS_CFS]]="",WWWW[[#This Row],['#_students at TLS_CFS]]=0),"No","Yes")</f>
        <v>No</v>
      </c>
      <c r="EB11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5" s="566">
        <f>WWWW[[#This Row],[%_of_affected_people_surveyed_who_report_feeling_satistfied_with_the_latrine_design_and_sanitation_service]]*WWWW[[#This Row],[Total PoP ]]</f>
        <v>0</v>
      </c>
      <c r="ED115" s="566">
        <f>WWWW[[#This Row],[%_of_affected_people_surveyed_who_report_feeling_satistfied_with_the_water_point_design_and_water_service]]*WWWW[[#This Row],[Total PoP ]]</f>
        <v>0</v>
      </c>
      <c r="EE115" s="566">
        <f>WWWW[[#This Row],[%_of_complaints_received_that_result_in_timely_corrective_action_and_feedback_to_the_community]]*WWWW[[#This Row],[Total PoP ]]</f>
        <v>0</v>
      </c>
      <c r="EF11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1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5" s="902">
        <f>VLOOKUP(WWWW[[#This Row],[Site Name]],SiteDB6[[Site Name]:[CCCM Management]],6,FALSE)</f>
        <v>0</v>
      </c>
      <c r="EJ115" s="902">
        <f>VLOOKUP(WWWW[[#This Row],[Site Name]],SiteDB6[[Site Name]:[CCCM Focal Agency]],7,FALSE)</f>
        <v>0</v>
      </c>
      <c r="EK115" s="902" t="str">
        <f>VLOOKUP(WWWW[[#This Row],[Site Name]],SiteDB6[[Site Name]:[Location Type 1]],9,FALSE)</f>
        <v>Camp</v>
      </c>
      <c r="EL115" s="902" t="str">
        <f>VLOOKUP(WWWW[[#This Row],[Site Name]],SiteDB6[[Site Name]:[Type of Accommodation]],10,FALSE)</f>
        <v>Camp like setting</v>
      </c>
      <c r="EM115" s="902" t="str">
        <f>VLOOKUP(WWWW[[#This Row],[Site Name]],SiteDB6[[Site Name]:[Ethnic or GCA/NGCA]],11,FALSE)</f>
        <v>GCA</v>
      </c>
      <c r="EN115" s="902">
        <f>VLOOKUP(WWWW[[#This Row],[Site Name]],SiteDB6[[Site Name]:[Lat]],12,FALSE)</f>
        <v>0</v>
      </c>
      <c r="EO115" s="902">
        <f>VLOOKUP(WWWW[[#This Row],[Site Name]],SiteDB6[[Site Name]:[Long]],13,FALSE)</f>
        <v>0</v>
      </c>
      <c r="EP115" s="902" t="str">
        <f>VLOOKUP(WWWW[[#This Row],[Site Name]],SiteDB6[[Site Name]:[Pcode]],3,FALSE)</f>
        <v>MMR015CMP078</v>
      </c>
      <c r="EQ115" s="907" t="str">
        <f t="shared" si="1"/>
        <v>Covered</v>
      </c>
      <c r="ER115" s="907" t="s">
        <v>3126</v>
      </c>
      <c r="ES115" s="907" t="s">
        <v>3126</v>
      </c>
      <c r="ET115" s="902">
        <f>VLOOKUP(WWWW[[#This Row],[Site Name]],SiteDB6[[Site Name]:[Pop
(Kachin/Shan-CCCM as of May 2023)]],16,FALSE)</f>
        <v>9</v>
      </c>
      <c r="EU115" s="902">
        <f>VLOOKUP(WWWW[[#This Row],[Site Name]],SiteDB6[[Site Name]:[Pop
(Kachin/Shan-CCCM as of May 2023)]],17,FALSE)</f>
        <v>28</v>
      </c>
    </row>
    <row r="116" spans="1:151" hidden="1">
      <c r="A116" s="900" t="s">
        <v>2961</v>
      </c>
      <c r="B116" s="900" t="s">
        <v>192</v>
      </c>
      <c r="C116" s="901" t="s">
        <v>192</v>
      </c>
      <c r="D116" s="901" t="s">
        <v>241</v>
      </c>
      <c r="E116" s="901" t="s">
        <v>515</v>
      </c>
      <c r="F116" s="901" t="s">
        <v>955</v>
      </c>
      <c r="G116" s="902" t="str">
        <f>VLOOKUP(WWWW[[#This Row],[Site Name]],SiteDB6[[Site Name]:[Location Type]],8,FALSE)</f>
        <v>Camp</v>
      </c>
      <c r="H116" s="901" t="s">
        <v>2844</v>
      </c>
      <c r="I116" s="903">
        <v>14</v>
      </c>
      <c r="J116" s="903">
        <v>31</v>
      </c>
      <c r="K116" s="904">
        <v>44511</v>
      </c>
      <c r="L116" s="905">
        <v>44875</v>
      </c>
      <c r="M116" s="903"/>
      <c r="N116" s="903"/>
      <c r="O116" s="903"/>
      <c r="P116" s="903"/>
      <c r="Q116" s="906"/>
      <c r="R116" s="903"/>
      <c r="S116" s="903"/>
      <c r="T116" s="441"/>
      <c r="U116" s="903"/>
      <c r="V116" s="903"/>
      <c r="W116" s="903"/>
      <c r="X116" s="903"/>
      <c r="Y116" s="903"/>
      <c r="Z116" s="903"/>
      <c r="AA116" s="903"/>
      <c r="AB116" s="903"/>
      <c r="AC116" s="903"/>
      <c r="AD116" s="903"/>
      <c r="AE116" s="903"/>
      <c r="AF116" s="903"/>
      <c r="AG116" s="903"/>
      <c r="AH116" s="903"/>
      <c r="AI116" s="903"/>
      <c r="AJ116" s="903"/>
      <c r="AK116" s="903"/>
      <c r="AL116" s="903"/>
      <c r="AM116" s="903"/>
      <c r="AN116" s="903"/>
      <c r="AO116" s="441"/>
      <c r="AP116" s="907"/>
      <c r="AQ116" s="903"/>
      <c r="AR116" s="903">
        <v>4</v>
      </c>
      <c r="AS116" s="908"/>
      <c r="AT116" s="903"/>
      <c r="AU116" s="903"/>
      <c r="AV116" s="903"/>
      <c r="AW116" s="903"/>
      <c r="AX116" s="903"/>
      <c r="AY116" s="902" t="s">
        <v>140</v>
      </c>
      <c r="AZ116" s="907" t="s">
        <v>140</v>
      </c>
      <c r="BA116" s="903"/>
      <c r="BB116" s="903"/>
      <c r="BC116" s="903"/>
      <c r="BD116" s="441"/>
      <c r="BE116" s="441"/>
      <c r="BF116" s="902"/>
      <c r="BG116" s="903"/>
      <c r="BH116" s="903"/>
      <c r="BI116" s="903"/>
      <c r="BJ116" s="903"/>
      <c r="BK116" s="903"/>
      <c r="BL116" s="903"/>
      <c r="BM116" s="903"/>
      <c r="BN116" s="903"/>
      <c r="BO116" s="903"/>
      <c r="BP116" s="902" t="s">
        <v>41</v>
      </c>
      <c r="BQ116" s="909"/>
      <c r="BR116" s="908"/>
      <c r="BS116" s="902"/>
      <c r="BT116" s="416"/>
      <c r="BU116" s="416"/>
      <c r="BV116" s="418"/>
      <c r="BW116" s="416"/>
      <c r="BX116" s="441"/>
      <c r="BY116" s="441"/>
      <c r="BZ116" s="441"/>
      <c r="CA116" s="441"/>
      <c r="CB116" s="441"/>
      <c r="CC116" s="693"/>
      <c r="CD116" s="441"/>
      <c r="CE116" s="910" t="str">
        <f>IFERROR(WWWW[[#This Row],['#_Water sources passed]]/WWWW[[#This Row],['#_Water sources tested for fecal coliform ]],"no test")</f>
        <v>no test</v>
      </c>
      <c r="CF116" s="908" t="str">
        <f>IFERROR(WWWW[[#This Row],['#_Household passed]]/WWWW[[#This Row],['#_Household water samples tested for fecal coliform]],"no test")</f>
        <v>no test</v>
      </c>
      <c r="CG116" s="909" t="str">
        <f>IF(AND(WWWW[[#This Row],[% of water sources passed]]="no test",WWWW[[#This Row],[% Household passed]]="no test"),"No Test","Tested")</f>
        <v>No Test</v>
      </c>
      <c r="CH116" s="909">
        <f>WWWW[[#This Row],['#_Constructed/existing protected hand dug well]]-WWWW[[#This Row],['#_Non-functional protected hand dug well]]</f>
        <v>0</v>
      </c>
      <c r="CI116" s="909">
        <f>(WWWW[[#This Row],['#_Constructed/Existing tube wells/boreholes/handpumps_WASH_agency]]+WWWW[[#This Row],['#_Non-Cluster partner water tube-wells/boreholes/handpumps]])-WWWW[[#This Row],['#_Non-functional tube wells/boreholes/handpumps]]</f>
        <v>0</v>
      </c>
      <c r="CJ116" s="909">
        <f>WWWW[[#This Row],['#_Constructed/Existingwater storage tank with gravity fed reticulation system]]-WWWW[[#This Row],['#_Non-functional storage tank gravity fed reticulation system]]</f>
        <v>0</v>
      </c>
      <c r="CK116" s="909">
        <f>(WWWW[[#This Row],['#_Water_Liters_supplied_by_Water boating or water trucking]]/90)/15</f>
        <v>0</v>
      </c>
      <c r="CL116" s="909">
        <f>WWWW[[#This Row],['#_Water_Liters_from_Constructed/Existing water distribution system from river or natural spring]]/90/15</f>
        <v>0</v>
      </c>
      <c r="CM116" s="417">
        <f>IF(WWWW[[#This Row],['#_of water points in TLS/CFS]]*500&gt;WWWW[[#This Row],[Total PoP ]],WWWW[[#This Row],[Total PoP ]],WWWW[[#This Row],['#_of water points in TLS/CFS]]*500)</f>
        <v>0</v>
      </c>
      <c r="CN116" s="417">
        <f>IF(WWWW[[#This Row],['#_of water points in THF]]*500&gt;WWWW[[#This Row],[Total PoP ]],WWWW[[#This Row],[Total PoP ]],WWWW[[#This Row],['#_of water points in THF]]*500)</f>
        <v>0</v>
      </c>
      <c r="CO116" s="417"/>
      <c r="CP116"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16"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16" s="908">
        <f>IF(WWWW[[#This Row],[Location Type 1]]="Village",WWWW[[#This Row],[Access to safe drinking water for Village]],WWWW[[#This Row],[Access to safe drinking water for Camp]])</f>
        <v>0</v>
      </c>
      <c r="CS116" s="906">
        <f>WWWW[[#This Row],[%Equitable and continuous access to sufficient quantity of safe drinking water]]*WWWW[[#This Row],[Total PoP ]]</f>
        <v>0</v>
      </c>
      <c r="CT116" s="908">
        <f>IF((WWWW[[#This Row],['#_Constructed/Existing protected/fenced ponds]]*250)/WWWW[[#This Row],[Total PoP ]]&gt;1,1,(WWWW[[#This Row],['#_Constructed/Existing protected/fenced ponds]]*250)/WWWW[[#This Row],[Total PoP ]])</f>
        <v>0</v>
      </c>
      <c r="CU116" s="906">
        <f>WWWW[[#This Row],[% Access to unimproved water points]]*WWWW[[#This Row],[Total PoP ]]</f>
        <v>0</v>
      </c>
      <c r="CV116"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16"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16" s="906">
        <f>WWWW[[#This Row],[HRP1]]/500</f>
        <v>0</v>
      </c>
      <c r="CY116" s="911">
        <f>1-WWWW[[#This Row],[% Equitable and continuous access to sufficient quantity of domestic water]]</f>
        <v>1</v>
      </c>
      <c r="CZ116" s="906">
        <f>WWWW[[#This Row],[%equitable and continuous access to sufficient quantity of safe drinking and domestic water''s GAP]]*WWWW[[#This Row],[Total PoP ]]</f>
        <v>31</v>
      </c>
      <c r="DA116" s="909">
        <f>IF(WWWW[[#This Row],[Total required water points]]-WWWW[[#This Row],['#Water points coverage]]&lt;0,0,WWWW[[#This Row],[Total required water points]]-WWWW[[#This Row],['#Water points coverage]])</f>
        <v>1</v>
      </c>
      <c r="DB116" s="909">
        <f>ROUND(IF(WWWW[[#This Row],[Total PoP ]]&lt;500,1,WWWW[[#This Row],[Total PoP ]]/500),0)</f>
        <v>1</v>
      </c>
      <c r="DC116" s="909">
        <f>(WWWW[[#This Row],['#_Constructed latrines_by_WASHAgencies]]+WWWW[[#This Row],['#_Non Cluster partner latrines]])-WWWW[[#This Row],['#_Non-functional latrines]]</f>
        <v>4</v>
      </c>
      <c r="DD116" s="615">
        <f>WWWW[[#This Row],[HRP2]]/WWWW[[#This Row],[Total PoP ]]</f>
        <v>1</v>
      </c>
      <c r="DE116"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31</v>
      </c>
      <c r="DF116"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6"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6" s="417">
        <f>IF(WWWW[[#This Row],['# of functional latrines in THF supported by WASH partners during the reporting period2]]="",0,WWWW[[#This Row],['# of functional latrines in THF supported by WASH partners during the reporting period2]]*50)</f>
        <v>0</v>
      </c>
      <c r="DI116" s="909">
        <f>ROUND(IF(WWWW[[#This Row],[Location Type 1]]="camp",WWWW[[#This Row],[Total PoP ]]/20,IF(WWWW[[#This Row],[Location Type 1]]="Temporary Location",WWWW[[#This Row],[Total PoP ]]/50,(WWWW[[#This Row],[Total PoP ]]/6))),0)</f>
        <v>2</v>
      </c>
      <c r="DJ116" s="909">
        <f>IF(WWWW[[#This Row],[Total required Latrines]]-(WWWW[[#This Row],['#_Constructed latrines_by_WASHAgencies]]+WWWW[[#This Row],['#_Non Cluster partner latrines]])&lt;0,0,WWWW[[#This Row],[Total required Latrines]]-(WWWW[[#This Row],['#_Constructed latrines_by_WASHAgencies]]+WWWW[[#This Row],['#_Non Cluster partner latrines]]))</f>
        <v>0</v>
      </c>
      <c r="DK116" s="911">
        <f>1-WWWW[[#This Row],[% people access to functioning Latrine]]</f>
        <v>0</v>
      </c>
      <c r="DL116" s="910">
        <f>IF(OR(WWWW[[#This Row],['#_Non-functional latrines]]="",WWWW[[#This Row],['#_Non-functional latrines]]=0),0,WWWW[[#This Row],['#_Non-functional latrines]]/(WWWW[[#This Row],['#_Constructed latrines_by_WASHAgencies]]+WWWW[[#This Row],['#_Non Cluster partner latrines]]))</f>
        <v>0</v>
      </c>
      <c r="DM116" s="906">
        <f>IF(500*(WWWW[[#This Row],['#_male hygiene promoters]]+WWWW[[#This Row],['#_female hygiene promoters]])&gt;WWWW[[#This Row],[Total PoP ]],WWWW[[#This Row],[Total PoP ]],500*(WWWW[[#This Row],['#_male hygiene promoters]]+WWWW[[#This Row],['#_female hygiene promoters]]))</f>
        <v>0</v>
      </c>
      <c r="DN116"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6"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6" s="909">
        <f>IF(WWWW[[#This Row],['# People with access to soap]]&gt;WWWW[[#This Row],['# People with access to Sanity Pads]],WWWW[[#This Row],['# People with access to soap]],WWWW[[#This Row],['# People with access to Sanity Pads]])</f>
        <v>0</v>
      </c>
      <c r="DQ116"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16" s="911">
        <f>IF(WWWW[[#This Row],[HRP3]]/WWWW[[#This Row],[Total PoP ]]&gt;1,1,WWWW[[#This Row],[HRP3]]/WWWW[[#This Row],[Total PoP ]])</f>
        <v>0</v>
      </c>
      <c r="DS116" s="910">
        <f>1-WWWW[[#This Row],[Hygiene Coverage%]]</f>
        <v>1</v>
      </c>
      <c r="DT116" s="908">
        <f>WWWW[[#This Row],['# people reached by regular dedicated hygiene promotion_5]]/WWWW[[#This Row],[Total PoP ]]</f>
        <v>0</v>
      </c>
      <c r="DU116"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6"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6" s="909">
        <f>WWWW[[#This Row],['#_Constructed/Existing hand washing stations]]-WWWW[[#This Row],['#_Non-Functional_hand_washing_stations]]</f>
        <v>0</v>
      </c>
      <c r="DX116" s="906">
        <f>IF(WWWW[[#This Row],['# Functional hand washing stations during reporting period]]*20&gt;WWWW[[#This Row],[Total HH]],WWWW[[#This Row],[Total HH]],WWWW[[#This Row],['# Functional hand washing stations during reporting period]]*20)</f>
        <v>0</v>
      </c>
      <c r="DY116" s="906">
        <f>IF(WWWW[[#This Row],[Is sufficient soap available for TLS? (Yes/No)]]="yes",WWWW[[#This Row],['#_Constructed/Existing hand washing stations at TLS/CFS/THF]],0)</f>
        <v>0</v>
      </c>
      <c r="DZ116" s="421">
        <f>IF(WWWW[[#This Row],['# Functional hand washing stations during reporting period]]*100&gt;WWWW[[#This Row],[Total PoP ]],WWWW[[#This Row],[Total PoP ]],WWWW[[#This Row],['# Functional hand washing stations during reporting period]]*100)</f>
        <v>0</v>
      </c>
      <c r="EA116" s="421" t="str">
        <f>IF(OR(WWWW[[#This Row],['#_students at TLS_CFS]]="",WWWW[[#This Row],['#_students at TLS_CFS]]=0),"No","Yes")</f>
        <v>No</v>
      </c>
      <c r="EB11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6" s="566">
        <f>WWWW[[#This Row],[%_of_affected_people_surveyed_who_report_feeling_satistfied_with_the_latrine_design_and_sanitation_service]]*WWWW[[#This Row],[Total PoP ]]</f>
        <v>0</v>
      </c>
      <c r="ED116" s="566">
        <f>WWWW[[#This Row],[%_of_affected_people_surveyed_who_report_feeling_satistfied_with_the_water_point_design_and_water_service]]*WWWW[[#This Row],[Total PoP ]]</f>
        <v>0</v>
      </c>
      <c r="EE116" s="566">
        <f>WWWW[[#This Row],[%_of_complaints_received_that_result_in_timely_corrective_action_and_feedback_to_the_community]]*WWWW[[#This Row],[Total PoP ]]</f>
        <v>0</v>
      </c>
      <c r="EF11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1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6" s="902">
        <f>VLOOKUP(WWWW[[#This Row],[Site Name]],SiteDB6[[Site Name]:[CCCM Management]],6,FALSE)</f>
        <v>0</v>
      </c>
      <c r="EJ116" s="902">
        <f>VLOOKUP(WWWW[[#This Row],[Site Name]],SiteDB6[[Site Name]:[CCCM Focal Agency]],7,FALSE)</f>
        <v>0</v>
      </c>
      <c r="EK116" s="902" t="str">
        <f>VLOOKUP(WWWW[[#This Row],[Site Name]],SiteDB6[[Site Name]:[Location Type 1]],9,FALSE)</f>
        <v>Camp</v>
      </c>
      <c r="EL116" s="902" t="str">
        <f>VLOOKUP(WWWW[[#This Row],[Site Name]],SiteDB6[[Site Name]:[Type of Accommodation]],10,FALSE)</f>
        <v>Camp like setting</v>
      </c>
      <c r="EM116" s="902" t="str">
        <f>VLOOKUP(WWWW[[#This Row],[Site Name]],SiteDB6[[Site Name]:[Ethnic or GCA/NGCA]],11,FALSE)</f>
        <v>GCA</v>
      </c>
      <c r="EN116" s="902">
        <f>VLOOKUP(WWWW[[#This Row],[Site Name]],SiteDB6[[Site Name]:[Lat]],12,FALSE)</f>
        <v>0</v>
      </c>
      <c r="EO116" s="902">
        <f>VLOOKUP(WWWW[[#This Row],[Site Name]],SiteDB6[[Site Name]:[Long]],13,FALSE)</f>
        <v>0</v>
      </c>
      <c r="EP116" s="902" t="str">
        <f>VLOOKUP(WWWW[[#This Row],[Site Name]],SiteDB6[[Site Name]:[Pcode]],3,FALSE)</f>
        <v>MMR015CMP079</v>
      </c>
      <c r="EQ116" s="907" t="str">
        <f t="shared" si="1"/>
        <v>Covered</v>
      </c>
      <c r="ER116" s="907" t="s">
        <v>3126</v>
      </c>
      <c r="ES116" s="907" t="s">
        <v>3126</v>
      </c>
      <c r="ET116" s="902">
        <f>VLOOKUP(WWWW[[#This Row],[Site Name]],SiteDB6[[Site Name]:[Pop
(Kachin/Shan-CCCM as of May 2023)]],16,FALSE)</f>
        <v>14</v>
      </c>
      <c r="EU116" s="902">
        <f>VLOOKUP(WWWW[[#This Row],[Site Name]],SiteDB6[[Site Name]:[Pop
(Kachin/Shan-CCCM as of May 2023)]],17,FALSE)</f>
        <v>31</v>
      </c>
    </row>
    <row r="117" spans="1:151" hidden="1">
      <c r="A117" s="900" t="s">
        <v>2961</v>
      </c>
      <c r="B117" s="900" t="s">
        <v>192</v>
      </c>
      <c r="C117" s="901" t="s">
        <v>192</v>
      </c>
      <c r="D117" s="901" t="s">
        <v>241</v>
      </c>
      <c r="E117" s="901" t="s">
        <v>515</v>
      </c>
      <c r="F117" s="901" t="s">
        <v>955</v>
      </c>
      <c r="G117" s="902" t="str">
        <f>VLOOKUP(WWWW[[#This Row],[Site Name]],SiteDB6[[Site Name]:[Location Type]],8,FALSE)</f>
        <v>Camp</v>
      </c>
      <c r="H117" s="901" t="s">
        <v>2845</v>
      </c>
      <c r="I117" s="903">
        <v>54</v>
      </c>
      <c r="J117" s="903">
        <v>179</v>
      </c>
      <c r="K117" s="904">
        <v>44511</v>
      </c>
      <c r="L117" s="905">
        <v>44875</v>
      </c>
      <c r="M117" s="903"/>
      <c r="N117" s="903"/>
      <c r="O117" s="903"/>
      <c r="P117" s="903"/>
      <c r="Q117" s="906"/>
      <c r="R117" s="903"/>
      <c r="S117" s="903"/>
      <c r="T117" s="441"/>
      <c r="U117" s="903"/>
      <c r="V117" s="903"/>
      <c r="W117" s="903"/>
      <c r="X117" s="903">
        <v>2</v>
      </c>
      <c r="Y117" s="903"/>
      <c r="Z117" s="903"/>
      <c r="AA117" s="903"/>
      <c r="AB117" s="903"/>
      <c r="AC117" s="903"/>
      <c r="AD117" s="903"/>
      <c r="AE117" s="903"/>
      <c r="AF117" s="903"/>
      <c r="AG117" s="903"/>
      <c r="AH117" s="903"/>
      <c r="AI117" s="903"/>
      <c r="AJ117" s="903"/>
      <c r="AK117" s="903"/>
      <c r="AL117" s="903"/>
      <c r="AM117" s="903"/>
      <c r="AN117" s="903"/>
      <c r="AO117" s="441"/>
      <c r="AP117" s="907"/>
      <c r="AQ117" s="903">
        <v>24</v>
      </c>
      <c r="AR117" s="903">
        <v>6</v>
      </c>
      <c r="AS117" s="908"/>
      <c r="AT117" s="903"/>
      <c r="AU117" s="903"/>
      <c r="AV117" s="903"/>
      <c r="AW117" s="903"/>
      <c r="AX117" s="903"/>
      <c r="AY117" s="902" t="s">
        <v>140</v>
      </c>
      <c r="AZ117" s="907" t="s">
        <v>140</v>
      </c>
      <c r="BA117" s="903"/>
      <c r="BB117" s="903"/>
      <c r="BC117" s="903"/>
      <c r="BD117" s="441"/>
      <c r="BE117" s="441"/>
      <c r="BF117" s="902"/>
      <c r="BG117" s="903">
        <v>20</v>
      </c>
      <c r="BH117" s="903"/>
      <c r="BI117" s="903">
        <v>2</v>
      </c>
      <c r="BJ117" s="903"/>
      <c r="BK117" s="903"/>
      <c r="BL117" s="903"/>
      <c r="BM117" s="903"/>
      <c r="BN117" s="903"/>
      <c r="BO117" s="903"/>
      <c r="BP117" s="902" t="s">
        <v>41</v>
      </c>
      <c r="BQ117" s="909"/>
      <c r="BR117" s="908"/>
      <c r="BS117" s="902"/>
      <c r="BT117" s="416"/>
      <c r="BU117" s="416"/>
      <c r="BV117" s="418"/>
      <c r="BW117" s="416"/>
      <c r="BX117" s="441"/>
      <c r="BY117" s="441"/>
      <c r="BZ117" s="441"/>
      <c r="CA117" s="441"/>
      <c r="CB117" s="441"/>
      <c r="CC117" s="693"/>
      <c r="CD117" s="441"/>
      <c r="CE117" s="910" t="str">
        <f>IFERROR(WWWW[[#This Row],['#_Water sources passed]]/WWWW[[#This Row],['#_Water sources tested for fecal coliform ]],"no test")</f>
        <v>no test</v>
      </c>
      <c r="CF117" s="908" t="str">
        <f>IFERROR(WWWW[[#This Row],['#_Household passed]]/WWWW[[#This Row],['#_Household water samples tested for fecal coliform]],"no test")</f>
        <v>no test</v>
      </c>
      <c r="CG117" s="909" t="str">
        <f>IF(AND(WWWW[[#This Row],[% of water sources passed]]="no test",WWWW[[#This Row],[% Household passed]]="no test"),"No Test","Tested")</f>
        <v>No Test</v>
      </c>
      <c r="CH117" s="909">
        <f>WWWW[[#This Row],['#_Constructed/existing protected hand dug well]]-WWWW[[#This Row],['#_Non-functional protected hand dug well]]</f>
        <v>0</v>
      </c>
      <c r="CI117" s="909">
        <f>(WWWW[[#This Row],['#_Constructed/Existing tube wells/boreholes/handpumps_WASH_agency]]+WWWW[[#This Row],['#_Non-Cluster partner water tube-wells/boreholes/handpumps]])-WWWW[[#This Row],['#_Non-functional tube wells/boreholes/handpumps]]</f>
        <v>2</v>
      </c>
      <c r="CJ117" s="909">
        <f>WWWW[[#This Row],['#_Constructed/Existingwater storage tank with gravity fed reticulation system]]-WWWW[[#This Row],['#_Non-functional storage tank gravity fed reticulation system]]</f>
        <v>0</v>
      </c>
      <c r="CK117" s="909">
        <f>(WWWW[[#This Row],['#_Water_Liters_supplied_by_Water boating or water trucking]]/90)/15</f>
        <v>0</v>
      </c>
      <c r="CL117" s="909">
        <f>WWWW[[#This Row],['#_Water_Liters_from_Constructed/Existing water distribution system from river or natural spring]]/90/15</f>
        <v>0</v>
      </c>
      <c r="CM117" s="417">
        <f>IF(WWWW[[#This Row],['#_of water points in TLS/CFS]]*500&gt;WWWW[[#This Row],[Total PoP ]],WWWW[[#This Row],[Total PoP ]],WWWW[[#This Row],['#_of water points in TLS/CFS]]*500)</f>
        <v>0</v>
      </c>
      <c r="CN117" s="417">
        <f>IF(WWWW[[#This Row],['#_of water points in THF]]*500&gt;WWWW[[#This Row],[Total PoP ]],WWWW[[#This Row],[Total PoP ]],WWWW[[#This Row],['#_of water points in THF]]*500)</f>
        <v>0</v>
      </c>
      <c r="CO117" s="417"/>
      <c r="CP117"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17"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17" s="908">
        <f>IF(WWWW[[#This Row],[Location Type 1]]="Village",WWWW[[#This Row],[Access to safe drinking water for Village]],WWWW[[#This Row],[Access to safe drinking water for Camp]])</f>
        <v>1</v>
      </c>
      <c r="CS117" s="906">
        <f>WWWW[[#This Row],[%Equitable and continuous access to sufficient quantity of safe drinking water]]*WWWW[[#This Row],[Total PoP ]]</f>
        <v>179</v>
      </c>
      <c r="CT117" s="908">
        <f>IF((WWWW[[#This Row],['#_Constructed/Existing protected/fenced ponds]]*250)/WWWW[[#This Row],[Total PoP ]]&gt;1,1,(WWWW[[#This Row],['#_Constructed/Existing protected/fenced ponds]]*250)/WWWW[[#This Row],[Total PoP ]])</f>
        <v>0</v>
      </c>
      <c r="CU117" s="906">
        <f>WWWW[[#This Row],[% Access to unimproved water points]]*WWWW[[#This Row],[Total PoP ]]</f>
        <v>0</v>
      </c>
      <c r="CV117"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17"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179</v>
      </c>
      <c r="CX117" s="906">
        <f>WWWW[[#This Row],[HRP1]]/500</f>
        <v>0.35799999999999998</v>
      </c>
      <c r="CY117" s="911">
        <f>1-WWWW[[#This Row],[% Equitable and continuous access to sufficient quantity of domestic water]]</f>
        <v>0</v>
      </c>
      <c r="CZ117" s="906">
        <f>WWWW[[#This Row],[%equitable and continuous access to sufficient quantity of safe drinking and domestic water''s GAP]]*WWWW[[#This Row],[Total PoP ]]</f>
        <v>0</v>
      </c>
      <c r="DA117" s="909">
        <f>IF(WWWW[[#This Row],[Total required water points]]-WWWW[[#This Row],['#Water points coverage]]&lt;0,0,WWWW[[#This Row],[Total required water points]]-WWWW[[#This Row],['#Water points coverage]])</f>
        <v>0.64200000000000002</v>
      </c>
      <c r="DB117" s="909">
        <f>ROUND(IF(WWWW[[#This Row],[Total PoP ]]&lt;500,1,WWWW[[#This Row],[Total PoP ]]/500),0)</f>
        <v>1</v>
      </c>
      <c r="DC117" s="909">
        <f>(WWWW[[#This Row],['#_Constructed latrines_by_WASHAgencies]]+WWWW[[#This Row],['#_Non Cluster partner latrines]])-WWWW[[#This Row],['#_Non-functional latrines]]</f>
        <v>30</v>
      </c>
      <c r="DD117" s="615">
        <f>WWWW[[#This Row],[HRP2]]/WWWW[[#This Row],[Total PoP ]]</f>
        <v>1</v>
      </c>
      <c r="DE117"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179</v>
      </c>
      <c r="DF117"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7"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7" s="417">
        <f>IF(WWWW[[#This Row],['# of functional latrines in THF supported by WASH partners during the reporting period2]]="",0,WWWW[[#This Row],['# of functional latrines in THF supported by WASH partners during the reporting period2]]*50)</f>
        <v>0</v>
      </c>
      <c r="DI117" s="909">
        <f>ROUND(IF(WWWW[[#This Row],[Location Type 1]]="camp",WWWW[[#This Row],[Total PoP ]]/20,IF(WWWW[[#This Row],[Location Type 1]]="Temporary Location",WWWW[[#This Row],[Total PoP ]]/50,(WWWW[[#This Row],[Total PoP ]]/6))),0)</f>
        <v>9</v>
      </c>
      <c r="DJ117" s="909">
        <f>IF(WWWW[[#This Row],[Total required Latrines]]-(WWWW[[#This Row],['#_Constructed latrines_by_WASHAgencies]]+WWWW[[#This Row],['#_Non Cluster partner latrines]])&lt;0,0,WWWW[[#This Row],[Total required Latrines]]-(WWWW[[#This Row],['#_Constructed latrines_by_WASHAgencies]]+WWWW[[#This Row],['#_Non Cluster partner latrines]]))</f>
        <v>0</v>
      </c>
      <c r="DK117" s="911">
        <f>1-WWWW[[#This Row],[% people access to functioning Latrine]]</f>
        <v>0</v>
      </c>
      <c r="DL117" s="910">
        <f>IF(OR(WWWW[[#This Row],['#_Non-functional latrines]]="",WWWW[[#This Row],['#_Non-functional latrines]]=0),0,WWWW[[#This Row],['#_Non-functional latrines]]/(WWWW[[#This Row],['#_Constructed latrines_by_WASHAgencies]]+WWWW[[#This Row],['#_Non Cluster partner latrines]]))</f>
        <v>0</v>
      </c>
      <c r="DM117" s="906">
        <f>IF(500*(WWWW[[#This Row],['#_male hygiene promoters]]+WWWW[[#This Row],['#_female hygiene promoters]])&gt;WWWW[[#This Row],[Total PoP ]],WWWW[[#This Row],[Total PoP ]],500*(WWWW[[#This Row],['#_male hygiene promoters]]+WWWW[[#This Row],['#_female hygiene promoters]]))</f>
        <v>0</v>
      </c>
      <c r="DN117"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7"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7" s="909">
        <f>IF(WWWW[[#This Row],['# People with access to soap]]&gt;WWWW[[#This Row],['# People with access to Sanity Pads]],WWWW[[#This Row],['# People with access to soap]],WWWW[[#This Row],['# People with access to Sanity Pads]])</f>
        <v>0</v>
      </c>
      <c r="DQ117"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17" s="911">
        <f>IF(WWWW[[#This Row],[HRP3]]/WWWW[[#This Row],[Total PoP ]]&gt;1,1,WWWW[[#This Row],[HRP3]]/WWWW[[#This Row],[Total PoP ]])</f>
        <v>0</v>
      </c>
      <c r="DS117" s="910">
        <f>1-WWWW[[#This Row],[Hygiene Coverage%]]</f>
        <v>1</v>
      </c>
      <c r="DT117" s="908">
        <f>WWWW[[#This Row],['# people reached by regular dedicated hygiene promotion_5]]/WWWW[[#This Row],[Total PoP ]]</f>
        <v>0</v>
      </c>
      <c r="DU117"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7"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7" s="909">
        <f>WWWW[[#This Row],['#_Constructed/Existing hand washing stations]]-WWWW[[#This Row],['#_Non-Functional_hand_washing_stations]]</f>
        <v>20</v>
      </c>
      <c r="DX117" s="906">
        <f>IF(WWWW[[#This Row],['# Functional hand washing stations during reporting period]]*20&gt;WWWW[[#This Row],[Total HH]],WWWW[[#This Row],[Total HH]],WWWW[[#This Row],['# Functional hand washing stations during reporting period]]*20)</f>
        <v>54</v>
      </c>
      <c r="DY117" s="906">
        <f>IF(WWWW[[#This Row],[Is sufficient soap available for TLS? (Yes/No)]]="yes",WWWW[[#This Row],['#_Constructed/Existing hand washing stations at TLS/CFS/THF]],0)</f>
        <v>0</v>
      </c>
      <c r="DZ117" s="421">
        <f>IF(WWWW[[#This Row],['# Functional hand washing stations during reporting period]]*100&gt;WWWW[[#This Row],[Total PoP ]],WWWW[[#This Row],[Total PoP ]],WWWW[[#This Row],['# Functional hand washing stations during reporting period]]*100)</f>
        <v>179</v>
      </c>
      <c r="EA117" s="421" t="str">
        <f>IF(OR(WWWW[[#This Row],['#_students at TLS_CFS]]="",WWWW[[#This Row],['#_students at TLS_CFS]]=0),"No","Yes")</f>
        <v>No</v>
      </c>
      <c r="EB11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7" s="566">
        <f>WWWW[[#This Row],[%_of_affected_people_surveyed_who_report_feeling_satistfied_with_the_latrine_design_and_sanitation_service]]*WWWW[[#This Row],[Total PoP ]]</f>
        <v>0</v>
      </c>
      <c r="ED117" s="566">
        <f>WWWW[[#This Row],[%_of_affected_people_surveyed_who_report_feeling_satistfied_with_the_water_point_design_and_water_service]]*WWWW[[#This Row],[Total PoP ]]</f>
        <v>0</v>
      </c>
      <c r="EE117" s="566">
        <f>WWWW[[#This Row],[%_of_complaints_received_that_result_in_timely_corrective_action_and_feedback_to_the_community]]*WWWW[[#This Row],[Total PoP ]]</f>
        <v>0</v>
      </c>
      <c r="EF11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1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7" s="902">
        <f>VLOOKUP(WWWW[[#This Row],[Site Name]],SiteDB6[[Site Name]:[CCCM Management]],6,FALSE)</f>
        <v>0</v>
      </c>
      <c r="EJ117" s="902">
        <f>VLOOKUP(WWWW[[#This Row],[Site Name]],SiteDB6[[Site Name]:[CCCM Focal Agency]],7,FALSE)</f>
        <v>0</v>
      </c>
      <c r="EK117" s="902" t="str">
        <f>VLOOKUP(WWWW[[#This Row],[Site Name]],SiteDB6[[Site Name]:[Location Type 1]],9,FALSE)</f>
        <v>Camp</v>
      </c>
      <c r="EL117" s="902" t="str">
        <f>VLOOKUP(WWWW[[#This Row],[Site Name]],SiteDB6[[Site Name]:[Type of Accommodation]],10,FALSE)</f>
        <v>Closed Camp</v>
      </c>
      <c r="EM117" s="902" t="str">
        <f>VLOOKUP(WWWW[[#This Row],[Site Name]],SiteDB6[[Site Name]:[Ethnic or GCA/NGCA]],11,FALSE)</f>
        <v>GCA</v>
      </c>
      <c r="EN117" s="902">
        <f>VLOOKUP(WWWW[[#This Row],[Site Name]],SiteDB6[[Site Name]:[Lat]],12,FALSE)</f>
        <v>0</v>
      </c>
      <c r="EO117" s="902">
        <f>VLOOKUP(WWWW[[#This Row],[Site Name]],SiteDB6[[Site Name]:[Long]],13,FALSE)</f>
        <v>0</v>
      </c>
      <c r="EP117" s="902" t="str">
        <f>VLOOKUP(WWWW[[#This Row],[Site Name]],SiteDB6[[Site Name]:[Pcode]],3,FALSE)</f>
        <v>MMR015CMP080</v>
      </c>
      <c r="EQ117" s="907" t="str">
        <f t="shared" si="1"/>
        <v>Covered</v>
      </c>
      <c r="ER117" s="907" t="s">
        <v>3126</v>
      </c>
      <c r="ES117" s="907" t="s">
        <v>3126</v>
      </c>
      <c r="ET117" s="902">
        <f>VLOOKUP(WWWW[[#This Row],[Site Name]],SiteDB6[[Site Name]:[Pop
(Kachin/Shan-CCCM as of May 2023)]],16,FALSE)</f>
        <v>54</v>
      </c>
      <c r="EU117" s="902">
        <f>VLOOKUP(WWWW[[#This Row],[Site Name]],SiteDB6[[Site Name]:[Pop
(Kachin/Shan-CCCM as of May 2023)]],17,FALSE)</f>
        <v>155</v>
      </c>
    </row>
    <row r="118" spans="1:151" hidden="1">
      <c r="A118" s="900" t="s">
        <v>2961</v>
      </c>
      <c r="B118" s="900" t="s">
        <v>192</v>
      </c>
      <c r="C118" s="901" t="s">
        <v>192</v>
      </c>
      <c r="D118" s="901" t="s">
        <v>241</v>
      </c>
      <c r="E118" s="901" t="s">
        <v>515</v>
      </c>
      <c r="F118" s="901" t="s">
        <v>955</v>
      </c>
      <c r="G118" s="902" t="str">
        <f>VLOOKUP(WWWW[[#This Row],[Site Name]],SiteDB6[[Site Name]:[Location Type]],8,FALSE)</f>
        <v>Camp</v>
      </c>
      <c r="H118" s="901" t="s">
        <v>2846</v>
      </c>
      <c r="I118" s="903">
        <v>12</v>
      </c>
      <c r="J118" s="903">
        <v>26</v>
      </c>
      <c r="K118" s="904">
        <v>44511</v>
      </c>
      <c r="L118" s="905">
        <v>44875</v>
      </c>
      <c r="M118" s="903"/>
      <c r="N118" s="903"/>
      <c r="O118" s="903"/>
      <c r="P118" s="903"/>
      <c r="Q118" s="906"/>
      <c r="R118" s="903"/>
      <c r="S118" s="903"/>
      <c r="T118" s="441"/>
      <c r="U118" s="903"/>
      <c r="V118" s="903"/>
      <c r="W118" s="903"/>
      <c r="X118" s="903">
        <v>1</v>
      </c>
      <c r="Y118" s="903"/>
      <c r="Z118" s="903"/>
      <c r="AA118" s="903"/>
      <c r="AB118" s="903"/>
      <c r="AC118" s="903"/>
      <c r="AD118" s="903"/>
      <c r="AE118" s="903"/>
      <c r="AF118" s="903"/>
      <c r="AG118" s="903"/>
      <c r="AH118" s="903"/>
      <c r="AI118" s="903"/>
      <c r="AJ118" s="903"/>
      <c r="AK118" s="903"/>
      <c r="AL118" s="903"/>
      <c r="AM118" s="903"/>
      <c r="AN118" s="903"/>
      <c r="AO118" s="441"/>
      <c r="AP118" s="907"/>
      <c r="AQ118" s="903">
        <v>2</v>
      </c>
      <c r="AR118" s="903"/>
      <c r="AS118" s="908"/>
      <c r="AT118" s="903"/>
      <c r="AU118" s="903"/>
      <c r="AV118" s="903"/>
      <c r="AW118" s="903"/>
      <c r="AX118" s="903"/>
      <c r="AY118" s="902" t="s">
        <v>140</v>
      </c>
      <c r="AZ118" s="907" t="s">
        <v>140</v>
      </c>
      <c r="BA118" s="903"/>
      <c r="BB118" s="903"/>
      <c r="BC118" s="903"/>
      <c r="BD118" s="441"/>
      <c r="BE118" s="441"/>
      <c r="BF118" s="902"/>
      <c r="BG118" s="903">
        <v>4</v>
      </c>
      <c r="BH118" s="903"/>
      <c r="BI118" s="903"/>
      <c r="BJ118" s="903"/>
      <c r="BK118" s="903"/>
      <c r="BL118" s="903"/>
      <c r="BM118" s="903"/>
      <c r="BN118" s="903"/>
      <c r="BO118" s="903"/>
      <c r="BP118" s="902" t="s">
        <v>41</v>
      </c>
      <c r="BQ118" s="909"/>
      <c r="BR118" s="908"/>
      <c r="BS118" s="902"/>
      <c r="BT118" s="416"/>
      <c r="BU118" s="416"/>
      <c r="BV118" s="418"/>
      <c r="BW118" s="416"/>
      <c r="BX118" s="441"/>
      <c r="BY118" s="441"/>
      <c r="BZ118" s="441"/>
      <c r="CA118" s="441"/>
      <c r="CB118" s="441"/>
      <c r="CC118" s="693"/>
      <c r="CD118" s="441"/>
      <c r="CE118" s="910" t="str">
        <f>IFERROR(WWWW[[#This Row],['#_Water sources passed]]/WWWW[[#This Row],['#_Water sources tested for fecal coliform ]],"no test")</f>
        <v>no test</v>
      </c>
      <c r="CF118" s="908" t="str">
        <f>IFERROR(WWWW[[#This Row],['#_Household passed]]/WWWW[[#This Row],['#_Household water samples tested for fecal coliform]],"no test")</f>
        <v>no test</v>
      </c>
      <c r="CG118" s="909" t="str">
        <f>IF(AND(WWWW[[#This Row],[% of water sources passed]]="no test",WWWW[[#This Row],[% Household passed]]="no test"),"No Test","Tested")</f>
        <v>No Test</v>
      </c>
      <c r="CH118" s="909">
        <f>WWWW[[#This Row],['#_Constructed/existing protected hand dug well]]-WWWW[[#This Row],['#_Non-functional protected hand dug well]]</f>
        <v>0</v>
      </c>
      <c r="CI118" s="909">
        <f>(WWWW[[#This Row],['#_Constructed/Existing tube wells/boreholes/handpumps_WASH_agency]]+WWWW[[#This Row],['#_Non-Cluster partner water tube-wells/boreholes/handpumps]])-WWWW[[#This Row],['#_Non-functional tube wells/boreholes/handpumps]]</f>
        <v>1</v>
      </c>
      <c r="CJ118" s="909">
        <f>WWWW[[#This Row],['#_Constructed/Existingwater storage tank with gravity fed reticulation system]]-WWWW[[#This Row],['#_Non-functional storage tank gravity fed reticulation system]]</f>
        <v>0</v>
      </c>
      <c r="CK118" s="909">
        <f>(WWWW[[#This Row],['#_Water_Liters_supplied_by_Water boating or water trucking]]/90)/15</f>
        <v>0</v>
      </c>
      <c r="CL118" s="909">
        <f>WWWW[[#This Row],['#_Water_Liters_from_Constructed/Existing water distribution system from river or natural spring]]/90/15</f>
        <v>0</v>
      </c>
      <c r="CM118" s="417">
        <f>IF(WWWW[[#This Row],['#_of water points in TLS/CFS]]*500&gt;WWWW[[#This Row],[Total PoP ]],WWWW[[#This Row],[Total PoP ]],WWWW[[#This Row],['#_of water points in TLS/CFS]]*500)</f>
        <v>0</v>
      </c>
      <c r="CN118" s="417">
        <f>IF(WWWW[[#This Row],['#_of water points in THF]]*500&gt;WWWW[[#This Row],[Total PoP ]],WWWW[[#This Row],[Total PoP ]],WWWW[[#This Row],['#_of water points in THF]]*500)</f>
        <v>0</v>
      </c>
      <c r="CO118" s="417"/>
      <c r="CP118"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18"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18" s="908">
        <f>IF(WWWW[[#This Row],[Location Type 1]]="Village",WWWW[[#This Row],[Access to safe drinking water for Village]],WWWW[[#This Row],[Access to safe drinking water for Camp]])</f>
        <v>1</v>
      </c>
      <c r="CS118" s="906">
        <f>WWWW[[#This Row],[%Equitable and continuous access to sufficient quantity of safe drinking water]]*WWWW[[#This Row],[Total PoP ]]</f>
        <v>26</v>
      </c>
      <c r="CT118" s="908">
        <f>IF((WWWW[[#This Row],['#_Constructed/Existing protected/fenced ponds]]*250)/WWWW[[#This Row],[Total PoP ]]&gt;1,1,(WWWW[[#This Row],['#_Constructed/Existing protected/fenced ponds]]*250)/WWWW[[#This Row],[Total PoP ]])</f>
        <v>0</v>
      </c>
      <c r="CU118" s="906">
        <f>WWWW[[#This Row],[% Access to unimproved water points]]*WWWW[[#This Row],[Total PoP ]]</f>
        <v>0</v>
      </c>
      <c r="CV118"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18"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v>
      </c>
      <c r="CX118" s="906">
        <f>WWWW[[#This Row],[HRP1]]/500</f>
        <v>5.1999999999999998E-2</v>
      </c>
      <c r="CY118" s="911">
        <f>1-WWWW[[#This Row],[% Equitable and continuous access to sufficient quantity of domestic water]]</f>
        <v>0</v>
      </c>
      <c r="CZ118" s="906">
        <f>WWWW[[#This Row],[%equitable and continuous access to sufficient quantity of safe drinking and domestic water''s GAP]]*WWWW[[#This Row],[Total PoP ]]</f>
        <v>0</v>
      </c>
      <c r="DA118" s="909">
        <f>IF(WWWW[[#This Row],[Total required water points]]-WWWW[[#This Row],['#Water points coverage]]&lt;0,0,WWWW[[#This Row],[Total required water points]]-WWWW[[#This Row],['#Water points coverage]])</f>
        <v>0.94799999999999995</v>
      </c>
      <c r="DB118" s="909">
        <f>ROUND(IF(WWWW[[#This Row],[Total PoP ]]&lt;500,1,WWWW[[#This Row],[Total PoP ]]/500),0)</f>
        <v>1</v>
      </c>
      <c r="DC118" s="909">
        <f>(WWWW[[#This Row],['#_Constructed latrines_by_WASHAgencies]]+WWWW[[#This Row],['#_Non Cluster partner latrines]])-WWWW[[#This Row],['#_Non-functional latrines]]</f>
        <v>2</v>
      </c>
      <c r="DD118" s="615">
        <f>WWWW[[#This Row],[HRP2]]/WWWW[[#This Row],[Total PoP ]]</f>
        <v>1</v>
      </c>
      <c r="DE118"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v>
      </c>
      <c r="DF118"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8"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8" s="417">
        <f>IF(WWWW[[#This Row],['# of functional latrines in THF supported by WASH partners during the reporting period2]]="",0,WWWW[[#This Row],['# of functional latrines in THF supported by WASH partners during the reporting period2]]*50)</f>
        <v>0</v>
      </c>
      <c r="DI118" s="909">
        <f>ROUND(IF(WWWW[[#This Row],[Location Type 1]]="camp",WWWW[[#This Row],[Total PoP ]]/20,IF(WWWW[[#This Row],[Location Type 1]]="Temporary Location",WWWW[[#This Row],[Total PoP ]]/50,(WWWW[[#This Row],[Total PoP ]]/6))),0)</f>
        <v>1</v>
      </c>
      <c r="DJ118" s="909">
        <f>IF(WWWW[[#This Row],[Total required Latrines]]-(WWWW[[#This Row],['#_Constructed latrines_by_WASHAgencies]]+WWWW[[#This Row],['#_Non Cluster partner latrines]])&lt;0,0,WWWW[[#This Row],[Total required Latrines]]-(WWWW[[#This Row],['#_Constructed latrines_by_WASHAgencies]]+WWWW[[#This Row],['#_Non Cluster partner latrines]]))</f>
        <v>0</v>
      </c>
      <c r="DK118" s="911">
        <f>1-WWWW[[#This Row],[% people access to functioning Latrine]]</f>
        <v>0</v>
      </c>
      <c r="DL118" s="910">
        <f>IF(OR(WWWW[[#This Row],['#_Non-functional latrines]]="",WWWW[[#This Row],['#_Non-functional latrines]]=0),0,WWWW[[#This Row],['#_Non-functional latrines]]/(WWWW[[#This Row],['#_Constructed latrines_by_WASHAgencies]]+WWWW[[#This Row],['#_Non Cluster partner latrines]]))</f>
        <v>0</v>
      </c>
      <c r="DM118" s="906">
        <f>IF(500*(WWWW[[#This Row],['#_male hygiene promoters]]+WWWW[[#This Row],['#_female hygiene promoters]])&gt;WWWW[[#This Row],[Total PoP ]],WWWW[[#This Row],[Total PoP ]],500*(WWWW[[#This Row],['#_male hygiene promoters]]+WWWW[[#This Row],['#_female hygiene promoters]]))</f>
        <v>0</v>
      </c>
      <c r="DN118"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8"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8" s="909">
        <f>IF(WWWW[[#This Row],['# People with access to soap]]&gt;WWWW[[#This Row],['# People with access to Sanity Pads]],WWWW[[#This Row],['# People with access to soap]],WWWW[[#This Row],['# People with access to Sanity Pads]])</f>
        <v>0</v>
      </c>
      <c r="DQ118"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18" s="911">
        <f>IF(WWWW[[#This Row],[HRP3]]/WWWW[[#This Row],[Total PoP ]]&gt;1,1,WWWW[[#This Row],[HRP3]]/WWWW[[#This Row],[Total PoP ]])</f>
        <v>0</v>
      </c>
      <c r="DS118" s="910">
        <f>1-WWWW[[#This Row],[Hygiene Coverage%]]</f>
        <v>1</v>
      </c>
      <c r="DT118" s="908">
        <f>WWWW[[#This Row],['# people reached by regular dedicated hygiene promotion_5]]/WWWW[[#This Row],[Total PoP ]]</f>
        <v>0</v>
      </c>
      <c r="DU118"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8"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8" s="909">
        <f>WWWW[[#This Row],['#_Constructed/Existing hand washing stations]]-WWWW[[#This Row],['#_Non-Functional_hand_washing_stations]]</f>
        <v>4</v>
      </c>
      <c r="DX118" s="906">
        <f>IF(WWWW[[#This Row],['# Functional hand washing stations during reporting period]]*20&gt;WWWW[[#This Row],[Total HH]],WWWW[[#This Row],[Total HH]],WWWW[[#This Row],['# Functional hand washing stations during reporting period]]*20)</f>
        <v>12</v>
      </c>
      <c r="DY118" s="906">
        <f>IF(WWWW[[#This Row],[Is sufficient soap available for TLS? (Yes/No)]]="yes",WWWW[[#This Row],['#_Constructed/Existing hand washing stations at TLS/CFS/THF]],0)</f>
        <v>0</v>
      </c>
      <c r="DZ118" s="421">
        <f>IF(WWWW[[#This Row],['# Functional hand washing stations during reporting period]]*100&gt;WWWW[[#This Row],[Total PoP ]],WWWW[[#This Row],[Total PoP ]],WWWW[[#This Row],['# Functional hand washing stations during reporting period]]*100)</f>
        <v>26</v>
      </c>
      <c r="EA118" s="421" t="str">
        <f>IF(OR(WWWW[[#This Row],['#_students at TLS_CFS]]="",WWWW[[#This Row],['#_students at TLS_CFS]]=0),"No","Yes")</f>
        <v>No</v>
      </c>
      <c r="EB11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8" s="566">
        <f>WWWW[[#This Row],[%_of_affected_people_surveyed_who_report_feeling_satistfied_with_the_latrine_design_and_sanitation_service]]*WWWW[[#This Row],[Total PoP ]]</f>
        <v>0</v>
      </c>
      <c r="ED118" s="566">
        <f>WWWW[[#This Row],[%_of_affected_people_surveyed_who_report_feeling_satistfied_with_the_water_point_design_and_water_service]]*WWWW[[#This Row],[Total PoP ]]</f>
        <v>0</v>
      </c>
      <c r="EE118" s="566">
        <f>WWWW[[#This Row],[%_of_complaints_received_that_result_in_timely_corrective_action_and_feedback_to_the_community]]*WWWW[[#This Row],[Total PoP ]]</f>
        <v>0</v>
      </c>
      <c r="EF11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1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8" s="902">
        <f>VLOOKUP(WWWW[[#This Row],[Site Name]],SiteDB6[[Site Name]:[CCCM Management]],6,FALSE)</f>
        <v>0</v>
      </c>
      <c r="EJ118" s="902">
        <f>VLOOKUP(WWWW[[#This Row],[Site Name]],SiteDB6[[Site Name]:[CCCM Focal Agency]],7,FALSE)</f>
        <v>0</v>
      </c>
      <c r="EK118" s="902" t="str">
        <f>VLOOKUP(WWWW[[#This Row],[Site Name]],SiteDB6[[Site Name]:[Location Type 1]],9,FALSE)</f>
        <v>Camp</v>
      </c>
      <c r="EL118" s="902" t="str">
        <f>VLOOKUP(WWWW[[#This Row],[Site Name]],SiteDB6[[Site Name]:[Type of Accommodation]],10,FALSE)</f>
        <v>Camp like setting</v>
      </c>
      <c r="EM118" s="902" t="str">
        <f>VLOOKUP(WWWW[[#This Row],[Site Name]],SiteDB6[[Site Name]:[Ethnic or GCA/NGCA]],11,FALSE)</f>
        <v>GCA</v>
      </c>
      <c r="EN118" s="902">
        <f>VLOOKUP(WWWW[[#This Row],[Site Name]],SiteDB6[[Site Name]:[Lat]],12,FALSE)</f>
        <v>0</v>
      </c>
      <c r="EO118" s="902">
        <f>VLOOKUP(WWWW[[#This Row],[Site Name]],SiteDB6[[Site Name]:[Long]],13,FALSE)</f>
        <v>0</v>
      </c>
      <c r="EP118" s="902" t="str">
        <f>VLOOKUP(WWWW[[#This Row],[Site Name]],SiteDB6[[Site Name]:[Pcode]],3,FALSE)</f>
        <v>MMR015CMP081</v>
      </c>
      <c r="EQ118" s="907" t="str">
        <f t="shared" si="1"/>
        <v>Covered</v>
      </c>
      <c r="ER118" s="907" t="s">
        <v>3126</v>
      </c>
      <c r="ES118" s="907" t="s">
        <v>3126</v>
      </c>
      <c r="ET118" s="902">
        <f>VLOOKUP(WWWW[[#This Row],[Site Name]],SiteDB6[[Site Name]:[Pop
(Kachin/Shan-CCCM as of May 2023)]],16,FALSE)</f>
        <v>16</v>
      </c>
      <c r="EU118" s="902">
        <f>VLOOKUP(WWWW[[#This Row],[Site Name]],SiteDB6[[Site Name]:[Pop
(Kachin/Shan-CCCM as of May 2023)]],17,FALSE)</f>
        <v>43</v>
      </c>
    </row>
    <row r="119" spans="1:151" hidden="1">
      <c r="A119" s="900" t="s">
        <v>2961</v>
      </c>
      <c r="B119" s="900" t="s">
        <v>192</v>
      </c>
      <c r="C119" s="901" t="s">
        <v>192</v>
      </c>
      <c r="D119" s="901" t="s">
        <v>2555</v>
      </c>
      <c r="E119" s="901" t="s">
        <v>515</v>
      </c>
      <c r="F119" s="901" t="s">
        <v>956</v>
      </c>
      <c r="G119" s="902" t="str">
        <f>VLOOKUP(WWWW[[#This Row],[Site Name]],SiteDB6[[Site Name]:[Location Type]],8,FALSE)</f>
        <v>Camp_not registered</v>
      </c>
      <c r="H119" s="901" t="s">
        <v>2152</v>
      </c>
      <c r="I119" s="903">
        <v>23</v>
      </c>
      <c r="J119" s="903">
        <v>103</v>
      </c>
      <c r="K119" s="904">
        <v>44511</v>
      </c>
      <c r="L119" s="905">
        <v>44926</v>
      </c>
      <c r="M119" s="903"/>
      <c r="N119" s="903"/>
      <c r="O119" s="903"/>
      <c r="P119" s="903"/>
      <c r="Q119" s="906" t="s">
        <v>41</v>
      </c>
      <c r="R119" s="903">
        <v>5</v>
      </c>
      <c r="S119" s="903">
        <v>1</v>
      </c>
      <c r="T119" s="441">
        <v>1</v>
      </c>
      <c r="U119" s="903"/>
      <c r="V119" s="903"/>
      <c r="W119" s="903"/>
      <c r="X119" s="903">
        <v>1</v>
      </c>
      <c r="Y119" s="903"/>
      <c r="Z119" s="903"/>
      <c r="AA119" s="903"/>
      <c r="AB119" s="903"/>
      <c r="AC119" s="903"/>
      <c r="AD119" s="903"/>
      <c r="AE119" s="903"/>
      <c r="AF119" s="903"/>
      <c r="AG119" s="903"/>
      <c r="AH119" s="903"/>
      <c r="AI119" s="903"/>
      <c r="AJ119" s="903"/>
      <c r="AK119" s="903"/>
      <c r="AL119" s="903"/>
      <c r="AM119" s="903"/>
      <c r="AN119" s="903"/>
      <c r="AO119" s="441"/>
      <c r="AP119" s="907"/>
      <c r="AQ119" s="903">
        <v>23</v>
      </c>
      <c r="AR119" s="903"/>
      <c r="AS119" s="908"/>
      <c r="AT119" s="903"/>
      <c r="AU119" s="903"/>
      <c r="AV119" s="903"/>
      <c r="AW119" s="903"/>
      <c r="AX119" s="903"/>
      <c r="AY119" s="902" t="s">
        <v>140</v>
      </c>
      <c r="AZ119" s="907" t="s">
        <v>140</v>
      </c>
      <c r="BA119" s="903"/>
      <c r="BB119" s="903"/>
      <c r="BC119" s="903"/>
      <c r="BD119" s="441"/>
      <c r="BE119" s="441"/>
      <c r="BF119" s="902"/>
      <c r="BG119" s="903">
        <v>3</v>
      </c>
      <c r="BH119" s="903"/>
      <c r="BI119" s="903"/>
      <c r="BJ119" s="903">
        <v>2</v>
      </c>
      <c r="BK119" s="903"/>
      <c r="BL119" s="903"/>
      <c r="BM119" s="903"/>
      <c r="BN119" s="903"/>
      <c r="BO119" s="903"/>
      <c r="BP119" s="902" t="s">
        <v>41</v>
      </c>
      <c r="BQ119" s="909"/>
      <c r="BR119" s="908"/>
      <c r="BS119" s="902"/>
      <c r="BT119" s="416"/>
      <c r="BU119" s="416"/>
      <c r="BV119" s="418"/>
      <c r="BW119" s="416"/>
      <c r="BX119" s="441"/>
      <c r="BY119" s="441"/>
      <c r="BZ119" s="441"/>
      <c r="CA119" s="441"/>
      <c r="CB119" s="441"/>
      <c r="CC119" s="693"/>
      <c r="CD119" s="441"/>
      <c r="CE119" s="910" t="str">
        <f>IFERROR(WWWW[[#This Row],['#_Water sources passed]]/WWWW[[#This Row],['#_Water sources tested for fecal coliform ]],"no test")</f>
        <v>no test</v>
      </c>
      <c r="CF119" s="908" t="str">
        <f>IFERROR(WWWW[[#This Row],['#_Household passed]]/WWWW[[#This Row],['#_Household water samples tested for fecal coliform]],"no test")</f>
        <v>no test</v>
      </c>
      <c r="CG119" s="909" t="str">
        <f>IF(AND(WWWW[[#This Row],[% of water sources passed]]="no test",WWWW[[#This Row],[% Household passed]]="no test"),"No Test","Tested")</f>
        <v>No Test</v>
      </c>
      <c r="CH119" s="909">
        <f>WWWW[[#This Row],['#_Constructed/existing protected hand dug well]]-WWWW[[#This Row],['#_Non-functional protected hand dug well]]</f>
        <v>1</v>
      </c>
      <c r="CI119" s="909">
        <f>(WWWW[[#This Row],['#_Constructed/Existing tube wells/boreholes/handpumps_WASH_agency]]+WWWW[[#This Row],['#_Non-Cluster partner water tube-wells/boreholes/handpumps]])-WWWW[[#This Row],['#_Non-functional tube wells/boreholes/handpumps]]</f>
        <v>1</v>
      </c>
      <c r="CJ119" s="909">
        <f>WWWW[[#This Row],['#_Constructed/Existingwater storage tank with gravity fed reticulation system]]-WWWW[[#This Row],['#_Non-functional storage tank gravity fed reticulation system]]</f>
        <v>0</v>
      </c>
      <c r="CK119" s="909">
        <f>(WWWW[[#This Row],['#_Water_Liters_supplied_by_Water boating or water trucking]]/90)/15</f>
        <v>0</v>
      </c>
      <c r="CL119" s="909">
        <f>WWWW[[#This Row],['#_Water_Liters_from_Constructed/Existing water distribution system from river or natural spring]]/90/15</f>
        <v>0</v>
      </c>
      <c r="CM119" s="417">
        <f>IF(WWWW[[#This Row],['#_of water points in TLS/CFS]]*500&gt;WWWW[[#This Row],[Total PoP ]],WWWW[[#This Row],[Total PoP ]],WWWW[[#This Row],['#_of water points in TLS/CFS]]*500)</f>
        <v>0</v>
      </c>
      <c r="CN119" s="417">
        <f>IF(WWWW[[#This Row],['#_of water points in THF]]*500&gt;WWWW[[#This Row],[Total PoP ]],WWWW[[#This Row],[Total PoP ]],WWWW[[#This Row],['#_of water points in THF]]*500)</f>
        <v>0</v>
      </c>
      <c r="CO119" s="417"/>
      <c r="CP119"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19"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19" s="908">
        <f>IF(WWWW[[#This Row],[Location Type 1]]="Village",WWWW[[#This Row],[Access to safe drinking water for Village]],WWWW[[#This Row],[Access to safe drinking water for Camp]])</f>
        <v>1</v>
      </c>
      <c r="CS119" s="906">
        <f>WWWW[[#This Row],[%Equitable and continuous access to sufficient quantity of safe drinking water]]*WWWW[[#This Row],[Total PoP ]]</f>
        <v>103</v>
      </c>
      <c r="CT119" s="908">
        <f>IF((WWWW[[#This Row],['#_Constructed/Existing protected/fenced ponds]]*250)/WWWW[[#This Row],[Total PoP ]]&gt;1,1,(WWWW[[#This Row],['#_Constructed/Existing protected/fenced ponds]]*250)/WWWW[[#This Row],[Total PoP ]])</f>
        <v>0</v>
      </c>
      <c r="CU119" s="906">
        <f>WWWW[[#This Row],[% Access to unimproved water points]]*WWWW[[#This Row],[Total PoP ]]</f>
        <v>0</v>
      </c>
      <c r="CV119"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19"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103</v>
      </c>
      <c r="CX119" s="906">
        <f>WWWW[[#This Row],[HRP1]]/500</f>
        <v>0.20599999999999999</v>
      </c>
      <c r="CY119" s="911">
        <f>1-WWWW[[#This Row],[% Equitable and continuous access to sufficient quantity of domestic water]]</f>
        <v>0</v>
      </c>
      <c r="CZ119" s="906">
        <f>WWWW[[#This Row],[%equitable and continuous access to sufficient quantity of safe drinking and domestic water''s GAP]]*WWWW[[#This Row],[Total PoP ]]</f>
        <v>0</v>
      </c>
      <c r="DA119" s="909">
        <f>IF(WWWW[[#This Row],[Total required water points]]-WWWW[[#This Row],['#Water points coverage]]&lt;0,0,WWWW[[#This Row],[Total required water points]]-WWWW[[#This Row],['#Water points coverage]])</f>
        <v>0.79400000000000004</v>
      </c>
      <c r="DB119" s="909">
        <f>ROUND(IF(WWWW[[#This Row],[Total PoP ]]&lt;500,1,WWWW[[#This Row],[Total PoP ]]/500),0)</f>
        <v>1</v>
      </c>
      <c r="DC119" s="909">
        <f>(WWWW[[#This Row],['#_Constructed latrines_by_WASHAgencies]]+WWWW[[#This Row],['#_Non Cluster partner latrines]])-WWWW[[#This Row],['#_Non-functional latrines]]</f>
        <v>23</v>
      </c>
      <c r="DD119" s="615">
        <f>WWWW[[#This Row],[HRP2]]/WWWW[[#This Row],[Total PoP ]]</f>
        <v>1</v>
      </c>
      <c r="DE119"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103</v>
      </c>
      <c r="DF119"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19"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19" s="417">
        <f>IF(WWWW[[#This Row],['# of functional latrines in THF supported by WASH partners during the reporting period2]]="",0,WWWW[[#This Row],['# of functional latrines in THF supported by WASH partners during the reporting period2]]*50)</f>
        <v>0</v>
      </c>
      <c r="DI119" s="909">
        <f>ROUND(IF(WWWW[[#This Row],[Location Type 1]]="camp",WWWW[[#This Row],[Total PoP ]]/20,IF(WWWW[[#This Row],[Location Type 1]]="Temporary Location",WWWW[[#This Row],[Total PoP ]]/50,(WWWW[[#This Row],[Total PoP ]]/6))),0)</f>
        <v>5</v>
      </c>
      <c r="DJ119" s="909">
        <f>IF(WWWW[[#This Row],[Total required Latrines]]-(WWWW[[#This Row],['#_Constructed latrines_by_WASHAgencies]]+WWWW[[#This Row],['#_Non Cluster partner latrines]])&lt;0,0,WWWW[[#This Row],[Total required Latrines]]-(WWWW[[#This Row],['#_Constructed latrines_by_WASHAgencies]]+WWWW[[#This Row],['#_Non Cluster partner latrines]]))</f>
        <v>0</v>
      </c>
      <c r="DK119" s="911">
        <f>1-WWWW[[#This Row],[% people access to functioning Latrine]]</f>
        <v>0</v>
      </c>
      <c r="DL119" s="910">
        <f>IF(OR(WWWW[[#This Row],['#_Non-functional latrines]]="",WWWW[[#This Row],['#_Non-functional latrines]]=0),0,WWWW[[#This Row],['#_Non-functional latrines]]/(WWWW[[#This Row],['#_Constructed latrines_by_WASHAgencies]]+WWWW[[#This Row],['#_Non Cluster partner latrines]]))</f>
        <v>0</v>
      </c>
      <c r="DM119" s="906">
        <f>IF(500*(WWWW[[#This Row],['#_male hygiene promoters]]+WWWW[[#This Row],['#_female hygiene promoters]])&gt;WWWW[[#This Row],[Total PoP ]],WWWW[[#This Row],[Total PoP ]],500*(WWWW[[#This Row],['#_male hygiene promoters]]+WWWW[[#This Row],['#_female hygiene promoters]]))</f>
        <v>0</v>
      </c>
      <c r="DN119"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19"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19" s="909">
        <f>IF(WWWW[[#This Row],['# People with access to soap]]&gt;WWWW[[#This Row],['# People with access to Sanity Pads]],WWWW[[#This Row],['# People with access to soap]],WWWW[[#This Row],['# People with access to Sanity Pads]])</f>
        <v>0</v>
      </c>
      <c r="DQ119"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19" s="911">
        <f>IF(WWWW[[#This Row],[HRP3]]/WWWW[[#This Row],[Total PoP ]]&gt;1,1,WWWW[[#This Row],[HRP3]]/WWWW[[#This Row],[Total PoP ]])</f>
        <v>0</v>
      </c>
      <c r="DS119" s="910">
        <f>1-WWWW[[#This Row],[Hygiene Coverage%]]</f>
        <v>1</v>
      </c>
      <c r="DT119" s="908">
        <f>WWWW[[#This Row],['# people reached by regular dedicated hygiene promotion_5]]/WWWW[[#This Row],[Total PoP ]]</f>
        <v>0</v>
      </c>
      <c r="DU119"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19"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19" s="909">
        <f>WWWW[[#This Row],['#_Constructed/Existing hand washing stations]]-WWWW[[#This Row],['#_Non-Functional_hand_washing_stations]]</f>
        <v>3</v>
      </c>
      <c r="DX119" s="906">
        <f>IF(WWWW[[#This Row],['# Functional hand washing stations during reporting period]]*20&gt;WWWW[[#This Row],[Total HH]],WWWW[[#This Row],[Total HH]],WWWW[[#This Row],['# Functional hand washing stations during reporting period]]*20)</f>
        <v>23</v>
      </c>
      <c r="DY119" s="906">
        <f>IF(WWWW[[#This Row],[Is sufficient soap available for TLS? (Yes/No)]]="yes",WWWW[[#This Row],['#_Constructed/Existing hand washing stations at TLS/CFS/THF]],0)</f>
        <v>0</v>
      </c>
      <c r="DZ119" s="421">
        <f>IF(WWWW[[#This Row],['# Functional hand washing stations during reporting period]]*100&gt;WWWW[[#This Row],[Total PoP ]],WWWW[[#This Row],[Total PoP ]],WWWW[[#This Row],['# Functional hand washing stations during reporting period]]*100)</f>
        <v>103</v>
      </c>
      <c r="EA119" s="421" t="str">
        <f>IF(OR(WWWW[[#This Row],['#_students at TLS_CFS]]="",WWWW[[#This Row],['#_students at TLS_CFS]]=0),"No","Yes")</f>
        <v>No</v>
      </c>
      <c r="EB11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19" s="566">
        <f>WWWW[[#This Row],[%_of_affected_people_surveyed_who_report_feeling_satistfied_with_the_latrine_design_and_sanitation_service]]*WWWW[[#This Row],[Total PoP ]]</f>
        <v>0</v>
      </c>
      <c r="ED119" s="566">
        <f>WWWW[[#This Row],[%_of_affected_people_surveyed_who_report_feeling_satistfied_with_the_water_point_design_and_water_service]]*WWWW[[#This Row],[Total PoP ]]</f>
        <v>0</v>
      </c>
      <c r="EE119" s="566">
        <f>WWWW[[#This Row],[%_of_complaints_received_that_result_in_timely_corrective_action_and_feedback_to_the_community]]*WWWW[[#This Row],[Total PoP ]]</f>
        <v>0</v>
      </c>
      <c r="EF11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1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1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19" s="902">
        <f>VLOOKUP(WWWW[[#This Row],[Site Name]],SiteDB6[[Site Name]:[CCCM Management]],6,FALSE)</f>
        <v>0</v>
      </c>
      <c r="EJ119" s="902">
        <f>VLOOKUP(WWWW[[#This Row],[Site Name]],SiteDB6[[Site Name]:[CCCM Focal Agency]],7,FALSE)</f>
        <v>0</v>
      </c>
      <c r="EK119" s="902" t="str">
        <f>VLOOKUP(WWWW[[#This Row],[Site Name]],SiteDB6[[Site Name]:[Location Type 1]],9,FALSE)</f>
        <v>Camp</v>
      </c>
      <c r="EL119" s="902" t="str">
        <f>VLOOKUP(WWWW[[#This Row],[Site Name]],SiteDB6[[Site Name]:[Type of Accommodation]],10,FALSE)</f>
        <v>Camp like setting</v>
      </c>
      <c r="EM119" s="902" t="str">
        <f>VLOOKUP(WWWW[[#This Row],[Site Name]],SiteDB6[[Site Name]:[Ethnic or GCA/NGCA]],11,FALSE)</f>
        <v>GCA</v>
      </c>
      <c r="EN119" s="902">
        <f>VLOOKUP(WWWW[[#This Row],[Site Name]],SiteDB6[[Site Name]:[Lat]],12,FALSE)</f>
        <v>0</v>
      </c>
      <c r="EO119" s="902">
        <f>VLOOKUP(WWWW[[#This Row],[Site Name]],SiteDB6[[Site Name]:[Long]],13,FALSE)</f>
        <v>0</v>
      </c>
      <c r="EP119" s="902">
        <f>VLOOKUP(WWWW[[#This Row],[Site Name]],SiteDB6[[Site Name]:[Pcode]],3,FALSE)</f>
        <v>0</v>
      </c>
      <c r="EQ119" s="907" t="str">
        <f t="shared" si="1"/>
        <v>Covered</v>
      </c>
      <c r="ER119" s="907" t="s">
        <v>3126</v>
      </c>
      <c r="ES119" s="907" t="s">
        <v>3126</v>
      </c>
      <c r="ET119" s="902">
        <f>VLOOKUP(WWWW[[#This Row],[Site Name]],SiteDB6[[Site Name]:[Pop
(Kachin/Shan-CCCM as of May 2023)]],16,FALSE)</f>
        <v>0</v>
      </c>
      <c r="EU119" s="902">
        <f>VLOOKUP(WWWW[[#This Row],[Site Name]],SiteDB6[[Site Name]:[Pop
(Kachin/Shan-CCCM as of May 2023)]],17,FALSE)</f>
        <v>0</v>
      </c>
    </row>
    <row r="120" spans="1:151" hidden="1">
      <c r="A120" s="900" t="s">
        <v>2961</v>
      </c>
      <c r="B120" s="900" t="s">
        <v>192</v>
      </c>
      <c r="C120" s="901" t="s">
        <v>192</v>
      </c>
      <c r="D120" s="901" t="s">
        <v>2633</v>
      </c>
      <c r="E120" s="901" t="s">
        <v>515</v>
      </c>
      <c r="F120" s="901" t="s">
        <v>522</v>
      </c>
      <c r="G120" s="902" t="str">
        <f>VLOOKUP(WWWW[[#This Row],[Site Name]],SiteDB6[[Site Name]:[Location Type]],8,FALSE)</f>
        <v>Camp</v>
      </c>
      <c r="H120" s="901" t="s">
        <v>548</v>
      </c>
      <c r="I120" s="903">
        <v>28</v>
      </c>
      <c r="J120" s="903">
        <v>125</v>
      </c>
      <c r="K120" s="904">
        <v>44511</v>
      </c>
      <c r="L120" s="905">
        <v>44926</v>
      </c>
      <c r="M120" s="903"/>
      <c r="N120" s="903"/>
      <c r="O120" s="903">
        <v>1</v>
      </c>
      <c r="P120" s="903"/>
      <c r="Q120" s="906" t="s">
        <v>41</v>
      </c>
      <c r="R120" s="903"/>
      <c r="S120" s="903"/>
      <c r="T120" s="441"/>
      <c r="U120" s="903"/>
      <c r="V120" s="903"/>
      <c r="W120" s="903">
        <v>1</v>
      </c>
      <c r="X120" s="903">
        <v>1</v>
      </c>
      <c r="Y120" s="903"/>
      <c r="Z120" s="903"/>
      <c r="AA120" s="903">
        <v>1</v>
      </c>
      <c r="AB120" s="903"/>
      <c r="AC120" s="903"/>
      <c r="AD120" s="903"/>
      <c r="AE120" s="903"/>
      <c r="AF120" s="903"/>
      <c r="AG120" s="903"/>
      <c r="AH120" s="903"/>
      <c r="AI120" s="903"/>
      <c r="AJ120" s="903"/>
      <c r="AK120" s="903"/>
      <c r="AL120" s="903"/>
      <c r="AM120" s="903"/>
      <c r="AN120" s="903"/>
      <c r="AO120" s="441"/>
      <c r="AP120" s="907"/>
      <c r="AQ120" s="903">
        <v>18</v>
      </c>
      <c r="AR120" s="903"/>
      <c r="AS120" s="908"/>
      <c r="AT120" s="903"/>
      <c r="AU120" s="903"/>
      <c r="AV120" s="903"/>
      <c r="AW120" s="903"/>
      <c r="AX120" s="903"/>
      <c r="AY120" s="902" t="s">
        <v>41</v>
      </c>
      <c r="AZ120" s="907" t="s">
        <v>137</v>
      </c>
      <c r="BA120" s="903"/>
      <c r="BB120" s="903"/>
      <c r="BC120" s="903"/>
      <c r="BD120" s="441"/>
      <c r="BE120" s="441"/>
      <c r="BF120" s="902"/>
      <c r="BG120" s="903">
        <v>7</v>
      </c>
      <c r="BH120" s="903"/>
      <c r="BI120" s="903"/>
      <c r="BJ120" s="903">
        <v>5</v>
      </c>
      <c r="BK120" s="903"/>
      <c r="BL120" s="903"/>
      <c r="BM120" s="903">
        <v>1</v>
      </c>
      <c r="BN120" s="903"/>
      <c r="BO120" s="903"/>
      <c r="BP120" s="902" t="s">
        <v>41</v>
      </c>
      <c r="BQ120" s="909"/>
      <c r="BR120" s="908"/>
      <c r="BS120" s="902"/>
      <c r="BT120" s="416"/>
      <c r="BU120" s="416"/>
      <c r="BV120" s="418"/>
      <c r="BW120" s="416"/>
      <c r="BX120" s="441"/>
      <c r="BY120" s="441"/>
      <c r="BZ120" s="441"/>
      <c r="CA120" s="441"/>
      <c r="CB120" s="441"/>
      <c r="CC120" s="693"/>
      <c r="CD120" s="441"/>
      <c r="CE120" s="910" t="str">
        <f>IFERROR(WWWW[[#This Row],['#_Water sources passed]]/WWWW[[#This Row],['#_Water sources tested for fecal coliform ]],"no test")</f>
        <v>no test</v>
      </c>
      <c r="CF120" s="908" t="str">
        <f>IFERROR(WWWW[[#This Row],['#_Household passed]]/WWWW[[#This Row],['#_Household water samples tested for fecal coliform]],"no test")</f>
        <v>no test</v>
      </c>
      <c r="CG120" s="909" t="str">
        <f>IF(AND(WWWW[[#This Row],[% of water sources passed]]="no test",WWWW[[#This Row],[% Household passed]]="no test"),"No Test","Tested")</f>
        <v>No Test</v>
      </c>
      <c r="CH120" s="909">
        <f>WWWW[[#This Row],['#_Constructed/existing protected hand dug well]]-WWWW[[#This Row],['#_Non-functional protected hand dug well]]</f>
        <v>0</v>
      </c>
      <c r="CI120" s="909">
        <f>(WWWW[[#This Row],['#_Constructed/Existing tube wells/boreholes/handpumps_WASH_agency]]+WWWW[[#This Row],['#_Non-Cluster partner water tube-wells/boreholes/handpumps]])-WWWW[[#This Row],['#_Non-functional tube wells/boreholes/handpumps]]</f>
        <v>2</v>
      </c>
      <c r="CJ120" s="909">
        <f>WWWW[[#This Row],['#_Constructed/Existingwater storage tank with gravity fed reticulation system]]-WWWW[[#This Row],['#_Non-functional storage tank gravity fed reticulation system]]</f>
        <v>1</v>
      </c>
      <c r="CK120" s="909">
        <f>(WWWW[[#This Row],['#_Water_Liters_supplied_by_Water boating or water trucking]]/90)/15</f>
        <v>0</v>
      </c>
      <c r="CL120" s="909">
        <f>WWWW[[#This Row],['#_Water_Liters_from_Constructed/Existing water distribution system from river or natural spring]]/90/15</f>
        <v>0</v>
      </c>
      <c r="CM120" s="417">
        <f>IF(WWWW[[#This Row],['#_of water points in TLS/CFS]]*500&gt;WWWW[[#This Row],[Total PoP ]],WWWW[[#This Row],[Total PoP ]],WWWW[[#This Row],['#_of water points in TLS/CFS]]*500)</f>
        <v>0</v>
      </c>
      <c r="CN120" s="417">
        <f>IF(WWWW[[#This Row],['#_of water points in THF]]*500&gt;WWWW[[#This Row],[Total PoP ]],WWWW[[#This Row],[Total PoP ]],WWWW[[#This Row],['#_of water points in THF]]*500)</f>
        <v>0</v>
      </c>
      <c r="CO120" s="417"/>
      <c r="CP120"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20"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20" s="908">
        <f>IF(WWWW[[#This Row],[Location Type 1]]="Village",WWWW[[#This Row],[Access to safe drinking water for Village]],WWWW[[#This Row],[Access to safe drinking water for Camp]])</f>
        <v>1</v>
      </c>
      <c r="CS120" s="906">
        <f>WWWW[[#This Row],[%Equitable and continuous access to sufficient quantity of safe drinking water]]*WWWW[[#This Row],[Total PoP ]]</f>
        <v>125</v>
      </c>
      <c r="CT120" s="908">
        <f>IF((WWWW[[#This Row],['#_Constructed/Existing protected/fenced ponds]]*250)/WWWW[[#This Row],[Total PoP ]]&gt;1,1,(WWWW[[#This Row],['#_Constructed/Existing protected/fenced ponds]]*250)/WWWW[[#This Row],[Total PoP ]])</f>
        <v>0</v>
      </c>
      <c r="CU120" s="906">
        <f>WWWW[[#This Row],[% Access to unimproved water points]]*WWWW[[#This Row],[Total PoP ]]</f>
        <v>0</v>
      </c>
      <c r="CV120"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20"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125</v>
      </c>
      <c r="CX120" s="906">
        <f>WWWW[[#This Row],[HRP1]]/500</f>
        <v>0.25</v>
      </c>
      <c r="CY120" s="911">
        <f>1-WWWW[[#This Row],[% Equitable and continuous access to sufficient quantity of domestic water]]</f>
        <v>0</v>
      </c>
      <c r="CZ120" s="906">
        <f>WWWW[[#This Row],[%equitable and continuous access to sufficient quantity of safe drinking and domestic water''s GAP]]*WWWW[[#This Row],[Total PoP ]]</f>
        <v>0</v>
      </c>
      <c r="DA120" s="909">
        <f>IF(WWWW[[#This Row],[Total required water points]]-WWWW[[#This Row],['#Water points coverage]]&lt;0,0,WWWW[[#This Row],[Total required water points]]-WWWW[[#This Row],['#Water points coverage]])</f>
        <v>0.75</v>
      </c>
      <c r="DB120" s="909">
        <f>ROUND(IF(WWWW[[#This Row],[Total PoP ]]&lt;500,1,WWWW[[#This Row],[Total PoP ]]/500),0)</f>
        <v>1</v>
      </c>
      <c r="DC120" s="909">
        <f>(WWWW[[#This Row],['#_Constructed latrines_by_WASHAgencies]]+WWWW[[#This Row],['#_Non Cluster partner latrines]])-WWWW[[#This Row],['#_Non-functional latrines]]</f>
        <v>18</v>
      </c>
      <c r="DD120" s="615">
        <f>WWWW[[#This Row],[HRP2]]/WWWW[[#This Row],[Total PoP ]]</f>
        <v>1</v>
      </c>
      <c r="DE120"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125</v>
      </c>
      <c r="DF120"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0"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0" s="417">
        <f>IF(WWWW[[#This Row],['# of functional latrines in THF supported by WASH partners during the reporting period2]]="",0,WWWW[[#This Row],['# of functional latrines in THF supported by WASH partners during the reporting period2]]*50)</f>
        <v>0</v>
      </c>
      <c r="DI120" s="909">
        <f>ROUND(IF(WWWW[[#This Row],[Location Type 1]]="camp",WWWW[[#This Row],[Total PoP ]]/20,IF(WWWW[[#This Row],[Location Type 1]]="Temporary Location",WWWW[[#This Row],[Total PoP ]]/50,(WWWW[[#This Row],[Total PoP ]]/6))),0)</f>
        <v>6</v>
      </c>
      <c r="DJ120" s="909">
        <f>IF(WWWW[[#This Row],[Total required Latrines]]-(WWWW[[#This Row],['#_Constructed latrines_by_WASHAgencies]]+WWWW[[#This Row],['#_Non Cluster partner latrines]])&lt;0,0,WWWW[[#This Row],[Total required Latrines]]-(WWWW[[#This Row],['#_Constructed latrines_by_WASHAgencies]]+WWWW[[#This Row],['#_Non Cluster partner latrines]]))</f>
        <v>0</v>
      </c>
      <c r="DK120" s="911">
        <f>1-WWWW[[#This Row],[% people access to functioning Latrine]]</f>
        <v>0</v>
      </c>
      <c r="DL120" s="910">
        <f>IF(OR(WWWW[[#This Row],['#_Non-functional latrines]]="",WWWW[[#This Row],['#_Non-functional latrines]]=0),0,WWWW[[#This Row],['#_Non-functional latrines]]/(WWWW[[#This Row],['#_Constructed latrines_by_WASHAgencies]]+WWWW[[#This Row],['#_Non Cluster partner latrines]]))</f>
        <v>0</v>
      </c>
      <c r="DM120" s="906">
        <f>IF(500*(WWWW[[#This Row],['#_male hygiene promoters]]+WWWW[[#This Row],['#_female hygiene promoters]])&gt;WWWW[[#This Row],[Total PoP ]],WWWW[[#This Row],[Total PoP ]],500*(WWWW[[#This Row],['#_male hygiene promoters]]+WWWW[[#This Row],['#_female hygiene promoters]]))</f>
        <v>125</v>
      </c>
      <c r="DN120"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20"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20" s="909">
        <f>IF(WWWW[[#This Row],['# People with access to soap]]&gt;WWWW[[#This Row],['# People with access to Sanity Pads]],WWWW[[#This Row],['# People with access to soap]],WWWW[[#This Row],['# People with access to Sanity Pads]])</f>
        <v>0</v>
      </c>
      <c r="DQ120" s="909">
        <f>IF(WWWW[[#This Row],['# people reached by regular dedicated hygiene promotion_5]]&gt;WWWW[[#This Row],['# People received regular supply of hygiene items_6]],WWWW[[#This Row],['# people reached by regular dedicated hygiene promotion_5]],WWWW[[#This Row],['# People received regular supply of hygiene items_6]])</f>
        <v>125</v>
      </c>
      <c r="DR120" s="911">
        <f>IF(WWWW[[#This Row],[HRP3]]/WWWW[[#This Row],[Total PoP ]]&gt;1,1,WWWW[[#This Row],[HRP3]]/WWWW[[#This Row],[Total PoP ]])</f>
        <v>1</v>
      </c>
      <c r="DS120" s="910">
        <f>1-WWWW[[#This Row],[Hygiene Coverage%]]</f>
        <v>0</v>
      </c>
      <c r="DT120" s="908">
        <f>WWWW[[#This Row],['# people reached by regular dedicated hygiene promotion_5]]/WWWW[[#This Row],[Total PoP ]]</f>
        <v>1</v>
      </c>
      <c r="DU120"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20"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20" s="909">
        <f>WWWW[[#This Row],['#_Constructed/Existing hand washing stations]]-WWWW[[#This Row],['#_Non-Functional_hand_washing_stations]]</f>
        <v>7</v>
      </c>
      <c r="DX120" s="906">
        <f>IF(WWWW[[#This Row],['# Functional hand washing stations during reporting period]]*20&gt;WWWW[[#This Row],[Total HH]],WWWW[[#This Row],[Total HH]],WWWW[[#This Row],['# Functional hand washing stations during reporting period]]*20)</f>
        <v>28</v>
      </c>
      <c r="DY120" s="906">
        <f>IF(WWWW[[#This Row],[Is sufficient soap available for TLS? (Yes/No)]]="yes",WWWW[[#This Row],['#_Constructed/Existing hand washing stations at TLS/CFS/THF]],0)</f>
        <v>0</v>
      </c>
      <c r="DZ120" s="421">
        <f>IF(WWWW[[#This Row],['# Functional hand washing stations during reporting period]]*100&gt;WWWW[[#This Row],[Total PoP ]],WWWW[[#This Row],[Total PoP ]],WWWW[[#This Row],['# Functional hand washing stations during reporting period]]*100)</f>
        <v>125</v>
      </c>
      <c r="EA120" s="421" t="str">
        <f>IF(OR(WWWW[[#This Row],['#_students at TLS_CFS]]="",WWWW[[#This Row],['#_students at TLS_CFS]]=0),"No","Yes")</f>
        <v>No</v>
      </c>
      <c r="EB12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20" s="566">
        <f>WWWW[[#This Row],[%_of_affected_people_surveyed_who_report_feeling_satistfied_with_the_latrine_design_and_sanitation_service]]*WWWW[[#This Row],[Total PoP ]]</f>
        <v>0</v>
      </c>
      <c r="ED120" s="566">
        <f>WWWW[[#This Row],[%_of_affected_people_surveyed_who_report_feeling_satistfied_with_the_water_point_design_and_water_service]]*WWWW[[#This Row],[Total PoP ]]</f>
        <v>0</v>
      </c>
      <c r="EE120" s="566">
        <f>WWWW[[#This Row],[%_of_complaints_received_that_result_in_timely_corrective_action_and_feedback_to_the_community]]*WWWW[[#This Row],[Total PoP ]]</f>
        <v>0</v>
      </c>
      <c r="EF12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2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2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0" s="902" t="str">
        <f>VLOOKUP(WWWW[[#This Row],[Site Name]],SiteDB6[[Site Name]:[CCCM Management]],6,FALSE)</f>
        <v>Yes</v>
      </c>
      <c r="EJ120" s="902" t="str">
        <f>VLOOKUP(WWWW[[#This Row],[Site Name]],SiteDB6[[Site Name]:[CCCM Focal Agency]],7,FALSE)</f>
        <v>KBC-NSS</v>
      </c>
      <c r="EK120" s="902" t="str">
        <f>VLOOKUP(WWWW[[#This Row],[Site Name]],SiteDB6[[Site Name]:[Location Type 1]],9,FALSE)</f>
        <v>Camp</v>
      </c>
      <c r="EL120" s="902" t="str">
        <f>VLOOKUP(WWWW[[#This Row],[Site Name]],SiteDB6[[Site Name]:[Type of Accommodation]],10,FALSE)</f>
        <v>Closed Camp</v>
      </c>
      <c r="EM120" s="902" t="str">
        <f>VLOOKUP(WWWW[[#This Row],[Site Name]],SiteDB6[[Site Name]:[Ethnic or GCA/NGCA]],11,FALSE)</f>
        <v>GCA</v>
      </c>
      <c r="EN120" s="902">
        <f>VLOOKUP(WWWW[[#This Row],[Site Name]],SiteDB6[[Site Name]:[Lat]],12,FALSE)</f>
        <v>23.250678000000001</v>
      </c>
      <c r="EO120" s="902">
        <f>VLOOKUP(WWWW[[#This Row],[Site Name]],SiteDB6[[Site Name]:[Long]],13,FALSE)</f>
        <v>97.124403000000001</v>
      </c>
      <c r="EP120" s="902" t="str">
        <f>VLOOKUP(WWWW[[#This Row],[Site Name]],SiteDB6[[Site Name]:[Pcode]],3,FALSE)</f>
        <v>MMR015CMP009</v>
      </c>
      <c r="EQ120" s="907" t="str">
        <f t="shared" si="1"/>
        <v>Covered</v>
      </c>
      <c r="ER120" s="907" t="s">
        <v>3126</v>
      </c>
      <c r="ES120" s="907" t="s">
        <v>3126</v>
      </c>
      <c r="ET120" s="902">
        <f>VLOOKUP(WWWW[[#This Row],[Site Name]],SiteDB6[[Site Name]:[Pop
(Kachin/Shan-CCCM as of May 2023)]],16,FALSE)</f>
        <v>0</v>
      </c>
      <c r="EU120" s="902">
        <f>VLOOKUP(WWWW[[#This Row],[Site Name]],SiteDB6[[Site Name]:[Pop
(Kachin/Shan-CCCM as of May 2023)]],17,FALSE)</f>
        <v>0</v>
      </c>
    </row>
    <row r="121" spans="1:151" hidden="1">
      <c r="A121" s="900" t="s">
        <v>2961</v>
      </c>
      <c r="B121" s="900" t="s">
        <v>192</v>
      </c>
      <c r="C121" s="901" t="s">
        <v>192</v>
      </c>
      <c r="D121" s="901" t="s">
        <v>241</v>
      </c>
      <c r="E121" s="901" t="s">
        <v>515</v>
      </c>
      <c r="F121" s="901" t="s">
        <v>525</v>
      </c>
      <c r="G121" s="902" t="str">
        <f>VLOOKUP(WWWW[[#This Row],[Site Name]],SiteDB6[[Site Name]:[Location Type]],8,FALSE)</f>
        <v>Camp</v>
      </c>
      <c r="H121" s="901" t="s">
        <v>2644</v>
      </c>
      <c r="I121" s="903">
        <v>19</v>
      </c>
      <c r="J121" s="903">
        <v>60</v>
      </c>
      <c r="K121" s="904">
        <v>44511</v>
      </c>
      <c r="L121" s="905">
        <v>44875</v>
      </c>
      <c r="M121" s="903"/>
      <c r="N121" s="903"/>
      <c r="O121" s="903"/>
      <c r="P121" s="903"/>
      <c r="Q121" s="906"/>
      <c r="R121" s="903"/>
      <c r="S121" s="903"/>
      <c r="T121" s="441"/>
      <c r="U121" s="903"/>
      <c r="V121" s="903"/>
      <c r="W121" s="903"/>
      <c r="X121" s="903"/>
      <c r="Y121" s="903"/>
      <c r="Z121" s="903"/>
      <c r="AA121" s="903"/>
      <c r="AB121" s="903"/>
      <c r="AC121" s="903"/>
      <c r="AD121" s="903"/>
      <c r="AE121" s="903"/>
      <c r="AF121" s="903"/>
      <c r="AG121" s="903"/>
      <c r="AH121" s="903"/>
      <c r="AI121" s="903"/>
      <c r="AJ121" s="903"/>
      <c r="AK121" s="903"/>
      <c r="AL121" s="903"/>
      <c r="AM121" s="903"/>
      <c r="AN121" s="903"/>
      <c r="AO121" s="441"/>
      <c r="AP121" s="907"/>
      <c r="AQ121" s="903"/>
      <c r="AR121" s="903"/>
      <c r="AS121" s="908"/>
      <c r="AT121" s="903"/>
      <c r="AU121" s="903"/>
      <c r="AV121" s="903"/>
      <c r="AW121" s="903"/>
      <c r="AX121" s="903"/>
      <c r="AY121" s="902" t="s">
        <v>140</v>
      </c>
      <c r="AZ121" s="907" t="s">
        <v>140</v>
      </c>
      <c r="BA121" s="903"/>
      <c r="BB121" s="903"/>
      <c r="BC121" s="903"/>
      <c r="BD121" s="441"/>
      <c r="BE121" s="441"/>
      <c r="BF121" s="902"/>
      <c r="BG121" s="903">
        <v>8</v>
      </c>
      <c r="BH121" s="903"/>
      <c r="BI121" s="903"/>
      <c r="BJ121" s="903">
        <v>3</v>
      </c>
      <c r="BK121" s="903"/>
      <c r="BL121" s="903"/>
      <c r="BM121" s="903"/>
      <c r="BN121" s="903"/>
      <c r="BO121" s="903"/>
      <c r="BP121" s="902" t="s">
        <v>41</v>
      </c>
      <c r="BQ121" s="909"/>
      <c r="BR121" s="908"/>
      <c r="BS121" s="902"/>
      <c r="BT121" s="416"/>
      <c r="BU121" s="416"/>
      <c r="BV121" s="418"/>
      <c r="BW121" s="416"/>
      <c r="BX121" s="441"/>
      <c r="BY121" s="441"/>
      <c r="BZ121" s="441"/>
      <c r="CA121" s="441"/>
      <c r="CB121" s="441"/>
      <c r="CC121" s="693"/>
      <c r="CD121" s="441"/>
      <c r="CE121" s="910" t="str">
        <f>IFERROR(WWWW[[#This Row],['#_Water sources passed]]/WWWW[[#This Row],['#_Water sources tested for fecal coliform ]],"no test")</f>
        <v>no test</v>
      </c>
      <c r="CF121" s="908" t="str">
        <f>IFERROR(WWWW[[#This Row],['#_Household passed]]/WWWW[[#This Row],['#_Household water samples tested for fecal coliform]],"no test")</f>
        <v>no test</v>
      </c>
      <c r="CG121" s="909" t="str">
        <f>IF(AND(WWWW[[#This Row],[% of water sources passed]]="no test",WWWW[[#This Row],[% Household passed]]="no test"),"No Test","Tested")</f>
        <v>No Test</v>
      </c>
      <c r="CH121" s="909">
        <f>WWWW[[#This Row],['#_Constructed/existing protected hand dug well]]-WWWW[[#This Row],['#_Non-functional protected hand dug well]]</f>
        <v>0</v>
      </c>
      <c r="CI121" s="909">
        <f>(WWWW[[#This Row],['#_Constructed/Existing tube wells/boreholes/handpumps_WASH_agency]]+WWWW[[#This Row],['#_Non-Cluster partner water tube-wells/boreholes/handpumps]])-WWWW[[#This Row],['#_Non-functional tube wells/boreholes/handpumps]]</f>
        <v>0</v>
      </c>
      <c r="CJ121" s="909">
        <f>WWWW[[#This Row],['#_Constructed/Existingwater storage tank with gravity fed reticulation system]]-WWWW[[#This Row],['#_Non-functional storage tank gravity fed reticulation system]]</f>
        <v>0</v>
      </c>
      <c r="CK121" s="909">
        <f>(WWWW[[#This Row],['#_Water_Liters_supplied_by_Water boating or water trucking]]/90)/15</f>
        <v>0</v>
      </c>
      <c r="CL121" s="909">
        <f>WWWW[[#This Row],['#_Water_Liters_from_Constructed/Existing water distribution system from river or natural spring]]/90/15</f>
        <v>0</v>
      </c>
      <c r="CM121" s="417">
        <f>IF(WWWW[[#This Row],['#_of water points in TLS/CFS]]*500&gt;WWWW[[#This Row],[Total PoP ]],WWWW[[#This Row],[Total PoP ]],WWWW[[#This Row],['#_of water points in TLS/CFS]]*500)</f>
        <v>0</v>
      </c>
      <c r="CN121" s="417">
        <f>IF(WWWW[[#This Row],['#_of water points in THF]]*500&gt;WWWW[[#This Row],[Total PoP ]],WWWW[[#This Row],[Total PoP ]],WWWW[[#This Row],['#_of water points in THF]]*500)</f>
        <v>0</v>
      </c>
      <c r="CO121" s="417"/>
      <c r="CP121"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21"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21" s="908">
        <f>IF(WWWW[[#This Row],[Location Type 1]]="Village",WWWW[[#This Row],[Access to safe drinking water for Village]],WWWW[[#This Row],[Access to safe drinking water for Camp]])</f>
        <v>0</v>
      </c>
      <c r="CS121" s="906">
        <f>WWWW[[#This Row],[%Equitable and continuous access to sufficient quantity of safe drinking water]]*WWWW[[#This Row],[Total PoP ]]</f>
        <v>0</v>
      </c>
      <c r="CT121" s="908">
        <f>IF((WWWW[[#This Row],['#_Constructed/Existing protected/fenced ponds]]*250)/WWWW[[#This Row],[Total PoP ]]&gt;1,1,(WWWW[[#This Row],['#_Constructed/Existing protected/fenced ponds]]*250)/WWWW[[#This Row],[Total PoP ]])</f>
        <v>0</v>
      </c>
      <c r="CU121" s="906">
        <f>WWWW[[#This Row],[% Access to unimproved water points]]*WWWW[[#This Row],[Total PoP ]]</f>
        <v>0</v>
      </c>
      <c r="CV121"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21"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21" s="906">
        <f>WWWW[[#This Row],[HRP1]]/500</f>
        <v>0</v>
      </c>
      <c r="CY121" s="911">
        <f>1-WWWW[[#This Row],[% Equitable and continuous access to sufficient quantity of domestic water]]</f>
        <v>1</v>
      </c>
      <c r="CZ121" s="906">
        <f>WWWW[[#This Row],[%equitable and continuous access to sufficient quantity of safe drinking and domestic water''s GAP]]*WWWW[[#This Row],[Total PoP ]]</f>
        <v>60</v>
      </c>
      <c r="DA121" s="909">
        <f>IF(WWWW[[#This Row],[Total required water points]]-WWWW[[#This Row],['#Water points coverage]]&lt;0,0,WWWW[[#This Row],[Total required water points]]-WWWW[[#This Row],['#Water points coverage]])</f>
        <v>1</v>
      </c>
      <c r="DB121" s="909">
        <f>ROUND(IF(WWWW[[#This Row],[Total PoP ]]&lt;500,1,WWWW[[#This Row],[Total PoP ]]/500),0)</f>
        <v>1</v>
      </c>
      <c r="DC121" s="909">
        <f>(WWWW[[#This Row],['#_Constructed latrines_by_WASHAgencies]]+WWWW[[#This Row],['#_Non Cluster partner latrines]])-WWWW[[#This Row],['#_Non-functional latrines]]</f>
        <v>0</v>
      </c>
      <c r="DD121" s="615">
        <f>WWWW[[#This Row],[HRP2]]/WWWW[[#This Row],[Total PoP ]]</f>
        <v>0</v>
      </c>
      <c r="DE121"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21"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1"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1" s="417">
        <f>IF(WWWW[[#This Row],['# of functional latrines in THF supported by WASH partners during the reporting period2]]="",0,WWWW[[#This Row],['# of functional latrines in THF supported by WASH partners during the reporting period2]]*50)</f>
        <v>0</v>
      </c>
      <c r="DI121" s="909">
        <f>ROUND(IF(WWWW[[#This Row],[Location Type 1]]="camp",WWWW[[#This Row],[Total PoP ]]/20,IF(WWWW[[#This Row],[Location Type 1]]="Temporary Location",WWWW[[#This Row],[Total PoP ]]/50,(WWWW[[#This Row],[Total PoP ]]/6))),0)</f>
        <v>3</v>
      </c>
      <c r="DJ121" s="909">
        <f>IF(WWWW[[#This Row],[Total required Latrines]]-(WWWW[[#This Row],['#_Constructed latrines_by_WASHAgencies]]+WWWW[[#This Row],['#_Non Cluster partner latrines]])&lt;0,0,WWWW[[#This Row],[Total required Latrines]]-(WWWW[[#This Row],['#_Constructed latrines_by_WASHAgencies]]+WWWW[[#This Row],['#_Non Cluster partner latrines]]))</f>
        <v>3</v>
      </c>
      <c r="DK121" s="911">
        <f>1-WWWW[[#This Row],[% people access to functioning Latrine]]</f>
        <v>1</v>
      </c>
      <c r="DL121" s="910">
        <f>IF(OR(WWWW[[#This Row],['#_Non-functional latrines]]="",WWWW[[#This Row],['#_Non-functional latrines]]=0),0,WWWW[[#This Row],['#_Non-functional latrines]]/(WWWW[[#This Row],['#_Constructed latrines_by_WASHAgencies]]+WWWW[[#This Row],['#_Non Cluster partner latrines]]))</f>
        <v>0</v>
      </c>
      <c r="DM121" s="906">
        <f>IF(500*(WWWW[[#This Row],['#_male hygiene promoters]]+WWWW[[#This Row],['#_female hygiene promoters]])&gt;WWWW[[#This Row],[Total PoP ]],WWWW[[#This Row],[Total PoP ]],500*(WWWW[[#This Row],['#_male hygiene promoters]]+WWWW[[#This Row],['#_female hygiene promoters]]))</f>
        <v>0</v>
      </c>
      <c r="DN121"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21"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21" s="909">
        <f>IF(WWWW[[#This Row],['# People with access to soap]]&gt;WWWW[[#This Row],['# People with access to Sanity Pads]],WWWW[[#This Row],['# People with access to soap]],WWWW[[#This Row],['# People with access to Sanity Pads]])</f>
        <v>0</v>
      </c>
      <c r="DQ121"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21" s="911">
        <f>IF(WWWW[[#This Row],[HRP3]]/WWWW[[#This Row],[Total PoP ]]&gt;1,1,WWWW[[#This Row],[HRP3]]/WWWW[[#This Row],[Total PoP ]])</f>
        <v>0</v>
      </c>
      <c r="DS121" s="910">
        <f>1-WWWW[[#This Row],[Hygiene Coverage%]]</f>
        <v>1</v>
      </c>
      <c r="DT121" s="908">
        <f>WWWW[[#This Row],['# people reached by regular dedicated hygiene promotion_5]]/WWWW[[#This Row],[Total PoP ]]</f>
        <v>0</v>
      </c>
      <c r="DU121"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21"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21" s="909">
        <f>WWWW[[#This Row],['#_Constructed/Existing hand washing stations]]-WWWW[[#This Row],['#_Non-Functional_hand_washing_stations]]</f>
        <v>8</v>
      </c>
      <c r="DX121" s="906">
        <f>IF(WWWW[[#This Row],['# Functional hand washing stations during reporting period]]*20&gt;WWWW[[#This Row],[Total HH]],WWWW[[#This Row],[Total HH]],WWWW[[#This Row],['# Functional hand washing stations during reporting period]]*20)</f>
        <v>19</v>
      </c>
      <c r="DY121" s="906">
        <f>IF(WWWW[[#This Row],[Is sufficient soap available for TLS? (Yes/No)]]="yes",WWWW[[#This Row],['#_Constructed/Existing hand washing stations at TLS/CFS/THF]],0)</f>
        <v>0</v>
      </c>
      <c r="DZ121" s="421">
        <f>IF(WWWW[[#This Row],['# Functional hand washing stations during reporting period]]*100&gt;WWWW[[#This Row],[Total PoP ]],WWWW[[#This Row],[Total PoP ]],WWWW[[#This Row],['# Functional hand washing stations during reporting period]]*100)</f>
        <v>60</v>
      </c>
      <c r="EA121" s="421" t="str">
        <f>IF(OR(WWWW[[#This Row],['#_students at TLS_CFS]]="",WWWW[[#This Row],['#_students at TLS_CFS]]=0),"No","Yes")</f>
        <v>No</v>
      </c>
      <c r="EB12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21" s="566">
        <f>WWWW[[#This Row],[%_of_affected_people_surveyed_who_report_feeling_satistfied_with_the_latrine_design_and_sanitation_service]]*WWWW[[#This Row],[Total PoP ]]</f>
        <v>0</v>
      </c>
      <c r="ED121" s="566">
        <f>WWWW[[#This Row],[%_of_affected_people_surveyed_who_report_feeling_satistfied_with_the_water_point_design_and_water_service]]*WWWW[[#This Row],[Total PoP ]]</f>
        <v>0</v>
      </c>
      <c r="EE121" s="566">
        <f>WWWW[[#This Row],[%_of_complaints_received_that_result_in_timely_corrective_action_and_feedback_to_the_community]]*WWWW[[#This Row],[Total PoP ]]</f>
        <v>0</v>
      </c>
      <c r="EF12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2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2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1" s="902">
        <f>VLOOKUP(WWWW[[#This Row],[Site Name]],SiteDB6[[Site Name]:[CCCM Management]],6,FALSE)</f>
        <v>0</v>
      </c>
      <c r="EJ121" s="902">
        <f>VLOOKUP(WWWW[[#This Row],[Site Name]],SiteDB6[[Site Name]:[CCCM Focal Agency]],7,FALSE)</f>
        <v>0</v>
      </c>
      <c r="EK121" s="902" t="str">
        <f>VLOOKUP(WWWW[[#This Row],[Site Name]],SiteDB6[[Site Name]:[Location Type 1]],9,FALSE)</f>
        <v>Camp</v>
      </c>
      <c r="EL121" s="902" t="str">
        <f>VLOOKUP(WWWW[[#This Row],[Site Name]],SiteDB6[[Site Name]:[Type of Accommodation]],10,FALSE)</f>
        <v>Closed Camp</v>
      </c>
      <c r="EM121" s="902" t="str">
        <f>VLOOKUP(WWWW[[#This Row],[Site Name]],SiteDB6[[Site Name]:[Ethnic or GCA/NGCA]],11,FALSE)</f>
        <v>GCA</v>
      </c>
      <c r="EN121" s="902">
        <f>VLOOKUP(WWWW[[#This Row],[Site Name]],SiteDB6[[Site Name]:[Lat]],12,FALSE)</f>
        <v>23.963060379028299</v>
      </c>
      <c r="EO121" s="902">
        <f>VLOOKUP(WWWW[[#This Row],[Site Name]],SiteDB6[[Site Name]:[Long]],13,FALSE)</f>
        <v>98.127189636230497</v>
      </c>
      <c r="EP121" s="902" t="str">
        <f>VLOOKUP(WWWW[[#This Row],[Site Name]],SiteDB6[[Site Name]:[Pcode]],3,FALSE)</f>
        <v>MMR015CMP076</v>
      </c>
      <c r="EQ121" s="907" t="str">
        <f t="shared" si="1"/>
        <v>Covered</v>
      </c>
      <c r="ER121" s="907" t="s">
        <v>3126</v>
      </c>
      <c r="ES121" s="907" t="s">
        <v>3126</v>
      </c>
      <c r="ET121" s="902">
        <f>VLOOKUP(WWWW[[#This Row],[Site Name]],SiteDB6[[Site Name]:[Pop
(Kachin/Shan-CCCM as of May 2023)]],16,FALSE)</f>
        <v>19</v>
      </c>
      <c r="EU121" s="902">
        <f>VLOOKUP(WWWW[[#This Row],[Site Name]],SiteDB6[[Site Name]:[Pop
(Kachin/Shan-CCCM as of May 2023)]],17,FALSE)</f>
        <v>60</v>
      </c>
    </row>
    <row r="122" spans="1:151" hidden="1">
      <c r="A122" s="900" t="s">
        <v>2961</v>
      </c>
      <c r="B122" s="900" t="s">
        <v>192</v>
      </c>
      <c r="C122" s="901" t="s">
        <v>192</v>
      </c>
      <c r="D122" s="901" t="s">
        <v>241</v>
      </c>
      <c r="E122" s="901" t="s">
        <v>515</v>
      </c>
      <c r="F122" s="901" t="s">
        <v>525</v>
      </c>
      <c r="G122" s="902" t="str">
        <f>VLOOKUP(WWWW[[#This Row],[Site Name]],SiteDB6[[Site Name]:[Location Type]],8,FALSE)</f>
        <v>Camp</v>
      </c>
      <c r="H122" s="901" t="s">
        <v>2847</v>
      </c>
      <c r="I122" s="903">
        <v>31</v>
      </c>
      <c r="J122" s="903">
        <v>155</v>
      </c>
      <c r="K122" s="904">
        <v>44511</v>
      </c>
      <c r="L122" s="905">
        <v>44875</v>
      </c>
      <c r="M122" s="903"/>
      <c r="N122" s="903"/>
      <c r="O122" s="903"/>
      <c r="P122" s="903"/>
      <c r="Q122" s="906"/>
      <c r="R122" s="903"/>
      <c r="S122" s="903"/>
      <c r="T122" s="441"/>
      <c r="U122" s="903"/>
      <c r="V122" s="903"/>
      <c r="W122" s="903"/>
      <c r="X122" s="903"/>
      <c r="Y122" s="903"/>
      <c r="Z122" s="903"/>
      <c r="AA122" s="903"/>
      <c r="AB122" s="903"/>
      <c r="AC122" s="903"/>
      <c r="AD122" s="903"/>
      <c r="AE122" s="903"/>
      <c r="AF122" s="903"/>
      <c r="AG122" s="903"/>
      <c r="AH122" s="903"/>
      <c r="AI122" s="903"/>
      <c r="AJ122" s="903"/>
      <c r="AK122" s="903"/>
      <c r="AL122" s="903"/>
      <c r="AM122" s="903"/>
      <c r="AN122" s="903"/>
      <c r="AO122" s="441"/>
      <c r="AP122" s="907"/>
      <c r="AQ122" s="903"/>
      <c r="AR122" s="903"/>
      <c r="AS122" s="908"/>
      <c r="AT122" s="903"/>
      <c r="AU122" s="903"/>
      <c r="AV122" s="903"/>
      <c r="AW122" s="903"/>
      <c r="AX122" s="903"/>
      <c r="AY122" s="902" t="s">
        <v>140</v>
      </c>
      <c r="AZ122" s="907" t="s">
        <v>140</v>
      </c>
      <c r="BA122" s="903"/>
      <c r="BB122" s="903"/>
      <c r="BC122" s="903"/>
      <c r="BD122" s="441"/>
      <c r="BE122" s="441"/>
      <c r="BF122" s="902"/>
      <c r="BG122" s="903"/>
      <c r="BH122" s="903"/>
      <c r="BI122" s="903"/>
      <c r="BJ122" s="903"/>
      <c r="BK122" s="903"/>
      <c r="BL122" s="903"/>
      <c r="BM122" s="903"/>
      <c r="BN122" s="903"/>
      <c r="BO122" s="903"/>
      <c r="BP122" s="902" t="s">
        <v>41</v>
      </c>
      <c r="BQ122" s="909"/>
      <c r="BR122" s="908"/>
      <c r="BS122" s="902"/>
      <c r="BT122" s="416"/>
      <c r="BU122" s="416"/>
      <c r="BV122" s="418"/>
      <c r="BW122" s="416"/>
      <c r="BX122" s="441"/>
      <c r="BY122" s="441"/>
      <c r="BZ122" s="441"/>
      <c r="CA122" s="441"/>
      <c r="CB122" s="441"/>
      <c r="CC122" s="693"/>
      <c r="CD122" s="441"/>
      <c r="CE122" s="910" t="str">
        <f>IFERROR(WWWW[[#This Row],['#_Water sources passed]]/WWWW[[#This Row],['#_Water sources tested for fecal coliform ]],"no test")</f>
        <v>no test</v>
      </c>
      <c r="CF122" s="908" t="str">
        <f>IFERROR(WWWW[[#This Row],['#_Household passed]]/WWWW[[#This Row],['#_Household water samples tested for fecal coliform]],"no test")</f>
        <v>no test</v>
      </c>
      <c r="CG122" s="909" t="str">
        <f>IF(AND(WWWW[[#This Row],[% of water sources passed]]="no test",WWWW[[#This Row],[% Household passed]]="no test"),"No Test","Tested")</f>
        <v>No Test</v>
      </c>
      <c r="CH122" s="909">
        <f>WWWW[[#This Row],['#_Constructed/existing protected hand dug well]]-WWWW[[#This Row],['#_Non-functional protected hand dug well]]</f>
        <v>0</v>
      </c>
      <c r="CI122" s="909">
        <f>(WWWW[[#This Row],['#_Constructed/Existing tube wells/boreholes/handpumps_WASH_agency]]+WWWW[[#This Row],['#_Non-Cluster partner water tube-wells/boreholes/handpumps]])-WWWW[[#This Row],['#_Non-functional tube wells/boreholes/handpumps]]</f>
        <v>0</v>
      </c>
      <c r="CJ122" s="909">
        <f>WWWW[[#This Row],['#_Constructed/Existingwater storage tank with gravity fed reticulation system]]-WWWW[[#This Row],['#_Non-functional storage tank gravity fed reticulation system]]</f>
        <v>0</v>
      </c>
      <c r="CK122" s="909">
        <f>(WWWW[[#This Row],['#_Water_Liters_supplied_by_Water boating or water trucking]]/90)/15</f>
        <v>0</v>
      </c>
      <c r="CL122" s="909">
        <f>WWWW[[#This Row],['#_Water_Liters_from_Constructed/Existing water distribution system from river or natural spring]]/90/15</f>
        <v>0</v>
      </c>
      <c r="CM122" s="417">
        <f>IF(WWWW[[#This Row],['#_of water points in TLS/CFS]]*500&gt;WWWW[[#This Row],[Total PoP ]],WWWW[[#This Row],[Total PoP ]],WWWW[[#This Row],['#_of water points in TLS/CFS]]*500)</f>
        <v>0</v>
      </c>
      <c r="CN122" s="417">
        <f>IF(WWWW[[#This Row],['#_of water points in THF]]*500&gt;WWWW[[#This Row],[Total PoP ]],WWWW[[#This Row],[Total PoP ]],WWWW[[#This Row],['#_of water points in THF]]*500)</f>
        <v>0</v>
      </c>
      <c r="CO122" s="417"/>
      <c r="CP122"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22"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22" s="908">
        <f>IF(WWWW[[#This Row],[Location Type 1]]="Village",WWWW[[#This Row],[Access to safe drinking water for Village]],WWWW[[#This Row],[Access to safe drinking water for Camp]])</f>
        <v>0</v>
      </c>
      <c r="CS122" s="906">
        <f>WWWW[[#This Row],[%Equitable and continuous access to sufficient quantity of safe drinking water]]*WWWW[[#This Row],[Total PoP ]]</f>
        <v>0</v>
      </c>
      <c r="CT122" s="908">
        <f>IF((WWWW[[#This Row],['#_Constructed/Existing protected/fenced ponds]]*250)/WWWW[[#This Row],[Total PoP ]]&gt;1,1,(WWWW[[#This Row],['#_Constructed/Existing protected/fenced ponds]]*250)/WWWW[[#This Row],[Total PoP ]])</f>
        <v>0</v>
      </c>
      <c r="CU122" s="906">
        <f>WWWW[[#This Row],[% Access to unimproved water points]]*WWWW[[#This Row],[Total PoP ]]</f>
        <v>0</v>
      </c>
      <c r="CV122"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22"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22" s="906">
        <f>WWWW[[#This Row],[HRP1]]/500</f>
        <v>0</v>
      </c>
      <c r="CY122" s="911">
        <f>1-WWWW[[#This Row],[% Equitable and continuous access to sufficient quantity of domestic water]]</f>
        <v>1</v>
      </c>
      <c r="CZ122" s="906">
        <f>WWWW[[#This Row],[%equitable and continuous access to sufficient quantity of safe drinking and domestic water''s GAP]]*WWWW[[#This Row],[Total PoP ]]</f>
        <v>155</v>
      </c>
      <c r="DA122" s="909">
        <f>IF(WWWW[[#This Row],[Total required water points]]-WWWW[[#This Row],['#Water points coverage]]&lt;0,0,WWWW[[#This Row],[Total required water points]]-WWWW[[#This Row],['#Water points coverage]])</f>
        <v>1</v>
      </c>
      <c r="DB122" s="909">
        <f>ROUND(IF(WWWW[[#This Row],[Total PoP ]]&lt;500,1,WWWW[[#This Row],[Total PoP ]]/500),0)</f>
        <v>1</v>
      </c>
      <c r="DC122" s="909">
        <f>(WWWW[[#This Row],['#_Constructed latrines_by_WASHAgencies]]+WWWW[[#This Row],['#_Non Cluster partner latrines]])-WWWW[[#This Row],['#_Non-functional latrines]]</f>
        <v>0</v>
      </c>
      <c r="DD122" s="615">
        <f>WWWW[[#This Row],[HRP2]]/WWWW[[#This Row],[Total PoP ]]</f>
        <v>0</v>
      </c>
      <c r="DE122"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22"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2"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2" s="417">
        <f>IF(WWWW[[#This Row],['# of functional latrines in THF supported by WASH partners during the reporting period2]]="",0,WWWW[[#This Row],['# of functional latrines in THF supported by WASH partners during the reporting period2]]*50)</f>
        <v>0</v>
      </c>
      <c r="DI122" s="909">
        <f>ROUND(IF(WWWW[[#This Row],[Location Type 1]]="camp",WWWW[[#This Row],[Total PoP ]]/20,IF(WWWW[[#This Row],[Location Type 1]]="Temporary Location",WWWW[[#This Row],[Total PoP ]]/50,(WWWW[[#This Row],[Total PoP ]]/6))),0)</f>
        <v>8</v>
      </c>
      <c r="DJ122" s="909">
        <f>IF(WWWW[[#This Row],[Total required Latrines]]-(WWWW[[#This Row],['#_Constructed latrines_by_WASHAgencies]]+WWWW[[#This Row],['#_Non Cluster partner latrines]])&lt;0,0,WWWW[[#This Row],[Total required Latrines]]-(WWWW[[#This Row],['#_Constructed latrines_by_WASHAgencies]]+WWWW[[#This Row],['#_Non Cluster partner latrines]]))</f>
        <v>8</v>
      </c>
      <c r="DK122" s="911">
        <f>1-WWWW[[#This Row],[% people access to functioning Latrine]]</f>
        <v>1</v>
      </c>
      <c r="DL122" s="910">
        <f>IF(OR(WWWW[[#This Row],['#_Non-functional latrines]]="",WWWW[[#This Row],['#_Non-functional latrines]]=0),0,WWWW[[#This Row],['#_Non-functional latrines]]/(WWWW[[#This Row],['#_Constructed latrines_by_WASHAgencies]]+WWWW[[#This Row],['#_Non Cluster partner latrines]]))</f>
        <v>0</v>
      </c>
      <c r="DM122" s="906">
        <f>IF(500*(WWWW[[#This Row],['#_male hygiene promoters]]+WWWW[[#This Row],['#_female hygiene promoters]])&gt;WWWW[[#This Row],[Total PoP ]],WWWW[[#This Row],[Total PoP ]],500*(WWWW[[#This Row],['#_male hygiene promoters]]+WWWW[[#This Row],['#_female hygiene promoters]]))</f>
        <v>0</v>
      </c>
      <c r="DN122"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22"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22" s="909">
        <f>IF(WWWW[[#This Row],['# People with access to soap]]&gt;WWWW[[#This Row],['# People with access to Sanity Pads]],WWWW[[#This Row],['# People with access to soap]],WWWW[[#This Row],['# People with access to Sanity Pads]])</f>
        <v>0</v>
      </c>
      <c r="DQ122"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22" s="911">
        <f>IF(WWWW[[#This Row],[HRP3]]/WWWW[[#This Row],[Total PoP ]]&gt;1,1,WWWW[[#This Row],[HRP3]]/WWWW[[#This Row],[Total PoP ]])</f>
        <v>0</v>
      </c>
      <c r="DS122" s="910">
        <f>1-WWWW[[#This Row],[Hygiene Coverage%]]</f>
        <v>1</v>
      </c>
      <c r="DT122" s="908">
        <f>WWWW[[#This Row],['# people reached by regular dedicated hygiene promotion_5]]/WWWW[[#This Row],[Total PoP ]]</f>
        <v>0</v>
      </c>
      <c r="DU122"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22"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22" s="909">
        <f>WWWW[[#This Row],['#_Constructed/Existing hand washing stations]]-WWWW[[#This Row],['#_Non-Functional_hand_washing_stations]]</f>
        <v>0</v>
      </c>
      <c r="DX122" s="906">
        <f>IF(WWWW[[#This Row],['# Functional hand washing stations during reporting period]]*20&gt;WWWW[[#This Row],[Total HH]],WWWW[[#This Row],[Total HH]],WWWW[[#This Row],['# Functional hand washing stations during reporting period]]*20)</f>
        <v>0</v>
      </c>
      <c r="DY122" s="906">
        <f>IF(WWWW[[#This Row],[Is sufficient soap available for TLS? (Yes/No)]]="yes",WWWW[[#This Row],['#_Constructed/Existing hand washing stations at TLS/CFS/THF]],0)</f>
        <v>0</v>
      </c>
      <c r="DZ122" s="421">
        <f>IF(WWWW[[#This Row],['# Functional hand washing stations during reporting period]]*100&gt;WWWW[[#This Row],[Total PoP ]],WWWW[[#This Row],[Total PoP ]],WWWW[[#This Row],['# Functional hand washing stations during reporting period]]*100)</f>
        <v>0</v>
      </c>
      <c r="EA122" s="421" t="str">
        <f>IF(OR(WWWW[[#This Row],['#_students at TLS_CFS]]="",WWWW[[#This Row],['#_students at TLS_CFS]]=0),"No","Yes")</f>
        <v>No</v>
      </c>
      <c r="EB12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22" s="566">
        <f>WWWW[[#This Row],[%_of_affected_people_surveyed_who_report_feeling_satistfied_with_the_latrine_design_and_sanitation_service]]*WWWW[[#This Row],[Total PoP ]]</f>
        <v>0</v>
      </c>
      <c r="ED122" s="566">
        <f>WWWW[[#This Row],[%_of_affected_people_surveyed_who_report_feeling_satistfied_with_the_water_point_design_and_water_service]]*WWWW[[#This Row],[Total PoP ]]</f>
        <v>0</v>
      </c>
      <c r="EE122" s="566">
        <f>WWWW[[#This Row],[%_of_complaints_received_that_result_in_timely_corrective_action_and_feedback_to_the_community]]*WWWW[[#This Row],[Total PoP ]]</f>
        <v>0</v>
      </c>
      <c r="EF12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2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2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2" s="902">
        <f>VLOOKUP(WWWW[[#This Row],[Site Name]],SiteDB6[[Site Name]:[CCCM Management]],6,FALSE)</f>
        <v>0</v>
      </c>
      <c r="EJ122" s="902">
        <f>VLOOKUP(WWWW[[#This Row],[Site Name]],SiteDB6[[Site Name]:[CCCM Focal Agency]],7,FALSE)</f>
        <v>0</v>
      </c>
      <c r="EK122" s="902" t="str">
        <f>VLOOKUP(WWWW[[#This Row],[Site Name]],SiteDB6[[Site Name]:[Location Type 1]],9,FALSE)</f>
        <v>Camp</v>
      </c>
      <c r="EL122" s="902" t="str">
        <f>VLOOKUP(WWWW[[#This Row],[Site Name]],SiteDB6[[Site Name]:[Type of Accommodation]],10,FALSE)</f>
        <v>Camp like setting</v>
      </c>
      <c r="EM122" s="902" t="str">
        <f>VLOOKUP(WWWW[[#This Row],[Site Name]],SiteDB6[[Site Name]:[Ethnic or GCA/NGCA]],11,FALSE)</f>
        <v>GCA</v>
      </c>
      <c r="EN122" s="902">
        <f>VLOOKUP(WWWW[[#This Row],[Site Name]],SiteDB6[[Site Name]:[Lat]],12,FALSE)</f>
        <v>0</v>
      </c>
      <c r="EO122" s="902">
        <f>VLOOKUP(WWWW[[#This Row],[Site Name]],SiteDB6[[Site Name]:[Long]],13,FALSE)</f>
        <v>0</v>
      </c>
      <c r="EP122" s="902" t="str">
        <f>VLOOKUP(WWWW[[#This Row],[Site Name]],SiteDB6[[Site Name]:[Pcode]],3,FALSE)</f>
        <v>MMR015CMP083</v>
      </c>
      <c r="EQ122" s="907" t="str">
        <f t="shared" si="1"/>
        <v>Covered</v>
      </c>
      <c r="ER122" s="907" t="s">
        <v>3126</v>
      </c>
      <c r="ES122" s="907" t="s">
        <v>3126</v>
      </c>
      <c r="ET122" s="902">
        <f>VLOOKUP(WWWW[[#This Row],[Site Name]],SiteDB6[[Site Name]:[Pop
(Kachin/Shan-CCCM as of May 2023)]],16,FALSE)</f>
        <v>85</v>
      </c>
      <c r="EU122" s="902">
        <f>VLOOKUP(WWWW[[#This Row],[Site Name]],SiteDB6[[Site Name]:[Pop
(Kachin/Shan-CCCM as of May 2023)]],17,FALSE)</f>
        <v>403</v>
      </c>
    </row>
    <row r="123" spans="1:151" hidden="1">
      <c r="A123" s="900" t="s">
        <v>2961</v>
      </c>
      <c r="B123" s="900" t="s">
        <v>192</v>
      </c>
      <c r="C123" s="901" t="s">
        <v>192</v>
      </c>
      <c r="D123" s="901" t="s">
        <v>2633</v>
      </c>
      <c r="E123" s="901" t="s">
        <v>515</v>
      </c>
      <c r="F123" s="901" t="s">
        <v>516</v>
      </c>
      <c r="G123" s="902" t="str">
        <f>VLOOKUP(WWWW[[#This Row],[Site Name]],SiteDB6[[Site Name]:[Location Type]],8,FALSE)</f>
        <v>Camp</v>
      </c>
      <c r="H123" s="901" t="s">
        <v>562</v>
      </c>
      <c r="I123" s="903">
        <v>64</v>
      </c>
      <c r="J123" s="903">
        <v>323</v>
      </c>
      <c r="K123" s="904">
        <v>44511</v>
      </c>
      <c r="L123" s="905">
        <v>44926</v>
      </c>
      <c r="M123" s="903"/>
      <c r="N123" s="903">
        <v>1</v>
      </c>
      <c r="O123" s="903">
        <v>1</v>
      </c>
      <c r="P123" s="903"/>
      <c r="Q123" s="906" t="s">
        <v>41</v>
      </c>
      <c r="R123" s="903"/>
      <c r="S123" s="903"/>
      <c r="T123" s="441"/>
      <c r="U123" s="903"/>
      <c r="V123" s="903"/>
      <c r="W123" s="903"/>
      <c r="X123" s="903">
        <v>1</v>
      </c>
      <c r="Y123" s="903"/>
      <c r="Z123" s="903"/>
      <c r="AA123" s="903"/>
      <c r="AB123" s="903"/>
      <c r="AC123" s="903"/>
      <c r="AD123" s="903"/>
      <c r="AE123" s="903"/>
      <c r="AF123" s="903"/>
      <c r="AG123" s="903"/>
      <c r="AH123" s="903"/>
      <c r="AI123" s="903"/>
      <c r="AJ123" s="903"/>
      <c r="AK123" s="903"/>
      <c r="AL123" s="903"/>
      <c r="AM123" s="903"/>
      <c r="AN123" s="903"/>
      <c r="AO123" s="441"/>
      <c r="AP123" s="907"/>
      <c r="AQ123" s="903">
        <v>10</v>
      </c>
      <c r="AR123" s="903"/>
      <c r="AS123" s="908"/>
      <c r="AT123" s="903"/>
      <c r="AU123" s="903"/>
      <c r="AV123" s="903"/>
      <c r="AW123" s="903"/>
      <c r="AX123" s="903"/>
      <c r="AY123" s="902" t="s">
        <v>140</v>
      </c>
      <c r="AZ123" s="907" t="s">
        <v>140</v>
      </c>
      <c r="BA123" s="903"/>
      <c r="BB123" s="903"/>
      <c r="BC123" s="903"/>
      <c r="BD123" s="441"/>
      <c r="BE123" s="441"/>
      <c r="BF123" s="902"/>
      <c r="BG123" s="903">
        <v>7</v>
      </c>
      <c r="BH123" s="903"/>
      <c r="BI123" s="903"/>
      <c r="BJ123" s="903">
        <v>7</v>
      </c>
      <c r="BK123" s="903"/>
      <c r="BL123" s="903"/>
      <c r="BM123" s="903"/>
      <c r="BN123" s="903"/>
      <c r="BO123" s="903"/>
      <c r="BP123" s="902" t="s">
        <v>41</v>
      </c>
      <c r="BQ123" s="909"/>
      <c r="BR123" s="908"/>
      <c r="BS123" s="902"/>
      <c r="BT123" s="416"/>
      <c r="BU123" s="416"/>
      <c r="BV123" s="418"/>
      <c r="BW123" s="416"/>
      <c r="BX123" s="441"/>
      <c r="BY123" s="441"/>
      <c r="BZ123" s="441"/>
      <c r="CA123" s="441"/>
      <c r="CB123" s="441"/>
      <c r="CC123" s="693"/>
      <c r="CD123" s="441"/>
      <c r="CE123" s="910" t="str">
        <f>IFERROR(WWWW[[#This Row],['#_Water sources passed]]/WWWW[[#This Row],['#_Water sources tested for fecal coliform ]],"no test")</f>
        <v>no test</v>
      </c>
      <c r="CF123" s="908" t="str">
        <f>IFERROR(WWWW[[#This Row],['#_Household passed]]/WWWW[[#This Row],['#_Household water samples tested for fecal coliform]],"no test")</f>
        <v>no test</v>
      </c>
      <c r="CG123" s="909" t="str">
        <f>IF(AND(WWWW[[#This Row],[% of water sources passed]]="no test",WWWW[[#This Row],[% Household passed]]="no test"),"No Test","Tested")</f>
        <v>No Test</v>
      </c>
      <c r="CH123" s="909">
        <f>WWWW[[#This Row],['#_Constructed/existing protected hand dug well]]-WWWW[[#This Row],['#_Non-functional protected hand dug well]]</f>
        <v>0</v>
      </c>
      <c r="CI123" s="909">
        <f>(WWWW[[#This Row],['#_Constructed/Existing tube wells/boreholes/handpumps_WASH_agency]]+WWWW[[#This Row],['#_Non-Cluster partner water tube-wells/boreholes/handpumps]])-WWWW[[#This Row],['#_Non-functional tube wells/boreholes/handpumps]]</f>
        <v>1</v>
      </c>
      <c r="CJ123" s="909">
        <f>WWWW[[#This Row],['#_Constructed/Existingwater storage tank with gravity fed reticulation system]]-WWWW[[#This Row],['#_Non-functional storage tank gravity fed reticulation system]]</f>
        <v>0</v>
      </c>
      <c r="CK123" s="909">
        <f>(WWWW[[#This Row],['#_Water_Liters_supplied_by_Water boating or water trucking]]/90)/15</f>
        <v>0</v>
      </c>
      <c r="CL123" s="909">
        <f>WWWW[[#This Row],['#_Water_Liters_from_Constructed/Existing water distribution system from river or natural spring]]/90/15</f>
        <v>0</v>
      </c>
      <c r="CM123" s="417">
        <f>IF(WWWW[[#This Row],['#_of water points in TLS/CFS]]*500&gt;WWWW[[#This Row],[Total PoP ]],WWWW[[#This Row],[Total PoP ]],WWWW[[#This Row],['#_of water points in TLS/CFS]]*500)</f>
        <v>0</v>
      </c>
      <c r="CN123" s="417">
        <f>IF(WWWW[[#This Row],['#_of water points in THF]]*500&gt;WWWW[[#This Row],[Total PoP ]],WWWW[[#This Row],[Total PoP ]],WWWW[[#This Row],['#_of water points in THF]]*500)</f>
        <v>0</v>
      </c>
      <c r="CO123" s="417"/>
      <c r="CP123"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23"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0.77399380804953566</v>
      </c>
      <c r="CR123" s="908">
        <f>IF(WWWW[[#This Row],[Location Type 1]]="Village",WWWW[[#This Row],[Access to safe drinking water for Village]],WWWW[[#This Row],[Access to safe drinking water for Camp]])</f>
        <v>1</v>
      </c>
      <c r="CS123" s="906">
        <f>WWWW[[#This Row],[%Equitable and continuous access to sufficient quantity of safe drinking water]]*WWWW[[#This Row],[Total PoP ]]</f>
        <v>323</v>
      </c>
      <c r="CT123" s="908">
        <f>IF((WWWW[[#This Row],['#_Constructed/Existing protected/fenced ponds]]*250)/WWWW[[#This Row],[Total PoP ]]&gt;1,1,(WWWW[[#This Row],['#_Constructed/Existing protected/fenced ponds]]*250)/WWWW[[#This Row],[Total PoP ]])</f>
        <v>0</v>
      </c>
      <c r="CU123" s="906">
        <f>WWWW[[#This Row],[% Access to unimproved water points]]*WWWW[[#This Row],[Total PoP ]]</f>
        <v>0</v>
      </c>
      <c r="CV123"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23"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323</v>
      </c>
      <c r="CX123" s="906">
        <f>WWWW[[#This Row],[HRP1]]/500</f>
        <v>0.64600000000000002</v>
      </c>
      <c r="CY123" s="911">
        <f>1-WWWW[[#This Row],[% Equitable and continuous access to sufficient quantity of domestic water]]</f>
        <v>0</v>
      </c>
      <c r="CZ123" s="906">
        <f>WWWW[[#This Row],[%equitable and continuous access to sufficient quantity of safe drinking and domestic water''s GAP]]*WWWW[[#This Row],[Total PoP ]]</f>
        <v>0</v>
      </c>
      <c r="DA123" s="909">
        <f>IF(WWWW[[#This Row],[Total required water points]]-WWWW[[#This Row],['#Water points coverage]]&lt;0,0,WWWW[[#This Row],[Total required water points]]-WWWW[[#This Row],['#Water points coverage]])</f>
        <v>0.35399999999999998</v>
      </c>
      <c r="DB123" s="909">
        <f>ROUND(IF(WWWW[[#This Row],[Total PoP ]]&lt;500,1,WWWW[[#This Row],[Total PoP ]]/500),0)</f>
        <v>1</v>
      </c>
      <c r="DC123" s="909">
        <f>(WWWW[[#This Row],['#_Constructed latrines_by_WASHAgencies]]+WWWW[[#This Row],['#_Non Cluster partner latrines]])-WWWW[[#This Row],['#_Non-functional latrines]]</f>
        <v>10</v>
      </c>
      <c r="DD123" s="615">
        <f>WWWW[[#This Row],[HRP2]]/WWWW[[#This Row],[Total PoP ]]</f>
        <v>0.61919504643962853</v>
      </c>
      <c r="DE123"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200</v>
      </c>
      <c r="DF123"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3"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3" s="417">
        <f>IF(WWWW[[#This Row],['# of functional latrines in THF supported by WASH partners during the reporting period2]]="",0,WWWW[[#This Row],['# of functional latrines in THF supported by WASH partners during the reporting period2]]*50)</f>
        <v>0</v>
      </c>
      <c r="DI123" s="909">
        <f>ROUND(IF(WWWW[[#This Row],[Location Type 1]]="camp",WWWW[[#This Row],[Total PoP ]]/20,IF(WWWW[[#This Row],[Location Type 1]]="Temporary Location",WWWW[[#This Row],[Total PoP ]]/50,(WWWW[[#This Row],[Total PoP ]]/6))),0)</f>
        <v>16</v>
      </c>
      <c r="DJ123" s="909">
        <f>IF(WWWW[[#This Row],[Total required Latrines]]-(WWWW[[#This Row],['#_Constructed latrines_by_WASHAgencies]]+WWWW[[#This Row],['#_Non Cluster partner latrines]])&lt;0,0,WWWW[[#This Row],[Total required Latrines]]-(WWWW[[#This Row],['#_Constructed latrines_by_WASHAgencies]]+WWWW[[#This Row],['#_Non Cluster partner latrines]]))</f>
        <v>6</v>
      </c>
      <c r="DK123" s="911">
        <f>1-WWWW[[#This Row],[% people access to functioning Latrine]]</f>
        <v>0.38080495356037147</v>
      </c>
      <c r="DL123" s="910">
        <f>IF(OR(WWWW[[#This Row],['#_Non-functional latrines]]="",WWWW[[#This Row],['#_Non-functional latrines]]=0),0,WWWW[[#This Row],['#_Non-functional latrines]]/(WWWW[[#This Row],['#_Constructed latrines_by_WASHAgencies]]+WWWW[[#This Row],['#_Non Cluster partner latrines]]))</f>
        <v>0</v>
      </c>
      <c r="DM123" s="906">
        <f>IF(500*(WWWW[[#This Row],['#_male hygiene promoters]]+WWWW[[#This Row],['#_female hygiene promoters]])&gt;WWWW[[#This Row],[Total PoP ]],WWWW[[#This Row],[Total PoP ]],500*(WWWW[[#This Row],['#_male hygiene promoters]]+WWWW[[#This Row],['#_female hygiene promoters]]))</f>
        <v>0</v>
      </c>
      <c r="DN123"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23"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23" s="909">
        <f>IF(WWWW[[#This Row],['# People with access to soap]]&gt;WWWW[[#This Row],['# People with access to Sanity Pads]],WWWW[[#This Row],['# People with access to soap]],WWWW[[#This Row],['# People with access to Sanity Pads]])</f>
        <v>0</v>
      </c>
      <c r="DQ123"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23" s="911">
        <f>IF(WWWW[[#This Row],[HRP3]]/WWWW[[#This Row],[Total PoP ]]&gt;1,1,WWWW[[#This Row],[HRP3]]/WWWW[[#This Row],[Total PoP ]])</f>
        <v>0</v>
      </c>
      <c r="DS123" s="910">
        <f>1-WWWW[[#This Row],[Hygiene Coverage%]]</f>
        <v>1</v>
      </c>
      <c r="DT123" s="908">
        <f>WWWW[[#This Row],['# people reached by regular dedicated hygiene promotion_5]]/WWWW[[#This Row],[Total PoP ]]</f>
        <v>0</v>
      </c>
      <c r="DU123"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23"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23" s="909">
        <f>WWWW[[#This Row],['#_Constructed/Existing hand washing stations]]-WWWW[[#This Row],['#_Non-Functional_hand_washing_stations]]</f>
        <v>7</v>
      </c>
      <c r="DX123" s="906">
        <f>IF(WWWW[[#This Row],['# Functional hand washing stations during reporting period]]*20&gt;WWWW[[#This Row],[Total HH]],WWWW[[#This Row],[Total HH]],WWWW[[#This Row],['# Functional hand washing stations during reporting period]]*20)</f>
        <v>64</v>
      </c>
      <c r="DY123" s="906">
        <f>IF(WWWW[[#This Row],[Is sufficient soap available for TLS? (Yes/No)]]="yes",WWWW[[#This Row],['#_Constructed/Existing hand washing stations at TLS/CFS/THF]],0)</f>
        <v>0</v>
      </c>
      <c r="DZ123" s="421">
        <f>IF(WWWW[[#This Row],['# Functional hand washing stations during reporting period]]*100&gt;WWWW[[#This Row],[Total PoP ]],WWWW[[#This Row],[Total PoP ]],WWWW[[#This Row],['# Functional hand washing stations during reporting period]]*100)</f>
        <v>323</v>
      </c>
      <c r="EA123" s="421" t="str">
        <f>IF(OR(WWWW[[#This Row],['#_students at TLS_CFS]]="",WWWW[[#This Row],['#_students at TLS_CFS]]=0),"No","Yes")</f>
        <v>No</v>
      </c>
      <c r="EB12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23" s="566">
        <f>WWWW[[#This Row],[%_of_affected_people_surveyed_who_report_feeling_satistfied_with_the_latrine_design_and_sanitation_service]]*WWWW[[#This Row],[Total PoP ]]</f>
        <v>0</v>
      </c>
      <c r="ED123" s="566">
        <f>WWWW[[#This Row],[%_of_affected_people_surveyed_who_report_feeling_satistfied_with_the_water_point_design_and_water_service]]*WWWW[[#This Row],[Total PoP ]]</f>
        <v>0</v>
      </c>
      <c r="EE123" s="566">
        <f>WWWW[[#This Row],[%_of_complaints_received_that_result_in_timely_corrective_action_and_feedback_to_the_community]]*WWWW[[#This Row],[Total PoP ]]</f>
        <v>0</v>
      </c>
      <c r="EF12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2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2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3" s="902" t="str">
        <f>VLOOKUP(WWWW[[#This Row],[Site Name]],SiteDB6[[Site Name]:[CCCM Management]],6,FALSE)</f>
        <v>Yes</v>
      </c>
      <c r="EJ123" s="902" t="str">
        <f>VLOOKUP(WWWW[[#This Row],[Site Name]],SiteDB6[[Site Name]:[CCCM Focal Agency]],7,FALSE)</f>
        <v>KBC-NSS</v>
      </c>
      <c r="EK123" s="902" t="str">
        <f>VLOOKUP(WWWW[[#This Row],[Site Name]],SiteDB6[[Site Name]:[Location Type 1]],9,FALSE)</f>
        <v>Camp</v>
      </c>
      <c r="EL123" s="902" t="str">
        <f>VLOOKUP(WWWW[[#This Row],[Site Name]],SiteDB6[[Site Name]:[Type of Accommodation]],10,FALSE)</f>
        <v>Camp</v>
      </c>
      <c r="EM123" s="902" t="str">
        <f>VLOOKUP(WWWW[[#This Row],[Site Name]],SiteDB6[[Site Name]:[Ethnic or GCA/NGCA]],11,FALSE)</f>
        <v>GCA</v>
      </c>
      <c r="EN123" s="902">
        <f>VLOOKUP(WWWW[[#This Row],[Site Name]],SiteDB6[[Site Name]:[Lat]],12,FALSE)</f>
        <v>23.828520000000001</v>
      </c>
      <c r="EO123" s="902">
        <f>VLOOKUP(WWWW[[#This Row],[Site Name]],SiteDB6[[Site Name]:[Long]],13,FALSE)</f>
        <v>97.669557999999995</v>
      </c>
      <c r="EP123" s="902" t="str">
        <f>VLOOKUP(WWWW[[#This Row],[Site Name]],SiteDB6[[Site Name]:[Pcode]],3,FALSE)</f>
        <v>MMR015CMP001</v>
      </c>
      <c r="EQ123" s="907" t="str">
        <f t="shared" si="1"/>
        <v>Covered</v>
      </c>
      <c r="ER123" s="907" t="s">
        <v>3126</v>
      </c>
      <c r="ES123" s="907" t="s">
        <v>3126</v>
      </c>
      <c r="ET123" s="902">
        <f>VLOOKUP(WWWW[[#This Row],[Site Name]],SiteDB6[[Site Name]:[Pop
(Kachin/Shan-CCCM as of May 2023)]],16,FALSE)</f>
        <v>51</v>
      </c>
      <c r="EU123" s="902">
        <f>VLOOKUP(WWWW[[#This Row],[Site Name]],SiteDB6[[Site Name]:[Pop
(Kachin/Shan-CCCM as of May 2023)]],17,FALSE)</f>
        <v>250</v>
      </c>
    </row>
    <row r="124" spans="1:151" hidden="1">
      <c r="A124" s="900" t="s">
        <v>2961</v>
      </c>
      <c r="B124" s="900" t="s">
        <v>192</v>
      </c>
      <c r="C124" s="901" t="s">
        <v>192</v>
      </c>
      <c r="D124" s="901" t="s">
        <v>2633</v>
      </c>
      <c r="E124" s="901" t="s">
        <v>515</v>
      </c>
      <c r="F124" s="901" t="s">
        <v>516</v>
      </c>
      <c r="G124" s="902" t="str">
        <f>VLOOKUP(WWWW[[#This Row],[Site Name]],SiteDB6[[Site Name]:[Location Type]],8,FALSE)</f>
        <v>Camp</v>
      </c>
      <c r="H124" s="901" t="s">
        <v>551</v>
      </c>
      <c r="I124" s="903">
        <v>6</v>
      </c>
      <c r="J124" s="903">
        <v>31</v>
      </c>
      <c r="K124" s="904">
        <v>44511</v>
      </c>
      <c r="L124" s="905">
        <v>44926</v>
      </c>
      <c r="M124" s="903"/>
      <c r="N124" s="903"/>
      <c r="O124" s="903">
        <v>1</v>
      </c>
      <c r="P124" s="903"/>
      <c r="Q124" s="906"/>
      <c r="R124" s="903"/>
      <c r="S124" s="903"/>
      <c r="T124" s="441"/>
      <c r="U124" s="903"/>
      <c r="V124" s="903"/>
      <c r="W124" s="903"/>
      <c r="X124" s="903">
        <v>1</v>
      </c>
      <c r="Y124" s="903"/>
      <c r="Z124" s="903"/>
      <c r="AA124" s="903"/>
      <c r="AB124" s="903"/>
      <c r="AC124" s="903"/>
      <c r="AD124" s="903"/>
      <c r="AE124" s="903"/>
      <c r="AF124" s="903"/>
      <c r="AG124" s="903"/>
      <c r="AH124" s="903"/>
      <c r="AI124" s="903"/>
      <c r="AJ124" s="903"/>
      <c r="AK124" s="903"/>
      <c r="AL124" s="903"/>
      <c r="AM124" s="903"/>
      <c r="AN124" s="903"/>
      <c r="AO124" s="441"/>
      <c r="AP124" s="907"/>
      <c r="AQ124" s="903"/>
      <c r="AR124" s="903">
        <v>10</v>
      </c>
      <c r="AS124" s="908"/>
      <c r="AT124" s="903"/>
      <c r="AU124" s="903"/>
      <c r="AV124" s="903"/>
      <c r="AW124" s="903"/>
      <c r="AX124" s="903"/>
      <c r="AY124" s="902" t="s">
        <v>140</v>
      </c>
      <c r="AZ124" s="907" t="s">
        <v>140</v>
      </c>
      <c r="BA124" s="903"/>
      <c r="BB124" s="903"/>
      <c r="BC124" s="903"/>
      <c r="BD124" s="441"/>
      <c r="BE124" s="441"/>
      <c r="BF124" s="902"/>
      <c r="BG124" s="903">
        <v>7</v>
      </c>
      <c r="BH124" s="903"/>
      <c r="BI124" s="903"/>
      <c r="BJ124" s="903">
        <v>4</v>
      </c>
      <c r="BK124" s="903"/>
      <c r="BL124" s="903"/>
      <c r="BM124" s="903">
        <v>1</v>
      </c>
      <c r="BN124" s="903"/>
      <c r="BO124" s="903"/>
      <c r="BP124" s="902" t="s">
        <v>41</v>
      </c>
      <c r="BQ124" s="909"/>
      <c r="BR124" s="908"/>
      <c r="BS124" s="902"/>
      <c r="BT124" s="416"/>
      <c r="BU124" s="416"/>
      <c r="BV124" s="418"/>
      <c r="BW124" s="416"/>
      <c r="BX124" s="441"/>
      <c r="BY124" s="441"/>
      <c r="BZ124" s="441"/>
      <c r="CA124" s="441"/>
      <c r="CB124" s="441"/>
      <c r="CC124" s="693"/>
      <c r="CD124" s="441"/>
      <c r="CE124" s="910" t="str">
        <f>IFERROR(WWWW[[#This Row],['#_Water sources passed]]/WWWW[[#This Row],['#_Water sources tested for fecal coliform ]],"no test")</f>
        <v>no test</v>
      </c>
      <c r="CF124" s="908" t="str">
        <f>IFERROR(WWWW[[#This Row],['#_Household passed]]/WWWW[[#This Row],['#_Household water samples tested for fecal coliform]],"no test")</f>
        <v>no test</v>
      </c>
      <c r="CG124" s="909" t="str">
        <f>IF(AND(WWWW[[#This Row],[% of water sources passed]]="no test",WWWW[[#This Row],[% Household passed]]="no test"),"No Test","Tested")</f>
        <v>No Test</v>
      </c>
      <c r="CH124" s="909">
        <f>WWWW[[#This Row],['#_Constructed/existing protected hand dug well]]-WWWW[[#This Row],['#_Non-functional protected hand dug well]]</f>
        <v>0</v>
      </c>
      <c r="CI124" s="909">
        <f>(WWWW[[#This Row],['#_Constructed/Existing tube wells/boreholes/handpumps_WASH_agency]]+WWWW[[#This Row],['#_Non-Cluster partner water tube-wells/boreholes/handpumps]])-WWWW[[#This Row],['#_Non-functional tube wells/boreholes/handpumps]]</f>
        <v>1</v>
      </c>
      <c r="CJ124" s="909">
        <f>WWWW[[#This Row],['#_Constructed/Existingwater storage tank with gravity fed reticulation system]]-WWWW[[#This Row],['#_Non-functional storage tank gravity fed reticulation system]]</f>
        <v>0</v>
      </c>
      <c r="CK124" s="909">
        <f>(WWWW[[#This Row],['#_Water_Liters_supplied_by_Water boating or water trucking]]/90)/15</f>
        <v>0</v>
      </c>
      <c r="CL124" s="909">
        <f>WWWW[[#This Row],['#_Water_Liters_from_Constructed/Existing water distribution system from river or natural spring]]/90/15</f>
        <v>0</v>
      </c>
      <c r="CM124" s="417">
        <f>IF(WWWW[[#This Row],['#_of water points in TLS/CFS]]*500&gt;WWWW[[#This Row],[Total PoP ]],WWWW[[#This Row],[Total PoP ]],WWWW[[#This Row],['#_of water points in TLS/CFS]]*500)</f>
        <v>0</v>
      </c>
      <c r="CN124" s="417">
        <f>IF(WWWW[[#This Row],['#_of water points in THF]]*500&gt;WWWW[[#This Row],[Total PoP ]],WWWW[[#This Row],[Total PoP ]],WWWW[[#This Row],['#_of water points in THF]]*500)</f>
        <v>0</v>
      </c>
      <c r="CO124" s="417"/>
      <c r="CP124"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24"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24" s="908">
        <f>IF(WWWW[[#This Row],[Location Type 1]]="Village",WWWW[[#This Row],[Access to safe drinking water for Village]],WWWW[[#This Row],[Access to safe drinking water for Camp]])</f>
        <v>1</v>
      </c>
      <c r="CS124" s="906">
        <f>WWWW[[#This Row],[%Equitable and continuous access to sufficient quantity of safe drinking water]]*WWWW[[#This Row],[Total PoP ]]</f>
        <v>31</v>
      </c>
      <c r="CT124" s="908">
        <f>IF((WWWW[[#This Row],['#_Constructed/Existing protected/fenced ponds]]*250)/WWWW[[#This Row],[Total PoP ]]&gt;1,1,(WWWW[[#This Row],['#_Constructed/Existing protected/fenced ponds]]*250)/WWWW[[#This Row],[Total PoP ]])</f>
        <v>0</v>
      </c>
      <c r="CU124" s="906">
        <f>WWWW[[#This Row],[% Access to unimproved water points]]*WWWW[[#This Row],[Total PoP ]]</f>
        <v>0</v>
      </c>
      <c r="CV124"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24"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31</v>
      </c>
      <c r="CX124" s="906">
        <f>WWWW[[#This Row],[HRP1]]/500</f>
        <v>6.2E-2</v>
      </c>
      <c r="CY124" s="911">
        <f>1-WWWW[[#This Row],[% Equitable and continuous access to sufficient quantity of domestic water]]</f>
        <v>0</v>
      </c>
      <c r="CZ124" s="906">
        <f>WWWW[[#This Row],[%equitable and continuous access to sufficient quantity of safe drinking and domestic water''s GAP]]*WWWW[[#This Row],[Total PoP ]]</f>
        <v>0</v>
      </c>
      <c r="DA124" s="909">
        <f>IF(WWWW[[#This Row],[Total required water points]]-WWWW[[#This Row],['#Water points coverage]]&lt;0,0,WWWW[[#This Row],[Total required water points]]-WWWW[[#This Row],['#Water points coverage]])</f>
        <v>0.93799999999999994</v>
      </c>
      <c r="DB124" s="909">
        <f>ROUND(IF(WWWW[[#This Row],[Total PoP ]]&lt;500,1,WWWW[[#This Row],[Total PoP ]]/500),0)</f>
        <v>1</v>
      </c>
      <c r="DC124" s="909">
        <f>(WWWW[[#This Row],['#_Constructed latrines_by_WASHAgencies]]+WWWW[[#This Row],['#_Non Cluster partner latrines]])-WWWW[[#This Row],['#_Non-functional latrines]]</f>
        <v>10</v>
      </c>
      <c r="DD124" s="615">
        <f>WWWW[[#This Row],[HRP2]]/WWWW[[#This Row],[Total PoP ]]</f>
        <v>1</v>
      </c>
      <c r="DE124"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31</v>
      </c>
      <c r="DF124"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4"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4" s="417">
        <f>IF(WWWW[[#This Row],['# of functional latrines in THF supported by WASH partners during the reporting period2]]="",0,WWWW[[#This Row],['# of functional latrines in THF supported by WASH partners during the reporting period2]]*50)</f>
        <v>0</v>
      </c>
      <c r="DI124" s="909">
        <f>ROUND(IF(WWWW[[#This Row],[Location Type 1]]="camp",WWWW[[#This Row],[Total PoP ]]/20,IF(WWWW[[#This Row],[Location Type 1]]="Temporary Location",WWWW[[#This Row],[Total PoP ]]/50,(WWWW[[#This Row],[Total PoP ]]/6))),0)</f>
        <v>2</v>
      </c>
      <c r="DJ124" s="909">
        <f>IF(WWWW[[#This Row],[Total required Latrines]]-(WWWW[[#This Row],['#_Constructed latrines_by_WASHAgencies]]+WWWW[[#This Row],['#_Non Cluster partner latrines]])&lt;0,0,WWWW[[#This Row],[Total required Latrines]]-(WWWW[[#This Row],['#_Constructed latrines_by_WASHAgencies]]+WWWW[[#This Row],['#_Non Cluster partner latrines]]))</f>
        <v>0</v>
      </c>
      <c r="DK124" s="911">
        <f>1-WWWW[[#This Row],[% people access to functioning Latrine]]</f>
        <v>0</v>
      </c>
      <c r="DL124" s="910">
        <f>IF(OR(WWWW[[#This Row],['#_Non-functional latrines]]="",WWWW[[#This Row],['#_Non-functional latrines]]=0),0,WWWW[[#This Row],['#_Non-functional latrines]]/(WWWW[[#This Row],['#_Constructed latrines_by_WASHAgencies]]+WWWW[[#This Row],['#_Non Cluster partner latrines]]))</f>
        <v>0</v>
      </c>
      <c r="DM124" s="906">
        <f>IF(500*(WWWW[[#This Row],['#_male hygiene promoters]]+WWWW[[#This Row],['#_female hygiene promoters]])&gt;WWWW[[#This Row],[Total PoP ]],WWWW[[#This Row],[Total PoP ]],500*(WWWW[[#This Row],['#_male hygiene promoters]]+WWWW[[#This Row],['#_female hygiene promoters]]))</f>
        <v>31</v>
      </c>
      <c r="DN124"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24"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24" s="909">
        <f>IF(WWWW[[#This Row],['# People with access to soap]]&gt;WWWW[[#This Row],['# People with access to Sanity Pads]],WWWW[[#This Row],['# People with access to soap]],WWWW[[#This Row],['# People with access to Sanity Pads]])</f>
        <v>0</v>
      </c>
      <c r="DQ124" s="909">
        <f>IF(WWWW[[#This Row],['# people reached by regular dedicated hygiene promotion_5]]&gt;WWWW[[#This Row],['# People received regular supply of hygiene items_6]],WWWW[[#This Row],['# people reached by regular dedicated hygiene promotion_5]],WWWW[[#This Row],['# People received regular supply of hygiene items_6]])</f>
        <v>31</v>
      </c>
      <c r="DR124" s="911">
        <f>IF(WWWW[[#This Row],[HRP3]]/WWWW[[#This Row],[Total PoP ]]&gt;1,1,WWWW[[#This Row],[HRP3]]/WWWW[[#This Row],[Total PoP ]])</f>
        <v>1</v>
      </c>
      <c r="DS124" s="910">
        <f>1-WWWW[[#This Row],[Hygiene Coverage%]]</f>
        <v>0</v>
      </c>
      <c r="DT124" s="908">
        <f>WWWW[[#This Row],['# people reached by regular dedicated hygiene promotion_5]]/WWWW[[#This Row],[Total PoP ]]</f>
        <v>1</v>
      </c>
      <c r="DU124"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24"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24" s="909">
        <f>WWWW[[#This Row],['#_Constructed/Existing hand washing stations]]-WWWW[[#This Row],['#_Non-Functional_hand_washing_stations]]</f>
        <v>7</v>
      </c>
      <c r="DX124" s="906">
        <f>IF(WWWW[[#This Row],['# Functional hand washing stations during reporting period]]*20&gt;WWWW[[#This Row],[Total HH]],WWWW[[#This Row],[Total HH]],WWWW[[#This Row],['# Functional hand washing stations during reporting period]]*20)</f>
        <v>6</v>
      </c>
      <c r="DY124" s="906">
        <f>IF(WWWW[[#This Row],[Is sufficient soap available for TLS? (Yes/No)]]="yes",WWWW[[#This Row],['#_Constructed/Existing hand washing stations at TLS/CFS/THF]],0)</f>
        <v>0</v>
      </c>
      <c r="DZ124" s="421">
        <f>IF(WWWW[[#This Row],['# Functional hand washing stations during reporting period]]*100&gt;WWWW[[#This Row],[Total PoP ]],WWWW[[#This Row],[Total PoP ]],WWWW[[#This Row],['# Functional hand washing stations during reporting period]]*100)</f>
        <v>31</v>
      </c>
      <c r="EA124" s="421" t="str">
        <f>IF(OR(WWWW[[#This Row],['#_students at TLS_CFS]]="",WWWW[[#This Row],['#_students at TLS_CFS]]=0),"No","Yes")</f>
        <v>No</v>
      </c>
      <c r="EB12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24" s="566">
        <f>WWWW[[#This Row],[%_of_affected_people_surveyed_who_report_feeling_satistfied_with_the_latrine_design_and_sanitation_service]]*WWWW[[#This Row],[Total PoP ]]</f>
        <v>0</v>
      </c>
      <c r="ED124" s="566">
        <f>WWWW[[#This Row],[%_of_affected_people_surveyed_who_report_feeling_satistfied_with_the_water_point_design_and_water_service]]*WWWW[[#This Row],[Total PoP ]]</f>
        <v>0</v>
      </c>
      <c r="EE124" s="566">
        <f>WWWW[[#This Row],[%_of_complaints_received_that_result_in_timely_corrective_action_and_feedback_to_the_community]]*WWWW[[#This Row],[Total PoP ]]</f>
        <v>0</v>
      </c>
      <c r="EF12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2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2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4" s="902" t="str">
        <f>VLOOKUP(WWWW[[#This Row],[Site Name]],SiteDB6[[Site Name]:[CCCM Management]],6,FALSE)</f>
        <v>Yes</v>
      </c>
      <c r="EJ124" s="902" t="str">
        <f>VLOOKUP(WWWW[[#This Row],[Site Name]],SiteDB6[[Site Name]:[CCCM Focal Agency]],7,FALSE)</f>
        <v>KBC-NSS</v>
      </c>
      <c r="EK124" s="902" t="str">
        <f>VLOOKUP(WWWW[[#This Row],[Site Name]],SiteDB6[[Site Name]:[Location Type 1]],9,FALSE)</f>
        <v>Camp</v>
      </c>
      <c r="EL124" s="902" t="str">
        <f>VLOOKUP(WWWW[[#This Row],[Site Name]],SiteDB6[[Site Name]:[Type of Accommodation]],10,FALSE)</f>
        <v>Closed Camp</v>
      </c>
      <c r="EM124" s="902" t="str">
        <f>VLOOKUP(WWWW[[#This Row],[Site Name]],SiteDB6[[Site Name]:[Ethnic or GCA/NGCA]],11,FALSE)</f>
        <v>GCA</v>
      </c>
      <c r="EN124" s="902">
        <f>VLOOKUP(WWWW[[#This Row],[Site Name]],SiteDB6[[Site Name]:[Lat]],12,FALSE)</f>
        <v>23.841646999999998</v>
      </c>
      <c r="EO124" s="902">
        <f>VLOOKUP(WWWW[[#This Row],[Site Name]],SiteDB6[[Site Name]:[Long]],13,FALSE)</f>
        <v>97.700940000000003</v>
      </c>
      <c r="EP124" s="902" t="str">
        <f>VLOOKUP(WWWW[[#This Row],[Site Name]],SiteDB6[[Site Name]:[Pcode]],3,FALSE)</f>
        <v>MMR015CMP214</v>
      </c>
      <c r="EQ124" s="907" t="str">
        <f t="shared" si="1"/>
        <v>Covered</v>
      </c>
      <c r="ER124" s="907" t="s">
        <v>3126</v>
      </c>
      <c r="ES124" s="907" t="s">
        <v>3126</v>
      </c>
      <c r="ET124" s="902">
        <f>VLOOKUP(WWWW[[#This Row],[Site Name]],SiteDB6[[Site Name]:[Pop
(Kachin/Shan-CCCM as of May 2023)]],16,FALSE)</f>
        <v>0</v>
      </c>
      <c r="EU124" s="902">
        <f>VLOOKUP(WWWW[[#This Row],[Site Name]],SiteDB6[[Site Name]:[Pop
(Kachin/Shan-CCCM as of May 2023)]],17,FALSE)</f>
        <v>0</v>
      </c>
    </row>
    <row r="125" spans="1:151" hidden="1">
      <c r="A125" s="900" t="s">
        <v>2961</v>
      </c>
      <c r="B125" s="900" t="s">
        <v>192</v>
      </c>
      <c r="C125" s="901" t="s">
        <v>192</v>
      </c>
      <c r="D125" s="901" t="s">
        <v>241</v>
      </c>
      <c r="E125" s="901" t="s">
        <v>515</v>
      </c>
      <c r="F125" s="901" t="s">
        <v>536</v>
      </c>
      <c r="G125" s="902" t="str">
        <f>VLOOKUP(WWWW[[#This Row],[Site Name]],SiteDB6[[Site Name]:[Location Type]],8,FALSE)</f>
        <v>Camp</v>
      </c>
      <c r="H125" s="901" t="s">
        <v>2814</v>
      </c>
      <c r="I125" s="903">
        <v>19</v>
      </c>
      <c r="J125" s="903">
        <v>77</v>
      </c>
      <c r="K125" s="904">
        <v>44511</v>
      </c>
      <c r="L125" s="905">
        <v>44926</v>
      </c>
      <c r="M125" s="903"/>
      <c r="N125" s="903"/>
      <c r="O125" s="903"/>
      <c r="P125" s="903"/>
      <c r="Q125" s="906"/>
      <c r="R125" s="903"/>
      <c r="S125" s="903"/>
      <c r="T125" s="441"/>
      <c r="U125" s="903"/>
      <c r="V125" s="903"/>
      <c r="W125" s="903">
        <v>1</v>
      </c>
      <c r="X125" s="903"/>
      <c r="Y125" s="903"/>
      <c r="Z125" s="903"/>
      <c r="AA125" s="903"/>
      <c r="AB125" s="903"/>
      <c r="AC125" s="903"/>
      <c r="AD125" s="903"/>
      <c r="AE125" s="903"/>
      <c r="AF125" s="903"/>
      <c r="AG125" s="903"/>
      <c r="AH125" s="903"/>
      <c r="AI125" s="903"/>
      <c r="AJ125" s="903"/>
      <c r="AK125" s="903"/>
      <c r="AL125" s="903"/>
      <c r="AM125" s="903"/>
      <c r="AN125" s="903"/>
      <c r="AO125" s="441"/>
      <c r="AP125" s="907"/>
      <c r="AQ125" s="903"/>
      <c r="AR125" s="903">
        <v>4</v>
      </c>
      <c r="AS125" s="908"/>
      <c r="AT125" s="903"/>
      <c r="AU125" s="903"/>
      <c r="AV125" s="903"/>
      <c r="AW125" s="903"/>
      <c r="AX125" s="903"/>
      <c r="AY125" s="902" t="s">
        <v>140</v>
      </c>
      <c r="AZ125" s="907" t="s">
        <v>140</v>
      </c>
      <c r="BA125" s="903"/>
      <c r="BB125" s="903"/>
      <c r="BC125" s="903"/>
      <c r="BD125" s="441"/>
      <c r="BE125" s="441"/>
      <c r="BF125" s="902"/>
      <c r="BG125" s="903">
        <v>8</v>
      </c>
      <c r="BH125" s="903"/>
      <c r="BI125" s="903"/>
      <c r="BJ125" s="903"/>
      <c r="BK125" s="903"/>
      <c r="BL125" s="903"/>
      <c r="BM125" s="903"/>
      <c r="BN125" s="903"/>
      <c r="BO125" s="903"/>
      <c r="BP125" s="902" t="s">
        <v>41</v>
      </c>
      <c r="BQ125" s="909"/>
      <c r="BR125" s="908"/>
      <c r="BS125" s="902"/>
      <c r="BT125" s="416"/>
      <c r="BU125" s="416"/>
      <c r="BV125" s="418"/>
      <c r="BW125" s="416"/>
      <c r="BX125" s="441"/>
      <c r="BY125" s="441"/>
      <c r="BZ125" s="441"/>
      <c r="CA125" s="441"/>
      <c r="CB125" s="441"/>
      <c r="CC125" s="693"/>
      <c r="CD125" s="441"/>
      <c r="CE125" s="910" t="str">
        <f>IFERROR(WWWW[[#This Row],['#_Water sources passed]]/WWWW[[#This Row],['#_Water sources tested for fecal coliform ]],"no test")</f>
        <v>no test</v>
      </c>
      <c r="CF125" s="908" t="str">
        <f>IFERROR(WWWW[[#This Row],['#_Household passed]]/WWWW[[#This Row],['#_Household water samples tested for fecal coliform]],"no test")</f>
        <v>no test</v>
      </c>
      <c r="CG125" s="909" t="str">
        <f>IF(AND(WWWW[[#This Row],[% of water sources passed]]="no test",WWWW[[#This Row],[% Household passed]]="no test"),"No Test","Tested")</f>
        <v>No Test</v>
      </c>
      <c r="CH125" s="909">
        <f>WWWW[[#This Row],['#_Constructed/existing protected hand dug well]]-WWWW[[#This Row],['#_Non-functional protected hand dug well]]</f>
        <v>0</v>
      </c>
      <c r="CI125" s="909">
        <f>(WWWW[[#This Row],['#_Constructed/Existing tube wells/boreholes/handpumps_WASH_agency]]+WWWW[[#This Row],['#_Non-Cluster partner water tube-wells/boreholes/handpumps]])-WWWW[[#This Row],['#_Non-functional tube wells/boreholes/handpumps]]</f>
        <v>1</v>
      </c>
      <c r="CJ125" s="909">
        <f>WWWW[[#This Row],['#_Constructed/Existingwater storage tank with gravity fed reticulation system]]-WWWW[[#This Row],['#_Non-functional storage tank gravity fed reticulation system]]</f>
        <v>0</v>
      </c>
      <c r="CK125" s="909">
        <f>(WWWW[[#This Row],['#_Water_Liters_supplied_by_Water boating or water trucking]]/90)/15</f>
        <v>0</v>
      </c>
      <c r="CL125" s="909">
        <f>WWWW[[#This Row],['#_Water_Liters_from_Constructed/Existing water distribution system from river or natural spring]]/90/15</f>
        <v>0</v>
      </c>
      <c r="CM125" s="417">
        <f>IF(WWWW[[#This Row],['#_of water points in TLS/CFS]]*500&gt;WWWW[[#This Row],[Total PoP ]],WWWW[[#This Row],[Total PoP ]],WWWW[[#This Row],['#_of water points in TLS/CFS]]*500)</f>
        <v>0</v>
      </c>
      <c r="CN125" s="417">
        <f>IF(WWWW[[#This Row],['#_of water points in THF]]*500&gt;WWWW[[#This Row],[Total PoP ]],WWWW[[#This Row],[Total PoP ]],WWWW[[#This Row],['#_of water points in THF]]*500)</f>
        <v>0</v>
      </c>
      <c r="CO125" s="417"/>
      <c r="CP125"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25"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25" s="908">
        <f>IF(WWWW[[#This Row],[Location Type 1]]="Village",WWWW[[#This Row],[Access to safe drinking water for Village]],WWWW[[#This Row],[Access to safe drinking water for Camp]])</f>
        <v>1</v>
      </c>
      <c r="CS125" s="906">
        <f>WWWW[[#This Row],[%Equitable and continuous access to sufficient quantity of safe drinking water]]*WWWW[[#This Row],[Total PoP ]]</f>
        <v>77</v>
      </c>
      <c r="CT125" s="908">
        <f>IF((WWWW[[#This Row],['#_Constructed/Existing protected/fenced ponds]]*250)/WWWW[[#This Row],[Total PoP ]]&gt;1,1,(WWWW[[#This Row],['#_Constructed/Existing protected/fenced ponds]]*250)/WWWW[[#This Row],[Total PoP ]])</f>
        <v>0</v>
      </c>
      <c r="CU125" s="906">
        <f>WWWW[[#This Row],[% Access to unimproved water points]]*WWWW[[#This Row],[Total PoP ]]</f>
        <v>0</v>
      </c>
      <c r="CV125"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25"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v>
      </c>
      <c r="CX125" s="906">
        <f>WWWW[[#This Row],[HRP1]]/500</f>
        <v>0.154</v>
      </c>
      <c r="CY125" s="911">
        <f>1-WWWW[[#This Row],[% Equitable and continuous access to sufficient quantity of domestic water]]</f>
        <v>0</v>
      </c>
      <c r="CZ125" s="906">
        <f>WWWW[[#This Row],[%equitable and continuous access to sufficient quantity of safe drinking and domestic water''s GAP]]*WWWW[[#This Row],[Total PoP ]]</f>
        <v>0</v>
      </c>
      <c r="DA125" s="909">
        <f>IF(WWWW[[#This Row],[Total required water points]]-WWWW[[#This Row],['#Water points coverage]]&lt;0,0,WWWW[[#This Row],[Total required water points]]-WWWW[[#This Row],['#Water points coverage]])</f>
        <v>0.84599999999999997</v>
      </c>
      <c r="DB125" s="909">
        <f>ROUND(IF(WWWW[[#This Row],[Total PoP ]]&lt;500,1,WWWW[[#This Row],[Total PoP ]]/500),0)</f>
        <v>1</v>
      </c>
      <c r="DC125" s="909">
        <f>(WWWW[[#This Row],['#_Constructed latrines_by_WASHAgencies]]+WWWW[[#This Row],['#_Non Cluster partner latrines]])-WWWW[[#This Row],['#_Non-functional latrines]]</f>
        <v>4</v>
      </c>
      <c r="DD125" s="615">
        <f>WWWW[[#This Row],[HRP2]]/WWWW[[#This Row],[Total PoP ]]</f>
        <v>1</v>
      </c>
      <c r="DE125"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77</v>
      </c>
      <c r="DF125"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5"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5" s="417">
        <f>IF(WWWW[[#This Row],['# of functional latrines in THF supported by WASH partners during the reporting period2]]="",0,WWWW[[#This Row],['# of functional latrines in THF supported by WASH partners during the reporting period2]]*50)</f>
        <v>0</v>
      </c>
      <c r="DI125" s="909">
        <f>ROUND(IF(WWWW[[#This Row],[Location Type 1]]="camp",WWWW[[#This Row],[Total PoP ]]/20,IF(WWWW[[#This Row],[Location Type 1]]="Temporary Location",WWWW[[#This Row],[Total PoP ]]/50,(WWWW[[#This Row],[Total PoP ]]/6))),0)</f>
        <v>4</v>
      </c>
      <c r="DJ125" s="909">
        <f>IF(WWWW[[#This Row],[Total required Latrines]]-(WWWW[[#This Row],['#_Constructed latrines_by_WASHAgencies]]+WWWW[[#This Row],['#_Non Cluster partner latrines]])&lt;0,0,WWWW[[#This Row],[Total required Latrines]]-(WWWW[[#This Row],['#_Constructed latrines_by_WASHAgencies]]+WWWW[[#This Row],['#_Non Cluster partner latrines]]))</f>
        <v>0</v>
      </c>
      <c r="DK125" s="911">
        <f>1-WWWW[[#This Row],[% people access to functioning Latrine]]</f>
        <v>0</v>
      </c>
      <c r="DL125" s="910">
        <f>IF(OR(WWWW[[#This Row],['#_Non-functional latrines]]="",WWWW[[#This Row],['#_Non-functional latrines]]=0),0,WWWW[[#This Row],['#_Non-functional latrines]]/(WWWW[[#This Row],['#_Constructed latrines_by_WASHAgencies]]+WWWW[[#This Row],['#_Non Cluster partner latrines]]))</f>
        <v>0</v>
      </c>
      <c r="DM125" s="906">
        <f>IF(500*(WWWW[[#This Row],['#_male hygiene promoters]]+WWWW[[#This Row],['#_female hygiene promoters]])&gt;WWWW[[#This Row],[Total PoP ]],WWWW[[#This Row],[Total PoP ]],500*(WWWW[[#This Row],['#_male hygiene promoters]]+WWWW[[#This Row],['#_female hygiene promoters]]))</f>
        <v>0</v>
      </c>
      <c r="DN125"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25"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25" s="909">
        <f>IF(WWWW[[#This Row],['# People with access to soap]]&gt;WWWW[[#This Row],['# People with access to Sanity Pads]],WWWW[[#This Row],['# People with access to soap]],WWWW[[#This Row],['# People with access to Sanity Pads]])</f>
        <v>0</v>
      </c>
      <c r="DQ125"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25" s="911">
        <f>IF(WWWW[[#This Row],[HRP3]]/WWWW[[#This Row],[Total PoP ]]&gt;1,1,WWWW[[#This Row],[HRP3]]/WWWW[[#This Row],[Total PoP ]])</f>
        <v>0</v>
      </c>
      <c r="DS125" s="910">
        <f>1-WWWW[[#This Row],[Hygiene Coverage%]]</f>
        <v>1</v>
      </c>
      <c r="DT125" s="908">
        <f>WWWW[[#This Row],['# people reached by regular dedicated hygiene promotion_5]]/WWWW[[#This Row],[Total PoP ]]</f>
        <v>0</v>
      </c>
      <c r="DU125"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25"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25" s="909">
        <f>WWWW[[#This Row],['#_Constructed/Existing hand washing stations]]-WWWW[[#This Row],['#_Non-Functional_hand_washing_stations]]</f>
        <v>8</v>
      </c>
      <c r="DX125" s="906">
        <f>IF(WWWW[[#This Row],['# Functional hand washing stations during reporting period]]*20&gt;WWWW[[#This Row],[Total HH]],WWWW[[#This Row],[Total HH]],WWWW[[#This Row],['# Functional hand washing stations during reporting period]]*20)</f>
        <v>19</v>
      </c>
      <c r="DY125" s="906">
        <f>IF(WWWW[[#This Row],[Is sufficient soap available for TLS? (Yes/No)]]="yes",WWWW[[#This Row],['#_Constructed/Existing hand washing stations at TLS/CFS/THF]],0)</f>
        <v>0</v>
      </c>
      <c r="DZ125" s="421">
        <f>IF(WWWW[[#This Row],['# Functional hand washing stations during reporting period]]*100&gt;WWWW[[#This Row],[Total PoP ]],WWWW[[#This Row],[Total PoP ]],WWWW[[#This Row],['# Functional hand washing stations during reporting period]]*100)</f>
        <v>77</v>
      </c>
      <c r="EA125" s="421" t="str">
        <f>IF(OR(WWWW[[#This Row],['#_students at TLS_CFS]]="",WWWW[[#This Row],['#_students at TLS_CFS]]=0),"No","Yes")</f>
        <v>No</v>
      </c>
      <c r="EB12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25" s="566">
        <f>WWWW[[#This Row],[%_of_affected_people_surveyed_who_report_feeling_satistfied_with_the_latrine_design_and_sanitation_service]]*WWWW[[#This Row],[Total PoP ]]</f>
        <v>0</v>
      </c>
      <c r="ED125" s="566">
        <f>WWWW[[#This Row],[%_of_affected_people_surveyed_who_report_feeling_satistfied_with_the_water_point_design_and_water_service]]*WWWW[[#This Row],[Total PoP ]]</f>
        <v>0</v>
      </c>
      <c r="EE125" s="566">
        <f>WWWW[[#This Row],[%_of_complaints_received_that_result_in_timely_corrective_action_and_feedback_to_the_community]]*WWWW[[#This Row],[Total PoP ]]</f>
        <v>0</v>
      </c>
      <c r="EF12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2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2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5" s="902">
        <f>VLOOKUP(WWWW[[#This Row],[Site Name]],SiteDB6[[Site Name]:[CCCM Management]],6,FALSE)</f>
        <v>0</v>
      </c>
      <c r="EJ125" s="902">
        <f>VLOOKUP(WWWW[[#This Row],[Site Name]],SiteDB6[[Site Name]:[CCCM Focal Agency]],7,FALSE)</f>
        <v>0</v>
      </c>
      <c r="EK125" s="902" t="str">
        <f>VLOOKUP(WWWW[[#This Row],[Site Name]],SiteDB6[[Site Name]:[Location Type 1]],9,FALSE)</f>
        <v>Camp</v>
      </c>
      <c r="EL125" s="902" t="str">
        <f>VLOOKUP(WWWW[[#This Row],[Site Name]],SiteDB6[[Site Name]:[Type of Accommodation]],10,FALSE)</f>
        <v>IDPs in host</v>
      </c>
      <c r="EM125" s="902" t="str">
        <f>VLOOKUP(WWWW[[#This Row],[Site Name]],SiteDB6[[Site Name]:[Ethnic or GCA/NGCA]],11,FALSE)</f>
        <v>GCA</v>
      </c>
      <c r="EN125" s="902">
        <f>VLOOKUP(WWWW[[#This Row],[Site Name]],SiteDB6[[Site Name]:[Lat]],12,FALSE)</f>
        <v>23.078210830688501</v>
      </c>
      <c r="EO125" s="902">
        <f>VLOOKUP(WWWW[[#This Row],[Site Name]],SiteDB6[[Site Name]:[Long]],13,FALSE)</f>
        <v>97.411773681640597</v>
      </c>
      <c r="EP125" s="902" t="str">
        <f>VLOOKUP(WWWW[[#This Row],[Site Name]],SiteDB6[[Site Name]:[Pcode]],3,FALSE)</f>
        <v>MMR015CMP074</v>
      </c>
      <c r="EQ125" s="907" t="str">
        <f t="shared" si="1"/>
        <v>Covered</v>
      </c>
      <c r="ER125" s="907" t="s">
        <v>3126</v>
      </c>
      <c r="ES125" s="907" t="s">
        <v>3126</v>
      </c>
      <c r="ET125" s="902">
        <f>VLOOKUP(WWWW[[#This Row],[Site Name]],SiteDB6[[Site Name]:[Pop
(Kachin/Shan-CCCM as of May 2023)]],16,FALSE)</f>
        <v>19</v>
      </c>
      <c r="EU125" s="902">
        <f>VLOOKUP(WWWW[[#This Row],[Site Name]],SiteDB6[[Site Name]:[Pop
(Kachin/Shan-CCCM as of May 2023)]],17,FALSE)</f>
        <v>77</v>
      </c>
    </row>
    <row r="126" spans="1:151" hidden="1">
      <c r="A126" s="900" t="s">
        <v>2961</v>
      </c>
      <c r="B126" s="900" t="s">
        <v>2953</v>
      </c>
      <c r="C126" s="901" t="s">
        <v>2953</v>
      </c>
      <c r="D126" s="901" t="s">
        <v>2954</v>
      </c>
      <c r="E126" s="901" t="s">
        <v>515</v>
      </c>
      <c r="F126" s="901" t="s">
        <v>536</v>
      </c>
      <c r="G126" s="902" t="str">
        <f>VLOOKUP(WWWW[[#This Row],[Site Name]],SiteDB6[[Site Name]:[Location Type]],8,FALSE)</f>
        <v>Camp</v>
      </c>
      <c r="H126" s="901" t="s">
        <v>543</v>
      </c>
      <c r="I126" s="903">
        <v>60</v>
      </c>
      <c r="J126" s="903">
        <v>270</v>
      </c>
      <c r="K126" s="904">
        <v>44511</v>
      </c>
      <c r="L126" s="905">
        <v>44926</v>
      </c>
      <c r="M126" s="903"/>
      <c r="N126" s="903"/>
      <c r="O126" s="903">
        <v>1</v>
      </c>
      <c r="P126" s="903"/>
      <c r="Q126" s="906" t="s">
        <v>41</v>
      </c>
      <c r="R126" s="903">
        <v>4</v>
      </c>
      <c r="S126" s="903">
        <v>3</v>
      </c>
      <c r="T126" s="441">
        <v>1</v>
      </c>
      <c r="U126" s="903"/>
      <c r="V126" s="903"/>
      <c r="W126" s="903">
        <v>1</v>
      </c>
      <c r="X126" s="903">
        <v>1</v>
      </c>
      <c r="Y126" s="903"/>
      <c r="Z126" s="903"/>
      <c r="AA126" s="903"/>
      <c r="AB126" s="903"/>
      <c r="AC126" s="903"/>
      <c r="AD126" s="903"/>
      <c r="AE126" s="903"/>
      <c r="AF126" s="903"/>
      <c r="AG126" s="903"/>
      <c r="AH126" s="903"/>
      <c r="AI126" s="903"/>
      <c r="AJ126" s="903"/>
      <c r="AK126" s="903"/>
      <c r="AL126" s="903"/>
      <c r="AM126" s="903">
        <v>2</v>
      </c>
      <c r="AN126" s="903"/>
      <c r="AO126" s="441"/>
      <c r="AP126" s="907"/>
      <c r="AQ126" s="903">
        <v>16</v>
      </c>
      <c r="AR126" s="903"/>
      <c r="AS126" s="908"/>
      <c r="AT126" s="903"/>
      <c r="AU126" s="903"/>
      <c r="AV126" s="903"/>
      <c r="AW126" s="903"/>
      <c r="AX126" s="903"/>
      <c r="AY126" s="902" t="s">
        <v>41</v>
      </c>
      <c r="AZ126" s="907" t="s">
        <v>137</v>
      </c>
      <c r="BA126" s="903"/>
      <c r="BB126" s="903"/>
      <c r="BC126" s="903"/>
      <c r="BD126" s="441"/>
      <c r="BE126" s="441"/>
      <c r="BF126" s="902"/>
      <c r="BG126" s="903">
        <v>11</v>
      </c>
      <c r="BH126" s="903"/>
      <c r="BI126" s="903"/>
      <c r="BJ126" s="903">
        <v>2</v>
      </c>
      <c r="BK126" s="903"/>
      <c r="BL126" s="903"/>
      <c r="BM126" s="903">
        <v>1</v>
      </c>
      <c r="BN126" s="903"/>
      <c r="BO126" s="903"/>
      <c r="BP126" s="902" t="s">
        <v>41</v>
      </c>
      <c r="BQ126" s="909"/>
      <c r="BR126" s="908"/>
      <c r="BS126" s="902"/>
      <c r="BT126" s="416"/>
      <c r="BU126" s="416"/>
      <c r="BV126" s="418"/>
      <c r="BW126" s="416"/>
      <c r="BX126" s="441"/>
      <c r="BY126" s="441"/>
      <c r="BZ126" s="441"/>
      <c r="CA126" s="441"/>
      <c r="CB126" s="441"/>
      <c r="CC126" s="693"/>
      <c r="CD126" s="441"/>
      <c r="CE126" s="910" t="str">
        <f>IFERROR(WWWW[[#This Row],['#_Water sources passed]]/WWWW[[#This Row],['#_Water sources tested for fecal coliform ]],"no test")</f>
        <v>no test</v>
      </c>
      <c r="CF126" s="908" t="str">
        <f>IFERROR(WWWW[[#This Row],['#_Household passed]]/WWWW[[#This Row],['#_Household water samples tested for fecal coliform]],"no test")</f>
        <v>no test</v>
      </c>
      <c r="CG126" s="909" t="str">
        <f>IF(AND(WWWW[[#This Row],[% of water sources passed]]="no test",WWWW[[#This Row],[% Household passed]]="no test"),"No Test","Tested")</f>
        <v>No Test</v>
      </c>
      <c r="CH126" s="909">
        <f>WWWW[[#This Row],['#_Constructed/existing protected hand dug well]]-WWWW[[#This Row],['#_Non-functional protected hand dug well]]</f>
        <v>1</v>
      </c>
      <c r="CI126" s="909">
        <f>(WWWW[[#This Row],['#_Constructed/Existing tube wells/boreholes/handpumps_WASH_agency]]+WWWW[[#This Row],['#_Non-Cluster partner water tube-wells/boreholes/handpumps]])-WWWW[[#This Row],['#_Non-functional tube wells/boreholes/handpumps]]</f>
        <v>2</v>
      </c>
      <c r="CJ126" s="909">
        <f>WWWW[[#This Row],['#_Constructed/Existingwater storage tank with gravity fed reticulation system]]-WWWW[[#This Row],['#_Non-functional storage tank gravity fed reticulation system]]</f>
        <v>0</v>
      </c>
      <c r="CK126" s="909">
        <f>(WWWW[[#This Row],['#_Water_Liters_supplied_by_Water boating or water trucking]]/90)/15</f>
        <v>0</v>
      </c>
      <c r="CL126" s="909">
        <f>WWWW[[#This Row],['#_Water_Liters_from_Constructed/Existing water distribution system from river or natural spring]]/90/15</f>
        <v>0</v>
      </c>
      <c r="CM126" s="417">
        <f>IF(WWWW[[#This Row],['#_of water points in TLS/CFS]]*500&gt;WWWW[[#This Row],[Total PoP ]],WWWW[[#This Row],[Total PoP ]],WWWW[[#This Row],['#_of water points in TLS/CFS]]*500)</f>
        <v>0</v>
      </c>
      <c r="CN126" s="417">
        <f>IF(WWWW[[#This Row],['#_of water points in THF]]*500&gt;WWWW[[#This Row],[Total PoP ]],WWWW[[#This Row],[Total PoP ]],WWWW[[#This Row],['#_of water points in THF]]*500)</f>
        <v>0</v>
      </c>
      <c r="CO126" s="417"/>
      <c r="CP126"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26"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26" s="908">
        <f>IF(WWWW[[#This Row],[Location Type 1]]="Village",WWWW[[#This Row],[Access to safe drinking water for Village]],WWWW[[#This Row],[Access to safe drinking water for Camp]])</f>
        <v>1</v>
      </c>
      <c r="CS126" s="906">
        <f>WWWW[[#This Row],[%Equitable and continuous access to sufficient quantity of safe drinking water]]*WWWW[[#This Row],[Total PoP ]]</f>
        <v>270</v>
      </c>
      <c r="CT126" s="908">
        <f>IF((WWWW[[#This Row],['#_Constructed/Existing protected/fenced ponds]]*250)/WWWW[[#This Row],[Total PoP ]]&gt;1,1,(WWWW[[#This Row],['#_Constructed/Existing protected/fenced ponds]]*250)/WWWW[[#This Row],[Total PoP ]])</f>
        <v>0</v>
      </c>
      <c r="CU126" s="906">
        <f>WWWW[[#This Row],[% Access to unimproved water points]]*WWWW[[#This Row],[Total PoP ]]</f>
        <v>0</v>
      </c>
      <c r="CV126"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26"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270</v>
      </c>
      <c r="CX126" s="906">
        <f>WWWW[[#This Row],[HRP1]]/500</f>
        <v>0.54</v>
      </c>
      <c r="CY126" s="911">
        <f>1-WWWW[[#This Row],[% Equitable and continuous access to sufficient quantity of domestic water]]</f>
        <v>0</v>
      </c>
      <c r="CZ126" s="906">
        <f>WWWW[[#This Row],[%equitable and continuous access to sufficient quantity of safe drinking and domestic water''s GAP]]*WWWW[[#This Row],[Total PoP ]]</f>
        <v>0</v>
      </c>
      <c r="DA126" s="909">
        <f>IF(WWWW[[#This Row],[Total required water points]]-WWWW[[#This Row],['#Water points coverage]]&lt;0,0,WWWW[[#This Row],[Total required water points]]-WWWW[[#This Row],['#Water points coverage]])</f>
        <v>0.45999999999999996</v>
      </c>
      <c r="DB126" s="909">
        <f>ROUND(IF(WWWW[[#This Row],[Total PoP ]]&lt;500,1,WWWW[[#This Row],[Total PoP ]]/500),0)</f>
        <v>1</v>
      </c>
      <c r="DC126" s="909">
        <f>(WWWW[[#This Row],['#_Constructed latrines_by_WASHAgencies]]+WWWW[[#This Row],['#_Non Cluster partner latrines]])-WWWW[[#This Row],['#_Non-functional latrines]]</f>
        <v>16</v>
      </c>
      <c r="DD126" s="615">
        <f>WWWW[[#This Row],[HRP2]]/WWWW[[#This Row],[Total PoP ]]</f>
        <v>1</v>
      </c>
      <c r="DE126"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270</v>
      </c>
      <c r="DF126"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6"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6" s="417">
        <f>IF(WWWW[[#This Row],['# of functional latrines in THF supported by WASH partners during the reporting period2]]="",0,WWWW[[#This Row],['# of functional latrines in THF supported by WASH partners during the reporting period2]]*50)</f>
        <v>0</v>
      </c>
      <c r="DI126" s="909">
        <f>ROUND(IF(WWWW[[#This Row],[Location Type 1]]="camp",WWWW[[#This Row],[Total PoP ]]/20,IF(WWWW[[#This Row],[Location Type 1]]="Temporary Location",WWWW[[#This Row],[Total PoP ]]/50,(WWWW[[#This Row],[Total PoP ]]/6))),0)</f>
        <v>14</v>
      </c>
      <c r="DJ126" s="909">
        <f>IF(WWWW[[#This Row],[Total required Latrines]]-(WWWW[[#This Row],['#_Constructed latrines_by_WASHAgencies]]+WWWW[[#This Row],['#_Non Cluster partner latrines]])&lt;0,0,WWWW[[#This Row],[Total required Latrines]]-(WWWW[[#This Row],['#_Constructed latrines_by_WASHAgencies]]+WWWW[[#This Row],['#_Non Cluster partner latrines]]))</f>
        <v>0</v>
      </c>
      <c r="DK126" s="911">
        <f>1-WWWW[[#This Row],[% people access to functioning Latrine]]</f>
        <v>0</v>
      </c>
      <c r="DL126" s="910">
        <f>IF(OR(WWWW[[#This Row],['#_Non-functional latrines]]="",WWWW[[#This Row],['#_Non-functional latrines]]=0),0,WWWW[[#This Row],['#_Non-functional latrines]]/(WWWW[[#This Row],['#_Constructed latrines_by_WASHAgencies]]+WWWW[[#This Row],['#_Non Cluster partner latrines]]))</f>
        <v>0</v>
      </c>
      <c r="DM126" s="906">
        <f>IF(500*(WWWW[[#This Row],['#_male hygiene promoters]]+WWWW[[#This Row],['#_female hygiene promoters]])&gt;WWWW[[#This Row],[Total PoP ]],WWWW[[#This Row],[Total PoP ]],500*(WWWW[[#This Row],['#_male hygiene promoters]]+WWWW[[#This Row],['#_female hygiene promoters]]))</f>
        <v>270</v>
      </c>
      <c r="DN126"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26"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26" s="909">
        <f>IF(WWWW[[#This Row],['# People with access to soap]]&gt;WWWW[[#This Row],['# People with access to Sanity Pads]],WWWW[[#This Row],['# People with access to soap]],WWWW[[#This Row],['# People with access to Sanity Pads]])</f>
        <v>0</v>
      </c>
      <c r="DQ126" s="909">
        <f>IF(WWWW[[#This Row],['# people reached by regular dedicated hygiene promotion_5]]&gt;WWWW[[#This Row],['# People received regular supply of hygiene items_6]],WWWW[[#This Row],['# people reached by regular dedicated hygiene promotion_5]],WWWW[[#This Row],['# People received regular supply of hygiene items_6]])</f>
        <v>270</v>
      </c>
      <c r="DR126" s="911">
        <f>IF(WWWW[[#This Row],[HRP3]]/WWWW[[#This Row],[Total PoP ]]&gt;1,1,WWWW[[#This Row],[HRP3]]/WWWW[[#This Row],[Total PoP ]])</f>
        <v>1</v>
      </c>
      <c r="DS126" s="910">
        <f>1-WWWW[[#This Row],[Hygiene Coverage%]]</f>
        <v>0</v>
      </c>
      <c r="DT126" s="908">
        <f>WWWW[[#This Row],['# people reached by regular dedicated hygiene promotion_5]]/WWWW[[#This Row],[Total PoP ]]</f>
        <v>1</v>
      </c>
      <c r="DU126"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26"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26" s="909">
        <f>WWWW[[#This Row],['#_Constructed/Existing hand washing stations]]-WWWW[[#This Row],['#_Non-Functional_hand_washing_stations]]</f>
        <v>11</v>
      </c>
      <c r="DX126" s="906">
        <f>IF(WWWW[[#This Row],['# Functional hand washing stations during reporting period]]*20&gt;WWWW[[#This Row],[Total HH]],WWWW[[#This Row],[Total HH]],WWWW[[#This Row],['# Functional hand washing stations during reporting period]]*20)</f>
        <v>60</v>
      </c>
      <c r="DY126" s="906">
        <f>IF(WWWW[[#This Row],[Is sufficient soap available for TLS? (Yes/No)]]="yes",WWWW[[#This Row],['#_Constructed/Existing hand washing stations at TLS/CFS/THF]],0)</f>
        <v>2</v>
      </c>
      <c r="DZ126" s="421">
        <f>IF(WWWW[[#This Row],['# Functional hand washing stations during reporting period]]*100&gt;WWWW[[#This Row],[Total PoP ]],WWWW[[#This Row],[Total PoP ]],WWWW[[#This Row],['# Functional hand washing stations during reporting period]]*100)</f>
        <v>270</v>
      </c>
      <c r="EA126" s="421" t="str">
        <f>IF(OR(WWWW[[#This Row],['#_students at TLS_CFS]]="",WWWW[[#This Row],['#_students at TLS_CFS]]=0),"No","Yes")</f>
        <v>No</v>
      </c>
      <c r="EB12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26" s="566">
        <f>WWWW[[#This Row],[%_of_affected_people_surveyed_who_report_feeling_satistfied_with_the_latrine_design_and_sanitation_service]]*WWWW[[#This Row],[Total PoP ]]</f>
        <v>0</v>
      </c>
      <c r="ED126" s="566">
        <f>WWWW[[#This Row],[%_of_affected_people_surveyed_who_report_feeling_satistfied_with_the_water_point_design_and_water_service]]*WWWW[[#This Row],[Total PoP ]]</f>
        <v>0</v>
      </c>
      <c r="EE126" s="566">
        <f>WWWW[[#This Row],[%_of_complaints_received_that_result_in_timely_corrective_action_and_feedback_to_the_community]]*WWWW[[#This Row],[Total PoP ]]</f>
        <v>0</v>
      </c>
      <c r="EF12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2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2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6" s="902" t="str">
        <f>VLOOKUP(WWWW[[#This Row],[Site Name]],SiteDB6[[Site Name]:[CCCM Management]],6,FALSE)</f>
        <v>Yes</v>
      </c>
      <c r="EJ126" s="902" t="str">
        <f>VLOOKUP(WWWW[[#This Row],[Site Name]],SiteDB6[[Site Name]:[CCCM Focal Agency]],7,FALSE)</f>
        <v>KMSS-LSO</v>
      </c>
      <c r="EK126" s="902" t="str">
        <f>VLOOKUP(WWWW[[#This Row],[Site Name]],SiteDB6[[Site Name]:[Location Type 1]],9,FALSE)</f>
        <v>Camp</v>
      </c>
      <c r="EL126" s="902" t="str">
        <f>VLOOKUP(WWWW[[#This Row],[Site Name]],SiteDB6[[Site Name]:[Type of Accommodation]],10,FALSE)</f>
        <v>Camp</v>
      </c>
      <c r="EM126" s="902" t="str">
        <f>VLOOKUP(WWWW[[#This Row],[Site Name]],SiteDB6[[Site Name]:[Ethnic or GCA/NGCA]],11,FALSE)</f>
        <v>GCA</v>
      </c>
      <c r="EN126" s="902">
        <f>VLOOKUP(WWWW[[#This Row],[Site Name]],SiteDB6[[Site Name]:[Lat]],12,FALSE)</f>
        <v>23.099304</v>
      </c>
      <c r="EO126" s="902">
        <f>VLOOKUP(WWWW[[#This Row],[Site Name]],SiteDB6[[Site Name]:[Long]],13,FALSE)</f>
        <v>97.400671000000003</v>
      </c>
      <c r="EP126" s="902" t="str">
        <f>VLOOKUP(WWWW[[#This Row],[Site Name]],SiteDB6[[Site Name]:[Pcode]],3,FALSE)</f>
        <v>MMR015CMP066</v>
      </c>
      <c r="EQ126" s="907" t="str">
        <f t="shared" si="1"/>
        <v>Covered</v>
      </c>
      <c r="ER126" s="907" t="s">
        <v>3126</v>
      </c>
      <c r="ES126" s="907" t="s">
        <v>3126</v>
      </c>
      <c r="ET126" s="902">
        <f>VLOOKUP(WWWW[[#This Row],[Site Name]],SiteDB6[[Site Name]:[Pop
(Kachin/Shan-CCCM as of May 2023)]],16,FALSE)</f>
        <v>60</v>
      </c>
      <c r="EU126" s="902">
        <f>VLOOKUP(WWWW[[#This Row],[Site Name]],SiteDB6[[Site Name]:[Pop
(Kachin/Shan-CCCM as of May 2023)]],17,FALSE)</f>
        <v>272</v>
      </c>
    </row>
    <row r="127" spans="1:151" hidden="1">
      <c r="A127" s="900" t="s">
        <v>2961</v>
      </c>
      <c r="B127" s="900" t="s">
        <v>2953</v>
      </c>
      <c r="C127" s="901" t="s">
        <v>2953</v>
      </c>
      <c r="D127" s="901" t="s">
        <v>2954</v>
      </c>
      <c r="E127" s="901" t="s">
        <v>515</v>
      </c>
      <c r="F127" s="901" t="s">
        <v>536</v>
      </c>
      <c r="G127" s="902" t="str">
        <f>VLOOKUP(WWWW[[#This Row],[Site Name]],SiteDB6[[Site Name]:[Location Type]],8,FALSE)</f>
        <v>Camp</v>
      </c>
      <c r="H127" s="901" t="s">
        <v>544</v>
      </c>
      <c r="I127" s="903">
        <v>30</v>
      </c>
      <c r="J127" s="903">
        <v>127</v>
      </c>
      <c r="K127" s="904">
        <v>44511</v>
      </c>
      <c r="L127" s="905">
        <v>44926</v>
      </c>
      <c r="M127" s="903"/>
      <c r="N127" s="903"/>
      <c r="O127" s="903">
        <v>1</v>
      </c>
      <c r="P127" s="903"/>
      <c r="Q127" s="906" t="s">
        <v>41</v>
      </c>
      <c r="R127" s="903">
        <v>3</v>
      </c>
      <c r="S127" s="903">
        <v>3</v>
      </c>
      <c r="T127" s="441"/>
      <c r="U127" s="903"/>
      <c r="V127" s="903"/>
      <c r="W127" s="903">
        <v>2</v>
      </c>
      <c r="X127" s="903">
        <v>1</v>
      </c>
      <c r="Y127" s="903"/>
      <c r="Z127" s="903"/>
      <c r="AA127" s="903"/>
      <c r="AB127" s="903"/>
      <c r="AC127" s="903"/>
      <c r="AD127" s="903"/>
      <c r="AE127" s="903"/>
      <c r="AF127" s="903"/>
      <c r="AG127" s="903"/>
      <c r="AH127" s="903"/>
      <c r="AI127" s="903"/>
      <c r="AJ127" s="903"/>
      <c r="AK127" s="903"/>
      <c r="AL127" s="903"/>
      <c r="AM127" s="903"/>
      <c r="AN127" s="903"/>
      <c r="AO127" s="441"/>
      <c r="AP127" s="907"/>
      <c r="AQ127" s="903">
        <v>10</v>
      </c>
      <c r="AR127" s="903">
        <v>2</v>
      </c>
      <c r="AS127" s="908"/>
      <c r="AT127" s="903"/>
      <c r="AU127" s="903"/>
      <c r="AV127" s="903"/>
      <c r="AW127" s="903"/>
      <c r="AX127" s="903">
        <v>2</v>
      </c>
      <c r="AY127" s="902" t="s">
        <v>41</v>
      </c>
      <c r="AZ127" s="907" t="s">
        <v>137</v>
      </c>
      <c r="BA127" s="903"/>
      <c r="BB127" s="903"/>
      <c r="BC127" s="903"/>
      <c r="BD127" s="441"/>
      <c r="BE127" s="441"/>
      <c r="BF127" s="902"/>
      <c r="BG127" s="903">
        <v>11</v>
      </c>
      <c r="BH127" s="903"/>
      <c r="BI127" s="903"/>
      <c r="BJ127" s="903">
        <v>3</v>
      </c>
      <c r="BK127" s="903"/>
      <c r="BL127" s="903"/>
      <c r="BM127" s="903">
        <v>1</v>
      </c>
      <c r="BN127" s="903"/>
      <c r="BO127" s="903"/>
      <c r="BP127" s="902" t="s">
        <v>41</v>
      </c>
      <c r="BQ127" s="909"/>
      <c r="BR127" s="908"/>
      <c r="BS127" s="902"/>
      <c r="BT127" s="416"/>
      <c r="BU127" s="416"/>
      <c r="BV127" s="418"/>
      <c r="BW127" s="416"/>
      <c r="BX127" s="441"/>
      <c r="BY127" s="441"/>
      <c r="BZ127" s="441"/>
      <c r="CA127" s="441"/>
      <c r="CB127" s="441"/>
      <c r="CC127" s="693"/>
      <c r="CD127" s="441"/>
      <c r="CE127" s="910" t="str">
        <f>IFERROR(WWWW[[#This Row],['#_Water sources passed]]/WWWW[[#This Row],['#_Water sources tested for fecal coliform ]],"no test")</f>
        <v>no test</v>
      </c>
      <c r="CF127" s="908" t="str">
        <f>IFERROR(WWWW[[#This Row],['#_Household passed]]/WWWW[[#This Row],['#_Household water samples tested for fecal coliform]],"no test")</f>
        <v>no test</v>
      </c>
      <c r="CG127" s="909" t="str">
        <f>IF(AND(WWWW[[#This Row],[% of water sources passed]]="no test",WWWW[[#This Row],[% Household passed]]="no test"),"No Test","Tested")</f>
        <v>No Test</v>
      </c>
      <c r="CH127" s="909">
        <f>WWWW[[#This Row],['#_Constructed/existing protected hand dug well]]-WWWW[[#This Row],['#_Non-functional protected hand dug well]]</f>
        <v>0</v>
      </c>
      <c r="CI127" s="909">
        <f>(WWWW[[#This Row],['#_Constructed/Existing tube wells/boreholes/handpumps_WASH_agency]]+WWWW[[#This Row],['#_Non-Cluster partner water tube-wells/boreholes/handpumps]])-WWWW[[#This Row],['#_Non-functional tube wells/boreholes/handpumps]]</f>
        <v>3</v>
      </c>
      <c r="CJ127" s="909">
        <f>WWWW[[#This Row],['#_Constructed/Existingwater storage tank with gravity fed reticulation system]]-WWWW[[#This Row],['#_Non-functional storage tank gravity fed reticulation system]]</f>
        <v>0</v>
      </c>
      <c r="CK127" s="909">
        <f>(WWWW[[#This Row],['#_Water_Liters_supplied_by_Water boating or water trucking]]/90)/15</f>
        <v>0</v>
      </c>
      <c r="CL127" s="909">
        <f>WWWW[[#This Row],['#_Water_Liters_from_Constructed/Existing water distribution system from river or natural spring]]/90/15</f>
        <v>0</v>
      </c>
      <c r="CM127" s="417">
        <f>IF(WWWW[[#This Row],['#_of water points in TLS/CFS]]*500&gt;WWWW[[#This Row],[Total PoP ]],WWWW[[#This Row],[Total PoP ]],WWWW[[#This Row],['#_of water points in TLS/CFS]]*500)</f>
        <v>0</v>
      </c>
      <c r="CN127" s="417">
        <f>IF(WWWW[[#This Row],['#_of water points in THF]]*500&gt;WWWW[[#This Row],[Total PoP ]],WWWW[[#This Row],[Total PoP ]],WWWW[[#This Row],['#_of water points in THF]]*500)</f>
        <v>0</v>
      </c>
      <c r="CO127" s="417"/>
      <c r="CP127"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27"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27" s="908">
        <f>IF(WWWW[[#This Row],[Location Type 1]]="Village",WWWW[[#This Row],[Access to safe drinking water for Village]],WWWW[[#This Row],[Access to safe drinking water for Camp]])</f>
        <v>1</v>
      </c>
      <c r="CS127" s="906">
        <f>WWWW[[#This Row],[%Equitable and continuous access to sufficient quantity of safe drinking water]]*WWWW[[#This Row],[Total PoP ]]</f>
        <v>127</v>
      </c>
      <c r="CT127" s="908">
        <f>IF((WWWW[[#This Row],['#_Constructed/Existing protected/fenced ponds]]*250)/WWWW[[#This Row],[Total PoP ]]&gt;1,1,(WWWW[[#This Row],['#_Constructed/Existing protected/fenced ponds]]*250)/WWWW[[#This Row],[Total PoP ]])</f>
        <v>0</v>
      </c>
      <c r="CU127" s="906">
        <f>WWWW[[#This Row],[% Access to unimproved water points]]*WWWW[[#This Row],[Total PoP ]]</f>
        <v>0</v>
      </c>
      <c r="CV127"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27"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127</v>
      </c>
      <c r="CX127" s="906">
        <f>WWWW[[#This Row],[HRP1]]/500</f>
        <v>0.254</v>
      </c>
      <c r="CY127" s="911">
        <f>1-WWWW[[#This Row],[% Equitable and continuous access to sufficient quantity of domestic water]]</f>
        <v>0</v>
      </c>
      <c r="CZ127" s="906">
        <f>WWWW[[#This Row],[%equitable and continuous access to sufficient quantity of safe drinking and domestic water''s GAP]]*WWWW[[#This Row],[Total PoP ]]</f>
        <v>0</v>
      </c>
      <c r="DA127" s="909">
        <f>IF(WWWW[[#This Row],[Total required water points]]-WWWW[[#This Row],['#Water points coverage]]&lt;0,0,WWWW[[#This Row],[Total required water points]]-WWWW[[#This Row],['#Water points coverage]])</f>
        <v>0.746</v>
      </c>
      <c r="DB127" s="909">
        <f>ROUND(IF(WWWW[[#This Row],[Total PoP ]]&lt;500,1,WWWW[[#This Row],[Total PoP ]]/500),0)</f>
        <v>1</v>
      </c>
      <c r="DC127" s="909">
        <f>(WWWW[[#This Row],['#_Constructed latrines_by_WASHAgencies]]+WWWW[[#This Row],['#_Non Cluster partner latrines]])-WWWW[[#This Row],['#_Non-functional latrines]]</f>
        <v>12</v>
      </c>
      <c r="DD127" s="615">
        <f>WWWW[[#This Row],[HRP2]]/WWWW[[#This Row],[Total PoP ]]</f>
        <v>1</v>
      </c>
      <c r="DE127"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127</v>
      </c>
      <c r="DF127"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7"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7" s="417">
        <f>IF(WWWW[[#This Row],['# of functional latrines in THF supported by WASH partners during the reporting period2]]="",0,WWWW[[#This Row],['# of functional latrines in THF supported by WASH partners during the reporting period2]]*50)</f>
        <v>0</v>
      </c>
      <c r="DI127" s="909">
        <f>ROUND(IF(WWWW[[#This Row],[Location Type 1]]="camp",WWWW[[#This Row],[Total PoP ]]/20,IF(WWWW[[#This Row],[Location Type 1]]="Temporary Location",WWWW[[#This Row],[Total PoP ]]/50,(WWWW[[#This Row],[Total PoP ]]/6))),0)</f>
        <v>6</v>
      </c>
      <c r="DJ127" s="909">
        <f>IF(WWWW[[#This Row],[Total required Latrines]]-(WWWW[[#This Row],['#_Constructed latrines_by_WASHAgencies]]+WWWW[[#This Row],['#_Non Cluster partner latrines]])&lt;0,0,WWWW[[#This Row],[Total required Latrines]]-(WWWW[[#This Row],['#_Constructed latrines_by_WASHAgencies]]+WWWW[[#This Row],['#_Non Cluster partner latrines]]))</f>
        <v>0</v>
      </c>
      <c r="DK127" s="911">
        <f>1-WWWW[[#This Row],[% people access to functioning Latrine]]</f>
        <v>0</v>
      </c>
      <c r="DL127" s="910">
        <f>IF(OR(WWWW[[#This Row],['#_Non-functional latrines]]="",WWWW[[#This Row],['#_Non-functional latrines]]=0),0,WWWW[[#This Row],['#_Non-functional latrines]]/(WWWW[[#This Row],['#_Constructed latrines_by_WASHAgencies]]+WWWW[[#This Row],['#_Non Cluster partner latrines]]))</f>
        <v>0</v>
      </c>
      <c r="DM127" s="906">
        <f>IF(500*(WWWW[[#This Row],['#_male hygiene promoters]]+WWWW[[#This Row],['#_female hygiene promoters]])&gt;WWWW[[#This Row],[Total PoP ]],WWWW[[#This Row],[Total PoP ]],500*(WWWW[[#This Row],['#_male hygiene promoters]]+WWWW[[#This Row],['#_female hygiene promoters]]))</f>
        <v>127</v>
      </c>
      <c r="DN127"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27"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27" s="909">
        <f>IF(WWWW[[#This Row],['# People with access to soap]]&gt;WWWW[[#This Row],['# People with access to Sanity Pads]],WWWW[[#This Row],['# People with access to soap]],WWWW[[#This Row],['# People with access to Sanity Pads]])</f>
        <v>0</v>
      </c>
      <c r="DQ127" s="909">
        <f>IF(WWWW[[#This Row],['# people reached by regular dedicated hygiene promotion_5]]&gt;WWWW[[#This Row],['# People received regular supply of hygiene items_6]],WWWW[[#This Row],['# people reached by regular dedicated hygiene promotion_5]],WWWW[[#This Row],['# People received regular supply of hygiene items_6]])</f>
        <v>127</v>
      </c>
      <c r="DR127" s="911">
        <f>IF(WWWW[[#This Row],[HRP3]]/WWWW[[#This Row],[Total PoP ]]&gt;1,1,WWWW[[#This Row],[HRP3]]/WWWW[[#This Row],[Total PoP ]])</f>
        <v>1</v>
      </c>
      <c r="DS127" s="910">
        <f>1-WWWW[[#This Row],[Hygiene Coverage%]]</f>
        <v>0</v>
      </c>
      <c r="DT127" s="908">
        <f>WWWW[[#This Row],['# people reached by regular dedicated hygiene promotion_5]]/WWWW[[#This Row],[Total PoP ]]</f>
        <v>1</v>
      </c>
      <c r="DU127"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27"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27" s="909">
        <f>WWWW[[#This Row],['#_Constructed/Existing hand washing stations]]-WWWW[[#This Row],['#_Non-Functional_hand_washing_stations]]</f>
        <v>11</v>
      </c>
      <c r="DX127" s="906">
        <f>IF(WWWW[[#This Row],['# Functional hand washing stations during reporting period]]*20&gt;WWWW[[#This Row],[Total HH]],WWWW[[#This Row],[Total HH]],WWWW[[#This Row],['# Functional hand washing stations during reporting period]]*20)</f>
        <v>30</v>
      </c>
      <c r="DY127" s="906">
        <f>IF(WWWW[[#This Row],[Is sufficient soap available for TLS? (Yes/No)]]="yes",WWWW[[#This Row],['#_Constructed/Existing hand washing stations at TLS/CFS/THF]],0)</f>
        <v>0</v>
      </c>
      <c r="DZ127" s="421">
        <f>IF(WWWW[[#This Row],['# Functional hand washing stations during reporting period]]*100&gt;WWWW[[#This Row],[Total PoP ]],WWWW[[#This Row],[Total PoP ]],WWWW[[#This Row],['# Functional hand washing stations during reporting period]]*100)</f>
        <v>127</v>
      </c>
      <c r="EA127" s="421" t="str">
        <f>IF(OR(WWWW[[#This Row],['#_students at TLS_CFS]]="",WWWW[[#This Row],['#_students at TLS_CFS]]=0),"No","Yes")</f>
        <v>No</v>
      </c>
      <c r="EB12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27" s="566">
        <f>WWWW[[#This Row],[%_of_affected_people_surveyed_who_report_feeling_satistfied_with_the_latrine_design_and_sanitation_service]]*WWWW[[#This Row],[Total PoP ]]</f>
        <v>0</v>
      </c>
      <c r="ED127" s="566">
        <f>WWWW[[#This Row],[%_of_affected_people_surveyed_who_report_feeling_satistfied_with_the_water_point_design_and_water_service]]*WWWW[[#This Row],[Total PoP ]]</f>
        <v>0</v>
      </c>
      <c r="EE127" s="566">
        <f>WWWW[[#This Row],[%_of_complaints_received_that_result_in_timely_corrective_action_and_feedback_to_the_community]]*WWWW[[#This Row],[Total PoP ]]</f>
        <v>0</v>
      </c>
      <c r="EF12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2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2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7" s="902" t="str">
        <f>VLOOKUP(WWWW[[#This Row],[Site Name]],SiteDB6[[Site Name]:[CCCM Management]],6,FALSE)</f>
        <v>Yes</v>
      </c>
      <c r="EJ127" s="902" t="str">
        <f>VLOOKUP(WWWW[[#This Row],[Site Name]],SiteDB6[[Site Name]:[CCCM Focal Agency]],7,FALSE)</f>
        <v>KMSS-LSO</v>
      </c>
      <c r="EK127" s="902" t="str">
        <f>VLOOKUP(WWWW[[#This Row],[Site Name]],SiteDB6[[Site Name]:[Location Type 1]],9,FALSE)</f>
        <v>Camp</v>
      </c>
      <c r="EL127" s="902" t="str">
        <f>VLOOKUP(WWWW[[#This Row],[Site Name]],SiteDB6[[Site Name]:[Type of Accommodation]],10,FALSE)</f>
        <v>Camp</v>
      </c>
      <c r="EM127" s="902" t="str">
        <f>VLOOKUP(WWWW[[#This Row],[Site Name]],SiteDB6[[Site Name]:[Ethnic or GCA/NGCA]],11,FALSE)</f>
        <v>GCA</v>
      </c>
      <c r="EN127" s="902">
        <f>VLOOKUP(WWWW[[#This Row],[Site Name]],SiteDB6[[Site Name]:[Lat]],12,FALSE)</f>
        <v>23.088011000000002</v>
      </c>
      <c r="EO127" s="902">
        <f>VLOOKUP(WWWW[[#This Row],[Site Name]],SiteDB6[[Site Name]:[Long]],13,FALSE)</f>
        <v>97.398698999999993</v>
      </c>
      <c r="EP127" s="902" t="str">
        <f>VLOOKUP(WWWW[[#This Row],[Site Name]],SiteDB6[[Site Name]:[Pcode]],3,FALSE)</f>
        <v>MMR015CMP050</v>
      </c>
      <c r="EQ127" s="907" t="str">
        <f t="shared" si="1"/>
        <v>Covered</v>
      </c>
      <c r="ER127" s="907" t="s">
        <v>3126</v>
      </c>
      <c r="ES127" s="907" t="s">
        <v>3126</v>
      </c>
      <c r="ET127" s="902">
        <f>VLOOKUP(WWWW[[#This Row],[Site Name]],SiteDB6[[Site Name]:[Pop
(Kachin/Shan-CCCM as of May 2023)]],16,FALSE)</f>
        <v>24</v>
      </c>
      <c r="EU127" s="902">
        <f>VLOOKUP(WWWW[[#This Row],[Site Name]],SiteDB6[[Site Name]:[Pop
(Kachin/Shan-CCCM as of May 2023)]],17,FALSE)</f>
        <v>97</v>
      </c>
    </row>
    <row r="128" spans="1:151" hidden="1">
      <c r="A128" s="900" t="s">
        <v>2961</v>
      </c>
      <c r="B128" s="900" t="s">
        <v>2953</v>
      </c>
      <c r="C128" s="901" t="s">
        <v>2953</v>
      </c>
      <c r="D128" s="901" t="s">
        <v>2954</v>
      </c>
      <c r="E128" s="901" t="s">
        <v>515</v>
      </c>
      <c r="F128" s="901" t="s">
        <v>536</v>
      </c>
      <c r="G128" s="902" t="str">
        <f>VLOOKUP(WWWW[[#This Row],[Site Name]],SiteDB6[[Site Name]:[Location Type]],8,FALSE)</f>
        <v>Camp</v>
      </c>
      <c r="H128" s="901" t="s">
        <v>547</v>
      </c>
      <c r="I128" s="903">
        <v>32</v>
      </c>
      <c r="J128" s="903">
        <v>141</v>
      </c>
      <c r="K128" s="904">
        <v>44511</v>
      </c>
      <c r="L128" s="905">
        <v>44926</v>
      </c>
      <c r="M128" s="903"/>
      <c r="N128" s="903"/>
      <c r="O128" s="903">
        <v>1</v>
      </c>
      <c r="P128" s="903"/>
      <c r="Q128" s="906" t="s">
        <v>41</v>
      </c>
      <c r="R128" s="903">
        <v>3</v>
      </c>
      <c r="S128" s="903">
        <v>3</v>
      </c>
      <c r="T128" s="441"/>
      <c r="U128" s="903"/>
      <c r="V128" s="903"/>
      <c r="W128" s="903">
        <v>1</v>
      </c>
      <c r="X128" s="903"/>
      <c r="Y128" s="903"/>
      <c r="Z128" s="903"/>
      <c r="AA128" s="903">
        <v>1</v>
      </c>
      <c r="AB128" s="903"/>
      <c r="AC128" s="903"/>
      <c r="AD128" s="903"/>
      <c r="AE128" s="903"/>
      <c r="AF128" s="903"/>
      <c r="AG128" s="903"/>
      <c r="AH128" s="903"/>
      <c r="AI128" s="903"/>
      <c r="AJ128" s="903"/>
      <c r="AK128" s="903"/>
      <c r="AL128" s="903"/>
      <c r="AM128" s="903"/>
      <c r="AN128" s="903"/>
      <c r="AO128" s="441"/>
      <c r="AP128" s="907"/>
      <c r="AQ128" s="903">
        <v>8</v>
      </c>
      <c r="AR128" s="903"/>
      <c r="AS128" s="908"/>
      <c r="AT128" s="903"/>
      <c r="AU128" s="903"/>
      <c r="AV128" s="903"/>
      <c r="AW128" s="903"/>
      <c r="AX128" s="903"/>
      <c r="AY128" s="902" t="s">
        <v>41</v>
      </c>
      <c r="AZ128" s="907" t="s">
        <v>137</v>
      </c>
      <c r="BA128" s="903"/>
      <c r="BB128" s="903"/>
      <c r="BC128" s="903"/>
      <c r="BD128" s="441"/>
      <c r="BE128" s="441"/>
      <c r="BF128" s="902"/>
      <c r="BG128" s="903">
        <v>5</v>
      </c>
      <c r="BH128" s="903"/>
      <c r="BI128" s="903"/>
      <c r="BJ128" s="903">
        <v>2</v>
      </c>
      <c r="BK128" s="903"/>
      <c r="BL128" s="903"/>
      <c r="BM128" s="903">
        <v>1</v>
      </c>
      <c r="BN128" s="903"/>
      <c r="BO128" s="903"/>
      <c r="BP128" s="902" t="s">
        <v>41</v>
      </c>
      <c r="BQ128" s="909"/>
      <c r="BR128" s="908"/>
      <c r="BS128" s="902"/>
      <c r="BT128" s="416"/>
      <c r="BU128" s="416"/>
      <c r="BV128" s="418"/>
      <c r="BW128" s="416"/>
      <c r="BX128" s="441"/>
      <c r="BY128" s="441"/>
      <c r="BZ128" s="441"/>
      <c r="CA128" s="441"/>
      <c r="CB128" s="441"/>
      <c r="CC128" s="693"/>
      <c r="CD128" s="441"/>
      <c r="CE128" s="910" t="str">
        <f>IFERROR(WWWW[[#This Row],['#_Water sources passed]]/WWWW[[#This Row],['#_Water sources tested for fecal coliform ]],"no test")</f>
        <v>no test</v>
      </c>
      <c r="CF128" s="908" t="str">
        <f>IFERROR(WWWW[[#This Row],['#_Household passed]]/WWWW[[#This Row],['#_Household water samples tested for fecal coliform]],"no test")</f>
        <v>no test</v>
      </c>
      <c r="CG128" s="909" t="str">
        <f>IF(AND(WWWW[[#This Row],[% of water sources passed]]="no test",WWWW[[#This Row],[% Household passed]]="no test"),"No Test","Tested")</f>
        <v>No Test</v>
      </c>
      <c r="CH128" s="909">
        <f>WWWW[[#This Row],['#_Constructed/existing protected hand dug well]]-WWWW[[#This Row],['#_Non-functional protected hand dug well]]</f>
        <v>0</v>
      </c>
      <c r="CI128" s="909">
        <f>(WWWW[[#This Row],['#_Constructed/Existing tube wells/boreholes/handpumps_WASH_agency]]+WWWW[[#This Row],['#_Non-Cluster partner water tube-wells/boreholes/handpumps]])-WWWW[[#This Row],['#_Non-functional tube wells/boreholes/handpumps]]</f>
        <v>1</v>
      </c>
      <c r="CJ128" s="909">
        <f>WWWW[[#This Row],['#_Constructed/Existingwater storage tank with gravity fed reticulation system]]-WWWW[[#This Row],['#_Non-functional storage tank gravity fed reticulation system]]</f>
        <v>1</v>
      </c>
      <c r="CK128" s="909">
        <f>(WWWW[[#This Row],['#_Water_Liters_supplied_by_Water boating or water trucking]]/90)/15</f>
        <v>0</v>
      </c>
      <c r="CL128" s="909">
        <f>WWWW[[#This Row],['#_Water_Liters_from_Constructed/Existing water distribution system from river or natural spring]]/90/15</f>
        <v>0</v>
      </c>
      <c r="CM128" s="417">
        <f>IF(WWWW[[#This Row],['#_of water points in TLS/CFS]]*500&gt;WWWW[[#This Row],[Total PoP ]],WWWW[[#This Row],[Total PoP ]],WWWW[[#This Row],['#_of water points in TLS/CFS]]*500)</f>
        <v>0</v>
      </c>
      <c r="CN128" s="417">
        <f>IF(WWWW[[#This Row],['#_of water points in THF]]*500&gt;WWWW[[#This Row],[Total PoP ]],WWWW[[#This Row],[Total PoP ]],WWWW[[#This Row],['#_of water points in THF]]*500)</f>
        <v>0</v>
      </c>
      <c r="CO128" s="417"/>
      <c r="CP128"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28"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28" s="908">
        <f>IF(WWWW[[#This Row],[Location Type 1]]="Village",WWWW[[#This Row],[Access to safe drinking water for Village]],WWWW[[#This Row],[Access to safe drinking water for Camp]])</f>
        <v>1</v>
      </c>
      <c r="CS128" s="906">
        <f>WWWW[[#This Row],[%Equitable and continuous access to sufficient quantity of safe drinking water]]*WWWW[[#This Row],[Total PoP ]]</f>
        <v>141</v>
      </c>
      <c r="CT128" s="908">
        <f>IF((WWWW[[#This Row],['#_Constructed/Existing protected/fenced ponds]]*250)/WWWW[[#This Row],[Total PoP ]]&gt;1,1,(WWWW[[#This Row],['#_Constructed/Existing protected/fenced ponds]]*250)/WWWW[[#This Row],[Total PoP ]])</f>
        <v>0</v>
      </c>
      <c r="CU128" s="906">
        <f>WWWW[[#This Row],[% Access to unimproved water points]]*WWWW[[#This Row],[Total PoP ]]</f>
        <v>0</v>
      </c>
      <c r="CV128"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28"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141</v>
      </c>
      <c r="CX128" s="906">
        <f>WWWW[[#This Row],[HRP1]]/500</f>
        <v>0.28199999999999997</v>
      </c>
      <c r="CY128" s="911">
        <f>1-WWWW[[#This Row],[% Equitable and continuous access to sufficient quantity of domestic water]]</f>
        <v>0</v>
      </c>
      <c r="CZ128" s="906">
        <f>WWWW[[#This Row],[%equitable and continuous access to sufficient quantity of safe drinking and domestic water''s GAP]]*WWWW[[#This Row],[Total PoP ]]</f>
        <v>0</v>
      </c>
      <c r="DA128" s="909">
        <f>IF(WWWW[[#This Row],[Total required water points]]-WWWW[[#This Row],['#Water points coverage]]&lt;0,0,WWWW[[#This Row],[Total required water points]]-WWWW[[#This Row],['#Water points coverage]])</f>
        <v>0.71799999999999997</v>
      </c>
      <c r="DB128" s="909">
        <f>ROUND(IF(WWWW[[#This Row],[Total PoP ]]&lt;500,1,WWWW[[#This Row],[Total PoP ]]/500),0)</f>
        <v>1</v>
      </c>
      <c r="DC128" s="909">
        <f>(WWWW[[#This Row],['#_Constructed latrines_by_WASHAgencies]]+WWWW[[#This Row],['#_Non Cluster partner latrines]])-WWWW[[#This Row],['#_Non-functional latrines]]</f>
        <v>8</v>
      </c>
      <c r="DD128" s="615">
        <f>WWWW[[#This Row],[HRP2]]/WWWW[[#This Row],[Total PoP ]]</f>
        <v>1</v>
      </c>
      <c r="DE128"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141</v>
      </c>
      <c r="DF128"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8"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8" s="417">
        <f>IF(WWWW[[#This Row],['# of functional latrines in THF supported by WASH partners during the reporting period2]]="",0,WWWW[[#This Row],['# of functional latrines in THF supported by WASH partners during the reporting period2]]*50)</f>
        <v>0</v>
      </c>
      <c r="DI128" s="909">
        <f>ROUND(IF(WWWW[[#This Row],[Location Type 1]]="camp",WWWW[[#This Row],[Total PoP ]]/20,IF(WWWW[[#This Row],[Location Type 1]]="Temporary Location",WWWW[[#This Row],[Total PoP ]]/50,(WWWW[[#This Row],[Total PoP ]]/6))),0)</f>
        <v>7</v>
      </c>
      <c r="DJ128" s="909">
        <f>IF(WWWW[[#This Row],[Total required Latrines]]-(WWWW[[#This Row],['#_Constructed latrines_by_WASHAgencies]]+WWWW[[#This Row],['#_Non Cluster partner latrines]])&lt;0,0,WWWW[[#This Row],[Total required Latrines]]-(WWWW[[#This Row],['#_Constructed latrines_by_WASHAgencies]]+WWWW[[#This Row],['#_Non Cluster partner latrines]]))</f>
        <v>0</v>
      </c>
      <c r="DK128" s="911">
        <f>1-WWWW[[#This Row],[% people access to functioning Latrine]]</f>
        <v>0</v>
      </c>
      <c r="DL128" s="910">
        <f>IF(OR(WWWW[[#This Row],['#_Non-functional latrines]]="",WWWW[[#This Row],['#_Non-functional latrines]]=0),0,WWWW[[#This Row],['#_Non-functional latrines]]/(WWWW[[#This Row],['#_Constructed latrines_by_WASHAgencies]]+WWWW[[#This Row],['#_Non Cluster partner latrines]]))</f>
        <v>0</v>
      </c>
      <c r="DM128" s="906">
        <f>IF(500*(WWWW[[#This Row],['#_male hygiene promoters]]+WWWW[[#This Row],['#_female hygiene promoters]])&gt;WWWW[[#This Row],[Total PoP ]],WWWW[[#This Row],[Total PoP ]],500*(WWWW[[#This Row],['#_male hygiene promoters]]+WWWW[[#This Row],['#_female hygiene promoters]]))</f>
        <v>141</v>
      </c>
      <c r="DN128"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28"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28" s="909">
        <f>IF(WWWW[[#This Row],['# People with access to soap]]&gt;WWWW[[#This Row],['# People with access to Sanity Pads]],WWWW[[#This Row],['# People with access to soap]],WWWW[[#This Row],['# People with access to Sanity Pads]])</f>
        <v>0</v>
      </c>
      <c r="DQ128" s="909">
        <f>IF(WWWW[[#This Row],['# people reached by regular dedicated hygiene promotion_5]]&gt;WWWW[[#This Row],['# People received regular supply of hygiene items_6]],WWWW[[#This Row],['# people reached by regular dedicated hygiene promotion_5]],WWWW[[#This Row],['# People received regular supply of hygiene items_6]])</f>
        <v>141</v>
      </c>
      <c r="DR128" s="911">
        <f>IF(WWWW[[#This Row],[HRP3]]/WWWW[[#This Row],[Total PoP ]]&gt;1,1,WWWW[[#This Row],[HRP3]]/WWWW[[#This Row],[Total PoP ]])</f>
        <v>1</v>
      </c>
      <c r="DS128" s="910">
        <f>1-WWWW[[#This Row],[Hygiene Coverage%]]</f>
        <v>0</v>
      </c>
      <c r="DT128" s="908">
        <f>WWWW[[#This Row],['# people reached by regular dedicated hygiene promotion_5]]/WWWW[[#This Row],[Total PoP ]]</f>
        <v>1</v>
      </c>
      <c r="DU128"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28"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28" s="909">
        <f>WWWW[[#This Row],['#_Constructed/Existing hand washing stations]]-WWWW[[#This Row],['#_Non-Functional_hand_washing_stations]]</f>
        <v>5</v>
      </c>
      <c r="DX128" s="906">
        <f>IF(WWWW[[#This Row],['# Functional hand washing stations during reporting period]]*20&gt;WWWW[[#This Row],[Total HH]],WWWW[[#This Row],[Total HH]],WWWW[[#This Row],['# Functional hand washing stations during reporting period]]*20)</f>
        <v>32</v>
      </c>
      <c r="DY128" s="906">
        <f>IF(WWWW[[#This Row],[Is sufficient soap available for TLS? (Yes/No)]]="yes",WWWW[[#This Row],['#_Constructed/Existing hand washing stations at TLS/CFS/THF]],0)</f>
        <v>0</v>
      </c>
      <c r="DZ128" s="421">
        <f>IF(WWWW[[#This Row],['# Functional hand washing stations during reporting period]]*100&gt;WWWW[[#This Row],[Total PoP ]],WWWW[[#This Row],[Total PoP ]],WWWW[[#This Row],['# Functional hand washing stations during reporting period]]*100)</f>
        <v>141</v>
      </c>
      <c r="EA128" s="421" t="str">
        <f>IF(OR(WWWW[[#This Row],['#_students at TLS_CFS]]="",WWWW[[#This Row],['#_students at TLS_CFS]]=0),"No","Yes")</f>
        <v>No</v>
      </c>
      <c r="EB12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28" s="566">
        <f>WWWW[[#This Row],[%_of_affected_people_surveyed_who_report_feeling_satistfied_with_the_latrine_design_and_sanitation_service]]*WWWW[[#This Row],[Total PoP ]]</f>
        <v>0</v>
      </c>
      <c r="ED128" s="566">
        <f>WWWW[[#This Row],[%_of_affected_people_surveyed_who_report_feeling_satistfied_with_the_water_point_design_and_water_service]]*WWWW[[#This Row],[Total PoP ]]</f>
        <v>0</v>
      </c>
      <c r="EE128" s="566">
        <f>WWWW[[#This Row],[%_of_complaints_received_that_result_in_timely_corrective_action_and_feedback_to_the_community]]*WWWW[[#This Row],[Total PoP ]]</f>
        <v>0</v>
      </c>
      <c r="EF12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2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2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8" s="902" t="str">
        <f>VLOOKUP(WWWW[[#This Row],[Site Name]],SiteDB6[[Site Name]:[CCCM Management]],6,FALSE)</f>
        <v>Yes</v>
      </c>
      <c r="EJ128" s="902" t="str">
        <f>VLOOKUP(WWWW[[#This Row],[Site Name]],SiteDB6[[Site Name]:[CCCM Focal Agency]],7,FALSE)</f>
        <v>KBC-NSS</v>
      </c>
      <c r="EK128" s="902" t="str">
        <f>VLOOKUP(WWWW[[#This Row],[Site Name]],SiteDB6[[Site Name]:[Location Type 1]],9,FALSE)</f>
        <v>Camp</v>
      </c>
      <c r="EL128" s="902" t="str">
        <f>VLOOKUP(WWWW[[#This Row],[Site Name]],SiteDB6[[Site Name]:[Type of Accommodation]],10,FALSE)</f>
        <v>Camp</v>
      </c>
      <c r="EM128" s="902" t="str">
        <f>VLOOKUP(WWWW[[#This Row],[Site Name]],SiteDB6[[Site Name]:[Ethnic or GCA/NGCA]],11,FALSE)</f>
        <v>GCA</v>
      </c>
      <c r="EN128" s="902">
        <f>VLOOKUP(WWWW[[#This Row],[Site Name]],SiteDB6[[Site Name]:[Lat]],12,FALSE)</f>
        <v>23.094290000000001</v>
      </c>
      <c r="EO128" s="902">
        <f>VLOOKUP(WWWW[[#This Row],[Site Name]],SiteDB6[[Site Name]:[Long]],13,FALSE)</f>
        <v>97.404089999999997</v>
      </c>
      <c r="EP128" s="902" t="str">
        <f>VLOOKUP(WWWW[[#This Row],[Site Name]],SiteDB6[[Site Name]:[Pcode]],3,FALSE)</f>
        <v>MMR015CMP014</v>
      </c>
      <c r="EQ128" s="907" t="str">
        <f t="shared" si="1"/>
        <v>Covered</v>
      </c>
      <c r="ER128" s="907" t="s">
        <v>3126</v>
      </c>
      <c r="ES128" s="907" t="s">
        <v>3126</v>
      </c>
      <c r="ET128" s="902">
        <f>VLOOKUP(WWWW[[#This Row],[Site Name]],SiteDB6[[Site Name]:[Pop
(Kachin/Shan-CCCM as of May 2023)]],16,FALSE)</f>
        <v>21</v>
      </c>
      <c r="EU128" s="902">
        <f>VLOOKUP(WWWW[[#This Row],[Site Name]],SiteDB6[[Site Name]:[Pop
(Kachin/Shan-CCCM as of May 2023)]],17,FALSE)</f>
        <v>89</v>
      </c>
    </row>
    <row r="129" spans="1:151" hidden="1">
      <c r="A129" s="900" t="s">
        <v>2961</v>
      </c>
      <c r="B129" s="900" t="s">
        <v>2341</v>
      </c>
      <c r="C129" s="901" t="s">
        <v>2341</v>
      </c>
      <c r="D129" s="901" t="s">
        <v>2633</v>
      </c>
      <c r="E129" s="901" t="s">
        <v>515</v>
      </c>
      <c r="F129" s="901" t="s">
        <v>522</v>
      </c>
      <c r="G129" s="902" t="str">
        <f>VLOOKUP(WWWW[[#This Row],[Site Name]],SiteDB6[[Site Name]:[Location Type]],8,FALSE)</f>
        <v>Camp</v>
      </c>
      <c r="H129" s="901" t="s">
        <v>523</v>
      </c>
      <c r="I129" s="903">
        <v>30</v>
      </c>
      <c r="J129" s="903">
        <v>157</v>
      </c>
      <c r="K129" s="904" t="s">
        <v>2701</v>
      </c>
      <c r="L129" s="905" t="s">
        <v>2955</v>
      </c>
      <c r="M129" s="903"/>
      <c r="N129" s="903">
        <v>2</v>
      </c>
      <c r="O129" s="903"/>
      <c r="P129" s="903"/>
      <c r="Q129" s="906" t="s">
        <v>41</v>
      </c>
      <c r="R129" s="903">
        <v>2</v>
      </c>
      <c r="S129" s="903">
        <v>8</v>
      </c>
      <c r="T129" s="441">
        <v>1</v>
      </c>
      <c r="U129" s="903"/>
      <c r="V129" s="903"/>
      <c r="W129" s="903">
        <v>2</v>
      </c>
      <c r="X129" s="903"/>
      <c r="Y129" s="903"/>
      <c r="Z129" s="903"/>
      <c r="AA129" s="903"/>
      <c r="AB129" s="903"/>
      <c r="AC129" s="903"/>
      <c r="AD129" s="903"/>
      <c r="AE129" s="903">
        <v>2</v>
      </c>
      <c r="AF129" s="903"/>
      <c r="AG129" s="903"/>
      <c r="AH129" s="903">
        <v>1</v>
      </c>
      <c r="AI129" s="903"/>
      <c r="AJ129" s="903"/>
      <c r="AK129" s="903"/>
      <c r="AL129" s="903"/>
      <c r="AM129" s="903">
        <v>4</v>
      </c>
      <c r="AN129" s="903"/>
      <c r="AO129" s="441"/>
      <c r="AP129" s="907"/>
      <c r="AQ129" s="903">
        <v>38</v>
      </c>
      <c r="AR129" s="903"/>
      <c r="AS129" s="908"/>
      <c r="AT129" s="903"/>
      <c r="AU129" s="903"/>
      <c r="AV129" s="903"/>
      <c r="AW129" s="903"/>
      <c r="AX129" s="903">
        <v>38</v>
      </c>
      <c r="AY129" s="902" t="s">
        <v>41</v>
      </c>
      <c r="AZ129" s="907" t="s">
        <v>137</v>
      </c>
      <c r="BA129" s="903"/>
      <c r="BB129" s="903"/>
      <c r="BC129" s="903"/>
      <c r="BD129" s="441"/>
      <c r="BE129" s="441"/>
      <c r="BF129" s="902"/>
      <c r="BG129" s="903">
        <v>4</v>
      </c>
      <c r="BH129" s="903"/>
      <c r="BI129" s="903"/>
      <c r="BJ129" s="903">
        <v>2</v>
      </c>
      <c r="BK129" s="903"/>
      <c r="BL129" s="903"/>
      <c r="BM129" s="903">
        <v>2</v>
      </c>
      <c r="BN129" s="903"/>
      <c r="BO129" s="903"/>
      <c r="BP129" s="902" t="s">
        <v>41</v>
      </c>
      <c r="BQ129" s="909"/>
      <c r="BR129" s="908"/>
      <c r="BS129" s="902"/>
      <c r="BT129" s="416"/>
      <c r="BU129" s="416"/>
      <c r="BV129" s="418"/>
      <c r="BW129" s="416"/>
      <c r="BX129" s="441"/>
      <c r="BY129" s="441"/>
      <c r="BZ129" s="441"/>
      <c r="CA129" s="441"/>
      <c r="CB129" s="441"/>
      <c r="CC129" s="693"/>
      <c r="CD129" s="441"/>
      <c r="CE129" s="910" t="str">
        <f>IFERROR(WWWW[[#This Row],['#_Water sources passed]]/WWWW[[#This Row],['#_Water sources tested for fecal coliform ]],"no test")</f>
        <v>no test</v>
      </c>
      <c r="CF129" s="908" t="str">
        <f>IFERROR(WWWW[[#This Row],['#_Household passed]]/WWWW[[#This Row],['#_Household water samples tested for fecal coliform]],"no test")</f>
        <v>no test</v>
      </c>
      <c r="CG129" s="909" t="str">
        <f>IF(AND(WWWW[[#This Row],[% of water sources passed]]="no test",WWWW[[#This Row],[% Household passed]]="no test"),"No Test","Tested")</f>
        <v>No Test</v>
      </c>
      <c r="CH129" s="909">
        <f>WWWW[[#This Row],['#_Constructed/existing protected hand dug well]]-WWWW[[#This Row],['#_Non-functional protected hand dug well]]</f>
        <v>1</v>
      </c>
      <c r="CI129" s="909">
        <f>(WWWW[[#This Row],['#_Constructed/Existing tube wells/boreholes/handpumps_WASH_agency]]+WWWW[[#This Row],['#_Non-Cluster partner water tube-wells/boreholes/handpumps]])-WWWW[[#This Row],['#_Non-functional tube wells/boreholes/handpumps]]</f>
        <v>2</v>
      </c>
      <c r="CJ129" s="909">
        <f>WWWW[[#This Row],['#_Constructed/Existingwater storage tank with gravity fed reticulation system]]-WWWW[[#This Row],['#_Non-functional storage tank gravity fed reticulation system]]</f>
        <v>0</v>
      </c>
      <c r="CK129" s="909">
        <f>(WWWW[[#This Row],['#_Water_Liters_supplied_by_Water boating or water trucking]]/90)/15</f>
        <v>0</v>
      </c>
      <c r="CL129" s="909">
        <f>WWWW[[#This Row],['#_Water_Liters_from_Constructed/Existing water distribution system from river or natural spring]]/90/15</f>
        <v>0</v>
      </c>
      <c r="CM129" s="417">
        <f>IF(WWWW[[#This Row],['#_of water points in TLS/CFS]]*500&gt;WWWW[[#This Row],[Total PoP ]],WWWW[[#This Row],[Total PoP ]],WWWW[[#This Row],['#_of water points in TLS/CFS]]*500)</f>
        <v>0</v>
      </c>
      <c r="CN129" s="417">
        <f>IF(WWWW[[#This Row],['#_of water points in THF]]*500&gt;WWWW[[#This Row],[Total PoP ]],WWWW[[#This Row],[Total PoP ]],WWWW[[#This Row],['#_of water points in THF]]*500)</f>
        <v>0</v>
      </c>
      <c r="CO129" s="417"/>
      <c r="CP129"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29"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29" s="908">
        <f>IF(WWWW[[#This Row],[Location Type 1]]="Village",WWWW[[#This Row],[Access to safe drinking water for Village]],WWWW[[#This Row],[Access to safe drinking water for Camp]])</f>
        <v>1</v>
      </c>
      <c r="CS129" s="906">
        <f>WWWW[[#This Row],[%Equitable and continuous access to sufficient quantity of safe drinking water]]*WWWW[[#This Row],[Total PoP ]]</f>
        <v>157</v>
      </c>
      <c r="CT129" s="908">
        <f>IF((WWWW[[#This Row],['#_Constructed/Existing protected/fenced ponds]]*250)/WWWW[[#This Row],[Total PoP ]]&gt;1,1,(WWWW[[#This Row],['#_Constructed/Existing protected/fenced ponds]]*250)/WWWW[[#This Row],[Total PoP ]])</f>
        <v>1</v>
      </c>
      <c r="CU129" s="906">
        <f>WWWW[[#This Row],[% Access to unimproved water points]]*WWWW[[#This Row],[Total PoP ]]</f>
        <v>157</v>
      </c>
      <c r="CV129"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29"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157</v>
      </c>
      <c r="CX129" s="906">
        <f>WWWW[[#This Row],[HRP1]]/500</f>
        <v>0.314</v>
      </c>
      <c r="CY129" s="911">
        <f>1-WWWW[[#This Row],[% Equitable and continuous access to sufficient quantity of domestic water]]</f>
        <v>0</v>
      </c>
      <c r="CZ129" s="906">
        <f>WWWW[[#This Row],[%equitable and continuous access to sufficient quantity of safe drinking and domestic water''s GAP]]*WWWW[[#This Row],[Total PoP ]]</f>
        <v>0</v>
      </c>
      <c r="DA129" s="909">
        <f>IF(WWWW[[#This Row],[Total required water points]]-WWWW[[#This Row],['#Water points coverage]]&lt;0,0,WWWW[[#This Row],[Total required water points]]-WWWW[[#This Row],['#Water points coverage]])</f>
        <v>0.68599999999999994</v>
      </c>
      <c r="DB129" s="909">
        <f>ROUND(IF(WWWW[[#This Row],[Total PoP ]]&lt;500,1,WWWW[[#This Row],[Total PoP ]]/500),0)</f>
        <v>1</v>
      </c>
      <c r="DC129" s="909">
        <f>(WWWW[[#This Row],['#_Constructed latrines_by_WASHAgencies]]+WWWW[[#This Row],['#_Non Cluster partner latrines]])-WWWW[[#This Row],['#_Non-functional latrines]]</f>
        <v>38</v>
      </c>
      <c r="DD129" s="615">
        <f>WWWW[[#This Row],[HRP2]]/WWWW[[#This Row],[Total PoP ]]</f>
        <v>1</v>
      </c>
      <c r="DE129"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157</v>
      </c>
      <c r="DF129"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29"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29" s="417">
        <f>IF(WWWW[[#This Row],['# of functional latrines in THF supported by WASH partners during the reporting period2]]="",0,WWWW[[#This Row],['# of functional latrines in THF supported by WASH partners during the reporting period2]]*50)</f>
        <v>0</v>
      </c>
      <c r="DI129" s="909">
        <f>ROUND(IF(WWWW[[#This Row],[Location Type 1]]="camp",WWWW[[#This Row],[Total PoP ]]/20,IF(WWWW[[#This Row],[Location Type 1]]="Temporary Location",WWWW[[#This Row],[Total PoP ]]/50,(WWWW[[#This Row],[Total PoP ]]/6))),0)</f>
        <v>8</v>
      </c>
      <c r="DJ129" s="909">
        <f>IF(WWWW[[#This Row],[Total required Latrines]]-(WWWW[[#This Row],['#_Constructed latrines_by_WASHAgencies]]+WWWW[[#This Row],['#_Non Cluster partner latrines]])&lt;0,0,WWWW[[#This Row],[Total required Latrines]]-(WWWW[[#This Row],['#_Constructed latrines_by_WASHAgencies]]+WWWW[[#This Row],['#_Non Cluster partner latrines]]))</f>
        <v>0</v>
      </c>
      <c r="DK129" s="911">
        <f>1-WWWW[[#This Row],[% people access to functioning Latrine]]</f>
        <v>0</v>
      </c>
      <c r="DL129" s="910">
        <f>IF(OR(WWWW[[#This Row],['#_Non-functional latrines]]="",WWWW[[#This Row],['#_Non-functional latrines]]=0),0,WWWW[[#This Row],['#_Non-functional latrines]]/(WWWW[[#This Row],['#_Constructed latrines_by_WASHAgencies]]+WWWW[[#This Row],['#_Non Cluster partner latrines]]))</f>
        <v>0</v>
      </c>
      <c r="DM129" s="906">
        <f>IF(500*(WWWW[[#This Row],['#_male hygiene promoters]]+WWWW[[#This Row],['#_female hygiene promoters]])&gt;WWWW[[#This Row],[Total PoP ]],WWWW[[#This Row],[Total PoP ]],500*(WWWW[[#This Row],['#_male hygiene promoters]]+WWWW[[#This Row],['#_female hygiene promoters]]))</f>
        <v>157</v>
      </c>
      <c r="DN129"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29"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29" s="909">
        <f>IF(WWWW[[#This Row],['# People with access to soap]]&gt;WWWW[[#This Row],['# People with access to Sanity Pads]],WWWW[[#This Row],['# People with access to soap]],WWWW[[#This Row],['# People with access to Sanity Pads]])</f>
        <v>0</v>
      </c>
      <c r="DQ129" s="909">
        <f>IF(WWWW[[#This Row],['# people reached by regular dedicated hygiene promotion_5]]&gt;WWWW[[#This Row],['# People received regular supply of hygiene items_6]],WWWW[[#This Row],['# people reached by regular dedicated hygiene promotion_5]],WWWW[[#This Row],['# People received regular supply of hygiene items_6]])</f>
        <v>157</v>
      </c>
      <c r="DR129" s="911">
        <f>IF(WWWW[[#This Row],[HRP3]]/WWWW[[#This Row],[Total PoP ]]&gt;1,1,WWWW[[#This Row],[HRP3]]/WWWW[[#This Row],[Total PoP ]])</f>
        <v>1</v>
      </c>
      <c r="DS129" s="910">
        <f>1-WWWW[[#This Row],[Hygiene Coverage%]]</f>
        <v>0</v>
      </c>
      <c r="DT129" s="908">
        <f>WWWW[[#This Row],['# people reached by regular dedicated hygiene promotion_5]]/WWWW[[#This Row],[Total PoP ]]</f>
        <v>1</v>
      </c>
      <c r="DU129"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29"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29" s="909">
        <f>WWWW[[#This Row],['#_Constructed/Existing hand washing stations]]-WWWW[[#This Row],['#_Non-Functional_hand_washing_stations]]</f>
        <v>4</v>
      </c>
      <c r="DX129" s="906">
        <f>IF(WWWW[[#This Row],['# Functional hand washing stations during reporting period]]*20&gt;WWWW[[#This Row],[Total HH]],WWWW[[#This Row],[Total HH]],WWWW[[#This Row],['# Functional hand washing stations during reporting period]]*20)</f>
        <v>30</v>
      </c>
      <c r="DY129" s="906">
        <f>IF(WWWW[[#This Row],[Is sufficient soap available for TLS? (Yes/No)]]="yes",WWWW[[#This Row],['#_Constructed/Existing hand washing stations at TLS/CFS/THF]],0)</f>
        <v>4</v>
      </c>
      <c r="DZ129" s="421">
        <f>IF(WWWW[[#This Row],['# Functional hand washing stations during reporting period]]*100&gt;WWWW[[#This Row],[Total PoP ]],WWWW[[#This Row],[Total PoP ]],WWWW[[#This Row],['# Functional hand washing stations during reporting period]]*100)</f>
        <v>157</v>
      </c>
      <c r="EA129" s="421" t="str">
        <f>IF(OR(WWWW[[#This Row],['#_students at TLS_CFS]]="",WWWW[[#This Row],['#_students at TLS_CFS]]=0),"No","Yes")</f>
        <v>No</v>
      </c>
      <c r="EB12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29" s="566">
        <f>WWWW[[#This Row],[%_of_affected_people_surveyed_who_report_feeling_satistfied_with_the_latrine_design_and_sanitation_service]]*WWWW[[#This Row],[Total PoP ]]</f>
        <v>0</v>
      </c>
      <c r="ED129" s="566">
        <f>WWWW[[#This Row],[%_of_affected_people_surveyed_who_report_feeling_satistfied_with_the_water_point_design_and_water_service]]*WWWW[[#This Row],[Total PoP ]]</f>
        <v>0</v>
      </c>
      <c r="EE129" s="566">
        <f>WWWW[[#This Row],[%_of_complaints_received_that_result_in_timely_corrective_action_and_feedback_to_the_community]]*WWWW[[#This Row],[Total PoP ]]</f>
        <v>0</v>
      </c>
      <c r="EF12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2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2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29" s="902" t="str">
        <f>VLOOKUP(WWWW[[#This Row],[Site Name]],SiteDB6[[Site Name]:[CCCM Management]],6,FALSE)</f>
        <v>Yes</v>
      </c>
      <c r="EJ129" s="902" t="str">
        <f>VLOOKUP(WWWW[[#This Row],[Site Name]],SiteDB6[[Site Name]:[CCCM Focal Agency]],7,FALSE)</f>
        <v>KMSS-LSO</v>
      </c>
      <c r="EK129" s="902" t="str">
        <f>VLOOKUP(WWWW[[#This Row],[Site Name]],SiteDB6[[Site Name]:[Location Type 1]],9,FALSE)</f>
        <v>Camp</v>
      </c>
      <c r="EL129" s="902" t="str">
        <f>VLOOKUP(WWWW[[#This Row],[Site Name]],SiteDB6[[Site Name]:[Type of Accommodation]],10,FALSE)</f>
        <v>Closed Camp</v>
      </c>
      <c r="EM129" s="902" t="str">
        <f>VLOOKUP(WWWW[[#This Row],[Site Name]],SiteDB6[[Site Name]:[Ethnic or GCA/NGCA]],11,FALSE)</f>
        <v>GCA</v>
      </c>
      <c r="EN129" s="902">
        <f>VLOOKUP(WWWW[[#This Row],[Site Name]],SiteDB6[[Site Name]:[Lat]],12,FALSE)</f>
        <v>23.24661</v>
      </c>
      <c r="EO129" s="902">
        <f>VLOOKUP(WWWW[[#This Row],[Site Name]],SiteDB6[[Site Name]:[Long]],13,FALSE)</f>
        <v>97.116680000000002</v>
      </c>
      <c r="EP129" s="902" t="str">
        <f>VLOOKUP(WWWW[[#This Row],[Site Name]],SiteDB6[[Site Name]:[Pcode]],3,FALSE)</f>
        <v>MMR015CMP027</v>
      </c>
      <c r="EQ129" s="907" t="str">
        <f t="shared" si="1"/>
        <v>Covered</v>
      </c>
      <c r="ER129" s="907" t="s">
        <v>3126</v>
      </c>
      <c r="ES129" s="907" t="s">
        <v>3126</v>
      </c>
      <c r="ET129" s="902">
        <f>VLOOKUP(WWWW[[#This Row],[Site Name]],SiteDB6[[Site Name]:[Pop
(Kachin/Shan-CCCM as of May 2023)]],16,FALSE)</f>
        <v>30</v>
      </c>
      <c r="EU129" s="902">
        <f>VLOOKUP(WWWW[[#This Row],[Site Name]],SiteDB6[[Site Name]:[Pop
(Kachin/Shan-CCCM as of May 2023)]],17,FALSE)</f>
        <v>159</v>
      </c>
    </row>
    <row r="130" spans="1:151" hidden="1">
      <c r="A130" s="900" t="s">
        <v>2961</v>
      </c>
      <c r="B130" s="900" t="s">
        <v>2341</v>
      </c>
      <c r="C130" s="901" t="s">
        <v>2341</v>
      </c>
      <c r="D130" s="901" t="s">
        <v>2633</v>
      </c>
      <c r="E130" s="901" t="s">
        <v>515</v>
      </c>
      <c r="F130" s="901" t="s">
        <v>516</v>
      </c>
      <c r="G130" s="902" t="str">
        <f>VLOOKUP(WWWW[[#This Row],[Site Name]],SiteDB6[[Site Name]:[Location Type]],8,FALSE)</f>
        <v>Camp</v>
      </c>
      <c r="H130" s="901" t="s">
        <v>527</v>
      </c>
      <c r="I130" s="903">
        <v>85</v>
      </c>
      <c r="J130" s="903">
        <v>396</v>
      </c>
      <c r="K130" s="904" t="s">
        <v>2701</v>
      </c>
      <c r="L130" s="905" t="s">
        <v>2955</v>
      </c>
      <c r="M130" s="903"/>
      <c r="N130" s="903">
        <v>2</v>
      </c>
      <c r="O130" s="903"/>
      <c r="P130" s="903"/>
      <c r="Q130" s="906" t="s">
        <v>41</v>
      </c>
      <c r="R130" s="903">
        <v>7</v>
      </c>
      <c r="S130" s="903">
        <v>9</v>
      </c>
      <c r="T130" s="441"/>
      <c r="U130" s="903"/>
      <c r="V130" s="903"/>
      <c r="W130" s="903"/>
      <c r="X130" s="903">
        <v>1</v>
      </c>
      <c r="Y130" s="903"/>
      <c r="Z130" s="903"/>
      <c r="AA130" s="903">
        <v>1</v>
      </c>
      <c r="AB130" s="903"/>
      <c r="AC130" s="903"/>
      <c r="AD130" s="903"/>
      <c r="AE130" s="903"/>
      <c r="AF130" s="903"/>
      <c r="AG130" s="903"/>
      <c r="AH130" s="903">
        <v>2</v>
      </c>
      <c r="AI130" s="903"/>
      <c r="AJ130" s="903"/>
      <c r="AK130" s="903"/>
      <c r="AL130" s="903"/>
      <c r="AM130" s="903">
        <v>8</v>
      </c>
      <c r="AN130" s="903"/>
      <c r="AO130" s="441"/>
      <c r="AP130" s="907"/>
      <c r="AQ130" s="903">
        <v>14</v>
      </c>
      <c r="AR130" s="903">
        <v>6</v>
      </c>
      <c r="AS130" s="908"/>
      <c r="AT130" s="903"/>
      <c r="AU130" s="903"/>
      <c r="AV130" s="903"/>
      <c r="AW130" s="903"/>
      <c r="AX130" s="903">
        <v>14</v>
      </c>
      <c r="AY130" s="902" t="s">
        <v>41</v>
      </c>
      <c r="AZ130" s="907" t="s">
        <v>137</v>
      </c>
      <c r="BA130" s="903"/>
      <c r="BB130" s="903"/>
      <c r="BC130" s="903"/>
      <c r="BD130" s="441"/>
      <c r="BE130" s="441"/>
      <c r="BF130" s="902"/>
      <c r="BG130" s="903">
        <v>8</v>
      </c>
      <c r="BH130" s="903"/>
      <c r="BI130" s="903"/>
      <c r="BJ130" s="903">
        <v>2</v>
      </c>
      <c r="BK130" s="903"/>
      <c r="BL130" s="903">
        <v>1</v>
      </c>
      <c r="BM130" s="903">
        <v>1</v>
      </c>
      <c r="BN130" s="903"/>
      <c r="BO130" s="903"/>
      <c r="BP130" s="902" t="s">
        <v>41</v>
      </c>
      <c r="BQ130" s="909"/>
      <c r="BR130" s="908"/>
      <c r="BS130" s="902"/>
      <c r="BT130" s="416"/>
      <c r="BU130" s="416"/>
      <c r="BV130" s="418"/>
      <c r="BW130" s="416"/>
      <c r="BX130" s="441"/>
      <c r="BY130" s="441"/>
      <c r="BZ130" s="441"/>
      <c r="CA130" s="441"/>
      <c r="CB130" s="441"/>
      <c r="CC130" s="693"/>
      <c r="CD130" s="441"/>
      <c r="CE130" s="910" t="str">
        <f>IFERROR(WWWW[[#This Row],['#_Water sources passed]]/WWWW[[#This Row],['#_Water sources tested for fecal coliform ]],"no test")</f>
        <v>no test</v>
      </c>
      <c r="CF130" s="908" t="str">
        <f>IFERROR(WWWW[[#This Row],['#_Household passed]]/WWWW[[#This Row],['#_Household water samples tested for fecal coliform]],"no test")</f>
        <v>no test</v>
      </c>
      <c r="CG130" s="909" t="str">
        <f>IF(AND(WWWW[[#This Row],[% of water sources passed]]="no test",WWWW[[#This Row],[% Household passed]]="no test"),"No Test","Tested")</f>
        <v>No Test</v>
      </c>
      <c r="CH130" s="909">
        <f>WWWW[[#This Row],['#_Constructed/existing protected hand dug well]]-WWWW[[#This Row],['#_Non-functional protected hand dug well]]</f>
        <v>0</v>
      </c>
      <c r="CI130" s="909">
        <f>(WWWW[[#This Row],['#_Constructed/Existing tube wells/boreholes/handpumps_WASH_agency]]+WWWW[[#This Row],['#_Non-Cluster partner water tube-wells/boreholes/handpumps]])-WWWW[[#This Row],['#_Non-functional tube wells/boreholes/handpumps]]</f>
        <v>1</v>
      </c>
      <c r="CJ130" s="909">
        <f>WWWW[[#This Row],['#_Constructed/Existingwater storage tank with gravity fed reticulation system]]-WWWW[[#This Row],['#_Non-functional storage tank gravity fed reticulation system]]</f>
        <v>1</v>
      </c>
      <c r="CK130" s="909">
        <f>(WWWW[[#This Row],['#_Water_Liters_supplied_by_Water boating or water trucking]]/90)/15</f>
        <v>0</v>
      </c>
      <c r="CL130" s="909">
        <f>WWWW[[#This Row],['#_Water_Liters_from_Constructed/Existing water distribution system from river or natural spring]]/90/15</f>
        <v>0</v>
      </c>
      <c r="CM130" s="417">
        <f>IF(WWWW[[#This Row],['#_of water points in TLS/CFS]]*500&gt;WWWW[[#This Row],[Total PoP ]],WWWW[[#This Row],[Total PoP ]],WWWW[[#This Row],['#_of water points in TLS/CFS]]*500)</f>
        <v>0</v>
      </c>
      <c r="CN130" s="417">
        <f>IF(WWWW[[#This Row],['#_of water points in THF]]*500&gt;WWWW[[#This Row],[Total PoP ]],WWWW[[#This Row],[Total PoP ]],WWWW[[#This Row],['#_of water points in THF]]*500)</f>
        <v>0</v>
      </c>
      <c r="CO130" s="417"/>
      <c r="CP130"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30"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0.79966329966329974</v>
      </c>
      <c r="CR130" s="908">
        <f>IF(WWWW[[#This Row],[Location Type 1]]="Village",WWWW[[#This Row],[Access to safe drinking water for Village]],WWWW[[#This Row],[Access to safe drinking water for Camp]])</f>
        <v>1</v>
      </c>
      <c r="CS130" s="906">
        <f>WWWW[[#This Row],[%Equitable and continuous access to sufficient quantity of safe drinking water]]*WWWW[[#This Row],[Total PoP ]]</f>
        <v>396</v>
      </c>
      <c r="CT130" s="908">
        <f>IF((WWWW[[#This Row],['#_Constructed/Existing protected/fenced ponds]]*250)/WWWW[[#This Row],[Total PoP ]]&gt;1,1,(WWWW[[#This Row],['#_Constructed/Existing protected/fenced ponds]]*250)/WWWW[[#This Row],[Total PoP ]])</f>
        <v>0</v>
      </c>
      <c r="CU130" s="906">
        <f>WWWW[[#This Row],[% Access to unimproved water points]]*WWWW[[#This Row],[Total PoP ]]</f>
        <v>0</v>
      </c>
      <c r="CV130"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30"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396</v>
      </c>
      <c r="CX130" s="906">
        <f>WWWW[[#This Row],[HRP1]]/500</f>
        <v>0.79200000000000004</v>
      </c>
      <c r="CY130" s="911">
        <f>1-WWWW[[#This Row],[% Equitable and continuous access to sufficient quantity of domestic water]]</f>
        <v>0</v>
      </c>
      <c r="CZ130" s="906">
        <f>WWWW[[#This Row],[%equitable and continuous access to sufficient quantity of safe drinking and domestic water''s GAP]]*WWWW[[#This Row],[Total PoP ]]</f>
        <v>0</v>
      </c>
      <c r="DA130" s="909">
        <f>IF(WWWW[[#This Row],[Total required water points]]-WWWW[[#This Row],['#Water points coverage]]&lt;0,0,WWWW[[#This Row],[Total required water points]]-WWWW[[#This Row],['#Water points coverage]])</f>
        <v>0.20799999999999996</v>
      </c>
      <c r="DB130" s="909">
        <f>ROUND(IF(WWWW[[#This Row],[Total PoP ]]&lt;500,1,WWWW[[#This Row],[Total PoP ]]/500),0)</f>
        <v>1</v>
      </c>
      <c r="DC130" s="909">
        <f>(WWWW[[#This Row],['#_Constructed latrines_by_WASHAgencies]]+WWWW[[#This Row],['#_Non Cluster partner latrines]])-WWWW[[#This Row],['#_Non-functional latrines]]</f>
        <v>20</v>
      </c>
      <c r="DD130" s="615">
        <f>WWWW[[#This Row],[HRP2]]/WWWW[[#This Row],[Total PoP ]]</f>
        <v>1</v>
      </c>
      <c r="DE130"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396</v>
      </c>
      <c r="DF130"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30"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0" s="417">
        <f>IF(WWWW[[#This Row],['# of functional latrines in THF supported by WASH partners during the reporting period2]]="",0,WWWW[[#This Row],['# of functional latrines in THF supported by WASH partners during the reporting period2]]*50)</f>
        <v>0</v>
      </c>
      <c r="DI130" s="909">
        <f>ROUND(IF(WWWW[[#This Row],[Location Type 1]]="camp",WWWW[[#This Row],[Total PoP ]]/20,IF(WWWW[[#This Row],[Location Type 1]]="Temporary Location",WWWW[[#This Row],[Total PoP ]]/50,(WWWW[[#This Row],[Total PoP ]]/6))),0)</f>
        <v>20</v>
      </c>
      <c r="DJ130" s="909">
        <f>IF(WWWW[[#This Row],[Total required Latrines]]-(WWWW[[#This Row],['#_Constructed latrines_by_WASHAgencies]]+WWWW[[#This Row],['#_Non Cluster partner latrines]])&lt;0,0,WWWW[[#This Row],[Total required Latrines]]-(WWWW[[#This Row],['#_Constructed latrines_by_WASHAgencies]]+WWWW[[#This Row],['#_Non Cluster partner latrines]]))</f>
        <v>0</v>
      </c>
      <c r="DK130" s="911">
        <f>1-WWWW[[#This Row],[% people access to functioning Latrine]]</f>
        <v>0</v>
      </c>
      <c r="DL130" s="910">
        <f>IF(OR(WWWW[[#This Row],['#_Non-functional latrines]]="",WWWW[[#This Row],['#_Non-functional latrines]]=0),0,WWWW[[#This Row],['#_Non-functional latrines]]/(WWWW[[#This Row],['#_Constructed latrines_by_WASHAgencies]]+WWWW[[#This Row],['#_Non Cluster partner latrines]]))</f>
        <v>0</v>
      </c>
      <c r="DM130" s="906">
        <f>IF(500*(WWWW[[#This Row],['#_male hygiene promoters]]+WWWW[[#This Row],['#_female hygiene promoters]])&gt;WWWW[[#This Row],[Total PoP ]],WWWW[[#This Row],[Total PoP ]],500*(WWWW[[#This Row],['#_male hygiene promoters]]+WWWW[[#This Row],['#_female hygiene promoters]]))</f>
        <v>396</v>
      </c>
      <c r="DN130"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30"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30" s="909">
        <f>IF(WWWW[[#This Row],['# People with access to soap]]&gt;WWWW[[#This Row],['# People with access to Sanity Pads]],WWWW[[#This Row],['# People with access to soap]],WWWW[[#This Row],['# People with access to Sanity Pads]])</f>
        <v>0</v>
      </c>
      <c r="DQ130" s="909">
        <f>IF(WWWW[[#This Row],['# people reached by regular dedicated hygiene promotion_5]]&gt;WWWW[[#This Row],['# People received regular supply of hygiene items_6]],WWWW[[#This Row],['# people reached by regular dedicated hygiene promotion_5]],WWWW[[#This Row],['# People received regular supply of hygiene items_6]])</f>
        <v>396</v>
      </c>
      <c r="DR130" s="911">
        <f>IF(WWWW[[#This Row],[HRP3]]/WWWW[[#This Row],[Total PoP ]]&gt;1,1,WWWW[[#This Row],[HRP3]]/WWWW[[#This Row],[Total PoP ]])</f>
        <v>1</v>
      </c>
      <c r="DS130" s="910">
        <f>1-WWWW[[#This Row],[Hygiene Coverage%]]</f>
        <v>0</v>
      </c>
      <c r="DT130" s="908">
        <f>WWWW[[#This Row],['# people reached by regular dedicated hygiene promotion_5]]/WWWW[[#This Row],[Total PoP ]]</f>
        <v>1</v>
      </c>
      <c r="DU130"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30"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30" s="909">
        <f>WWWW[[#This Row],['#_Constructed/Existing hand washing stations]]-WWWW[[#This Row],['#_Non-Functional_hand_washing_stations]]</f>
        <v>8</v>
      </c>
      <c r="DX130" s="906">
        <f>IF(WWWW[[#This Row],['# Functional hand washing stations during reporting period]]*20&gt;WWWW[[#This Row],[Total HH]],WWWW[[#This Row],[Total HH]],WWWW[[#This Row],['# Functional hand washing stations during reporting period]]*20)</f>
        <v>85</v>
      </c>
      <c r="DY130" s="906">
        <f>IF(WWWW[[#This Row],[Is sufficient soap available for TLS? (Yes/No)]]="yes",WWWW[[#This Row],['#_Constructed/Existing hand washing stations at TLS/CFS/THF]],0)</f>
        <v>8</v>
      </c>
      <c r="DZ130" s="421">
        <f>IF(WWWW[[#This Row],['# Functional hand washing stations during reporting period]]*100&gt;WWWW[[#This Row],[Total PoP ]],WWWW[[#This Row],[Total PoP ]],WWWW[[#This Row],['# Functional hand washing stations during reporting period]]*100)</f>
        <v>396</v>
      </c>
      <c r="EA130" s="421" t="str">
        <f>IF(OR(WWWW[[#This Row],['#_students at TLS_CFS]]="",WWWW[[#This Row],['#_students at TLS_CFS]]=0),"No","Yes")</f>
        <v>No</v>
      </c>
      <c r="EB13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30" s="566">
        <f>WWWW[[#This Row],[%_of_affected_people_surveyed_who_report_feeling_satistfied_with_the_latrine_design_and_sanitation_service]]*WWWW[[#This Row],[Total PoP ]]</f>
        <v>0</v>
      </c>
      <c r="ED130" s="566">
        <f>WWWW[[#This Row],[%_of_affected_people_surveyed_who_report_feeling_satistfied_with_the_water_point_design_and_water_service]]*WWWW[[#This Row],[Total PoP ]]</f>
        <v>0</v>
      </c>
      <c r="EE130" s="566">
        <f>WWWW[[#This Row],[%_of_complaints_received_that_result_in_timely_corrective_action_and_feedback_to_the_community]]*WWWW[[#This Row],[Total PoP ]]</f>
        <v>0</v>
      </c>
      <c r="EF13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3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3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0" s="902" t="str">
        <f>VLOOKUP(WWWW[[#This Row],[Site Name]],SiteDB6[[Site Name]:[CCCM Management]],6,FALSE)</f>
        <v>Yes</v>
      </c>
      <c r="EJ130" s="902" t="str">
        <f>VLOOKUP(WWWW[[#This Row],[Site Name]],SiteDB6[[Site Name]:[CCCM Focal Agency]],7,FALSE)</f>
        <v>KBC-NSS</v>
      </c>
      <c r="EK130" s="902" t="str">
        <f>VLOOKUP(WWWW[[#This Row],[Site Name]],SiteDB6[[Site Name]:[Location Type 1]],9,FALSE)</f>
        <v>Camp</v>
      </c>
      <c r="EL130" s="902" t="str">
        <f>VLOOKUP(WWWW[[#This Row],[Site Name]],SiteDB6[[Site Name]:[Type of Accommodation]],10,FALSE)</f>
        <v>Camp</v>
      </c>
      <c r="EM130" s="902" t="str">
        <f>VLOOKUP(WWWW[[#This Row],[Site Name]],SiteDB6[[Site Name]:[Ethnic or GCA/NGCA]],11,FALSE)</f>
        <v>GCA</v>
      </c>
      <c r="EN130" s="902">
        <f>VLOOKUP(WWWW[[#This Row],[Site Name]],SiteDB6[[Site Name]:[Lat]],12,FALSE)</f>
        <v>23.821380000000001</v>
      </c>
      <c r="EO130" s="902">
        <f>VLOOKUP(WWWW[[#This Row],[Site Name]],SiteDB6[[Site Name]:[Long]],13,FALSE)</f>
        <v>97.681970000000007</v>
      </c>
      <c r="EP130" s="902" t="str">
        <f>VLOOKUP(WWWW[[#This Row],[Site Name]],SiteDB6[[Site Name]:[Pcode]],3,FALSE)</f>
        <v>MMR015CMP004</v>
      </c>
      <c r="EQ130" s="907" t="str">
        <f t="shared" si="1"/>
        <v>Covered</v>
      </c>
      <c r="ER130" s="907" t="s">
        <v>3126</v>
      </c>
      <c r="ES130" s="907" t="s">
        <v>3126</v>
      </c>
      <c r="ET130" s="902">
        <f>VLOOKUP(WWWW[[#This Row],[Site Name]],SiteDB6[[Site Name]:[Pop
(Kachin/Shan-CCCM as of May 2023)]],16,FALSE)</f>
        <v>89</v>
      </c>
      <c r="EU130" s="902">
        <f>VLOOKUP(WWWW[[#This Row],[Site Name]],SiteDB6[[Site Name]:[Pop
(Kachin/Shan-CCCM as of May 2023)]],17,FALSE)</f>
        <v>407</v>
      </c>
    </row>
    <row r="131" spans="1:151" hidden="1">
      <c r="A131" s="900" t="s">
        <v>2961</v>
      </c>
      <c r="B131" s="900" t="s">
        <v>2341</v>
      </c>
      <c r="C131" s="901" t="s">
        <v>2341</v>
      </c>
      <c r="D131" s="901" t="s">
        <v>2633</v>
      </c>
      <c r="E131" s="901" t="s">
        <v>515</v>
      </c>
      <c r="F131" s="901" t="s">
        <v>516</v>
      </c>
      <c r="G131" s="902" t="str">
        <f>VLOOKUP(WWWW[[#This Row],[Site Name]],SiteDB6[[Site Name]:[Location Type]],8,FALSE)</f>
        <v>Camp</v>
      </c>
      <c r="H131" s="901" t="s">
        <v>517</v>
      </c>
      <c r="I131" s="903">
        <v>44</v>
      </c>
      <c r="J131" s="903">
        <v>213</v>
      </c>
      <c r="K131" s="904" t="s">
        <v>2701</v>
      </c>
      <c r="L131" s="905" t="s">
        <v>2955</v>
      </c>
      <c r="M131" s="903"/>
      <c r="N131" s="903">
        <v>2</v>
      </c>
      <c r="O131" s="903"/>
      <c r="P131" s="903"/>
      <c r="Q131" s="906" t="s">
        <v>41</v>
      </c>
      <c r="R131" s="903">
        <v>3</v>
      </c>
      <c r="S131" s="903">
        <v>9</v>
      </c>
      <c r="T131" s="441">
        <v>1</v>
      </c>
      <c r="U131" s="903"/>
      <c r="V131" s="903"/>
      <c r="W131" s="903"/>
      <c r="X131" s="903">
        <v>2</v>
      </c>
      <c r="Y131" s="903"/>
      <c r="Z131" s="903"/>
      <c r="AA131" s="903"/>
      <c r="AB131" s="903"/>
      <c r="AC131" s="903"/>
      <c r="AD131" s="903"/>
      <c r="AE131" s="903">
        <v>1</v>
      </c>
      <c r="AF131" s="903"/>
      <c r="AG131" s="903"/>
      <c r="AH131" s="903">
        <v>2</v>
      </c>
      <c r="AI131" s="903"/>
      <c r="AJ131" s="903"/>
      <c r="AK131" s="903"/>
      <c r="AL131" s="903"/>
      <c r="AM131" s="903">
        <v>3</v>
      </c>
      <c r="AN131" s="903"/>
      <c r="AO131" s="441"/>
      <c r="AP131" s="907"/>
      <c r="AQ131" s="903">
        <v>14</v>
      </c>
      <c r="AR131" s="903"/>
      <c r="AS131" s="908"/>
      <c r="AT131" s="903"/>
      <c r="AU131" s="903"/>
      <c r="AV131" s="903"/>
      <c r="AW131" s="903"/>
      <c r="AX131" s="903">
        <v>14</v>
      </c>
      <c r="AY131" s="902" t="s">
        <v>41</v>
      </c>
      <c r="AZ131" s="907" t="s">
        <v>137</v>
      </c>
      <c r="BA131" s="903"/>
      <c r="BB131" s="903"/>
      <c r="BC131" s="903"/>
      <c r="BD131" s="441"/>
      <c r="BE131" s="441"/>
      <c r="BF131" s="902"/>
      <c r="BG131" s="903">
        <v>3</v>
      </c>
      <c r="BH131" s="903"/>
      <c r="BI131" s="903"/>
      <c r="BJ131" s="903">
        <v>2</v>
      </c>
      <c r="BK131" s="903"/>
      <c r="BL131" s="903">
        <v>1</v>
      </c>
      <c r="BM131" s="903">
        <v>1</v>
      </c>
      <c r="BN131" s="903"/>
      <c r="BO131" s="903"/>
      <c r="BP131" s="902" t="s">
        <v>41</v>
      </c>
      <c r="BQ131" s="909"/>
      <c r="BR131" s="908"/>
      <c r="BS131" s="902"/>
      <c r="BT131" s="416"/>
      <c r="BU131" s="416"/>
      <c r="BV131" s="418"/>
      <c r="BW131" s="416"/>
      <c r="BX131" s="441"/>
      <c r="BY131" s="441"/>
      <c r="BZ131" s="441"/>
      <c r="CA131" s="441"/>
      <c r="CB131" s="441"/>
      <c r="CC131" s="693"/>
      <c r="CD131" s="441"/>
      <c r="CE131" s="910" t="str">
        <f>IFERROR(WWWW[[#This Row],['#_Water sources passed]]/WWWW[[#This Row],['#_Water sources tested for fecal coliform ]],"no test")</f>
        <v>no test</v>
      </c>
      <c r="CF131" s="908" t="str">
        <f>IFERROR(WWWW[[#This Row],['#_Household passed]]/WWWW[[#This Row],['#_Household water samples tested for fecal coliform]],"no test")</f>
        <v>no test</v>
      </c>
      <c r="CG131" s="909" t="str">
        <f>IF(AND(WWWW[[#This Row],[% of water sources passed]]="no test",WWWW[[#This Row],[% Household passed]]="no test"),"No Test","Tested")</f>
        <v>No Test</v>
      </c>
      <c r="CH131" s="909">
        <f>WWWW[[#This Row],['#_Constructed/existing protected hand dug well]]-WWWW[[#This Row],['#_Non-functional protected hand dug well]]</f>
        <v>1</v>
      </c>
      <c r="CI131" s="909">
        <f>(WWWW[[#This Row],['#_Constructed/Existing tube wells/boreholes/handpumps_WASH_agency]]+WWWW[[#This Row],['#_Non-Cluster partner water tube-wells/boreholes/handpumps]])-WWWW[[#This Row],['#_Non-functional tube wells/boreholes/handpumps]]</f>
        <v>2</v>
      </c>
      <c r="CJ131" s="909">
        <f>WWWW[[#This Row],['#_Constructed/Existingwater storage tank with gravity fed reticulation system]]-WWWW[[#This Row],['#_Non-functional storage tank gravity fed reticulation system]]</f>
        <v>0</v>
      </c>
      <c r="CK131" s="909">
        <f>(WWWW[[#This Row],['#_Water_Liters_supplied_by_Water boating or water trucking]]/90)/15</f>
        <v>0</v>
      </c>
      <c r="CL131" s="909">
        <f>WWWW[[#This Row],['#_Water_Liters_from_Constructed/Existing water distribution system from river or natural spring]]/90/15</f>
        <v>0</v>
      </c>
      <c r="CM131" s="417">
        <f>IF(WWWW[[#This Row],['#_of water points in TLS/CFS]]*500&gt;WWWW[[#This Row],[Total PoP ]],WWWW[[#This Row],[Total PoP ]],WWWW[[#This Row],['#_of water points in TLS/CFS]]*500)</f>
        <v>0</v>
      </c>
      <c r="CN131" s="417">
        <f>IF(WWWW[[#This Row],['#_of water points in THF]]*500&gt;WWWW[[#This Row],[Total PoP ]],WWWW[[#This Row],[Total PoP ]],WWWW[[#This Row],['#_of water points in THF]]*500)</f>
        <v>0</v>
      </c>
      <c r="CO131" s="417"/>
      <c r="CP131"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31"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31" s="908">
        <f>IF(WWWW[[#This Row],[Location Type 1]]="Village",WWWW[[#This Row],[Access to safe drinking water for Village]],WWWW[[#This Row],[Access to safe drinking water for Camp]])</f>
        <v>1</v>
      </c>
      <c r="CS131" s="906">
        <f>WWWW[[#This Row],[%Equitable and continuous access to sufficient quantity of safe drinking water]]*WWWW[[#This Row],[Total PoP ]]</f>
        <v>213</v>
      </c>
      <c r="CT131" s="908">
        <f>IF((WWWW[[#This Row],['#_Constructed/Existing protected/fenced ponds]]*250)/WWWW[[#This Row],[Total PoP ]]&gt;1,1,(WWWW[[#This Row],['#_Constructed/Existing protected/fenced ponds]]*250)/WWWW[[#This Row],[Total PoP ]])</f>
        <v>1</v>
      </c>
      <c r="CU131" s="906">
        <f>WWWW[[#This Row],[% Access to unimproved water points]]*WWWW[[#This Row],[Total PoP ]]</f>
        <v>213</v>
      </c>
      <c r="CV131"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31"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213</v>
      </c>
      <c r="CX131" s="906">
        <f>WWWW[[#This Row],[HRP1]]/500</f>
        <v>0.42599999999999999</v>
      </c>
      <c r="CY131" s="911">
        <f>1-WWWW[[#This Row],[% Equitable and continuous access to sufficient quantity of domestic water]]</f>
        <v>0</v>
      </c>
      <c r="CZ131" s="906">
        <f>WWWW[[#This Row],[%equitable and continuous access to sufficient quantity of safe drinking and domestic water''s GAP]]*WWWW[[#This Row],[Total PoP ]]</f>
        <v>0</v>
      </c>
      <c r="DA131" s="909">
        <f>IF(WWWW[[#This Row],[Total required water points]]-WWWW[[#This Row],['#Water points coverage]]&lt;0,0,WWWW[[#This Row],[Total required water points]]-WWWW[[#This Row],['#Water points coverage]])</f>
        <v>0.57400000000000007</v>
      </c>
      <c r="DB131" s="909">
        <f>ROUND(IF(WWWW[[#This Row],[Total PoP ]]&lt;500,1,WWWW[[#This Row],[Total PoP ]]/500),0)</f>
        <v>1</v>
      </c>
      <c r="DC131" s="909">
        <f>(WWWW[[#This Row],['#_Constructed latrines_by_WASHAgencies]]+WWWW[[#This Row],['#_Non Cluster partner latrines]])-WWWW[[#This Row],['#_Non-functional latrines]]</f>
        <v>14</v>
      </c>
      <c r="DD131" s="615">
        <f>WWWW[[#This Row],[HRP2]]/WWWW[[#This Row],[Total PoP ]]</f>
        <v>1</v>
      </c>
      <c r="DE131"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213</v>
      </c>
      <c r="DF131"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31"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1" s="417">
        <f>IF(WWWW[[#This Row],['# of functional latrines in THF supported by WASH partners during the reporting period2]]="",0,WWWW[[#This Row],['# of functional latrines in THF supported by WASH partners during the reporting period2]]*50)</f>
        <v>0</v>
      </c>
      <c r="DI131" s="909">
        <f>ROUND(IF(WWWW[[#This Row],[Location Type 1]]="camp",WWWW[[#This Row],[Total PoP ]]/20,IF(WWWW[[#This Row],[Location Type 1]]="Temporary Location",WWWW[[#This Row],[Total PoP ]]/50,(WWWW[[#This Row],[Total PoP ]]/6))),0)</f>
        <v>11</v>
      </c>
      <c r="DJ131" s="909">
        <f>IF(WWWW[[#This Row],[Total required Latrines]]-(WWWW[[#This Row],['#_Constructed latrines_by_WASHAgencies]]+WWWW[[#This Row],['#_Non Cluster partner latrines]])&lt;0,0,WWWW[[#This Row],[Total required Latrines]]-(WWWW[[#This Row],['#_Constructed latrines_by_WASHAgencies]]+WWWW[[#This Row],['#_Non Cluster partner latrines]]))</f>
        <v>0</v>
      </c>
      <c r="DK131" s="911">
        <f>1-WWWW[[#This Row],[% people access to functioning Latrine]]</f>
        <v>0</v>
      </c>
      <c r="DL131" s="910">
        <f>IF(OR(WWWW[[#This Row],['#_Non-functional latrines]]="",WWWW[[#This Row],['#_Non-functional latrines]]=0),0,WWWW[[#This Row],['#_Non-functional latrines]]/(WWWW[[#This Row],['#_Constructed latrines_by_WASHAgencies]]+WWWW[[#This Row],['#_Non Cluster partner latrines]]))</f>
        <v>0</v>
      </c>
      <c r="DM131" s="906">
        <f>IF(500*(WWWW[[#This Row],['#_male hygiene promoters]]+WWWW[[#This Row],['#_female hygiene promoters]])&gt;WWWW[[#This Row],[Total PoP ]],WWWW[[#This Row],[Total PoP ]],500*(WWWW[[#This Row],['#_male hygiene promoters]]+WWWW[[#This Row],['#_female hygiene promoters]]))</f>
        <v>213</v>
      </c>
      <c r="DN131"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31"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31" s="909">
        <f>IF(WWWW[[#This Row],['# People with access to soap]]&gt;WWWW[[#This Row],['# People with access to Sanity Pads]],WWWW[[#This Row],['# People with access to soap]],WWWW[[#This Row],['# People with access to Sanity Pads]])</f>
        <v>0</v>
      </c>
      <c r="DQ131" s="909">
        <f>IF(WWWW[[#This Row],['# people reached by regular dedicated hygiene promotion_5]]&gt;WWWW[[#This Row],['# People received regular supply of hygiene items_6]],WWWW[[#This Row],['# people reached by regular dedicated hygiene promotion_5]],WWWW[[#This Row],['# People received regular supply of hygiene items_6]])</f>
        <v>213</v>
      </c>
      <c r="DR131" s="911">
        <f>IF(WWWW[[#This Row],[HRP3]]/WWWW[[#This Row],[Total PoP ]]&gt;1,1,WWWW[[#This Row],[HRP3]]/WWWW[[#This Row],[Total PoP ]])</f>
        <v>1</v>
      </c>
      <c r="DS131" s="910">
        <f>1-WWWW[[#This Row],[Hygiene Coverage%]]</f>
        <v>0</v>
      </c>
      <c r="DT131" s="908">
        <f>WWWW[[#This Row],['# people reached by regular dedicated hygiene promotion_5]]/WWWW[[#This Row],[Total PoP ]]</f>
        <v>1</v>
      </c>
      <c r="DU131"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31"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31" s="909">
        <f>WWWW[[#This Row],['#_Constructed/Existing hand washing stations]]-WWWW[[#This Row],['#_Non-Functional_hand_washing_stations]]</f>
        <v>3</v>
      </c>
      <c r="DX131" s="906">
        <f>IF(WWWW[[#This Row],['# Functional hand washing stations during reporting period]]*20&gt;WWWW[[#This Row],[Total HH]],WWWW[[#This Row],[Total HH]],WWWW[[#This Row],['# Functional hand washing stations during reporting period]]*20)</f>
        <v>44</v>
      </c>
      <c r="DY131" s="906">
        <f>IF(WWWW[[#This Row],[Is sufficient soap available for TLS? (Yes/No)]]="yes",WWWW[[#This Row],['#_Constructed/Existing hand washing stations at TLS/CFS/THF]],0)</f>
        <v>3</v>
      </c>
      <c r="DZ131" s="421">
        <f>IF(WWWW[[#This Row],['# Functional hand washing stations during reporting period]]*100&gt;WWWW[[#This Row],[Total PoP ]],WWWW[[#This Row],[Total PoP ]],WWWW[[#This Row],['# Functional hand washing stations during reporting period]]*100)</f>
        <v>213</v>
      </c>
      <c r="EA131" s="421" t="str">
        <f>IF(OR(WWWW[[#This Row],['#_students at TLS_CFS]]="",WWWW[[#This Row],['#_students at TLS_CFS]]=0),"No","Yes")</f>
        <v>No</v>
      </c>
      <c r="EB13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31" s="566">
        <f>WWWW[[#This Row],[%_of_affected_people_surveyed_who_report_feeling_satistfied_with_the_latrine_design_and_sanitation_service]]*WWWW[[#This Row],[Total PoP ]]</f>
        <v>0</v>
      </c>
      <c r="ED131" s="566">
        <f>WWWW[[#This Row],[%_of_affected_people_surveyed_who_report_feeling_satistfied_with_the_water_point_design_and_water_service]]*WWWW[[#This Row],[Total PoP ]]</f>
        <v>0</v>
      </c>
      <c r="EE131" s="566">
        <f>WWWW[[#This Row],[%_of_complaints_received_that_result_in_timely_corrective_action_and_feedback_to_the_community]]*WWWW[[#This Row],[Total PoP ]]</f>
        <v>0</v>
      </c>
      <c r="EF13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3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3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1" s="902" t="str">
        <f>VLOOKUP(WWWW[[#This Row],[Site Name]],SiteDB6[[Site Name]:[CCCM Management]],6,FALSE)</f>
        <v>Yes</v>
      </c>
      <c r="EJ131" s="902" t="str">
        <f>VLOOKUP(WWWW[[#This Row],[Site Name]],SiteDB6[[Site Name]:[CCCM Focal Agency]],7,FALSE)</f>
        <v>KMSS-LSO</v>
      </c>
      <c r="EK131" s="902" t="str">
        <f>VLOOKUP(WWWW[[#This Row],[Site Name]],SiteDB6[[Site Name]:[Location Type 1]],9,FALSE)</f>
        <v>Camp</v>
      </c>
      <c r="EL131" s="902" t="str">
        <f>VLOOKUP(WWWW[[#This Row],[Site Name]],SiteDB6[[Site Name]:[Type of Accommodation]],10,FALSE)</f>
        <v>Camp</v>
      </c>
      <c r="EM131" s="902" t="str">
        <f>VLOOKUP(WWWW[[#This Row],[Site Name]],SiteDB6[[Site Name]:[Ethnic or GCA/NGCA]],11,FALSE)</f>
        <v>GCA</v>
      </c>
      <c r="EN131" s="902">
        <f>VLOOKUP(WWWW[[#This Row],[Site Name]],SiteDB6[[Site Name]:[Lat]],12,FALSE)</f>
        <v>23.828150000000001</v>
      </c>
      <c r="EO131" s="902">
        <f>VLOOKUP(WWWW[[#This Row],[Site Name]],SiteDB6[[Site Name]:[Long]],13,FALSE)</f>
        <v>97.670360000000002</v>
      </c>
      <c r="EP131" s="902" t="str">
        <f>VLOOKUP(WWWW[[#This Row],[Site Name]],SiteDB6[[Site Name]:[Pcode]],3,FALSE)</f>
        <v>MMR015CMP003</v>
      </c>
      <c r="EQ131" s="907" t="str">
        <f t="shared" si="1"/>
        <v>Covered</v>
      </c>
      <c r="ER131" s="907" t="s">
        <v>3126</v>
      </c>
      <c r="ES131" s="907" t="s">
        <v>3126</v>
      </c>
      <c r="ET131" s="902">
        <f>VLOOKUP(WWWW[[#This Row],[Site Name]],SiteDB6[[Site Name]:[Pop
(Kachin/Shan-CCCM as of May 2023)]],16,FALSE)</f>
        <v>44</v>
      </c>
      <c r="EU131" s="902">
        <f>VLOOKUP(WWWW[[#This Row],[Site Name]],SiteDB6[[Site Name]:[Pop
(Kachin/Shan-CCCM as of May 2023)]],17,FALSE)</f>
        <v>220</v>
      </c>
    </row>
    <row r="132" spans="1:151" hidden="1">
      <c r="A132" s="900" t="s">
        <v>2961</v>
      </c>
      <c r="B132" s="900" t="s">
        <v>3214</v>
      </c>
      <c r="C132" s="900" t="s">
        <v>3214</v>
      </c>
      <c r="D132" s="901" t="s">
        <v>3215</v>
      </c>
      <c r="E132" s="901" t="s">
        <v>37</v>
      </c>
      <c r="F132" s="901" t="s">
        <v>195</v>
      </c>
      <c r="G132" s="902" t="str">
        <f>VLOOKUP(WWWW[[#This Row],[Site Name]],SiteDB6[[Site Name]:[Location Type]],8,FALSE)</f>
        <v>Camp</v>
      </c>
      <c r="H132" s="901" t="s">
        <v>200</v>
      </c>
      <c r="I132" s="903">
        <v>135</v>
      </c>
      <c r="J132" s="903">
        <v>774</v>
      </c>
      <c r="K132" s="904" t="s">
        <v>3216</v>
      </c>
      <c r="L132" s="905" t="s">
        <v>3217</v>
      </c>
      <c r="M132" s="903"/>
      <c r="N132" s="903"/>
      <c r="O132" s="903">
        <v>1</v>
      </c>
      <c r="P132" s="903"/>
      <c r="Q132" s="906" t="s">
        <v>41</v>
      </c>
      <c r="R132" s="903">
        <f>1+2</f>
        <v>3</v>
      </c>
      <c r="S132" s="903">
        <f>4+3</f>
        <v>7</v>
      </c>
      <c r="T132" s="441">
        <v>3</v>
      </c>
      <c r="U132" s="903"/>
      <c r="V132" s="903"/>
      <c r="W132" s="903">
        <v>2</v>
      </c>
      <c r="X132" s="903"/>
      <c r="Y132" s="903"/>
      <c r="Z132" s="903"/>
      <c r="AA132" s="903"/>
      <c r="AB132" s="903"/>
      <c r="AC132" s="903"/>
      <c r="AD132" s="903"/>
      <c r="AE132" s="903"/>
      <c r="AF132" s="903"/>
      <c r="AG132" s="903">
        <v>1</v>
      </c>
      <c r="AH132" s="903">
        <v>3</v>
      </c>
      <c r="AI132" s="903"/>
      <c r="AJ132" s="903"/>
      <c r="AK132" s="903"/>
      <c r="AL132" s="903"/>
      <c r="AM132" s="903">
        <v>4</v>
      </c>
      <c r="AN132" s="903">
        <v>1</v>
      </c>
      <c r="AO132" s="441"/>
      <c r="AP132" s="907"/>
      <c r="AQ132" s="903">
        <v>23</v>
      </c>
      <c r="AR132" s="903">
        <v>22</v>
      </c>
      <c r="AS132" s="908" t="s">
        <v>3185</v>
      </c>
      <c r="AT132" s="903">
        <v>4</v>
      </c>
      <c r="AU132" s="903"/>
      <c r="AV132" s="903">
        <v>18</v>
      </c>
      <c r="AW132" s="903"/>
      <c r="AX132" s="903">
        <v>18</v>
      </c>
      <c r="AY132" s="902" t="s">
        <v>41</v>
      </c>
      <c r="AZ132" s="907" t="s">
        <v>137</v>
      </c>
      <c r="BA132" s="903"/>
      <c r="BB132" s="903"/>
      <c r="BC132" s="903"/>
      <c r="BD132" s="441"/>
      <c r="BE132" s="441"/>
      <c r="BF132" s="902"/>
      <c r="BG132" s="903">
        <v>6</v>
      </c>
      <c r="BH132" s="903"/>
      <c r="BI132" s="903"/>
      <c r="BJ132" s="903">
        <v>7</v>
      </c>
      <c r="BK132" s="903">
        <v>2</v>
      </c>
      <c r="BL132" s="903">
        <v>1</v>
      </c>
      <c r="BM132" s="903"/>
      <c r="BN132" s="903"/>
      <c r="BO132" s="903"/>
      <c r="BP132" s="902"/>
      <c r="BQ132" s="909"/>
      <c r="BR132" s="908">
        <v>0.2</v>
      </c>
      <c r="BS132" s="902"/>
      <c r="BT132" s="416">
        <v>0.8</v>
      </c>
      <c r="BU132" s="416">
        <v>0.9</v>
      </c>
      <c r="BV132" s="418">
        <v>50</v>
      </c>
      <c r="BW132" s="416">
        <v>0.3</v>
      </c>
      <c r="BX132" s="441"/>
      <c r="BY132" s="441"/>
      <c r="BZ132" s="441"/>
      <c r="CA132" s="441"/>
      <c r="CB132" s="441"/>
      <c r="CC132" s="693"/>
      <c r="CD132" s="441"/>
      <c r="CE132" s="910" t="str">
        <f>IFERROR(WWWW[[#This Row],['#_Water sources passed]]/WWWW[[#This Row],['#_Water sources tested for fecal coliform ]],"no test")</f>
        <v>no test</v>
      </c>
      <c r="CF132" s="908" t="str">
        <f>IFERROR(WWWW[[#This Row],['#_Household passed]]/WWWW[[#This Row],['#_Household water samples tested for fecal coliform]],"no test")</f>
        <v>no test</v>
      </c>
      <c r="CG132" s="909" t="str">
        <f>IF(AND(WWWW[[#This Row],[% of water sources passed]]="no test",WWWW[[#This Row],[% Household passed]]="no test"),"No Test","Tested")</f>
        <v>No Test</v>
      </c>
      <c r="CH132" s="909">
        <f>WWWW[[#This Row],['#_Constructed/existing protected hand dug well]]-WWWW[[#This Row],['#_Non-functional protected hand dug well]]</f>
        <v>3</v>
      </c>
      <c r="CI132" s="909">
        <f>(WWWW[[#This Row],['#_Constructed/Existing tube wells/boreholes/handpumps_WASH_agency]]+WWWW[[#This Row],['#_Non-Cluster partner water tube-wells/boreholes/handpumps]])-WWWW[[#This Row],['#_Non-functional tube wells/boreholes/handpumps]]</f>
        <v>2</v>
      </c>
      <c r="CJ132" s="909">
        <f>WWWW[[#This Row],['#_Constructed/Existingwater storage tank with gravity fed reticulation system]]-WWWW[[#This Row],['#_Non-functional storage tank gravity fed reticulation system]]</f>
        <v>0</v>
      </c>
      <c r="CK132" s="909">
        <f>(WWWW[[#This Row],['#_Water_Liters_supplied_by_Water boating or water trucking]]/90)/15</f>
        <v>0</v>
      </c>
      <c r="CL132" s="909">
        <f>WWWW[[#This Row],['#_Water_Liters_from_Constructed/Existing water distribution system from river or natural spring]]/90/15</f>
        <v>0</v>
      </c>
      <c r="CM132" s="417">
        <f>IF(WWWW[[#This Row],['#_of water points in TLS/CFS]]*500&gt;WWWW[[#This Row],[Total PoP ]],WWWW[[#This Row],[Total PoP ]],WWWW[[#This Row],['#_of water points in TLS/CFS]]*500)</f>
        <v>500</v>
      </c>
      <c r="CN132" s="417">
        <f>IF(WWWW[[#This Row],['#_of water points in THF]]*500&gt;WWWW[[#This Row],[Total PoP ]],WWWW[[#This Row],[Total PoP ]],WWWW[[#This Row],['#_of water points in THF]]*500)</f>
        <v>0</v>
      </c>
      <c r="CO132" s="417"/>
      <c r="CP132"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32"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32" s="908">
        <f>IF(WWWW[[#This Row],[Location Type 1]]="Village",WWWW[[#This Row],[Access to safe drinking water for Village]],WWWW[[#This Row],[Access to safe drinking water for Camp]])</f>
        <v>1</v>
      </c>
      <c r="CS132" s="906">
        <f>WWWW[[#This Row],[%Equitable and continuous access to sufficient quantity of safe drinking water]]*WWWW[[#This Row],[Total PoP ]]</f>
        <v>774</v>
      </c>
      <c r="CT132" s="908">
        <f>IF((WWWW[[#This Row],['#_Constructed/Existing protected/fenced ponds]]*250)/WWWW[[#This Row],[Total PoP ]]&gt;1,1,(WWWW[[#This Row],['#_Constructed/Existing protected/fenced ponds]]*250)/WWWW[[#This Row],[Total PoP ]])</f>
        <v>0</v>
      </c>
      <c r="CU132" s="906">
        <f>WWWW[[#This Row],[% Access to unimproved water points]]*WWWW[[#This Row],[Total PoP ]]</f>
        <v>0</v>
      </c>
      <c r="CV132"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32"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774</v>
      </c>
      <c r="CX132" s="906">
        <f>WWWW[[#This Row],[HRP1]]/500</f>
        <v>1.548</v>
      </c>
      <c r="CY132" s="911">
        <f>1-WWWW[[#This Row],[% Equitable and continuous access to sufficient quantity of domestic water]]</f>
        <v>0</v>
      </c>
      <c r="CZ132" s="906">
        <f>WWWW[[#This Row],[%equitable and continuous access to sufficient quantity of safe drinking and domestic water''s GAP]]*WWWW[[#This Row],[Total PoP ]]</f>
        <v>0</v>
      </c>
      <c r="DA132" s="909">
        <f>IF(WWWW[[#This Row],[Total required water points]]-WWWW[[#This Row],['#Water points coverage]]&lt;0,0,WWWW[[#This Row],[Total required water points]]-WWWW[[#This Row],['#Water points coverage]])</f>
        <v>0.45199999999999996</v>
      </c>
      <c r="DB132" s="909">
        <f>ROUND(IF(WWWW[[#This Row],[Total PoP ]]&lt;500,1,WWWW[[#This Row],[Total PoP ]]/500),0)</f>
        <v>2</v>
      </c>
      <c r="DC132" s="909">
        <f>(WWWW[[#This Row],['#_Constructed latrines_by_WASHAgencies]]+WWWW[[#This Row],['#_Non Cluster partner latrines]])-WWWW[[#This Row],['#_Non-functional latrines]]</f>
        <v>41</v>
      </c>
      <c r="DD132" s="615">
        <f>WWWW[[#This Row],[HRP2]]/WWWW[[#This Row],[Total PoP ]]</f>
        <v>1</v>
      </c>
      <c r="DE132"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774</v>
      </c>
      <c r="DF132"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360</v>
      </c>
      <c r="DG132"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2" s="417">
        <f>IF(WWWW[[#This Row],['# of functional latrines in THF supported by WASH partners during the reporting period2]]="",0,WWWW[[#This Row],['# of functional latrines in THF supported by WASH partners during the reporting period2]]*50)</f>
        <v>0</v>
      </c>
      <c r="DI132" s="909">
        <f>ROUND(IF(WWWW[[#This Row],[Location Type 1]]="camp",WWWW[[#This Row],[Total PoP ]]/20,IF(WWWW[[#This Row],[Location Type 1]]="Temporary Location",WWWW[[#This Row],[Total PoP ]]/50,(WWWW[[#This Row],[Total PoP ]]/6))),0)</f>
        <v>39</v>
      </c>
      <c r="DJ132" s="909">
        <f>IF(WWWW[[#This Row],[Total required Latrines]]-(WWWW[[#This Row],['#_Constructed latrines_by_WASHAgencies]]+WWWW[[#This Row],['#_Non Cluster partner latrines]])&lt;0,0,WWWW[[#This Row],[Total required Latrines]]-(WWWW[[#This Row],['#_Constructed latrines_by_WASHAgencies]]+WWWW[[#This Row],['#_Non Cluster partner latrines]]))</f>
        <v>0</v>
      </c>
      <c r="DK132" s="911">
        <f>1-WWWW[[#This Row],[% people access to functioning Latrine]]</f>
        <v>0</v>
      </c>
      <c r="DL132" s="910">
        <f>IF(OR(WWWW[[#This Row],['#_Non-functional latrines]]="",WWWW[[#This Row],['#_Non-functional latrines]]=0),0,WWWW[[#This Row],['#_Non-functional latrines]]/(WWWW[[#This Row],['#_Constructed latrines_by_WASHAgencies]]+WWWW[[#This Row],['#_Non Cluster partner latrines]]))</f>
        <v>8.8888888888888892E-2</v>
      </c>
      <c r="DM132" s="906">
        <f>IF(500*(WWWW[[#This Row],['#_male hygiene promoters]]+WWWW[[#This Row],['#_female hygiene promoters]])&gt;WWWW[[#This Row],[Total PoP ]],WWWW[[#This Row],[Total PoP ]],500*(WWWW[[#This Row],['#_male hygiene promoters]]+WWWW[[#This Row],['#_female hygiene promoters]]))</f>
        <v>500</v>
      </c>
      <c r="DN132"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32"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32" s="909">
        <f>IF(WWWW[[#This Row],['# People with access to soap]]&gt;WWWW[[#This Row],['# People with access to Sanity Pads]],WWWW[[#This Row],['# People with access to soap]],WWWW[[#This Row],['# People with access to Sanity Pads]])</f>
        <v>0</v>
      </c>
      <c r="DQ132" s="909">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132" s="911">
        <f>IF(WWWW[[#This Row],[HRP3]]/WWWW[[#This Row],[Total PoP ]]&gt;1,1,WWWW[[#This Row],[HRP3]]/WWWW[[#This Row],[Total PoP ]])</f>
        <v>0.64599483204134367</v>
      </c>
      <c r="DS132" s="910">
        <f>1-WWWW[[#This Row],[Hygiene Coverage%]]</f>
        <v>0.35400516795865633</v>
      </c>
      <c r="DT132" s="908">
        <f>WWWW[[#This Row],['# people reached by regular dedicated hygiene promotion_5]]/WWWW[[#This Row],[Total PoP ]]</f>
        <v>0.64599483204134367</v>
      </c>
      <c r="DU132"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32"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32" s="909">
        <f>WWWW[[#This Row],['#_Constructed/Existing hand washing stations]]-WWWW[[#This Row],['#_Non-Functional_hand_washing_stations]]</f>
        <v>6</v>
      </c>
      <c r="DX132" s="906">
        <f>IF(WWWW[[#This Row],['# Functional hand washing stations during reporting period]]*20&gt;WWWW[[#This Row],[Total HH]],WWWW[[#This Row],[Total HH]],WWWW[[#This Row],['# Functional hand washing stations during reporting period]]*20)</f>
        <v>120</v>
      </c>
      <c r="DY132" s="906">
        <f>IF(WWWW[[#This Row],[Is sufficient soap available for TLS? (Yes/No)]]="yes",WWWW[[#This Row],['#_Constructed/Existing hand washing stations at TLS/CFS/THF]],0)</f>
        <v>0</v>
      </c>
      <c r="DZ132" s="421">
        <f>IF(WWWW[[#This Row],['# Functional hand washing stations during reporting period]]*100&gt;WWWW[[#This Row],[Total PoP ]],WWWW[[#This Row],[Total PoP ]],WWWW[[#This Row],['# Functional hand washing stations during reporting period]]*100)</f>
        <v>600</v>
      </c>
      <c r="EA132" s="421" t="str">
        <f>IF(OR(WWWW[[#This Row],['#_students at TLS_CFS]]="",WWWW[[#This Row],['#_students at TLS_CFS]]=0),"No","Yes")</f>
        <v>No</v>
      </c>
      <c r="EB132" s="615">
        <f>IF(WWWW[[#This Row],['#_of_affected_people_surveyed_who_report_feeling_informed_about_the_different_WASH_services_available_to_them]]="","",WWWW[[#This Row],['#_of_affected_people_surveyed_who_report_feeling_informed_about_the_different_WASH_services_available_to_them]]/WWWW[[#This Row],[Total PoP ]])</f>
        <v>6.4599483204134361E-2</v>
      </c>
      <c r="EC132" s="566">
        <f>WWWW[[#This Row],[%_of_affected_people_surveyed_who_report_feeling_satistfied_with_the_latrine_design_and_sanitation_service]]*WWWW[[#This Row],[Total PoP ]]</f>
        <v>619.20000000000005</v>
      </c>
      <c r="ED132" s="566">
        <f>WWWW[[#This Row],[%_of_affected_people_surveyed_who_report_feeling_satistfied_with_the_water_point_design_and_water_service]]*WWWW[[#This Row],[Total PoP ]]</f>
        <v>696.6</v>
      </c>
      <c r="EE132" s="566">
        <f>WWWW[[#This Row],[%_of_complaints_received_that_result_in_timely_corrective_action_and_feedback_to_the_community]]*WWWW[[#This Row],[Total PoP ]]</f>
        <v>232.2</v>
      </c>
      <c r="EF13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696.6</v>
      </c>
      <c r="EG13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500</v>
      </c>
      <c r="EH13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2" s="902" t="str">
        <f>VLOOKUP(WWWW[[#This Row],[Site Name]],SiteDB6[[Site Name]:[CCCM Management]],6,FALSE)</f>
        <v>Yes</v>
      </c>
      <c r="EJ132" s="902" t="str">
        <f>VLOOKUP(WWWW[[#This Row],[Site Name]],SiteDB6[[Site Name]:[CCCM Focal Agency]],7,FALSE)</f>
        <v>Shalom</v>
      </c>
      <c r="EK132" s="902" t="str">
        <f>VLOOKUP(WWWW[[#This Row],[Site Name]],SiteDB6[[Site Name]:[Location Type 1]],9,FALSE)</f>
        <v>Camp</v>
      </c>
      <c r="EL132" s="902" t="str">
        <f>VLOOKUP(WWWW[[#This Row],[Site Name]],SiteDB6[[Site Name]:[Type of Accommodation]],10,FALSE)</f>
        <v>Camp</v>
      </c>
      <c r="EM132" s="902" t="str">
        <f>VLOOKUP(WWWW[[#This Row],[Site Name]],SiteDB6[[Site Name]:[Ethnic or GCA/NGCA]],11,FALSE)</f>
        <v>GCA</v>
      </c>
      <c r="EN132" s="902">
        <f>VLOOKUP(WWWW[[#This Row],[Site Name]],SiteDB6[[Site Name]:[Lat]],12,FALSE)</f>
        <v>24.2631743589744</v>
      </c>
      <c r="EO132" s="902">
        <f>VLOOKUP(WWWW[[#This Row],[Site Name]],SiteDB6[[Site Name]:[Long]],13,FALSE)</f>
        <v>97.240183461538507</v>
      </c>
      <c r="EP132" s="902" t="str">
        <f>VLOOKUP(WWWW[[#This Row],[Site Name]],SiteDB6[[Site Name]:[Pcode]],3,FALSE)</f>
        <v>MMR001CMP049</v>
      </c>
      <c r="EQ132" s="907" t="str">
        <f t="shared" si="1"/>
        <v>Covered</v>
      </c>
      <c r="ER132" s="907" t="s">
        <v>3126</v>
      </c>
      <c r="ES132" s="907" t="s">
        <v>3126</v>
      </c>
      <c r="ET132" s="902">
        <f>VLOOKUP(WWWW[[#This Row],[Site Name]],SiteDB6[[Site Name]:[Pop
(Kachin/Shan-CCCM as of May 2023)]],16,FALSE)</f>
        <v>135</v>
      </c>
      <c r="EU132" s="902">
        <f>VLOOKUP(WWWW[[#This Row],[Site Name]],SiteDB6[[Site Name]:[Pop
(Kachin/Shan-CCCM as of May 2023)]],17,FALSE)</f>
        <v>780</v>
      </c>
    </row>
    <row r="133" spans="1:151" hidden="1">
      <c r="A133" s="900" t="s">
        <v>2961</v>
      </c>
      <c r="B133" s="900" t="s">
        <v>309</v>
      </c>
      <c r="C133" s="901" t="s">
        <v>309</v>
      </c>
      <c r="D133" s="901"/>
      <c r="E133" s="901" t="s">
        <v>37</v>
      </c>
      <c r="F133" s="901" t="s">
        <v>195</v>
      </c>
      <c r="G133" s="902" t="str">
        <f>VLOOKUP(WWWW[[#This Row],[Site Name]],SiteDB6[[Site Name]:[Location Type]],8,FALSE)</f>
        <v>Camp</v>
      </c>
      <c r="H133" s="901" t="s">
        <v>2880</v>
      </c>
      <c r="I133" s="903">
        <v>12</v>
      </c>
      <c r="J133" s="903">
        <v>60</v>
      </c>
      <c r="K133" s="904"/>
      <c r="L133" s="905"/>
      <c r="M133" s="903"/>
      <c r="N133" s="903"/>
      <c r="O133" s="903"/>
      <c r="P133" s="903"/>
      <c r="Q133" s="906"/>
      <c r="R133" s="903"/>
      <c r="S133" s="903"/>
      <c r="T133" s="441"/>
      <c r="U133" s="903"/>
      <c r="V133" s="903"/>
      <c r="W133" s="903"/>
      <c r="X133" s="903"/>
      <c r="Y133" s="903"/>
      <c r="Z133" s="903"/>
      <c r="AA133" s="903"/>
      <c r="AB133" s="903"/>
      <c r="AC133" s="903"/>
      <c r="AD133" s="903"/>
      <c r="AE133" s="903"/>
      <c r="AF133" s="903"/>
      <c r="AG133" s="903"/>
      <c r="AH133" s="903"/>
      <c r="AI133" s="903"/>
      <c r="AJ133" s="903"/>
      <c r="AK133" s="903"/>
      <c r="AL133" s="903"/>
      <c r="AM133" s="903"/>
      <c r="AN133" s="903"/>
      <c r="AO133" s="441"/>
      <c r="AP133" s="907"/>
      <c r="AQ133" s="903"/>
      <c r="AR133" s="903"/>
      <c r="AS133" s="908"/>
      <c r="AT133" s="903"/>
      <c r="AU133" s="903"/>
      <c r="AV133" s="903"/>
      <c r="AW133" s="903"/>
      <c r="AX133" s="903"/>
      <c r="AY133" s="902" t="s">
        <v>140</v>
      </c>
      <c r="AZ133" s="907" t="s">
        <v>140</v>
      </c>
      <c r="BA133" s="903"/>
      <c r="BB133" s="903"/>
      <c r="BC133" s="903"/>
      <c r="BD133" s="441"/>
      <c r="BE133" s="441"/>
      <c r="BF133" s="902"/>
      <c r="BG133" s="903">
        <v>1</v>
      </c>
      <c r="BH133" s="903"/>
      <c r="BI133" s="903"/>
      <c r="BJ133" s="903">
        <v>1</v>
      </c>
      <c r="BK133" s="903"/>
      <c r="BL133" s="903"/>
      <c r="BM133" s="903"/>
      <c r="BN133" s="903"/>
      <c r="BO133" s="903"/>
      <c r="BP133" s="902"/>
      <c r="BQ133" s="909"/>
      <c r="BR133" s="908"/>
      <c r="BS133" s="902"/>
      <c r="BT133" s="416"/>
      <c r="BU133" s="416"/>
      <c r="BV133" s="418"/>
      <c r="BW133" s="416"/>
      <c r="BX133" s="441"/>
      <c r="BY133" s="441"/>
      <c r="BZ133" s="441"/>
      <c r="CA133" s="441"/>
      <c r="CB133" s="441"/>
      <c r="CC133" s="693"/>
      <c r="CD133" s="441"/>
      <c r="CE133" s="910" t="str">
        <f>IFERROR(WWWW[[#This Row],['#_Water sources passed]]/WWWW[[#This Row],['#_Water sources tested for fecal coliform ]],"no test")</f>
        <v>no test</v>
      </c>
      <c r="CF133" s="908" t="str">
        <f>IFERROR(WWWW[[#This Row],['#_Household passed]]/WWWW[[#This Row],['#_Household water samples tested for fecal coliform]],"no test")</f>
        <v>no test</v>
      </c>
      <c r="CG133" s="909" t="str">
        <f>IF(AND(WWWW[[#This Row],[% of water sources passed]]="no test",WWWW[[#This Row],[% Household passed]]="no test"),"No Test","Tested")</f>
        <v>No Test</v>
      </c>
      <c r="CH133" s="909">
        <f>WWWW[[#This Row],['#_Constructed/existing protected hand dug well]]-WWWW[[#This Row],['#_Non-functional protected hand dug well]]</f>
        <v>0</v>
      </c>
      <c r="CI133" s="909">
        <f>(WWWW[[#This Row],['#_Constructed/Existing tube wells/boreholes/handpumps_WASH_agency]]+WWWW[[#This Row],['#_Non-Cluster partner water tube-wells/boreholes/handpumps]])-WWWW[[#This Row],['#_Non-functional tube wells/boreholes/handpumps]]</f>
        <v>0</v>
      </c>
      <c r="CJ133" s="909">
        <f>WWWW[[#This Row],['#_Constructed/Existingwater storage tank with gravity fed reticulation system]]-WWWW[[#This Row],['#_Non-functional storage tank gravity fed reticulation system]]</f>
        <v>0</v>
      </c>
      <c r="CK133" s="909">
        <f>(WWWW[[#This Row],['#_Water_Liters_supplied_by_Water boating or water trucking]]/90)/15</f>
        <v>0</v>
      </c>
      <c r="CL133" s="909">
        <f>WWWW[[#This Row],['#_Water_Liters_from_Constructed/Existing water distribution system from river or natural spring]]/90/15</f>
        <v>0</v>
      </c>
      <c r="CM133" s="417">
        <f>IF(WWWW[[#This Row],['#_of water points in TLS/CFS]]*500&gt;WWWW[[#This Row],[Total PoP ]],WWWW[[#This Row],[Total PoP ]],WWWW[[#This Row],['#_of water points in TLS/CFS]]*500)</f>
        <v>0</v>
      </c>
      <c r="CN133" s="417">
        <f>IF(WWWW[[#This Row],['#_of water points in THF]]*500&gt;WWWW[[#This Row],[Total PoP ]],WWWW[[#This Row],[Total PoP ]],WWWW[[#This Row],['#_of water points in THF]]*500)</f>
        <v>0</v>
      </c>
      <c r="CO133" s="417"/>
      <c r="CP133"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33"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33" s="908">
        <f>IF(WWWW[[#This Row],[Location Type 1]]="Village",WWWW[[#This Row],[Access to safe drinking water for Village]],WWWW[[#This Row],[Access to safe drinking water for Camp]])</f>
        <v>0</v>
      </c>
      <c r="CS133" s="906">
        <f>WWWW[[#This Row],[%Equitable and continuous access to sufficient quantity of safe drinking water]]*WWWW[[#This Row],[Total PoP ]]</f>
        <v>0</v>
      </c>
      <c r="CT133" s="908">
        <f>IF((WWWW[[#This Row],['#_Constructed/Existing protected/fenced ponds]]*250)/WWWW[[#This Row],[Total PoP ]]&gt;1,1,(WWWW[[#This Row],['#_Constructed/Existing protected/fenced ponds]]*250)/WWWW[[#This Row],[Total PoP ]])</f>
        <v>0</v>
      </c>
      <c r="CU133" s="906">
        <f>WWWW[[#This Row],[% Access to unimproved water points]]*WWWW[[#This Row],[Total PoP ]]</f>
        <v>0</v>
      </c>
      <c r="CV133"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33"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33" s="906">
        <f>WWWW[[#This Row],[HRP1]]/500</f>
        <v>0</v>
      </c>
      <c r="CY133" s="911">
        <f>1-WWWW[[#This Row],[% Equitable and continuous access to sufficient quantity of domestic water]]</f>
        <v>1</v>
      </c>
      <c r="CZ133" s="906">
        <f>WWWW[[#This Row],[%equitable and continuous access to sufficient quantity of safe drinking and domestic water''s GAP]]*WWWW[[#This Row],[Total PoP ]]</f>
        <v>60</v>
      </c>
      <c r="DA133" s="909">
        <f>IF(WWWW[[#This Row],[Total required water points]]-WWWW[[#This Row],['#Water points coverage]]&lt;0,0,WWWW[[#This Row],[Total required water points]]-WWWW[[#This Row],['#Water points coverage]])</f>
        <v>1</v>
      </c>
      <c r="DB133" s="909">
        <f>ROUND(IF(WWWW[[#This Row],[Total PoP ]]&lt;500,1,WWWW[[#This Row],[Total PoP ]]/500),0)</f>
        <v>1</v>
      </c>
      <c r="DC133" s="909">
        <f>(WWWW[[#This Row],['#_Constructed latrines_by_WASHAgencies]]+WWWW[[#This Row],['#_Non Cluster partner latrines]])-WWWW[[#This Row],['#_Non-functional latrines]]</f>
        <v>0</v>
      </c>
      <c r="DD133" s="615">
        <f>WWWW[[#This Row],[HRP2]]/WWWW[[#This Row],[Total PoP ]]</f>
        <v>0</v>
      </c>
      <c r="DE133"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33"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33"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3" s="417">
        <f>IF(WWWW[[#This Row],['# of functional latrines in THF supported by WASH partners during the reporting period2]]="",0,WWWW[[#This Row],['# of functional latrines in THF supported by WASH partners during the reporting period2]]*50)</f>
        <v>0</v>
      </c>
      <c r="DI133" s="909">
        <f>ROUND(IF(WWWW[[#This Row],[Location Type 1]]="camp",WWWW[[#This Row],[Total PoP ]]/20,IF(WWWW[[#This Row],[Location Type 1]]="Temporary Location",WWWW[[#This Row],[Total PoP ]]/50,(WWWW[[#This Row],[Total PoP ]]/6))),0)</f>
        <v>3</v>
      </c>
      <c r="DJ133" s="909">
        <f>IF(WWWW[[#This Row],[Total required Latrines]]-(WWWW[[#This Row],['#_Constructed latrines_by_WASHAgencies]]+WWWW[[#This Row],['#_Non Cluster partner latrines]])&lt;0,0,WWWW[[#This Row],[Total required Latrines]]-(WWWW[[#This Row],['#_Constructed latrines_by_WASHAgencies]]+WWWW[[#This Row],['#_Non Cluster partner latrines]]))</f>
        <v>3</v>
      </c>
      <c r="DK133" s="911">
        <f>1-WWWW[[#This Row],[% people access to functioning Latrine]]</f>
        <v>1</v>
      </c>
      <c r="DL133" s="910">
        <f>IF(OR(WWWW[[#This Row],['#_Non-functional latrines]]="",WWWW[[#This Row],['#_Non-functional latrines]]=0),0,WWWW[[#This Row],['#_Non-functional latrines]]/(WWWW[[#This Row],['#_Constructed latrines_by_WASHAgencies]]+WWWW[[#This Row],['#_Non Cluster partner latrines]]))</f>
        <v>0</v>
      </c>
      <c r="DM133" s="906">
        <f>IF(500*(WWWW[[#This Row],['#_male hygiene promoters]]+WWWW[[#This Row],['#_female hygiene promoters]])&gt;WWWW[[#This Row],[Total PoP ]],WWWW[[#This Row],[Total PoP ]],500*(WWWW[[#This Row],['#_male hygiene promoters]]+WWWW[[#This Row],['#_female hygiene promoters]]))</f>
        <v>0</v>
      </c>
      <c r="DN133"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33"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33" s="909">
        <f>IF(WWWW[[#This Row],['# People with access to soap]]&gt;WWWW[[#This Row],['# People with access to Sanity Pads]],WWWW[[#This Row],['# People with access to soap]],WWWW[[#This Row],['# People with access to Sanity Pads]])</f>
        <v>0</v>
      </c>
      <c r="DQ133"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33" s="911">
        <f>IF(WWWW[[#This Row],[HRP3]]/WWWW[[#This Row],[Total PoP ]]&gt;1,1,WWWW[[#This Row],[HRP3]]/WWWW[[#This Row],[Total PoP ]])</f>
        <v>0</v>
      </c>
      <c r="DS133" s="910">
        <f>1-WWWW[[#This Row],[Hygiene Coverage%]]</f>
        <v>1</v>
      </c>
      <c r="DT133" s="908">
        <f>WWWW[[#This Row],['# people reached by regular dedicated hygiene promotion_5]]/WWWW[[#This Row],[Total PoP ]]</f>
        <v>0</v>
      </c>
      <c r="DU133"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33"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33" s="909">
        <f>WWWW[[#This Row],['#_Constructed/Existing hand washing stations]]-WWWW[[#This Row],['#_Non-Functional_hand_washing_stations]]</f>
        <v>1</v>
      </c>
      <c r="DX133" s="906">
        <f>IF(WWWW[[#This Row],['# Functional hand washing stations during reporting period]]*20&gt;WWWW[[#This Row],[Total HH]],WWWW[[#This Row],[Total HH]],WWWW[[#This Row],['# Functional hand washing stations during reporting period]]*20)</f>
        <v>12</v>
      </c>
      <c r="DY133" s="906">
        <f>IF(WWWW[[#This Row],[Is sufficient soap available for TLS? (Yes/No)]]="yes",WWWW[[#This Row],['#_Constructed/Existing hand washing stations at TLS/CFS/THF]],0)</f>
        <v>0</v>
      </c>
      <c r="DZ133" s="421">
        <f>IF(WWWW[[#This Row],['# Functional hand washing stations during reporting period]]*100&gt;WWWW[[#This Row],[Total PoP ]],WWWW[[#This Row],[Total PoP ]],WWWW[[#This Row],['# Functional hand washing stations during reporting period]]*100)</f>
        <v>60</v>
      </c>
      <c r="EA133" s="421" t="str">
        <f>IF(OR(WWWW[[#This Row],['#_students at TLS_CFS]]="",WWWW[[#This Row],['#_students at TLS_CFS]]=0),"No","Yes")</f>
        <v>No</v>
      </c>
      <c r="EB13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33" s="566">
        <f>WWWW[[#This Row],[%_of_affected_people_surveyed_who_report_feeling_satistfied_with_the_latrine_design_and_sanitation_service]]*WWWW[[#This Row],[Total PoP ]]</f>
        <v>0</v>
      </c>
      <c r="ED133" s="566">
        <f>WWWW[[#This Row],[%_of_affected_people_surveyed_who_report_feeling_satistfied_with_the_water_point_design_and_water_service]]*WWWW[[#This Row],[Total PoP ]]</f>
        <v>0</v>
      </c>
      <c r="EE133" s="566">
        <f>WWWW[[#This Row],[%_of_complaints_received_that_result_in_timely_corrective_action_and_feedback_to_the_community]]*WWWW[[#This Row],[Total PoP ]]</f>
        <v>0</v>
      </c>
      <c r="EF13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3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3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3" s="902" t="str">
        <f>VLOOKUP(WWWW[[#This Row],[Site Name]],SiteDB6[[Site Name]:[CCCM Management]],6,FALSE)</f>
        <v>Yes</v>
      </c>
      <c r="EJ133" s="902" t="str">
        <f>VLOOKUP(WWWW[[#This Row],[Site Name]],SiteDB6[[Site Name]:[CCCM Focal Agency]],7,FALSE)</f>
        <v>Shalom</v>
      </c>
      <c r="EK133" s="902" t="str">
        <f>VLOOKUP(WWWW[[#This Row],[Site Name]],SiteDB6[[Site Name]:[Location Type 1]],9,FALSE)</f>
        <v>Camp</v>
      </c>
      <c r="EL133" s="902" t="str">
        <f>VLOOKUP(WWWW[[#This Row],[Site Name]],SiteDB6[[Site Name]:[Type of Accommodation]],10,FALSE)</f>
        <v>Camp</v>
      </c>
      <c r="EM133" s="902" t="str">
        <f>VLOOKUP(WWWW[[#This Row],[Site Name]],SiteDB6[[Site Name]:[Ethnic or GCA/NGCA]],11,FALSE)</f>
        <v>GCA</v>
      </c>
      <c r="EN133" s="902">
        <f>VLOOKUP(WWWW[[#This Row],[Site Name]],SiteDB6[[Site Name]:[Lat]],12,FALSE)</f>
        <v>24.154199999999999</v>
      </c>
      <c r="EO133" s="902">
        <f>VLOOKUP(WWWW[[#This Row],[Site Name]],SiteDB6[[Site Name]:[Long]],13,FALSE)</f>
        <v>97.160600000000002</v>
      </c>
      <c r="EP133" s="902" t="str">
        <f>VLOOKUP(WWWW[[#This Row],[Site Name]],SiteDB6[[Site Name]:[Pcode]],3,FALSE)</f>
        <v>MMR001CMP281</v>
      </c>
      <c r="EQ133" s="907" t="str">
        <f t="shared" si="1"/>
        <v>Notcovered</v>
      </c>
      <c r="ER133" s="907"/>
      <c r="ES133" s="907"/>
      <c r="ET133" s="902">
        <f>VLOOKUP(WWWW[[#This Row],[Site Name]],SiteDB6[[Site Name]:[Pop
(Kachin/Shan-CCCM as of May 2023)]],16,FALSE)</f>
        <v>67</v>
      </c>
      <c r="EU133" s="902">
        <f>VLOOKUP(WWWW[[#This Row],[Site Name]],SiteDB6[[Site Name]:[Pop
(Kachin/Shan-CCCM as of May 2023)]],17,FALSE)</f>
        <v>324</v>
      </c>
    </row>
    <row r="134" spans="1:151" hidden="1">
      <c r="A134" s="900" t="s">
        <v>2961</v>
      </c>
      <c r="B134" s="900" t="s">
        <v>309</v>
      </c>
      <c r="C134" s="901" t="s">
        <v>309</v>
      </c>
      <c r="D134" s="901"/>
      <c r="E134" s="901" t="s">
        <v>37</v>
      </c>
      <c r="F134" s="901" t="s">
        <v>195</v>
      </c>
      <c r="G134" s="902" t="str">
        <f>VLOOKUP(WWWW[[#This Row],[Site Name]],SiteDB6[[Site Name]:[Location Type]],8,FALSE)</f>
        <v>Camp</v>
      </c>
      <c r="H134" s="901" t="s">
        <v>2870</v>
      </c>
      <c r="I134" s="903">
        <v>181</v>
      </c>
      <c r="J134" s="903">
        <v>906</v>
      </c>
      <c r="K134" s="904"/>
      <c r="L134" s="905"/>
      <c r="M134" s="903"/>
      <c r="N134" s="903"/>
      <c r="O134" s="903"/>
      <c r="P134" s="903"/>
      <c r="Q134" s="906"/>
      <c r="R134" s="903"/>
      <c r="S134" s="903">
        <v>4</v>
      </c>
      <c r="T134" s="441"/>
      <c r="U134" s="903"/>
      <c r="V134" s="903"/>
      <c r="W134" s="903"/>
      <c r="X134" s="903"/>
      <c r="Y134" s="903"/>
      <c r="Z134" s="903"/>
      <c r="AA134" s="903"/>
      <c r="AB134" s="903"/>
      <c r="AC134" s="903"/>
      <c r="AD134" s="903"/>
      <c r="AE134" s="903"/>
      <c r="AF134" s="903"/>
      <c r="AG134" s="903"/>
      <c r="AH134" s="903"/>
      <c r="AI134" s="903"/>
      <c r="AJ134" s="903"/>
      <c r="AK134" s="903"/>
      <c r="AL134" s="903"/>
      <c r="AM134" s="903"/>
      <c r="AN134" s="903"/>
      <c r="AO134" s="441"/>
      <c r="AP134" s="907"/>
      <c r="AQ134" s="903"/>
      <c r="AR134" s="903"/>
      <c r="AS134" s="908"/>
      <c r="AT134" s="903"/>
      <c r="AU134" s="903"/>
      <c r="AV134" s="903"/>
      <c r="AW134" s="903"/>
      <c r="AX134" s="903"/>
      <c r="AY134" s="902" t="s">
        <v>140</v>
      </c>
      <c r="AZ134" s="907" t="s">
        <v>140</v>
      </c>
      <c r="BA134" s="903"/>
      <c r="BB134" s="903"/>
      <c r="BC134" s="903"/>
      <c r="BD134" s="441"/>
      <c r="BE134" s="441"/>
      <c r="BF134" s="902"/>
      <c r="BG134" s="903">
        <v>7</v>
      </c>
      <c r="BH134" s="903"/>
      <c r="BI134" s="903"/>
      <c r="BJ134" s="903">
        <v>7</v>
      </c>
      <c r="BK134" s="903"/>
      <c r="BL134" s="903"/>
      <c r="BM134" s="903"/>
      <c r="BN134" s="903"/>
      <c r="BO134" s="903"/>
      <c r="BP134" s="902"/>
      <c r="BQ134" s="909"/>
      <c r="BR134" s="908"/>
      <c r="BS134" s="902"/>
      <c r="BT134" s="416"/>
      <c r="BU134" s="416"/>
      <c r="BV134" s="418"/>
      <c r="BW134" s="416"/>
      <c r="BX134" s="441"/>
      <c r="BY134" s="441"/>
      <c r="BZ134" s="441"/>
      <c r="CA134" s="441"/>
      <c r="CB134" s="441"/>
      <c r="CC134" s="693"/>
      <c r="CD134" s="441"/>
      <c r="CE134" s="910" t="str">
        <f>IFERROR(WWWW[[#This Row],['#_Water sources passed]]/WWWW[[#This Row],['#_Water sources tested for fecal coliform ]],"no test")</f>
        <v>no test</v>
      </c>
      <c r="CF134" s="908" t="str">
        <f>IFERROR(WWWW[[#This Row],['#_Household passed]]/WWWW[[#This Row],['#_Household water samples tested for fecal coliform]],"no test")</f>
        <v>no test</v>
      </c>
      <c r="CG134" s="909" t="str">
        <f>IF(AND(WWWW[[#This Row],[% of water sources passed]]="no test",WWWW[[#This Row],[% Household passed]]="no test"),"No Test","Tested")</f>
        <v>No Test</v>
      </c>
      <c r="CH134" s="909">
        <f>WWWW[[#This Row],['#_Constructed/existing protected hand dug well]]-WWWW[[#This Row],['#_Non-functional protected hand dug well]]</f>
        <v>0</v>
      </c>
      <c r="CI134" s="909">
        <f>(WWWW[[#This Row],['#_Constructed/Existing tube wells/boreholes/handpumps_WASH_agency]]+WWWW[[#This Row],['#_Non-Cluster partner water tube-wells/boreholes/handpumps]])-WWWW[[#This Row],['#_Non-functional tube wells/boreholes/handpumps]]</f>
        <v>0</v>
      </c>
      <c r="CJ134" s="909">
        <f>WWWW[[#This Row],['#_Constructed/Existingwater storage tank with gravity fed reticulation system]]-WWWW[[#This Row],['#_Non-functional storage tank gravity fed reticulation system]]</f>
        <v>0</v>
      </c>
      <c r="CK134" s="909">
        <f>(WWWW[[#This Row],['#_Water_Liters_supplied_by_Water boating or water trucking]]/90)/15</f>
        <v>0</v>
      </c>
      <c r="CL134" s="909">
        <f>WWWW[[#This Row],['#_Water_Liters_from_Constructed/Existing water distribution system from river or natural spring]]/90/15</f>
        <v>0</v>
      </c>
      <c r="CM134" s="417">
        <f>IF(WWWW[[#This Row],['#_of water points in TLS/CFS]]*500&gt;WWWW[[#This Row],[Total PoP ]],WWWW[[#This Row],[Total PoP ]],WWWW[[#This Row],['#_of water points in TLS/CFS]]*500)</f>
        <v>0</v>
      </c>
      <c r="CN134" s="417">
        <f>IF(WWWW[[#This Row],['#_of water points in THF]]*500&gt;WWWW[[#This Row],[Total PoP ]],WWWW[[#This Row],[Total PoP ]],WWWW[[#This Row],['#_of water points in THF]]*500)</f>
        <v>0</v>
      </c>
      <c r="CO134" s="417"/>
      <c r="CP134"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34"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34" s="908">
        <f>IF(WWWW[[#This Row],[Location Type 1]]="Village",WWWW[[#This Row],[Access to safe drinking water for Village]],WWWW[[#This Row],[Access to safe drinking water for Camp]])</f>
        <v>0</v>
      </c>
      <c r="CS134" s="906">
        <f>WWWW[[#This Row],[%Equitable and continuous access to sufficient quantity of safe drinking water]]*WWWW[[#This Row],[Total PoP ]]</f>
        <v>0</v>
      </c>
      <c r="CT134" s="908">
        <f>IF((WWWW[[#This Row],['#_Constructed/Existing protected/fenced ponds]]*250)/WWWW[[#This Row],[Total PoP ]]&gt;1,1,(WWWW[[#This Row],['#_Constructed/Existing protected/fenced ponds]]*250)/WWWW[[#This Row],[Total PoP ]])</f>
        <v>0</v>
      </c>
      <c r="CU134" s="906">
        <f>WWWW[[#This Row],[% Access to unimproved water points]]*WWWW[[#This Row],[Total PoP ]]</f>
        <v>0</v>
      </c>
      <c r="CV134"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34"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34" s="906">
        <f>WWWW[[#This Row],[HRP1]]/500</f>
        <v>0</v>
      </c>
      <c r="CY134" s="911">
        <f>1-WWWW[[#This Row],[% Equitable and continuous access to sufficient quantity of domestic water]]</f>
        <v>1</v>
      </c>
      <c r="CZ134" s="906">
        <f>WWWW[[#This Row],[%equitable and continuous access to sufficient quantity of safe drinking and domestic water''s GAP]]*WWWW[[#This Row],[Total PoP ]]</f>
        <v>906</v>
      </c>
      <c r="DA134" s="909">
        <f>IF(WWWW[[#This Row],[Total required water points]]-WWWW[[#This Row],['#Water points coverage]]&lt;0,0,WWWW[[#This Row],[Total required water points]]-WWWW[[#This Row],['#Water points coverage]])</f>
        <v>2</v>
      </c>
      <c r="DB134" s="909">
        <f>ROUND(IF(WWWW[[#This Row],[Total PoP ]]&lt;500,1,WWWW[[#This Row],[Total PoP ]]/500),0)</f>
        <v>2</v>
      </c>
      <c r="DC134" s="909">
        <f>(WWWW[[#This Row],['#_Constructed latrines_by_WASHAgencies]]+WWWW[[#This Row],['#_Non Cluster partner latrines]])-WWWW[[#This Row],['#_Non-functional latrines]]</f>
        <v>0</v>
      </c>
      <c r="DD134" s="615">
        <f>WWWW[[#This Row],[HRP2]]/WWWW[[#This Row],[Total PoP ]]</f>
        <v>0</v>
      </c>
      <c r="DE134"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34"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34"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4" s="417">
        <f>IF(WWWW[[#This Row],['# of functional latrines in THF supported by WASH partners during the reporting period2]]="",0,WWWW[[#This Row],['# of functional latrines in THF supported by WASH partners during the reporting period2]]*50)</f>
        <v>0</v>
      </c>
      <c r="DI134" s="909">
        <f>ROUND(IF(WWWW[[#This Row],[Location Type 1]]="camp",WWWW[[#This Row],[Total PoP ]]/20,IF(WWWW[[#This Row],[Location Type 1]]="Temporary Location",WWWW[[#This Row],[Total PoP ]]/50,(WWWW[[#This Row],[Total PoP ]]/6))),0)</f>
        <v>45</v>
      </c>
      <c r="DJ134" s="909">
        <f>IF(WWWW[[#This Row],[Total required Latrines]]-(WWWW[[#This Row],['#_Constructed latrines_by_WASHAgencies]]+WWWW[[#This Row],['#_Non Cluster partner latrines]])&lt;0,0,WWWW[[#This Row],[Total required Latrines]]-(WWWW[[#This Row],['#_Constructed latrines_by_WASHAgencies]]+WWWW[[#This Row],['#_Non Cluster partner latrines]]))</f>
        <v>45</v>
      </c>
      <c r="DK134" s="911">
        <f>1-WWWW[[#This Row],[% people access to functioning Latrine]]</f>
        <v>1</v>
      </c>
      <c r="DL134" s="910">
        <f>IF(OR(WWWW[[#This Row],['#_Non-functional latrines]]="",WWWW[[#This Row],['#_Non-functional latrines]]=0),0,WWWW[[#This Row],['#_Non-functional latrines]]/(WWWW[[#This Row],['#_Constructed latrines_by_WASHAgencies]]+WWWW[[#This Row],['#_Non Cluster partner latrines]]))</f>
        <v>0</v>
      </c>
      <c r="DM134" s="906">
        <f>IF(500*(WWWW[[#This Row],['#_male hygiene promoters]]+WWWW[[#This Row],['#_female hygiene promoters]])&gt;WWWW[[#This Row],[Total PoP ]],WWWW[[#This Row],[Total PoP ]],500*(WWWW[[#This Row],['#_male hygiene promoters]]+WWWW[[#This Row],['#_female hygiene promoters]]))</f>
        <v>0</v>
      </c>
      <c r="DN134"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34"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34" s="909">
        <f>IF(WWWW[[#This Row],['# People with access to soap]]&gt;WWWW[[#This Row],['# People with access to Sanity Pads]],WWWW[[#This Row],['# People with access to soap]],WWWW[[#This Row],['# People with access to Sanity Pads]])</f>
        <v>0</v>
      </c>
      <c r="DQ134"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34" s="911">
        <f>IF(WWWW[[#This Row],[HRP3]]/WWWW[[#This Row],[Total PoP ]]&gt;1,1,WWWW[[#This Row],[HRP3]]/WWWW[[#This Row],[Total PoP ]])</f>
        <v>0</v>
      </c>
      <c r="DS134" s="910">
        <f>1-WWWW[[#This Row],[Hygiene Coverage%]]</f>
        <v>1</v>
      </c>
      <c r="DT134" s="908">
        <f>WWWW[[#This Row],['# people reached by regular dedicated hygiene promotion_5]]/WWWW[[#This Row],[Total PoP ]]</f>
        <v>0</v>
      </c>
      <c r="DU134"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34"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34" s="909">
        <f>WWWW[[#This Row],['#_Constructed/Existing hand washing stations]]-WWWW[[#This Row],['#_Non-Functional_hand_washing_stations]]</f>
        <v>7</v>
      </c>
      <c r="DX134" s="906">
        <f>IF(WWWW[[#This Row],['# Functional hand washing stations during reporting period]]*20&gt;WWWW[[#This Row],[Total HH]],WWWW[[#This Row],[Total HH]],WWWW[[#This Row],['# Functional hand washing stations during reporting period]]*20)</f>
        <v>140</v>
      </c>
      <c r="DY134" s="906">
        <f>IF(WWWW[[#This Row],[Is sufficient soap available for TLS? (Yes/No)]]="yes",WWWW[[#This Row],['#_Constructed/Existing hand washing stations at TLS/CFS/THF]],0)</f>
        <v>0</v>
      </c>
      <c r="DZ134" s="421">
        <f>IF(WWWW[[#This Row],['# Functional hand washing stations during reporting period]]*100&gt;WWWW[[#This Row],[Total PoP ]],WWWW[[#This Row],[Total PoP ]],WWWW[[#This Row],['# Functional hand washing stations during reporting period]]*100)</f>
        <v>700</v>
      </c>
      <c r="EA134" s="421" t="str">
        <f>IF(OR(WWWW[[#This Row],['#_students at TLS_CFS]]="",WWWW[[#This Row],['#_students at TLS_CFS]]=0),"No","Yes")</f>
        <v>No</v>
      </c>
      <c r="EB13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34" s="566">
        <f>WWWW[[#This Row],[%_of_affected_people_surveyed_who_report_feeling_satistfied_with_the_latrine_design_and_sanitation_service]]*WWWW[[#This Row],[Total PoP ]]</f>
        <v>0</v>
      </c>
      <c r="ED134" s="566">
        <f>WWWW[[#This Row],[%_of_affected_people_surveyed_who_report_feeling_satistfied_with_the_water_point_design_and_water_service]]*WWWW[[#This Row],[Total PoP ]]</f>
        <v>0</v>
      </c>
      <c r="EE134" s="566">
        <f>WWWW[[#This Row],[%_of_complaints_received_that_result_in_timely_corrective_action_and_feedback_to_the_community]]*WWWW[[#This Row],[Total PoP ]]</f>
        <v>0</v>
      </c>
      <c r="EF13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3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3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4" s="902">
        <f>VLOOKUP(WWWW[[#This Row],[Site Name]],SiteDB6[[Site Name]:[CCCM Management]],6,FALSE)</f>
        <v>0</v>
      </c>
      <c r="EJ134" s="902" t="str">
        <f>VLOOKUP(WWWW[[#This Row],[Site Name]],SiteDB6[[Site Name]:[CCCM Focal Agency]],7,FALSE)</f>
        <v>uncovered</v>
      </c>
      <c r="EK134" s="902" t="str">
        <f>VLOOKUP(WWWW[[#This Row],[Site Name]],SiteDB6[[Site Name]:[Location Type 1]],9,FALSE)</f>
        <v>Camp</v>
      </c>
      <c r="EL134" s="902" t="str">
        <f>VLOOKUP(WWWW[[#This Row],[Site Name]],SiteDB6[[Site Name]:[Type of Accommodation]],10,FALSE)</f>
        <v>IDPs in host</v>
      </c>
      <c r="EM134" s="902" t="str">
        <f>VLOOKUP(WWWW[[#This Row],[Site Name]],SiteDB6[[Site Name]:[Ethnic or GCA/NGCA]],11,FALSE)</f>
        <v>GCA</v>
      </c>
      <c r="EN134" s="902">
        <f>VLOOKUP(WWWW[[#This Row],[Site Name]],SiteDB6[[Site Name]:[Lat]],12,FALSE)</f>
        <v>24.263786</v>
      </c>
      <c r="EO134" s="902">
        <f>VLOOKUP(WWWW[[#This Row],[Site Name]],SiteDB6[[Site Name]:[Long]],13,FALSE)</f>
        <v>97.228835000000004</v>
      </c>
      <c r="EP134" s="902" t="str">
        <f>VLOOKUP(WWWW[[#This Row],[Site Name]],SiteDB6[[Site Name]:[Pcode]],3,FALSE)</f>
        <v>MMR001CMP163</v>
      </c>
      <c r="EQ134" s="907" t="str">
        <f t="shared" si="1"/>
        <v>Notcovered</v>
      </c>
      <c r="ER134" s="907"/>
      <c r="ES134" s="907"/>
      <c r="ET134" s="902">
        <f>VLOOKUP(WWWW[[#This Row],[Site Name]],SiteDB6[[Site Name]:[Pop
(Kachin/Shan-CCCM as of May 2023)]],16,FALSE)</f>
        <v>17</v>
      </c>
      <c r="EU134" s="902">
        <f>VLOOKUP(WWWW[[#This Row],[Site Name]],SiteDB6[[Site Name]:[Pop
(Kachin/Shan-CCCM as of May 2023)]],17,FALSE)</f>
        <v>87</v>
      </c>
    </row>
    <row r="135" spans="1:151" hidden="1">
      <c r="A135" s="900" t="s">
        <v>2961</v>
      </c>
      <c r="B135" s="900" t="s">
        <v>309</v>
      </c>
      <c r="C135" s="901" t="s">
        <v>309</v>
      </c>
      <c r="D135" s="901"/>
      <c r="E135" s="901" t="s">
        <v>37</v>
      </c>
      <c r="F135" s="901" t="s">
        <v>148</v>
      </c>
      <c r="G135" s="902" t="str">
        <f>VLOOKUP(WWWW[[#This Row],[Site Name]],SiteDB6[[Site Name]:[Location Type]],8,FALSE)</f>
        <v>Camp</v>
      </c>
      <c r="H135" s="901" t="s">
        <v>257</v>
      </c>
      <c r="I135" s="903">
        <v>3</v>
      </c>
      <c r="J135" s="903">
        <v>15</v>
      </c>
      <c r="K135" s="904"/>
      <c r="L135" s="905"/>
      <c r="M135" s="903"/>
      <c r="N135" s="903"/>
      <c r="O135" s="903"/>
      <c r="P135" s="903"/>
      <c r="Q135" s="906" t="s">
        <v>41</v>
      </c>
      <c r="R135" s="903"/>
      <c r="S135" s="903">
        <v>5</v>
      </c>
      <c r="T135" s="441">
        <v>1</v>
      </c>
      <c r="U135" s="903"/>
      <c r="V135" s="903"/>
      <c r="W135" s="903">
        <v>1</v>
      </c>
      <c r="X135" s="903"/>
      <c r="Y135" s="903"/>
      <c r="Z135" s="903"/>
      <c r="AA135" s="903"/>
      <c r="AB135" s="903"/>
      <c r="AC135" s="903"/>
      <c r="AD135" s="903"/>
      <c r="AE135" s="903"/>
      <c r="AF135" s="903"/>
      <c r="AG135" s="903"/>
      <c r="AH135" s="903">
        <v>1</v>
      </c>
      <c r="AI135" s="903"/>
      <c r="AJ135" s="903"/>
      <c r="AK135" s="903"/>
      <c r="AL135" s="903"/>
      <c r="AM135" s="903"/>
      <c r="AN135" s="903"/>
      <c r="AO135" s="441"/>
      <c r="AP135" s="907"/>
      <c r="AQ135" s="903"/>
      <c r="AR135" s="903"/>
      <c r="AS135" s="908"/>
      <c r="AT135" s="903"/>
      <c r="AU135" s="903"/>
      <c r="AV135" s="903"/>
      <c r="AW135" s="903"/>
      <c r="AX135" s="903"/>
      <c r="AY135" s="902" t="s">
        <v>41</v>
      </c>
      <c r="AZ135" s="907" t="s">
        <v>899</v>
      </c>
      <c r="BA135" s="903"/>
      <c r="BB135" s="903"/>
      <c r="BC135" s="903"/>
      <c r="BD135" s="441"/>
      <c r="BE135" s="441"/>
      <c r="BF135" s="902"/>
      <c r="BG135" s="903">
        <v>7</v>
      </c>
      <c r="BH135" s="903"/>
      <c r="BI135" s="903"/>
      <c r="BJ135" s="903">
        <v>4</v>
      </c>
      <c r="BK135" s="903"/>
      <c r="BL135" s="903"/>
      <c r="BM135" s="903"/>
      <c r="BN135" s="903"/>
      <c r="BO135" s="903"/>
      <c r="BP135" s="902"/>
      <c r="BQ135" s="909"/>
      <c r="BR135" s="908"/>
      <c r="BS135" s="902"/>
      <c r="BT135" s="416"/>
      <c r="BU135" s="416"/>
      <c r="BV135" s="418"/>
      <c r="BW135" s="416"/>
      <c r="BX135" s="441"/>
      <c r="BY135" s="441"/>
      <c r="BZ135" s="441"/>
      <c r="CA135" s="441"/>
      <c r="CB135" s="441"/>
      <c r="CC135" s="693"/>
      <c r="CD135" s="441"/>
      <c r="CE135" s="910" t="str">
        <f>IFERROR(WWWW[[#This Row],['#_Water sources passed]]/WWWW[[#This Row],['#_Water sources tested for fecal coliform ]],"no test")</f>
        <v>no test</v>
      </c>
      <c r="CF135" s="908" t="str">
        <f>IFERROR(WWWW[[#This Row],['#_Household passed]]/WWWW[[#This Row],['#_Household water samples tested for fecal coliform]],"no test")</f>
        <v>no test</v>
      </c>
      <c r="CG135" s="909" t="str">
        <f>IF(AND(WWWW[[#This Row],[% of water sources passed]]="no test",WWWW[[#This Row],[% Household passed]]="no test"),"No Test","Tested")</f>
        <v>No Test</v>
      </c>
      <c r="CH135" s="909">
        <f>WWWW[[#This Row],['#_Constructed/existing protected hand dug well]]-WWWW[[#This Row],['#_Non-functional protected hand dug well]]</f>
        <v>1</v>
      </c>
      <c r="CI135" s="909">
        <f>(WWWW[[#This Row],['#_Constructed/Existing tube wells/boreholes/handpumps_WASH_agency]]+WWWW[[#This Row],['#_Non-Cluster partner water tube-wells/boreholes/handpumps]])-WWWW[[#This Row],['#_Non-functional tube wells/boreholes/handpumps]]</f>
        <v>1</v>
      </c>
      <c r="CJ135" s="909">
        <f>WWWW[[#This Row],['#_Constructed/Existingwater storage tank with gravity fed reticulation system]]-WWWW[[#This Row],['#_Non-functional storage tank gravity fed reticulation system]]</f>
        <v>0</v>
      </c>
      <c r="CK135" s="909">
        <f>(WWWW[[#This Row],['#_Water_Liters_supplied_by_Water boating or water trucking]]/90)/15</f>
        <v>0</v>
      </c>
      <c r="CL135" s="909">
        <f>WWWW[[#This Row],['#_Water_Liters_from_Constructed/Existing water distribution system from river or natural spring]]/90/15</f>
        <v>0</v>
      </c>
      <c r="CM135" s="417">
        <f>IF(WWWW[[#This Row],['#_of water points in TLS/CFS]]*500&gt;WWWW[[#This Row],[Total PoP ]],WWWW[[#This Row],[Total PoP ]],WWWW[[#This Row],['#_of water points in TLS/CFS]]*500)</f>
        <v>0</v>
      </c>
      <c r="CN135" s="417">
        <f>IF(WWWW[[#This Row],['#_of water points in THF]]*500&gt;WWWW[[#This Row],[Total PoP ]],WWWW[[#This Row],[Total PoP ]],WWWW[[#This Row],['#_of water points in THF]]*500)</f>
        <v>0</v>
      </c>
      <c r="CO135" s="417"/>
      <c r="CP135"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35"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35" s="908">
        <f>IF(WWWW[[#This Row],[Location Type 1]]="Village",WWWW[[#This Row],[Access to safe drinking water for Village]],WWWW[[#This Row],[Access to safe drinking water for Camp]])</f>
        <v>1</v>
      </c>
      <c r="CS135" s="906">
        <f>WWWW[[#This Row],[%Equitable and continuous access to sufficient quantity of safe drinking water]]*WWWW[[#This Row],[Total PoP ]]</f>
        <v>15</v>
      </c>
      <c r="CT135" s="908">
        <f>IF((WWWW[[#This Row],['#_Constructed/Existing protected/fenced ponds]]*250)/WWWW[[#This Row],[Total PoP ]]&gt;1,1,(WWWW[[#This Row],['#_Constructed/Existing protected/fenced ponds]]*250)/WWWW[[#This Row],[Total PoP ]])</f>
        <v>0</v>
      </c>
      <c r="CU135" s="906">
        <f>WWWW[[#This Row],[% Access to unimproved water points]]*WWWW[[#This Row],[Total PoP ]]</f>
        <v>0</v>
      </c>
      <c r="CV135"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35"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v>
      </c>
      <c r="CX135" s="906">
        <f>WWWW[[#This Row],[HRP1]]/500</f>
        <v>0.03</v>
      </c>
      <c r="CY135" s="911">
        <f>1-WWWW[[#This Row],[% Equitable and continuous access to sufficient quantity of domestic water]]</f>
        <v>0</v>
      </c>
      <c r="CZ135" s="906">
        <f>WWWW[[#This Row],[%equitable and continuous access to sufficient quantity of safe drinking and domestic water''s GAP]]*WWWW[[#This Row],[Total PoP ]]</f>
        <v>0</v>
      </c>
      <c r="DA135" s="909">
        <f>IF(WWWW[[#This Row],[Total required water points]]-WWWW[[#This Row],['#Water points coverage]]&lt;0,0,WWWW[[#This Row],[Total required water points]]-WWWW[[#This Row],['#Water points coverage]])</f>
        <v>0.97</v>
      </c>
      <c r="DB135" s="909">
        <f>ROUND(IF(WWWW[[#This Row],[Total PoP ]]&lt;500,1,WWWW[[#This Row],[Total PoP ]]/500),0)</f>
        <v>1</v>
      </c>
      <c r="DC135" s="909">
        <f>(WWWW[[#This Row],['#_Constructed latrines_by_WASHAgencies]]+WWWW[[#This Row],['#_Non Cluster partner latrines]])-WWWW[[#This Row],['#_Non-functional latrines]]</f>
        <v>0</v>
      </c>
      <c r="DD135" s="615">
        <f>WWWW[[#This Row],[HRP2]]/WWWW[[#This Row],[Total PoP ]]</f>
        <v>0</v>
      </c>
      <c r="DE135"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35"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35"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5" s="417">
        <f>IF(WWWW[[#This Row],['# of functional latrines in THF supported by WASH partners during the reporting period2]]="",0,WWWW[[#This Row],['# of functional latrines in THF supported by WASH partners during the reporting period2]]*50)</f>
        <v>0</v>
      </c>
      <c r="DI135" s="909">
        <f>ROUND(IF(WWWW[[#This Row],[Location Type 1]]="camp",WWWW[[#This Row],[Total PoP ]]/20,IF(WWWW[[#This Row],[Location Type 1]]="Temporary Location",WWWW[[#This Row],[Total PoP ]]/50,(WWWW[[#This Row],[Total PoP ]]/6))),0)</f>
        <v>1</v>
      </c>
      <c r="DJ135" s="909">
        <f>IF(WWWW[[#This Row],[Total required Latrines]]-(WWWW[[#This Row],['#_Constructed latrines_by_WASHAgencies]]+WWWW[[#This Row],['#_Non Cluster partner latrines]])&lt;0,0,WWWW[[#This Row],[Total required Latrines]]-(WWWW[[#This Row],['#_Constructed latrines_by_WASHAgencies]]+WWWW[[#This Row],['#_Non Cluster partner latrines]]))</f>
        <v>1</v>
      </c>
      <c r="DK135" s="911">
        <f>1-WWWW[[#This Row],[% people access to functioning Latrine]]</f>
        <v>1</v>
      </c>
      <c r="DL135" s="910">
        <f>IF(OR(WWWW[[#This Row],['#_Non-functional latrines]]="",WWWW[[#This Row],['#_Non-functional latrines]]=0),0,WWWW[[#This Row],['#_Non-functional latrines]]/(WWWW[[#This Row],['#_Constructed latrines_by_WASHAgencies]]+WWWW[[#This Row],['#_Non Cluster partner latrines]]))</f>
        <v>0</v>
      </c>
      <c r="DM135" s="906">
        <f>IF(500*(WWWW[[#This Row],['#_male hygiene promoters]]+WWWW[[#This Row],['#_female hygiene promoters]])&gt;WWWW[[#This Row],[Total PoP ]],WWWW[[#This Row],[Total PoP ]],500*(WWWW[[#This Row],['#_male hygiene promoters]]+WWWW[[#This Row],['#_female hygiene promoters]]))</f>
        <v>0</v>
      </c>
      <c r="DN135"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35"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35" s="909">
        <f>IF(WWWW[[#This Row],['# People with access to soap]]&gt;WWWW[[#This Row],['# People with access to Sanity Pads]],WWWW[[#This Row],['# People with access to soap]],WWWW[[#This Row],['# People with access to Sanity Pads]])</f>
        <v>0</v>
      </c>
      <c r="DQ135"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35" s="911">
        <f>IF(WWWW[[#This Row],[HRP3]]/WWWW[[#This Row],[Total PoP ]]&gt;1,1,WWWW[[#This Row],[HRP3]]/WWWW[[#This Row],[Total PoP ]])</f>
        <v>0</v>
      </c>
      <c r="DS135" s="910">
        <f>1-WWWW[[#This Row],[Hygiene Coverage%]]</f>
        <v>1</v>
      </c>
      <c r="DT135" s="908">
        <f>WWWW[[#This Row],['# people reached by regular dedicated hygiene promotion_5]]/WWWW[[#This Row],[Total PoP ]]</f>
        <v>0</v>
      </c>
      <c r="DU135"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35"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35" s="909">
        <f>WWWW[[#This Row],['#_Constructed/Existing hand washing stations]]-WWWW[[#This Row],['#_Non-Functional_hand_washing_stations]]</f>
        <v>7</v>
      </c>
      <c r="DX135" s="906">
        <f>IF(WWWW[[#This Row],['# Functional hand washing stations during reporting period]]*20&gt;WWWW[[#This Row],[Total HH]],WWWW[[#This Row],[Total HH]],WWWW[[#This Row],['# Functional hand washing stations during reporting period]]*20)</f>
        <v>3</v>
      </c>
      <c r="DY135" s="906">
        <f>IF(WWWW[[#This Row],[Is sufficient soap available for TLS? (Yes/No)]]="yes",WWWW[[#This Row],['#_Constructed/Existing hand washing stations at TLS/CFS/THF]],0)</f>
        <v>0</v>
      </c>
      <c r="DZ135" s="421">
        <f>IF(WWWW[[#This Row],['# Functional hand washing stations during reporting period]]*100&gt;WWWW[[#This Row],[Total PoP ]],WWWW[[#This Row],[Total PoP ]],WWWW[[#This Row],['# Functional hand washing stations during reporting period]]*100)</f>
        <v>15</v>
      </c>
      <c r="EA135" s="421" t="str">
        <f>IF(OR(WWWW[[#This Row],['#_students at TLS_CFS]]="",WWWW[[#This Row],['#_students at TLS_CFS]]=0),"No","Yes")</f>
        <v>No</v>
      </c>
      <c r="EB13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35" s="566">
        <f>WWWW[[#This Row],[%_of_affected_people_surveyed_who_report_feeling_satistfied_with_the_latrine_design_and_sanitation_service]]*WWWW[[#This Row],[Total PoP ]]</f>
        <v>0</v>
      </c>
      <c r="ED135" s="566">
        <f>WWWW[[#This Row],[%_of_affected_people_surveyed_who_report_feeling_satistfied_with_the_water_point_design_and_water_service]]*WWWW[[#This Row],[Total PoP ]]</f>
        <v>0</v>
      </c>
      <c r="EE135" s="566">
        <f>WWWW[[#This Row],[%_of_complaints_received_that_result_in_timely_corrective_action_and_feedback_to_the_community]]*WWWW[[#This Row],[Total PoP ]]</f>
        <v>0</v>
      </c>
      <c r="EF13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3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3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5" s="902" t="str">
        <f>VLOOKUP(WWWW[[#This Row],[Site Name]],SiteDB6[[Site Name]:[CCCM Management]],6,FALSE)</f>
        <v>Yes</v>
      </c>
      <c r="EJ135" s="902" t="str">
        <f>VLOOKUP(WWWW[[#This Row],[Site Name]],SiteDB6[[Site Name]:[CCCM Focal Agency]],7,FALSE)</f>
        <v>Shalom</v>
      </c>
      <c r="EK135" s="902" t="str">
        <f>VLOOKUP(WWWW[[#This Row],[Site Name]],SiteDB6[[Site Name]:[Location Type 1]],9,FALSE)</f>
        <v>Camp</v>
      </c>
      <c r="EL135" s="902" t="str">
        <f>VLOOKUP(WWWW[[#This Row],[Site Name]],SiteDB6[[Site Name]:[Type of Accommodation]],10,FALSE)</f>
        <v>Camp like setting</v>
      </c>
      <c r="EM135" s="902" t="str">
        <f>VLOOKUP(WWWW[[#This Row],[Site Name]],SiteDB6[[Site Name]:[Ethnic or GCA/NGCA]],11,FALSE)</f>
        <v>GCA</v>
      </c>
      <c r="EN135" s="902">
        <f>VLOOKUP(WWWW[[#This Row],[Site Name]],SiteDB6[[Site Name]:[Lat]],12,FALSE)</f>
        <v>25.6145</v>
      </c>
      <c r="EO135" s="902">
        <f>VLOOKUP(WWWW[[#This Row],[Site Name]],SiteDB6[[Site Name]:[Long]],13,FALSE)</f>
        <v>96.319829999999996</v>
      </c>
      <c r="EP135" s="902" t="str">
        <f>VLOOKUP(WWWW[[#This Row],[Site Name]],SiteDB6[[Site Name]:[Pcode]],3,FALSE)</f>
        <v>MMR001CMP091</v>
      </c>
      <c r="EQ135" s="907" t="str">
        <f t="shared" ref="EQ135:EQ198" si="2">IF(C135="none","Notcovered","Covered")</f>
        <v>Notcovered</v>
      </c>
      <c r="ER135" s="907"/>
      <c r="ES135" s="907"/>
      <c r="ET135" s="902">
        <f>VLOOKUP(WWWW[[#This Row],[Site Name]],SiteDB6[[Site Name]:[Pop
(Kachin/Shan-CCCM as of May 2023)]],16,FALSE)</f>
        <v>3</v>
      </c>
      <c r="EU135" s="902">
        <f>VLOOKUP(WWWW[[#This Row],[Site Name]],SiteDB6[[Site Name]:[Pop
(Kachin/Shan-CCCM as of May 2023)]],17,FALSE)</f>
        <v>14</v>
      </c>
    </row>
    <row r="136" spans="1:151" hidden="1">
      <c r="A136" s="900" t="s">
        <v>2961</v>
      </c>
      <c r="B136" s="900" t="s">
        <v>309</v>
      </c>
      <c r="C136" s="901" t="s">
        <v>309</v>
      </c>
      <c r="D136" s="901"/>
      <c r="E136" s="901" t="s">
        <v>37</v>
      </c>
      <c r="F136" s="901" t="s">
        <v>148</v>
      </c>
      <c r="G136" s="902" t="str">
        <f>VLOOKUP(WWWW[[#This Row],[Site Name]],SiteDB6[[Site Name]:[Location Type]],8,FALSE)</f>
        <v>Camp</v>
      </c>
      <c r="H136" s="901" t="s">
        <v>2986</v>
      </c>
      <c r="I136" s="903">
        <v>12</v>
      </c>
      <c r="J136" s="903">
        <v>54</v>
      </c>
      <c r="K136" s="904"/>
      <c r="L136" s="905"/>
      <c r="M136" s="903"/>
      <c r="N136" s="903"/>
      <c r="O136" s="903"/>
      <c r="P136" s="903"/>
      <c r="Q136" s="906"/>
      <c r="R136" s="903"/>
      <c r="S136" s="903"/>
      <c r="T136" s="441"/>
      <c r="U136" s="903"/>
      <c r="V136" s="903"/>
      <c r="W136" s="903"/>
      <c r="X136" s="903"/>
      <c r="Y136" s="903"/>
      <c r="Z136" s="903"/>
      <c r="AA136" s="903"/>
      <c r="AB136" s="903"/>
      <c r="AC136" s="903"/>
      <c r="AD136" s="903"/>
      <c r="AE136" s="903"/>
      <c r="AF136" s="903"/>
      <c r="AG136" s="903"/>
      <c r="AH136" s="903"/>
      <c r="AI136" s="903"/>
      <c r="AJ136" s="903"/>
      <c r="AK136" s="903"/>
      <c r="AL136" s="903"/>
      <c r="AM136" s="903"/>
      <c r="AN136" s="903"/>
      <c r="AO136" s="441"/>
      <c r="AP136" s="907"/>
      <c r="AQ136" s="903"/>
      <c r="AR136" s="903"/>
      <c r="AS136" s="908"/>
      <c r="AT136" s="903"/>
      <c r="AU136" s="903"/>
      <c r="AV136" s="903"/>
      <c r="AW136" s="903"/>
      <c r="AX136" s="903"/>
      <c r="AY136" s="902"/>
      <c r="AZ136" s="907"/>
      <c r="BA136" s="903"/>
      <c r="BB136" s="903"/>
      <c r="BC136" s="903"/>
      <c r="BD136" s="441"/>
      <c r="BE136" s="441"/>
      <c r="BF136" s="902"/>
      <c r="BG136" s="903"/>
      <c r="BH136" s="903"/>
      <c r="BI136" s="903"/>
      <c r="BJ136" s="903"/>
      <c r="BK136" s="903"/>
      <c r="BL136" s="903"/>
      <c r="BM136" s="903"/>
      <c r="BN136" s="903"/>
      <c r="BO136" s="903"/>
      <c r="BP136" s="902"/>
      <c r="BQ136" s="909"/>
      <c r="BR136" s="908"/>
      <c r="BS136" s="902"/>
      <c r="BT136" s="416"/>
      <c r="BU136" s="416"/>
      <c r="BV136" s="418"/>
      <c r="BW136" s="416"/>
      <c r="BX136" s="441"/>
      <c r="BY136" s="441"/>
      <c r="BZ136" s="441"/>
      <c r="CA136" s="441"/>
      <c r="CB136" s="441"/>
      <c r="CC136" s="693"/>
      <c r="CD136" s="441"/>
      <c r="CE136" s="910" t="str">
        <f>IFERROR(WWWW[[#This Row],['#_Water sources passed]]/WWWW[[#This Row],['#_Water sources tested for fecal coliform ]],"no test")</f>
        <v>no test</v>
      </c>
      <c r="CF136" s="908" t="str">
        <f>IFERROR(WWWW[[#This Row],['#_Household passed]]/WWWW[[#This Row],['#_Household water samples tested for fecal coliform]],"no test")</f>
        <v>no test</v>
      </c>
      <c r="CG136" s="909" t="str">
        <f>IF(AND(WWWW[[#This Row],[% of water sources passed]]="no test",WWWW[[#This Row],[% Household passed]]="no test"),"No Test","Tested")</f>
        <v>No Test</v>
      </c>
      <c r="CH136" s="909">
        <f>WWWW[[#This Row],['#_Constructed/existing protected hand dug well]]-WWWW[[#This Row],['#_Non-functional protected hand dug well]]</f>
        <v>0</v>
      </c>
      <c r="CI136" s="909">
        <f>(WWWW[[#This Row],['#_Constructed/Existing tube wells/boreholes/handpumps_WASH_agency]]+WWWW[[#This Row],['#_Non-Cluster partner water tube-wells/boreholes/handpumps]])-WWWW[[#This Row],['#_Non-functional tube wells/boreholes/handpumps]]</f>
        <v>0</v>
      </c>
      <c r="CJ136" s="909">
        <f>WWWW[[#This Row],['#_Constructed/Existingwater storage tank with gravity fed reticulation system]]-WWWW[[#This Row],['#_Non-functional storage tank gravity fed reticulation system]]</f>
        <v>0</v>
      </c>
      <c r="CK136" s="909">
        <f>(WWWW[[#This Row],['#_Water_Liters_supplied_by_Water boating or water trucking]]/90)/15</f>
        <v>0</v>
      </c>
      <c r="CL136" s="909">
        <f>WWWW[[#This Row],['#_Water_Liters_from_Constructed/Existing water distribution system from river or natural spring]]/90/15</f>
        <v>0</v>
      </c>
      <c r="CM136" s="417">
        <f>IF(WWWW[[#This Row],['#_of water points in TLS/CFS]]*500&gt;WWWW[[#This Row],[Total PoP ]],WWWW[[#This Row],[Total PoP ]],WWWW[[#This Row],['#_of water points in TLS/CFS]]*500)</f>
        <v>0</v>
      </c>
      <c r="CN136" s="417">
        <f>IF(WWWW[[#This Row],['#_of water points in THF]]*500&gt;WWWW[[#This Row],[Total PoP ]],WWWW[[#This Row],[Total PoP ]],WWWW[[#This Row],['#_of water points in THF]]*500)</f>
        <v>0</v>
      </c>
      <c r="CO136" s="417"/>
      <c r="CP136"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36"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36" s="908">
        <f>IF(WWWW[[#This Row],[Location Type 1]]="Village",WWWW[[#This Row],[Access to safe drinking water for Village]],WWWW[[#This Row],[Access to safe drinking water for Camp]])</f>
        <v>0</v>
      </c>
      <c r="CS136" s="906">
        <f>WWWW[[#This Row],[%Equitable and continuous access to sufficient quantity of safe drinking water]]*WWWW[[#This Row],[Total PoP ]]</f>
        <v>0</v>
      </c>
      <c r="CT136" s="908">
        <f>IF((WWWW[[#This Row],['#_Constructed/Existing protected/fenced ponds]]*250)/WWWW[[#This Row],[Total PoP ]]&gt;1,1,(WWWW[[#This Row],['#_Constructed/Existing protected/fenced ponds]]*250)/WWWW[[#This Row],[Total PoP ]])</f>
        <v>0</v>
      </c>
      <c r="CU136" s="906">
        <f>WWWW[[#This Row],[% Access to unimproved water points]]*WWWW[[#This Row],[Total PoP ]]</f>
        <v>0</v>
      </c>
      <c r="CV136"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36"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36" s="906">
        <f>WWWW[[#This Row],[HRP1]]/500</f>
        <v>0</v>
      </c>
      <c r="CY136" s="911">
        <f>1-WWWW[[#This Row],[% Equitable and continuous access to sufficient quantity of domestic water]]</f>
        <v>1</v>
      </c>
      <c r="CZ136" s="906">
        <f>WWWW[[#This Row],[%equitable and continuous access to sufficient quantity of safe drinking and domestic water''s GAP]]*WWWW[[#This Row],[Total PoP ]]</f>
        <v>54</v>
      </c>
      <c r="DA136" s="909">
        <f>IF(WWWW[[#This Row],[Total required water points]]-WWWW[[#This Row],['#Water points coverage]]&lt;0,0,WWWW[[#This Row],[Total required water points]]-WWWW[[#This Row],['#Water points coverage]])</f>
        <v>1</v>
      </c>
      <c r="DB136" s="909">
        <f>ROUND(IF(WWWW[[#This Row],[Total PoP ]]&lt;500,1,WWWW[[#This Row],[Total PoP ]]/500),0)</f>
        <v>1</v>
      </c>
      <c r="DC136" s="909">
        <f>(WWWW[[#This Row],['#_Constructed latrines_by_WASHAgencies]]+WWWW[[#This Row],['#_Non Cluster partner latrines]])-WWWW[[#This Row],['#_Non-functional latrines]]</f>
        <v>0</v>
      </c>
      <c r="DD136" s="615">
        <f>WWWW[[#This Row],[HRP2]]/WWWW[[#This Row],[Total PoP ]]</f>
        <v>0</v>
      </c>
      <c r="DE136"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36"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36"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6" s="417">
        <f>IF(WWWW[[#This Row],['# of functional latrines in THF supported by WASH partners during the reporting period2]]="",0,WWWW[[#This Row],['# of functional latrines in THF supported by WASH partners during the reporting period2]]*50)</f>
        <v>0</v>
      </c>
      <c r="DI136" s="909">
        <f>ROUND(IF(WWWW[[#This Row],[Location Type 1]]="camp",WWWW[[#This Row],[Total PoP ]]/20,IF(WWWW[[#This Row],[Location Type 1]]="Temporary Location",WWWW[[#This Row],[Total PoP ]]/50,(WWWW[[#This Row],[Total PoP ]]/6))),0)</f>
        <v>3</v>
      </c>
      <c r="DJ136" s="909">
        <f>IF(WWWW[[#This Row],[Total required Latrines]]-(WWWW[[#This Row],['#_Constructed latrines_by_WASHAgencies]]+WWWW[[#This Row],['#_Non Cluster partner latrines]])&lt;0,0,WWWW[[#This Row],[Total required Latrines]]-(WWWW[[#This Row],['#_Constructed latrines_by_WASHAgencies]]+WWWW[[#This Row],['#_Non Cluster partner latrines]]))</f>
        <v>3</v>
      </c>
      <c r="DK136" s="911">
        <f>1-WWWW[[#This Row],[% people access to functioning Latrine]]</f>
        <v>1</v>
      </c>
      <c r="DL136" s="910">
        <f>IF(OR(WWWW[[#This Row],['#_Non-functional latrines]]="",WWWW[[#This Row],['#_Non-functional latrines]]=0),0,WWWW[[#This Row],['#_Non-functional latrines]]/(WWWW[[#This Row],['#_Constructed latrines_by_WASHAgencies]]+WWWW[[#This Row],['#_Non Cluster partner latrines]]))</f>
        <v>0</v>
      </c>
      <c r="DM136" s="906">
        <f>IF(500*(WWWW[[#This Row],['#_male hygiene promoters]]+WWWW[[#This Row],['#_female hygiene promoters]])&gt;WWWW[[#This Row],[Total PoP ]],WWWW[[#This Row],[Total PoP ]],500*(WWWW[[#This Row],['#_male hygiene promoters]]+WWWW[[#This Row],['#_female hygiene promoters]]))</f>
        <v>0</v>
      </c>
      <c r="DN136"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36"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36" s="909">
        <f>IF(WWWW[[#This Row],['# People with access to soap]]&gt;WWWW[[#This Row],['# People with access to Sanity Pads]],WWWW[[#This Row],['# People with access to soap]],WWWW[[#This Row],['# People with access to Sanity Pads]])</f>
        <v>0</v>
      </c>
      <c r="DQ136"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36" s="911">
        <f>IF(WWWW[[#This Row],[HRP3]]/WWWW[[#This Row],[Total PoP ]]&gt;1,1,WWWW[[#This Row],[HRP3]]/WWWW[[#This Row],[Total PoP ]])</f>
        <v>0</v>
      </c>
      <c r="DS136" s="910">
        <f>1-WWWW[[#This Row],[Hygiene Coverage%]]</f>
        <v>1</v>
      </c>
      <c r="DT136" s="908">
        <f>WWWW[[#This Row],['# people reached by regular dedicated hygiene promotion_5]]/WWWW[[#This Row],[Total PoP ]]</f>
        <v>0</v>
      </c>
      <c r="DU136"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36"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36" s="909">
        <f>WWWW[[#This Row],['#_Constructed/Existing hand washing stations]]-WWWW[[#This Row],['#_Non-Functional_hand_washing_stations]]</f>
        <v>0</v>
      </c>
      <c r="DX136" s="906">
        <f>IF(WWWW[[#This Row],['# Functional hand washing stations during reporting period]]*20&gt;WWWW[[#This Row],[Total HH]],WWWW[[#This Row],[Total HH]],WWWW[[#This Row],['# Functional hand washing stations during reporting period]]*20)</f>
        <v>0</v>
      </c>
      <c r="DY136" s="906">
        <f>IF(WWWW[[#This Row],[Is sufficient soap available for TLS? (Yes/No)]]="yes",WWWW[[#This Row],['#_Constructed/Existing hand washing stations at TLS/CFS/THF]],0)</f>
        <v>0</v>
      </c>
      <c r="DZ136" s="421">
        <f>IF(WWWW[[#This Row],['# Functional hand washing stations during reporting period]]*100&gt;WWWW[[#This Row],[Total PoP ]],WWWW[[#This Row],[Total PoP ]],WWWW[[#This Row],['# Functional hand washing stations during reporting period]]*100)</f>
        <v>0</v>
      </c>
      <c r="EA136" s="421" t="str">
        <f>IF(OR(WWWW[[#This Row],['#_students at TLS_CFS]]="",WWWW[[#This Row],['#_students at TLS_CFS]]=0),"No","Yes")</f>
        <v>No</v>
      </c>
      <c r="EB13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36" s="566">
        <f>WWWW[[#This Row],[%_of_affected_people_surveyed_who_report_feeling_satistfied_with_the_latrine_design_and_sanitation_service]]*WWWW[[#This Row],[Total PoP ]]</f>
        <v>0</v>
      </c>
      <c r="ED136" s="566">
        <f>WWWW[[#This Row],[%_of_affected_people_surveyed_who_report_feeling_satistfied_with_the_water_point_design_and_water_service]]*WWWW[[#This Row],[Total PoP ]]</f>
        <v>0</v>
      </c>
      <c r="EE136" s="566">
        <f>WWWW[[#This Row],[%_of_complaints_received_that_result_in_timely_corrective_action_and_feedback_to_the_community]]*WWWW[[#This Row],[Total PoP ]]</f>
        <v>0</v>
      </c>
      <c r="EF13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3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3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6" s="902">
        <f>VLOOKUP(WWWW[[#This Row],[Site Name]],SiteDB6[[Site Name]:[CCCM Management]],6,FALSE)</f>
        <v>0</v>
      </c>
      <c r="EJ136" s="902" t="str">
        <f>VLOOKUP(WWWW[[#This Row],[Site Name]],SiteDB6[[Site Name]:[CCCM Focal Agency]],7,FALSE)</f>
        <v xml:space="preserve">Uncovered  </v>
      </c>
      <c r="EK136" s="902" t="str">
        <f>VLOOKUP(WWWW[[#This Row],[Site Name]],SiteDB6[[Site Name]:[Location Type 1]],9,FALSE)</f>
        <v>Camp</v>
      </c>
      <c r="EL136" s="902" t="str">
        <f>VLOOKUP(WWWW[[#This Row],[Site Name]],SiteDB6[[Site Name]:[Type of Accommodation]],10,FALSE)</f>
        <v>Camp like setting</v>
      </c>
      <c r="EM136" s="902" t="str">
        <f>VLOOKUP(WWWW[[#This Row],[Site Name]],SiteDB6[[Site Name]:[Ethnic or GCA/NGCA]],11,FALSE)</f>
        <v>GCA</v>
      </c>
      <c r="EN136" s="902">
        <f>VLOOKUP(WWWW[[#This Row],[Site Name]],SiteDB6[[Site Name]:[Lat]],12,FALSE)</f>
        <v>0</v>
      </c>
      <c r="EO136" s="902" t="str">
        <f>VLOOKUP(WWWW[[#This Row],[Site Name]],SiteDB6[[Site Name]:[Long]],13,FALSE)</f>
        <v>not available</v>
      </c>
      <c r="EP136" s="902" t="str">
        <f>VLOOKUP(WWWW[[#This Row],[Site Name]],SiteDB6[[Site Name]:[Pcode]],3,FALSE)</f>
        <v>MMR001CMP298</v>
      </c>
      <c r="EQ136" s="907" t="str">
        <f t="shared" si="2"/>
        <v>Notcovered</v>
      </c>
      <c r="ER136" s="907"/>
      <c r="ES136" s="907"/>
      <c r="ET136" s="902">
        <f>VLOOKUP(WWWW[[#This Row],[Site Name]],SiteDB6[[Site Name]:[Pop
(Kachin/Shan-CCCM as of May 2023)]],16,FALSE)</f>
        <v>12</v>
      </c>
      <c r="EU136" s="902">
        <f>VLOOKUP(WWWW[[#This Row],[Site Name]],SiteDB6[[Site Name]:[Pop
(Kachin/Shan-CCCM as of May 2023)]],17,FALSE)</f>
        <v>54</v>
      </c>
    </row>
    <row r="137" spans="1:151" hidden="1">
      <c r="A137" s="900" t="s">
        <v>2961</v>
      </c>
      <c r="B137" s="900" t="s">
        <v>309</v>
      </c>
      <c r="C137" s="901" t="s">
        <v>309</v>
      </c>
      <c r="D137" s="901"/>
      <c r="E137" s="901" t="s">
        <v>37</v>
      </c>
      <c r="F137" s="901" t="s">
        <v>148</v>
      </c>
      <c r="G137" s="902" t="str">
        <f>VLOOKUP(WWWW[[#This Row],[Site Name]],SiteDB6[[Site Name]:[Location Type]],8,FALSE)</f>
        <v>Camp</v>
      </c>
      <c r="H137" s="901" t="s">
        <v>2871</v>
      </c>
      <c r="I137" s="903">
        <v>95</v>
      </c>
      <c r="J137" s="903">
        <v>472</v>
      </c>
      <c r="K137" s="904"/>
      <c r="L137" s="905"/>
      <c r="M137" s="903"/>
      <c r="N137" s="903"/>
      <c r="O137" s="903"/>
      <c r="P137" s="903"/>
      <c r="Q137" s="906"/>
      <c r="R137" s="903"/>
      <c r="S137" s="903"/>
      <c r="T137" s="441"/>
      <c r="U137" s="903"/>
      <c r="V137" s="903"/>
      <c r="W137" s="903"/>
      <c r="X137" s="903"/>
      <c r="Y137" s="903"/>
      <c r="Z137" s="903"/>
      <c r="AA137" s="903"/>
      <c r="AB137" s="903"/>
      <c r="AC137" s="903"/>
      <c r="AD137" s="903"/>
      <c r="AE137" s="903"/>
      <c r="AF137" s="903"/>
      <c r="AG137" s="903"/>
      <c r="AH137" s="903"/>
      <c r="AI137" s="903"/>
      <c r="AJ137" s="903"/>
      <c r="AK137" s="903"/>
      <c r="AL137" s="903"/>
      <c r="AM137" s="903"/>
      <c r="AN137" s="903"/>
      <c r="AO137" s="441"/>
      <c r="AP137" s="907"/>
      <c r="AQ137" s="903"/>
      <c r="AR137" s="903"/>
      <c r="AS137" s="908"/>
      <c r="AT137" s="903"/>
      <c r="AU137" s="903"/>
      <c r="AV137" s="903"/>
      <c r="AW137" s="903"/>
      <c r="AX137" s="903"/>
      <c r="AY137" s="902" t="s">
        <v>140</v>
      </c>
      <c r="AZ137" s="907" t="s">
        <v>140</v>
      </c>
      <c r="BA137" s="903"/>
      <c r="BB137" s="903"/>
      <c r="BC137" s="903"/>
      <c r="BD137" s="441"/>
      <c r="BE137" s="441"/>
      <c r="BF137" s="902"/>
      <c r="BG137" s="903">
        <v>8</v>
      </c>
      <c r="BH137" s="903"/>
      <c r="BI137" s="903"/>
      <c r="BJ137" s="903">
        <v>3</v>
      </c>
      <c r="BK137" s="903"/>
      <c r="BL137" s="903"/>
      <c r="BM137" s="903"/>
      <c r="BN137" s="903"/>
      <c r="BO137" s="903"/>
      <c r="BP137" s="902"/>
      <c r="BQ137" s="909"/>
      <c r="BR137" s="908"/>
      <c r="BS137" s="902"/>
      <c r="BT137" s="416"/>
      <c r="BU137" s="416"/>
      <c r="BV137" s="418"/>
      <c r="BW137" s="416"/>
      <c r="BX137" s="441"/>
      <c r="BY137" s="441"/>
      <c r="BZ137" s="441"/>
      <c r="CA137" s="441"/>
      <c r="CB137" s="441"/>
      <c r="CC137" s="693"/>
      <c r="CD137" s="441"/>
      <c r="CE137" s="910" t="str">
        <f>IFERROR(WWWW[[#This Row],['#_Water sources passed]]/WWWW[[#This Row],['#_Water sources tested for fecal coliform ]],"no test")</f>
        <v>no test</v>
      </c>
      <c r="CF137" s="908" t="str">
        <f>IFERROR(WWWW[[#This Row],['#_Household passed]]/WWWW[[#This Row],['#_Household water samples tested for fecal coliform]],"no test")</f>
        <v>no test</v>
      </c>
      <c r="CG137" s="909" t="str">
        <f>IF(AND(WWWW[[#This Row],[% of water sources passed]]="no test",WWWW[[#This Row],[% Household passed]]="no test"),"No Test","Tested")</f>
        <v>No Test</v>
      </c>
      <c r="CH137" s="909">
        <f>WWWW[[#This Row],['#_Constructed/existing protected hand dug well]]-WWWW[[#This Row],['#_Non-functional protected hand dug well]]</f>
        <v>0</v>
      </c>
      <c r="CI137" s="909">
        <f>(WWWW[[#This Row],['#_Constructed/Existing tube wells/boreholes/handpumps_WASH_agency]]+WWWW[[#This Row],['#_Non-Cluster partner water tube-wells/boreholes/handpumps]])-WWWW[[#This Row],['#_Non-functional tube wells/boreholes/handpumps]]</f>
        <v>0</v>
      </c>
      <c r="CJ137" s="909">
        <f>WWWW[[#This Row],['#_Constructed/Existingwater storage tank with gravity fed reticulation system]]-WWWW[[#This Row],['#_Non-functional storage tank gravity fed reticulation system]]</f>
        <v>0</v>
      </c>
      <c r="CK137" s="909">
        <f>(WWWW[[#This Row],['#_Water_Liters_supplied_by_Water boating or water trucking]]/90)/15</f>
        <v>0</v>
      </c>
      <c r="CL137" s="909">
        <f>WWWW[[#This Row],['#_Water_Liters_from_Constructed/Existing water distribution system from river or natural spring]]/90/15</f>
        <v>0</v>
      </c>
      <c r="CM137" s="417">
        <f>IF(WWWW[[#This Row],['#_of water points in TLS/CFS]]*500&gt;WWWW[[#This Row],[Total PoP ]],WWWW[[#This Row],[Total PoP ]],WWWW[[#This Row],['#_of water points in TLS/CFS]]*500)</f>
        <v>0</v>
      </c>
      <c r="CN137" s="417">
        <f>IF(WWWW[[#This Row],['#_of water points in THF]]*500&gt;WWWW[[#This Row],[Total PoP ]],WWWW[[#This Row],[Total PoP ]],WWWW[[#This Row],['#_of water points in THF]]*500)</f>
        <v>0</v>
      </c>
      <c r="CO137" s="417"/>
      <c r="CP137"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37"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37" s="908">
        <f>IF(WWWW[[#This Row],[Location Type 1]]="Village",WWWW[[#This Row],[Access to safe drinking water for Village]],WWWW[[#This Row],[Access to safe drinking water for Camp]])</f>
        <v>0</v>
      </c>
      <c r="CS137" s="906">
        <f>WWWW[[#This Row],[%Equitable and continuous access to sufficient quantity of safe drinking water]]*WWWW[[#This Row],[Total PoP ]]</f>
        <v>0</v>
      </c>
      <c r="CT137" s="908">
        <f>IF((WWWW[[#This Row],['#_Constructed/Existing protected/fenced ponds]]*250)/WWWW[[#This Row],[Total PoP ]]&gt;1,1,(WWWW[[#This Row],['#_Constructed/Existing protected/fenced ponds]]*250)/WWWW[[#This Row],[Total PoP ]])</f>
        <v>0</v>
      </c>
      <c r="CU137" s="906">
        <f>WWWW[[#This Row],[% Access to unimproved water points]]*WWWW[[#This Row],[Total PoP ]]</f>
        <v>0</v>
      </c>
      <c r="CV137"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37"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37" s="906">
        <f>WWWW[[#This Row],[HRP1]]/500</f>
        <v>0</v>
      </c>
      <c r="CY137" s="911">
        <f>1-WWWW[[#This Row],[% Equitable and continuous access to sufficient quantity of domestic water]]</f>
        <v>1</v>
      </c>
      <c r="CZ137" s="906">
        <f>WWWW[[#This Row],[%equitable and continuous access to sufficient quantity of safe drinking and domestic water''s GAP]]*WWWW[[#This Row],[Total PoP ]]</f>
        <v>472</v>
      </c>
      <c r="DA137" s="909">
        <f>IF(WWWW[[#This Row],[Total required water points]]-WWWW[[#This Row],['#Water points coverage]]&lt;0,0,WWWW[[#This Row],[Total required water points]]-WWWW[[#This Row],['#Water points coverage]])</f>
        <v>1</v>
      </c>
      <c r="DB137" s="909">
        <f>ROUND(IF(WWWW[[#This Row],[Total PoP ]]&lt;500,1,WWWW[[#This Row],[Total PoP ]]/500),0)</f>
        <v>1</v>
      </c>
      <c r="DC137" s="909">
        <f>(WWWW[[#This Row],['#_Constructed latrines_by_WASHAgencies]]+WWWW[[#This Row],['#_Non Cluster partner latrines]])-WWWW[[#This Row],['#_Non-functional latrines]]</f>
        <v>0</v>
      </c>
      <c r="DD137" s="615">
        <f>WWWW[[#This Row],[HRP2]]/WWWW[[#This Row],[Total PoP ]]</f>
        <v>0</v>
      </c>
      <c r="DE137"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37"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37"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7" s="417">
        <f>IF(WWWW[[#This Row],['# of functional latrines in THF supported by WASH partners during the reporting period2]]="",0,WWWW[[#This Row],['# of functional latrines in THF supported by WASH partners during the reporting period2]]*50)</f>
        <v>0</v>
      </c>
      <c r="DI137" s="909">
        <f>ROUND(IF(WWWW[[#This Row],[Location Type 1]]="camp",WWWW[[#This Row],[Total PoP ]]/20,IF(WWWW[[#This Row],[Location Type 1]]="Temporary Location",WWWW[[#This Row],[Total PoP ]]/50,(WWWW[[#This Row],[Total PoP ]]/6))),0)</f>
        <v>24</v>
      </c>
      <c r="DJ137" s="909">
        <f>IF(WWWW[[#This Row],[Total required Latrines]]-(WWWW[[#This Row],['#_Constructed latrines_by_WASHAgencies]]+WWWW[[#This Row],['#_Non Cluster partner latrines]])&lt;0,0,WWWW[[#This Row],[Total required Latrines]]-(WWWW[[#This Row],['#_Constructed latrines_by_WASHAgencies]]+WWWW[[#This Row],['#_Non Cluster partner latrines]]))</f>
        <v>24</v>
      </c>
      <c r="DK137" s="911">
        <f>1-WWWW[[#This Row],[% people access to functioning Latrine]]</f>
        <v>1</v>
      </c>
      <c r="DL137" s="910">
        <f>IF(OR(WWWW[[#This Row],['#_Non-functional latrines]]="",WWWW[[#This Row],['#_Non-functional latrines]]=0),0,WWWW[[#This Row],['#_Non-functional latrines]]/(WWWW[[#This Row],['#_Constructed latrines_by_WASHAgencies]]+WWWW[[#This Row],['#_Non Cluster partner latrines]]))</f>
        <v>0</v>
      </c>
      <c r="DM137" s="906">
        <f>IF(500*(WWWW[[#This Row],['#_male hygiene promoters]]+WWWW[[#This Row],['#_female hygiene promoters]])&gt;WWWW[[#This Row],[Total PoP ]],WWWW[[#This Row],[Total PoP ]],500*(WWWW[[#This Row],['#_male hygiene promoters]]+WWWW[[#This Row],['#_female hygiene promoters]]))</f>
        <v>0</v>
      </c>
      <c r="DN137"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37"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37" s="909">
        <f>IF(WWWW[[#This Row],['# People with access to soap]]&gt;WWWW[[#This Row],['# People with access to Sanity Pads]],WWWW[[#This Row],['# People with access to soap]],WWWW[[#This Row],['# People with access to Sanity Pads]])</f>
        <v>0</v>
      </c>
      <c r="DQ137"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37" s="911">
        <f>IF(WWWW[[#This Row],[HRP3]]/WWWW[[#This Row],[Total PoP ]]&gt;1,1,WWWW[[#This Row],[HRP3]]/WWWW[[#This Row],[Total PoP ]])</f>
        <v>0</v>
      </c>
      <c r="DS137" s="910">
        <f>1-WWWW[[#This Row],[Hygiene Coverage%]]</f>
        <v>1</v>
      </c>
      <c r="DT137" s="908">
        <f>WWWW[[#This Row],['# people reached by regular dedicated hygiene promotion_5]]/WWWW[[#This Row],[Total PoP ]]</f>
        <v>0</v>
      </c>
      <c r="DU137"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37"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37" s="909">
        <f>WWWW[[#This Row],['#_Constructed/Existing hand washing stations]]-WWWW[[#This Row],['#_Non-Functional_hand_washing_stations]]</f>
        <v>8</v>
      </c>
      <c r="DX137" s="906">
        <f>IF(WWWW[[#This Row],['# Functional hand washing stations during reporting period]]*20&gt;WWWW[[#This Row],[Total HH]],WWWW[[#This Row],[Total HH]],WWWW[[#This Row],['# Functional hand washing stations during reporting period]]*20)</f>
        <v>95</v>
      </c>
      <c r="DY137" s="906">
        <f>IF(WWWW[[#This Row],[Is sufficient soap available for TLS? (Yes/No)]]="yes",WWWW[[#This Row],['#_Constructed/Existing hand washing stations at TLS/CFS/THF]],0)</f>
        <v>0</v>
      </c>
      <c r="DZ137" s="421">
        <f>IF(WWWW[[#This Row],['# Functional hand washing stations during reporting period]]*100&gt;WWWW[[#This Row],[Total PoP ]],WWWW[[#This Row],[Total PoP ]],WWWW[[#This Row],['# Functional hand washing stations during reporting period]]*100)</f>
        <v>472</v>
      </c>
      <c r="EA137" s="421" t="str">
        <f>IF(OR(WWWW[[#This Row],['#_students at TLS_CFS]]="",WWWW[[#This Row],['#_students at TLS_CFS]]=0),"No","Yes")</f>
        <v>No</v>
      </c>
      <c r="EB13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37" s="566">
        <f>WWWW[[#This Row],[%_of_affected_people_surveyed_who_report_feeling_satistfied_with_the_latrine_design_and_sanitation_service]]*WWWW[[#This Row],[Total PoP ]]</f>
        <v>0</v>
      </c>
      <c r="ED137" s="566">
        <f>WWWW[[#This Row],[%_of_affected_people_surveyed_who_report_feeling_satistfied_with_the_water_point_design_and_water_service]]*WWWW[[#This Row],[Total PoP ]]</f>
        <v>0</v>
      </c>
      <c r="EE137" s="566">
        <f>WWWW[[#This Row],[%_of_complaints_received_that_result_in_timely_corrective_action_and_feedback_to_the_community]]*WWWW[[#This Row],[Total PoP ]]</f>
        <v>0</v>
      </c>
      <c r="EF13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3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3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7" s="902" t="str">
        <f>VLOOKUP(WWWW[[#This Row],[Site Name]],SiteDB6[[Site Name]:[CCCM Management]],6,FALSE)</f>
        <v>Yes</v>
      </c>
      <c r="EJ137" s="902" t="str">
        <f>VLOOKUP(WWWW[[#This Row],[Site Name]],SiteDB6[[Site Name]:[CCCM Focal Agency]],7,FALSE)</f>
        <v>KMSS-MYT</v>
      </c>
      <c r="EK137" s="902" t="str">
        <f>VLOOKUP(WWWW[[#This Row],[Site Name]],SiteDB6[[Site Name]:[Location Type 1]],9,FALSE)</f>
        <v>Camp</v>
      </c>
      <c r="EL137" s="902" t="str">
        <f>VLOOKUP(WWWW[[#This Row],[Site Name]],SiteDB6[[Site Name]:[Type of Accommodation]],10,FALSE)</f>
        <v>Camp</v>
      </c>
      <c r="EM137" s="902" t="str">
        <f>VLOOKUP(WWWW[[#This Row],[Site Name]],SiteDB6[[Site Name]:[Ethnic or GCA/NGCA]],11,FALSE)</f>
        <v>GCA</v>
      </c>
      <c r="EN137" s="902">
        <f>VLOOKUP(WWWW[[#This Row],[Site Name]],SiteDB6[[Site Name]:[Lat]],12,FALSE)</f>
        <v>25.656009999999998</v>
      </c>
      <c r="EO137" s="902">
        <f>VLOOKUP(WWWW[[#This Row],[Site Name]],SiteDB6[[Site Name]:[Long]],13,FALSE)</f>
        <v>96.361609999999999</v>
      </c>
      <c r="EP137" s="902" t="str">
        <f>VLOOKUP(WWWW[[#This Row],[Site Name]],SiteDB6[[Site Name]:[Pcode]],3,FALSE)</f>
        <v>MMR001CMP168</v>
      </c>
      <c r="EQ137" s="907" t="str">
        <f t="shared" si="2"/>
        <v>Notcovered</v>
      </c>
      <c r="ER137" s="907"/>
      <c r="ES137" s="907"/>
      <c r="ET137" s="902">
        <f>VLOOKUP(WWWW[[#This Row],[Site Name]],SiteDB6[[Site Name]:[Pop
(Kachin/Shan-CCCM as of May 2023)]],16,FALSE)</f>
        <v>93</v>
      </c>
      <c r="EU137" s="902">
        <f>VLOOKUP(WWWW[[#This Row],[Site Name]],SiteDB6[[Site Name]:[Pop
(Kachin/Shan-CCCM as of May 2023)]],17,FALSE)</f>
        <v>467</v>
      </c>
    </row>
    <row r="138" spans="1:151" hidden="1">
      <c r="A138" s="900" t="s">
        <v>2961</v>
      </c>
      <c r="B138" s="900" t="s">
        <v>309</v>
      </c>
      <c r="C138" s="901" t="s">
        <v>309</v>
      </c>
      <c r="D138" s="901"/>
      <c r="E138" s="901" t="s">
        <v>37</v>
      </c>
      <c r="F138" s="901" t="s">
        <v>586</v>
      </c>
      <c r="G138" s="902" t="str">
        <f>VLOOKUP(WWWW[[#This Row],[Site Name]],SiteDB6[[Site Name]:[Location Type]],8,FALSE)</f>
        <v>Camp</v>
      </c>
      <c r="H138" s="901" t="s">
        <v>2979</v>
      </c>
      <c r="I138" s="903">
        <v>42</v>
      </c>
      <c r="J138" s="903">
        <v>112</v>
      </c>
      <c r="K138" s="904"/>
      <c r="L138" s="905"/>
      <c r="M138" s="903"/>
      <c r="N138" s="903"/>
      <c r="O138" s="903"/>
      <c r="P138" s="903"/>
      <c r="Q138" s="906"/>
      <c r="R138" s="903"/>
      <c r="S138" s="903"/>
      <c r="T138" s="441"/>
      <c r="U138" s="903"/>
      <c r="V138" s="903"/>
      <c r="W138" s="903"/>
      <c r="X138" s="903"/>
      <c r="Y138" s="903"/>
      <c r="Z138" s="903"/>
      <c r="AA138" s="903"/>
      <c r="AB138" s="903"/>
      <c r="AC138" s="903"/>
      <c r="AD138" s="903"/>
      <c r="AE138" s="903"/>
      <c r="AF138" s="903"/>
      <c r="AG138" s="903"/>
      <c r="AH138" s="903"/>
      <c r="AI138" s="903"/>
      <c r="AJ138" s="903"/>
      <c r="AK138" s="903"/>
      <c r="AL138" s="903"/>
      <c r="AM138" s="903"/>
      <c r="AN138" s="903"/>
      <c r="AO138" s="441"/>
      <c r="AP138" s="907"/>
      <c r="AQ138" s="903"/>
      <c r="AR138" s="903"/>
      <c r="AS138" s="908"/>
      <c r="AT138" s="903"/>
      <c r="AU138" s="903"/>
      <c r="AV138" s="903"/>
      <c r="AW138" s="903"/>
      <c r="AX138" s="903"/>
      <c r="AY138" s="902"/>
      <c r="AZ138" s="907"/>
      <c r="BA138" s="903"/>
      <c r="BB138" s="903"/>
      <c r="BC138" s="903"/>
      <c r="BD138" s="441"/>
      <c r="BE138" s="441"/>
      <c r="BF138" s="902"/>
      <c r="BG138" s="903"/>
      <c r="BH138" s="903"/>
      <c r="BI138" s="903"/>
      <c r="BJ138" s="903"/>
      <c r="BK138" s="903"/>
      <c r="BL138" s="903"/>
      <c r="BM138" s="903"/>
      <c r="BN138" s="903"/>
      <c r="BO138" s="903"/>
      <c r="BP138" s="902"/>
      <c r="BQ138" s="909"/>
      <c r="BR138" s="908"/>
      <c r="BS138" s="902"/>
      <c r="BT138" s="416"/>
      <c r="BU138" s="416"/>
      <c r="BV138" s="418"/>
      <c r="BW138" s="416"/>
      <c r="BX138" s="441"/>
      <c r="BY138" s="441"/>
      <c r="BZ138" s="441"/>
      <c r="CA138" s="441"/>
      <c r="CB138" s="441"/>
      <c r="CC138" s="693"/>
      <c r="CD138" s="441"/>
      <c r="CE138" s="910" t="str">
        <f>IFERROR(WWWW[[#This Row],['#_Water sources passed]]/WWWW[[#This Row],['#_Water sources tested for fecal coliform ]],"no test")</f>
        <v>no test</v>
      </c>
      <c r="CF138" s="908" t="str">
        <f>IFERROR(WWWW[[#This Row],['#_Household passed]]/WWWW[[#This Row],['#_Household water samples tested for fecal coliform]],"no test")</f>
        <v>no test</v>
      </c>
      <c r="CG138" s="909" t="str">
        <f>IF(AND(WWWW[[#This Row],[% of water sources passed]]="no test",WWWW[[#This Row],[% Household passed]]="no test"),"No Test","Tested")</f>
        <v>No Test</v>
      </c>
      <c r="CH138" s="909">
        <f>WWWW[[#This Row],['#_Constructed/existing protected hand dug well]]-WWWW[[#This Row],['#_Non-functional protected hand dug well]]</f>
        <v>0</v>
      </c>
      <c r="CI138" s="909">
        <f>(WWWW[[#This Row],['#_Constructed/Existing tube wells/boreholes/handpumps_WASH_agency]]+WWWW[[#This Row],['#_Non-Cluster partner water tube-wells/boreholes/handpumps]])-WWWW[[#This Row],['#_Non-functional tube wells/boreholes/handpumps]]</f>
        <v>0</v>
      </c>
      <c r="CJ138" s="909">
        <f>WWWW[[#This Row],['#_Constructed/Existingwater storage tank with gravity fed reticulation system]]-WWWW[[#This Row],['#_Non-functional storage tank gravity fed reticulation system]]</f>
        <v>0</v>
      </c>
      <c r="CK138" s="909">
        <f>(WWWW[[#This Row],['#_Water_Liters_supplied_by_Water boating or water trucking]]/90)/15</f>
        <v>0</v>
      </c>
      <c r="CL138" s="909">
        <f>WWWW[[#This Row],['#_Water_Liters_from_Constructed/Existing water distribution system from river or natural spring]]/90/15</f>
        <v>0</v>
      </c>
      <c r="CM138" s="417">
        <f>IF(WWWW[[#This Row],['#_of water points in TLS/CFS]]*500&gt;WWWW[[#This Row],[Total PoP ]],WWWW[[#This Row],[Total PoP ]],WWWW[[#This Row],['#_of water points in TLS/CFS]]*500)</f>
        <v>0</v>
      </c>
      <c r="CN138" s="417">
        <f>IF(WWWW[[#This Row],['#_of water points in THF]]*500&gt;WWWW[[#This Row],[Total PoP ]],WWWW[[#This Row],[Total PoP ]],WWWW[[#This Row],['#_of water points in THF]]*500)</f>
        <v>0</v>
      </c>
      <c r="CO138" s="417"/>
      <c r="CP138"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38"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38" s="908">
        <f>IF(WWWW[[#This Row],[Location Type 1]]="Village",WWWW[[#This Row],[Access to safe drinking water for Village]],WWWW[[#This Row],[Access to safe drinking water for Camp]])</f>
        <v>0</v>
      </c>
      <c r="CS138" s="906">
        <f>WWWW[[#This Row],[%Equitable and continuous access to sufficient quantity of safe drinking water]]*WWWW[[#This Row],[Total PoP ]]</f>
        <v>0</v>
      </c>
      <c r="CT138" s="908">
        <f>IF((WWWW[[#This Row],['#_Constructed/Existing protected/fenced ponds]]*250)/WWWW[[#This Row],[Total PoP ]]&gt;1,1,(WWWW[[#This Row],['#_Constructed/Existing protected/fenced ponds]]*250)/WWWW[[#This Row],[Total PoP ]])</f>
        <v>0</v>
      </c>
      <c r="CU138" s="906">
        <f>WWWW[[#This Row],[% Access to unimproved water points]]*WWWW[[#This Row],[Total PoP ]]</f>
        <v>0</v>
      </c>
      <c r="CV138"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38"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38" s="906">
        <f>WWWW[[#This Row],[HRP1]]/500</f>
        <v>0</v>
      </c>
      <c r="CY138" s="911">
        <f>1-WWWW[[#This Row],[% Equitable and continuous access to sufficient quantity of domestic water]]</f>
        <v>1</v>
      </c>
      <c r="CZ138" s="906">
        <f>WWWW[[#This Row],[%equitable and continuous access to sufficient quantity of safe drinking and domestic water''s GAP]]*WWWW[[#This Row],[Total PoP ]]</f>
        <v>112</v>
      </c>
      <c r="DA138" s="909">
        <f>IF(WWWW[[#This Row],[Total required water points]]-WWWW[[#This Row],['#Water points coverage]]&lt;0,0,WWWW[[#This Row],[Total required water points]]-WWWW[[#This Row],['#Water points coverage]])</f>
        <v>1</v>
      </c>
      <c r="DB138" s="909">
        <f>ROUND(IF(WWWW[[#This Row],[Total PoP ]]&lt;500,1,WWWW[[#This Row],[Total PoP ]]/500),0)</f>
        <v>1</v>
      </c>
      <c r="DC138" s="909">
        <f>(WWWW[[#This Row],['#_Constructed latrines_by_WASHAgencies]]+WWWW[[#This Row],['#_Non Cluster partner latrines]])-WWWW[[#This Row],['#_Non-functional latrines]]</f>
        <v>0</v>
      </c>
      <c r="DD138" s="615">
        <f>WWWW[[#This Row],[HRP2]]/WWWW[[#This Row],[Total PoP ]]</f>
        <v>0</v>
      </c>
      <c r="DE138"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38"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38"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8" s="417">
        <f>IF(WWWW[[#This Row],['# of functional latrines in THF supported by WASH partners during the reporting period2]]="",0,WWWW[[#This Row],['# of functional latrines in THF supported by WASH partners during the reporting period2]]*50)</f>
        <v>0</v>
      </c>
      <c r="DI138" s="909">
        <f>ROUND(IF(WWWW[[#This Row],[Location Type 1]]="camp",WWWW[[#This Row],[Total PoP ]]/20,IF(WWWW[[#This Row],[Location Type 1]]="Temporary Location",WWWW[[#This Row],[Total PoP ]]/50,(WWWW[[#This Row],[Total PoP ]]/6))),0)</f>
        <v>6</v>
      </c>
      <c r="DJ138" s="909">
        <f>IF(WWWW[[#This Row],[Total required Latrines]]-(WWWW[[#This Row],['#_Constructed latrines_by_WASHAgencies]]+WWWW[[#This Row],['#_Non Cluster partner latrines]])&lt;0,0,WWWW[[#This Row],[Total required Latrines]]-(WWWW[[#This Row],['#_Constructed latrines_by_WASHAgencies]]+WWWW[[#This Row],['#_Non Cluster partner latrines]]))</f>
        <v>6</v>
      </c>
      <c r="DK138" s="911">
        <f>1-WWWW[[#This Row],[% people access to functioning Latrine]]</f>
        <v>1</v>
      </c>
      <c r="DL138" s="910">
        <f>IF(OR(WWWW[[#This Row],['#_Non-functional latrines]]="",WWWW[[#This Row],['#_Non-functional latrines]]=0),0,WWWW[[#This Row],['#_Non-functional latrines]]/(WWWW[[#This Row],['#_Constructed latrines_by_WASHAgencies]]+WWWW[[#This Row],['#_Non Cluster partner latrines]]))</f>
        <v>0</v>
      </c>
      <c r="DM138" s="906">
        <f>IF(500*(WWWW[[#This Row],['#_male hygiene promoters]]+WWWW[[#This Row],['#_female hygiene promoters]])&gt;WWWW[[#This Row],[Total PoP ]],WWWW[[#This Row],[Total PoP ]],500*(WWWW[[#This Row],['#_male hygiene promoters]]+WWWW[[#This Row],['#_female hygiene promoters]]))</f>
        <v>0</v>
      </c>
      <c r="DN138"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38"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38" s="909">
        <f>IF(WWWW[[#This Row],['# People with access to soap]]&gt;WWWW[[#This Row],['# People with access to Sanity Pads]],WWWW[[#This Row],['# People with access to soap]],WWWW[[#This Row],['# People with access to Sanity Pads]])</f>
        <v>0</v>
      </c>
      <c r="DQ138"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38" s="911">
        <f>IF(WWWW[[#This Row],[HRP3]]/WWWW[[#This Row],[Total PoP ]]&gt;1,1,WWWW[[#This Row],[HRP3]]/WWWW[[#This Row],[Total PoP ]])</f>
        <v>0</v>
      </c>
      <c r="DS138" s="910">
        <f>1-WWWW[[#This Row],[Hygiene Coverage%]]</f>
        <v>1</v>
      </c>
      <c r="DT138" s="908">
        <f>WWWW[[#This Row],['# people reached by regular dedicated hygiene promotion_5]]/WWWW[[#This Row],[Total PoP ]]</f>
        <v>0</v>
      </c>
      <c r="DU138"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38"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38" s="909">
        <f>WWWW[[#This Row],['#_Constructed/Existing hand washing stations]]-WWWW[[#This Row],['#_Non-Functional_hand_washing_stations]]</f>
        <v>0</v>
      </c>
      <c r="DX138" s="906">
        <f>IF(WWWW[[#This Row],['# Functional hand washing stations during reporting period]]*20&gt;WWWW[[#This Row],[Total HH]],WWWW[[#This Row],[Total HH]],WWWW[[#This Row],['# Functional hand washing stations during reporting period]]*20)</f>
        <v>0</v>
      </c>
      <c r="DY138" s="906">
        <f>IF(WWWW[[#This Row],[Is sufficient soap available for TLS? (Yes/No)]]="yes",WWWW[[#This Row],['#_Constructed/Existing hand washing stations at TLS/CFS/THF]],0)</f>
        <v>0</v>
      </c>
      <c r="DZ138" s="421">
        <f>IF(WWWW[[#This Row],['# Functional hand washing stations during reporting period]]*100&gt;WWWW[[#This Row],[Total PoP ]],WWWW[[#This Row],[Total PoP ]],WWWW[[#This Row],['# Functional hand washing stations during reporting period]]*100)</f>
        <v>0</v>
      </c>
      <c r="EA138" s="421" t="str">
        <f>IF(OR(WWWW[[#This Row],['#_students at TLS_CFS]]="",WWWW[[#This Row],['#_students at TLS_CFS]]=0),"No","Yes")</f>
        <v>No</v>
      </c>
      <c r="EB13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38" s="566">
        <f>WWWW[[#This Row],[%_of_affected_people_surveyed_who_report_feeling_satistfied_with_the_latrine_design_and_sanitation_service]]*WWWW[[#This Row],[Total PoP ]]</f>
        <v>0</v>
      </c>
      <c r="ED138" s="566">
        <f>WWWW[[#This Row],[%_of_affected_people_surveyed_who_report_feeling_satistfied_with_the_water_point_design_and_water_service]]*WWWW[[#This Row],[Total PoP ]]</f>
        <v>0</v>
      </c>
      <c r="EE138" s="566">
        <f>WWWW[[#This Row],[%_of_complaints_received_that_result_in_timely_corrective_action_and_feedback_to_the_community]]*WWWW[[#This Row],[Total PoP ]]</f>
        <v>0</v>
      </c>
      <c r="EF13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3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3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8" s="902">
        <f>VLOOKUP(WWWW[[#This Row],[Site Name]],SiteDB6[[Site Name]:[CCCM Management]],6,FALSE)</f>
        <v>0</v>
      </c>
      <c r="EJ138" s="902" t="str">
        <f>VLOOKUP(WWWW[[#This Row],[Site Name]],SiteDB6[[Site Name]:[CCCM Focal Agency]],7,FALSE)</f>
        <v xml:space="preserve">Uncovered  </v>
      </c>
      <c r="EK138" s="902" t="str">
        <f>VLOOKUP(WWWW[[#This Row],[Site Name]],SiteDB6[[Site Name]:[Location Type 1]],9,FALSE)</f>
        <v>Camp</v>
      </c>
      <c r="EL138" s="902" t="str">
        <f>VLOOKUP(WWWW[[#This Row],[Site Name]],SiteDB6[[Site Name]:[Type of Accommodation]],10,FALSE)</f>
        <v>Camp like setting</v>
      </c>
      <c r="EM138" s="902" t="str">
        <f>VLOOKUP(WWWW[[#This Row],[Site Name]],SiteDB6[[Site Name]:[Ethnic or GCA/NGCA]],11,FALSE)</f>
        <v>NGCA</v>
      </c>
      <c r="EN138" s="902">
        <f>VLOOKUP(WWWW[[#This Row],[Site Name]],SiteDB6[[Site Name]:[Lat]],12,FALSE)</f>
        <v>0</v>
      </c>
      <c r="EO138" s="902" t="str">
        <f>VLOOKUP(WWWW[[#This Row],[Site Name]],SiteDB6[[Site Name]:[Long]],13,FALSE)</f>
        <v>not available</v>
      </c>
      <c r="EP138" s="902" t="str">
        <f>VLOOKUP(WWWW[[#This Row],[Site Name]],SiteDB6[[Site Name]:[Pcode]],3,FALSE)</f>
        <v>MMR001CMP297</v>
      </c>
      <c r="EQ138" s="907" t="str">
        <f t="shared" si="2"/>
        <v>Notcovered</v>
      </c>
      <c r="ER138" s="907"/>
      <c r="ES138" s="907"/>
      <c r="ET138" s="902">
        <f>VLOOKUP(WWWW[[#This Row],[Site Name]],SiteDB6[[Site Name]:[Pop
(Kachin/Shan-CCCM as of May 2023)]],16,FALSE)</f>
        <v>42</v>
      </c>
      <c r="EU138" s="902">
        <f>VLOOKUP(WWWW[[#This Row],[Site Name]],SiteDB6[[Site Name]:[Pop
(Kachin/Shan-CCCM as of May 2023)]],17,FALSE)</f>
        <v>112</v>
      </c>
    </row>
    <row r="139" spans="1:151" hidden="1">
      <c r="A139" s="900" t="s">
        <v>2961</v>
      </c>
      <c r="B139" s="900" t="s">
        <v>309</v>
      </c>
      <c r="C139" s="901" t="s">
        <v>309</v>
      </c>
      <c r="D139" s="901"/>
      <c r="E139" s="901" t="s">
        <v>37</v>
      </c>
      <c r="F139" s="901" t="s">
        <v>38</v>
      </c>
      <c r="G139" s="902" t="str">
        <f>VLOOKUP(WWWW[[#This Row],[Site Name]],SiteDB6[[Site Name]:[Location Type]],8,FALSE)</f>
        <v>Camp</v>
      </c>
      <c r="H139" s="901" t="s">
        <v>2875</v>
      </c>
      <c r="I139" s="903">
        <v>67</v>
      </c>
      <c r="J139" s="903">
        <v>308</v>
      </c>
      <c r="K139" s="904"/>
      <c r="L139" s="905"/>
      <c r="M139" s="903"/>
      <c r="N139" s="903"/>
      <c r="O139" s="903"/>
      <c r="P139" s="903"/>
      <c r="Q139" s="906"/>
      <c r="R139" s="903"/>
      <c r="S139" s="903">
        <v>4</v>
      </c>
      <c r="T139" s="441"/>
      <c r="U139" s="903"/>
      <c r="V139" s="903"/>
      <c r="W139" s="903"/>
      <c r="X139" s="903"/>
      <c r="Y139" s="903"/>
      <c r="Z139" s="903"/>
      <c r="AA139" s="903"/>
      <c r="AB139" s="903"/>
      <c r="AC139" s="903"/>
      <c r="AD139" s="903"/>
      <c r="AE139" s="903"/>
      <c r="AF139" s="903"/>
      <c r="AG139" s="903"/>
      <c r="AH139" s="903"/>
      <c r="AI139" s="903"/>
      <c r="AJ139" s="903"/>
      <c r="AK139" s="903"/>
      <c r="AL139" s="903"/>
      <c r="AM139" s="903"/>
      <c r="AN139" s="903"/>
      <c r="AO139" s="441"/>
      <c r="AP139" s="907"/>
      <c r="AQ139" s="903"/>
      <c r="AR139" s="903"/>
      <c r="AS139" s="908"/>
      <c r="AT139" s="903"/>
      <c r="AU139" s="903"/>
      <c r="AV139" s="903"/>
      <c r="AW139" s="903"/>
      <c r="AX139" s="903"/>
      <c r="AY139" s="902" t="s">
        <v>140</v>
      </c>
      <c r="AZ139" s="907" t="s">
        <v>140</v>
      </c>
      <c r="BA139" s="903"/>
      <c r="BB139" s="903"/>
      <c r="BC139" s="903"/>
      <c r="BD139" s="441"/>
      <c r="BE139" s="441"/>
      <c r="BF139" s="902"/>
      <c r="BG139" s="903">
        <v>7</v>
      </c>
      <c r="BH139" s="903"/>
      <c r="BI139" s="903"/>
      <c r="BJ139" s="903">
        <v>7</v>
      </c>
      <c r="BK139" s="903"/>
      <c r="BL139" s="903"/>
      <c r="BM139" s="903"/>
      <c r="BN139" s="903"/>
      <c r="BO139" s="903"/>
      <c r="BP139" s="902"/>
      <c r="BQ139" s="909"/>
      <c r="BR139" s="908"/>
      <c r="BS139" s="902"/>
      <c r="BT139" s="416"/>
      <c r="BU139" s="416"/>
      <c r="BV139" s="418"/>
      <c r="BW139" s="416"/>
      <c r="BX139" s="441"/>
      <c r="BY139" s="441"/>
      <c r="BZ139" s="441"/>
      <c r="CA139" s="441"/>
      <c r="CB139" s="441"/>
      <c r="CC139" s="693"/>
      <c r="CD139" s="441"/>
      <c r="CE139" s="910" t="str">
        <f>IFERROR(WWWW[[#This Row],['#_Water sources passed]]/WWWW[[#This Row],['#_Water sources tested for fecal coliform ]],"no test")</f>
        <v>no test</v>
      </c>
      <c r="CF139" s="908" t="str">
        <f>IFERROR(WWWW[[#This Row],['#_Household passed]]/WWWW[[#This Row],['#_Household water samples tested for fecal coliform]],"no test")</f>
        <v>no test</v>
      </c>
      <c r="CG139" s="909" t="str">
        <f>IF(AND(WWWW[[#This Row],[% of water sources passed]]="no test",WWWW[[#This Row],[% Household passed]]="no test"),"No Test","Tested")</f>
        <v>No Test</v>
      </c>
      <c r="CH139" s="909">
        <f>WWWW[[#This Row],['#_Constructed/existing protected hand dug well]]-WWWW[[#This Row],['#_Non-functional protected hand dug well]]</f>
        <v>0</v>
      </c>
      <c r="CI139" s="909">
        <f>(WWWW[[#This Row],['#_Constructed/Existing tube wells/boreholes/handpumps_WASH_agency]]+WWWW[[#This Row],['#_Non-Cluster partner water tube-wells/boreholes/handpumps]])-WWWW[[#This Row],['#_Non-functional tube wells/boreholes/handpumps]]</f>
        <v>0</v>
      </c>
      <c r="CJ139" s="909">
        <f>WWWW[[#This Row],['#_Constructed/Existingwater storage tank with gravity fed reticulation system]]-WWWW[[#This Row],['#_Non-functional storage tank gravity fed reticulation system]]</f>
        <v>0</v>
      </c>
      <c r="CK139" s="909">
        <f>(WWWW[[#This Row],['#_Water_Liters_supplied_by_Water boating or water trucking]]/90)/15</f>
        <v>0</v>
      </c>
      <c r="CL139" s="909">
        <f>WWWW[[#This Row],['#_Water_Liters_from_Constructed/Existing water distribution system from river or natural spring]]/90/15</f>
        <v>0</v>
      </c>
      <c r="CM139" s="417">
        <f>IF(WWWW[[#This Row],['#_of water points in TLS/CFS]]*500&gt;WWWW[[#This Row],[Total PoP ]],WWWW[[#This Row],[Total PoP ]],WWWW[[#This Row],['#_of water points in TLS/CFS]]*500)</f>
        <v>0</v>
      </c>
      <c r="CN139" s="417">
        <f>IF(WWWW[[#This Row],['#_of water points in THF]]*500&gt;WWWW[[#This Row],[Total PoP ]],WWWW[[#This Row],[Total PoP ]],WWWW[[#This Row],['#_of water points in THF]]*500)</f>
        <v>0</v>
      </c>
      <c r="CO139" s="417"/>
      <c r="CP139"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39"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39" s="908">
        <f>IF(WWWW[[#This Row],[Location Type 1]]="Village",WWWW[[#This Row],[Access to safe drinking water for Village]],WWWW[[#This Row],[Access to safe drinking water for Camp]])</f>
        <v>0</v>
      </c>
      <c r="CS139" s="906">
        <f>WWWW[[#This Row],[%Equitable and continuous access to sufficient quantity of safe drinking water]]*WWWW[[#This Row],[Total PoP ]]</f>
        <v>0</v>
      </c>
      <c r="CT139" s="908">
        <f>IF((WWWW[[#This Row],['#_Constructed/Existing protected/fenced ponds]]*250)/WWWW[[#This Row],[Total PoP ]]&gt;1,1,(WWWW[[#This Row],['#_Constructed/Existing protected/fenced ponds]]*250)/WWWW[[#This Row],[Total PoP ]])</f>
        <v>0</v>
      </c>
      <c r="CU139" s="906">
        <f>WWWW[[#This Row],[% Access to unimproved water points]]*WWWW[[#This Row],[Total PoP ]]</f>
        <v>0</v>
      </c>
      <c r="CV139"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39"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39" s="906">
        <f>WWWW[[#This Row],[HRP1]]/500</f>
        <v>0</v>
      </c>
      <c r="CY139" s="911">
        <f>1-WWWW[[#This Row],[% Equitable and continuous access to sufficient quantity of domestic water]]</f>
        <v>1</v>
      </c>
      <c r="CZ139" s="906">
        <f>WWWW[[#This Row],[%equitable and continuous access to sufficient quantity of safe drinking and domestic water''s GAP]]*WWWW[[#This Row],[Total PoP ]]</f>
        <v>308</v>
      </c>
      <c r="DA139" s="909">
        <f>IF(WWWW[[#This Row],[Total required water points]]-WWWW[[#This Row],['#Water points coverage]]&lt;0,0,WWWW[[#This Row],[Total required water points]]-WWWW[[#This Row],['#Water points coverage]])</f>
        <v>1</v>
      </c>
      <c r="DB139" s="909">
        <f>ROUND(IF(WWWW[[#This Row],[Total PoP ]]&lt;500,1,WWWW[[#This Row],[Total PoP ]]/500),0)</f>
        <v>1</v>
      </c>
      <c r="DC139" s="909">
        <f>(WWWW[[#This Row],['#_Constructed latrines_by_WASHAgencies]]+WWWW[[#This Row],['#_Non Cluster partner latrines]])-WWWW[[#This Row],['#_Non-functional latrines]]</f>
        <v>0</v>
      </c>
      <c r="DD139" s="615">
        <f>WWWW[[#This Row],[HRP2]]/WWWW[[#This Row],[Total PoP ]]</f>
        <v>0</v>
      </c>
      <c r="DE139"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39"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39"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39" s="417">
        <f>IF(WWWW[[#This Row],['# of functional latrines in THF supported by WASH partners during the reporting period2]]="",0,WWWW[[#This Row],['# of functional latrines in THF supported by WASH partners during the reporting period2]]*50)</f>
        <v>0</v>
      </c>
      <c r="DI139" s="909">
        <f>ROUND(IF(WWWW[[#This Row],[Location Type 1]]="camp",WWWW[[#This Row],[Total PoP ]]/20,IF(WWWW[[#This Row],[Location Type 1]]="Temporary Location",WWWW[[#This Row],[Total PoP ]]/50,(WWWW[[#This Row],[Total PoP ]]/6))),0)</f>
        <v>15</v>
      </c>
      <c r="DJ139" s="909">
        <f>IF(WWWW[[#This Row],[Total required Latrines]]-(WWWW[[#This Row],['#_Constructed latrines_by_WASHAgencies]]+WWWW[[#This Row],['#_Non Cluster partner latrines]])&lt;0,0,WWWW[[#This Row],[Total required Latrines]]-(WWWW[[#This Row],['#_Constructed latrines_by_WASHAgencies]]+WWWW[[#This Row],['#_Non Cluster partner latrines]]))</f>
        <v>15</v>
      </c>
      <c r="DK139" s="911">
        <f>1-WWWW[[#This Row],[% people access to functioning Latrine]]</f>
        <v>1</v>
      </c>
      <c r="DL139" s="910">
        <f>IF(OR(WWWW[[#This Row],['#_Non-functional latrines]]="",WWWW[[#This Row],['#_Non-functional latrines]]=0),0,WWWW[[#This Row],['#_Non-functional latrines]]/(WWWW[[#This Row],['#_Constructed latrines_by_WASHAgencies]]+WWWW[[#This Row],['#_Non Cluster partner latrines]]))</f>
        <v>0</v>
      </c>
      <c r="DM139" s="906">
        <f>IF(500*(WWWW[[#This Row],['#_male hygiene promoters]]+WWWW[[#This Row],['#_female hygiene promoters]])&gt;WWWW[[#This Row],[Total PoP ]],WWWW[[#This Row],[Total PoP ]],500*(WWWW[[#This Row],['#_male hygiene promoters]]+WWWW[[#This Row],['#_female hygiene promoters]]))</f>
        <v>0</v>
      </c>
      <c r="DN139"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39"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39" s="909">
        <f>IF(WWWW[[#This Row],['# People with access to soap]]&gt;WWWW[[#This Row],['# People with access to Sanity Pads]],WWWW[[#This Row],['# People with access to soap]],WWWW[[#This Row],['# People with access to Sanity Pads]])</f>
        <v>0</v>
      </c>
      <c r="DQ139"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39" s="911">
        <f>IF(WWWW[[#This Row],[HRP3]]/WWWW[[#This Row],[Total PoP ]]&gt;1,1,WWWW[[#This Row],[HRP3]]/WWWW[[#This Row],[Total PoP ]])</f>
        <v>0</v>
      </c>
      <c r="DS139" s="910">
        <f>1-WWWW[[#This Row],[Hygiene Coverage%]]</f>
        <v>1</v>
      </c>
      <c r="DT139" s="908">
        <f>WWWW[[#This Row],['# people reached by regular dedicated hygiene promotion_5]]/WWWW[[#This Row],[Total PoP ]]</f>
        <v>0</v>
      </c>
      <c r="DU139"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39"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39" s="909">
        <f>WWWW[[#This Row],['#_Constructed/Existing hand washing stations]]-WWWW[[#This Row],['#_Non-Functional_hand_washing_stations]]</f>
        <v>7</v>
      </c>
      <c r="DX139" s="906">
        <f>IF(WWWW[[#This Row],['# Functional hand washing stations during reporting period]]*20&gt;WWWW[[#This Row],[Total HH]],WWWW[[#This Row],[Total HH]],WWWW[[#This Row],['# Functional hand washing stations during reporting period]]*20)</f>
        <v>67</v>
      </c>
      <c r="DY139" s="906">
        <f>IF(WWWW[[#This Row],[Is sufficient soap available for TLS? (Yes/No)]]="yes",WWWW[[#This Row],['#_Constructed/Existing hand washing stations at TLS/CFS/THF]],0)</f>
        <v>0</v>
      </c>
      <c r="DZ139" s="421">
        <f>IF(WWWW[[#This Row],['# Functional hand washing stations during reporting period]]*100&gt;WWWW[[#This Row],[Total PoP ]],WWWW[[#This Row],[Total PoP ]],WWWW[[#This Row],['# Functional hand washing stations during reporting period]]*100)</f>
        <v>308</v>
      </c>
      <c r="EA139" s="421" t="str">
        <f>IF(OR(WWWW[[#This Row],['#_students at TLS_CFS]]="",WWWW[[#This Row],['#_students at TLS_CFS]]=0),"No","Yes")</f>
        <v>No</v>
      </c>
      <c r="EB13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39" s="566">
        <f>WWWW[[#This Row],[%_of_affected_people_surveyed_who_report_feeling_satistfied_with_the_latrine_design_and_sanitation_service]]*WWWW[[#This Row],[Total PoP ]]</f>
        <v>0</v>
      </c>
      <c r="ED139" s="566">
        <f>WWWW[[#This Row],[%_of_affected_people_surveyed_who_report_feeling_satistfied_with_the_water_point_design_and_water_service]]*WWWW[[#This Row],[Total PoP ]]</f>
        <v>0</v>
      </c>
      <c r="EE139" s="566">
        <f>WWWW[[#This Row],[%_of_complaints_received_that_result_in_timely_corrective_action_and_feedback_to_the_community]]*WWWW[[#This Row],[Total PoP ]]</f>
        <v>0</v>
      </c>
      <c r="EF13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3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3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39" s="902">
        <f>VLOOKUP(WWWW[[#This Row],[Site Name]],SiteDB6[[Site Name]:[CCCM Management]],6,FALSE)</f>
        <v>0</v>
      </c>
      <c r="EJ139" s="902" t="str">
        <f>VLOOKUP(WWWW[[#This Row],[Site Name]],SiteDB6[[Site Name]:[CCCM Focal Agency]],7,FALSE)</f>
        <v>uncovered</v>
      </c>
      <c r="EK139" s="902" t="str">
        <f>VLOOKUP(WWWW[[#This Row],[Site Name]],SiteDB6[[Site Name]:[Location Type 1]],9,FALSE)</f>
        <v>Camp</v>
      </c>
      <c r="EL139" s="902" t="str">
        <f>VLOOKUP(WWWW[[#This Row],[Site Name]],SiteDB6[[Site Name]:[Type of Accommodation]],10,FALSE)</f>
        <v>IDPs in host</v>
      </c>
      <c r="EM139" s="902" t="str">
        <f>VLOOKUP(WWWW[[#This Row],[Site Name]],SiteDB6[[Site Name]:[Ethnic or GCA/NGCA]],11,FALSE)</f>
        <v>GCA</v>
      </c>
      <c r="EN139" s="902">
        <f>VLOOKUP(WWWW[[#This Row],[Site Name]],SiteDB6[[Site Name]:[Lat]],12,FALSE)</f>
        <v>24.118618999999999</v>
      </c>
      <c r="EO139" s="902">
        <f>VLOOKUP(WWWW[[#This Row],[Site Name]],SiteDB6[[Site Name]:[Long]],13,FALSE)</f>
        <v>97.298055000000005</v>
      </c>
      <c r="EP139" s="902" t="str">
        <f>VLOOKUP(WWWW[[#This Row],[Site Name]],SiteDB6[[Site Name]:[Pcode]],3,FALSE)</f>
        <v>MMR001CMP196</v>
      </c>
      <c r="EQ139" s="907" t="str">
        <f t="shared" si="2"/>
        <v>Notcovered</v>
      </c>
      <c r="ER139" s="907"/>
      <c r="ES139" s="907"/>
      <c r="ET139" s="902">
        <f>VLOOKUP(WWWW[[#This Row],[Site Name]],SiteDB6[[Site Name]:[Pop
(Kachin/Shan-CCCM as of May 2023)]],16,FALSE)</f>
        <v>67</v>
      </c>
      <c r="EU139" s="902">
        <f>VLOOKUP(WWWW[[#This Row],[Site Name]],SiteDB6[[Site Name]:[Pop
(Kachin/Shan-CCCM as of May 2023)]],17,FALSE)</f>
        <v>325</v>
      </c>
    </row>
    <row r="140" spans="1:151" hidden="1">
      <c r="A140" s="900" t="s">
        <v>2961</v>
      </c>
      <c r="B140" s="900" t="s">
        <v>309</v>
      </c>
      <c r="C140" s="901" t="s">
        <v>309</v>
      </c>
      <c r="D140" s="901"/>
      <c r="E140" s="901" t="s">
        <v>37</v>
      </c>
      <c r="F140" s="901" t="s">
        <v>38</v>
      </c>
      <c r="G140" s="902" t="str">
        <f>VLOOKUP(WWWW[[#This Row],[Site Name]],SiteDB6[[Site Name]:[Location Type]],8,FALSE)</f>
        <v>Relocated</v>
      </c>
      <c r="H140" s="901" t="s">
        <v>2569</v>
      </c>
      <c r="I140" s="903">
        <v>86</v>
      </c>
      <c r="J140" s="903">
        <v>450</v>
      </c>
      <c r="K140" s="904"/>
      <c r="L140" s="905"/>
      <c r="M140" s="903"/>
      <c r="N140" s="903"/>
      <c r="O140" s="903"/>
      <c r="P140" s="903"/>
      <c r="Q140" s="906"/>
      <c r="R140" s="903"/>
      <c r="S140" s="903"/>
      <c r="T140" s="441"/>
      <c r="U140" s="903"/>
      <c r="V140" s="903"/>
      <c r="W140" s="903"/>
      <c r="X140" s="903"/>
      <c r="Y140" s="903"/>
      <c r="Z140" s="903"/>
      <c r="AA140" s="903"/>
      <c r="AB140" s="903"/>
      <c r="AC140" s="903"/>
      <c r="AD140" s="903"/>
      <c r="AE140" s="903"/>
      <c r="AF140" s="903"/>
      <c r="AG140" s="903"/>
      <c r="AH140" s="903"/>
      <c r="AI140" s="903"/>
      <c r="AJ140" s="903"/>
      <c r="AK140" s="903"/>
      <c r="AL140" s="903"/>
      <c r="AM140" s="903"/>
      <c r="AN140" s="903"/>
      <c r="AO140" s="441"/>
      <c r="AP140" s="907"/>
      <c r="AQ140" s="903"/>
      <c r="AR140" s="903"/>
      <c r="AS140" s="908"/>
      <c r="AT140" s="903"/>
      <c r="AU140" s="903"/>
      <c r="AV140" s="903"/>
      <c r="AW140" s="903"/>
      <c r="AX140" s="903"/>
      <c r="AY140" s="902"/>
      <c r="AZ140" s="907"/>
      <c r="BA140" s="903"/>
      <c r="BB140" s="903"/>
      <c r="BC140" s="903"/>
      <c r="BD140" s="441"/>
      <c r="BE140" s="441"/>
      <c r="BF140" s="902"/>
      <c r="BG140" s="903"/>
      <c r="BH140" s="903"/>
      <c r="BI140" s="903"/>
      <c r="BJ140" s="903"/>
      <c r="BK140" s="903"/>
      <c r="BL140" s="903"/>
      <c r="BM140" s="903"/>
      <c r="BN140" s="903"/>
      <c r="BO140" s="903"/>
      <c r="BP140" s="902"/>
      <c r="BQ140" s="909"/>
      <c r="BR140" s="908"/>
      <c r="BS140" s="902"/>
      <c r="BT140" s="416"/>
      <c r="BU140" s="416"/>
      <c r="BV140" s="418"/>
      <c r="BW140" s="416"/>
      <c r="BX140" s="441"/>
      <c r="BY140" s="441"/>
      <c r="BZ140" s="441"/>
      <c r="CA140" s="441"/>
      <c r="CB140" s="441"/>
      <c r="CC140" s="693"/>
      <c r="CD140" s="441"/>
      <c r="CE140" s="910" t="str">
        <f>IFERROR(WWWW[[#This Row],['#_Water sources passed]]/WWWW[[#This Row],['#_Water sources tested for fecal coliform ]],"no test")</f>
        <v>no test</v>
      </c>
      <c r="CF140" s="908" t="str">
        <f>IFERROR(WWWW[[#This Row],['#_Household passed]]/WWWW[[#This Row],['#_Household water samples tested for fecal coliform]],"no test")</f>
        <v>no test</v>
      </c>
      <c r="CG140" s="909" t="str">
        <f>IF(AND(WWWW[[#This Row],[% of water sources passed]]="no test",WWWW[[#This Row],[% Household passed]]="no test"),"No Test","Tested")</f>
        <v>No Test</v>
      </c>
      <c r="CH140" s="909">
        <f>WWWW[[#This Row],['#_Constructed/existing protected hand dug well]]-WWWW[[#This Row],['#_Non-functional protected hand dug well]]</f>
        <v>0</v>
      </c>
      <c r="CI140" s="909">
        <f>(WWWW[[#This Row],['#_Constructed/Existing tube wells/boreholes/handpumps_WASH_agency]]+WWWW[[#This Row],['#_Non-Cluster partner water tube-wells/boreholes/handpumps]])-WWWW[[#This Row],['#_Non-functional tube wells/boreholes/handpumps]]</f>
        <v>0</v>
      </c>
      <c r="CJ140" s="909">
        <f>WWWW[[#This Row],['#_Constructed/Existingwater storage tank with gravity fed reticulation system]]-WWWW[[#This Row],['#_Non-functional storage tank gravity fed reticulation system]]</f>
        <v>0</v>
      </c>
      <c r="CK140" s="909">
        <f>(WWWW[[#This Row],['#_Water_Liters_supplied_by_Water boating or water trucking]]/90)/15</f>
        <v>0</v>
      </c>
      <c r="CL140" s="909">
        <f>WWWW[[#This Row],['#_Water_Liters_from_Constructed/Existing water distribution system from river or natural spring]]/90/15</f>
        <v>0</v>
      </c>
      <c r="CM140" s="417">
        <f>IF(WWWW[[#This Row],['#_of water points in TLS/CFS]]*500&gt;WWWW[[#This Row],[Total PoP ]],WWWW[[#This Row],[Total PoP ]],WWWW[[#This Row],['#_of water points in TLS/CFS]]*500)</f>
        <v>0</v>
      </c>
      <c r="CN140" s="417">
        <f>IF(WWWW[[#This Row],['#_of water points in THF]]*500&gt;WWWW[[#This Row],[Total PoP ]],WWWW[[#This Row],[Total PoP ]],WWWW[[#This Row],['#_of water points in THF]]*500)</f>
        <v>0</v>
      </c>
      <c r="CO140" s="417"/>
      <c r="CP140"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40"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40" s="908">
        <f>IF(WWWW[[#This Row],[Location Type 1]]="Village",WWWW[[#This Row],[Access to safe drinking water for Village]],WWWW[[#This Row],[Access to safe drinking water for Camp]])</f>
        <v>0</v>
      </c>
      <c r="CS140" s="906">
        <f>WWWW[[#This Row],[%Equitable and continuous access to sufficient quantity of safe drinking water]]*WWWW[[#This Row],[Total PoP ]]</f>
        <v>0</v>
      </c>
      <c r="CT140" s="908">
        <f>IF((WWWW[[#This Row],['#_Constructed/Existing protected/fenced ponds]]*250)/WWWW[[#This Row],[Total PoP ]]&gt;1,1,(WWWW[[#This Row],['#_Constructed/Existing protected/fenced ponds]]*250)/WWWW[[#This Row],[Total PoP ]])</f>
        <v>0</v>
      </c>
      <c r="CU140" s="906">
        <f>WWWW[[#This Row],[% Access to unimproved water points]]*WWWW[[#This Row],[Total PoP ]]</f>
        <v>0</v>
      </c>
      <c r="CV140"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40"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40" s="906">
        <f>WWWW[[#This Row],[HRP1]]/500</f>
        <v>0</v>
      </c>
      <c r="CY140" s="911">
        <f>1-WWWW[[#This Row],[% Equitable and continuous access to sufficient quantity of domestic water]]</f>
        <v>1</v>
      </c>
      <c r="CZ140" s="906">
        <f>WWWW[[#This Row],[%equitable and continuous access to sufficient quantity of safe drinking and domestic water''s GAP]]*WWWW[[#This Row],[Total PoP ]]</f>
        <v>450</v>
      </c>
      <c r="DA140" s="909">
        <f>IF(WWWW[[#This Row],[Total required water points]]-WWWW[[#This Row],['#Water points coverage]]&lt;0,0,WWWW[[#This Row],[Total required water points]]-WWWW[[#This Row],['#Water points coverage]])</f>
        <v>1</v>
      </c>
      <c r="DB140" s="909">
        <f>ROUND(IF(WWWW[[#This Row],[Total PoP ]]&lt;500,1,WWWW[[#This Row],[Total PoP ]]/500),0)</f>
        <v>1</v>
      </c>
      <c r="DC140" s="909">
        <f>(WWWW[[#This Row],['#_Constructed latrines_by_WASHAgencies]]+WWWW[[#This Row],['#_Non Cluster partner latrines]])-WWWW[[#This Row],['#_Non-functional latrines]]</f>
        <v>0</v>
      </c>
      <c r="DD140" s="615">
        <f>WWWW[[#This Row],[HRP2]]/WWWW[[#This Row],[Total PoP ]]</f>
        <v>0</v>
      </c>
      <c r="DE140"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40"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0"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0" s="417">
        <f>IF(WWWW[[#This Row],['# of functional latrines in THF supported by WASH partners during the reporting period2]]="",0,WWWW[[#This Row],['# of functional latrines in THF supported by WASH partners during the reporting period2]]*50)</f>
        <v>0</v>
      </c>
      <c r="DI140" s="909">
        <f>ROUND(IF(WWWW[[#This Row],[Location Type 1]]="camp",WWWW[[#This Row],[Total PoP ]]/20,IF(WWWW[[#This Row],[Location Type 1]]="Temporary Location",WWWW[[#This Row],[Total PoP ]]/50,(WWWW[[#This Row],[Total PoP ]]/6))),0)</f>
        <v>75</v>
      </c>
      <c r="DJ140" s="909">
        <f>IF(WWWW[[#This Row],[Total required Latrines]]-(WWWW[[#This Row],['#_Constructed latrines_by_WASHAgencies]]+WWWW[[#This Row],['#_Non Cluster partner latrines]])&lt;0,0,WWWW[[#This Row],[Total required Latrines]]-(WWWW[[#This Row],['#_Constructed latrines_by_WASHAgencies]]+WWWW[[#This Row],['#_Non Cluster partner latrines]]))</f>
        <v>75</v>
      </c>
      <c r="DK140" s="911">
        <f>1-WWWW[[#This Row],[% people access to functioning Latrine]]</f>
        <v>1</v>
      </c>
      <c r="DL140" s="910">
        <f>IF(OR(WWWW[[#This Row],['#_Non-functional latrines]]="",WWWW[[#This Row],['#_Non-functional latrines]]=0),0,WWWW[[#This Row],['#_Non-functional latrines]]/(WWWW[[#This Row],['#_Constructed latrines_by_WASHAgencies]]+WWWW[[#This Row],['#_Non Cluster partner latrines]]))</f>
        <v>0</v>
      </c>
      <c r="DM140" s="906">
        <f>IF(500*(WWWW[[#This Row],['#_male hygiene promoters]]+WWWW[[#This Row],['#_female hygiene promoters]])&gt;WWWW[[#This Row],[Total PoP ]],WWWW[[#This Row],[Total PoP ]],500*(WWWW[[#This Row],['#_male hygiene promoters]]+WWWW[[#This Row],['#_female hygiene promoters]]))</f>
        <v>0</v>
      </c>
      <c r="DN140"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0"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0" s="909">
        <f>IF(WWWW[[#This Row],['# People with access to soap]]&gt;WWWW[[#This Row],['# People with access to Sanity Pads]],WWWW[[#This Row],['# People with access to soap]],WWWW[[#This Row],['# People with access to Sanity Pads]])</f>
        <v>0</v>
      </c>
      <c r="DQ140"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0" s="911">
        <f>IF(WWWW[[#This Row],[HRP3]]/WWWW[[#This Row],[Total PoP ]]&gt;1,1,WWWW[[#This Row],[HRP3]]/WWWW[[#This Row],[Total PoP ]])</f>
        <v>0</v>
      </c>
      <c r="DS140" s="910">
        <f>1-WWWW[[#This Row],[Hygiene Coverage%]]</f>
        <v>1</v>
      </c>
      <c r="DT140" s="908">
        <f>WWWW[[#This Row],['# people reached by regular dedicated hygiene promotion_5]]/WWWW[[#This Row],[Total PoP ]]</f>
        <v>0</v>
      </c>
      <c r="DU140"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0"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0" s="909">
        <f>WWWW[[#This Row],['#_Constructed/Existing hand washing stations]]-WWWW[[#This Row],['#_Non-Functional_hand_washing_stations]]</f>
        <v>0</v>
      </c>
      <c r="DX140" s="906">
        <f>IF(WWWW[[#This Row],['# Functional hand washing stations during reporting period]]*20&gt;WWWW[[#This Row],[Total HH]],WWWW[[#This Row],[Total HH]],WWWW[[#This Row],['# Functional hand washing stations during reporting period]]*20)</f>
        <v>0</v>
      </c>
      <c r="DY140" s="906">
        <f>IF(WWWW[[#This Row],[Is sufficient soap available for TLS? (Yes/No)]]="yes",WWWW[[#This Row],['#_Constructed/Existing hand washing stations at TLS/CFS/THF]],0)</f>
        <v>0</v>
      </c>
      <c r="DZ140" s="421">
        <f>IF(WWWW[[#This Row],['# Functional hand washing stations during reporting period]]*100&gt;WWWW[[#This Row],[Total PoP ]],WWWW[[#This Row],[Total PoP ]],WWWW[[#This Row],['# Functional hand washing stations during reporting period]]*100)</f>
        <v>0</v>
      </c>
      <c r="EA140" s="421" t="str">
        <f>IF(OR(WWWW[[#This Row],['#_students at TLS_CFS]]="",WWWW[[#This Row],['#_students at TLS_CFS]]=0),"No","Yes")</f>
        <v>No</v>
      </c>
      <c r="EB14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0" s="566">
        <f>WWWW[[#This Row],[%_of_affected_people_surveyed_who_report_feeling_satistfied_with_the_latrine_design_and_sanitation_service]]*WWWW[[#This Row],[Total PoP ]]</f>
        <v>0</v>
      </c>
      <c r="ED140" s="566">
        <f>WWWW[[#This Row],[%_of_affected_people_surveyed_who_report_feeling_satistfied_with_the_water_point_design_and_water_service]]*WWWW[[#This Row],[Total PoP ]]</f>
        <v>0</v>
      </c>
      <c r="EE140" s="566">
        <f>WWWW[[#This Row],[%_of_complaints_received_that_result_in_timely_corrective_action_and_feedback_to_the_community]]*WWWW[[#This Row],[Total PoP ]]</f>
        <v>0</v>
      </c>
      <c r="EF14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0" s="902">
        <f>VLOOKUP(WWWW[[#This Row],[Site Name]],SiteDB6[[Site Name]:[CCCM Management]],6,FALSE)</f>
        <v>0</v>
      </c>
      <c r="EJ140" s="902">
        <f>VLOOKUP(WWWW[[#This Row],[Site Name]],SiteDB6[[Site Name]:[CCCM Focal Agency]],7,FALSE)</f>
        <v>0</v>
      </c>
      <c r="EK140" s="902" t="str">
        <f>VLOOKUP(WWWW[[#This Row],[Site Name]],SiteDB6[[Site Name]:[Location Type 1]],9,FALSE)</f>
        <v>Relocated</v>
      </c>
      <c r="EL140" s="902" t="str">
        <f>VLOOKUP(WWWW[[#This Row],[Site Name]],SiteDB6[[Site Name]:[Type of Accommodation]],10,FALSE)</f>
        <v>Relocated-Individual House</v>
      </c>
      <c r="EM140" s="902" t="str">
        <f>VLOOKUP(WWWW[[#This Row],[Site Name]],SiteDB6[[Site Name]:[Ethnic or GCA/NGCA]],11,FALSE)</f>
        <v>GCA</v>
      </c>
      <c r="EN140" s="902">
        <f>VLOOKUP(WWWW[[#This Row],[Site Name]],SiteDB6[[Site Name]:[Lat]],12,FALSE)</f>
        <v>24.109690000000001</v>
      </c>
      <c r="EO140" s="902">
        <f>VLOOKUP(WWWW[[#This Row],[Site Name]],SiteDB6[[Site Name]:[Long]],13,FALSE)</f>
        <v>97.241101</v>
      </c>
      <c r="EP140" s="902" t="str">
        <f>VLOOKUP(WWWW[[#This Row],[Site Name]],SiteDB6[[Site Name]:[Pcode]],3,FALSE)</f>
        <v>MMR001CMP278</v>
      </c>
      <c r="EQ140" s="907" t="str">
        <f t="shared" si="2"/>
        <v>Notcovered</v>
      </c>
      <c r="ER140" s="907"/>
      <c r="ES140" s="907"/>
      <c r="ET140" s="902">
        <f>VLOOKUP(WWWW[[#This Row],[Site Name]],SiteDB6[[Site Name]:[Pop
(Kachin/Shan-CCCM as of May 2023)]],16,FALSE)</f>
        <v>86</v>
      </c>
      <c r="EU140" s="902">
        <f>VLOOKUP(WWWW[[#This Row],[Site Name]],SiteDB6[[Site Name]:[Pop
(Kachin/Shan-CCCM as of May 2023)]],17,FALSE)</f>
        <v>450</v>
      </c>
    </row>
    <row r="141" spans="1:151" hidden="1">
      <c r="A141" s="900" t="s">
        <v>2961</v>
      </c>
      <c r="B141" s="900" t="s">
        <v>309</v>
      </c>
      <c r="C141" s="901" t="s">
        <v>309</v>
      </c>
      <c r="D141" s="901"/>
      <c r="E141" s="901" t="s">
        <v>37</v>
      </c>
      <c r="F141" s="901" t="s">
        <v>152</v>
      </c>
      <c r="G141" s="902" t="str">
        <f>VLOOKUP(WWWW[[#This Row],[Site Name]],SiteDB6[[Site Name]:[Location Type]],8,FALSE)</f>
        <v>Camp</v>
      </c>
      <c r="H141" s="901" t="s">
        <v>1541</v>
      </c>
      <c r="I141" s="903">
        <v>6</v>
      </c>
      <c r="J141" s="903">
        <v>32</v>
      </c>
      <c r="K141" s="904"/>
      <c r="L141" s="905"/>
      <c r="M141" s="903"/>
      <c r="N141" s="903"/>
      <c r="O141" s="903"/>
      <c r="P141" s="903"/>
      <c r="Q141" s="906"/>
      <c r="R141" s="903"/>
      <c r="S141" s="903"/>
      <c r="T141" s="441"/>
      <c r="U141" s="903"/>
      <c r="V141" s="903"/>
      <c r="W141" s="903"/>
      <c r="X141" s="903"/>
      <c r="Y141" s="903"/>
      <c r="Z141" s="903"/>
      <c r="AA141" s="903"/>
      <c r="AB141" s="903"/>
      <c r="AC141" s="903"/>
      <c r="AD141" s="903"/>
      <c r="AE141" s="903"/>
      <c r="AF141" s="903"/>
      <c r="AG141" s="903"/>
      <c r="AH141" s="903"/>
      <c r="AI141" s="903"/>
      <c r="AJ141" s="903"/>
      <c r="AK141" s="903"/>
      <c r="AL141" s="903"/>
      <c r="AM141" s="903"/>
      <c r="AN141" s="903"/>
      <c r="AO141" s="441"/>
      <c r="AP141" s="907"/>
      <c r="AQ141" s="903"/>
      <c r="AR141" s="903"/>
      <c r="AS141" s="908"/>
      <c r="AT141" s="903"/>
      <c r="AU141" s="903"/>
      <c r="AV141" s="903"/>
      <c r="AW141" s="903"/>
      <c r="AX141" s="903"/>
      <c r="AY141" s="902" t="s">
        <v>140</v>
      </c>
      <c r="AZ141" s="907" t="s">
        <v>140</v>
      </c>
      <c r="BA141" s="903"/>
      <c r="BB141" s="903"/>
      <c r="BC141" s="903"/>
      <c r="BD141" s="441"/>
      <c r="BE141" s="441"/>
      <c r="BF141" s="902"/>
      <c r="BG141" s="903">
        <v>3</v>
      </c>
      <c r="BH141" s="903"/>
      <c r="BI141" s="903"/>
      <c r="BJ141" s="903">
        <v>2</v>
      </c>
      <c r="BK141" s="903"/>
      <c r="BL141" s="903"/>
      <c r="BM141" s="903"/>
      <c r="BN141" s="903"/>
      <c r="BO141" s="903"/>
      <c r="BP141" s="902"/>
      <c r="BQ141" s="909"/>
      <c r="BR141" s="908"/>
      <c r="BS141" s="902"/>
      <c r="BT141" s="416"/>
      <c r="BU141" s="416"/>
      <c r="BV141" s="418"/>
      <c r="BW141" s="416"/>
      <c r="BX141" s="441"/>
      <c r="BY141" s="441"/>
      <c r="BZ141" s="441"/>
      <c r="CA141" s="441"/>
      <c r="CB141" s="441"/>
      <c r="CC141" s="693"/>
      <c r="CD141" s="441"/>
      <c r="CE141" s="910" t="str">
        <f>IFERROR(WWWW[[#This Row],['#_Water sources passed]]/WWWW[[#This Row],['#_Water sources tested for fecal coliform ]],"no test")</f>
        <v>no test</v>
      </c>
      <c r="CF141" s="908" t="str">
        <f>IFERROR(WWWW[[#This Row],['#_Household passed]]/WWWW[[#This Row],['#_Household water samples tested for fecal coliform]],"no test")</f>
        <v>no test</v>
      </c>
      <c r="CG141" s="909" t="str">
        <f>IF(AND(WWWW[[#This Row],[% of water sources passed]]="no test",WWWW[[#This Row],[% Household passed]]="no test"),"No Test","Tested")</f>
        <v>No Test</v>
      </c>
      <c r="CH141" s="909">
        <f>WWWW[[#This Row],['#_Constructed/existing protected hand dug well]]-WWWW[[#This Row],['#_Non-functional protected hand dug well]]</f>
        <v>0</v>
      </c>
      <c r="CI141" s="909">
        <f>(WWWW[[#This Row],['#_Constructed/Existing tube wells/boreholes/handpumps_WASH_agency]]+WWWW[[#This Row],['#_Non-Cluster partner water tube-wells/boreholes/handpumps]])-WWWW[[#This Row],['#_Non-functional tube wells/boreholes/handpumps]]</f>
        <v>0</v>
      </c>
      <c r="CJ141" s="909">
        <f>WWWW[[#This Row],['#_Constructed/Existingwater storage tank with gravity fed reticulation system]]-WWWW[[#This Row],['#_Non-functional storage tank gravity fed reticulation system]]</f>
        <v>0</v>
      </c>
      <c r="CK141" s="909">
        <f>(WWWW[[#This Row],['#_Water_Liters_supplied_by_Water boating or water trucking]]/90)/15</f>
        <v>0</v>
      </c>
      <c r="CL141" s="909">
        <f>WWWW[[#This Row],['#_Water_Liters_from_Constructed/Existing water distribution system from river or natural spring]]/90/15</f>
        <v>0</v>
      </c>
      <c r="CM141" s="417">
        <f>IF(WWWW[[#This Row],['#_of water points in TLS/CFS]]*500&gt;WWWW[[#This Row],[Total PoP ]],WWWW[[#This Row],[Total PoP ]],WWWW[[#This Row],['#_of water points in TLS/CFS]]*500)</f>
        <v>0</v>
      </c>
      <c r="CN141" s="417">
        <f>IF(WWWW[[#This Row],['#_of water points in THF]]*500&gt;WWWW[[#This Row],[Total PoP ]],WWWW[[#This Row],[Total PoP ]],WWWW[[#This Row],['#_of water points in THF]]*500)</f>
        <v>0</v>
      </c>
      <c r="CO141" s="417"/>
      <c r="CP141"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41"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41" s="908">
        <f>IF(WWWW[[#This Row],[Location Type 1]]="Village",WWWW[[#This Row],[Access to safe drinking water for Village]],WWWW[[#This Row],[Access to safe drinking water for Camp]])</f>
        <v>0</v>
      </c>
      <c r="CS141" s="906">
        <f>WWWW[[#This Row],[%Equitable and continuous access to sufficient quantity of safe drinking water]]*WWWW[[#This Row],[Total PoP ]]</f>
        <v>0</v>
      </c>
      <c r="CT141" s="908">
        <f>IF((WWWW[[#This Row],['#_Constructed/Existing protected/fenced ponds]]*250)/WWWW[[#This Row],[Total PoP ]]&gt;1,1,(WWWW[[#This Row],['#_Constructed/Existing protected/fenced ponds]]*250)/WWWW[[#This Row],[Total PoP ]])</f>
        <v>0</v>
      </c>
      <c r="CU141" s="906">
        <f>WWWW[[#This Row],[% Access to unimproved water points]]*WWWW[[#This Row],[Total PoP ]]</f>
        <v>0</v>
      </c>
      <c r="CV141"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41"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41" s="906">
        <f>WWWW[[#This Row],[HRP1]]/500</f>
        <v>0</v>
      </c>
      <c r="CY141" s="911">
        <f>1-WWWW[[#This Row],[% Equitable and continuous access to sufficient quantity of domestic water]]</f>
        <v>1</v>
      </c>
      <c r="CZ141" s="906">
        <f>WWWW[[#This Row],[%equitable and continuous access to sufficient quantity of safe drinking and domestic water''s GAP]]*WWWW[[#This Row],[Total PoP ]]</f>
        <v>32</v>
      </c>
      <c r="DA141" s="909">
        <f>IF(WWWW[[#This Row],[Total required water points]]-WWWW[[#This Row],['#Water points coverage]]&lt;0,0,WWWW[[#This Row],[Total required water points]]-WWWW[[#This Row],['#Water points coverage]])</f>
        <v>1</v>
      </c>
      <c r="DB141" s="909">
        <f>ROUND(IF(WWWW[[#This Row],[Total PoP ]]&lt;500,1,WWWW[[#This Row],[Total PoP ]]/500),0)</f>
        <v>1</v>
      </c>
      <c r="DC141" s="909">
        <f>(WWWW[[#This Row],['#_Constructed latrines_by_WASHAgencies]]+WWWW[[#This Row],['#_Non Cluster partner latrines]])-WWWW[[#This Row],['#_Non-functional latrines]]</f>
        <v>0</v>
      </c>
      <c r="DD141" s="615">
        <f>WWWW[[#This Row],[HRP2]]/WWWW[[#This Row],[Total PoP ]]</f>
        <v>0</v>
      </c>
      <c r="DE141"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41"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1"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1" s="417">
        <f>IF(WWWW[[#This Row],['# of functional latrines in THF supported by WASH partners during the reporting period2]]="",0,WWWW[[#This Row],['# of functional latrines in THF supported by WASH partners during the reporting period2]]*50)</f>
        <v>0</v>
      </c>
      <c r="DI141" s="909">
        <f>ROUND(IF(WWWW[[#This Row],[Location Type 1]]="camp",WWWW[[#This Row],[Total PoP ]]/20,IF(WWWW[[#This Row],[Location Type 1]]="Temporary Location",WWWW[[#This Row],[Total PoP ]]/50,(WWWW[[#This Row],[Total PoP ]]/6))),0)</f>
        <v>2</v>
      </c>
      <c r="DJ141" s="909">
        <f>IF(WWWW[[#This Row],[Total required Latrines]]-(WWWW[[#This Row],['#_Constructed latrines_by_WASHAgencies]]+WWWW[[#This Row],['#_Non Cluster partner latrines]])&lt;0,0,WWWW[[#This Row],[Total required Latrines]]-(WWWW[[#This Row],['#_Constructed latrines_by_WASHAgencies]]+WWWW[[#This Row],['#_Non Cluster partner latrines]]))</f>
        <v>2</v>
      </c>
      <c r="DK141" s="911">
        <f>1-WWWW[[#This Row],[% people access to functioning Latrine]]</f>
        <v>1</v>
      </c>
      <c r="DL141" s="910">
        <f>IF(OR(WWWW[[#This Row],['#_Non-functional latrines]]="",WWWW[[#This Row],['#_Non-functional latrines]]=0),0,WWWW[[#This Row],['#_Non-functional latrines]]/(WWWW[[#This Row],['#_Constructed latrines_by_WASHAgencies]]+WWWW[[#This Row],['#_Non Cluster partner latrines]]))</f>
        <v>0</v>
      </c>
      <c r="DM141" s="906">
        <f>IF(500*(WWWW[[#This Row],['#_male hygiene promoters]]+WWWW[[#This Row],['#_female hygiene promoters]])&gt;WWWW[[#This Row],[Total PoP ]],WWWW[[#This Row],[Total PoP ]],500*(WWWW[[#This Row],['#_male hygiene promoters]]+WWWW[[#This Row],['#_female hygiene promoters]]))</f>
        <v>0</v>
      </c>
      <c r="DN141"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1"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1" s="909">
        <f>IF(WWWW[[#This Row],['# People with access to soap]]&gt;WWWW[[#This Row],['# People with access to Sanity Pads]],WWWW[[#This Row],['# People with access to soap]],WWWW[[#This Row],['# People with access to Sanity Pads]])</f>
        <v>0</v>
      </c>
      <c r="DQ141"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1" s="911">
        <f>IF(WWWW[[#This Row],[HRP3]]/WWWW[[#This Row],[Total PoP ]]&gt;1,1,WWWW[[#This Row],[HRP3]]/WWWW[[#This Row],[Total PoP ]])</f>
        <v>0</v>
      </c>
      <c r="DS141" s="910">
        <f>1-WWWW[[#This Row],[Hygiene Coverage%]]</f>
        <v>1</v>
      </c>
      <c r="DT141" s="908">
        <f>WWWW[[#This Row],['# people reached by regular dedicated hygiene promotion_5]]/WWWW[[#This Row],[Total PoP ]]</f>
        <v>0</v>
      </c>
      <c r="DU141"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1"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1" s="909">
        <f>WWWW[[#This Row],['#_Constructed/Existing hand washing stations]]-WWWW[[#This Row],['#_Non-Functional_hand_washing_stations]]</f>
        <v>3</v>
      </c>
      <c r="DX141" s="906">
        <f>IF(WWWW[[#This Row],['# Functional hand washing stations during reporting period]]*20&gt;WWWW[[#This Row],[Total HH]],WWWW[[#This Row],[Total HH]],WWWW[[#This Row],['# Functional hand washing stations during reporting period]]*20)</f>
        <v>6</v>
      </c>
      <c r="DY141" s="906">
        <f>IF(WWWW[[#This Row],[Is sufficient soap available for TLS? (Yes/No)]]="yes",WWWW[[#This Row],['#_Constructed/Existing hand washing stations at TLS/CFS/THF]],0)</f>
        <v>0</v>
      </c>
      <c r="DZ141" s="421">
        <f>IF(WWWW[[#This Row],['# Functional hand washing stations during reporting period]]*100&gt;WWWW[[#This Row],[Total PoP ]],WWWW[[#This Row],[Total PoP ]],WWWW[[#This Row],['# Functional hand washing stations during reporting period]]*100)</f>
        <v>32</v>
      </c>
      <c r="EA141" s="421" t="str">
        <f>IF(OR(WWWW[[#This Row],['#_students at TLS_CFS]]="",WWWW[[#This Row],['#_students at TLS_CFS]]=0),"No","Yes")</f>
        <v>No</v>
      </c>
      <c r="EB14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1" s="566">
        <f>WWWW[[#This Row],[%_of_affected_people_surveyed_who_report_feeling_satistfied_with_the_latrine_design_and_sanitation_service]]*WWWW[[#This Row],[Total PoP ]]</f>
        <v>0</v>
      </c>
      <c r="ED141" s="566">
        <f>WWWW[[#This Row],[%_of_affected_people_surveyed_who_report_feeling_satistfied_with_the_water_point_design_and_water_service]]*WWWW[[#This Row],[Total PoP ]]</f>
        <v>0</v>
      </c>
      <c r="EE141" s="566">
        <f>WWWW[[#This Row],[%_of_complaints_received_that_result_in_timely_corrective_action_and_feedback_to_the_community]]*WWWW[[#This Row],[Total PoP ]]</f>
        <v>0</v>
      </c>
      <c r="EF14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1" s="902">
        <f>VLOOKUP(WWWW[[#This Row],[Site Name]],SiteDB6[[Site Name]:[CCCM Management]],6,FALSE)</f>
        <v>0</v>
      </c>
      <c r="EJ141" s="902" t="str">
        <f>VLOOKUP(WWWW[[#This Row],[Site Name]],SiteDB6[[Site Name]:[CCCM Focal Agency]],7,FALSE)</f>
        <v>uncovered</v>
      </c>
      <c r="EK141" s="902" t="str">
        <f>VLOOKUP(WWWW[[#This Row],[Site Name]],SiteDB6[[Site Name]:[Location Type 1]],9,FALSE)</f>
        <v>Camp</v>
      </c>
      <c r="EL141" s="902" t="str">
        <f>VLOOKUP(WWWW[[#This Row],[Site Name]],SiteDB6[[Site Name]:[Type of Accommodation]],10,FALSE)</f>
        <v>Closed Camp</v>
      </c>
      <c r="EM141" s="902" t="str">
        <f>VLOOKUP(WWWW[[#This Row],[Site Name]],SiteDB6[[Site Name]:[Ethnic or GCA/NGCA]],11,FALSE)</f>
        <v>GCA</v>
      </c>
      <c r="EN141" s="902">
        <f>VLOOKUP(WWWW[[#This Row],[Site Name]],SiteDB6[[Site Name]:[Lat]],12,FALSE)</f>
        <v>25.30274</v>
      </c>
      <c r="EO141" s="902">
        <f>VLOOKUP(WWWW[[#This Row],[Site Name]],SiteDB6[[Site Name]:[Long]],13,FALSE)</f>
        <v>96.940380000000005</v>
      </c>
      <c r="EP141" s="902" t="str">
        <f>VLOOKUP(WWWW[[#This Row],[Site Name]],SiteDB6[[Site Name]:[Pcode]],3,FALSE)</f>
        <v>MMR001CMP262</v>
      </c>
      <c r="EQ141" s="907" t="str">
        <f t="shared" si="2"/>
        <v>Notcovered</v>
      </c>
      <c r="ER141" s="907"/>
      <c r="ES141" s="907"/>
      <c r="ET141" s="902">
        <f>VLOOKUP(WWWW[[#This Row],[Site Name]],SiteDB6[[Site Name]:[Pop
(Kachin/Shan-CCCM as of May 2023)]],16,FALSE)</f>
        <v>5</v>
      </c>
      <c r="EU141" s="902">
        <f>VLOOKUP(WWWW[[#This Row],[Site Name]],SiteDB6[[Site Name]:[Pop
(Kachin/Shan-CCCM as of May 2023)]],17,FALSE)</f>
        <v>32</v>
      </c>
    </row>
    <row r="142" spans="1:151" hidden="1">
      <c r="A142" s="900" t="s">
        <v>2961</v>
      </c>
      <c r="B142" s="900" t="s">
        <v>309</v>
      </c>
      <c r="C142" s="901" t="s">
        <v>309</v>
      </c>
      <c r="D142" s="901"/>
      <c r="E142" s="901" t="s">
        <v>37</v>
      </c>
      <c r="F142" s="901" t="s">
        <v>157</v>
      </c>
      <c r="G142" s="902" t="str">
        <f>VLOOKUP(WWWW[[#This Row],[Site Name]],SiteDB6[[Site Name]:[Location Type]],8,FALSE)</f>
        <v>Camp</v>
      </c>
      <c r="H142" s="901" t="s">
        <v>2876</v>
      </c>
      <c r="I142" s="903">
        <v>27</v>
      </c>
      <c r="J142" s="903">
        <v>126</v>
      </c>
      <c r="K142" s="904"/>
      <c r="L142" s="905"/>
      <c r="M142" s="903"/>
      <c r="N142" s="903"/>
      <c r="O142" s="903"/>
      <c r="P142" s="903"/>
      <c r="Q142" s="906"/>
      <c r="R142" s="903"/>
      <c r="S142" s="903"/>
      <c r="T142" s="441"/>
      <c r="U142" s="903"/>
      <c r="V142" s="903"/>
      <c r="W142" s="903"/>
      <c r="X142" s="903"/>
      <c r="Y142" s="903"/>
      <c r="Z142" s="903"/>
      <c r="AA142" s="903"/>
      <c r="AB142" s="903"/>
      <c r="AC142" s="903"/>
      <c r="AD142" s="903"/>
      <c r="AE142" s="903"/>
      <c r="AF142" s="903"/>
      <c r="AG142" s="903"/>
      <c r="AH142" s="903"/>
      <c r="AI142" s="903"/>
      <c r="AJ142" s="903"/>
      <c r="AK142" s="903"/>
      <c r="AL142" s="903"/>
      <c r="AM142" s="903"/>
      <c r="AN142" s="903"/>
      <c r="AO142" s="441"/>
      <c r="AP142" s="907"/>
      <c r="AQ142" s="903"/>
      <c r="AR142" s="903"/>
      <c r="AS142" s="908"/>
      <c r="AT142" s="903"/>
      <c r="AU142" s="903"/>
      <c r="AV142" s="903"/>
      <c r="AW142" s="903"/>
      <c r="AX142" s="903"/>
      <c r="AY142" s="902" t="s">
        <v>140</v>
      </c>
      <c r="AZ142" s="907" t="s">
        <v>140</v>
      </c>
      <c r="BA142" s="903"/>
      <c r="BB142" s="903"/>
      <c r="BC142" s="903"/>
      <c r="BD142" s="441"/>
      <c r="BE142" s="441"/>
      <c r="BF142" s="902"/>
      <c r="BG142" s="903">
        <v>8</v>
      </c>
      <c r="BH142" s="903"/>
      <c r="BI142" s="903"/>
      <c r="BJ142" s="903">
        <v>3</v>
      </c>
      <c r="BK142" s="903"/>
      <c r="BL142" s="903"/>
      <c r="BM142" s="903"/>
      <c r="BN142" s="903"/>
      <c r="BO142" s="903"/>
      <c r="BP142" s="902"/>
      <c r="BQ142" s="909"/>
      <c r="BR142" s="908"/>
      <c r="BS142" s="902"/>
      <c r="BT142" s="416"/>
      <c r="BU142" s="416"/>
      <c r="BV142" s="418"/>
      <c r="BW142" s="416"/>
      <c r="BX142" s="441"/>
      <c r="BY142" s="441"/>
      <c r="BZ142" s="441"/>
      <c r="CA142" s="441"/>
      <c r="CB142" s="441"/>
      <c r="CC142" s="693"/>
      <c r="CD142" s="441"/>
      <c r="CE142" s="910" t="str">
        <f>IFERROR(WWWW[[#This Row],['#_Water sources passed]]/WWWW[[#This Row],['#_Water sources tested for fecal coliform ]],"no test")</f>
        <v>no test</v>
      </c>
      <c r="CF142" s="908" t="str">
        <f>IFERROR(WWWW[[#This Row],['#_Household passed]]/WWWW[[#This Row],['#_Household water samples tested for fecal coliform]],"no test")</f>
        <v>no test</v>
      </c>
      <c r="CG142" s="909" t="str">
        <f>IF(AND(WWWW[[#This Row],[% of water sources passed]]="no test",WWWW[[#This Row],[% Household passed]]="no test"),"No Test","Tested")</f>
        <v>No Test</v>
      </c>
      <c r="CH142" s="909">
        <f>WWWW[[#This Row],['#_Constructed/existing protected hand dug well]]-WWWW[[#This Row],['#_Non-functional protected hand dug well]]</f>
        <v>0</v>
      </c>
      <c r="CI142" s="909">
        <f>(WWWW[[#This Row],['#_Constructed/Existing tube wells/boreholes/handpumps_WASH_agency]]+WWWW[[#This Row],['#_Non-Cluster partner water tube-wells/boreholes/handpumps]])-WWWW[[#This Row],['#_Non-functional tube wells/boreholes/handpumps]]</f>
        <v>0</v>
      </c>
      <c r="CJ142" s="909">
        <f>WWWW[[#This Row],['#_Constructed/Existingwater storage tank with gravity fed reticulation system]]-WWWW[[#This Row],['#_Non-functional storage tank gravity fed reticulation system]]</f>
        <v>0</v>
      </c>
      <c r="CK142" s="909">
        <f>(WWWW[[#This Row],['#_Water_Liters_supplied_by_Water boating or water trucking]]/90)/15</f>
        <v>0</v>
      </c>
      <c r="CL142" s="909">
        <f>WWWW[[#This Row],['#_Water_Liters_from_Constructed/Existing water distribution system from river or natural spring]]/90/15</f>
        <v>0</v>
      </c>
      <c r="CM142" s="417">
        <f>IF(WWWW[[#This Row],['#_of water points in TLS/CFS]]*500&gt;WWWW[[#This Row],[Total PoP ]],WWWW[[#This Row],[Total PoP ]],WWWW[[#This Row],['#_of water points in TLS/CFS]]*500)</f>
        <v>0</v>
      </c>
      <c r="CN142" s="417">
        <f>IF(WWWW[[#This Row],['#_of water points in THF]]*500&gt;WWWW[[#This Row],[Total PoP ]],WWWW[[#This Row],[Total PoP ]],WWWW[[#This Row],['#_of water points in THF]]*500)</f>
        <v>0</v>
      </c>
      <c r="CO142" s="417"/>
      <c r="CP142"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42"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42" s="908">
        <f>IF(WWWW[[#This Row],[Location Type 1]]="Village",WWWW[[#This Row],[Access to safe drinking water for Village]],WWWW[[#This Row],[Access to safe drinking water for Camp]])</f>
        <v>0</v>
      </c>
      <c r="CS142" s="906">
        <f>WWWW[[#This Row],[%Equitable and continuous access to sufficient quantity of safe drinking water]]*WWWW[[#This Row],[Total PoP ]]</f>
        <v>0</v>
      </c>
      <c r="CT142" s="908">
        <f>IF((WWWW[[#This Row],['#_Constructed/Existing protected/fenced ponds]]*250)/WWWW[[#This Row],[Total PoP ]]&gt;1,1,(WWWW[[#This Row],['#_Constructed/Existing protected/fenced ponds]]*250)/WWWW[[#This Row],[Total PoP ]])</f>
        <v>0</v>
      </c>
      <c r="CU142" s="906">
        <f>WWWW[[#This Row],[% Access to unimproved water points]]*WWWW[[#This Row],[Total PoP ]]</f>
        <v>0</v>
      </c>
      <c r="CV142"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42"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42" s="906">
        <f>WWWW[[#This Row],[HRP1]]/500</f>
        <v>0</v>
      </c>
      <c r="CY142" s="911">
        <f>1-WWWW[[#This Row],[% Equitable and continuous access to sufficient quantity of domestic water]]</f>
        <v>1</v>
      </c>
      <c r="CZ142" s="906">
        <f>WWWW[[#This Row],[%equitable and continuous access to sufficient quantity of safe drinking and domestic water''s GAP]]*WWWW[[#This Row],[Total PoP ]]</f>
        <v>126</v>
      </c>
      <c r="DA142" s="909">
        <f>IF(WWWW[[#This Row],[Total required water points]]-WWWW[[#This Row],['#Water points coverage]]&lt;0,0,WWWW[[#This Row],[Total required water points]]-WWWW[[#This Row],['#Water points coverage]])</f>
        <v>1</v>
      </c>
      <c r="DB142" s="909">
        <f>ROUND(IF(WWWW[[#This Row],[Total PoP ]]&lt;500,1,WWWW[[#This Row],[Total PoP ]]/500),0)</f>
        <v>1</v>
      </c>
      <c r="DC142" s="909">
        <f>(WWWW[[#This Row],['#_Constructed latrines_by_WASHAgencies]]+WWWW[[#This Row],['#_Non Cluster partner latrines]])-WWWW[[#This Row],['#_Non-functional latrines]]</f>
        <v>0</v>
      </c>
      <c r="DD142" s="615">
        <f>WWWW[[#This Row],[HRP2]]/WWWW[[#This Row],[Total PoP ]]</f>
        <v>0</v>
      </c>
      <c r="DE142"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42"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2"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2" s="417">
        <f>IF(WWWW[[#This Row],['# of functional latrines in THF supported by WASH partners during the reporting period2]]="",0,WWWW[[#This Row],['# of functional latrines in THF supported by WASH partners during the reporting period2]]*50)</f>
        <v>0</v>
      </c>
      <c r="DI142" s="909">
        <f>ROUND(IF(WWWW[[#This Row],[Location Type 1]]="camp",WWWW[[#This Row],[Total PoP ]]/20,IF(WWWW[[#This Row],[Location Type 1]]="Temporary Location",WWWW[[#This Row],[Total PoP ]]/50,(WWWW[[#This Row],[Total PoP ]]/6))),0)</f>
        <v>6</v>
      </c>
      <c r="DJ142" s="909">
        <f>IF(WWWW[[#This Row],[Total required Latrines]]-(WWWW[[#This Row],['#_Constructed latrines_by_WASHAgencies]]+WWWW[[#This Row],['#_Non Cluster partner latrines]])&lt;0,0,WWWW[[#This Row],[Total required Latrines]]-(WWWW[[#This Row],['#_Constructed latrines_by_WASHAgencies]]+WWWW[[#This Row],['#_Non Cluster partner latrines]]))</f>
        <v>6</v>
      </c>
      <c r="DK142" s="911">
        <f>1-WWWW[[#This Row],[% people access to functioning Latrine]]</f>
        <v>1</v>
      </c>
      <c r="DL142" s="910">
        <f>IF(OR(WWWW[[#This Row],['#_Non-functional latrines]]="",WWWW[[#This Row],['#_Non-functional latrines]]=0),0,WWWW[[#This Row],['#_Non-functional latrines]]/(WWWW[[#This Row],['#_Constructed latrines_by_WASHAgencies]]+WWWW[[#This Row],['#_Non Cluster partner latrines]]))</f>
        <v>0</v>
      </c>
      <c r="DM142" s="906">
        <f>IF(500*(WWWW[[#This Row],['#_male hygiene promoters]]+WWWW[[#This Row],['#_female hygiene promoters]])&gt;WWWW[[#This Row],[Total PoP ]],WWWW[[#This Row],[Total PoP ]],500*(WWWW[[#This Row],['#_male hygiene promoters]]+WWWW[[#This Row],['#_female hygiene promoters]]))</f>
        <v>0</v>
      </c>
      <c r="DN142"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2"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2" s="909">
        <f>IF(WWWW[[#This Row],['# People with access to soap]]&gt;WWWW[[#This Row],['# People with access to Sanity Pads]],WWWW[[#This Row],['# People with access to soap]],WWWW[[#This Row],['# People with access to Sanity Pads]])</f>
        <v>0</v>
      </c>
      <c r="DQ142"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2" s="911">
        <f>IF(WWWW[[#This Row],[HRP3]]/WWWW[[#This Row],[Total PoP ]]&gt;1,1,WWWW[[#This Row],[HRP3]]/WWWW[[#This Row],[Total PoP ]])</f>
        <v>0</v>
      </c>
      <c r="DS142" s="910">
        <f>1-WWWW[[#This Row],[Hygiene Coverage%]]</f>
        <v>1</v>
      </c>
      <c r="DT142" s="908">
        <f>WWWW[[#This Row],['# people reached by regular dedicated hygiene promotion_5]]/WWWW[[#This Row],[Total PoP ]]</f>
        <v>0</v>
      </c>
      <c r="DU142"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2"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2" s="909">
        <f>WWWW[[#This Row],['#_Constructed/Existing hand washing stations]]-WWWW[[#This Row],['#_Non-Functional_hand_washing_stations]]</f>
        <v>8</v>
      </c>
      <c r="DX142" s="906">
        <f>IF(WWWW[[#This Row],['# Functional hand washing stations during reporting period]]*20&gt;WWWW[[#This Row],[Total HH]],WWWW[[#This Row],[Total HH]],WWWW[[#This Row],['# Functional hand washing stations during reporting period]]*20)</f>
        <v>27</v>
      </c>
      <c r="DY142" s="906">
        <f>IF(WWWW[[#This Row],[Is sufficient soap available for TLS? (Yes/No)]]="yes",WWWW[[#This Row],['#_Constructed/Existing hand washing stations at TLS/CFS/THF]],0)</f>
        <v>0</v>
      </c>
      <c r="DZ142" s="421">
        <f>IF(WWWW[[#This Row],['# Functional hand washing stations during reporting period]]*100&gt;WWWW[[#This Row],[Total PoP ]],WWWW[[#This Row],[Total PoP ]],WWWW[[#This Row],['# Functional hand washing stations during reporting period]]*100)</f>
        <v>126</v>
      </c>
      <c r="EA142" s="421" t="str">
        <f>IF(OR(WWWW[[#This Row],['#_students at TLS_CFS]]="",WWWW[[#This Row],['#_students at TLS_CFS]]=0),"No","Yes")</f>
        <v>No</v>
      </c>
      <c r="EB14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2" s="566">
        <f>WWWW[[#This Row],[%_of_affected_people_surveyed_who_report_feeling_satistfied_with_the_latrine_design_and_sanitation_service]]*WWWW[[#This Row],[Total PoP ]]</f>
        <v>0</v>
      </c>
      <c r="ED142" s="566">
        <f>WWWW[[#This Row],[%_of_affected_people_surveyed_who_report_feeling_satistfied_with_the_water_point_design_and_water_service]]*WWWW[[#This Row],[Total PoP ]]</f>
        <v>0</v>
      </c>
      <c r="EE142" s="566">
        <f>WWWW[[#This Row],[%_of_complaints_received_that_result_in_timely_corrective_action_and_feedback_to_the_community]]*WWWW[[#This Row],[Total PoP ]]</f>
        <v>0</v>
      </c>
      <c r="EF14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2" s="902">
        <f>VLOOKUP(WWWW[[#This Row],[Site Name]],SiteDB6[[Site Name]:[CCCM Management]],6,FALSE)</f>
        <v>0</v>
      </c>
      <c r="EJ142" s="902" t="str">
        <f>VLOOKUP(WWWW[[#This Row],[Site Name]],SiteDB6[[Site Name]:[CCCM Focal Agency]],7,FALSE)</f>
        <v>uncovered</v>
      </c>
      <c r="EK142" s="902" t="str">
        <f>VLOOKUP(WWWW[[#This Row],[Site Name]],SiteDB6[[Site Name]:[Location Type 1]],9,FALSE)</f>
        <v>Camp</v>
      </c>
      <c r="EL142" s="902" t="str">
        <f>VLOOKUP(WWWW[[#This Row],[Site Name]],SiteDB6[[Site Name]:[Type of Accommodation]],10,FALSE)</f>
        <v>IDPs in host</v>
      </c>
      <c r="EM142" s="902" t="str">
        <f>VLOOKUP(WWWW[[#This Row],[Site Name]],SiteDB6[[Site Name]:[Ethnic or GCA/NGCA]],11,FALSE)</f>
        <v>GCA</v>
      </c>
      <c r="EN142" s="902">
        <f>VLOOKUP(WWWW[[#This Row],[Site Name]],SiteDB6[[Site Name]:[Lat]],12,FALSE)</f>
        <v>24.996279999999999</v>
      </c>
      <c r="EO142" s="902">
        <f>VLOOKUP(WWWW[[#This Row],[Site Name]],SiteDB6[[Site Name]:[Long]],13,FALSE)</f>
        <v>96.52534</v>
      </c>
      <c r="EP142" s="902" t="str">
        <f>VLOOKUP(WWWW[[#This Row],[Site Name]],SiteDB6[[Site Name]:[Pcode]],3,FALSE)</f>
        <v>MMR001CMP232</v>
      </c>
      <c r="EQ142" s="907" t="str">
        <f t="shared" si="2"/>
        <v>Notcovered</v>
      </c>
      <c r="ER142" s="907"/>
      <c r="ES142" s="907"/>
      <c r="ET142" s="902">
        <f>VLOOKUP(WWWW[[#This Row],[Site Name]],SiteDB6[[Site Name]:[Pop
(Kachin/Shan-CCCM as of May 2023)]],16,FALSE)</f>
        <v>14</v>
      </c>
      <c r="EU142" s="902">
        <f>VLOOKUP(WWWW[[#This Row],[Site Name]],SiteDB6[[Site Name]:[Pop
(Kachin/Shan-CCCM as of May 2023)]],17,FALSE)</f>
        <v>66</v>
      </c>
    </row>
    <row r="143" spans="1:151" hidden="1">
      <c r="A143" s="900" t="s">
        <v>2961</v>
      </c>
      <c r="B143" s="900" t="s">
        <v>309</v>
      </c>
      <c r="C143" s="901" t="s">
        <v>309</v>
      </c>
      <c r="D143" s="901"/>
      <c r="E143" s="901" t="s">
        <v>37</v>
      </c>
      <c r="F143" s="901" t="s">
        <v>157</v>
      </c>
      <c r="G143" s="902" t="str">
        <f>VLOOKUP(WWWW[[#This Row],[Site Name]],SiteDB6[[Site Name]:[Location Type]],8,FALSE)</f>
        <v>Camp</v>
      </c>
      <c r="H143" s="901" t="s">
        <v>2877</v>
      </c>
      <c r="I143" s="903">
        <v>15</v>
      </c>
      <c r="J143" s="903">
        <v>71</v>
      </c>
      <c r="K143" s="904"/>
      <c r="L143" s="905"/>
      <c r="M143" s="903"/>
      <c r="N143" s="903"/>
      <c r="O143" s="903"/>
      <c r="P143" s="903"/>
      <c r="Q143" s="906"/>
      <c r="R143" s="903"/>
      <c r="S143" s="903">
        <v>4</v>
      </c>
      <c r="T143" s="441"/>
      <c r="U143" s="903"/>
      <c r="V143" s="903"/>
      <c r="W143" s="903"/>
      <c r="X143" s="903"/>
      <c r="Y143" s="903"/>
      <c r="Z143" s="903"/>
      <c r="AA143" s="903"/>
      <c r="AB143" s="903"/>
      <c r="AC143" s="903"/>
      <c r="AD143" s="903"/>
      <c r="AE143" s="903"/>
      <c r="AF143" s="903"/>
      <c r="AG143" s="903"/>
      <c r="AH143" s="903"/>
      <c r="AI143" s="903"/>
      <c r="AJ143" s="903"/>
      <c r="AK143" s="903"/>
      <c r="AL143" s="903"/>
      <c r="AM143" s="903"/>
      <c r="AN143" s="903"/>
      <c r="AO143" s="441"/>
      <c r="AP143" s="907"/>
      <c r="AQ143" s="903"/>
      <c r="AR143" s="903"/>
      <c r="AS143" s="908"/>
      <c r="AT143" s="903"/>
      <c r="AU143" s="903"/>
      <c r="AV143" s="903"/>
      <c r="AW143" s="903"/>
      <c r="AX143" s="903"/>
      <c r="AY143" s="902" t="s">
        <v>140</v>
      </c>
      <c r="AZ143" s="907" t="s">
        <v>140</v>
      </c>
      <c r="BA143" s="903"/>
      <c r="BB143" s="903"/>
      <c r="BC143" s="903"/>
      <c r="BD143" s="441"/>
      <c r="BE143" s="441"/>
      <c r="BF143" s="902"/>
      <c r="BG143" s="903">
        <v>3</v>
      </c>
      <c r="BH143" s="903"/>
      <c r="BI143" s="903"/>
      <c r="BJ143" s="903">
        <v>2</v>
      </c>
      <c r="BK143" s="903"/>
      <c r="BL143" s="903"/>
      <c r="BM143" s="903"/>
      <c r="BN143" s="903"/>
      <c r="BO143" s="903"/>
      <c r="BP143" s="902"/>
      <c r="BQ143" s="909"/>
      <c r="BR143" s="908"/>
      <c r="BS143" s="902"/>
      <c r="BT143" s="416"/>
      <c r="BU143" s="416"/>
      <c r="BV143" s="418"/>
      <c r="BW143" s="416"/>
      <c r="BX143" s="441"/>
      <c r="BY143" s="441"/>
      <c r="BZ143" s="441"/>
      <c r="CA143" s="441"/>
      <c r="CB143" s="441"/>
      <c r="CC143" s="693"/>
      <c r="CD143" s="441"/>
      <c r="CE143" s="910" t="str">
        <f>IFERROR(WWWW[[#This Row],['#_Water sources passed]]/WWWW[[#This Row],['#_Water sources tested for fecal coliform ]],"no test")</f>
        <v>no test</v>
      </c>
      <c r="CF143" s="908" t="str">
        <f>IFERROR(WWWW[[#This Row],['#_Household passed]]/WWWW[[#This Row],['#_Household water samples tested for fecal coliform]],"no test")</f>
        <v>no test</v>
      </c>
      <c r="CG143" s="909" t="str">
        <f>IF(AND(WWWW[[#This Row],[% of water sources passed]]="no test",WWWW[[#This Row],[% Household passed]]="no test"),"No Test","Tested")</f>
        <v>No Test</v>
      </c>
      <c r="CH143" s="909">
        <f>WWWW[[#This Row],['#_Constructed/existing protected hand dug well]]-WWWW[[#This Row],['#_Non-functional protected hand dug well]]</f>
        <v>0</v>
      </c>
      <c r="CI143" s="909">
        <f>(WWWW[[#This Row],['#_Constructed/Existing tube wells/boreholes/handpumps_WASH_agency]]+WWWW[[#This Row],['#_Non-Cluster partner water tube-wells/boreholes/handpumps]])-WWWW[[#This Row],['#_Non-functional tube wells/boreholes/handpumps]]</f>
        <v>0</v>
      </c>
      <c r="CJ143" s="909">
        <f>WWWW[[#This Row],['#_Constructed/Existingwater storage tank with gravity fed reticulation system]]-WWWW[[#This Row],['#_Non-functional storage tank gravity fed reticulation system]]</f>
        <v>0</v>
      </c>
      <c r="CK143" s="909">
        <f>(WWWW[[#This Row],['#_Water_Liters_supplied_by_Water boating or water trucking]]/90)/15</f>
        <v>0</v>
      </c>
      <c r="CL143" s="909">
        <f>WWWW[[#This Row],['#_Water_Liters_from_Constructed/Existing water distribution system from river or natural spring]]/90/15</f>
        <v>0</v>
      </c>
      <c r="CM143" s="417">
        <f>IF(WWWW[[#This Row],['#_of water points in TLS/CFS]]*500&gt;WWWW[[#This Row],[Total PoP ]],WWWW[[#This Row],[Total PoP ]],WWWW[[#This Row],['#_of water points in TLS/CFS]]*500)</f>
        <v>0</v>
      </c>
      <c r="CN143" s="417">
        <f>IF(WWWW[[#This Row],['#_of water points in THF]]*500&gt;WWWW[[#This Row],[Total PoP ]],WWWW[[#This Row],[Total PoP ]],WWWW[[#This Row],['#_of water points in THF]]*500)</f>
        <v>0</v>
      </c>
      <c r="CO143" s="417"/>
      <c r="CP143"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43"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43" s="908">
        <f>IF(WWWW[[#This Row],[Location Type 1]]="Village",WWWW[[#This Row],[Access to safe drinking water for Village]],WWWW[[#This Row],[Access to safe drinking water for Camp]])</f>
        <v>0</v>
      </c>
      <c r="CS143" s="906">
        <f>WWWW[[#This Row],[%Equitable and continuous access to sufficient quantity of safe drinking water]]*WWWW[[#This Row],[Total PoP ]]</f>
        <v>0</v>
      </c>
      <c r="CT143" s="908">
        <f>IF((WWWW[[#This Row],['#_Constructed/Existing protected/fenced ponds]]*250)/WWWW[[#This Row],[Total PoP ]]&gt;1,1,(WWWW[[#This Row],['#_Constructed/Existing protected/fenced ponds]]*250)/WWWW[[#This Row],[Total PoP ]])</f>
        <v>0</v>
      </c>
      <c r="CU143" s="906">
        <f>WWWW[[#This Row],[% Access to unimproved water points]]*WWWW[[#This Row],[Total PoP ]]</f>
        <v>0</v>
      </c>
      <c r="CV143"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43"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43" s="906">
        <f>WWWW[[#This Row],[HRP1]]/500</f>
        <v>0</v>
      </c>
      <c r="CY143" s="911">
        <f>1-WWWW[[#This Row],[% Equitable and continuous access to sufficient quantity of domestic water]]</f>
        <v>1</v>
      </c>
      <c r="CZ143" s="906">
        <f>WWWW[[#This Row],[%equitable and continuous access to sufficient quantity of safe drinking and domestic water''s GAP]]*WWWW[[#This Row],[Total PoP ]]</f>
        <v>71</v>
      </c>
      <c r="DA143" s="909">
        <f>IF(WWWW[[#This Row],[Total required water points]]-WWWW[[#This Row],['#Water points coverage]]&lt;0,0,WWWW[[#This Row],[Total required water points]]-WWWW[[#This Row],['#Water points coverage]])</f>
        <v>1</v>
      </c>
      <c r="DB143" s="909">
        <f>ROUND(IF(WWWW[[#This Row],[Total PoP ]]&lt;500,1,WWWW[[#This Row],[Total PoP ]]/500),0)</f>
        <v>1</v>
      </c>
      <c r="DC143" s="909">
        <f>(WWWW[[#This Row],['#_Constructed latrines_by_WASHAgencies]]+WWWW[[#This Row],['#_Non Cluster partner latrines]])-WWWW[[#This Row],['#_Non-functional latrines]]</f>
        <v>0</v>
      </c>
      <c r="DD143" s="615">
        <f>WWWW[[#This Row],[HRP2]]/WWWW[[#This Row],[Total PoP ]]</f>
        <v>0</v>
      </c>
      <c r="DE143"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43"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3"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3" s="417">
        <f>IF(WWWW[[#This Row],['# of functional latrines in THF supported by WASH partners during the reporting period2]]="",0,WWWW[[#This Row],['# of functional latrines in THF supported by WASH partners during the reporting period2]]*50)</f>
        <v>0</v>
      </c>
      <c r="DI143" s="909">
        <f>ROUND(IF(WWWW[[#This Row],[Location Type 1]]="camp",WWWW[[#This Row],[Total PoP ]]/20,IF(WWWW[[#This Row],[Location Type 1]]="Temporary Location",WWWW[[#This Row],[Total PoP ]]/50,(WWWW[[#This Row],[Total PoP ]]/6))),0)</f>
        <v>4</v>
      </c>
      <c r="DJ143" s="909">
        <f>IF(WWWW[[#This Row],[Total required Latrines]]-(WWWW[[#This Row],['#_Constructed latrines_by_WASHAgencies]]+WWWW[[#This Row],['#_Non Cluster partner latrines]])&lt;0,0,WWWW[[#This Row],[Total required Latrines]]-(WWWW[[#This Row],['#_Constructed latrines_by_WASHAgencies]]+WWWW[[#This Row],['#_Non Cluster partner latrines]]))</f>
        <v>4</v>
      </c>
      <c r="DK143" s="911">
        <f>1-WWWW[[#This Row],[% people access to functioning Latrine]]</f>
        <v>1</v>
      </c>
      <c r="DL143" s="910">
        <f>IF(OR(WWWW[[#This Row],['#_Non-functional latrines]]="",WWWW[[#This Row],['#_Non-functional latrines]]=0),0,WWWW[[#This Row],['#_Non-functional latrines]]/(WWWW[[#This Row],['#_Constructed latrines_by_WASHAgencies]]+WWWW[[#This Row],['#_Non Cluster partner latrines]]))</f>
        <v>0</v>
      </c>
      <c r="DM143" s="906">
        <f>IF(500*(WWWW[[#This Row],['#_male hygiene promoters]]+WWWW[[#This Row],['#_female hygiene promoters]])&gt;WWWW[[#This Row],[Total PoP ]],WWWW[[#This Row],[Total PoP ]],500*(WWWW[[#This Row],['#_male hygiene promoters]]+WWWW[[#This Row],['#_female hygiene promoters]]))</f>
        <v>0</v>
      </c>
      <c r="DN143"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3"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3" s="909">
        <f>IF(WWWW[[#This Row],['# People with access to soap]]&gt;WWWW[[#This Row],['# People with access to Sanity Pads]],WWWW[[#This Row],['# People with access to soap]],WWWW[[#This Row],['# People with access to Sanity Pads]])</f>
        <v>0</v>
      </c>
      <c r="DQ143"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3" s="911">
        <f>IF(WWWW[[#This Row],[HRP3]]/WWWW[[#This Row],[Total PoP ]]&gt;1,1,WWWW[[#This Row],[HRP3]]/WWWW[[#This Row],[Total PoP ]])</f>
        <v>0</v>
      </c>
      <c r="DS143" s="910">
        <f>1-WWWW[[#This Row],[Hygiene Coverage%]]</f>
        <v>1</v>
      </c>
      <c r="DT143" s="908">
        <f>WWWW[[#This Row],['# people reached by regular dedicated hygiene promotion_5]]/WWWW[[#This Row],[Total PoP ]]</f>
        <v>0</v>
      </c>
      <c r="DU143"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3"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3" s="909">
        <f>WWWW[[#This Row],['#_Constructed/Existing hand washing stations]]-WWWW[[#This Row],['#_Non-Functional_hand_washing_stations]]</f>
        <v>3</v>
      </c>
      <c r="DX143" s="906">
        <f>IF(WWWW[[#This Row],['# Functional hand washing stations during reporting period]]*20&gt;WWWW[[#This Row],[Total HH]],WWWW[[#This Row],[Total HH]],WWWW[[#This Row],['# Functional hand washing stations during reporting period]]*20)</f>
        <v>15</v>
      </c>
      <c r="DY143" s="906">
        <f>IF(WWWW[[#This Row],[Is sufficient soap available for TLS? (Yes/No)]]="yes",WWWW[[#This Row],['#_Constructed/Existing hand washing stations at TLS/CFS/THF]],0)</f>
        <v>0</v>
      </c>
      <c r="DZ143" s="421">
        <f>IF(WWWW[[#This Row],['# Functional hand washing stations during reporting period]]*100&gt;WWWW[[#This Row],[Total PoP ]],WWWW[[#This Row],[Total PoP ]],WWWW[[#This Row],['# Functional hand washing stations during reporting period]]*100)</f>
        <v>71</v>
      </c>
      <c r="EA143" s="421" t="str">
        <f>IF(OR(WWWW[[#This Row],['#_students at TLS_CFS]]="",WWWW[[#This Row],['#_students at TLS_CFS]]=0),"No","Yes")</f>
        <v>No</v>
      </c>
      <c r="EB14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3" s="566">
        <f>WWWW[[#This Row],[%_of_affected_people_surveyed_who_report_feeling_satistfied_with_the_latrine_design_and_sanitation_service]]*WWWW[[#This Row],[Total PoP ]]</f>
        <v>0</v>
      </c>
      <c r="ED143" s="566">
        <f>WWWW[[#This Row],[%_of_affected_people_surveyed_who_report_feeling_satistfied_with_the_water_point_design_and_water_service]]*WWWW[[#This Row],[Total PoP ]]</f>
        <v>0</v>
      </c>
      <c r="EE143" s="566">
        <f>WWWW[[#This Row],[%_of_complaints_received_that_result_in_timely_corrective_action_and_feedback_to_the_community]]*WWWW[[#This Row],[Total PoP ]]</f>
        <v>0</v>
      </c>
      <c r="EF14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3" s="902">
        <f>VLOOKUP(WWWW[[#This Row],[Site Name]],SiteDB6[[Site Name]:[CCCM Management]],6,FALSE)</f>
        <v>0</v>
      </c>
      <c r="EJ143" s="902" t="str">
        <f>VLOOKUP(WWWW[[#This Row],[Site Name]],SiteDB6[[Site Name]:[CCCM Focal Agency]],7,FALSE)</f>
        <v>uncovered</v>
      </c>
      <c r="EK143" s="902" t="str">
        <f>VLOOKUP(WWWW[[#This Row],[Site Name]],SiteDB6[[Site Name]:[Location Type 1]],9,FALSE)</f>
        <v>Camp</v>
      </c>
      <c r="EL143" s="902" t="str">
        <f>VLOOKUP(WWWW[[#This Row],[Site Name]],SiteDB6[[Site Name]:[Type of Accommodation]],10,FALSE)</f>
        <v>IDPs in host</v>
      </c>
      <c r="EM143" s="902" t="str">
        <f>VLOOKUP(WWWW[[#This Row],[Site Name]],SiteDB6[[Site Name]:[Ethnic or GCA/NGCA]],11,FALSE)</f>
        <v>GCA</v>
      </c>
      <c r="EN143" s="902">
        <f>VLOOKUP(WWWW[[#This Row],[Site Name]],SiteDB6[[Site Name]:[Lat]],12,FALSE)</f>
        <v>24.764959999999999</v>
      </c>
      <c r="EO143" s="902">
        <f>VLOOKUP(WWWW[[#This Row],[Site Name]],SiteDB6[[Site Name]:[Long]],13,FALSE)</f>
        <v>96.366919999999993</v>
      </c>
      <c r="EP143" s="902" t="str">
        <f>VLOOKUP(WWWW[[#This Row],[Site Name]],SiteDB6[[Site Name]:[Pcode]],3,FALSE)</f>
        <v>MMR001CMP233</v>
      </c>
      <c r="EQ143" s="907" t="str">
        <f t="shared" si="2"/>
        <v>Notcovered</v>
      </c>
      <c r="ER143" s="907"/>
      <c r="ES143" s="907"/>
      <c r="ET143" s="902">
        <f>VLOOKUP(WWWW[[#This Row],[Site Name]],SiteDB6[[Site Name]:[Pop
(Kachin/Shan-CCCM as of May 2023)]],16,FALSE)</f>
        <v>19</v>
      </c>
      <c r="EU143" s="902">
        <f>VLOOKUP(WWWW[[#This Row],[Site Name]],SiteDB6[[Site Name]:[Pop
(Kachin/Shan-CCCM as of May 2023)]],17,FALSE)</f>
        <v>78</v>
      </c>
    </row>
    <row r="144" spans="1:151" hidden="1">
      <c r="A144" s="900" t="s">
        <v>2961</v>
      </c>
      <c r="B144" s="900" t="s">
        <v>309</v>
      </c>
      <c r="C144" s="901" t="s">
        <v>309</v>
      </c>
      <c r="D144" s="901"/>
      <c r="E144" s="901" t="s">
        <v>37</v>
      </c>
      <c r="F144" s="901" t="s">
        <v>157</v>
      </c>
      <c r="G144" s="902" t="str">
        <f>VLOOKUP(WWWW[[#This Row],[Site Name]],SiteDB6[[Site Name]:[Location Type]],8,FALSE)</f>
        <v>Camp</v>
      </c>
      <c r="H144" s="901" t="s">
        <v>2992</v>
      </c>
      <c r="I144" s="903">
        <v>542</v>
      </c>
      <c r="J144" s="903">
        <v>2399</v>
      </c>
      <c r="K144" s="904"/>
      <c r="L144" s="905"/>
      <c r="M144" s="903"/>
      <c r="N144" s="903"/>
      <c r="O144" s="903"/>
      <c r="P144" s="903"/>
      <c r="Q144" s="906"/>
      <c r="R144" s="903"/>
      <c r="S144" s="903"/>
      <c r="T144" s="441"/>
      <c r="U144" s="903"/>
      <c r="V144" s="903"/>
      <c r="W144" s="903"/>
      <c r="X144" s="903"/>
      <c r="Y144" s="903"/>
      <c r="Z144" s="903"/>
      <c r="AA144" s="903"/>
      <c r="AB144" s="903"/>
      <c r="AC144" s="903"/>
      <c r="AD144" s="903"/>
      <c r="AE144" s="903"/>
      <c r="AF144" s="903"/>
      <c r="AG144" s="903"/>
      <c r="AH144" s="903"/>
      <c r="AI144" s="903"/>
      <c r="AJ144" s="903"/>
      <c r="AK144" s="903"/>
      <c r="AL144" s="903"/>
      <c r="AM144" s="903"/>
      <c r="AN144" s="903"/>
      <c r="AO144" s="441"/>
      <c r="AP144" s="907"/>
      <c r="AQ144" s="903"/>
      <c r="AR144" s="903"/>
      <c r="AS144" s="908"/>
      <c r="AT144" s="903"/>
      <c r="AU144" s="903"/>
      <c r="AV144" s="903"/>
      <c r="AW144" s="903"/>
      <c r="AX144" s="903"/>
      <c r="AY144" s="902"/>
      <c r="AZ144" s="907"/>
      <c r="BA144" s="903"/>
      <c r="BB144" s="903"/>
      <c r="BC144" s="903"/>
      <c r="BD144" s="441"/>
      <c r="BE144" s="441"/>
      <c r="BF144" s="902"/>
      <c r="BG144" s="903"/>
      <c r="BH144" s="903"/>
      <c r="BI144" s="903"/>
      <c r="BJ144" s="903"/>
      <c r="BK144" s="903"/>
      <c r="BL144" s="903"/>
      <c r="BM144" s="903"/>
      <c r="BN144" s="903"/>
      <c r="BO144" s="903"/>
      <c r="BP144" s="902"/>
      <c r="BQ144" s="909"/>
      <c r="BR144" s="908"/>
      <c r="BS144" s="902"/>
      <c r="BT144" s="416"/>
      <c r="BU144" s="416"/>
      <c r="BV144" s="418"/>
      <c r="BW144" s="416"/>
      <c r="BX144" s="441"/>
      <c r="BY144" s="441"/>
      <c r="BZ144" s="441"/>
      <c r="CA144" s="441"/>
      <c r="CB144" s="441"/>
      <c r="CC144" s="693"/>
      <c r="CD144" s="441"/>
      <c r="CE144" s="910" t="str">
        <f>IFERROR(WWWW[[#This Row],['#_Water sources passed]]/WWWW[[#This Row],['#_Water sources tested for fecal coliform ]],"no test")</f>
        <v>no test</v>
      </c>
      <c r="CF144" s="908" t="str">
        <f>IFERROR(WWWW[[#This Row],['#_Household passed]]/WWWW[[#This Row],['#_Household water samples tested for fecal coliform]],"no test")</f>
        <v>no test</v>
      </c>
      <c r="CG144" s="909" t="str">
        <f>IF(AND(WWWW[[#This Row],[% of water sources passed]]="no test",WWWW[[#This Row],[% Household passed]]="no test"),"No Test","Tested")</f>
        <v>No Test</v>
      </c>
      <c r="CH144" s="909">
        <f>WWWW[[#This Row],['#_Constructed/existing protected hand dug well]]-WWWW[[#This Row],['#_Non-functional protected hand dug well]]</f>
        <v>0</v>
      </c>
      <c r="CI144" s="909">
        <f>(WWWW[[#This Row],['#_Constructed/Existing tube wells/boreholes/handpumps_WASH_agency]]+WWWW[[#This Row],['#_Non-Cluster partner water tube-wells/boreholes/handpumps]])-WWWW[[#This Row],['#_Non-functional tube wells/boreholes/handpumps]]</f>
        <v>0</v>
      </c>
      <c r="CJ144" s="909">
        <f>WWWW[[#This Row],['#_Constructed/Existingwater storage tank with gravity fed reticulation system]]-WWWW[[#This Row],['#_Non-functional storage tank gravity fed reticulation system]]</f>
        <v>0</v>
      </c>
      <c r="CK144" s="909">
        <f>(WWWW[[#This Row],['#_Water_Liters_supplied_by_Water boating or water trucking]]/90)/15</f>
        <v>0</v>
      </c>
      <c r="CL144" s="909">
        <f>WWWW[[#This Row],['#_Water_Liters_from_Constructed/Existing water distribution system from river or natural spring]]/90/15</f>
        <v>0</v>
      </c>
      <c r="CM144" s="417">
        <f>IF(WWWW[[#This Row],['#_of water points in TLS/CFS]]*500&gt;WWWW[[#This Row],[Total PoP ]],WWWW[[#This Row],[Total PoP ]],WWWW[[#This Row],['#_of water points in TLS/CFS]]*500)</f>
        <v>0</v>
      </c>
      <c r="CN144" s="417">
        <f>IF(WWWW[[#This Row],['#_of water points in THF]]*500&gt;WWWW[[#This Row],[Total PoP ]],WWWW[[#This Row],[Total PoP ]],WWWW[[#This Row],['#_of water points in THF]]*500)</f>
        <v>0</v>
      </c>
      <c r="CO144" s="417"/>
      <c r="CP144"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44"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44" s="908">
        <f>IF(WWWW[[#This Row],[Location Type 1]]="Village",WWWW[[#This Row],[Access to safe drinking water for Village]],WWWW[[#This Row],[Access to safe drinking water for Camp]])</f>
        <v>0</v>
      </c>
      <c r="CS144" s="906">
        <f>WWWW[[#This Row],[%Equitable and continuous access to sufficient quantity of safe drinking water]]*WWWW[[#This Row],[Total PoP ]]</f>
        <v>0</v>
      </c>
      <c r="CT144" s="908">
        <f>IF((WWWW[[#This Row],['#_Constructed/Existing protected/fenced ponds]]*250)/WWWW[[#This Row],[Total PoP ]]&gt;1,1,(WWWW[[#This Row],['#_Constructed/Existing protected/fenced ponds]]*250)/WWWW[[#This Row],[Total PoP ]])</f>
        <v>0</v>
      </c>
      <c r="CU144" s="906">
        <f>WWWW[[#This Row],[% Access to unimproved water points]]*WWWW[[#This Row],[Total PoP ]]</f>
        <v>0</v>
      </c>
      <c r="CV144"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44"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44" s="906">
        <f>WWWW[[#This Row],[HRP1]]/500</f>
        <v>0</v>
      </c>
      <c r="CY144" s="911">
        <f>1-WWWW[[#This Row],[% Equitable and continuous access to sufficient quantity of domestic water]]</f>
        <v>1</v>
      </c>
      <c r="CZ144" s="906">
        <f>WWWW[[#This Row],[%equitable and continuous access to sufficient quantity of safe drinking and domestic water''s GAP]]*WWWW[[#This Row],[Total PoP ]]</f>
        <v>2399</v>
      </c>
      <c r="DA144" s="909">
        <f>IF(WWWW[[#This Row],[Total required water points]]-WWWW[[#This Row],['#Water points coverage]]&lt;0,0,WWWW[[#This Row],[Total required water points]]-WWWW[[#This Row],['#Water points coverage]])</f>
        <v>5</v>
      </c>
      <c r="DB144" s="909">
        <f>ROUND(IF(WWWW[[#This Row],[Total PoP ]]&lt;500,1,WWWW[[#This Row],[Total PoP ]]/500),0)</f>
        <v>5</v>
      </c>
      <c r="DC144" s="909">
        <f>(WWWW[[#This Row],['#_Constructed latrines_by_WASHAgencies]]+WWWW[[#This Row],['#_Non Cluster partner latrines]])-WWWW[[#This Row],['#_Non-functional latrines]]</f>
        <v>0</v>
      </c>
      <c r="DD144" s="615">
        <f>WWWW[[#This Row],[HRP2]]/WWWW[[#This Row],[Total PoP ]]</f>
        <v>0</v>
      </c>
      <c r="DE144"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44"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4"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4" s="417">
        <f>IF(WWWW[[#This Row],['# of functional latrines in THF supported by WASH partners during the reporting period2]]="",0,WWWW[[#This Row],['# of functional latrines in THF supported by WASH partners during the reporting period2]]*50)</f>
        <v>0</v>
      </c>
      <c r="DI144" s="909">
        <f>ROUND(IF(WWWW[[#This Row],[Location Type 1]]="camp",WWWW[[#This Row],[Total PoP ]]/20,IF(WWWW[[#This Row],[Location Type 1]]="Temporary Location",WWWW[[#This Row],[Total PoP ]]/50,(WWWW[[#This Row],[Total PoP ]]/6))),0)</f>
        <v>120</v>
      </c>
      <c r="DJ144" s="909">
        <f>IF(WWWW[[#This Row],[Total required Latrines]]-(WWWW[[#This Row],['#_Constructed latrines_by_WASHAgencies]]+WWWW[[#This Row],['#_Non Cluster partner latrines]])&lt;0,0,WWWW[[#This Row],[Total required Latrines]]-(WWWW[[#This Row],['#_Constructed latrines_by_WASHAgencies]]+WWWW[[#This Row],['#_Non Cluster partner latrines]]))</f>
        <v>120</v>
      </c>
      <c r="DK144" s="911">
        <f>1-WWWW[[#This Row],[% people access to functioning Latrine]]</f>
        <v>1</v>
      </c>
      <c r="DL144" s="910">
        <f>IF(OR(WWWW[[#This Row],['#_Non-functional latrines]]="",WWWW[[#This Row],['#_Non-functional latrines]]=0),0,WWWW[[#This Row],['#_Non-functional latrines]]/(WWWW[[#This Row],['#_Constructed latrines_by_WASHAgencies]]+WWWW[[#This Row],['#_Non Cluster partner latrines]]))</f>
        <v>0</v>
      </c>
      <c r="DM144" s="906">
        <f>IF(500*(WWWW[[#This Row],['#_male hygiene promoters]]+WWWW[[#This Row],['#_female hygiene promoters]])&gt;WWWW[[#This Row],[Total PoP ]],WWWW[[#This Row],[Total PoP ]],500*(WWWW[[#This Row],['#_male hygiene promoters]]+WWWW[[#This Row],['#_female hygiene promoters]]))</f>
        <v>0</v>
      </c>
      <c r="DN144"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4"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4" s="909">
        <f>IF(WWWW[[#This Row],['# People with access to soap]]&gt;WWWW[[#This Row],['# People with access to Sanity Pads]],WWWW[[#This Row],['# People with access to soap]],WWWW[[#This Row],['# People with access to Sanity Pads]])</f>
        <v>0</v>
      </c>
      <c r="DQ144"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4" s="911">
        <f>IF(WWWW[[#This Row],[HRP3]]/WWWW[[#This Row],[Total PoP ]]&gt;1,1,WWWW[[#This Row],[HRP3]]/WWWW[[#This Row],[Total PoP ]])</f>
        <v>0</v>
      </c>
      <c r="DS144" s="910">
        <f>1-WWWW[[#This Row],[Hygiene Coverage%]]</f>
        <v>1</v>
      </c>
      <c r="DT144" s="908">
        <f>WWWW[[#This Row],['# people reached by regular dedicated hygiene promotion_5]]/WWWW[[#This Row],[Total PoP ]]</f>
        <v>0</v>
      </c>
      <c r="DU144"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4"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4" s="909">
        <f>WWWW[[#This Row],['#_Constructed/Existing hand washing stations]]-WWWW[[#This Row],['#_Non-Functional_hand_washing_stations]]</f>
        <v>0</v>
      </c>
      <c r="DX144" s="906">
        <f>IF(WWWW[[#This Row],['# Functional hand washing stations during reporting period]]*20&gt;WWWW[[#This Row],[Total HH]],WWWW[[#This Row],[Total HH]],WWWW[[#This Row],['# Functional hand washing stations during reporting period]]*20)</f>
        <v>0</v>
      </c>
      <c r="DY144" s="906">
        <f>IF(WWWW[[#This Row],[Is sufficient soap available for TLS? (Yes/No)]]="yes",WWWW[[#This Row],['#_Constructed/Existing hand washing stations at TLS/CFS/THF]],0)</f>
        <v>0</v>
      </c>
      <c r="DZ144" s="421">
        <f>IF(WWWW[[#This Row],['# Functional hand washing stations during reporting period]]*100&gt;WWWW[[#This Row],[Total PoP ]],WWWW[[#This Row],[Total PoP ]],WWWW[[#This Row],['# Functional hand washing stations during reporting period]]*100)</f>
        <v>0</v>
      </c>
      <c r="EA144" s="421" t="str">
        <f>IF(OR(WWWW[[#This Row],['#_students at TLS_CFS]]="",WWWW[[#This Row],['#_students at TLS_CFS]]=0),"No","Yes")</f>
        <v>No</v>
      </c>
      <c r="EB14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4" s="566">
        <f>WWWW[[#This Row],[%_of_affected_people_surveyed_who_report_feeling_satistfied_with_the_latrine_design_and_sanitation_service]]*WWWW[[#This Row],[Total PoP ]]</f>
        <v>0</v>
      </c>
      <c r="ED144" s="566">
        <f>WWWW[[#This Row],[%_of_affected_people_surveyed_who_report_feeling_satistfied_with_the_water_point_design_and_water_service]]*WWWW[[#This Row],[Total PoP ]]</f>
        <v>0</v>
      </c>
      <c r="EE144" s="566">
        <f>WWWW[[#This Row],[%_of_complaints_received_that_result_in_timely_corrective_action_and_feedback_to_the_community]]*WWWW[[#This Row],[Total PoP ]]</f>
        <v>0</v>
      </c>
      <c r="EF14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4" s="902">
        <f>VLOOKUP(WWWW[[#This Row],[Site Name]],SiteDB6[[Site Name]:[CCCM Management]],6,FALSE)</f>
        <v>0</v>
      </c>
      <c r="EJ144" s="902" t="str">
        <f>VLOOKUP(WWWW[[#This Row],[Site Name]],SiteDB6[[Site Name]:[CCCM Focal Agency]],7,FALSE)</f>
        <v>Uncovered</v>
      </c>
      <c r="EK144" s="902" t="str">
        <f>VLOOKUP(WWWW[[#This Row],[Site Name]],SiteDB6[[Site Name]:[Location Type 1]],9,FALSE)</f>
        <v>Camp</v>
      </c>
      <c r="EL144" s="902" t="str">
        <f>VLOOKUP(WWWW[[#This Row],[Site Name]],SiteDB6[[Site Name]:[Type of Accommodation]],10,FALSE)</f>
        <v>IDPs in Host</v>
      </c>
      <c r="EM144" s="902" t="str">
        <f>VLOOKUP(WWWW[[#This Row],[Site Name]],SiteDB6[[Site Name]:[Ethnic or GCA/NGCA]],11,FALSE)</f>
        <v>GCA</v>
      </c>
      <c r="EN144" s="902">
        <f>VLOOKUP(WWWW[[#This Row],[Site Name]],SiteDB6[[Site Name]:[Lat]],12,FALSE)</f>
        <v>0</v>
      </c>
      <c r="EO144" s="902" t="str">
        <f>VLOOKUP(WWWW[[#This Row],[Site Name]],SiteDB6[[Site Name]:[Long]],13,FALSE)</f>
        <v>not available</v>
      </c>
      <c r="EP144" s="902" t="str">
        <f>VLOOKUP(WWWW[[#This Row],[Site Name]],SiteDB6[[Site Name]:[Pcode]],3,FALSE)</f>
        <v>MMR001CMP304</v>
      </c>
      <c r="EQ144" s="907" t="str">
        <f t="shared" si="2"/>
        <v>Notcovered</v>
      </c>
      <c r="ER144" s="907"/>
      <c r="ES144" s="907"/>
      <c r="ET144" s="902">
        <f>VLOOKUP(WWWW[[#This Row],[Site Name]],SiteDB6[[Site Name]:[Pop
(Kachin/Shan-CCCM as of May 2023)]],16,FALSE)</f>
        <v>542</v>
      </c>
      <c r="EU144" s="902">
        <f>VLOOKUP(WWWW[[#This Row],[Site Name]],SiteDB6[[Site Name]:[Pop
(Kachin/Shan-CCCM as of May 2023)]],17,FALSE)</f>
        <v>2399</v>
      </c>
    </row>
    <row r="145" spans="1:151" hidden="1">
      <c r="A145" s="900" t="s">
        <v>2961</v>
      </c>
      <c r="B145" s="900" t="s">
        <v>309</v>
      </c>
      <c r="C145" s="901" t="s">
        <v>309</v>
      </c>
      <c r="D145" s="901"/>
      <c r="E145" s="901" t="s">
        <v>37</v>
      </c>
      <c r="F145" s="901" t="s">
        <v>157</v>
      </c>
      <c r="G145" s="902" t="str">
        <f>VLOOKUP(WWWW[[#This Row],[Site Name]],SiteDB6[[Site Name]:[Location Type]],8,FALSE)</f>
        <v>Camp</v>
      </c>
      <c r="H145" s="901" t="s">
        <v>2987</v>
      </c>
      <c r="I145" s="903">
        <v>92</v>
      </c>
      <c r="J145" s="903">
        <v>479</v>
      </c>
      <c r="K145" s="904"/>
      <c r="L145" s="905"/>
      <c r="M145" s="903"/>
      <c r="N145" s="903"/>
      <c r="O145" s="903"/>
      <c r="P145" s="903"/>
      <c r="Q145" s="906"/>
      <c r="R145" s="903"/>
      <c r="S145" s="903"/>
      <c r="T145" s="441"/>
      <c r="U145" s="903"/>
      <c r="V145" s="903"/>
      <c r="W145" s="903"/>
      <c r="X145" s="903"/>
      <c r="Y145" s="903"/>
      <c r="Z145" s="903"/>
      <c r="AA145" s="903"/>
      <c r="AB145" s="903"/>
      <c r="AC145" s="903"/>
      <c r="AD145" s="903"/>
      <c r="AE145" s="903"/>
      <c r="AF145" s="903"/>
      <c r="AG145" s="903"/>
      <c r="AH145" s="903"/>
      <c r="AI145" s="903"/>
      <c r="AJ145" s="903"/>
      <c r="AK145" s="903"/>
      <c r="AL145" s="903"/>
      <c r="AM145" s="903"/>
      <c r="AN145" s="903"/>
      <c r="AO145" s="441"/>
      <c r="AP145" s="907"/>
      <c r="AQ145" s="903"/>
      <c r="AR145" s="903"/>
      <c r="AS145" s="908"/>
      <c r="AT145" s="903"/>
      <c r="AU145" s="903"/>
      <c r="AV145" s="903"/>
      <c r="AW145" s="903"/>
      <c r="AX145" s="903"/>
      <c r="AY145" s="902"/>
      <c r="AZ145" s="907"/>
      <c r="BA145" s="903"/>
      <c r="BB145" s="903"/>
      <c r="BC145" s="903"/>
      <c r="BD145" s="441"/>
      <c r="BE145" s="441"/>
      <c r="BF145" s="902"/>
      <c r="BG145" s="903"/>
      <c r="BH145" s="903"/>
      <c r="BI145" s="903"/>
      <c r="BJ145" s="903"/>
      <c r="BK145" s="903"/>
      <c r="BL145" s="903"/>
      <c r="BM145" s="903"/>
      <c r="BN145" s="903"/>
      <c r="BO145" s="903"/>
      <c r="BP145" s="902"/>
      <c r="BQ145" s="909"/>
      <c r="BR145" s="908"/>
      <c r="BS145" s="902"/>
      <c r="BT145" s="416"/>
      <c r="BU145" s="416"/>
      <c r="BV145" s="418"/>
      <c r="BW145" s="416"/>
      <c r="BX145" s="441"/>
      <c r="BY145" s="441"/>
      <c r="BZ145" s="441"/>
      <c r="CA145" s="441"/>
      <c r="CB145" s="441"/>
      <c r="CC145" s="693"/>
      <c r="CD145" s="441"/>
      <c r="CE145" s="910" t="str">
        <f>IFERROR(WWWW[[#This Row],['#_Water sources passed]]/WWWW[[#This Row],['#_Water sources tested for fecal coliform ]],"no test")</f>
        <v>no test</v>
      </c>
      <c r="CF145" s="908" t="str">
        <f>IFERROR(WWWW[[#This Row],['#_Household passed]]/WWWW[[#This Row],['#_Household water samples tested for fecal coliform]],"no test")</f>
        <v>no test</v>
      </c>
      <c r="CG145" s="909" t="str">
        <f>IF(AND(WWWW[[#This Row],[% of water sources passed]]="no test",WWWW[[#This Row],[% Household passed]]="no test"),"No Test","Tested")</f>
        <v>No Test</v>
      </c>
      <c r="CH145" s="909">
        <f>WWWW[[#This Row],['#_Constructed/existing protected hand dug well]]-WWWW[[#This Row],['#_Non-functional protected hand dug well]]</f>
        <v>0</v>
      </c>
      <c r="CI145" s="909">
        <f>(WWWW[[#This Row],['#_Constructed/Existing tube wells/boreholes/handpumps_WASH_agency]]+WWWW[[#This Row],['#_Non-Cluster partner water tube-wells/boreholes/handpumps]])-WWWW[[#This Row],['#_Non-functional tube wells/boreholes/handpumps]]</f>
        <v>0</v>
      </c>
      <c r="CJ145" s="909">
        <f>WWWW[[#This Row],['#_Constructed/Existingwater storage tank with gravity fed reticulation system]]-WWWW[[#This Row],['#_Non-functional storage tank gravity fed reticulation system]]</f>
        <v>0</v>
      </c>
      <c r="CK145" s="909">
        <f>(WWWW[[#This Row],['#_Water_Liters_supplied_by_Water boating or water trucking]]/90)/15</f>
        <v>0</v>
      </c>
      <c r="CL145" s="909">
        <f>WWWW[[#This Row],['#_Water_Liters_from_Constructed/Existing water distribution system from river or natural spring]]/90/15</f>
        <v>0</v>
      </c>
      <c r="CM145" s="417">
        <f>IF(WWWW[[#This Row],['#_of water points in TLS/CFS]]*500&gt;WWWW[[#This Row],[Total PoP ]],WWWW[[#This Row],[Total PoP ]],WWWW[[#This Row],['#_of water points in TLS/CFS]]*500)</f>
        <v>0</v>
      </c>
      <c r="CN145" s="417">
        <f>IF(WWWW[[#This Row],['#_of water points in THF]]*500&gt;WWWW[[#This Row],[Total PoP ]],WWWW[[#This Row],[Total PoP ]],WWWW[[#This Row],['#_of water points in THF]]*500)</f>
        <v>0</v>
      </c>
      <c r="CO145" s="417"/>
      <c r="CP145"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45"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45" s="908">
        <f>IF(WWWW[[#This Row],[Location Type 1]]="Village",WWWW[[#This Row],[Access to safe drinking water for Village]],WWWW[[#This Row],[Access to safe drinking water for Camp]])</f>
        <v>0</v>
      </c>
      <c r="CS145" s="906">
        <f>WWWW[[#This Row],[%Equitable and continuous access to sufficient quantity of safe drinking water]]*WWWW[[#This Row],[Total PoP ]]</f>
        <v>0</v>
      </c>
      <c r="CT145" s="908">
        <f>IF((WWWW[[#This Row],['#_Constructed/Existing protected/fenced ponds]]*250)/WWWW[[#This Row],[Total PoP ]]&gt;1,1,(WWWW[[#This Row],['#_Constructed/Existing protected/fenced ponds]]*250)/WWWW[[#This Row],[Total PoP ]])</f>
        <v>0</v>
      </c>
      <c r="CU145" s="906">
        <f>WWWW[[#This Row],[% Access to unimproved water points]]*WWWW[[#This Row],[Total PoP ]]</f>
        <v>0</v>
      </c>
      <c r="CV145"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45"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45" s="906">
        <f>WWWW[[#This Row],[HRP1]]/500</f>
        <v>0</v>
      </c>
      <c r="CY145" s="911">
        <f>1-WWWW[[#This Row],[% Equitable and continuous access to sufficient quantity of domestic water]]</f>
        <v>1</v>
      </c>
      <c r="CZ145" s="906">
        <f>WWWW[[#This Row],[%equitable and continuous access to sufficient quantity of safe drinking and domestic water''s GAP]]*WWWW[[#This Row],[Total PoP ]]</f>
        <v>479</v>
      </c>
      <c r="DA145" s="909">
        <f>IF(WWWW[[#This Row],[Total required water points]]-WWWW[[#This Row],['#Water points coverage]]&lt;0,0,WWWW[[#This Row],[Total required water points]]-WWWW[[#This Row],['#Water points coverage]])</f>
        <v>1</v>
      </c>
      <c r="DB145" s="909">
        <f>ROUND(IF(WWWW[[#This Row],[Total PoP ]]&lt;500,1,WWWW[[#This Row],[Total PoP ]]/500),0)</f>
        <v>1</v>
      </c>
      <c r="DC145" s="909">
        <f>(WWWW[[#This Row],['#_Constructed latrines_by_WASHAgencies]]+WWWW[[#This Row],['#_Non Cluster partner latrines]])-WWWW[[#This Row],['#_Non-functional latrines]]</f>
        <v>0</v>
      </c>
      <c r="DD145" s="615">
        <f>WWWW[[#This Row],[HRP2]]/WWWW[[#This Row],[Total PoP ]]</f>
        <v>0</v>
      </c>
      <c r="DE145"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45"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5"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5" s="417">
        <f>IF(WWWW[[#This Row],['# of functional latrines in THF supported by WASH partners during the reporting period2]]="",0,WWWW[[#This Row],['# of functional latrines in THF supported by WASH partners during the reporting period2]]*50)</f>
        <v>0</v>
      </c>
      <c r="DI145" s="909">
        <f>ROUND(IF(WWWW[[#This Row],[Location Type 1]]="camp",WWWW[[#This Row],[Total PoP ]]/20,IF(WWWW[[#This Row],[Location Type 1]]="Temporary Location",WWWW[[#This Row],[Total PoP ]]/50,(WWWW[[#This Row],[Total PoP ]]/6))),0)</f>
        <v>24</v>
      </c>
      <c r="DJ145" s="909">
        <f>IF(WWWW[[#This Row],[Total required Latrines]]-(WWWW[[#This Row],['#_Constructed latrines_by_WASHAgencies]]+WWWW[[#This Row],['#_Non Cluster partner latrines]])&lt;0,0,WWWW[[#This Row],[Total required Latrines]]-(WWWW[[#This Row],['#_Constructed latrines_by_WASHAgencies]]+WWWW[[#This Row],['#_Non Cluster partner latrines]]))</f>
        <v>24</v>
      </c>
      <c r="DK145" s="911">
        <f>1-WWWW[[#This Row],[% people access to functioning Latrine]]</f>
        <v>1</v>
      </c>
      <c r="DL145" s="910">
        <f>IF(OR(WWWW[[#This Row],['#_Non-functional latrines]]="",WWWW[[#This Row],['#_Non-functional latrines]]=0),0,WWWW[[#This Row],['#_Non-functional latrines]]/(WWWW[[#This Row],['#_Constructed latrines_by_WASHAgencies]]+WWWW[[#This Row],['#_Non Cluster partner latrines]]))</f>
        <v>0</v>
      </c>
      <c r="DM145" s="906">
        <f>IF(500*(WWWW[[#This Row],['#_male hygiene promoters]]+WWWW[[#This Row],['#_female hygiene promoters]])&gt;WWWW[[#This Row],[Total PoP ]],WWWW[[#This Row],[Total PoP ]],500*(WWWW[[#This Row],['#_male hygiene promoters]]+WWWW[[#This Row],['#_female hygiene promoters]]))</f>
        <v>0</v>
      </c>
      <c r="DN145"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5"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5" s="909">
        <f>IF(WWWW[[#This Row],['# People with access to soap]]&gt;WWWW[[#This Row],['# People with access to Sanity Pads]],WWWW[[#This Row],['# People with access to soap]],WWWW[[#This Row],['# People with access to Sanity Pads]])</f>
        <v>0</v>
      </c>
      <c r="DQ145"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5" s="911">
        <f>IF(WWWW[[#This Row],[HRP3]]/WWWW[[#This Row],[Total PoP ]]&gt;1,1,WWWW[[#This Row],[HRP3]]/WWWW[[#This Row],[Total PoP ]])</f>
        <v>0</v>
      </c>
      <c r="DS145" s="910">
        <f>1-WWWW[[#This Row],[Hygiene Coverage%]]</f>
        <v>1</v>
      </c>
      <c r="DT145" s="908">
        <f>WWWW[[#This Row],['# people reached by regular dedicated hygiene promotion_5]]/WWWW[[#This Row],[Total PoP ]]</f>
        <v>0</v>
      </c>
      <c r="DU145"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5"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5" s="909">
        <f>WWWW[[#This Row],['#_Constructed/Existing hand washing stations]]-WWWW[[#This Row],['#_Non-Functional_hand_washing_stations]]</f>
        <v>0</v>
      </c>
      <c r="DX145" s="906">
        <f>IF(WWWW[[#This Row],['# Functional hand washing stations during reporting period]]*20&gt;WWWW[[#This Row],[Total HH]],WWWW[[#This Row],[Total HH]],WWWW[[#This Row],['# Functional hand washing stations during reporting period]]*20)</f>
        <v>0</v>
      </c>
      <c r="DY145" s="906">
        <f>IF(WWWW[[#This Row],[Is sufficient soap available for TLS? (Yes/No)]]="yes",WWWW[[#This Row],['#_Constructed/Existing hand washing stations at TLS/CFS/THF]],0)</f>
        <v>0</v>
      </c>
      <c r="DZ145" s="421">
        <f>IF(WWWW[[#This Row],['# Functional hand washing stations during reporting period]]*100&gt;WWWW[[#This Row],[Total PoP ]],WWWW[[#This Row],[Total PoP ]],WWWW[[#This Row],['# Functional hand washing stations during reporting period]]*100)</f>
        <v>0</v>
      </c>
      <c r="EA145" s="421" t="str">
        <f>IF(OR(WWWW[[#This Row],['#_students at TLS_CFS]]="",WWWW[[#This Row],['#_students at TLS_CFS]]=0),"No","Yes")</f>
        <v>No</v>
      </c>
      <c r="EB14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5" s="566">
        <f>WWWW[[#This Row],[%_of_affected_people_surveyed_who_report_feeling_satistfied_with_the_latrine_design_and_sanitation_service]]*WWWW[[#This Row],[Total PoP ]]</f>
        <v>0</v>
      </c>
      <c r="ED145" s="566">
        <f>WWWW[[#This Row],[%_of_affected_people_surveyed_who_report_feeling_satistfied_with_the_water_point_design_and_water_service]]*WWWW[[#This Row],[Total PoP ]]</f>
        <v>0</v>
      </c>
      <c r="EE145" s="566">
        <f>WWWW[[#This Row],[%_of_complaints_received_that_result_in_timely_corrective_action_and_feedback_to_the_community]]*WWWW[[#This Row],[Total PoP ]]</f>
        <v>0</v>
      </c>
      <c r="EF14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5" s="902">
        <f>VLOOKUP(WWWW[[#This Row],[Site Name]],SiteDB6[[Site Name]:[CCCM Management]],6,FALSE)</f>
        <v>0</v>
      </c>
      <c r="EJ145" s="902" t="str">
        <f>VLOOKUP(WWWW[[#This Row],[Site Name]],SiteDB6[[Site Name]:[CCCM Focal Agency]],7,FALSE)</f>
        <v>Uncovered</v>
      </c>
      <c r="EK145" s="902" t="str">
        <f>VLOOKUP(WWWW[[#This Row],[Site Name]],SiteDB6[[Site Name]:[Location Type 1]],9,FALSE)</f>
        <v>Camp</v>
      </c>
      <c r="EL145" s="902" t="str">
        <f>VLOOKUP(WWWW[[#This Row],[Site Name]],SiteDB6[[Site Name]:[Type of Accommodation]],10,FALSE)</f>
        <v>Camp like setting</v>
      </c>
      <c r="EM145" s="902" t="str">
        <f>VLOOKUP(WWWW[[#This Row],[Site Name]],SiteDB6[[Site Name]:[Ethnic or GCA/NGCA]],11,FALSE)</f>
        <v>NGCA</v>
      </c>
      <c r="EN145" s="902">
        <f>VLOOKUP(WWWW[[#This Row],[Site Name]],SiteDB6[[Site Name]:[Lat]],12,FALSE)</f>
        <v>0</v>
      </c>
      <c r="EO145" s="902" t="str">
        <f>VLOOKUP(WWWW[[#This Row],[Site Name]],SiteDB6[[Site Name]:[Long]],13,FALSE)</f>
        <v>not available</v>
      </c>
      <c r="EP145" s="902" t="str">
        <f>VLOOKUP(WWWW[[#This Row],[Site Name]],SiteDB6[[Site Name]:[Pcode]],3,FALSE)</f>
        <v>MMR001CMP299</v>
      </c>
      <c r="EQ145" s="907" t="str">
        <f t="shared" si="2"/>
        <v>Notcovered</v>
      </c>
      <c r="ER145" s="907"/>
      <c r="ES145" s="907"/>
      <c r="ET145" s="902">
        <f>VLOOKUP(WWWW[[#This Row],[Site Name]],SiteDB6[[Site Name]:[Pop
(Kachin/Shan-CCCM as of May 2023)]],16,FALSE)</f>
        <v>100</v>
      </c>
      <c r="EU145" s="902">
        <f>VLOOKUP(WWWW[[#This Row],[Site Name]],SiteDB6[[Site Name]:[Pop
(Kachin/Shan-CCCM as of May 2023)]],17,FALSE)</f>
        <v>506</v>
      </c>
    </row>
    <row r="146" spans="1:151" hidden="1">
      <c r="A146" s="900" t="s">
        <v>2961</v>
      </c>
      <c r="B146" s="900" t="s">
        <v>309</v>
      </c>
      <c r="C146" s="901" t="s">
        <v>309</v>
      </c>
      <c r="D146" s="901"/>
      <c r="E146" s="901" t="s">
        <v>37</v>
      </c>
      <c r="F146" s="901" t="s">
        <v>205</v>
      </c>
      <c r="G146" s="902" t="str">
        <f>VLOOKUP(WWWW[[#This Row],[Site Name]],SiteDB6[[Site Name]:[Location Type]],8,FALSE)</f>
        <v>Camp</v>
      </c>
      <c r="H146" s="901" t="s">
        <v>2872</v>
      </c>
      <c r="I146" s="903">
        <v>223</v>
      </c>
      <c r="J146" s="903">
        <v>1067</v>
      </c>
      <c r="K146" s="904"/>
      <c r="L146" s="905"/>
      <c r="M146" s="903"/>
      <c r="N146" s="903"/>
      <c r="O146" s="903"/>
      <c r="P146" s="903"/>
      <c r="Q146" s="906"/>
      <c r="R146" s="903"/>
      <c r="S146" s="903">
        <v>4</v>
      </c>
      <c r="T146" s="441"/>
      <c r="U146" s="903"/>
      <c r="V146" s="903"/>
      <c r="W146" s="903"/>
      <c r="X146" s="903"/>
      <c r="Y146" s="903"/>
      <c r="Z146" s="903"/>
      <c r="AA146" s="903"/>
      <c r="AB146" s="903"/>
      <c r="AC146" s="903"/>
      <c r="AD146" s="903"/>
      <c r="AE146" s="903"/>
      <c r="AF146" s="903"/>
      <c r="AG146" s="903"/>
      <c r="AH146" s="903"/>
      <c r="AI146" s="903"/>
      <c r="AJ146" s="903"/>
      <c r="AK146" s="903"/>
      <c r="AL146" s="903"/>
      <c r="AM146" s="903"/>
      <c r="AN146" s="903"/>
      <c r="AO146" s="441"/>
      <c r="AP146" s="907"/>
      <c r="AQ146" s="903"/>
      <c r="AR146" s="903"/>
      <c r="AS146" s="908"/>
      <c r="AT146" s="903"/>
      <c r="AU146" s="903"/>
      <c r="AV146" s="903"/>
      <c r="AW146" s="903"/>
      <c r="AX146" s="903"/>
      <c r="AY146" s="902" t="s">
        <v>140</v>
      </c>
      <c r="AZ146" s="907" t="s">
        <v>140</v>
      </c>
      <c r="BA146" s="903"/>
      <c r="BB146" s="903"/>
      <c r="BC146" s="903"/>
      <c r="BD146" s="441"/>
      <c r="BE146" s="441"/>
      <c r="BF146" s="902"/>
      <c r="BG146" s="903">
        <v>3</v>
      </c>
      <c r="BH146" s="903"/>
      <c r="BI146" s="903"/>
      <c r="BJ146" s="903">
        <v>2</v>
      </c>
      <c r="BK146" s="903"/>
      <c r="BL146" s="903"/>
      <c r="BM146" s="903"/>
      <c r="BN146" s="903"/>
      <c r="BO146" s="903"/>
      <c r="BP146" s="902"/>
      <c r="BQ146" s="909"/>
      <c r="BR146" s="908"/>
      <c r="BS146" s="902"/>
      <c r="BT146" s="416"/>
      <c r="BU146" s="416"/>
      <c r="BV146" s="418"/>
      <c r="BW146" s="416"/>
      <c r="BX146" s="441"/>
      <c r="BY146" s="441"/>
      <c r="BZ146" s="441"/>
      <c r="CA146" s="441"/>
      <c r="CB146" s="441"/>
      <c r="CC146" s="693"/>
      <c r="CD146" s="441"/>
      <c r="CE146" s="910" t="str">
        <f>IFERROR(WWWW[[#This Row],['#_Water sources passed]]/WWWW[[#This Row],['#_Water sources tested for fecal coliform ]],"no test")</f>
        <v>no test</v>
      </c>
      <c r="CF146" s="908" t="str">
        <f>IFERROR(WWWW[[#This Row],['#_Household passed]]/WWWW[[#This Row],['#_Household water samples tested for fecal coliform]],"no test")</f>
        <v>no test</v>
      </c>
      <c r="CG146" s="909" t="str">
        <f>IF(AND(WWWW[[#This Row],[% of water sources passed]]="no test",WWWW[[#This Row],[% Household passed]]="no test"),"No Test","Tested")</f>
        <v>No Test</v>
      </c>
      <c r="CH146" s="909">
        <f>WWWW[[#This Row],['#_Constructed/existing protected hand dug well]]-WWWW[[#This Row],['#_Non-functional protected hand dug well]]</f>
        <v>0</v>
      </c>
      <c r="CI146" s="909">
        <f>(WWWW[[#This Row],['#_Constructed/Existing tube wells/boreholes/handpumps_WASH_agency]]+WWWW[[#This Row],['#_Non-Cluster partner water tube-wells/boreholes/handpumps]])-WWWW[[#This Row],['#_Non-functional tube wells/boreholes/handpumps]]</f>
        <v>0</v>
      </c>
      <c r="CJ146" s="909">
        <f>WWWW[[#This Row],['#_Constructed/Existingwater storage tank with gravity fed reticulation system]]-WWWW[[#This Row],['#_Non-functional storage tank gravity fed reticulation system]]</f>
        <v>0</v>
      </c>
      <c r="CK146" s="909">
        <f>(WWWW[[#This Row],['#_Water_Liters_supplied_by_Water boating or water trucking]]/90)/15</f>
        <v>0</v>
      </c>
      <c r="CL146" s="909">
        <f>WWWW[[#This Row],['#_Water_Liters_from_Constructed/Existing water distribution system from river or natural spring]]/90/15</f>
        <v>0</v>
      </c>
      <c r="CM146" s="417">
        <f>IF(WWWW[[#This Row],['#_of water points in TLS/CFS]]*500&gt;WWWW[[#This Row],[Total PoP ]],WWWW[[#This Row],[Total PoP ]],WWWW[[#This Row],['#_of water points in TLS/CFS]]*500)</f>
        <v>0</v>
      </c>
      <c r="CN146" s="417">
        <f>IF(WWWW[[#This Row],['#_of water points in THF]]*500&gt;WWWW[[#This Row],[Total PoP ]],WWWW[[#This Row],[Total PoP ]],WWWW[[#This Row],['#_of water points in THF]]*500)</f>
        <v>0</v>
      </c>
      <c r="CO146" s="417"/>
      <c r="CP146"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46"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46" s="908">
        <f>IF(WWWW[[#This Row],[Location Type 1]]="Village",WWWW[[#This Row],[Access to safe drinking water for Village]],WWWW[[#This Row],[Access to safe drinking water for Camp]])</f>
        <v>0</v>
      </c>
      <c r="CS146" s="906">
        <f>WWWW[[#This Row],[%Equitable and continuous access to sufficient quantity of safe drinking water]]*WWWW[[#This Row],[Total PoP ]]</f>
        <v>0</v>
      </c>
      <c r="CT146" s="908">
        <f>IF((WWWW[[#This Row],['#_Constructed/Existing protected/fenced ponds]]*250)/WWWW[[#This Row],[Total PoP ]]&gt;1,1,(WWWW[[#This Row],['#_Constructed/Existing protected/fenced ponds]]*250)/WWWW[[#This Row],[Total PoP ]])</f>
        <v>0</v>
      </c>
      <c r="CU146" s="906">
        <f>WWWW[[#This Row],[% Access to unimproved water points]]*WWWW[[#This Row],[Total PoP ]]</f>
        <v>0</v>
      </c>
      <c r="CV146"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46"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46" s="906">
        <f>WWWW[[#This Row],[HRP1]]/500</f>
        <v>0</v>
      </c>
      <c r="CY146" s="911">
        <f>1-WWWW[[#This Row],[% Equitable and continuous access to sufficient quantity of domestic water]]</f>
        <v>1</v>
      </c>
      <c r="CZ146" s="906">
        <f>WWWW[[#This Row],[%equitable and continuous access to sufficient quantity of safe drinking and domestic water''s GAP]]*WWWW[[#This Row],[Total PoP ]]</f>
        <v>1067</v>
      </c>
      <c r="DA146" s="909">
        <f>IF(WWWW[[#This Row],[Total required water points]]-WWWW[[#This Row],['#Water points coverage]]&lt;0,0,WWWW[[#This Row],[Total required water points]]-WWWW[[#This Row],['#Water points coverage]])</f>
        <v>2</v>
      </c>
      <c r="DB146" s="909">
        <f>ROUND(IF(WWWW[[#This Row],[Total PoP ]]&lt;500,1,WWWW[[#This Row],[Total PoP ]]/500),0)</f>
        <v>2</v>
      </c>
      <c r="DC146" s="909">
        <f>(WWWW[[#This Row],['#_Constructed latrines_by_WASHAgencies]]+WWWW[[#This Row],['#_Non Cluster partner latrines]])-WWWW[[#This Row],['#_Non-functional latrines]]</f>
        <v>0</v>
      </c>
      <c r="DD146" s="615">
        <f>WWWW[[#This Row],[HRP2]]/WWWW[[#This Row],[Total PoP ]]</f>
        <v>0</v>
      </c>
      <c r="DE146"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46"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6"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6" s="417">
        <f>IF(WWWW[[#This Row],['# of functional latrines in THF supported by WASH partners during the reporting period2]]="",0,WWWW[[#This Row],['# of functional latrines in THF supported by WASH partners during the reporting period2]]*50)</f>
        <v>0</v>
      </c>
      <c r="DI146" s="909">
        <f>ROUND(IF(WWWW[[#This Row],[Location Type 1]]="camp",WWWW[[#This Row],[Total PoP ]]/20,IF(WWWW[[#This Row],[Location Type 1]]="Temporary Location",WWWW[[#This Row],[Total PoP ]]/50,(WWWW[[#This Row],[Total PoP ]]/6))),0)</f>
        <v>53</v>
      </c>
      <c r="DJ146" s="909">
        <f>IF(WWWW[[#This Row],[Total required Latrines]]-(WWWW[[#This Row],['#_Constructed latrines_by_WASHAgencies]]+WWWW[[#This Row],['#_Non Cluster partner latrines]])&lt;0,0,WWWW[[#This Row],[Total required Latrines]]-(WWWW[[#This Row],['#_Constructed latrines_by_WASHAgencies]]+WWWW[[#This Row],['#_Non Cluster partner latrines]]))</f>
        <v>53</v>
      </c>
      <c r="DK146" s="911">
        <f>1-WWWW[[#This Row],[% people access to functioning Latrine]]</f>
        <v>1</v>
      </c>
      <c r="DL146" s="910">
        <f>IF(OR(WWWW[[#This Row],['#_Non-functional latrines]]="",WWWW[[#This Row],['#_Non-functional latrines]]=0),0,WWWW[[#This Row],['#_Non-functional latrines]]/(WWWW[[#This Row],['#_Constructed latrines_by_WASHAgencies]]+WWWW[[#This Row],['#_Non Cluster partner latrines]]))</f>
        <v>0</v>
      </c>
      <c r="DM146" s="906">
        <f>IF(500*(WWWW[[#This Row],['#_male hygiene promoters]]+WWWW[[#This Row],['#_female hygiene promoters]])&gt;WWWW[[#This Row],[Total PoP ]],WWWW[[#This Row],[Total PoP ]],500*(WWWW[[#This Row],['#_male hygiene promoters]]+WWWW[[#This Row],['#_female hygiene promoters]]))</f>
        <v>0</v>
      </c>
      <c r="DN146"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6"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6" s="909">
        <f>IF(WWWW[[#This Row],['# People with access to soap]]&gt;WWWW[[#This Row],['# People with access to Sanity Pads]],WWWW[[#This Row],['# People with access to soap]],WWWW[[#This Row],['# People with access to Sanity Pads]])</f>
        <v>0</v>
      </c>
      <c r="DQ146"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6" s="911">
        <f>IF(WWWW[[#This Row],[HRP3]]/WWWW[[#This Row],[Total PoP ]]&gt;1,1,WWWW[[#This Row],[HRP3]]/WWWW[[#This Row],[Total PoP ]])</f>
        <v>0</v>
      </c>
      <c r="DS146" s="910">
        <f>1-WWWW[[#This Row],[Hygiene Coverage%]]</f>
        <v>1</v>
      </c>
      <c r="DT146" s="908">
        <f>WWWW[[#This Row],['# people reached by regular dedicated hygiene promotion_5]]/WWWW[[#This Row],[Total PoP ]]</f>
        <v>0</v>
      </c>
      <c r="DU146"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6"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6" s="909">
        <f>WWWW[[#This Row],['#_Constructed/Existing hand washing stations]]-WWWW[[#This Row],['#_Non-Functional_hand_washing_stations]]</f>
        <v>3</v>
      </c>
      <c r="DX146" s="906">
        <f>IF(WWWW[[#This Row],['# Functional hand washing stations during reporting period]]*20&gt;WWWW[[#This Row],[Total HH]],WWWW[[#This Row],[Total HH]],WWWW[[#This Row],['# Functional hand washing stations during reporting period]]*20)</f>
        <v>60</v>
      </c>
      <c r="DY146" s="906">
        <f>IF(WWWW[[#This Row],[Is sufficient soap available for TLS? (Yes/No)]]="yes",WWWW[[#This Row],['#_Constructed/Existing hand washing stations at TLS/CFS/THF]],0)</f>
        <v>0</v>
      </c>
      <c r="DZ146" s="421">
        <f>IF(WWWW[[#This Row],['# Functional hand washing stations during reporting period]]*100&gt;WWWW[[#This Row],[Total PoP ]],WWWW[[#This Row],[Total PoP ]],WWWW[[#This Row],['# Functional hand washing stations during reporting period]]*100)</f>
        <v>300</v>
      </c>
      <c r="EA146" s="421" t="str">
        <f>IF(OR(WWWW[[#This Row],['#_students at TLS_CFS]]="",WWWW[[#This Row],['#_students at TLS_CFS]]=0),"No","Yes")</f>
        <v>No</v>
      </c>
      <c r="EB14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6" s="566">
        <f>WWWW[[#This Row],[%_of_affected_people_surveyed_who_report_feeling_satistfied_with_the_latrine_design_and_sanitation_service]]*WWWW[[#This Row],[Total PoP ]]</f>
        <v>0</v>
      </c>
      <c r="ED146" s="566">
        <f>WWWW[[#This Row],[%_of_affected_people_surveyed_who_report_feeling_satistfied_with_the_water_point_design_and_water_service]]*WWWW[[#This Row],[Total PoP ]]</f>
        <v>0</v>
      </c>
      <c r="EE146" s="566">
        <f>WWWW[[#This Row],[%_of_complaints_received_that_result_in_timely_corrective_action_and_feedback_to_the_community]]*WWWW[[#This Row],[Total PoP ]]</f>
        <v>0</v>
      </c>
      <c r="EF14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6" s="902">
        <f>VLOOKUP(WWWW[[#This Row],[Site Name]],SiteDB6[[Site Name]:[CCCM Management]],6,FALSE)</f>
        <v>0</v>
      </c>
      <c r="EJ146" s="902" t="str">
        <f>VLOOKUP(WWWW[[#This Row],[Site Name]],SiteDB6[[Site Name]:[CCCM Focal Agency]],7,FALSE)</f>
        <v>uncovered</v>
      </c>
      <c r="EK146" s="902" t="str">
        <f>VLOOKUP(WWWW[[#This Row],[Site Name]],SiteDB6[[Site Name]:[Location Type 1]],9,FALSE)</f>
        <v>Camp</v>
      </c>
      <c r="EL146" s="902" t="str">
        <f>VLOOKUP(WWWW[[#This Row],[Site Name]],SiteDB6[[Site Name]:[Type of Accommodation]],10,FALSE)</f>
        <v>IDPs in host</v>
      </c>
      <c r="EM146" s="902" t="str">
        <f>VLOOKUP(WWWW[[#This Row],[Site Name]],SiteDB6[[Site Name]:[Ethnic or GCA/NGCA]],11,FALSE)</f>
        <v>GCA</v>
      </c>
      <c r="EN146" s="902">
        <f>VLOOKUP(WWWW[[#This Row],[Site Name]],SiteDB6[[Site Name]:[Lat]],12,FALSE)</f>
        <v>24.251232000000002</v>
      </c>
      <c r="EO146" s="902">
        <f>VLOOKUP(WWWW[[#This Row],[Site Name]],SiteDB6[[Site Name]:[Long]],13,FALSE)</f>
        <v>97.348405</v>
      </c>
      <c r="EP146" s="902" t="str">
        <f>VLOOKUP(WWWW[[#This Row],[Site Name]],SiteDB6[[Site Name]:[Pcode]],3,FALSE)</f>
        <v>MMR001CMP197</v>
      </c>
      <c r="EQ146" s="907" t="str">
        <f t="shared" si="2"/>
        <v>Notcovered</v>
      </c>
      <c r="ER146" s="907"/>
      <c r="ES146" s="907"/>
      <c r="ET146" s="902">
        <f>VLOOKUP(WWWW[[#This Row],[Site Name]],SiteDB6[[Site Name]:[Pop
(Kachin/Shan-CCCM as of May 2023)]],16,FALSE)</f>
        <v>112</v>
      </c>
      <c r="EU146" s="902">
        <f>VLOOKUP(WWWW[[#This Row],[Site Name]],SiteDB6[[Site Name]:[Pop
(Kachin/Shan-CCCM as of May 2023)]],17,FALSE)</f>
        <v>567</v>
      </c>
    </row>
    <row r="147" spans="1:151" hidden="1">
      <c r="A147" s="900" t="s">
        <v>2961</v>
      </c>
      <c r="B147" s="900" t="s">
        <v>309</v>
      </c>
      <c r="C147" s="901" t="s">
        <v>309</v>
      </c>
      <c r="D147" s="901"/>
      <c r="E147" s="901" t="s">
        <v>37</v>
      </c>
      <c r="F147" s="901" t="s">
        <v>205</v>
      </c>
      <c r="G147" s="902" t="str">
        <f>VLOOKUP(WWWW[[#This Row],[Site Name]],SiteDB6[[Site Name]:[Location Type]],8,FALSE)</f>
        <v>Camp</v>
      </c>
      <c r="H147" s="901" t="s">
        <v>2869</v>
      </c>
      <c r="I147" s="903">
        <v>15</v>
      </c>
      <c r="J147" s="903">
        <v>101</v>
      </c>
      <c r="K147" s="904"/>
      <c r="L147" s="905"/>
      <c r="M147" s="903"/>
      <c r="N147" s="903"/>
      <c r="O147" s="903"/>
      <c r="P147" s="903"/>
      <c r="Q147" s="906"/>
      <c r="R147" s="903"/>
      <c r="S147" s="903">
        <v>1</v>
      </c>
      <c r="T147" s="441"/>
      <c r="U147" s="903"/>
      <c r="V147" s="903"/>
      <c r="W147" s="903"/>
      <c r="X147" s="903"/>
      <c r="Y147" s="903"/>
      <c r="Z147" s="903"/>
      <c r="AA147" s="903"/>
      <c r="AB147" s="903"/>
      <c r="AC147" s="903"/>
      <c r="AD147" s="903"/>
      <c r="AE147" s="903"/>
      <c r="AF147" s="903"/>
      <c r="AG147" s="903"/>
      <c r="AH147" s="903"/>
      <c r="AI147" s="903"/>
      <c r="AJ147" s="903"/>
      <c r="AK147" s="903"/>
      <c r="AL147" s="903"/>
      <c r="AM147" s="903"/>
      <c r="AN147" s="903"/>
      <c r="AO147" s="441"/>
      <c r="AP147" s="907"/>
      <c r="AQ147" s="903"/>
      <c r="AR147" s="903"/>
      <c r="AS147" s="908"/>
      <c r="AT147" s="903"/>
      <c r="AU147" s="903"/>
      <c r="AV147" s="903"/>
      <c r="AW147" s="903"/>
      <c r="AX147" s="903"/>
      <c r="AY147" s="902" t="s">
        <v>140</v>
      </c>
      <c r="AZ147" s="907" t="s">
        <v>140</v>
      </c>
      <c r="BA147" s="903"/>
      <c r="BB147" s="903"/>
      <c r="BC147" s="903"/>
      <c r="BD147" s="441"/>
      <c r="BE147" s="441"/>
      <c r="BF147" s="902"/>
      <c r="BG147" s="903">
        <v>1</v>
      </c>
      <c r="BH147" s="903"/>
      <c r="BI147" s="903"/>
      <c r="BJ147" s="903">
        <v>3</v>
      </c>
      <c r="BK147" s="903"/>
      <c r="BL147" s="903"/>
      <c r="BM147" s="903"/>
      <c r="BN147" s="903"/>
      <c r="BO147" s="903"/>
      <c r="BP147" s="902"/>
      <c r="BQ147" s="909"/>
      <c r="BR147" s="908"/>
      <c r="BS147" s="902"/>
      <c r="BT147" s="416"/>
      <c r="BU147" s="416"/>
      <c r="BV147" s="418"/>
      <c r="BW147" s="416"/>
      <c r="BX147" s="441"/>
      <c r="BY147" s="441"/>
      <c r="BZ147" s="441"/>
      <c r="CA147" s="441"/>
      <c r="CB147" s="441"/>
      <c r="CC147" s="693"/>
      <c r="CD147" s="441"/>
      <c r="CE147" s="910" t="str">
        <f>IFERROR(WWWW[[#This Row],['#_Water sources passed]]/WWWW[[#This Row],['#_Water sources tested for fecal coliform ]],"no test")</f>
        <v>no test</v>
      </c>
      <c r="CF147" s="908" t="str">
        <f>IFERROR(WWWW[[#This Row],['#_Household passed]]/WWWW[[#This Row],['#_Household water samples tested for fecal coliform]],"no test")</f>
        <v>no test</v>
      </c>
      <c r="CG147" s="909" t="str">
        <f>IF(AND(WWWW[[#This Row],[% of water sources passed]]="no test",WWWW[[#This Row],[% Household passed]]="no test"),"No Test","Tested")</f>
        <v>No Test</v>
      </c>
      <c r="CH147" s="909">
        <f>WWWW[[#This Row],['#_Constructed/existing protected hand dug well]]-WWWW[[#This Row],['#_Non-functional protected hand dug well]]</f>
        <v>0</v>
      </c>
      <c r="CI147" s="909">
        <f>(WWWW[[#This Row],['#_Constructed/Existing tube wells/boreholes/handpumps_WASH_agency]]+WWWW[[#This Row],['#_Non-Cluster partner water tube-wells/boreholes/handpumps]])-WWWW[[#This Row],['#_Non-functional tube wells/boreholes/handpumps]]</f>
        <v>0</v>
      </c>
      <c r="CJ147" s="909">
        <f>WWWW[[#This Row],['#_Constructed/Existingwater storage tank with gravity fed reticulation system]]-WWWW[[#This Row],['#_Non-functional storage tank gravity fed reticulation system]]</f>
        <v>0</v>
      </c>
      <c r="CK147" s="909">
        <f>(WWWW[[#This Row],['#_Water_Liters_supplied_by_Water boating or water trucking]]/90)/15</f>
        <v>0</v>
      </c>
      <c r="CL147" s="909">
        <f>WWWW[[#This Row],['#_Water_Liters_from_Constructed/Existing water distribution system from river or natural spring]]/90/15</f>
        <v>0</v>
      </c>
      <c r="CM147" s="417">
        <f>IF(WWWW[[#This Row],['#_of water points in TLS/CFS]]*500&gt;WWWW[[#This Row],[Total PoP ]],WWWW[[#This Row],[Total PoP ]],WWWW[[#This Row],['#_of water points in TLS/CFS]]*500)</f>
        <v>0</v>
      </c>
      <c r="CN147" s="417">
        <f>IF(WWWW[[#This Row],['#_of water points in THF]]*500&gt;WWWW[[#This Row],[Total PoP ]],WWWW[[#This Row],[Total PoP ]],WWWW[[#This Row],['#_of water points in THF]]*500)</f>
        <v>0</v>
      </c>
      <c r="CO147" s="417"/>
      <c r="CP147"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47"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47" s="908">
        <f>IF(WWWW[[#This Row],[Location Type 1]]="Village",WWWW[[#This Row],[Access to safe drinking water for Village]],WWWW[[#This Row],[Access to safe drinking water for Camp]])</f>
        <v>0</v>
      </c>
      <c r="CS147" s="906">
        <f>WWWW[[#This Row],[%Equitable and continuous access to sufficient quantity of safe drinking water]]*WWWW[[#This Row],[Total PoP ]]</f>
        <v>0</v>
      </c>
      <c r="CT147" s="908">
        <f>IF((WWWW[[#This Row],['#_Constructed/Existing protected/fenced ponds]]*250)/WWWW[[#This Row],[Total PoP ]]&gt;1,1,(WWWW[[#This Row],['#_Constructed/Existing protected/fenced ponds]]*250)/WWWW[[#This Row],[Total PoP ]])</f>
        <v>0</v>
      </c>
      <c r="CU147" s="906">
        <f>WWWW[[#This Row],[% Access to unimproved water points]]*WWWW[[#This Row],[Total PoP ]]</f>
        <v>0</v>
      </c>
      <c r="CV147"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47"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47" s="906">
        <f>WWWW[[#This Row],[HRP1]]/500</f>
        <v>0</v>
      </c>
      <c r="CY147" s="911">
        <f>1-WWWW[[#This Row],[% Equitable and continuous access to sufficient quantity of domestic water]]</f>
        <v>1</v>
      </c>
      <c r="CZ147" s="906">
        <f>WWWW[[#This Row],[%equitable and continuous access to sufficient quantity of safe drinking and domestic water''s GAP]]*WWWW[[#This Row],[Total PoP ]]</f>
        <v>101</v>
      </c>
      <c r="DA147" s="909">
        <f>IF(WWWW[[#This Row],[Total required water points]]-WWWW[[#This Row],['#Water points coverage]]&lt;0,0,WWWW[[#This Row],[Total required water points]]-WWWW[[#This Row],['#Water points coverage]])</f>
        <v>1</v>
      </c>
      <c r="DB147" s="909">
        <f>ROUND(IF(WWWW[[#This Row],[Total PoP ]]&lt;500,1,WWWW[[#This Row],[Total PoP ]]/500),0)</f>
        <v>1</v>
      </c>
      <c r="DC147" s="909">
        <f>(WWWW[[#This Row],['#_Constructed latrines_by_WASHAgencies]]+WWWW[[#This Row],['#_Non Cluster partner latrines]])-WWWW[[#This Row],['#_Non-functional latrines]]</f>
        <v>0</v>
      </c>
      <c r="DD147" s="615">
        <f>WWWW[[#This Row],[HRP2]]/WWWW[[#This Row],[Total PoP ]]</f>
        <v>0</v>
      </c>
      <c r="DE147"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47"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7"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7" s="417">
        <f>IF(WWWW[[#This Row],['# of functional latrines in THF supported by WASH partners during the reporting period2]]="",0,WWWW[[#This Row],['# of functional latrines in THF supported by WASH partners during the reporting period2]]*50)</f>
        <v>0</v>
      </c>
      <c r="DI147" s="909">
        <f>ROUND(IF(WWWW[[#This Row],[Location Type 1]]="camp",WWWW[[#This Row],[Total PoP ]]/20,IF(WWWW[[#This Row],[Location Type 1]]="Temporary Location",WWWW[[#This Row],[Total PoP ]]/50,(WWWW[[#This Row],[Total PoP ]]/6))),0)</f>
        <v>5</v>
      </c>
      <c r="DJ147" s="909">
        <f>IF(WWWW[[#This Row],[Total required Latrines]]-(WWWW[[#This Row],['#_Constructed latrines_by_WASHAgencies]]+WWWW[[#This Row],['#_Non Cluster partner latrines]])&lt;0,0,WWWW[[#This Row],[Total required Latrines]]-(WWWW[[#This Row],['#_Constructed latrines_by_WASHAgencies]]+WWWW[[#This Row],['#_Non Cluster partner latrines]]))</f>
        <v>5</v>
      </c>
      <c r="DK147" s="911">
        <f>1-WWWW[[#This Row],[% people access to functioning Latrine]]</f>
        <v>1</v>
      </c>
      <c r="DL147" s="910">
        <f>IF(OR(WWWW[[#This Row],['#_Non-functional latrines]]="",WWWW[[#This Row],['#_Non-functional latrines]]=0),0,WWWW[[#This Row],['#_Non-functional latrines]]/(WWWW[[#This Row],['#_Constructed latrines_by_WASHAgencies]]+WWWW[[#This Row],['#_Non Cluster partner latrines]]))</f>
        <v>0</v>
      </c>
      <c r="DM147" s="906">
        <f>IF(500*(WWWW[[#This Row],['#_male hygiene promoters]]+WWWW[[#This Row],['#_female hygiene promoters]])&gt;WWWW[[#This Row],[Total PoP ]],WWWW[[#This Row],[Total PoP ]],500*(WWWW[[#This Row],['#_male hygiene promoters]]+WWWW[[#This Row],['#_female hygiene promoters]]))</f>
        <v>0</v>
      </c>
      <c r="DN147"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7"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7" s="909">
        <f>IF(WWWW[[#This Row],['# People with access to soap]]&gt;WWWW[[#This Row],['# People with access to Sanity Pads]],WWWW[[#This Row],['# People with access to soap]],WWWW[[#This Row],['# People with access to Sanity Pads]])</f>
        <v>0</v>
      </c>
      <c r="DQ147"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7" s="911">
        <f>IF(WWWW[[#This Row],[HRP3]]/WWWW[[#This Row],[Total PoP ]]&gt;1,1,WWWW[[#This Row],[HRP3]]/WWWW[[#This Row],[Total PoP ]])</f>
        <v>0</v>
      </c>
      <c r="DS147" s="910">
        <f>1-WWWW[[#This Row],[Hygiene Coverage%]]</f>
        <v>1</v>
      </c>
      <c r="DT147" s="908">
        <f>WWWW[[#This Row],['# people reached by regular dedicated hygiene promotion_5]]/WWWW[[#This Row],[Total PoP ]]</f>
        <v>0</v>
      </c>
      <c r="DU147"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7"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7" s="909">
        <f>WWWW[[#This Row],['#_Constructed/Existing hand washing stations]]-WWWW[[#This Row],['#_Non-Functional_hand_washing_stations]]</f>
        <v>1</v>
      </c>
      <c r="DX147" s="906">
        <f>IF(WWWW[[#This Row],['# Functional hand washing stations during reporting period]]*20&gt;WWWW[[#This Row],[Total HH]],WWWW[[#This Row],[Total HH]],WWWW[[#This Row],['# Functional hand washing stations during reporting period]]*20)</f>
        <v>15</v>
      </c>
      <c r="DY147" s="906">
        <f>IF(WWWW[[#This Row],[Is sufficient soap available for TLS? (Yes/No)]]="yes",WWWW[[#This Row],['#_Constructed/Existing hand washing stations at TLS/CFS/THF]],0)</f>
        <v>0</v>
      </c>
      <c r="DZ147" s="421">
        <f>IF(WWWW[[#This Row],['# Functional hand washing stations during reporting period]]*100&gt;WWWW[[#This Row],[Total PoP ]],WWWW[[#This Row],[Total PoP ]],WWWW[[#This Row],['# Functional hand washing stations during reporting period]]*100)</f>
        <v>100</v>
      </c>
      <c r="EA147" s="421" t="str">
        <f>IF(OR(WWWW[[#This Row],['#_students at TLS_CFS]]="",WWWW[[#This Row],['#_students at TLS_CFS]]=0),"No","Yes")</f>
        <v>No</v>
      </c>
      <c r="EB14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7" s="566">
        <f>WWWW[[#This Row],[%_of_affected_people_surveyed_who_report_feeling_satistfied_with_the_latrine_design_and_sanitation_service]]*WWWW[[#This Row],[Total PoP ]]</f>
        <v>0</v>
      </c>
      <c r="ED147" s="566">
        <f>WWWW[[#This Row],[%_of_affected_people_surveyed_who_report_feeling_satistfied_with_the_water_point_design_and_water_service]]*WWWW[[#This Row],[Total PoP ]]</f>
        <v>0</v>
      </c>
      <c r="EE147" s="566">
        <f>WWWW[[#This Row],[%_of_complaints_received_that_result_in_timely_corrective_action_and_feedback_to_the_community]]*WWWW[[#This Row],[Total PoP ]]</f>
        <v>0</v>
      </c>
      <c r="EF14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7" s="902">
        <f>VLOOKUP(WWWW[[#This Row],[Site Name]],SiteDB6[[Site Name]:[CCCM Management]],6,FALSE)</f>
        <v>0</v>
      </c>
      <c r="EJ147" s="902" t="str">
        <f>VLOOKUP(WWWW[[#This Row],[Site Name]],SiteDB6[[Site Name]:[CCCM Focal Agency]],7,FALSE)</f>
        <v>uncovered</v>
      </c>
      <c r="EK147" s="902" t="str">
        <f>VLOOKUP(WWWW[[#This Row],[Site Name]],SiteDB6[[Site Name]:[Location Type 1]],9,FALSE)</f>
        <v>Camp</v>
      </c>
      <c r="EL147" s="902" t="str">
        <f>VLOOKUP(WWWW[[#This Row],[Site Name]],SiteDB6[[Site Name]:[Type of Accommodation]],10,FALSE)</f>
        <v>IDPs in host</v>
      </c>
      <c r="EM147" s="902" t="str">
        <f>VLOOKUP(WWWW[[#This Row],[Site Name]],SiteDB6[[Site Name]:[Ethnic or GCA/NGCA]],11,FALSE)</f>
        <v>GCA</v>
      </c>
      <c r="EN147" s="902">
        <f>VLOOKUP(WWWW[[#This Row],[Site Name]],SiteDB6[[Site Name]:[Lat]],12,FALSE)</f>
        <v>24.404876999999999</v>
      </c>
      <c r="EO147" s="902">
        <f>VLOOKUP(WWWW[[#This Row],[Site Name]],SiteDB6[[Site Name]:[Long]],13,FALSE)</f>
        <v>97.407787999999996</v>
      </c>
      <c r="EP147" s="902" t="str">
        <f>VLOOKUP(WWWW[[#This Row],[Site Name]],SiteDB6[[Site Name]:[Pcode]],3,FALSE)</f>
        <v>MMR001CMP061</v>
      </c>
      <c r="EQ147" s="907" t="str">
        <f t="shared" si="2"/>
        <v>Notcovered</v>
      </c>
      <c r="ER147" s="907"/>
      <c r="ES147" s="907"/>
      <c r="ET147" s="902">
        <f>VLOOKUP(WWWW[[#This Row],[Site Name]],SiteDB6[[Site Name]:[Pop
(Kachin/Shan-CCCM as of May 2023)]],16,FALSE)</f>
        <v>15</v>
      </c>
      <c r="EU147" s="902">
        <f>VLOOKUP(WWWW[[#This Row],[Site Name]],SiteDB6[[Site Name]:[Pop
(Kachin/Shan-CCCM as of May 2023)]],17,FALSE)</f>
        <v>101</v>
      </c>
    </row>
    <row r="148" spans="1:151" hidden="1">
      <c r="A148" s="900" t="s">
        <v>2961</v>
      </c>
      <c r="B148" s="900" t="s">
        <v>309</v>
      </c>
      <c r="C148" s="901" t="s">
        <v>309</v>
      </c>
      <c r="D148" s="901"/>
      <c r="E148" s="901" t="s">
        <v>37</v>
      </c>
      <c r="F148" s="901" t="s">
        <v>184</v>
      </c>
      <c r="G148" s="902" t="str">
        <f>VLOOKUP(WWWW[[#This Row],[Site Name]],SiteDB6[[Site Name]:[Location Type]],8,FALSE)</f>
        <v>Camp</v>
      </c>
      <c r="H148" s="901" t="s">
        <v>2109</v>
      </c>
      <c r="I148" s="903">
        <v>31</v>
      </c>
      <c r="J148" s="903">
        <v>171</v>
      </c>
      <c r="K148" s="904"/>
      <c r="L148" s="905"/>
      <c r="M148" s="903"/>
      <c r="N148" s="903"/>
      <c r="O148" s="903"/>
      <c r="P148" s="903"/>
      <c r="Q148" s="906"/>
      <c r="R148" s="903"/>
      <c r="S148" s="903">
        <v>4</v>
      </c>
      <c r="T148" s="441"/>
      <c r="U148" s="903"/>
      <c r="V148" s="903"/>
      <c r="W148" s="903"/>
      <c r="X148" s="903"/>
      <c r="Y148" s="903"/>
      <c r="Z148" s="903"/>
      <c r="AA148" s="903"/>
      <c r="AB148" s="903"/>
      <c r="AC148" s="903"/>
      <c r="AD148" s="903"/>
      <c r="AE148" s="903"/>
      <c r="AF148" s="903"/>
      <c r="AG148" s="903"/>
      <c r="AH148" s="903"/>
      <c r="AI148" s="903"/>
      <c r="AJ148" s="903"/>
      <c r="AK148" s="903"/>
      <c r="AL148" s="903"/>
      <c r="AM148" s="903"/>
      <c r="AN148" s="903"/>
      <c r="AO148" s="441"/>
      <c r="AP148" s="907"/>
      <c r="AQ148" s="903"/>
      <c r="AR148" s="903"/>
      <c r="AS148" s="908"/>
      <c r="AT148" s="903"/>
      <c r="AU148" s="903"/>
      <c r="AV148" s="903"/>
      <c r="AW148" s="903"/>
      <c r="AX148" s="903"/>
      <c r="AY148" s="902" t="s">
        <v>140</v>
      </c>
      <c r="AZ148" s="907" t="s">
        <v>140</v>
      </c>
      <c r="BA148" s="903"/>
      <c r="BB148" s="903"/>
      <c r="BC148" s="903"/>
      <c r="BD148" s="441"/>
      <c r="BE148" s="441"/>
      <c r="BF148" s="902"/>
      <c r="BG148" s="903">
        <v>1</v>
      </c>
      <c r="BH148" s="903"/>
      <c r="BI148" s="903"/>
      <c r="BJ148" s="903">
        <v>1</v>
      </c>
      <c r="BK148" s="903"/>
      <c r="BL148" s="903"/>
      <c r="BM148" s="903"/>
      <c r="BN148" s="903"/>
      <c r="BO148" s="903"/>
      <c r="BP148" s="902"/>
      <c r="BQ148" s="909"/>
      <c r="BR148" s="908"/>
      <c r="BS148" s="902"/>
      <c r="BT148" s="416"/>
      <c r="BU148" s="416"/>
      <c r="BV148" s="418"/>
      <c r="BW148" s="416"/>
      <c r="BX148" s="441"/>
      <c r="BY148" s="441"/>
      <c r="BZ148" s="441"/>
      <c r="CA148" s="441"/>
      <c r="CB148" s="441"/>
      <c r="CC148" s="693"/>
      <c r="CD148" s="441"/>
      <c r="CE148" s="910" t="str">
        <f>IFERROR(WWWW[[#This Row],['#_Water sources passed]]/WWWW[[#This Row],['#_Water sources tested for fecal coliform ]],"no test")</f>
        <v>no test</v>
      </c>
      <c r="CF148" s="908" t="str">
        <f>IFERROR(WWWW[[#This Row],['#_Household passed]]/WWWW[[#This Row],['#_Household water samples tested for fecal coliform]],"no test")</f>
        <v>no test</v>
      </c>
      <c r="CG148" s="909" t="str">
        <f>IF(AND(WWWW[[#This Row],[% of water sources passed]]="no test",WWWW[[#This Row],[% Household passed]]="no test"),"No Test","Tested")</f>
        <v>No Test</v>
      </c>
      <c r="CH148" s="909">
        <f>WWWW[[#This Row],['#_Constructed/existing protected hand dug well]]-WWWW[[#This Row],['#_Non-functional protected hand dug well]]</f>
        <v>0</v>
      </c>
      <c r="CI148" s="909">
        <f>(WWWW[[#This Row],['#_Constructed/Existing tube wells/boreholes/handpumps_WASH_agency]]+WWWW[[#This Row],['#_Non-Cluster partner water tube-wells/boreholes/handpumps]])-WWWW[[#This Row],['#_Non-functional tube wells/boreholes/handpumps]]</f>
        <v>0</v>
      </c>
      <c r="CJ148" s="909">
        <f>WWWW[[#This Row],['#_Constructed/Existingwater storage tank with gravity fed reticulation system]]-WWWW[[#This Row],['#_Non-functional storage tank gravity fed reticulation system]]</f>
        <v>0</v>
      </c>
      <c r="CK148" s="909">
        <f>(WWWW[[#This Row],['#_Water_Liters_supplied_by_Water boating or water trucking]]/90)/15</f>
        <v>0</v>
      </c>
      <c r="CL148" s="909">
        <f>WWWW[[#This Row],['#_Water_Liters_from_Constructed/Existing water distribution system from river or natural spring]]/90/15</f>
        <v>0</v>
      </c>
      <c r="CM148" s="417">
        <f>IF(WWWW[[#This Row],['#_of water points in TLS/CFS]]*500&gt;WWWW[[#This Row],[Total PoP ]],WWWW[[#This Row],[Total PoP ]],WWWW[[#This Row],['#_of water points in TLS/CFS]]*500)</f>
        <v>0</v>
      </c>
      <c r="CN148" s="417">
        <f>IF(WWWW[[#This Row],['#_of water points in THF]]*500&gt;WWWW[[#This Row],[Total PoP ]],WWWW[[#This Row],[Total PoP ]],WWWW[[#This Row],['#_of water points in THF]]*500)</f>
        <v>0</v>
      </c>
      <c r="CO148" s="417"/>
      <c r="CP148"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48"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48" s="908">
        <f>IF(WWWW[[#This Row],[Location Type 1]]="Village",WWWW[[#This Row],[Access to safe drinking water for Village]],WWWW[[#This Row],[Access to safe drinking water for Camp]])</f>
        <v>0</v>
      </c>
      <c r="CS148" s="906">
        <f>WWWW[[#This Row],[%Equitable and continuous access to sufficient quantity of safe drinking water]]*WWWW[[#This Row],[Total PoP ]]</f>
        <v>0</v>
      </c>
      <c r="CT148" s="908">
        <f>IF((WWWW[[#This Row],['#_Constructed/Existing protected/fenced ponds]]*250)/WWWW[[#This Row],[Total PoP ]]&gt;1,1,(WWWW[[#This Row],['#_Constructed/Existing protected/fenced ponds]]*250)/WWWW[[#This Row],[Total PoP ]])</f>
        <v>0</v>
      </c>
      <c r="CU148" s="906">
        <f>WWWW[[#This Row],[% Access to unimproved water points]]*WWWW[[#This Row],[Total PoP ]]</f>
        <v>0</v>
      </c>
      <c r="CV148"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48"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48" s="906">
        <f>WWWW[[#This Row],[HRP1]]/500</f>
        <v>0</v>
      </c>
      <c r="CY148" s="911">
        <f>1-WWWW[[#This Row],[% Equitable and continuous access to sufficient quantity of domestic water]]</f>
        <v>1</v>
      </c>
      <c r="CZ148" s="906">
        <f>WWWW[[#This Row],[%equitable and continuous access to sufficient quantity of safe drinking and domestic water''s GAP]]*WWWW[[#This Row],[Total PoP ]]</f>
        <v>171</v>
      </c>
      <c r="DA148" s="909">
        <f>IF(WWWW[[#This Row],[Total required water points]]-WWWW[[#This Row],['#Water points coverage]]&lt;0,0,WWWW[[#This Row],[Total required water points]]-WWWW[[#This Row],['#Water points coverage]])</f>
        <v>1</v>
      </c>
      <c r="DB148" s="909">
        <f>ROUND(IF(WWWW[[#This Row],[Total PoP ]]&lt;500,1,WWWW[[#This Row],[Total PoP ]]/500),0)</f>
        <v>1</v>
      </c>
      <c r="DC148" s="909">
        <f>(WWWW[[#This Row],['#_Constructed latrines_by_WASHAgencies]]+WWWW[[#This Row],['#_Non Cluster partner latrines]])-WWWW[[#This Row],['#_Non-functional latrines]]</f>
        <v>0</v>
      </c>
      <c r="DD148" s="615">
        <f>WWWW[[#This Row],[HRP2]]/WWWW[[#This Row],[Total PoP ]]</f>
        <v>0</v>
      </c>
      <c r="DE148"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48"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8"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8" s="417">
        <f>IF(WWWW[[#This Row],['# of functional latrines in THF supported by WASH partners during the reporting period2]]="",0,WWWW[[#This Row],['# of functional latrines in THF supported by WASH partners during the reporting period2]]*50)</f>
        <v>0</v>
      </c>
      <c r="DI148" s="909">
        <f>ROUND(IF(WWWW[[#This Row],[Location Type 1]]="camp",WWWW[[#This Row],[Total PoP ]]/20,IF(WWWW[[#This Row],[Location Type 1]]="Temporary Location",WWWW[[#This Row],[Total PoP ]]/50,(WWWW[[#This Row],[Total PoP ]]/6))),0)</f>
        <v>9</v>
      </c>
      <c r="DJ148" s="909">
        <f>IF(WWWW[[#This Row],[Total required Latrines]]-(WWWW[[#This Row],['#_Constructed latrines_by_WASHAgencies]]+WWWW[[#This Row],['#_Non Cluster partner latrines]])&lt;0,0,WWWW[[#This Row],[Total required Latrines]]-(WWWW[[#This Row],['#_Constructed latrines_by_WASHAgencies]]+WWWW[[#This Row],['#_Non Cluster partner latrines]]))</f>
        <v>9</v>
      </c>
      <c r="DK148" s="911">
        <f>1-WWWW[[#This Row],[% people access to functioning Latrine]]</f>
        <v>1</v>
      </c>
      <c r="DL148" s="910">
        <f>IF(OR(WWWW[[#This Row],['#_Non-functional latrines]]="",WWWW[[#This Row],['#_Non-functional latrines]]=0),0,WWWW[[#This Row],['#_Non-functional latrines]]/(WWWW[[#This Row],['#_Constructed latrines_by_WASHAgencies]]+WWWW[[#This Row],['#_Non Cluster partner latrines]]))</f>
        <v>0</v>
      </c>
      <c r="DM148" s="906">
        <f>IF(500*(WWWW[[#This Row],['#_male hygiene promoters]]+WWWW[[#This Row],['#_female hygiene promoters]])&gt;WWWW[[#This Row],[Total PoP ]],WWWW[[#This Row],[Total PoP ]],500*(WWWW[[#This Row],['#_male hygiene promoters]]+WWWW[[#This Row],['#_female hygiene promoters]]))</f>
        <v>0</v>
      </c>
      <c r="DN148"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8"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8" s="909">
        <f>IF(WWWW[[#This Row],['# People with access to soap]]&gt;WWWW[[#This Row],['# People with access to Sanity Pads]],WWWW[[#This Row],['# People with access to soap]],WWWW[[#This Row],['# People with access to Sanity Pads]])</f>
        <v>0</v>
      </c>
      <c r="DQ148"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8" s="911">
        <f>IF(WWWW[[#This Row],[HRP3]]/WWWW[[#This Row],[Total PoP ]]&gt;1,1,WWWW[[#This Row],[HRP3]]/WWWW[[#This Row],[Total PoP ]])</f>
        <v>0</v>
      </c>
      <c r="DS148" s="910">
        <f>1-WWWW[[#This Row],[Hygiene Coverage%]]</f>
        <v>1</v>
      </c>
      <c r="DT148" s="908">
        <f>WWWW[[#This Row],['# people reached by regular dedicated hygiene promotion_5]]/WWWW[[#This Row],[Total PoP ]]</f>
        <v>0</v>
      </c>
      <c r="DU148"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8"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8" s="909">
        <f>WWWW[[#This Row],['#_Constructed/Existing hand washing stations]]-WWWW[[#This Row],['#_Non-Functional_hand_washing_stations]]</f>
        <v>1</v>
      </c>
      <c r="DX148" s="906">
        <f>IF(WWWW[[#This Row],['# Functional hand washing stations during reporting period]]*20&gt;WWWW[[#This Row],[Total HH]],WWWW[[#This Row],[Total HH]],WWWW[[#This Row],['# Functional hand washing stations during reporting period]]*20)</f>
        <v>20</v>
      </c>
      <c r="DY148" s="906">
        <f>IF(WWWW[[#This Row],[Is sufficient soap available for TLS? (Yes/No)]]="yes",WWWW[[#This Row],['#_Constructed/Existing hand washing stations at TLS/CFS/THF]],0)</f>
        <v>0</v>
      </c>
      <c r="DZ148" s="421">
        <f>IF(WWWW[[#This Row],['# Functional hand washing stations during reporting period]]*100&gt;WWWW[[#This Row],[Total PoP ]],WWWW[[#This Row],[Total PoP ]],WWWW[[#This Row],['# Functional hand washing stations during reporting period]]*100)</f>
        <v>100</v>
      </c>
      <c r="EA148" s="421" t="str">
        <f>IF(OR(WWWW[[#This Row],['#_students at TLS_CFS]]="",WWWW[[#This Row],['#_students at TLS_CFS]]=0),"No","Yes")</f>
        <v>No</v>
      </c>
      <c r="EB14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8" s="566">
        <f>WWWW[[#This Row],[%_of_affected_people_surveyed_who_report_feeling_satistfied_with_the_latrine_design_and_sanitation_service]]*WWWW[[#This Row],[Total PoP ]]</f>
        <v>0</v>
      </c>
      <c r="ED148" s="566">
        <f>WWWW[[#This Row],[%_of_affected_people_surveyed_who_report_feeling_satistfied_with_the_water_point_design_and_water_service]]*WWWW[[#This Row],[Total PoP ]]</f>
        <v>0</v>
      </c>
      <c r="EE148" s="566">
        <f>WWWW[[#This Row],[%_of_complaints_received_that_result_in_timely_corrective_action_and_feedback_to_the_community]]*WWWW[[#This Row],[Total PoP ]]</f>
        <v>0</v>
      </c>
      <c r="EF14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8" s="902">
        <f>VLOOKUP(WWWW[[#This Row],[Site Name]],SiteDB6[[Site Name]:[CCCM Management]],6,FALSE)</f>
        <v>0</v>
      </c>
      <c r="EJ148" s="902" t="str">
        <f>VLOOKUP(WWWW[[#This Row],[Site Name]],SiteDB6[[Site Name]:[CCCM Focal Agency]],7,FALSE)</f>
        <v>uncovered</v>
      </c>
      <c r="EK148" s="902" t="str">
        <f>VLOOKUP(WWWW[[#This Row],[Site Name]],SiteDB6[[Site Name]:[Location Type 1]],9,FALSE)</f>
        <v>Camp</v>
      </c>
      <c r="EL148" s="902" t="str">
        <f>VLOOKUP(WWWW[[#This Row],[Site Name]],SiteDB6[[Site Name]:[Type of Accommodation]],10,FALSE)</f>
        <v>Closed Camp</v>
      </c>
      <c r="EM148" s="902" t="str">
        <f>VLOOKUP(WWWW[[#This Row],[Site Name]],SiteDB6[[Site Name]:[Ethnic or GCA/NGCA]],11,FALSE)</f>
        <v>GCA</v>
      </c>
      <c r="EN148" s="902">
        <f>VLOOKUP(WWWW[[#This Row],[Site Name]],SiteDB6[[Site Name]:[Lat]],12,FALSE)</f>
        <v>26.299828999999999</v>
      </c>
      <c r="EO148" s="902">
        <f>VLOOKUP(WWWW[[#This Row],[Site Name]],SiteDB6[[Site Name]:[Long]],13,FALSE)</f>
        <v>97.487258999999995</v>
      </c>
      <c r="EP148" s="902" t="str">
        <f>VLOOKUP(WWWW[[#This Row],[Site Name]],SiteDB6[[Site Name]:[Pcode]],3,FALSE)</f>
        <v>MMR001CMP272</v>
      </c>
      <c r="EQ148" s="907" t="str">
        <f t="shared" si="2"/>
        <v>Notcovered</v>
      </c>
      <c r="ER148" s="907"/>
      <c r="ES148" s="907"/>
      <c r="ET148" s="902">
        <f>VLOOKUP(WWWW[[#This Row],[Site Name]],SiteDB6[[Site Name]:[Pop
(Kachin/Shan-CCCM as of May 2023)]],16,FALSE)</f>
        <v>31</v>
      </c>
      <c r="EU148" s="902">
        <f>VLOOKUP(WWWW[[#This Row],[Site Name]],SiteDB6[[Site Name]:[Pop
(Kachin/Shan-CCCM as of May 2023)]],17,FALSE)</f>
        <v>171</v>
      </c>
    </row>
    <row r="149" spans="1:151" hidden="1">
      <c r="A149" s="900" t="s">
        <v>2961</v>
      </c>
      <c r="B149" s="900" t="s">
        <v>309</v>
      </c>
      <c r="C149" s="901" t="s">
        <v>309</v>
      </c>
      <c r="D149" s="901"/>
      <c r="E149" s="901" t="s">
        <v>37</v>
      </c>
      <c r="F149" s="901" t="s">
        <v>142</v>
      </c>
      <c r="G149" s="902" t="str">
        <f>VLOOKUP(WWWW[[#This Row],[Site Name]],SiteDB6[[Site Name]:[Location Type]],8,FALSE)</f>
        <v>Camp</v>
      </c>
      <c r="H149" s="901" t="s">
        <v>2711</v>
      </c>
      <c r="I149" s="903">
        <v>48</v>
      </c>
      <c r="J149" s="903">
        <v>240</v>
      </c>
      <c r="K149" s="904"/>
      <c r="L149" s="905"/>
      <c r="M149" s="903"/>
      <c r="N149" s="903"/>
      <c r="O149" s="903"/>
      <c r="P149" s="903"/>
      <c r="Q149" s="906"/>
      <c r="R149" s="903"/>
      <c r="S149" s="903"/>
      <c r="T149" s="441"/>
      <c r="U149" s="903"/>
      <c r="V149" s="903"/>
      <c r="W149" s="903"/>
      <c r="X149" s="903"/>
      <c r="Y149" s="903"/>
      <c r="Z149" s="903"/>
      <c r="AA149" s="903"/>
      <c r="AB149" s="903"/>
      <c r="AC149" s="903"/>
      <c r="AD149" s="903"/>
      <c r="AE149" s="903"/>
      <c r="AF149" s="903"/>
      <c r="AG149" s="903"/>
      <c r="AH149" s="903"/>
      <c r="AI149" s="903"/>
      <c r="AJ149" s="903"/>
      <c r="AK149" s="903"/>
      <c r="AL149" s="903"/>
      <c r="AM149" s="903"/>
      <c r="AN149" s="903"/>
      <c r="AO149" s="441"/>
      <c r="AP149" s="907"/>
      <c r="AQ149" s="903"/>
      <c r="AR149" s="903"/>
      <c r="AS149" s="908"/>
      <c r="AT149" s="903"/>
      <c r="AU149" s="903"/>
      <c r="AV149" s="903"/>
      <c r="AW149" s="903"/>
      <c r="AX149" s="903"/>
      <c r="AY149" s="902" t="s">
        <v>140</v>
      </c>
      <c r="AZ149" s="907" t="s">
        <v>140</v>
      </c>
      <c r="BA149" s="903"/>
      <c r="BB149" s="903"/>
      <c r="BC149" s="903"/>
      <c r="BD149" s="441"/>
      <c r="BE149" s="441"/>
      <c r="BF149" s="902"/>
      <c r="BG149" s="903">
        <v>7</v>
      </c>
      <c r="BH149" s="903"/>
      <c r="BI149" s="903"/>
      <c r="BJ149" s="903">
        <v>4</v>
      </c>
      <c r="BK149" s="903"/>
      <c r="BL149" s="903"/>
      <c r="BM149" s="903"/>
      <c r="BN149" s="903"/>
      <c r="BO149" s="903"/>
      <c r="BP149" s="902"/>
      <c r="BQ149" s="909"/>
      <c r="BR149" s="908"/>
      <c r="BS149" s="902"/>
      <c r="BT149" s="416"/>
      <c r="BU149" s="416"/>
      <c r="BV149" s="418"/>
      <c r="BW149" s="416"/>
      <c r="BX149" s="441"/>
      <c r="BY149" s="441"/>
      <c r="BZ149" s="441"/>
      <c r="CA149" s="441"/>
      <c r="CB149" s="441"/>
      <c r="CC149" s="693"/>
      <c r="CD149" s="441"/>
      <c r="CE149" s="910" t="str">
        <f>IFERROR(WWWW[[#This Row],['#_Water sources passed]]/WWWW[[#This Row],['#_Water sources tested for fecal coliform ]],"no test")</f>
        <v>no test</v>
      </c>
      <c r="CF149" s="908" t="str">
        <f>IFERROR(WWWW[[#This Row],['#_Household passed]]/WWWW[[#This Row],['#_Household water samples tested for fecal coliform]],"no test")</f>
        <v>no test</v>
      </c>
      <c r="CG149" s="909" t="str">
        <f>IF(AND(WWWW[[#This Row],[% of water sources passed]]="no test",WWWW[[#This Row],[% Household passed]]="no test"),"No Test","Tested")</f>
        <v>No Test</v>
      </c>
      <c r="CH149" s="909">
        <f>WWWW[[#This Row],['#_Constructed/existing protected hand dug well]]-WWWW[[#This Row],['#_Non-functional protected hand dug well]]</f>
        <v>0</v>
      </c>
      <c r="CI149" s="909">
        <f>(WWWW[[#This Row],['#_Constructed/Existing tube wells/boreholes/handpumps_WASH_agency]]+WWWW[[#This Row],['#_Non-Cluster partner water tube-wells/boreholes/handpumps]])-WWWW[[#This Row],['#_Non-functional tube wells/boreholes/handpumps]]</f>
        <v>0</v>
      </c>
      <c r="CJ149" s="909">
        <f>WWWW[[#This Row],['#_Constructed/Existingwater storage tank with gravity fed reticulation system]]-WWWW[[#This Row],['#_Non-functional storage tank gravity fed reticulation system]]</f>
        <v>0</v>
      </c>
      <c r="CK149" s="909">
        <f>(WWWW[[#This Row],['#_Water_Liters_supplied_by_Water boating or water trucking]]/90)/15</f>
        <v>0</v>
      </c>
      <c r="CL149" s="909">
        <f>WWWW[[#This Row],['#_Water_Liters_from_Constructed/Existing water distribution system from river or natural spring]]/90/15</f>
        <v>0</v>
      </c>
      <c r="CM149" s="417">
        <f>IF(WWWW[[#This Row],['#_of water points in TLS/CFS]]*500&gt;WWWW[[#This Row],[Total PoP ]],WWWW[[#This Row],[Total PoP ]],WWWW[[#This Row],['#_of water points in TLS/CFS]]*500)</f>
        <v>0</v>
      </c>
      <c r="CN149" s="417">
        <f>IF(WWWW[[#This Row],['#_of water points in THF]]*500&gt;WWWW[[#This Row],[Total PoP ]],WWWW[[#This Row],[Total PoP ]],WWWW[[#This Row],['#_of water points in THF]]*500)</f>
        <v>0</v>
      </c>
      <c r="CO149" s="417"/>
      <c r="CP149"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49"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49" s="908">
        <f>IF(WWWW[[#This Row],[Location Type 1]]="Village",WWWW[[#This Row],[Access to safe drinking water for Village]],WWWW[[#This Row],[Access to safe drinking water for Camp]])</f>
        <v>0</v>
      </c>
      <c r="CS149" s="906">
        <f>WWWW[[#This Row],[%Equitable and continuous access to sufficient quantity of safe drinking water]]*WWWW[[#This Row],[Total PoP ]]</f>
        <v>0</v>
      </c>
      <c r="CT149" s="908">
        <f>IF((WWWW[[#This Row],['#_Constructed/Existing protected/fenced ponds]]*250)/WWWW[[#This Row],[Total PoP ]]&gt;1,1,(WWWW[[#This Row],['#_Constructed/Existing protected/fenced ponds]]*250)/WWWW[[#This Row],[Total PoP ]])</f>
        <v>0</v>
      </c>
      <c r="CU149" s="906">
        <f>WWWW[[#This Row],[% Access to unimproved water points]]*WWWW[[#This Row],[Total PoP ]]</f>
        <v>0</v>
      </c>
      <c r="CV149"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49"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49" s="906">
        <f>WWWW[[#This Row],[HRP1]]/500</f>
        <v>0</v>
      </c>
      <c r="CY149" s="911">
        <f>1-WWWW[[#This Row],[% Equitable and continuous access to sufficient quantity of domestic water]]</f>
        <v>1</v>
      </c>
      <c r="CZ149" s="906">
        <f>WWWW[[#This Row],[%equitable and continuous access to sufficient quantity of safe drinking and domestic water''s GAP]]*WWWW[[#This Row],[Total PoP ]]</f>
        <v>240</v>
      </c>
      <c r="DA149" s="909">
        <f>IF(WWWW[[#This Row],[Total required water points]]-WWWW[[#This Row],['#Water points coverage]]&lt;0,0,WWWW[[#This Row],[Total required water points]]-WWWW[[#This Row],['#Water points coverage]])</f>
        <v>1</v>
      </c>
      <c r="DB149" s="909">
        <f>ROUND(IF(WWWW[[#This Row],[Total PoP ]]&lt;500,1,WWWW[[#This Row],[Total PoP ]]/500),0)</f>
        <v>1</v>
      </c>
      <c r="DC149" s="909">
        <f>(WWWW[[#This Row],['#_Constructed latrines_by_WASHAgencies]]+WWWW[[#This Row],['#_Non Cluster partner latrines]])-WWWW[[#This Row],['#_Non-functional latrines]]</f>
        <v>0</v>
      </c>
      <c r="DD149" s="615">
        <f>WWWW[[#This Row],[HRP2]]/WWWW[[#This Row],[Total PoP ]]</f>
        <v>0</v>
      </c>
      <c r="DE149"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49"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49"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49" s="417">
        <f>IF(WWWW[[#This Row],['# of functional latrines in THF supported by WASH partners during the reporting period2]]="",0,WWWW[[#This Row],['# of functional latrines in THF supported by WASH partners during the reporting period2]]*50)</f>
        <v>0</v>
      </c>
      <c r="DI149" s="909">
        <f>ROUND(IF(WWWW[[#This Row],[Location Type 1]]="camp",WWWW[[#This Row],[Total PoP ]]/20,IF(WWWW[[#This Row],[Location Type 1]]="Temporary Location",WWWW[[#This Row],[Total PoP ]]/50,(WWWW[[#This Row],[Total PoP ]]/6))),0)</f>
        <v>12</v>
      </c>
      <c r="DJ149" s="909">
        <f>IF(WWWW[[#This Row],[Total required Latrines]]-(WWWW[[#This Row],['#_Constructed latrines_by_WASHAgencies]]+WWWW[[#This Row],['#_Non Cluster partner latrines]])&lt;0,0,WWWW[[#This Row],[Total required Latrines]]-(WWWW[[#This Row],['#_Constructed latrines_by_WASHAgencies]]+WWWW[[#This Row],['#_Non Cluster partner latrines]]))</f>
        <v>12</v>
      </c>
      <c r="DK149" s="911">
        <f>1-WWWW[[#This Row],[% people access to functioning Latrine]]</f>
        <v>1</v>
      </c>
      <c r="DL149" s="910">
        <f>IF(OR(WWWW[[#This Row],['#_Non-functional latrines]]="",WWWW[[#This Row],['#_Non-functional latrines]]=0),0,WWWW[[#This Row],['#_Non-functional latrines]]/(WWWW[[#This Row],['#_Constructed latrines_by_WASHAgencies]]+WWWW[[#This Row],['#_Non Cluster partner latrines]]))</f>
        <v>0</v>
      </c>
      <c r="DM149" s="906">
        <f>IF(500*(WWWW[[#This Row],['#_male hygiene promoters]]+WWWW[[#This Row],['#_female hygiene promoters]])&gt;WWWW[[#This Row],[Total PoP ]],WWWW[[#This Row],[Total PoP ]],500*(WWWW[[#This Row],['#_male hygiene promoters]]+WWWW[[#This Row],['#_female hygiene promoters]]))</f>
        <v>0</v>
      </c>
      <c r="DN149"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49"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49" s="909">
        <f>IF(WWWW[[#This Row],['# People with access to soap]]&gt;WWWW[[#This Row],['# People with access to Sanity Pads]],WWWW[[#This Row],['# People with access to soap]],WWWW[[#This Row],['# People with access to Sanity Pads]])</f>
        <v>0</v>
      </c>
      <c r="DQ149"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49" s="911">
        <f>IF(WWWW[[#This Row],[HRP3]]/WWWW[[#This Row],[Total PoP ]]&gt;1,1,WWWW[[#This Row],[HRP3]]/WWWW[[#This Row],[Total PoP ]])</f>
        <v>0</v>
      </c>
      <c r="DS149" s="910">
        <f>1-WWWW[[#This Row],[Hygiene Coverage%]]</f>
        <v>1</v>
      </c>
      <c r="DT149" s="908">
        <f>WWWW[[#This Row],['# people reached by regular dedicated hygiene promotion_5]]/WWWW[[#This Row],[Total PoP ]]</f>
        <v>0</v>
      </c>
      <c r="DU149"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49"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49" s="909">
        <f>WWWW[[#This Row],['#_Constructed/Existing hand washing stations]]-WWWW[[#This Row],['#_Non-Functional_hand_washing_stations]]</f>
        <v>7</v>
      </c>
      <c r="DX149" s="906">
        <f>IF(WWWW[[#This Row],['# Functional hand washing stations during reporting period]]*20&gt;WWWW[[#This Row],[Total HH]],WWWW[[#This Row],[Total HH]],WWWW[[#This Row],['# Functional hand washing stations during reporting period]]*20)</f>
        <v>48</v>
      </c>
      <c r="DY149" s="906">
        <f>IF(WWWW[[#This Row],[Is sufficient soap available for TLS? (Yes/No)]]="yes",WWWW[[#This Row],['#_Constructed/Existing hand washing stations at TLS/CFS/THF]],0)</f>
        <v>0</v>
      </c>
      <c r="DZ149" s="421">
        <f>IF(WWWW[[#This Row],['# Functional hand washing stations during reporting period]]*100&gt;WWWW[[#This Row],[Total PoP ]],WWWW[[#This Row],[Total PoP ]],WWWW[[#This Row],['# Functional hand washing stations during reporting period]]*100)</f>
        <v>240</v>
      </c>
      <c r="EA149" s="421" t="str">
        <f>IF(OR(WWWW[[#This Row],['#_students at TLS_CFS]]="",WWWW[[#This Row],['#_students at TLS_CFS]]=0),"No","Yes")</f>
        <v>No</v>
      </c>
      <c r="EB14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49" s="566">
        <f>WWWW[[#This Row],[%_of_affected_people_surveyed_who_report_feeling_satistfied_with_the_latrine_design_and_sanitation_service]]*WWWW[[#This Row],[Total PoP ]]</f>
        <v>0</v>
      </c>
      <c r="ED149" s="566">
        <f>WWWW[[#This Row],[%_of_affected_people_surveyed_who_report_feeling_satistfied_with_the_water_point_design_and_water_service]]*WWWW[[#This Row],[Total PoP ]]</f>
        <v>0</v>
      </c>
      <c r="EE149" s="566">
        <f>WWWW[[#This Row],[%_of_complaints_received_that_result_in_timely_corrective_action_and_feedback_to_the_community]]*WWWW[[#This Row],[Total PoP ]]</f>
        <v>0</v>
      </c>
      <c r="EF14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4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4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49" s="902">
        <f>VLOOKUP(WWWW[[#This Row],[Site Name]],SiteDB6[[Site Name]:[CCCM Management]],6,FALSE)</f>
        <v>0</v>
      </c>
      <c r="EJ149" s="902" t="str">
        <f>VLOOKUP(WWWW[[#This Row],[Site Name]],SiteDB6[[Site Name]:[CCCM Focal Agency]],7,FALSE)</f>
        <v xml:space="preserve">Uncovered  </v>
      </c>
      <c r="EK149" s="902" t="str">
        <f>VLOOKUP(WWWW[[#This Row],[Site Name]],SiteDB6[[Site Name]:[Location Type 1]],9,FALSE)</f>
        <v>Camp</v>
      </c>
      <c r="EL149" s="902" t="str">
        <f>VLOOKUP(WWWW[[#This Row],[Site Name]],SiteDB6[[Site Name]:[Type of Accommodation]],10,FALSE)</f>
        <v>Camp like setting</v>
      </c>
      <c r="EM149" s="902" t="str">
        <f>VLOOKUP(WWWW[[#This Row],[Site Name]],SiteDB6[[Site Name]:[Ethnic or GCA/NGCA]],11,FALSE)</f>
        <v>GCA</v>
      </c>
      <c r="EN149" s="902">
        <f>VLOOKUP(WWWW[[#This Row],[Site Name]],SiteDB6[[Site Name]:[Lat]],12,FALSE)</f>
        <v>0</v>
      </c>
      <c r="EO149" s="902">
        <f>VLOOKUP(WWWW[[#This Row],[Site Name]],SiteDB6[[Site Name]:[Long]],13,FALSE)</f>
        <v>0</v>
      </c>
      <c r="EP149" s="902" t="str">
        <f>VLOOKUP(WWWW[[#This Row],[Site Name]],SiteDB6[[Site Name]:[Pcode]],3,FALSE)</f>
        <v>MMR001CMP293</v>
      </c>
      <c r="EQ149" s="907" t="str">
        <f t="shared" si="2"/>
        <v>Notcovered</v>
      </c>
      <c r="ER149" s="907"/>
      <c r="ES149" s="907"/>
      <c r="ET149" s="902">
        <f>VLOOKUP(WWWW[[#This Row],[Site Name]],SiteDB6[[Site Name]:[Pop
(Kachin/Shan-CCCM as of May 2023)]],16,FALSE)</f>
        <v>29</v>
      </c>
      <c r="EU149" s="902">
        <f>VLOOKUP(WWWW[[#This Row],[Site Name]],SiteDB6[[Site Name]:[Pop
(Kachin/Shan-CCCM as of May 2023)]],17,FALSE)</f>
        <v>166</v>
      </c>
    </row>
    <row r="150" spans="1:151" hidden="1">
      <c r="A150" s="900" t="s">
        <v>2961</v>
      </c>
      <c r="B150" s="900" t="s">
        <v>309</v>
      </c>
      <c r="C150" s="901" t="s">
        <v>309</v>
      </c>
      <c r="D150" s="901"/>
      <c r="E150" s="901" t="s">
        <v>37</v>
      </c>
      <c r="F150" s="901" t="s">
        <v>142</v>
      </c>
      <c r="G150" s="902" t="str">
        <f>VLOOKUP(WWWW[[#This Row],[Site Name]],SiteDB6[[Site Name]:[Location Type]],8,FALSE)</f>
        <v>Camp</v>
      </c>
      <c r="H150" s="901" t="s">
        <v>2712</v>
      </c>
      <c r="I150" s="903">
        <v>34</v>
      </c>
      <c r="J150" s="903">
        <v>189</v>
      </c>
      <c r="K150" s="904"/>
      <c r="L150" s="905"/>
      <c r="M150" s="903"/>
      <c r="N150" s="903"/>
      <c r="O150" s="903"/>
      <c r="P150" s="903"/>
      <c r="Q150" s="906"/>
      <c r="R150" s="903"/>
      <c r="S150" s="903"/>
      <c r="T150" s="441"/>
      <c r="U150" s="903"/>
      <c r="V150" s="903"/>
      <c r="W150" s="903"/>
      <c r="X150" s="903"/>
      <c r="Y150" s="903"/>
      <c r="Z150" s="903"/>
      <c r="AA150" s="903"/>
      <c r="AB150" s="903"/>
      <c r="AC150" s="903"/>
      <c r="AD150" s="903"/>
      <c r="AE150" s="903"/>
      <c r="AF150" s="903"/>
      <c r="AG150" s="903"/>
      <c r="AH150" s="903"/>
      <c r="AI150" s="903"/>
      <c r="AJ150" s="903"/>
      <c r="AK150" s="903"/>
      <c r="AL150" s="903"/>
      <c r="AM150" s="903"/>
      <c r="AN150" s="903"/>
      <c r="AO150" s="441"/>
      <c r="AP150" s="907"/>
      <c r="AQ150" s="903"/>
      <c r="AR150" s="903"/>
      <c r="AS150" s="908"/>
      <c r="AT150" s="903"/>
      <c r="AU150" s="903"/>
      <c r="AV150" s="903"/>
      <c r="AW150" s="903"/>
      <c r="AX150" s="903"/>
      <c r="AY150" s="902" t="s">
        <v>140</v>
      </c>
      <c r="AZ150" s="907" t="s">
        <v>140</v>
      </c>
      <c r="BA150" s="903"/>
      <c r="BB150" s="903"/>
      <c r="BC150" s="903"/>
      <c r="BD150" s="441"/>
      <c r="BE150" s="441"/>
      <c r="BF150" s="902"/>
      <c r="BG150" s="903">
        <v>3</v>
      </c>
      <c r="BH150" s="903"/>
      <c r="BI150" s="903"/>
      <c r="BJ150" s="903">
        <v>2</v>
      </c>
      <c r="BK150" s="903"/>
      <c r="BL150" s="903"/>
      <c r="BM150" s="903"/>
      <c r="BN150" s="903"/>
      <c r="BO150" s="903"/>
      <c r="BP150" s="902"/>
      <c r="BQ150" s="909"/>
      <c r="BR150" s="908"/>
      <c r="BS150" s="902"/>
      <c r="BT150" s="416"/>
      <c r="BU150" s="416"/>
      <c r="BV150" s="418"/>
      <c r="BW150" s="416"/>
      <c r="BX150" s="441"/>
      <c r="BY150" s="441"/>
      <c r="BZ150" s="441"/>
      <c r="CA150" s="441"/>
      <c r="CB150" s="441"/>
      <c r="CC150" s="693"/>
      <c r="CD150" s="441"/>
      <c r="CE150" s="910" t="str">
        <f>IFERROR(WWWW[[#This Row],['#_Water sources passed]]/WWWW[[#This Row],['#_Water sources tested for fecal coliform ]],"no test")</f>
        <v>no test</v>
      </c>
      <c r="CF150" s="908" t="str">
        <f>IFERROR(WWWW[[#This Row],['#_Household passed]]/WWWW[[#This Row],['#_Household water samples tested for fecal coliform]],"no test")</f>
        <v>no test</v>
      </c>
      <c r="CG150" s="909" t="str">
        <f>IF(AND(WWWW[[#This Row],[% of water sources passed]]="no test",WWWW[[#This Row],[% Household passed]]="no test"),"No Test","Tested")</f>
        <v>No Test</v>
      </c>
      <c r="CH150" s="909">
        <f>WWWW[[#This Row],['#_Constructed/existing protected hand dug well]]-WWWW[[#This Row],['#_Non-functional protected hand dug well]]</f>
        <v>0</v>
      </c>
      <c r="CI150" s="909">
        <f>(WWWW[[#This Row],['#_Constructed/Existing tube wells/boreholes/handpumps_WASH_agency]]+WWWW[[#This Row],['#_Non-Cluster partner water tube-wells/boreholes/handpumps]])-WWWW[[#This Row],['#_Non-functional tube wells/boreholes/handpumps]]</f>
        <v>0</v>
      </c>
      <c r="CJ150" s="909">
        <f>WWWW[[#This Row],['#_Constructed/Existingwater storage tank with gravity fed reticulation system]]-WWWW[[#This Row],['#_Non-functional storage tank gravity fed reticulation system]]</f>
        <v>0</v>
      </c>
      <c r="CK150" s="909">
        <f>(WWWW[[#This Row],['#_Water_Liters_supplied_by_Water boating or water trucking]]/90)/15</f>
        <v>0</v>
      </c>
      <c r="CL150" s="909">
        <f>WWWW[[#This Row],['#_Water_Liters_from_Constructed/Existing water distribution system from river or natural spring]]/90/15</f>
        <v>0</v>
      </c>
      <c r="CM150" s="417">
        <f>IF(WWWW[[#This Row],['#_of water points in TLS/CFS]]*500&gt;WWWW[[#This Row],[Total PoP ]],WWWW[[#This Row],[Total PoP ]],WWWW[[#This Row],['#_of water points in TLS/CFS]]*500)</f>
        <v>0</v>
      </c>
      <c r="CN150" s="417">
        <f>IF(WWWW[[#This Row],['#_of water points in THF]]*500&gt;WWWW[[#This Row],[Total PoP ]],WWWW[[#This Row],[Total PoP ]],WWWW[[#This Row],['#_of water points in THF]]*500)</f>
        <v>0</v>
      </c>
      <c r="CO150" s="417"/>
      <c r="CP150"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50"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50" s="908">
        <f>IF(WWWW[[#This Row],[Location Type 1]]="Village",WWWW[[#This Row],[Access to safe drinking water for Village]],WWWW[[#This Row],[Access to safe drinking water for Camp]])</f>
        <v>0</v>
      </c>
      <c r="CS150" s="906">
        <f>WWWW[[#This Row],[%Equitable and continuous access to sufficient quantity of safe drinking water]]*WWWW[[#This Row],[Total PoP ]]</f>
        <v>0</v>
      </c>
      <c r="CT150" s="908">
        <f>IF((WWWW[[#This Row],['#_Constructed/Existing protected/fenced ponds]]*250)/WWWW[[#This Row],[Total PoP ]]&gt;1,1,(WWWW[[#This Row],['#_Constructed/Existing protected/fenced ponds]]*250)/WWWW[[#This Row],[Total PoP ]])</f>
        <v>0</v>
      </c>
      <c r="CU150" s="906">
        <f>WWWW[[#This Row],[% Access to unimproved water points]]*WWWW[[#This Row],[Total PoP ]]</f>
        <v>0</v>
      </c>
      <c r="CV150"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50"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50" s="906">
        <f>WWWW[[#This Row],[HRP1]]/500</f>
        <v>0</v>
      </c>
      <c r="CY150" s="911">
        <f>1-WWWW[[#This Row],[% Equitable and continuous access to sufficient quantity of domestic water]]</f>
        <v>1</v>
      </c>
      <c r="CZ150" s="906">
        <f>WWWW[[#This Row],[%equitable and continuous access to sufficient quantity of safe drinking and domestic water''s GAP]]*WWWW[[#This Row],[Total PoP ]]</f>
        <v>189</v>
      </c>
      <c r="DA150" s="909">
        <f>IF(WWWW[[#This Row],[Total required water points]]-WWWW[[#This Row],['#Water points coverage]]&lt;0,0,WWWW[[#This Row],[Total required water points]]-WWWW[[#This Row],['#Water points coverage]])</f>
        <v>1</v>
      </c>
      <c r="DB150" s="909">
        <f>ROUND(IF(WWWW[[#This Row],[Total PoP ]]&lt;500,1,WWWW[[#This Row],[Total PoP ]]/500),0)</f>
        <v>1</v>
      </c>
      <c r="DC150" s="909">
        <f>(WWWW[[#This Row],['#_Constructed latrines_by_WASHAgencies]]+WWWW[[#This Row],['#_Non Cluster partner latrines]])-WWWW[[#This Row],['#_Non-functional latrines]]</f>
        <v>0</v>
      </c>
      <c r="DD150" s="615">
        <f>WWWW[[#This Row],[HRP2]]/WWWW[[#This Row],[Total PoP ]]</f>
        <v>0</v>
      </c>
      <c r="DE150"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50"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0"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0" s="417">
        <f>IF(WWWW[[#This Row],['# of functional latrines in THF supported by WASH partners during the reporting period2]]="",0,WWWW[[#This Row],['# of functional latrines in THF supported by WASH partners during the reporting period2]]*50)</f>
        <v>0</v>
      </c>
      <c r="DI150" s="909">
        <f>ROUND(IF(WWWW[[#This Row],[Location Type 1]]="camp",WWWW[[#This Row],[Total PoP ]]/20,IF(WWWW[[#This Row],[Location Type 1]]="Temporary Location",WWWW[[#This Row],[Total PoP ]]/50,(WWWW[[#This Row],[Total PoP ]]/6))),0)</f>
        <v>9</v>
      </c>
      <c r="DJ150" s="909">
        <f>IF(WWWW[[#This Row],[Total required Latrines]]-(WWWW[[#This Row],['#_Constructed latrines_by_WASHAgencies]]+WWWW[[#This Row],['#_Non Cluster partner latrines]])&lt;0,0,WWWW[[#This Row],[Total required Latrines]]-(WWWW[[#This Row],['#_Constructed latrines_by_WASHAgencies]]+WWWW[[#This Row],['#_Non Cluster partner latrines]]))</f>
        <v>9</v>
      </c>
      <c r="DK150" s="911">
        <f>1-WWWW[[#This Row],[% people access to functioning Latrine]]</f>
        <v>1</v>
      </c>
      <c r="DL150" s="910">
        <f>IF(OR(WWWW[[#This Row],['#_Non-functional latrines]]="",WWWW[[#This Row],['#_Non-functional latrines]]=0),0,WWWW[[#This Row],['#_Non-functional latrines]]/(WWWW[[#This Row],['#_Constructed latrines_by_WASHAgencies]]+WWWW[[#This Row],['#_Non Cluster partner latrines]]))</f>
        <v>0</v>
      </c>
      <c r="DM150" s="906">
        <f>IF(500*(WWWW[[#This Row],['#_male hygiene promoters]]+WWWW[[#This Row],['#_female hygiene promoters]])&gt;WWWW[[#This Row],[Total PoP ]],WWWW[[#This Row],[Total PoP ]],500*(WWWW[[#This Row],['#_male hygiene promoters]]+WWWW[[#This Row],['#_female hygiene promoters]]))</f>
        <v>0</v>
      </c>
      <c r="DN150"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0"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0" s="909">
        <f>IF(WWWW[[#This Row],['# People with access to soap]]&gt;WWWW[[#This Row],['# People with access to Sanity Pads]],WWWW[[#This Row],['# People with access to soap]],WWWW[[#This Row],['# People with access to Sanity Pads]])</f>
        <v>0</v>
      </c>
      <c r="DQ150"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50" s="911">
        <f>IF(WWWW[[#This Row],[HRP3]]/WWWW[[#This Row],[Total PoP ]]&gt;1,1,WWWW[[#This Row],[HRP3]]/WWWW[[#This Row],[Total PoP ]])</f>
        <v>0</v>
      </c>
      <c r="DS150" s="910">
        <f>1-WWWW[[#This Row],[Hygiene Coverage%]]</f>
        <v>1</v>
      </c>
      <c r="DT150" s="908">
        <f>WWWW[[#This Row],['# people reached by regular dedicated hygiene promotion_5]]/WWWW[[#This Row],[Total PoP ]]</f>
        <v>0</v>
      </c>
      <c r="DU150"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0"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0" s="909">
        <f>WWWW[[#This Row],['#_Constructed/Existing hand washing stations]]-WWWW[[#This Row],['#_Non-Functional_hand_washing_stations]]</f>
        <v>3</v>
      </c>
      <c r="DX150" s="906">
        <f>IF(WWWW[[#This Row],['# Functional hand washing stations during reporting period]]*20&gt;WWWW[[#This Row],[Total HH]],WWWW[[#This Row],[Total HH]],WWWW[[#This Row],['# Functional hand washing stations during reporting period]]*20)</f>
        <v>34</v>
      </c>
      <c r="DY150" s="906">
        <f>IF(WWWW[[#This Row],[Is sufficient soap available for TLS? (Yes/No)]]="yes",WWWW[[#This Row],['#_Constructed/Existing hand washing stations at TLS/CFS/THF]],0)</f>
        <v>0</v>
      </c>
      <c r="DZ150" s="421">
        <f>IF(WWWW[[#This Row],['# Functional hand washing stations during reporting period]]*100&gt;WWWW[[#This Row],[Total PoP ]],WWWW[[#This Row],[Total PoP ]],WWWW[[#This Row],['# Functional hand washing stations during reporting period]]*100)</f>
        <v>189</v>
      </c>
      <c r="EA150" s="421" t="str">
        <f>IF(OR(WWWW[[#This Row],['#_students at TLS_CFS]]="",WWWW[[#This Row],['#_students at TLS_CFS]]=0),"No","Yes")</f>
        <v>No</v>
      </c>
      <c r="EB15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0" s="566">
        <f>WWWW[[#This Row],[%_of_affected_people_surveyed_who_report_feeling_satistfied_with_the_latrine_design_and_sanitation_service]]*WWWW[[#This Row],[Total PoP ]]</f>
        <v>0</v>
      </c>
      <c r="ED150" s="566">
        <f>WWWW[[#This Row],[%_of_affected_people_surveyed_who_report_feeling_satistfied_with_the_water_point_design_and_water_service]]*WWWW[[#This Row],[Total PoP ]]</f>
        <v>0</v>
      </c>
      <c r="EE150" s="566">
        <f>WWWW[[#This Row],[%_of_complaints_received_that_result_in_timely_corrective_action_and_feedback_to_the_community]]*WWWW[[#This Row],[Total PoP ]]</f>
        <v>0</v>
      </c>
      <c r="EF15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0" s="902">
        <f>VLOOKUP(WWWW[[#This Row],[Site Name]],SiteDB6[[Site Name]:[CCCM Management]],6,FALSE)</f>
        <v>0</v>
      </c>
      <c r="EJ150" s="902" t="str">
        <f>VLOOKUP(WWWW[[#This Row],[Site Name]],SiteDB6[[Site Name]:[CCCM Focal Agency]],7,FALSE)</f>
        <v xml:space="preserve">Uncovered  </v>
      </c>
      <c r="EK150" s="902" t="str">
        <f>VLOOKUP(WWWW[[#This Row],[Site Name]],SiteDB6[[Site Name]:[Location Type 1]],9,FALSE)</f>
        <v>Camp</v>
      </c>
      <c r="EL150" s="902" t="str">
        <f>VLOOKUP(WWWW[[#This Row],[Site Name]],SiteDB6[[Site Name]:[Type of Accommodation]],10,FALSE)</f>
        <v>Camp like setting</v>
      </c>
      <c r="EM150" s="902" t="str">
        <f>VLOOKUP(WWWW[[#This Row],[Site Name]],SiteDB6[[Site Name]:[Ethnic or GCA/NGCA]],11,FALSE)</f>
        <v>GCA</v>
      </c>
      <c r="EN150" s="902">
        <f>VLOOKUP(WWWW[[#This Row],[Site Name]],SiteDB6[[Site Name]:[Lat]],12,FALSE)</f>
        <v>0</v>
      </c>
      <c r="EO150" s="902">
        <f>VLOOKUP(WWWW[[#This Row],[Site Name]],SiteDB6[[Site Name]:[Long]],13,FALSE)</f>
        <v>0</v>
      </c>
      <c r="EP150" s="902" t="str">
        <f>VLOOKUP(WWWW[[#This Row],[Site Name]],SiteDB6[[Site Name]:[Pcode]],3,FALSE)</f>
        <v>MMR001CMP294</v>
      </c>
      <c r="EQ150" s="907" t="str">
        <f t="shared" si="2"/>
        <v>Notcovered</v>
      </c>
      <c r="ER150" s="907"/>
      <c r="ES150" s="907"/>
      <c r="ET150" s="902">
        <f>VLOOKUP(WWWW[[#This Row],[Site Name]],SiteDB6[[Site Name]:[Pop
(Kachin/Shan-CCCM as of May 2023)]],16,FALSE)</f>
        <v>20</v>
      </c>
      <c r="EU150" s="902">
        <f>VLOOKUP(WWWW[[#This Row],[Site Name]],SiteDB6[[Site Name]:[Pop
(Kachin/Shan-CCCM as of May 2023)]],17,FALSE)</f>
        <v>133</v>
      </c>
    </row>
    <row r="151" spans="1:151" hidden="1">
      <c r="A151" s="900" t="s">
        <v>2961</v>
      </c>
      <c r="B151" s="900" t="s">
        <v>309</v>
      </c>
      <c r="C151" s="901" t="s">
        <v>309</v>
      </c>
      <c r="D151" s="901"/>
      <c r="E151" s="901" t="s">
        <v>37</v>
      </c>
      <c r="F151" s="901" t="s">
        <v>142</v>
      </c>
      <c r="G151" s="902" t="str">
        <f>VLOOKUP(WWWW[[#This Row],[Site Name]],SiteDB6[[Site Name]:[Location Type]],8,FALSE)</f>
        <v>Camp</v>
      </c>
      <c r="H151" s="901" t="s">
        <v>2988</v>
      </c>
      <c r="I151" s="903">
        <v>25</v>
      </c>
      <c r="J151" s="903">
        <v>115</v>
      </c>
      <c r="K151" s="904"/>
      <c r="L151" s="905"/>
      <c r="M151" s="903"/>
      <c r="N151" s="903"/>
      <c r="O151" s="903"/>
      <c r="P151" s="903"/>
      <c r="Q151" s="906"/>
      <c r="R151" s="903"/>
      <c r="S151" s="903"/>
      <c r="T151" s="441"/>
      <c r="U151" s="903"/>
      <c r="V151" s="903"/>
      <c r="W151" s="903"/>
      <c r="X151" s="903"/>
      <c r="Y151" s="903"/>
      <c r="Z151" s="903"/>
      <c r="AA151" s="903"/>
      <c r="AB151" s="903"/>
      <c r="AC151" s="903"/>
      <c r="AD151" s="903"/>
      <c r="AE151" s="903"/>
      <c r="AF151" s="903"/>
      <c r="AG151" s="903"/>
      <c r="AH151" s="903"/>
      <c r="AI151" s="903"/>
      <c r="AJ151" s="903"/>
      <c r="AK151" s="903"/>
      <c r="AL151" s="903"/>
      <c r="AM151" s="903"/>
      <c r="AN151" s="903"/>
      <c r="AO151" s="441"/>
      <c r="AP151" s="907"/>
      <c r="AQ151" s="903"/>
      <c r="AR151" s="903"/>
      <c r="AS151" s="908"/>
      <c r="AT151" s="903"/>
      <c r="AU151" s="903"/>
      <c r="AV151" s="903"/>
      <c r="AW151" s="903"/>
      <c r="AX151" s="903"/>
      <c r="AY151" s="902"/>
      <c r="AZ151" s="907"/>
      <c r="BA151" s="903"/>
      <c r="BB151" s="903"/>
      <c r="BC151" s="903"/>
      <c r="BD151" s="441"/>
      <c r="BE151" s="441"/>
      <c r="BF151" s="902"/>
      <c r="BG151" s="903"/>
      <c r="BH151" s="903"/>
      <c r="BI151" s="903"/>
      <c r="BJ151" s="903"/>
      <c r="BK151" s="903"/>
      <c r="BL151" s="903"/>
      <c r="BM151" s="903"/>
      <c r="BN151" s="903"/>
      <c r="BO151" s="903"/>
      <c r="BP151" s="902"/>
      <c r="BQ151" s="909"/>
      <c r="BR151" s="908"/>
      <c r="BS151" s="902"/>
      <c r="BT151" s="416"/>
      <c r="BU151" s="416"/>
      <c r="BV151" s="418"/>
      <c r="BW151" s="416"/>
      <c r="BX151" s="441"/>
      <c r="BY151" s="441"/>
      <c r="BZ151" s="441"/>
      <c r="CA151" s="441"/>
      <c r="CB151" s="441"/>
      <c r="CC151" s="693"/>
      <c r="CD151" s="441"/>
      <c r="CE151" s="910" t="str">
        <f>IFERROR(WWWW[[#This Row],['#_Water sources passed]]/WWWW[[#This Row],['#_Water sources tested for fecal coliform ]],"no test")</f>
        <v>no test</v>
      </c>
      <c r="CF151" s="908" t="str">
        <f>IFERROR(WWWW[[#This Row],['#_Household passed]]/WWWW[[#This Row],['#_Household water samples tested for fecal coliform]],"no test")</f>
        <v>no test</v>
      </c>
      <c r="CG151" s="909" t="str">
        <f>IF(AND(WWWW[[#This Row],[% of water sources passed]]="no test",WWWW[[#This Row],[% Household passed]]="no test"),"No Test","Tested")</f>
        <v>No Test</v>
      </c>
      <c r="CH151" s="909">
        <f>WWWW[[#This Row],['#_Constructed/existing protected hand dug well]]-WWWW[[#This Row],['#_Non-functional protected hand dug well]]</f>
        <v>0</v>
      </c>
      <c r="CI151" s="909">
        <f>(WWWW[[#This Row],['#_Constructed/Existing tube wells/boreholes/handpumps_WASH_agency]]+WWWW[[#This Row],['#_Non-Cluster partner water tube-wells/boreholes/handpumps]])-WWWW[[#This Row],['#_Non-functional tube wells/boreholes/handpumps]]</f>
        <v>0</v>
      </c>
      <c r="CJ151" s="909">
        <f>WWWW[[#This Row],['#_Constructed/Existingwater storage tank with gravity fed reticulation system]]-WWWW[[#This Row],['#_Non-functional storage tank gravity fed reticulation system]]</f>
        <v>0</v>
      </c>
      <c r="CK151" s="909">
        <f>(WWWW[[#This Row],['#_Water_Liters_supplied_by_Water boating or water trucking]]/90)/15</f>
        <v>0</v>
      </c>
      <c r="CL151" s="909">
        <f>WWWW[[#This Row],['#_Water_Liters_from_Constructed/Existing water distribution system from river or natural spring]]/90/15</f>
        <v>0</v>
      </c>
      <c r="CM151" s="417">
        <f>IF(WWWW[[#This Row],['#_of water points in TLS/CFS]]*500&gt;WWWW[[#This Row],[Total PoP ]],WWWW[[#This Row],[Total PoP ]],WWWW[[#This Row],['#_of water points in TLS/CFS]]*500)</f>
        <v>0</v>
      </c>
      <c r="CN151" s="417">
        <f>IF(WWWW[[#This Row],['#_of water points in THF]]*500&gt;WWWW[[#This Row],[Total PoP ]],WWWW[[#This Row],[Total PoP ]],WWWW[[#This Row],['#_of water points in THF]]*500)</f>
        <v>0</v>
      </c>
      <c r="CO151" s="417"/>
      <c r="CP151"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51"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51" s="908">
        <f>IF(WWWW[[#This Row],[Location Type 1]]="Village",WWWW[[#This Row],[Access to safe drinking water for Village]],WWWW[[#This Row],[Access to safe drinking water for Camp]])</f>
        <v>0</v>
      </c>
      <c r="CS151" s="906">
        <f>WWWW[[#This Row],[%Equitable and continuous access to sufficient quantity of safe drinking water]]*WWWW[[#This Row],[Total PoP ]]</f>
        <v>0</v>
      </c>
      <c r="CT151" s="908">
        <f>IF((WWWW[[#This Row],['#_Constructed/Existing protected/fenced ponds]]*250)/WWWW[[#This Row],[Total PoP ]]&gt;1,1,(WWWW[[#This Row],['#_Constructed/Existing protected/fenced ponds]]*250)/WWWW[[#This Row],[Total PoP ]])</f>
        <v>0</v>
      </c>
      <c r="CU151" s="906">
        <f>WWWW[[#This Row],[% Access to unimproved water points]]*WWWW[[#This Row],[Total PoP ]]</f>
        <v>0</v>
      </c>
      <c r="CV151"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51"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51" s="906">
        <f>WWWW[[#This Row],[HRP1]]/500</f>
        <v>0</v>
      </c>
      <c r="CY151" s="911">
        <f>1-WWWW[[#This Row],[% Equitable and continuous access to sufficient quantity of domestic water]]</f>
        <v>1</v>
      </c>
      <c r="CZ151" s="906">
        <f>WWWW[[#This Row],[%equitable and continuous access to sufficient quantity of safe drinking and domestic water''s GAP]]*WWWW[[#This Row],[Total PoP ]]</f>
        <v>115</v>
      </c>
      <c r="DA151" s="909">
        <f>IF(WWWW[[#This Row],[Total required water points]]-WWWW[[#This Row],['#Water points coverage]]&lt;0,0,WWWW[[#This Row],[Total required water points]]-WWWW[[#This Row],['#Water points coverage]])</f>
        <v>1</v>
      </c>
      <c r="DB151" s="909">
        <f>ROUND(IF(WWWW[[#This Row],[Total PoP ]]&lt;500,1,WWWW[[#This Row],[Total PoP ]]/500),0)</f>
        <v>1</v>
      </c>
      <c r="DC151" s="909">
        <f>(WWWW[[#This Row],['#_Constructed latrines_by_WASHAgencies]]+WWWW[[#This Row],['#_Non Cluster partner latrines]])-WWWW[[#This Row],['#_Non-functional latrines]]</f>
        <v>0</v>
      </c>
      <c r="DD151" s="615">
        <f>WWWW[[#This Row],[HRP2]]/WWWW[[#This Row],[Total PoP ]]</f>
        <v>0</v>
      </c>
      <c r="DE151"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51"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1"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1" s="417">
        <f>IF(WWWW[[#This Row],['# of functional latrines in THF supported by WASH partners during the reporting period2]]="",0,WWWW[[#This Row],['# of functional latrines in THF supported by WASH partners during the reporting period2]]*50)</f>
        <v>0</v>
      </c>
      <c r="DI151" s="909">
        <f>ROUND(IF(WWWW[[#This Row],[Location Type 1]]="camp",WWWW[[#This Row],[Total PoP ]]/20,IF(WWWW[[#This Row],[Location Type 1]]="Temporary Location",WWWW[[#This Row],[Total PoP ]]/50,(WWWW[[#This Row],[Total PoP ]]/6))),0)</f>
        <v>6</v>
      </c>
      <c r="DJ151" s="909">
        <f>IF(WWWW[[#This Row],[Total required Latrines]]-(WWWW[[#This Row],['#_Constructed latrines_by_WASHAgencies]]+WWWW[[#This Row],['#_Non Cluster partner latrines]])&lt;0,0,WWWW[[#This Row],[Total required Latrines]]-(WWWW[[#This Row],['#_Constructed latrines_by_WASHAgencies]]+WWWW[[#This Row],['#_Non Cluster partner latrines]]))</f>
        <v>6</v>
      </c>
      <c r="DK151" s="911">
        <f>1-WWWW[[#This Row],[% people access to functioning Latrine]]</f>
        <v>1</v>
      </c>
      <c r="DL151" s="910">
        <f>IF(OR(WWWW[[#This Row],['#_Non-functional latrines]]="",WWWW[[#This Row],['#_Non-functional latrines]]=0),0,WWWW[[#This Row],['#_Non-functional latrines]]/(WWWW[[#This Row],['#_Constructed latrines_by_WASHAgencies]]+WWWW[[#This Row],['#_Non Cluster partner latrines]]))</f>
        <v>0</v>
      </c>
      <c r="DM151" s="906">
        <f>IF(500*(WWWW[[#This Row],['#_male hygiene promoters]]+WWWW[[#This Row],['#_female hygiene promoters]])&gt;WWWW[[#This Row],[Total PoP ]],WWWW[[#This Row],[Total PoP ]],500*(WWWW[[#This Row],['#_male hygiene promoters]]+WWWW[[#This Row],['#_female hygiene promoters]]))</f>
        <v>0</v>
      </c>
      <c r="DN151"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1"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1" s="909">
        <f>IF(WWWW[[#This Row],['# People with access to soap]]&gt;WWWW[[#This Row],['# People with access to Sanity Pads]],WWWW[[#This Row],['# People with access to soap]],WWWW[[#This Row],['# People with access to Sanity Pads]])</f>
        <v>0</v>
      </c>
      <c r="DQ151"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51" s="911">
        <f>IF(WWWW[[#This Row],[HRP3]]/WWWW[[#This Row],[Total PoP ]]&gt;1,1,WWWW[[#This Row],[HRP3]]/WWWW[[#This Row],[Total PoP ]])</f>
        <v>0</v>
      </c>
      <c r="DS151" s="910">
        <f>1-WWWW[[#This Row],[Hygiene Coverage%]]</f>
        <v>1</v>
      </c>
      <c r="DT151" s="908">
        <f>WWWW[[#This Row],['# people reached by regular dedicated hygiene promotion_5]]/WWWW[[#This Row],[Total PoP ]]</f>
        <v>0</v>
      </c>
      <c r="DU151"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1"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1" s="909">
        <f>WWWW[[#This Row],['#_Constructed/Existing hand washing stations]]-WWWW[[#This Row],['#_Non-Functional_hand_washing_stations]]</f>
        <v>0</v>
      </c>
      <c r="DX151" s="906">
        <f>IF(WWWW[[#This Row],['# Functional hand washing stations during reporting period]]*20&gt;WWWW[[#This Row],[Total HH]],WWWW[[#This Row],[Total HH]],WWWW[[#This Row],['# Functional hand washing stations during reporting period]]*20)</f>
        <v>0</v>
      </c>
      <c r="DY151" s="906">
        <f>IF(WWWW[[#This Row],[Is sufficient soap available for TLS? (Yes/No)]]="yes",WWWW[[#This Row],['#_Constructed/Existing hand washing stations at TLS/CFS/THF]],0)</f>
        <v>0</v>
      </c>
      <c r="DZ151" s="421">
        <f>IF(WWWW[[#This Row],['# Functional hand washing stations during reporting period]]*100&gt;WWWW[[#This Row],[Total PoP ]],WWWW[[#This Row],[Total PoP ]],WWWW[[#This Row],['# Functional hand washing stations during reporting period]]*100)</f>
        <v>0</v>
      </c>
      <c r="EA151" s="421" t="str">
        <f>IF(OR(WWWW[[#This Row],['#_students at TLS_CFS]]="",WWWW[[#This Row],['#_students at TLS_CFS]]=0),"No","Yes")</f>
        <v>No</v>
      </c>
      <c r="EB15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1" s="566">
        <f>WWWW[[#This Row],[%_of_affected_people_surveyed_who_report_feeling_satistfied_with_the_latrine_design_and_sanitation_service]]*WWWW[[#This Row],[Total PoP ]]</f>
        <v>0</v>
      </c>
      <c r="ED151" s="566">
        <f>WWWW[[#This Row],[%_of_affected_people_surveyed_who_report_feeling_satistfied_with_the_water_point_design_and_water_service]]*WWWW[[#This Row],[Total PoP ]]</f>
        <v>0</v>
      </c>
      <c r="EE151" s="566">
        <f>WWWW[[#This Row],[%_of_complaints_received_that_result_in_timely_corrective_action_and_feedback_to_the_community]]*WWWW[[#This Row],[Total PoP ]]</f>
        <v>0</v>
      </c>
      <c r="EF15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1" s="902">
        <f>VLOOKUP(WWWW[[#This Row],[Site Name]],SiteDB6[[Site Name]:[CCCM Management]],6,FALSE)</f>
        <v>0</v>
      </c>
      <c r="EJ151" s="902" t="str">
        <f>VLOOKUP(WWWW[[#This Row],[Site Name]],SiteDB6[[Site Name]:[CCCM Focal Agency]],7,FALSE)</f>
        <v>DFSS</v>
      </c>
      <c r="EK151" s="902" t="str">
        <f>VLOOKUP(WWWW[[#This Row],[Site Name]],SiteDB6[[Site Name]:[Location Type 1]],9,FALSE)</f>
        <v>Camp</v>
      </c>
      <c r="EL151" s="902" t="str">
        <f>VLOOKUP(WWWW[[#This Row],[Site Name]],SiteDB6[[Site Name]:[Type of Accommodation]],10,FALSE)</f>
        <v>Camp like setting</v>
      </c>
      <c r="EM151" s="902" t="str">
        <f>VLOOKUP(WWWW[[#This Row],[Site Name]],SiteDB6[[Site Name]:[Ethnic or GCA/NGCA]],11,FALSE)</f>
        <v>GCA</v>
      </c>
      <c r="EN151" s="902">
        <f>VLOOKUP(WWWW[[#This Row],[Site Name]],SiteDB6[[Site Name]:[Lat]],12,FALSE)</f>
        <v>0</v>
      </c>
      <c r="EO151" s="902">
        <f>VLOOKUP(WWWW[[#This Row],[Site Name]],SiteDB6[[Site Name]:[Long]],13,FALSE)</f>
        <v>0</v>
      </c>
      <c r="EP151" s="902" t="str">
        <f>VLOOKUP(WWWW[[#This Row],[Site Name]],SiteDB6[[Site Name]:[Pcode]],3,FALSE)</f>
        <v>MMR001CMP300</v>
      </c>
      <c r="EQ151" s="907" t="str">
        <f t="shared" si="2"/>
        <v>Notcovered</v>
      </c>
      <c r="ER151" s="907"/>
      <c r="ES151" s="907"/>
      <c r="ET151" s="902">
        <f>VLOOKUP(WWWW[[#This Row],[Site Name]],SiteDB6[[Site Name]:[Pop
(Kachin/Shan-CCCM as of May 2023)]],16,FALSE)</f>
        <v>11</v>
      </c>
      <c r="EU151" s="902">
        <f>VLOOKUP(WWWW[[#This Row],[Site Name]],SiteDB6[[Site Name]:[Pop
(Kachin/Shan-CCCM as of May 2023)]],17,FALSE)</f>
        <v>59</v>
      </c>
    </row>
    <row r="152" spans="1:151" hidden="1">
      <c r="A152" s="900" t="s">
        <v>2961</v>
      </c>
      <c r="B152" s="900" t="s">
        <v>309</v>
      </c>
      <c r="C152" s="901" t="s">
        <v>309</v>
      </c>
      <c r="D152" s="901"/>
      <c r="E152" s="901" t="s">
        <v>37</v>
      </c>
      <c r="F152" s="901" t="s">
        <v>142</v>
      </c>
      <c r="G152" s="902" t="str">
        <f>VLOOKUP(WWWW[[#This Row],[Site Name]],SiteDB6[[Site Name]:[Location Type]],8,FALSE)</f>
        <v>Camp</v>
      </c>
      <c r="H152" s="901" t="s">
        <v>2991</v>
      </c>
      <c r="I152" s="903">
        <v>24</v>
      </c>
      <c r="J152" s="903">
        <v>130</v>
      </c>
      <c r="K152" s="904"/>
      <c r="L152" s="905"/>
      <c r="M152" s="903"/>
      <c r="N152" s="903"/>
      <c r="O152" s="903"/>
      <c r="P152" s="903"/>
      <c r="Q152" s="906"/>
      <c r="R152" s="903"/>
      <c r="S152" s="903"/>
      <c r="T152" s="441"/>
      <c r="U152" s="903"/>
      <c r="V152" s="903"/>
      <c r="W152" s="903"/>
      <c r="X152" s="903"/>
      <c r="Y152" s="903"/>
      <c r="Z152" s="903"/>
      <c r="AA152" s="903"/>
      <c r="AB152" s="903"/>
      <c r="AC152" s="903"/>
      <c r="AD152" s="903"/>
      <c r="AE152" s="903"/>
      <c r="AF152" s="903"/>
      <c r="AG152" s="903"/>
      <c r="AH152" s="903"/>
      <c r="AI152" s="903"/>
      <c r="AJ152" s="903"/>
      <c r="AK152" s="903"/>
      <c r="AL152" s="903"/>
      <c r="AM152" s="903"/>
      <c r="AN152" s="903"/>
      <c r="AO152" s="441"/>
      <c r="AP152" s="907"/>
      <c r="AQ152" s="903"/>
      <c r="AR152" s="903"/>
      <c r="AS152" s="908"/>
      <c r="AT152" s="903"/>
      <c r="AU152" s="903"/>
      <c r="AV152" s="903"/>
      <c r="AW152" s="903"/>
      <c r="AX152" s="903"/>
      <c r="AY152" s="902"/>
      <c r="AZ152" s="907"/>
      <c r="BA152" s="903"/>
      <c r="BB152" s="903"/>
      <c r="BC152" s="903"/>
      <c r="BD152" s="441"/>
      <c r="BE152" s="441"/>
      <c r="BF152" s="902"/>
      <c r="BG152" s="903"/>
      <c r="BH152" s="903"/>
      <c r="BI152" s="903"/>
      <c r="BJ152" s="903"/>
      <c r="BK152" s="903"/>
      <c r="BL152" s="903"/>
      <c r="BM152" s="903"/>
      <c r="BN152" s="903"/>
      <c r="BO152" s="903"/>
      <c r="BP152" s="902"/>
      <c r="BQ152" s="909"/>
      <c r="BR152" s="908"/>
      <c r="BS152" s="902"/>
      <c r="BT152" s="416"/>
      <c r="BU152" s="416"/>
      <c r="BV152" s="418"/>
      <c r="BW152" s="416"/>
      <c r="BX152" s="441"/>
      <c r="BY152" s="441"/>
      <c r="BZ152" s="441"/>
      <c r="CA152" s="441"/>
      <c r="CB152" s="441"/>
      <c r="CC152" s="693"/>
      <c r="CD152" s="441"/>
      <c r="CE152" s="910" t="str">
        <f>IFERROR(WWWW[[#This Row],['#_Water sources passed]]/WWWW[[#This Row],['#_Water sources tested for fecal coliform ]],"no test")</f>
        <v>no test</v>
      </c>
      <c r="CF152" s="908" t="str">
        <f>IFERROR(WWWW[[#This Row],['#_Household passed]]/WWWW[[#This Row],['#_Household water samples tested for fecal coliform]],"no test")</f>
        <v>no test</v>
      </c>
      <c r="CG152" s="909" t="str">
        <f>IF(AND(WWWW[[#This Row],[% of water sources passed]]="no test",WWWW[[#This Row],[% Household passed]]="no test"),"No Test","Tested")</f>
        <v>No Test</v>
      </c>
      <c r="CH152" s="909">
        <f>WWWW[[#This Row],['#_Constructed/existing protected hand dug well]]-WWWW[[#This Row],['#_Non-functional protected hand dug well]]</f>
        <v>0</v>
      </c>
      <c r="CI152" s="909">
        <f>(WWWW[[#This Row],['#_Constructed/Existing tube wells/boreholes/handpumps_WASH_agency]]+WWWW[[#This Row],['#_Non-Cluster partner water tube-wells/boreholes/handpumps]])-WWWW[[#This Row],['#_Non-functional tube wells/boreholes/handpumps]]</f>
        <v>0</v>
      </c>
      <c r="CJ152" s="909">
        <f>WWWW[[#This Row],['#_Constructed/Existingwater storage tank with gravity fed reticulation system]]-WWWW[[#This Row],['#_Non-functional storage tank gravity fed reticulation system]]</f>
        <v>0</v>
      </c>
      <c r="CK152" s="909">
        <f>(WWWW[[#This Row],['#_Water_Liters_supplied_by_Water boating or water trucking]]/90)/15</f>
        <v>0</v>
      </c>
      <c r="CL152" s="909">
        <f>WWWW[[#This Row],['#_Water_Liters_from_Constructed/Existing water distribution system from river or natural spring]]/90/15</f>
        <v>0</v>
      </c>
      <c r="CM152" s="417">
        <f>IF(WWWW[[#This Row],['#_of water points in TLS/CFS]]*500&gt;WWWW[[#This Row],[Total PoP ]],WWWW[[#This Row],[Total PoP ]],WWWW[[#This Row],['#_of water points in TLS/CFS]]*500)</f>
        <v>0</v>
      </c>
      <c r="CN152" s="417">
        <f>IF(WWWW[[#This Row],['#_of water points in THF]]*500&gt;WWWW[[#This Row],[Total PoP ]],WWWW[[#This Row],[Total PoP ]],WWWW[[#This Row],['#_of water points in THF]]*500)</f>
        <v>0</v>
      </c>
      <c r="CO152" s="417"/>
      <c r="CP152"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52"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52" s="908">
        <f>IF(WWWW[[#This Row],[Location Type 1]]="Village",WWWW[[#This Row],[Access to safe drinking water for Village]],WWWW[[#This Row],[Access to safe drinking water for Camp]])</f>
        <v>0</v>
      </c>
      <c r="CS152" s="906">
        <f>WWWW[[#This Row],[%Equitable and continuous access to sufficient quantity of safe drinking water]]*WWWW[[#This Row],[Total PoP ]]</f>
        <v>0</v>
      </c>
      <c r="CT152" s="908">
        <f>IF((WWWW[[#This Row],['#_Constructed/Existing protected/fenced ponds]]*250)/WWWW[[#This Row],[Total PoP ]]&gt;1,1,(WWWW[[#This Row],['#_Constructed/Existing protected/fenced ponds]]*250)/WWWW[[#This Row],[Total PoP ]])</f>
        <v>0</v>
      </c>
      <c r="CU152" s="906">
        <f>WWWW[[#This Row],[% Access to unimproved water points]]*WWWW[[#This Row],[Total PoP ]]</f>
        <v>0</v>
      </c>
      <c r="CV152"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52"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52" s="906">
        <f>WWWW[[#This Row],[HRP1]]/500</f>
        <v>0</v>
      </c>
      <c r="CY152" s="911">
        <f>1-WWWW[[#This Row],[% Equitable and continuous access to sufficient quantity of domestic water]]</f>
        <v>1</v>
      </c>
      <c r="CZ152" s="906">
        <f>WWWW[[#This Row],[%equitable and continuous access to sufficient quantity of safe drinking and domestic water''s GAP]]*WWWW[[#This Row],[Total PoP ]]</f>
        <v>130</v>
      </c>
      <c r="DA152" s="909">
        <f>IF(WWWW[[#This Row],[Total required water points]]-WWWW[[#This Row],['#Water points coverage]]&lt;0,0,WWWW[[#This Row],[Total required water points]]-WWWW[[#This Row],['#Water points coverage]])</f>
        <v>1</v>
      </c>
      <c r="DB152" s="909">
        <f>ROUND(IF(WWWW[[#This Row],[Total PoP ]]&lt;500,1,WWWW[[#This Row],[Total PoP ]]/500),0)</f>
        <v>1</v>
      </c>
      <c r="DC152" s="909">
        <f>(WWWW[[#This Row],['#_Constructed latrines_by_WASHAgencies]]+WWWW[[#This Row],['#_Non Cluster partner latrines]])-WWWW[[#This Row],['#_Non-functional latrines]]</f>
        <v>0</v>
      </c>
      <c r="DD152" s="615">
        <f>WWWW[[#This Row],[HRP2]]/WWWW[[#This Row],[Total PoP ]]</f>
        <v>0</v>
      </c>
      <c r="DE152"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52"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2"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2" s="417">
        <f>IF(WWWW[[#This Row],['# of functional latrines in THF supported by WASH partners during the reporting period2]]="",0,WWWW[[#This Row],['# of functional latrines in THF supported by WASH partners during the reporting period2]]*50)</f>
        <v>0</v>
      </c>
      <c r="DI152" s="909">
        <f>ROUND(IF(WWWW[[#This Row],[Location Type 1]]="camp",WWWW[[#This Row],[Total PoP ]]/20,IF(WWWW[[#This Row],[Location Type 1]]="Temporary Location",WWWW[[#This Row],[Total PoP ]]/50,(WWWW[[#This Row],[Total PoP ]]/6))),0)</f>
        <v>7</v>
      </c>
      <c r="DJ152" s="909">
        <f>IF(WWWW[[#This Row],[Total required Latrines]]-(WWWW[[#This Row],['#_Constructed latrines_by_WASHAgencies]]+WWWW[[#This Row],['#_Non Cluster partner latrines]])&lt;0,0,WWWW[[#This Row],[Total required Latrines]]-(WWWW[[#This Row],['#_Constructed latrines_by_WASHAgencies]]+WWWW[[#This Row],['#_Non Cluster partner latrines]]))</f>
        <v>7</v>
      </c>
      <c r="DK152" s="911">
        <f>1-WWWW[[#This Row],[% people access to functioning Latrine]]</f>
        <v>1</v>
      </c>
      <c r="DL152" s="910">
        <f>IF(OR(WWWW[[#This Row],['#_Non-functional latrines]]="",WWWW[[#This Row],['#_Non-functional latrines]]=0),0,WWWW[[#This Row],['#_Non-functional latrines]]/(WWWW[[#This Row],['#_Constructed latrines_by_WASHAgencies]]+WWWW[[#This Row],['#_Non Cluster partner latrines]]))</f>
        <v>0</v>
      </c>
      <c r="DM152" s="906">
        <f>IF(500*(WWWW[[#This Row],['#_male hygiene promoters]]+WWWW[[#This Row],['#_female hygiene promoters]])&gt;WWWW[[#This Row],[Total PoP ]],WWWW[[#This Row],[Total PoP ]],500*(WWWW[[#This Row],['#_male hygiene promoters]]+WWWW[[#This Row],['#_female hygiene promoters]]))</f>
        <v>0</v>
      </c>
      <c r="DN152"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2"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2" s="909">
        <f>IF(WWWW[[#This Row],['# People with access to soap]]&gt;WWWW[[#This Row],['# People with access to Sanity Pads]],WWWW[[#This Row],['# People with access to soap]],WWWW[[#This Row],['# People with access to Sanity Pads]])</f>
        <v>0</v>
      </c>
      <c r="DQ152"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52" s="911">
        <f>IF(WWWW[[#This Row],[HRP3]]/WWWW[[#This Row],[Total PoP ]]&gt;1,1,WWWW[[#This Row],[HRP3]]/WWWW[[#This Row],[Total PoP ]])</f>
        <v>0</v>
      </c>
      <c r="DS152" s="910">
        <f>1-WWWW[[#This Row],[Hygiene Coverage%]]</f>
        <v>1</v>
      </c>
      <c r="DT152" s="908">
        <f>WWWW[[#This Row],['# people reached by regular dedicated hygiene promotion_5]]/WWWW[[#This Row],[Total PoP ]]</f>
        <v>0</v>
      </c>
      <c r="DU152"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2"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2" s="909">
        <f>WWWW[[#This Row],['#_Constructed/Existing hand washing stations]]-WWWW[[#This Row],['#_Non-Functional_hand_washing_stations]]</f>
        <v>0</v>
      </c>
      <c r="DX152" s="906">
        <f>IF(WWWW[[#This Row],['# Functional hand washing stations during reporting period]]*20&gt;WWWW[[#This Row],[Total HH]],WWWW[[#This Row],[Total HH]],WWWW[[#This Row],['# Functional hand washing stations during reporting period]]*20)</f>
        <v>0</v>
      </c>
      <c r="DY152" s="906">
        <f>IF(WWWW[[#This Row],[Is sufficient soap available for TLS? (Yes/No)]]="yes",WWWW[[#This Row],['#_Constructed/Existing hand washing stations at TLS/CFS/THF]],0)</f>
        <v>0</v>
      </c>
      <c r="DZ152" s="421">
        <f>IF(WWWW[[#This Row],['# Functional hand washing stations during reporting period]]*100&gt;WWWW[[#This Row],[Total PoP ]],WWWW[[#This Row],[Total PoP ]],WWWW[[#This Row],['# Functional hand washing stations during reporting period]]*100)</f>
        <v>0</v>
      </c>
      <c r="EA152" s="421" t="str">
        <f>IF(OR(WWWW[[#This Row],['#_students at TLS_CFS]]="",WWWW[[#This Row],['#_students at TLS_CFS]]=0),"No","Yes")</f>
        <v>No</v>
      </c>
      <c r="EB15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2" s="566">
        <f>WWWW[[#This Row],[%_of_affected_people_surveyed_who_report_feeling_satistfied_with_the_latrine_design_and_sanitation_service]]*WWWW[[#This Row],[Total PoP ]]</f>
        <v>0</v>
      </c>
      <c r="ED152" s="566">
        <f>WWWW[[#This Row],[%_of_affected_people_surveyed_who_report_feeling_satistfied_with_the_water_point_design_and_water_service]]*WWWW[[#This Row],[Total PoP ]]</f>
        <v>0</v>
      </c>
      <c r="EE152" s="566">
        <f>WWWW[[#This Row],[%_of_complaints_received_that_result_in_timely_corrective_action_and_feedback_to_the_community]]*WWWW[[#This Row],[Total PoP ]]</f>
        <v>0</v>
      </c>
      <c r="EF15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2" s="902">
        <f>VLOOKUP(WWWW[[#This Row],[Site Name]],SiteDB6[[Site Name]:[CCCM Management]],6,FALSE)</f>
        <v>0</v>
      </c>
      <c r="EJ152" s="902" t="str">
        <f>VLOOKUP(WWWW[[#This Row],[Site Name]],SiteDB6[[Site Name]:[CCCM Focal Agency]],7,FALSE)</f>
        <v>DFSS</v>
      </c>
      <c r="EK152" s="902" t="str">
        <f>VLOOKUP(WWWW[[#This Row],[Site Name]],SiteDB6[[Site Name]:[Location Type 1]],9,FALSE)</f>
        <v>Camp</v>
      </c>
      <c r="EL152" s="902" t="str">
        <f>VLOOKUP(WWWW[[#This Row],[Site Name]],SiteDB6[[Site Name]:[Type of Accommodation]],10,FALSE)</f>
        <v>Camp like setting</v>
      </c>
      <c r="EM152" s="902" t="str">
        <f>VLOOKUP(WWWW[[#This Row],[Site Name]],SiteDB6[[Site Name]:[Ethnic or GCA/NGCA]],11,FALSE)</f>
        <v>GCA</v>
      </c>
      <c r="EN152" s="902">
        <f>VLOOKUP(WWWW[[#This Row],[Site Name]],SiteDB6[[Site Name]:[Lat]],12,FALSE)</f>
        <v>0</v>
      </c>
      <c r="EO152" s="902">
        <f>VLOOKUP(WWWW[[#This Row],[Site Name]],SiteDB6[[Site Name]:[Long]],13,FALSE)</f>
        <v>0</v>
      </c>
      <c r="EP152" s="902" t="str">
        <f>VLOOKUP(WWWW[[#This Row],[Site Name]],SiteDB6[[Site Name]:[Pcode]],3,FALSE)</f>
        <v>MMR001CMP303</v>
      </c>
      <c r="EQ152" s="907" t="str">
        <f t="shared" si="2"/>
        <v>Notcovered</v>
      </c>
      <c r="ER152" s="907"/>
      <c r="ES152" s="907"/>
      <c r="ET152" s="902">
        <f>VLOOKUP(WWWW[[#This Row],[Site Name]],SiteDB6[[Site Name]:[Pop
(Kachin/Shan-CCCM as of May 2023)]],16,FALSE)</f>
        <v>22</v>
      </c>
      <c r="EU152" s="902">
        <f>VLOOKUP(WWWW[[#This Row],[Site Name]],SiteDB6[[Site Name]:[Pop
(Kachin/Shan-CCCM as of May 2023)]],17,FALSE)</f>
        <v>118</v>
      </c>
    </row>
    <row r="153" spans="1:151" hidden="1">
      <c r="A153" s="900" t="s">
        <v>2961</v>
      </c>
      <c r="B153" s="900" t="s">
        <v>309</v>
      </c>
      <c r="C153" s="901" t="s">
        <v>309</v>
      </c>
      <c r="D153" s="901"/>
      <c r="E153" s="901" t="s">
        <v>37</v>
      </c>
      <c r="F153" s="901" t="s">
        <v>142</v>
      </c>
      <c r="G153" s="902" t="str">
        <f>VLOOKUP(WWWW[[#This Row],[Site Name]],SiteDB6[[Site Name]:[Location Type]],8,FALSE)</f>
        <v>Relocated</v>
      </c>
      <c r="H153" s="901" t="s">
        <v>2568</v>
      </c>
      <c r="I153" s="903">
        <v>95</v>
      </c>
      <c r="J153" s="903">
        <v>499</v>
      </c>
      <c r="K153" s="904"/>
      <c r="L153" s="905"/>
      <c r="M153" s="903"/>
      <c r="N153" s="903"/>
      <c r="O153" s="903"/>
      <c r="P153" s="903"/>
      <c r="Q153" s="906"/>
      <c r="R153" s="903"/>
      <c r="S153" s="903"/>
      <c r="T153" s="441"/>
      <c r="U153" s="903"/>
      <c r="V153" s="903"/>
      <c r="W153" s="903"/>
      <c r="X153" s="903"/>
      <c r="Y153" s="903"/>
      <c r="Z153" s="903"/>
      <c r="AA153" s="903"/>
      <c r="AB153" s="903"/>
      <c r="AC153" s="903"/>
      <c r="AD153" s="903"/>
      <c r="AE153" s="903"/>
      <c r="AF153" s="903"/>
      <c r="AG153" s="903"/>
      <c r="AH153" s="903"/>
      <c r="AI153" s="903"/>
      <c r="AJ153" s="903"/>
      <c r="AK153" s="903"/>
      <c r="AL153" s="903"/>
      <c r="AM153" s="903"/>
      <c r="AN153" s="903"/>
      <c r="AO153" s="441"/>
      <c r="AP153" s="907"/>
      <c r="AQ153" s="903"/>
      <c r="AR153" s="903"/>
      <c r="AS153" s="908"/>
      <c r="AT153" s="903"/>
      <c r="AU153" s="903"/>
      <c r="AV153" s="903"/>
      <c r="AW153" s="903"/>
      <c r="AX153" s="903"/>
      <c r="AY153" s="902"/>
      <c r="AZ153" s="907"/>
      <c r="BA153" s="903"/>
      <c r="BB153" s="903"/>
      <c r="BC153" s="903"/>
      <c r="BD153" s="441"/>
      <c r="BE153" s="441"/>
      <c r="BF153" s="902"/>
      <c r="BG153" s="903"/>
      <c r="BH153" s="903"/>
      <c r="BI153" s="903"/>
      <c r="BJ153" s="903"/>
      <c r="BK153" s="903"/>
      <c r="BL153" s="903"/>
      <c r="BM153" s="903"/>
      <c r="BN153" s="903"/>
      <c r="BO153" s="903"/>
      <c r="BP153" s="902"/>
      <c r="BQ153" s="909"/>
      <c r="BR153" s="908"/>
      <c r="BS153" s="902"/>
      <c r="BT153" s="416"/>
      <c r="BU153" s="416"/>
      <c r="BV153" s="418"/>
      <c r="BW153" s="416"/>
      <c r="BX153" s="441"/>
      <c r="BY153" s="441"/>
      <c r="BZ153" s="441"/>
      <c r="CA153" s="441"/>
      <c r="CB153" s="441"/>
      <c r="CC153" s="693"/>
      <c r="CD153" s="441"/>
      <c r="CE153" s="910" t="str">
        <f>IFERROR(WWWW[[#This Row],['#_Water sources passed]]/WWWW[[#This Row],['#_Water sources tested for fecal coliform ]],"no test")</f>
        <v>no test</v>
      </c>
      <c r="CF153" s="908" t="str">
        <f>IFERROR(WWWW[[#This Row],['#_Household passed]]/WWWW[[#This Row],['#_Household water samples tested for fecal coliform]],"no test")</f>
        <v>no test</v>
      </c>
      <c r="CG153" s="909" t="str">
        <f>IF(AND(WWWW[[#This Row],[% of water sources passed]]="no test",WWWW[[#This Row],[% Household passed]]="no test"),"No Test","Tested")</f>
        <v>No Test</v>
      </c>
      <c r="CH153" s="909">
        <f>WWWW[[#This Row],['#_Constructed/existing protected hand dug well]]-WWWW[[#This Row],['#_Non-functional protected hand dug well]]</f>
        <v>0</v>
      </c>
      <c r="CI153" s="909">
        <f>(WWWW[[#This Row],['#_Constructed/Existing tube wells/boreholes/handpumps_WASH_agency]]+WWWW[[#This Row],['#_Non-Cluster partner water tube-wells/boreholes/handpumps]])-WWWW[[#This Row],['#_Non-functional tube wells/boreholes/handpumps]]</f>
        <v>0</v>
      </c>
      <c r="CJ153" s="909">
        <f>WWWW[[#This Row],['#_Constructed/Existingwater storage tank with gravity fed reticulation system]]-WWWW[[#This Row],['#_Non-functional storage tank gravity fed reticulation system]]</f>
        <v>0</v>
      </c>
      <c r="CK153" s="909">
        <f>(WWWW[[#This Row],['#_Water_Liters_supplied_by_Water boating or water trucking]]/90)/15</f>
        <v>0</v>
      </c>
      <c r="CL153" s="909">
        <f>WWWW[[#This Row],['#_Water_Liters_from_Constructed/Existing water distribution system from river or natural spring]]/90/15</f>
        <v>0</v>
      </c>
      <c r="CM153" s="417">
        <f>IF(WWWW[[#This Row],['#_of water points in TLS/CFS]]*500&gt;WWWW[[#This Row],[Total PoP ]],WWWW[[#This Row],[Total PoP ]],WWWW[[#This Row],['#_of water points in TLS/CFS]]*500)</f>
        <v>0</v>
      </c>
      <c r="CN153" s="417">
        <f>IF(WWWW[[#This Row],['#_of water points in THF]]*500&gt;WWWW[[#This Row],[Total PoP ]],WWWW[[#This Row],[Total PoP ]],WWWW[[#This Row],['#_of water points in THF]]*500)</f>
        <v>0</v>
      </c>
      <c r="CO153" s="417"/>
      <c r="CP153"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53"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53" s="908">
        <f>IF(WWWW[[#This Row],[Location Type 1]]="Village",WWWW[[#This Row],[Access to safe drinking water for Village]],WWWW[[#This Row],[Access to safe drinking water for Camp]])</f>
        <v>0</v>
      </c>
      <c r="CS153" s="906">
        <f>WWWW[[#This Row],[%Equitable and continuous access to sufficient quantity of safe drinking water]]*WWWW[[#This Row],[Total PoP ]]</f>
        <v>0</v>
      </c>
      <c r="CT153" s="908">
        <f>IF((WWWW[[#This Row],['#_Constructed/Existing protected/fenced ponds]]*250)/WWWW[[#This Row],[Total PoP ]]&gt;1,1,(WWWW[[#This Row],['#_Constructed/Existing protected/fenced ponds]]*250)/WWWW[[#This Row],[Total PoP ]])</f>
        <v>0</v>
      </c>
      <c r="CU153" s="906">
        <f>WWWW[[#This Row],[% Access to unimproved water points]]*WWWW[[#This Row],[Total PoP ]]</f>
        <v>0</v>
      </c>
      <c r="CV153"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53"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53" s="906">
        <f>WWWW[[#This Row],[HRP1]]/500</f>
        <v>0</v>
      </c>
      <c r="CY153" s="911">
        <f>1-WWWW[[#This Row],[% Equitable and continuous access to sufficient quantity of domestic water]]</f>
        <v>1</v>
      </c>
      <c r="CZ153" s="906">
        <f>WWWW[[#This Row],[%equitable and continuous access to sufficient quantity of safe drinking and domestic water''s GAP]]*WWWW[[#This Row],[Total PoP ]]</f>
        <v>499</v>
      </c>
      <c r="DA153" s="909">
        <f>IF(WWWW[[#This Row],[Total required water points]]-WWWW[[#This Row],['#Water points coverage]]&lt;0,0,WWWW[[#This Row],[Total required water points]]-WWWW[[#This Row],['#Water points coverage]])</f>
        <v>1</v>
      </c>
      <c r="DB153" s="909">
        <f>ROUND(IF(WWWW[[#This Row],[Total PoP ]]&lt;500,1,WWWW[[#This Row],[Total PoP ]]/500),0)</f>
        <v>1</v>
      </c>
      <c r="DC153" s="909">
        <f>(WWWW[[#This Row],['#_Constructed latrines_by_WASHAgencies]]+WWWW[[#This Row],['#_Non Cluster partner latrines]])-WWWW[[#This Row],['#_Non-functional latrines]]</f>
        <v>0</v>
      </c>
      <c r="DD153" s="615">
        <f>WWWW[[#This Row],[HRP2]]/WWWW[[#This Row],[Total PoP ]]</f>
        <v>0</v>
      </c>
      <c r="DE153"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53"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3"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3" s="417">
        <f>IF(WWWW[[#This Row],['# of functional latrines in THF supported by WASH partners during the reporting period2]]="",0,WWWW[[#This Row],['# of functional latrines in THF supported by WASH partners during the reporting period2]]*50)</f>
        <v>0</v>
      </c>
      <c r="DI153" s="909">
        <f>ROUND(IF(WWWW[[#This Row],[Location Type 1]]="camp",WWWW[[#This Row],[Total PoP ]]/20,IF(WWWW[[#This Row],[Location Type 1]]="Temporary Location",WWWW[[#This Row],[Total PoP ]]/50,(WWWW[[#This Row],[Total PoP ]]/6))),0)</f>
        <v>83</v>
      </c>
      <c r="DJ153" s="909">
        <f>IF(WWWW[[#This Row],[Total required Latrines]]-(WWWW[[#This Row],['#_Constructed latrines_by_WASHAgencies]]+WWWW[[#This Row],['#_Non Cluster partner latrines]])&lt;0,0,WWWW[[#This Row],[Total required Latrines]]-(WWWW[[#This Row],['#_Constructed latrines_by_WASHAgencies]]+WWWW[[#This Row],['#_Non Cluster partner latrines]]))</f>
        <v>83</v>
      </c>
      <c r="DK153" s="911">
        <f>1-WWWW[[#This Row],[% people access to functioning Latrine]]</f>
        <v>1</v>
      </c>
      <c r="DL153" s="910">
        <f>IF(OR(WWWW[[#This Row],['#_Non-functional latrines]]="",WWWW[[#This Row],['#_Non-functional latrines]]=0),0,WWWW[[#This Row],['#_Non-functional latrines]]/(WWWW[[#This Row],['#_Constructed latrines_by_WASHAgencies]]+WWWW[[#This Row],['#_Non Cluster partner latrines]]))</f>
        <v>0</v>
      </c>
      <c r="DM153" s="906">
        <f>IF(500*(WWWW[[#This Row],['#_male hygiene promoters]]+WWWW[[#This Row],['#_female hygiene promoters]])&gt;WWWW[[#This Row],[Total PoP ]],WWWW[[#This Row],[Total PoP ]],500*(WWWW[[#This Row],['#_male hygiene promoters]]+WWWW[[#This Row],['#_female hygiene promoters]]))</f>
        <v>0</v>
      </c>
      <c r="DN153"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3"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3" s="909">
        <f>IF(WWWW[[#This Row],['# People with access to soap]]&gt;WWWW[[#This Row],['# People with access to Sanity Pads]],WWWW[[#This Row],['# People with access to soap]],WWWW[[#This Row],['# People with access to Sanity Pads]])</f>
        <v>0</v>
      </c>
      <c r="DQ153"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53" s="911">
        <f>IF(WWWW[[#This Row],[HRP3]]/WWWW[[#This Row],[Total PoP ]]&gt;1,1,WWWW[[#This Row],[HRP3]]/WWWW[[#This Row],[Total PoP ]])</f>
        <v>0</v>
      </c>
      <c r="DS153" s="910">
        <f>1-WWWW[[#This Row],[Hygiene Coverage%]]</f>
        <v>1</v>
      </c>
      <c r="DT153" s="908">
        <f>WWWW[[#This Row],['# people reached by regular dedicated hygiene promotion_5]]/WWWW[[#This Row],[Total PoP ]]</f>
        <v>0</v>
      </c>
      <c r="DU153"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3"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3" s="909">
        <f>WWWW[[#This Row],['#_Constructed/Existing hand washing stations]]-WWWW[[#This Row],['#_Non-Functional_hand_washing_stations]]</f>
        <v>0</v>
      </c>
      <c r="DX153" s="906">
        <f>IF(WWWW[[#This Row],['# Functional hand washing stations during reporting period]]*20&gt;WWWW[[#This Row],[Total HH]],WWWW[[#This Row],[Total HH]],WWWW[[#This Row],['# Functional hand washing stations during reporting period]]*20)</f>
        <v>0</v>
      </c>
      <c r="DY153" s="906">
        <f>IF(WWWW[[#This Row],[Is sufficient soap available for TLS? (Yes/No)]]="yes",WWWW[[#This Row],['#_Constructed/Existing hand washing stations at TLS/CFS/THF]],0)</f>
        <v>0</v>
      </c>
      <c r="DZ153" s="421">
        <f>IF(WWWW[[#This Row],['# Functional hand washing stations during reporting period]]*100&gt;WWWW[[#This Row],[Total PoP ]],WWWW[[#This Row],[Total PoP ]],WWWW[[#This Row],['# Functional hand washing stations during reporting period]]*100)</f>
        <v>0</v>
      </c>
      <c r="EA153" s="421" t="str">
        <f>IF(OR(WWWW[[#This Row],['#_students at TLS_CFS]]="",WWWW[[#This Row],['#_students at TLS_CFS]]=0),"No","Yes")</f>
        <v>No</v>
      </c>
      <c r="EB15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3" s="566">
        <f>WWWW[[#This Row],[%_of_affected_people_surveyed_who_report_feeling_satistfied_with_the_latrine_design_and_sanitation_service]]*WWWW[[#This Row],[Total PoP ]]</f>
        <v>0</v>
      </c>
      <c r="ED153" s="566">
        <f>WWWW[[#This Row],[%_of_affected_people_surveyed_who_report_feeling_satistfied_with_the_water_point_design_and_water_service]]*WWWW[[#This Row],[Total PoP ]]</f>
        <v>0</v>
      </c>
      <c r="EE153" s="566">
        <f>WWWW[[#This Row],[%_of_complaints_received_that_result_in_timely_corrective_action_and_feedback_to_the_community]]*WWWW[[#This Row],[Total PoP ]]</f>
        <v>0</v>
      </c>
      <c r="EF15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3" s="902">
        <f>VLOOKUP(WWWW[[#This Row],[Site Name]],SiteDB6[[Site Name]:[CCCM Management]],6,FALSE)</f>
        <v>0</v>
      </c>
      <c r="EJ153" s="902">
        <f>VLOOKUP(WWWW[[#This Row],[Site Name]],SiteDB6[[Site Name]:[CCCM Focal Agency]],7,FALSE)</f>
        <v>0</v>
      </c>
      <c r="EK153" s="902" t="str">
        <f>VLOOKUP(WWWW[[#This Row],[Site Name]],SiteDB6[[Site Name]:[Location Type 1]],9,FALSE)</f>
        <v>Relocated</v>
      </c>
      <c r="EL153" s="902" t="str">
        <f>VLOOKUP(WWWW[[#This Row],[Site Name]],SiteDB6[[Site Name]:[Type of Accommodation]],10,FALSE)</f>
        <v>Relocated-Individual House</v>
      </c>
      <c r="EM153" s="902" t="str">
        <f>VLOOKUP(WWWW[[#This Row],[Site Name]],SiteDB6[[Site Name]:[Ethnic or GCA/NGCA]],11,FALSE)</f>
        <v>GCA</v>
      </c>
      <c r="EN153" s="902">
        <f>VLOOKUP(WWWW[[#This Row],[Site Name]],SiteDB6[[Site Name]:[Lat]],12,FALSE)</f>
        <v>25.415667500000001</v>
      </c>
      <c r="EO153" s="902">
        <f>VLOOKUP(WWWW[[#This Row],[Site Name]],SiteDB6[[Site Name]:[Long]],13,FALSE)</f>
        <v>97.437782499999997</v>
      </c>
      <c r="EP153" s="902" t="str">
        <f>VLOOKUP(WWWW[[#This Row],[Site Name]],SiteDB6[[Site Name]:[Pcode]],3,FALSE)</f>
        <v>MMR001CMP277</v>
      </c>
      <c r="EQ153" s="907" t="str">
        <f t="shared" si="2"/>
        <v>Notcovered</v>
      </c>
      <c r="ER153" s="907"/>
      <c r="ES153" s="907"/>
      <c r="ET153" s="902">
        <f>VLOOKUP(WWWW[[#This Row],[Site Name]],SiteDB6[[Site Name]:[Pop
(Kachin/Shan-CCCM as of May 2023)]],16,FALSE)</f>
        <v>95</v>
      </c>
      <c r="EU153" s="902">
        <f>VLOOKUP(WWWW[[#This Row],[Site Name]],SiteDB6[[Site Name]:[Pop
(Kachin/Shan-CCCM as of May 2023)]],17,FALSE)</f>
        <v>499</v>
      </c>
    </row>
    <row r="154" spans="1:151" hidden="1">
      <c r="A154" s="900" t="s">
        <v>2961</v>
      </c>
      <c r="B154" s="900" t="s">
        <v>309</v>
      </c>
      <c r="C154" s="901" t="s">
        <v>309</v>
      </c>
      <c r="D154" s="901"/>
      <c r="E154" s="901" t="s">
        <v>37</v>
      </c>
      <c r="F154" s="901" t="s">
        <v>142</v>
      </c>
      <c r="G154" s="902" t="str">
        <f>VLOOKUP(WWWW[[#This Row],[Site Name]],SiteDB6[[Site Name]:[Location Type]],8,FALSE)</f>
        <v>Camp</v>
      </c>
      <c r="H154" s="901" t="s">
        <v>2704</v>
      </c>
      <c r="I154" s="903">
        <v>12</v>
      </c>
      <c r="J154" s="903">
        <v>80</v>
      </c>
      <c r="K154" s="904"/>
      <c r="L154" s="905"/>
      <c r="M154" s="903"/>
      <c r="N154" s="903"/>
      <c r="O154" s="903"/>
      <c r="P154" s="903"/>
      <c r="Q154" s="906"/>
      <c r="R154" s="903"/>
      <c r="S154" s="903"/>
      <c r="T154" s="441"/>
      <c r="U154" s="903"/>
      <c r="V154" s="903"/>
      <c r="W154" s="903"/>
      <c r="X154" s="903"/>
      <c r="Y154" s="903"/>
      <c r="Z154" s="903"/>
      <c r="AA154" s="903"/>
      <c r="AB154" s="903"/>
      <c r="AC154" s="903"/>
      <c r="AD154" s="903"/>
      <c r="AE154" s="903"/>
      <c r="AF154" s="903"/>
      <c r="AG154" s="903"/>
      <c r="AH154" s="903"/>
      <c r="AI154" s="903"/>
      <c r="AJ154" s="903"/>
      <c r="AK154" s="903"/>
      <c r="AL154" s="903"/>
      <c r="AM154" s="903"/>
      <c r="AN154" s="903"/>
      <c r="AO154" s="441"/>
      <c r="AP154" s="907"/>
      <c r="AQ154" s="903"/>
      <c r="AR154" s="903"/>
      <c r="AS154" s="908"/>
      <c r="AT154" s="903"/>
      <c r="AU154" s="903"/>
      <c r="AV154" s="903"/>
      <c r="AW154" s="903"/>
      <c r="AX154" s="903"/>
      <c r="AY154" s="902" t="s">
        <v>140</v>
      </c>
      <c r="AZ154" s="907" t="s">
        <v>140</v>
      </c>
      <c r="BA154" s="903"/>
      <c r="BB154" s="903"/>
      <c r="BC154" s="903"/>
      <c r="BD154" s="441"/>
      <c r="BE154" s="441"/>
      <c r="BF154" s="902"/>
      <c r="BG154" s="903">
        <v>7</v>
      </c>
      <c r="BH154" s="903"/>
      <c r="BI154" s="903"/>
      <c r="BJ154" s="903">
        <v>4</v>
      </c>
      <c r="BK154" s="903"/>
      <c r="BL154" s="903"/>
      <c r="BM154" s="903"/>
      <c r="BN154" s="903"/>
      <c r="BO154" s="903"/>
      <c r="BP154" s="902"/>
      <c r="BQ154" s="909"/>
      <c r="BR154" s="908"/>
      <c r="BS154" s="902"/>
      <c r="BT154" s="416"/>
      <c r="BU154" s="416"/>
      <c r="BV154" s="418"/>
      <c r="BW154" s="416"/>
      <c r="BX154" s="441"/>
      <c r="BY154" s="441"/>
      <c r="BZ154" s="441"/>
      <c r="CA154" s="441"/>
      <c r="CB154" s="441"/>
      <c r="CC154" s="693"/>
      <c r="CD154" s="441"/>
      <c r="CE154" s="910" t="str">
        <f>IFERROR(WWWW[[#This Row],['#_Water sources passed]]/WWWW[[#This Row],['#_Water sources tested for fecal coliform ]],"no test")</f>
        <v>no test</v>
      </c>
      <c r="CF154" s="908" t="str">
        <f>IFERROR(WWWW[[#This Row],['#_Household passed]]/WWWW[[#This Row],['#_Household water samples tested for fecal coliform]],"no test")</f>
        <v>no test</v>
      </c>
      <c r="CG154" s="909" t="str">
        <f>IF(AND(WWWW[[#This Row],[% of water sources passed]]="no test",WWWW[[#This Row],[% Household passed]]="no test"),"No Test","Tested")</f>
        <v>No Test</v>
      </c>
      <c r="CH154" s="909">
        <f>WWWW[[#This Row],['#_Constructed/existing protected hand dug well]]-WWWW[[#This Row],['#_Non-functional protected hand dug well]]</f>
        <v>0</v>
      </c>
      <c r="CI154" s="909">
        <f>(WWWW[[#This Row],['#_Constructed/Existing tube wells/boreholes/handpumps_WASH_agency]]+WWWW[[#This Row],['#_Non-Cluster partner water tube-wells/boreholes/handpumps]])-WWWW[[#This Row],['#_Non-functional tube wells/boreholes/handpumps]]</f>
        <v>0</v>
      </c>
      <c r="CJ154" s="909">
        <f>WWWW[[#This Row],['#_Constructed/Existingwater storage tank with gravity fed reticulation system]]-WWWW[[#This Row],['#_Non-functional storage tank gravity fed reticulation system]]</f>
        <v>0</v>
      </c>
      <c r="CK154" s="909">
        <f>(WWWW[[#This Row],['#_Water_Liters_supplied_by_Water boating or water trucking]]/90)/15</f>
        <v>0</v>
      </c>
      <c r="CL154" s="909">
        <f>WWWW[[#This Row],['#_Water_Liters_from_Constructed/Existing water distribution system from river or natural spring]]/90/15</f>
        <v>0</v>
      </c>
      <c r="CM154" s="417">
        <f>IF(WWWW[[#This Row],['#_of water points in TLS/CFS]]*500&gt;WWWW[[#This Row],[Total PoP ]],WWWW[[#This Row],[Total PoP ]],WWWW[[#This Row],['#_of water points in TLS/CFS]]*500)</f>
        <v>0</v>
      </c>
      <c r="CN154" s="417">
        <f>IF(WWWW[[#This Row],['#_of water points in THF]]*500&gt;WWWW[[#This Row],[Total PoP ]],WWWW[[#This Row],[Total PoP ]],WWWW[[#This Row],['#_of water points in THF]]*500)</f>
        <v>0</v>
      </c>
      <c r="CO154" s="417"/>
      <c r="CP154"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54"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54" s="908">
        <f>IF(WWWW[[#This Row],[Location Type 1]]="Village",WWWW[[#This Row],[Access to safe drinking water for Village]],WWWW[[#This Row],[Access to safe drinking water for Camp]])</f>
        <v>0</v>
      </c>
      <c r="CS154" s="906">
        <f>WWWW[[#This Row],[%Equitable and continuous access to sufficient quantity of safe drinking water]]*WWWW[[#This Row],[Total PoP ]]</f>
        <v>0</v>
      </c>
      <c r="CT154" s="908">
        <f>IF((WWWW[[#This Row],['#_Constructed/Existing protected/fenced ponds]]*250)/WWWW[[#This Row],[Total PoP ]]&gt;1,1,(WWWW[[#This Row],['#_Constructed/Existing protected/fenced ponds]]*250)/WWWW[[#This Row],[Total PoP ]])</f>
        <v>0</v>
      </c>
      <c r="CU154" s="906">
        <f>WWWW[[#This Row],[% Access to unimproved water points]]*WWWW[[#This Row],[Total PoP ]]</f>
        <v>0</v>
      </c>
      <c r="CV154"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54"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54" s="906">
        <f>WWWW[[#This Row],[HRP1]]/500</f>
        <v>0</v>
      </c>
      <c r="CY154" s="911">
        <f>1-WWWW[[#This Row],[% Equitable and continuous access to sufficient quantity of domestic water]]</f>
        <v>1</v>
      </c>
      <c r="CZ154" s="906">
        <f>WWWW[[#This Row],[%equitable and continuous access to sufficient quantity of safe drinking and domestic water''s GAP]]*WWWW[[#This Row],[Total PoP ]]</f>
        <v>80</v>
      </c>
      <c r="DA154" s="909">
        <f>IF(WWWW[[#This Row],[Total required water points]]-WWWW[[#This Row],['#Water points coverage]]&lt;0,0,WWWW[[#This Row],[Total required water points]]-WWWW[[#This Row],['#Water points coverage]])</f>
        <v>1</v>
      </c>
      <c r="DB154" s="909">
        <f>ROUND(IF(WWWW[[#This Row],[Total PoP ]]&lt;500,1,WWWW[[#This Row],[Total PoP ]]/500),0)</f>
        <v>1</v>
      </c>
      <c r="DC154" s="909">
        <f>(WWWW[[#This Row],['#_Constructed latrines_by_WASHAgencies]]+WWWW[[#This Row],['#_Non Cluster partner latrines]])-WWWW[[#This Row],['#_Non-functional latrines]]</f>
        <v>0</v>
      </c>
      <c r="DD154" s="615">
        <f>WWWW[[#This Row],[HRP2]]/WWWW[[#This Row],[Total PoP ]]</f>
        <v>0</v>
      </c>
      <c r="DE154"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54"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4"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4" s="417">
        <f>IF(WWWW[[#This Row],['# of functional latrines in THF supported by WASH partners during the reporting period2]]="",0,WWWW[[#This Row],['# of functional latrines in THF supported by WASH partners during the reporting period2]]*50)</f>
        <v>0</v>
      </c>
      <c r="DI154" s="909">
        <f>ROUND(IF(WWWW[[#This Row],[Location Type 1]]="camp",WWWW[[#This Row],[Total PoP ]]/20,IF(WWWW[[#This Row],[Location Type 1]]="Temporary Location",WWWW[[#This Row],[Total PoP ]]/50,(WWWW[[#This Row],[Total PoP ]]/6))),0)</f>
        <v>4</v>
      </c>
      <c r="DJ154" s="909">
        <f>IF(WWWW[[#This Row],[Total required Latrines]]-(WWWW[[#This Row],['#_Constructed latrines_by_WASHAgencies]]+WWWW[[#This Row],['#_Non Cluster partner latrines]])&lt;0,0,WWWW[[#This Row],[Total required Latrines]]-(WWWW[[#This Row],['#_Constructed latrines_by_WASHAgencies]]+WWWW[[#This Row],['#_Non Cluster partner latrines]]))</f>
        <v>4</v>
      </c>
      <c r="DK154" s="911">
        <f>1-WWWW[[#This Row],[% people access to functioning Latrine]]</f>
        <v>1</v>
      </c>
      <c r="DL154" s="910">
        <f>IF(OR(WWWW[[#This Row],['#_Non-functional latrines]]="",WWWW[[#This Row],['#_Non-functional latrines]]=0),0,WWWW[[#This Row],['#_Non-functional latrines]]/(WWWW[[#This Row],['#_Constructed latrines_by_WASHAgencies]]+WWWW[[#This Row],['#_Non Cluster partner latrines]]))</f>
        <v>0</v>
      </c>
      <c r="DM154" s="906">
        <f>IF(500*(WWWW[[#This Row],['#_male hygiene promoters]]+WWWW[[#This Row],['#_female hygiene promoters]])&gt;WWWW[[#This Row],[Total PoP ]],WWWW[[#This Row],[Total PoP ]],500*(WWWW[[#This Row],['#_male hygiene promoters]]+WWWW[[#This Row],['#_female hygiene promoters]]))</f>
        <v>0</v>
      </c>
      <c r="DN154"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4"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4" s="909">
        <f>IF(WWWW[[#This Row],['# People with access to soap]]&gt;WWWW[[#This Row],['# People with access to Sanity Pads]],WWWW[[#This Row],['# People with access to soap]],WWWW[[#This Row],['# People with access to Sanity Pads]])</f>
        <v>0</v>
      </c>
      <c r="DQ154"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54" s="911">
        <f>IF(WWWW[[#This Row],[HRP3]]/WWWW[[#This Row],[Total PoP ]]&gt;1,1,WWWW[[#This Row],[HRP3]]/WWWW[[#This Row],[Total PoP ]])</f>
        <v>0</v>
      </c>
      <c r="DS154" s="910">
        <f>1-WWWW[[#This Row],[Hygiene Coverage%]]</f>
        <v>1</v>
      </c>
      <c r="DT154" s="908">
        <f>WWWW[[#This Row],['# people reached by regular dedicated hygiene promotion_5]]/WWWW[[#This Row],[Total PoP ]]</f>
        <v>0</v>
      </c>
      <c r="DU154"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4"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4" s="909">
        <f>WWWW[[#This Row],['#_Constructed/Existing hand washing stations]]-WWWW[[#This Row],['#_Non-Functional_hand_washing_stations]]</f>
        <v>7</v>
      </c>
      <c r="DX154" s="906">
        <f>IF(WWWW[[#This Row],['# Functional hand washing stations during reporting period]]*20&gt;WWWW[[#This Row],[Total HH]],WWWW[[#This Row],[Total HH]],WWWW[[#This Row],['# Functional hand washing stations during reporting period]]*20)</f>
        <v>12</v>
      </c>
      <c r="DY154" s="906">
        <f>IF(WWWW[[#This Row],[Is sufficient soap available for TLS? (Yes/No)]]="yes",WWWW[[#This Row],['#_Constructed/Existing hand washing stations at TLS/CFS/THF]],0)</f>
        <v>0</v>
      </c>
      <c r="DZ154" s="421">
        <f>IF(WWWW[[#This Row],['# Functional hand washing stations during reporting period]]*100&gt;WWWW[[#This Row],[Total PoP ]],WWWW[[#This Row],[Total PoP ]],WWWW[[#This Row],['# Functional hand washing stations during reporting period]]*100)</f>
        <v>80</v>
      </c>
      <c r="EA154" s="421" t="str">
        <f>IF(OR(WWWW[[#This Row],['#_students at TLS_CFS]]="",WWWW[[#This Row],['#_students at TLS_CFS]]=0),"No","Yes")</f>
        <v>No</v>
      </c>
      <c r="EB15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4" s="566">
        <f>WWWW[[#This Row],[%_of_affected_people_surveyed_who_report_feeling_satistfied_with_the_latrine_design_and_sanitation_service]]*WWWW[[#This Row],[Total PoP ]]</f>
        <v>0</v>
      </c>
      <c r="ED154" s="566">
        <f>WWWW[[#This Row],[%_of_affected_people_surveyed_who_report_feeling_satistfied_with_the_water_point_design_and_water_service]]*WWWW[[#This Row],[Total PoP ]]</f>
        <v>0</v>
      </c>
      <c r="EE154" s="566">
        <f>WWWW[[#This Row],[%_of_complaints_received_that_result_in_timely_corrective_action_and_feedback_to_the_community]]*WWWW[[#This Row],[Total PoP ]]</f>
        <v>0</v>
      </c>
      <c r="EF15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4" s="902" t="str">
        <f>VLOOKUP(WWWW[[#This Row],[Site Name]],SiteDB6[[Site Name]:[CCCM Management]],6,FALSE)</f>
        <v>Yes</v>
      </c>
      <c r="EJ154" s="902" t="str">
        <f>VLOOKUP(WWWW[[#This Row],[Site Name]],SiteDB6[[Site Name]:[CCCM Focal Agency]],7,FALSE)</f>
        <v>Shalom</v>
      </c>
      <c r="EK154" s="902" t="str">
        <f>VLOOKUP(WWWW[[#This Row],[Site Name]],SiteDB6[[Site Name]:[Location Type 1]],9,FALSE)</f>
        <v>Camp</v>
      </c>
      <c r="EL154" s="902" t="str">
        <f>VLOOKUP(WWWW[[#This Row],[Site Name]],SiteDB6[[Site Name]:[Type of Accommodation]],10,FALSE)</f>
        <v>Camp like setting</v>
      </c>
      <c r="EM154" s="902" t="str">
        <f>VLOOKUP(WWWW[[#This Row],[Site Name]],SiteDB6[[Site Name]:[Ethnic or GCA/NGCA]],11,FALSE)</f>
        <v>GCA</v>
      </c>
      <c r="EN154" s="902">
        <f>VLOOKUP(WWWW[[#This Row],[Site Name]],SiteDB6[[Site Name]:[Lat]],12,FALSE)</f>
        <v>25.221299999999999</v>
      </c>
      <c r="EO154" s="902">
        <f>VLOOKUP(WWWW[[#This Row],[Site Name]],SiteDB6[[Site Name]:[Long]],13,FALSE)</f>
        <v>97.255300000000005</v>
      </c>
      <c r="EP154" s="902" t="str">
        <f>VLOOKUP(WWWW[[#This Row],[Site Name]],SiteDB6[[Site Name]:[Pcode]],3,FALSE)</f>
        <v>MMR001CMP286</v>
      </c>
      <c r="EQ154" s="907" t="str">
        <f t="shared" si="2"/>
        <v>Notcovered</v>
      </c>
      <c r="ER154" s="907"/>
      <c r="ES154" s="907"/>
      <c r="ET154" s="902">
        <f>VLOOKUP(WWWW[[#This Row],[Site Name]],SiteDB6[[Site Name]:[Pop
(Kachin/Shan-CCCM as of May 2023)]],16,FALSE)</f>
        <v>6</v>
      </c>
      <c r="EU154" s="902">
        <f>VLOOKUP(WWWW[[#This Row],[Site Name]],SiteDB6[[Site Name]:[Pop
(Kachin/Shan-CCCM as of May 2023)]],17,FALSE)</f>
        <v>41</v>
      </c>
    </row>
    <row r="155" spans="1:151" hidden="1">
      <c r="A155" s="900" t="s">
        <v>2961</v>
      </c>
      <c r="B155" s="900" t="s">
        <v>309</v>
      </c>
      <c r="C155" s="901" t="s">
        <v>309</v>
      </c>
      <c r="D155" s="901"/>
      <c r="E155" s="901" t="s">
        <v>37</v>
      </c>
      <c r="F155" s="901" t="s">
        <v>142</v>
      </c>
      <c r="G155" s="902" t="str">
        <f>VLOOKUP(WWWW[[#This Row],[Site Name]],SiteDB6[[Site Name]:[Location Type]],8,FALSE)</f>
        <v>Camp</v>
      </c>
      <c r="H155" s="901" t="s">
        <v>2708</v>
      </c>
      <c r="I155" s="903">
        <v>61</v>
      </c>
      <c r="J155" s="903">
        <v>294</v>
      </c>
      <c r="K155" s="904"/>
      <c r="L155" s="905"/>
      <c r="M155" s="903"/>
      <c r="N155" s="903"/>
      <c r="O155" s="903"/>
      <c r="P155" s="903"/>
      <c r="Q155" s="906"/>
      <c r="R155" s="903"/>
      <c r="S155" s="903"/>
      <c r="T155" s="441"/>
      <c r="U155" s="903"/>
      <c r="V155" s="903"/>
      <c r="W155" s="903"/>
      <c r="X155" s="903"/>
      <c r="Y155" s="903"/>
      <c r="Z155" s="903"/>
      <c r="AA155" s="903"/>
      <c r="AB155" s="903"/>
      <c r="AC155" s="903"/>
      <c r="AD155" s="903"/>
      <c r="AE155" s="903"/>
      <c r="AF155" s="903"/>
      <c r="AG155" s="903"/>
      <c r="AH155" s="903"/>
      <c r="AI155" s="903"/>
      <c r="AJ155" s="903"/>
      <c r="AK155" s="903"/>
      <c r="AL155" s="903"/>
      <c r="AM155" s="903"/>
      <c r="AN155" s="903"/>
      <c r="AO155" s="441"/>
      <c r="AP155" s="907"/>
      <c r="AQ155" s="903"/>
      <c r="AR155" s="903"/>
      <c r="AS155" s="908"/>
      <c r="AT155" s="903"/>
      <c r="AU155" s="903"/>
      <c r="AV155" s="903"/>
      <c r="AW155" s="903"/>
      <c r="AX155" s="903"/>
      <c r="AY155" s="902"/>
      <c r="AZ155" s="907"/>
      <c r="BA155" s="903"/>
      <c r="BB155" s="903"/>
      <c r="BC155" s="903"/>
      <c r="BD155" s="441"/>
      <c r="BE155" s="441"/>
      <c r="BF155" s="902"/>
      <c r="BG155" s="903"/>
      <c r="BH155" s="903"/>
      <c r="BI155" s="903"/>
      <c r="BJ155" s="903"/>
      <c r="BK155" s="903"/>
      <c r="BL155" s="903"/>
      <c r="BM155" s="903"/>
      <c r="BN155" s="903"/>
      <c r="BO155" s="903"/>
      <c r="BP155" s="902"/>
      <c r="BQ155" s="909"/>
      <c r="BR155" s="908"/>
      <c r="BS155" s="902"/>
      <c r="BT155" s="416"/>
      <c r="BU155" s="416"/>
      <c r="BV155" s="418"/>
      <c r="BW155" s="416"/>
      <c r="BX155" s="441"/>
      <c r="BY155" s="441"/>
      <c r="BZ155" s="441"/>
      <c r="CA155" s="441"/>
      <c r="CB155" s="441"/>
      <c r="CC155" s="693"/>
      <c r="CD155" s="441"/>
      <c r="CE155" s="910" t="str">
        <f>IFERROR(WWWW[[#This Row],['#_Water sources passed]]/WWWW[[#This Row],['#_Water sources tested for fecal coliform ]],"no test")</f>
        <v>no test</v>
      </c>
      <c r="CF155" s="908" t="str">
        <f>IFERROR(WWWW[[#This Row],['#_Household passed]]/WWWW[[#This Row],['#_Household water samples tested for fecal coliform]],"no test")</f>
        <v>no test</v>
      </c>
      <c r="CG155" s="909" t="str">
        <f>IF(AND(WWWW[[#This Row],[% of water sources passed]]="no test",WWWW[[#This Row],[% Household passed]]="no test"),"No Test","Tested")</f>
        <v>No Test</v>
      </c>
      <c r="CH155" s="909">
        <f>WWWW[[#This Row],['#_Constructed/existing protected hand dug well]]-WWWW[[#This Row],['#_Non-functional protected hand dug well]]</f>
        <v>0</v>
      </c>
      <c r="CI155" s="909">
        <f>(WWWW[[#This Row],['#_Constructed/Existing tube wells/boreholes/handpumps_WASH_agency]]+WWWW[[#This Row],['#_Non-Cluster partner water tube-wells/boreholes/handpumps]])-WWWW[[#This Row],['#_Non-functional tube wells/boreholes/handpumps]]</f>
        <v>0</v>
      </c>
      <c r="CJ155" s="909">
        <f>WWWW[[#This Row],['#_Constructed/Existingwater storage tank with gravity fed reticulation system]]-WWWW[[#This Row],['#_Non-functional storage tank gravity fed reticulation system]]</f>
        <v>0</v>
      </c>
      <c r="CK155" s="909">
        <f>(WWWW[[#This Row],['#_Water_Liters_supplied_by_Water boating or water trucking]]/90)/15</f>
        <v>0</v>
      </c>
      <c r="CL155" s="909">
        <f>WWWW[[#This Row],['#_Water_Liters_from_Constructed/Existing water distribution system from river or natural spring]]/90/15</f>
        <v>0</v>
      </c>
      <c r="CM155" s="417">
        <f>IF(WWWW[[#This Row],['#_of water points in TLS/CFS]]*500&gt;WWWW[[#This Row],[Total PoP ]],WWWW[[#This Row],[Total PoP ]],WWWW[[#This Row],['#_of water points in TLS/CFS]]*500)</f>
        <v>0</v>
      </c>
      <c r="CN155" s="417">
        <f>IF(WWWW[[#This Row],['#_of water points in THF]]*500&gt;WWWW[[#This Row],[Total PoP ]],WWWW[[#This Row],[Total PoP ]],WWWW[[#This Row],['#_of water points in THF]]*500)</f>
        <v>0</v>
      </c>
      <c r="CO155" s="417"/>
      <c r="CP155"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55"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55" s="908">
        <f>IF(WWWW[[#This Row],[Location Type 1]]="Village",WWWW[[#This Row],[Access to safe drinking water for Village]],WWWW[[#This Row],[Access to safe drinking water for Camp]])</f>
        <v>0</v>
      </c>
      <c r="CS155" s="906">
        <f>WWWW[[#This Row],[%Equitable and continuous access to sufficient quantity of safe drinking water]]*WWWW[[#This Row],[Total PoP ]]</f>
        <v>0</v>
      </c>
      <c r="CT155" s="908">
        <f>IF((WWWW[[#This Row],['#_Constructed/Existing protected/fenced ponds]]*250)/WWWW[[#This Row],[Total PoP ]]&gt;1,1,(WWWW[[#This Row],['#_Constructed/Existing protected/fenced ponds]]*250)/WWWW[[#This Row],[Total PoP ]])</f>
        <v>0</v>
      </c>
      <c r="CU155" s="906">
        <f>WWWW[[#This Row],[% Access to unimproved water points]]*WWWW[[#This Row],[Total PoP ]]</f>
        <v>0</v>
      </c>
      <c r="CV155"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55"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55" s="906">
        <f>WWWW[[#This Row],[HRP1]]/500</f>
        <v>0</v>
      </c>
      <c r="CY155" s="911">
        <f>1-WWWW[[#This Row],[% Equitable and continuous access to sufficient quantity of domestic water]]</f>
        <v>1</v>
      </c>
      <c r="CZ155" s="906">
        <f>WWWW[[#This Row],[%equitable and continuous access to sufficient quantity of safe drinking and domestic water''s GAP]]*WWWW[[#This Row],[Total PoP ]]</f>
        <v>294</v>
      </c>
      <c r="DA155" s="909">
        <f>IF(WWWW[[#This Row],[Total required water points]]-WWWW[[#This Row],['#Water points coverage]]&lt;0,0,WWWW[[#This Row],[Total required water points]]-WWWW[[#This Row],['#Water points coverage]])</f>
        <v>1</v>
      </c>
      <c r="DB155" s="909">
        <f>ROUND(IF(WWWW[[#This Row],[Total PoP ]]&lt;500,1,WWWW[[#This Row],[Total PoP ]]/500),0)</f>
        <v>1</v>
      </c>
      <c r="DC155" s="909">
        <f>(WWWW[[#This Row],['#_Constructed latrines_by_WASHAgencies]]+WWWW[[#This Row],['#_Non Cluster partner latrines]])-WWWW[[#This Row],['#_Non-functional latrines]]</f>
        <v>0</v>
      </c>
      <c r="DD155" s="615">
        <f>WWWW[[#This Row],[HRP2]]/WWWW[[#This Row],[Total PoP ]]</f>
        <v>0</v>
      </c>
      <c r="DE155"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55"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5"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5" s="417">
        <f>IF(WWWW[[#This Row],['# of functional latrines in THF supported by WASH partners during the reporting period2]]="",0,WWWW[[#This Row],['# of functional latrines in THF supported by WASH partners during the reporting period2]]*50)</f>
        <v>0</v>
      </c>
      <c r="DI155" s="909">
        <f>ROUND(IF(WWWW[[#This Row],[Location Type 1]]="camp",WWWW[[#This Row],[Total PoP ]]/20,IF(WWWW[[#This Row],[Location Type 1]]="Temporary Location",WWWW[[#This Row],[Total PoP ]]/50,(WWWW[[#This Row],[Total PoP ]]/6))),0)</f>
        <v>15</v>
      </c>
      <c r="DJ155" s="909">
        <f>IF(WWWW[[#This Row],[Total required Latrines]]-(WWWW[[#This Row],['#_Constructed latrines_by_WASHAgencies]]+WWWW[[#This Row],['#_Non Cluster partner latrines]])&lt;0,0,WWWW[[#This Row],[Total required Latrines]]-(WWWW[[#This Row],['#_Constructed latrines_by_WASHAgencies]]+WWWW[[#This Row],['#_Non Cluster partner latrines]]))</f>
        <v>15</v>
      </c>
      <c r="DK155" s="911">
        <f>1-WWWW[[#This Row],[% people access to functioning Latrine]]</f>
        <v>1</v>
      </c>
      <c r="DL155" s="910">
        <f>IF(OR(WWWW[[#This Row],['#_Non-functional latrines]]="",WWWW[[#This Row],['#_Non-functional latrines]]=0),0,WWWW[[#This Row],['#_Non-functional latrines]]/(WWWW[[#This Row],['#_Constructed latrines_by_WASHAgencies]]+WWWW[[#This Row],['#_Non Cluster partner latrines]]))</f>
        <v>0</v>
      </c>
      <c r="DM155" s="906">
        <f>IF(500*(WWWW[[#This Row],['#_male hygiene promoters]]+WWWW[[#This Row],['#_female hygiene promoters]])&gt;WWWW[[#This Row],[Total PoP ]],WWWW[[#This Row],[Total PoP ]],500*(WWWW[[#This Row],['#_male hygiene promoters]]+WWWW[[#This Row],['#_female hygiene promoters]]))</f>
        <v>0</v>
      </c>
      <c r="DN155"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5"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5" s="909">
        <f>IF(WWWW[[#This Row],['# People with access to soap]]&gt;WWWW[[#This Row],['# People with access to Sanity Pads]],WWWW[[#This Row],['# People with access to soap]],WWWW[[#This Row],['# People with access to Sanity Pads]])</f>
        <v>0</v>
      </c>
      <c r="DQ155"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55" s="911">
        <f>IF(WWWW[[#This Row],[HRP3]]/WWWW[[#This Row],[Total PoP ]]&gt;1,1,WWWW[[#This Row],[HRP3]]/WWWW[[#This Row],[Total PoP ]])</f>
        <v>0</v>
      </c>
      <c r="DS155" s="910">
        <f>1-WWWW[[#This Row],[Hygiene Coverage%]]</f>
        <v>1</v>
      </c>
      <c r="DT155" s="908">
        <f>WWWW[[#This Row],['# people reached by regular dedicated hygiene promotion_5]]/WWWW[[#This Row],[Total PoP ]]</f>
        <v>0</v>
      </c>
      <c r="DU155"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5"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5" s="909">
        <f>WWWW[[#This Row],['#_Constructed/Existing hand washing stations]]-WWWW[[#This Row],['#_Non-Functional_hand_washing_stations]]</f>
        <v>0</v>
      </c>
      <c r="DX155" s="906">
        <f>IF(WWWW[[#This Row],['# Functional hand washing stations during reporting period]]*20&gt;WWWW[[#This Row],[Total HH]],WWWW[[#This Row],[Total HH]],WWWW[[#This Row],['# Functional hand washing stations during reporting period]]*20)</f>
        <v>0</v>
      </c>
      <c r="DY155" s="906">
        <f>IF(WWWW[[#This Row],[Is sufficient soap available for TLS? (Yes/No)]]="yes",WWWW[[#This Row],['#_Constructed/Existing hand washing stations at TLS/CFS/THF]],0)</f>
        <v>0</v>
      </c>
      <c r="DZ155" s="421">
        <f>IF(WWWW[[#This Row],['# Functional hand washing stations during reporting period]]*100&gt;WWWW[[#This Row],[Total PoP ]],WWWW[[#This Row],[Total PoP ]],WWWW[[#This Row],['# Functional hand washing stations during reporting period]]*100)</f>
        <v>0</v>
      </c>
      <c r="EA155" s="421" t="str">
        <f>IF(OR(WWWW[[#This Row],['#_students at TLS_CFS]]="",WWWW[[#This Row],['#_students at TLS_CFS]]=0),"No","Yes")</f>
        <v>No</v>
      </c>
      <c r="EB15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5" s="566">
        <f>WWWW[[#This Row],[%_of_affected_people_surveyed_who_report_feeling_satistfied_with_the_latrine_design_and_sanitation_service]]*WWWW[[#This Row],[Total PoP ]]</f>
        <v>0</v>
      </c>
      <c r="ED155" s="566">
        <f>WWWW[[#This Row],[%_of_affected_people_surveyed_who_report_feeling_satistfied_with_the_water_point_design_and_water_service]]*WWWW[[#This Row],[Total PoP ]]</f>
        <v>0</v>
      </c>
      <c r="EE155" s="566">
        <f>WWWW[[#This Row],[%_of_complaints_received_that_result_in_timely_corrective_action_and_feedback_to_the_community]]*WWWW[[#This Row],[Total PoP ]]</f>
        <v>0</v>
      </c>
      <c r="EF15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5" s="902">
        <f>VLOOKUP(WWWW[[#This Row],[Site Name]],SiteDB6[[Site Name]:[CCCM Management]],6,FALSE)</f>
        <v>0</v>
      </c>
      <c r="EJ155" s="902" t="str">
        <f>VLOOKUP(WWWW[[#This Row],[Site Name]],SiteDB6[[Site Name]:[CCCM Focal Agency]],7,FALSE)</f>
        <v xml:space="preserve">Uncovered  </v>
      </c>
      <c r="EK155" s="902" t="str">
        <f>VLOOKUP(WWWW[[#This Row],[Site Name]],SiteDB6[[Site Name]:[Location Type 1]],9,FALSE)</f>
        <v>Camp</v>
      </c>
      <c r="EL155" s="902" t="str">
        <f>VLOOKUP(WWWW[[#This Row],[Site Name]],SiteDB6[[Site Name]:[Type of Accommodation]],10,FALSE)</f>
        <v>Camp like setting</v>
      </c>
      <c r="EM155" s="902" t="str">
        <f>VLOOKUP(WWWW[[#This Row],[Site Name]],SiteDB6[[Site Name]:[Ethnic or GCA/NGCA]],11,FALSE)</f>
        <v>GCA</v>
      </c>
      <c r="EN155" s="902">
        <f>VLOOKUP(WWWW[[#This Row],[Site Name]],SiteDB6[[Site Name]:[Lat]],12,FALSE)</f>
        <v>25.2057</v>
      </c>
      <c r="EO155" s="902">
        <f>VLOOKUP(WWWW[[#This Row],[Site Name]],SiteDB6[[Site Name]:[Long]],13,FALSE)</f>
        <v>97.262200000000007</v>
      </c>
      <c r="EP155" s="902" t="str">
        <f>VLOOKUP(WWWW[[#This Row],[Site Name]],SiteDB6[[Site Name]:[Pcode]],3,FALSE)</f>
        <v>MMR001CMP290</v>
      </c>
      <c r="EQ155" s="907" t="str">
        <f t="shared" si="2"/>
        <v>Notcovered</v>
      </c>
      <c r="ER155" s="907"/>
      <c r="ES155" s="907"/>
      <c r="ET155" s="902">
        <f>VLOOKUP(WWWW[[#This Row],[Site Name]],SiteDB6[[Site Name]:[Pop
(Kachin/Shan-CCCM as of May 2023)]],16,FALSE)</f>
        <v>61</v>
      </c>
      <c r="EU155" s="902">
        <f>VLOOKUP(WWWW[[#This Row],[Site Name]],SiteDB6[[Site Name]:[Pop
(Kachin/Shan-CCCM as of May 2023)]],17,FALSE)</f>
        <v>305</v>
      </c>
    </row>
    <row r="156" spans="1:151" hidden="1">
      <c r="A156" s="900" t="s">
        <v>2961</v>
      </c>
      <c r="B156" s="900" t="s">
        <v>309</v>
      </c>
      <c r="C156" s="901" t="s">
        <v>309</v>
      </c>
      <c r="D156" s="901"/>
      <c r="E156" s="901" t="s">
        <v>37</v>
      </c>
      <c r="F156" s="901" t="s">
        <v>142</v>
      </c>
      <c r="G156" s="902" t="str">
        <f>VLOOKUP(WWWW[[#This Row],[Site Name]],SiteDB6[[Site Name]:[Location Type]],8,FALSE)</f>
        <v>Camp</v>
      </c>
      <c r="H156" s="901" t="s">
        <v>775</v>
      </c>
      <c r="I156" s="903">
        <v>45</v>
      </c>
      <c r="J156" s="903">
        <v>247</v>
      </c>
      <c r="K156" s="904"/>
      <c r="L156" s="905"/>
      <c r="M156" s="903"/>
      <c r="N156" s="903"/>
      <c r="O156" s="903"/>
      <c r="P156" s="903"/>
      <c r="Q156" s="906"/>
      <c r="R156" s="903"/>
      <c r="S156" s="903">
        <v>2</v>
      </c>
      <c r="T156" s="441"/>
      <c r="U156" s="903"/>
      <c r="V156" s="903"/>
      <c r="W156" s="903"/>
      <c r="X156" s="903"/>
      <c r="Y156" s="903"/>
      <c r="Z156" s="903"/>
      <c r="AA156" s="903"/>
      <c r="AB156" s="903"/>
      <c r="AC156" s="903"/>
      <c r="AD156" s="903"/>
      <c r="AE156" s="903"/>
      <c r="AF156" s="903"/>
      <c r="AG156" s="903"/>
      <c r="AH156" s="903"/>
      <c r="AI156" s="903"/>
      <c r="AJ156" s="903"/>
      <c r="AK156" s="903"/>
      <c r="AL156" s="903"/>
      <c r="AM156" s="903"/>
      <c r="AN156" s="903"/>
      <c r="AO156" s="441"/>
      <c r="AP156" s="907"/>
      <c r="AQ156" s="903"/>
      <c r="AR156" s="903"/>
      <c r="AS156" s="908"/>
      <c r="AT156" s="903"/>
      <c r="AU156" s="903"/>
      <c r="AV156" s="903"/>
      <c r="AW156" s="903"/>
      <c r="AX156" s="903"/>
      <c r="AY156" s="902" t="s">
        <v>140</v>
      </c>
      <c r="AZ156" s="907" t="s">
        <v>140</v>
      </c>
      <c r="BA156" s="903"/>
      <c r="BB156" s="903"/>
      <c r="BC156" s="903"/>
      <c r="BD156" s="441"/>
      <c r="BE156" s="441"/>
      <c r="BF156" s="902"/>
      <c r="BG156" s="903">
        <v>1</v>
      </c>
      <c r="BH156" s="903"/>
      <c r="BI156" s="903"/>
      <c r="BJ156" s="903">
        <v>3</v>
      </c>
      <c r="BK156" s="903"/>
      <c r="BL156" s="903"/>
      <c r="BM156" s="903"/>
      <c r="BN156" s="903"/>
      <c r="BO156" s="903"/>
      <c r="BP156" s="902"/>
      <c r="BQ156" s="909"/>
      <c r="BR156" s="908"/>
      <c r="BS156" s="902"/>
      <c r="BT156" s="416"/>
      <c r="BU156" s="416"/>
      <c r="BV156" s="418"/>
      <c r="BW156" s="416"/>
      <c r="BX156" s="441"/>
      <c r="BY156" s="441"/>
      <c r="BZ156" s="441"/>
      <c r="CA156" s="441"/>
      <c r="CB156" s="441"/>
      <c r="CC156" s="693"/>
      <c r="CD156" s="441"/>
      <c r="CE156" s="910" t="str">
        <f>IFERROR(WWWW[[#This Row],['#_Water sources passed]]/WWWW[[#This Row],['#_Water sources tested for fecal coliform ]],"no test")</f>
        <v>no test</v>
      </c>
      <c r="CF156" s="908" t="str">
        <f>IFERROR(WWWW[[#This Row],['#_Household passed]]/WWWW[[#This Row],['#_Household water samples tested for fecal coliform]],"no test")</f>
        <v>no test</v>
      </c>
      <c r="CG156" s="909" t="str">
        <f>IF(AND(WWWW[[#This Row],[% of water sources passed]]="no test",WWWW[[#This Row],[% Household passed]]="no test"),"No Test","Tested")</f>
        <v>No Test</v>
      </c>
      <c r="CH156" s="909">
        <f>WWWW[[#This Row],['#_Constructed/existing protected hand dug well]]-WWWW[[#This Row],['#_Non-functional protected hand dug well]]</f>
        <v>0</v>
      </c>
      <c r="CI156" s="909">
        <f>(WWWW[[#This Row],['#_Constructed/Existing tube wells/boreholes/handpumps_WASH_agency]]+WWWW[[#This Row],['#_Non-Cluster partner water tube-wells/boreholes/handpumps]])-WWWW[[#This Row],['#_Non-functional tube wells/boreholes/handpumps]]</f>
        <v>0</v>
      </c>
      <c r="CJ156" s="909">
        <f>WWWW[[#This Row],['#_Constructed/Existingwater storage tank with gravity fed reticulation system]]-WWWW[[#This Row],['#_Non-functional storage tank gravity fed reticulation system]]</f>
        <v>0</v>
      </c>
      <c r="CK156" s="909">
        <f>(WWWW[[#This Row],['#_Water_Liters_supplied_by_Water boating or water trucking]]/90)/15</f>
        <v>0</v>
      </c>
      <c r="CL156" s="909">
        <f>WWWW[[#This Row],['#_Water_Liters_from_Constructed/Existing water distribution system from river or natural spring]]/90/15</f>
        <v>0</v>
      </c>
      <c r="CM156" s="417">
        <f>IF(WWWW[[#This Row],['#_of water points in TLS/CFS]]*500&gt;WWWW[[#This Row],[Total PoP ]],WWWW[[#This Row],[Total PoP ]],WWWW[[#This Row],['#_of water points in TLS/CFS]]*500)</f>
        <v>0</v>
      </c>
      <c r="CN156" s="417">
        <f>IF(WWWW[[#This Row],['#_of water points in THF]]*500&gt;WWWW[[#This Row],[Total PoP ]],WWWW[[#This Row],[Total PoP ]],WWWW[[#This Row],['#_of water points in THF]]*500)</f>
        <v>0</v>
      </c>
      <c r="CO156" s="417"/>
      <c r="CP156"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56"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56" s="908">
        <f>IF(WWWW[[#This Row],[Location Type 1]]="Village",WWWW[[#This Row],[Access to safe drinking water for Village]],WWWW[[#This Row],[Access to safe drinking water for Camp]])</f>
        <v>0</v>
      </c>
      <c r="CS156" s="906">
        <f>WWWW[[#This Row],[%Equitable and continuous access to sufficient quantity of safe drinking water]]*WWWW[[#This Row],[Total PoP ]]</f>
        <v>0</v>
      </c>
      <c r="CT156" s="908">
        <f>IF((WWWW[[#This Row],['#_Constructed/Existing protected/fenced ponds]]*250)/WWWW[[#This Row],[Total PoP ]]&gt;1,1,(WWWW[[#This Row],['#_Constructed/Existing protected/fenced ponds]]*250)/WWWW[[#This Row],[Total PoP ]])</f>
        <v>0</v>
      </c>
      <c r="CU156" s="906">
        <f>WWWW[[#This Row],[% Access to unimproved water points]]*WWWW[[#This Row],[Total PoP ]]</f>
        <v>0</v>
      </c>
      <c r="CV156"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56"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56" s="906">
        <f>WWWW[[#This Row],[HRP1]]/500</f>
        <v>0</v>
      </c>
      <c r="CY156" s="911">
        <f>1-WWWW[[#This Row],[% Equitable and continuous access to sufficient quantity of domestic water]]</f>
        <v>1</v>
      </c>
      <c r="CZ156" s="906">
        <f>WWWW[[#This Row],[%equitable and continuous access to sufficient quantity of safe drinking and domestic water''s GAP]]*WWWW[[#This Row],[Total PoP ]]</f>
        <v>247</v>
      </c>
      <c r="DA156" s="909">
        <f>IF(WWWW[[#This Row],[Total required water points]]-WWWW[[#This Row],['#Water points coverage]]&lt;0,0,WWWW[[#This Row],[Total required water points]]-WWWW[[#This Row],['#Water points coverage]])</f>
        <v>1</v>
      </c>
      <c r="DB156" s="909">
        <f>ROUND(IF(WWWW[[#This Row],[Total PoP ]]&lt;500,1,WWWW[[#This Row],[Total PoP ]]/500),0)</f>
        <v>1</v>
      </c>
      <c r="DC156" s="909">
        <f>(WWWW[[#This Row],['#_Constructed latrines_by_WASHAgencies]]+WWWW[[#This Row],['#_Non Cluster partner latrines]])-WWWW[[#This Row],['#_Non-functional latrines]]</f>
        <v>0</v>
      </c>
      <c r="DD156" s="615">
        <f>WWWW[[#This Row],[HRP2]]/WWWW[[#This Row],[Total PoP ]]</f>
        <v>0</v>
      </c>
      <c r="DE156"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56"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6"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6" s="417">
        <f>IF(WWWW[[#This Row],['# of functional latrines in THF supported by WASH partners during the reporting period2]]="",0,WWWW[[#This Row],['# of functional latrines in THF supported by WASH partners during the reporting period2]]*50)</f>
        <v>0</v>
      </c>
      <c r="DI156" s="909">
        <f>ROUND(IF(WWWW[[#This Row],[Location Type 1]]="camp",WWWW[[#This Row],[Total PoP ]]/20,IF(WWWW[[#This Row],[Location Type 1]]="Temporary Location",WWWW[[#This Row],[Total PoP ]]/50,(WWWW[[#This Row],[Total PoP ]]/6))),0)</f>
        <v>12</v>
      </c>
      <c r="DJ156" s="909">
        <f>IF(WWWW[[#This Row],[Total required Latrines]]-(WWWW[[#This Row],['#_Constructed latrines_by_WASHAgencies]]+WWWW[[#This Row],['#_Non Cluster partner latrines]])&lt;0,0,WWWW[[#This Row],[Total required Latrines]]-(WWWW[[#This Row],['#_Constructed latrines_by_WASHAgencies]]+WWWW[[#This Row],['#_Non Cluster partner latrines]]))</f>
        <v>12</v>
      </c>
      <c r="DK156" s="911">
        <f>1-WWWW[[#This Row],[% people access to functioning Latrine]]</f>
        <v>1</v>
      </c>
      <c r="DL156" s="910">
        <f>IF(OR(WWWW[[#This Row],['#_Non-functional latrines]]="",WWWW[[#This Row],['#_Non-functional latrines]]=0),0,WWWW[[#This Row],['#_Non-functional latrines]]/(WWWW[[#This Row],['#_Constructed latrines_by_WASHAgencies]]+WWWW[[#This Row],['#_Non Cluster partner latrines]]))</f>
        <v>0</v>
      </c>
      <c r="DM156" s="906">
        <f>IF(500*(WWWW[[#This Row],['#_male hygiene promoters]]+WWWW[[#This Row],['#_female hygiene promoters]])&gt;WWWW[[#This Row],[Total PoP ]],WWWW[[#This Row],[Total PoP ]],500*(WWWW[[#This Row],['#_male hygiene promoters]]+WWWW[[#This Row],['#_female hygiene promoters]]))</f>
        <v>0</v>
      </c>
      <c r="DN156"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6"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6" s="909">
        <f>IF(WWWW[[#This Row],['# People with access to soap]]&gt;WWWW[[#This Row],['# People with access to Sanity Pads]],WWWW[[#This Row],['# People with access to soap]],WWWW[[#This Row],['# People with access to Sanity Pads]])</f>
        <v>0</v>
      </c>
      <c r="DQ156"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56" s="911">
        <f>IF(WWWW[[#This Row],[HRP3]]/WWWW[[#This Row],[Total PoP ]]&gt;1,1,WWWW[[#This Row],[HRP3]]/WWWW[[#This Row],[Total PoP ]])</f>
        <v>0</v>
      </c>
      <c r="DS156" s="910">
        <f>1-WWWW[[#This Row],[Hygiene Coverage%]]</f>
        <v>1</v>
      </c>
      <c r="DT156" s="908">
        <f>WWWW[[#This Row],['# people reached by regular dedicated hygiene promotion_5]]/WWWW[[#This Row],[Total PoP ]]</f>
        <v>0</v>
      </c>
      <c r="DU156"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6"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6" s="909">
        <f>WWWW[[#This Row],['#_Constructed/Existing hand washing stations]]-WWWW[[#This Row],['#_Non-Functional_hand_washing_stations]]</f>
        <v>1</v>
      </c>
      <c r="DX156" s="906">
        <f>IF(WWWW[[#This Row],['# Functional hand washing stations during reporting period]]*20&gt;WWWW[[#This Row],[Total HH]],WWWW[[#This Row],[Total HH]],WWWW[[#This Row],['# Functional hand washing stations during reporting period]]*20)</f>
        <v>20</v>
      </c>
      <c r="DY156" s="906">
        <f>IF(WWWW[[#This Row],[Is sufficient soap available for TLS? (Yes/No)]]="yes",WWWW[[#This Row],['#_Constructed/Existing hand washing stations at TLS/CFS/THF]],0)</f>
        <v>0</v>
      </c>
      <c r="DZ156" s="421">
        <f>IF(WWWW[[#This Row],['# Functional hand washing stations during reporting period]]*100&gt;WWWW[[#This Row],[Total PoP ]],WWWW[[#This Row],[Total PoP ]],WWWW[[#This Row],['# Functional hand washing stations during reporting period]]*100)</f>
        <v>100</v>
      </c>
      <c r="EA156" s="421" t="str">
        <f>IF(OR(WWWW[[#This Row],['#_students at TLS_CFS]]="",WWWW[[#This Row],['#_students at TLS_CFS]]=0),"No","Yes")</f>
        <v>No</v>
      </c>
      <c r="EB15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6" s="566">
        <f>WWWW[[#This Row],[%_of_affected_people_surveyed_who_report_feeling_satistfied_with_the_latrine_design_and_sanitation_service]]*WWWW[[#This Row],[Total PoP ]]</f>
        <v>0</v>
      </c>
      <c r="ED156" s="566">
        <f>WWWW[[#This Row],[%_of_affected_people_surveyed_who_report_feeling_satistfied_with_the_water_point_design_and_water_service]]*WWWW[[#This Row],[Total PoP ]]</f>
        <v>0</v>
      </c>
      <c r="EE156" s="566">
        <f>WWWW[[#This Row],[%_of_complaints_received_that_result_in_timely_corrective_action_and_feedback_to_the_community]]*WWWW[[#This Row],[Total PoP ]]</f>
        <v>0</v>
      </c>
      <c r="EF15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6" s="902">
        <f>VLOOKUP(WWWW[[#This Row],[Site Name]],SiteDB6[[Site Name]:[CCCM Management]],6,FALSE)</f>
        <v>0</v>
      </c>
      <c r="EJ156" s="902" t="str">
        <f>VLOOKUP(WWWW[[#This Row],[Site Name]],SiteDB6[[Site Name]:[CCCM Focal Agency]],7,FALSE)</f>
        <v>uncovered</v>
      </c>
      <c r="EK156" s="902" t="str">
        <f>VLOOKUP(WWWW[[#This Row],[Site Name]],SiteDB6[[Site Name]:[Location Type 1]],9,FALSE)</f>
        <v>Camp</v>
      </c>
      <c r="EL156" s="902" t="str">
        <f>VLOOKUP(WWWW[[#This Row],[Site Name]],SiteDB6[[Site Name]:[Type of Accommodation]],10,FALSE)</f>
        <v>Camp like setting</v>
      </c>
      <c r="EM156" s="902" t="str">
        <f>VLOOKUP(WWWW[[#This Row],[Site Name]],SiteDB6[[Site Name]:[Ethnic or GCA/NGCA]],11,FALSE)</f>
        <v>GCA</v>
      </c>
      <c r="EN156" s="902">
        <f>VLOOKUP(WWWW[[#This Row],[Site Name]],SiteDB6[[Site Name]:[Lat]],12,FALSE)</f>
        <v>25.391428000000001</v>
      </c>
      <c r="EO156" s="902">
        <f>VLOOKUP(WWWW[[#This Row],[Site Name]],SiteDB6[[Site Name]:[Long]],13,FALSE)</f>
        <v>97.898184999999998</v>
      </c>
      <c r="EP156" s="902" t="str">
        <f>VLOOKUP(WWWW[[#This Row],[Site Name]],SiteDB6[[Site Name]:[Pcode]],3,FALSE)</f>
        <v>MMR001CMP258</v>
      </c>
      <c r="EQ156" s="907" t="str">
        <f t="shared" si="2"/>
        <v>Notcovered</v>
      </c>
      <c r="ER156" s="907"/>
      <c r="ES156" s="907"/>
      <c r="ET156" s="902">
        <f>VLOOKUP(WWWW[[#This Row],[Site Name]],SiteDB6[[Site Name]:[Pop
(Kachin/Shan-CCCM as of May 2023)]],16,FALSE)</f>
        <v>17</v>
      </c>
      <c r="EU156" s="902">
        <f>VLOOKUP(WWWW[[#This Row],[Site Name]],SiteDB6[[Site Name]:[Pop
(Kachin/Shan-CCCM as of May 2023)]],17,FALSE)</f>
        <v>107</v>
      </c>
    </row>
    <row r="157" spans="1:151" hidden="1">
      <c r="A157" s="900" t="s">
        <v>2961</v>
      </c>
      <c r="B157" s="900" t="s">
        <v>309</v>
      </c>
      <c r="C157" s="901" t="s">
        <v>309</v>
      </c>
      <c r="D157" s="901"/>
      <c r="E157" s="901" t="s">
        <v>37</v>
      </c>
      <c r="F157" s="901" t="s">
        <v>142</v>
      </c>
      <c r="G157" s="902" t="str">
        <f>VLOOKUP(WWWW[[#This Row],[Site Name]],SiteDB6[[Site Name]:[Location Type]],8,FALSE)</f>
        <v>Camp</v>
      </c>
      <c r="H157" s="901" t="s">
        <v>2993</v>
      </c>
      <c r="I157" s="903">
        <v>52</v>
      </c>
      <c r="J157" s="903">
        <v>318</v>
      </c>
      <c r="K157" s="904"/>
      <c r="L157" s="905"/>
      <c r="M157" s="903"/>
      <c r="N157" s="903"/>
      <c r="O157" s="903"/>
      <c r="P157" s="903"/>
      <c r="Q157" s="906"/>
      <c r="R157" s="903"/>
      <c r="S157" s="903"/>
      <c r="T157" s="441"/>
      <c r="U157" s="903"/>
      <c r="V157" s="903"/>
      <c r="W157" s="903"/>
      <c r="X157" s="903"/>
      <c r="Y157" s="903"/>
      <c r="Z157" s="903"/>
      <c r="AA157" s="903"/>
      <c r="AB157" s="903"/>
      <c r="AC157" s="903"/>
      <c r="AD157" s="903"/>
      <c r="AE157" s="903"/>
      <c r="AF157" s="903"/>
      <c r="AG157" s="903"/>
      <c r="AH157" s="903"/>
      <c r="AI157" s="903"/>
      <c r="AJ157" s="903"/>
      <c r="AK157" s="903"/>
      <c r="AL157" s="903"/>
      <c r="AM157" s="903"/>
      <c r="AN157" s="903"/>
      <c r="AO157" s="441"/>
      <c r="AP157" s="907"/>
      <c r="AQ157" s="903"/>
      <c r="AR157" s="903"/>
      <c r="AS157" s="908"/>
      <c r="AT157" s="903"/>
      <c r="AU157" s="903"/>
      <c r="AV157" s="903"/>
      <c r="AW157" s="903"/>
      <c r="AX157" s="903"/>
      <c r="AY157" s="902"/>
      <c r="AZ157" s="907"/>
      <c r="BA157" s="903"/>
      <c r="BB157" s="903"/>
      <c r="BC157" s="903"/>
      <c r="BD157" s="441"/>
      <c r="BE157" s="441"/>
      <c r="BF157" s="902"/>
      <c r="BG157" s="903"/>
      <c r="BH157" s="903"/>
      <c r="BI157" s="903"/>
      <c r="BJ157" s="903"/>
      <c r="BK157" s="903"/>
      <c r="BL157" s="903"/>
      <c r="BM157" s="903"/>
      <c r="BN157" s="903"/>
      <c r="BO157" s="903"/>
      <c r="BP157" s="902"/>
      <c r="BQ157" s="909"/>
      <c r="BR157" s="908"/>
      <c r="BS157" s="902"/>
      <c r="BT157" s="416"/>
      <c r="BU157" s="416"/>
      <c r="BV157" s="418"/>
      <c r="BW157" s="416"/>
      <c r="BX157" s="441"/>
      <c r="BY157" s="441"/>
      <c r="BZ157" s="441"/>
      <c r="CA157" s="441"/>
      <c r="CB157" s="441"/>
      <c r="CC157" s="693"/>
      <c r="CD157" s="441"/>
      <c r="CE157" s="910" t="str">
        <f>IFERROR(WWWW[[#This Row],['#_Water sources passed]]/WWWW[[#This Row],['#_Water sources tested for fecal coliform ]],"no test")</f>
        <v>no test</v>
      </c>
      <c r="CF157" s="908" t="str">
        <f>IFERROR(WWWW[[#This Row],['#_Household passed]]/WWWW[[#This Row],['#_Household water samples tested for fecal coliform]],"no test")</f>
        <v>no test</v>
      </c>
      <c r="CG157" s="909" t="str">
        <f>IF(AND(WWWW[[#This Row],[% of water sources passed]]="no test",WWWW[[#This Row],[% Household passed]]="no test"),"No Test","Tested")</f>
        <v>No Test</v>
      </c>
      <c r="CH157" s="909">
        <f>WWWW[[#This Row],['#_Constructed/existing protected hand dug well]]-WWWW[[#This Row],['#_Non-functional protected hand dug well]]</f>
        <v>0</v>
      </c>
      <c r="CI157" s="909">
        <f>(WWWW[[#This Row],['#_Constructed/Existing tube wells/boreholes/handpumps_WASH_agency]]+WWWW[[#This Row],['#_Non-Cluster partner water tube-wells/boreholes/handpumps]])-WWWW[[#This Row],['#_Non-functional tube wells/boreholes/handpumps]]</f>
        <v>0</v>
      </c>
      <c r="CJ157" s="909">
        <f>WWWW[[#This Row],['#_Constructed/Existingwater storage tank with gravity fed reticulation system]]-WWWW[[#This Row],['#_Non-functional storage tank gravity fed reticulation system]]</f>
        <v>0</v>
      </c>
      <c r="CK157" s="909">
        <f>(WWWW[[#This Row],['#_Water_Liters_supplied_by_Water boating or water trucking]]/90)/15</f>
        <v>0</v>
      </c>
      <c r="CL157" s="909">
        <f>WWWW[[#This Row],['#_Water_Liters_from_Constructed/Existing water distribution system from river or natural spring]]/90/15</f>
        <v>0</v>
      </c>
      <c r="CM157" s="417">
        <f>IF(WWWW[[#This Row],['#_of water points in TLS/CFS]]*500&gt;WWWW[[#This Row],[Total PoP ]],WWWW[[#This Row],[Total PoP ]],WWWW[[#This Row],['#_of water points in TLS/CFS]]*500)</f>
        <v>0</v>
      </c>
      <c r="CN157" s="417">
        <f>IF(WWWW[[#This Row],['#_of water points in THF]]*500&gt;WWWW[[#This Row],[Total PoP ]],WWWW[[#This Row],[Total PoP ]],WWWW[[#This Row],['#_of water points in THF]]*500)</f>
        <v>0</v>
      </c>
      <c r="CO157" s="417"/>
      <c r="CP157"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57"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57" s="908">
        <f>IF(WWWW[[#This Row],[Location Type 1]]="Village",WWWW[[#This Row],[Access to safe drinking water for Village]],WWWW[[#This Row],[Access to safe drinking water for Camp]])</f>
        <v>0</v>
      </c>
      <c r="CS157" s="906">
        <f>WWWW[[#This Row],[%Equitable and continuous access to sufficient quantity of safe drinking water]]*WWWW[[#This Row],[Total PoP ]]</f>
        <v>0</v>
      </c>
      <c r="CT157" s="908">
        <f>IF((WWWW[[#This Row],['#_Constructed/Existing protected/fenced ponds]]*250)/WWWW[[#This Row],[Total PoP ]]&gt;1,1,(WWWW[[#This Row],['#_Constructed/Existing protected/fenced ponds]]*250)/WWWW[[#This Row],[Total PoP ]])</f>
        <v>0</v>
      </c>
      <c r="CU157" s="906">
        <f>WWWW[[#This Row],[% Access to unimproved water points]]*WWWW[[#This Row],[Total PoP ]]</f>
        <v>0</v>
      </c>
      <c r="CV157"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57"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57" s="906">
        <f>WWWW[[#This Row],[HRP1]]/500</f>
        <v>0</v>
      </c>
      <c r="CY157" s="911">
        <f>1-WWWW[[#This Row],[% Equitable and continuous access to sufficient quantity of domestic water]]</f>
        <v>1</v>
      </c>
      <c r="CZ157" s="906">
        <f>WWWW[[#This Row],[%equitable and continuous access to sufficient quantity of safe drinking and domestic water''s GAP]]*WWWW[[#This Row],[Total PoP ]]</f>
        <v>318</v>
      </c>
      <c r="DA157" s="909">
        <f>IF(WWWW[[#This Row],[Total required water points]]-WWWW[[#This Row],['#Water points coverage]]&lt;0,0,WWWW[[#This Row],[Total required water points]]-WWWW[[#This Row],['#Water points coverage]])</f>
        <v>1</v>
      </c>
      <c r="DB157" s="909">
        <f>ROUND(IF(WWWW[[#This Row],[Total PoP ]]&lt;500,1,WWWW[[#This Row],[Total PoP ]]/500),0)</f>
        <v>1</v>
      </c>
      <c r="DC157" s="909">
        <f>(WWWW[[#This Row],['#_Constructed latrines_by_WASHAgencies]]+WWWW[[#This Row],['#_Non Cluster partner latrines]])-WWWW[[#This Row],['#_Non-functional latrines]]</f>
        <v>0</v>
      </c>
      <c r="DD157" s="615">
        <f>WWWW[[#This Row],[HRP2]]/WWWW[[#This Row],[Total PoP ]]</f>
        <v>0</v>
      </c>
      <c r="DE157"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57"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7"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7" s="417">
        <f>IF(WWWW[[#This Row],['# of functional latrines in THF supported by WASH partners during the reporting period2]]="",0,WWWW[[#This Row],['# of functional latrines in THF supported by WASH partners during the reporting period2]]*50)</f>
        <v>0</v>
      </c>
      <c r="DI157" s="909">
        <f>ROUND(IF(WWWW[[#This Row],[Location Type 1]]="camp",WWWW[[#This Row],[Total PoP ]]/20,IF(WWWW[[#This Row],[Location Type 1]]="Temporary Location",WWWW[[#This Row],[Total PoP ]]/50,(WWWW[[#This Row],[Total PoP ]]/6))),0)</f>
        <v>16</v>
      </c>
      <c r="DJ157" s="909">
        <f>IF(WWWW[[#This Row],[Total required Latrines]]-(WWWW[[#This Row],['#_Constructed latrines_by_WASHAgencies]]+WWWW[[#This Row],['#_Non Cluster partner latrines]])&lt;0,0,WWWW[[#This Row],[Total required Latrines]]-(WWWW[[#This Row],['#_Constructed latrines_by_WASHAgencies]]+WWWW[[#This Row],['#_Non Cluster partner latrines]]))</f>
        <v>16</v>
      </c>
      <c r="DK157" s="911">
        <f>1-WWWW[[#This Row],[% people access to functioning Latrine]]</f>
        <v>1</v>
      </c>
      <c r="DL157" s="910">
        <f>IF(OR(WWWW[[#This Row],['#_Non-functional latrines]]="",WWWW[[#This Row],['#_Non-functional latrines]]=0),0,WWWW[[#This Row],['#_Non-functional latrines]]/(WWWW[[#This Row],['#_Constructed latrines_by_WASHAgencies]]+WWWW[[#This Row],['#_Non Cluster partner latrines]]))</f>
        <v>0</v>
      </c>
      <c r="DM157" s="906">
        <f>IF(500*(WWWW[[#This Row],['#_male hygiene promoters]]+WWWW[[#This Row],['#_female hygiene promoters]])&gt;WWWW[[#This Row],[Total PoP ]],WWWW[[#This Row],[Total PoP ]],500*(WWWW[[#This Row],['#_male hygiene promoters]]+WWWW[[#This Row],['#_female hygiene promoters]]))</f>
        <v>0</v>
      </c>
      <c r="DN157"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7"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7" s="909">
        <f>IF(WWWW[[#This Row],['# People with access to soap]]&gt;WWWW[[#This Row],['# People with access to Sanity Pads]],WWWW[[#This Row],['# People with access to soap]],WWWW[[#This Row],['# People with access to Sanity Pads]])</f>
        <v>0</v>
      </c>
      <c r="DQ157"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57" s="911">
        <f>IF(WWWW[[#This Row],[HRP3]]/WWWW[[#This Row],[Total PoP ]]&gt;1,1,WWWW[[#This Row],[HRP3]]/WWWW[[#This Row],[Total PoP ]])</f>
        <v>0</v>
      </c>
      <c r="DS157" s="910">
        <f>1-WWWW[[#This Row],[Hygiene Coverage%]]</f>
        <v>1</v>
      </c>
      <c r="DT157" s="908">
        <f>WWWW[[#This Row],['# people reached by regular dedicated hygiene promotion_5]]/WWWW[[#This Row],[Total PoP ]]</f>
        <v>0</v>
      </c>
      <c r="DU157"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7"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7" s="909">
        <f>WWWW[[#This Row],['#_Constructed/Existing hand washing stations]]-WWWW[[#This Row],['#_Non-Functional_hand_washing_stations]]</f>
        <v>0</v>
      </c>
      <c r="DX157" s="906">
        <f>IF(WWWW[[#This Row],['# Functional hand washing stations during reporting period]]*20&gt;WWWW[[#This Row],[Total HH]],WWWW[[#This Row],[Total HH]],WWWW[[#This Row],['# Functional hand washing stations during reporting period]]*20)</f>
        <v>0</v>
      </c>
      <c r="DY157" s="906">
        <f>IF(WWWW[[#This Row],[Is sufficient soap available for TLS? (Yes/No)]]="yes",WWWW[[#This Row],['#_Constructed/Existing hand washing stations at TLS/CFS/THF]],0)</f>
        <v>0</v>
      </c>
      <c r="DZ157" s="421">
        <f>IF(WWWW[[#This Row],['# Functional hand washing stations during reporting period]]*100&gt;WWWW[[#This Row],[Total PoP ]],WWWW[[#This Row],[Total PoP ]],WWWW[[#This Row],['# Functional hand washing stations during reporting period]]*100)</f>
        <v>0</v>
      </c>
      <c r="EA157" s="421" t="str">
        <f>IF(OR(WWWW[[#This Row],['#_students at TLS_CFS]]="",WWWW[[#This Row],['#_students at TLS_CFS]]=0),"No","Yes")</f>
        <v>No</v>
      </c>
      <c r="EB15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7" s="566">
        <f>WWWW[[#This Row],[%_of_affected_people_surveyed_who_report_feeling_satistfied_with_the_latrine_design_and_sanitation_service]]*WWWW[[#This Row],[Total PoP ]]</f>
        <v>0</v>
      </c>
      <c r="ED157" s="566">
        <f>WWWW[[#This Row],[%_of_affected_people_surveyed_who_report_feeling_satistfied_with_the_water_point_design_and_water_service]]*WWWW[[#This Row],[Total PoP ]]</f>
        <v>0</v>
      </c>
      <c r="EE157" s="566">
        <f>WWWW[[#This Row],[%_of_complaints_received_that_result_in_timely_corrective_action_and_feedback_to_the_community]]*WWWW[[#This Row],[Total PoP ]]</f>
        <v>0</v>
      </c>
      <c r="EF15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7" s="902">
        <f>VLOOKUP(WWWW[[#This Row],[Site Name]],SiteDB6[[Site Name]:[CCCM Management]],6,FALSE)</f>
        <v>0</v>
      </c>
      <c r="EJ157" s="902" t="str">
        <f>VLOOKUP(WWWW[[#This Row],[Site Name]],SiteDB6[[Site Name]:[CCCM Focal Agency]],7,FALSE)</f>
        <v>KBC-MYT</v>
      </c>
      <c r="EK157" s="902" t="str">
        <f>VLOOKUP(WWWW[[#This Row],[Site Name]],SiteDB6[[Site Name]:[Location Type 1]],9,FALSE)</f>
        <v>Camp</v>
      </c>
      <c r="EL157" s="902" t="str">
        <f>VLOOKUP(WWWW[[#This Row],[Site Name]],SiteDB6[[Site Name]:[Type of Accommodation]],10,FALSE)</f>
        <v>Camp like setting</v>
      </c>
      <c r="EM157" s="902" t="str">
        <f>VLOOKUP(WWWW[[#This Row],[Site Name]],SiteDB6[[Site Name]:[Ethnic or GCA/NGCA]],11,FALSE)</f>
        <v>GCA</v>
      </c>
      <c r="EN157" s="902">
        <f>VLOOKUP(WWWW[[#This Row],[Site Name]],SiteDB6[[Site Name]:[Lat]],12,FALSE)</f>
        <v>0</v>
      </c>
      <c r="EO157" s="902">
        <f>VLOOKUP(WWWW[[#This Row],[Site Name]],SiteDB6[[Site Name]:[Long]],13,FALSE)</f>
        <v>0</v>
      </c>
      <c r="EP157" s="902" t="str">
        <f>VLOOKUP(WWWW[[#This Row],[Site Name]],SiteDB6[[Site Name]:[Pcode]],3,FALSE)</f>
        <v>MMR001CMP305</v>
      </c>
      <c r="EQ157" s="907" t="str">
        <f t="shared" si="2"/>
        <v>Notcovered</v>
      </c>
      <c r="ER157" s="907"/>
      <c r="ES157" s="907"/>
      <c r="ET157" s="902">
        <f>VLOOKUP(WWWW[[#This Row],[Site Name]],SiteDB6[[Site Name]:[Pop
(Kachin/Shan-CCCM as of May 2023)]],16,FALSE)</f>
        <v>52</v>
      </c>
      <c r="EU157" s="902">
        <f>VLOOKUP(WWWW[[#This Row],[Site Name]],SiteDB6[[Site Name]:[Pop
(Kachin/Shan-CCCM as of May 2023)]],17,FALSE)</f>
        <v>318</v>
      </c>
    </row>
    <row r="158" spans="1:151" hidden="1">
      <c r="A158" s="900" t="s">
        <v>2961</v>
      </c>
      <c r="B158" s="900" t="s">
        <v>309</v>
      </c>
      <c r="C158" s="901" t="s">
        <v>309</v>
      </c>
      <c r="D158" s="901"/>
      <c r="E158" s="901" t="s">
        <v>37</v>
      </c>
      <c r="F158" s="901" t="s">
        <v>142</v>
      </c>
      <c r="G158" s="902" t="str">
        <f>VLOOKUP(WWWW[[#This Row],[Site Name]],SiteDB6[[Site Name]:[Location Type]],8,FALSE)</f>
        <v>Camp</v>
      </c>
      <c r="H158" s="901" t="s">
        <v>2990</v>
      </c>
      <c r="I158" s="903">
        <v>33</v>
      </c>
      <c r="J158" s="903">
        <v>178</v>
      </c>
      <c r="K158" s="904"/>
      <c r="L158" s="905"/>
      <c r="M158" s="903"/>
      <c r="N158" s="903"/>
      <c r="O158" s="903"/>
      <c r="P158" s="903"/>
      <c r="Q158" s="906"/>
      <c r="R158" s="903"/>
      <c r="S158" s="903"/>
      <c r="T158" s="441"/>
      <c r="U158" s="903"/>
      <c r="V158" s="903"/>
      <c r="W158" s="903"/>
      <c r="X158" s="903"/>
      <c r="Y158" s="903"/>
      <c r="Z158" s="903"/>
      <c r="AA158" s="903"/>
      <c r="AB158" s="903"/>
      <c r="AC158" s="903"/>
      <c r="AD158" s="903"/>
      <c r="AE158" s="903"/>
      <c r="AF158" s="903"/>
      <c r="AG158" s="903"/>
      <c r="AH158" s="903"/>
      <c r="AI158" s="903"/>
      <c r="AJ158" s="903"/>
      <c r="AK158" s="903"/>
      <c r="AL158" s="903"/>
      <c r="AM158" s="903"/>
      <c r="AN158" s="903"/>
      <c r="AO158" s="441"/>
      <c r="AP158" s="907"/>
      <c r="AQ158" s="903"/>
      <c r="AR158" s="903"/>
      <c r="AS158" s="908"/>
      <c r="AT158" s="903"/>
      <c r="AU158" s="903"/>
      <c r="AV158" s="903"/>
      <c r="AW158" s="903"/>
      <c r="AX158" s="903"/>
      <c r="AY158" s="902"/>
      <c r="AZ158" s="907"/>
      <c r="BA158" s="903"/>
      <c r="BB158" s="903"/>
      <c r="BC158" s="903"/>
      <c r="BD158" s="441"/>
      <c r="BE158" s="441"/>
      <c r="BF158" s="902"/>
      <c r="BG158" s="903"/>
      <c r="BH158" s="903"/>
      <c r="BI158" s="903"/>
      <c r="BJ158" s="903"/>
      <c r="BK158" s="903"/>
      <c r="BL158" s="903"/>
      <c r="BM158" s="903"/>
      <c r="BN158" s="903"/>
      <c r="BO158" s="903"/>
      <c r="BP158" s="902"/>
      <c r="BQ158" s="909"/>
      <c r="BR158" s="908"/>
      <c r="BS158" s="902"/>
      <c r="BT158" s="416"/>
      <c r="BU158" s="416"/>
      <c r="BV158" s="418"/>
      <c r="BW158" s="416"/>
      <c r="BX158" s="441"/>
      <c r="BY158" s="441"/>
      <c r="BZ158" s="441"/>
      <c r="CA158" s="441"/>
      <c r="CB158" s="441"/>
      <c r="CC158" s="693"/>
      <c r="CD158" s="441"/>
      <c r="CE158" s="910" t="str">
        <f>IFERROR(WWWW[[#This Row],['#_Water sources passed]]/WWWW[[#This Row],['#_Water sources tested for fecal coliform ]],"no test")</f>
        <v>no test</v>
      </c>
      <c r="CF158" s="908" t="str">
        <f>IFERROR(WWWW[[#This Row],['#_Household passed]]/WWWW[[#This Row],['#_Household water samples tested for fecal coliform]],"no test")</f>
        <v>no test</v>
      </c>
      <c r="CG158" s="909" t="str">
        <f>IF(AND(WWWW[[#This Row],[% of water sources passed]]="no test",WWWW[[#This Row],[% Household passed]]="no test"),"No Test","Tested")</f>
        <v>No Test</v>
      </c>
      <c r="CH158" s="909">
        <f>WWWW[[#This Row],['#_Constructed/existing protected hand dug well]]-WWWW[[#This Row],['#_Non-functional protected hand dug well]]</f>
        <v>0</v>
      </c>
      <c r="CI158" s="909">
        <f>(WWWW[[#This Row],['#_Constructed/Existing tube wells/boreholes/handpumps_WASH_agency]]+WWWW[[#This Row],['#_Non-Cluster partner water tube-wells/boreholes/handpumps]])-WWWW[[#This Row],['#_Non-functional tube wells/boreholes/handpumps]]</f>
        <v>0</v>
      </c>
      <c r="CJ158" s="909">
        <f>WWWW[[#This Row],['#_Constructed/Existingwater storage tank with gravity fed reticulation system]]-WWWW[[#This Row],['#_Non-functional storage tank gravity fed reticulation system]]</f>
        <v>0</v>
      </c>
      <c r="CK158" s="909">
        <f>(WWWW[[#This Row],['#_Water_Liters_supplied_by_Water boating or water trucking]]/90)/15</f>
        <v>0</v>
      </c>
      <c r="CL158" s="909">
        <f>WWWW[[#This Row],['#_Water_Liters_from_Constructed/Existing water distribution system from river or natural spring]]/90/15</f>
        <v>0</v>
      </c>
      <c r="CM158" s="417">
        <f>IF(WWWW[[#This Row],['#_of water points in TLS/CFS]]*500&gt;WWWW[[#This Row],[Total PoP ]],WWWW[[#This Row],[Total PoP ]],WWWW[[#This Row],['#_of water points in TLS/CFS]]*500)</f>
        <v>0</v>
      </c>
      <c r="CN158" s="417">
        <f>IF(WWWW[[#This Row],['#_of water points in THF]]*500&gt;WWWW[[#This Row],[Total PoP ]],WWWW[[#This Row],[Total PoP ]],WWWW[[#This Row],['#_of water points in THF]]*500)</f>
        <v>0</v>
      </c>
      <c r="CO158" s="417"/>
      <c r="CP158"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58"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58" s="908">
        <f>IF(WWWW[[#This Row],[Location Type 1]]="Village",WWWW[[#This Row],[Access to safe drinking water for Village]],WWWW[[#This Row],[Access to safe drinking water for Camp]])</f>
        <v>0</v>
      </c>
      <c r="CS158" s="906">
        <f>WWWW[[#This Row],[%Equitable and continuous access to sufficient quantity of safe drinking water]]*WWWW[[#This Row],[Total PoP ]]</f>
        <v>0</v>
      </c>
      <c r="CT158" s="908">
        <f>IF((WWWW[[#This Row],['#_Constructed/Existing protected/fenced ponds]]*250)/WWWW[[#This Row],[Total PoP ]]&gt;1,1,(WWWW[[#This Row],['#_Constructed/Existing protected/fenced ponds]]*250)/WWWW[[#This Row],[Total PoP ]])</f>
        <v>0</v>
      </c>
      <c r="CU158" s="906">
        <f>WWWW[[#This Row],[% Access to unimproved water points]]*WWWW[[#This Row],[Total PoP ]]</f>
        <v>0</v>
      </c>
      <c r="CV158"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58"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58" s="906">
        <f>WWWW[[#This Row],[HRP1]]/500</f>
        <v>0</v>
      </c>
      <c r="CY158" s="911">
        <f>1-WWWW[[#This Row],[% Equitable and continuous access to sufficient quantity of domestic water]]</f>
        <v>1</v>
      </c>
      <c r="CZ158" s="906">
        <f>WWWW[[#This Row],[%equitable and continuous access to sufficient quantity of safe drinking and domestic water''s GAP]]*WWWW[[#This Row],[Total PoP ]]</f>
        <v>178</v>
      </c>
      <c r="DA158" s="909">
        <f>IF(WWWW[[#This Row],[Total required water points]]-WWWW[[#This Row],['#Water points coverage]]&lt;0,0,WWWW[[#This Row],[Total required water points]]-WWWW[[#This Row],['#Water points coverage]])</f>
        <v>1</v>
      </c>
      <c r="DB158" s="909">
        <f>ROUND(IF(WWWW[[#This Row],[Total PoP ]]&lt;500,1,WWWW[[#This Row],[Total PoP ]]/500),0)</f>
        <v>1</v>
      </c>
      <c r="DC158" s="909">
        <f>(WWWW[[#This Row],['#_Constructed latrines_by_WASHAgencies]]+WWWW[[#This Row],['#_Non Cluster partner latrines]])-WWWW[[#This Row],['#_Non-functional latrines]]</f>
        <v>0</v>
      </c>
      <c r="DD158" s="615">
        <f>WWWW[[#This Row],[HRP2]]/WWWW[[#This Row],[Total PoP ]]</f>
        <v>0</v>
      </c>
      <c r="DE158"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58"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8"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8" s="417">
        <f>IF(WWWW[[#This Row],['# of functional latrines in THF supported by WASH partners during the reporting period2]]="",0,WWWW[[#This Row],['# of functional latrines in THF supported by WASH partners during the reporting period2]]*50)</f>
        <v>0</v>
      </c>
      <c r="DI158" s="909">
        <f>ROUND(IF(WWWW[[#This Row],[Location Type 1]]="camp",WWWW[[#This Row],[Total PoP ]]/20,IF(WWWW[[#This Row],[Location Type 1]]="Temporary Location",WWWW[[#This Row],[Total PoP ]]/50,(WWWW[[#This Row],[Total PoP ]]/6))),0)</f>
        <v>9</v>
      </c>
      <c r="DJ158" s="909">
        <f>IF(WWWW[[#This Row],[Total required Latrines]]-(WWWW[[#This Row],['#_Constructed latrines_by_WASHAgencies]]+WWWW[[#This Row],['#_Non Cluster partner latrines]])&lt;0,0,WWWW[[#This Row],[Total required Latrines]]-(WWWW[[#This Row],['#_Constructed latrines_by_WASHAgencies]]+WWWW[[#This Row],['#_Non Cluster partner latrines]]))</f>
        <v>9</v>
      </c>
      <c r="DK158" s="911">
        <f>1-WWWW[[#This Row],[% people access to functioning Latrine]]</f>
        <v>1</v>
      </c>
      <c r="DL158" s="910">
        <f>IF(OR(WWWW[[#This Row],['#_Non-functional latrines]]="",WWWW[[#This Row],['#_Non-functional latrines]]=0),0,WWWW[[#This Row],['#_Non-functional latrines]]/(WWWW[[#This Row],['#_Constructed latrines_by_WASHAgencies]]+WWWW[[#This Row],['#_Non Cluster partner latrines]]))</f>
        <v>0</v>
      </c>
      <c r="DM158" s="906">
        <f>IF(500*(WWWW[[#This Row],['#_male hygiene promoters]]+WWWW[[#This Row],['#_female hygiene promoters]])&gt;WWWW[[#This Row],[Total PoP ]],WWWW[[#This Row],[Total PoP ]],500*(WWWW[[#This Row],['#_male hygiene promoters]]+WWWW[[#This Row],['#_female hygiene promoters]]))</f>
        <v>0</v>
      </c>
      <c r="DN158"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8"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8" s="909">
        <f>IF(WWWW[[#This Row],['# People with access to soap]]&gt;WWWW[[#This Row],['# People with access to Sanity Pads]],WWWW[[#This Row],['# People with access to soap]],WWWW[[#This Row],['# People with access to Sanity Pads]])</f>
        <v>0</v>
      </c>
      <c r="DQ158"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58" s="911">
        <f>IF(WWWW[[#This Row],[HRP3]]/WWWW[[#This Row],[Total PoP ]]&gt;1,1,WWWW[[#This Row],[HRP3]]/WWWW[[#This Row],[Total PoP ]])</f>
        <v>0</v>
      </c>
      <c r="DS158" s="910">
        <f>1-WWWW[[#This Row],[Hygiene Coverage%]]</f>
        <v>1</v>
      </c>
      <c r="DT158" s="908">
        <f>WWWW[[#This Row],['# people reached by regular dedicated hygiene promotion_5]]/WWWW[[#This Row],[Total PoP ]]</f>
        <v>0</v>
      </c>
      <c r="DU158"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8"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8" s="909">
        <f>WWWW[[#This Row],['#_Constructed/Existing hand washing stations]]-WWWW[[#This Row],['#_Non-Functional_hand_washing_stations]]</f>
        <v>0</v>
      </c>
      <c r="DX158" s="906">
        <f>IF(WWWW[[#This Row],['# Functional hand washing stations during reporting period]]*20&gt;WWWW[[#This Row],[Total HH]],WWWW[[#This Row],[Total HH]],WWWW[[#This Row],['# Functional hand washing stations during reporting period]]*20)</f>
        <v>0</v>
      </c>
      <c r="DY158" s="906">
        <f>IF(WWWW[[#This Row],[Is sufficient soap available for TLS? (Yes/No)]]="yes",WWWW[[#This Row],['#_Constructed/Existing hand washing stations at TLS/CFS/THF]],0)</f>
        <v>0</v>
      </c>
      <c r="DZ158" s="421">
        <f>IF(WWWW[[#This Row],['# Functional hand washing stations during reporting period]]*100&gt;WWWW[[#This Row],[Total PoP ]],WWWW[[#This Row],[Total PoP ]],WWWW[[#This Row],['# Functional hand washing stations during reporting period]]*100)</f>
        <v>0</v>
      </c>
      <c r="EA158" s="421" t="str">
        <f>IF(OR(WWWW[[#This Row],['#_students at TLS_CFS]]="",WWWW[[#This Row],['#_students at TLS_CFS]]=0),"No","Yes")</f>
        <v>No</v>
      </c>
      <c r="EB15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8" s="566">
        <f>WWWW[[#This Row],[%_of_affected_people_surveyed_who_report_feeling_satistfied_with_the_latrine_design_and_sanitation_service]]*WWWW[[#This Row],[Total PoP ]]</f>
        <v>0</v>
      </c>
      <c r="ED158" s="566">
        <f>WWWW[[#This Row],[%_of_affected_people_surveyed_who_report_feeling_satistfied_with_the_water_point_design_and_water_service]]*WWWW[[#This Row],[Total PoP ]]</f>
        <v>0</v>
      </c>
      <c r="EE158" s="566">
        <f>WWWW[[#This Row],[%_of_complaints_received_that_result_in_timely_corrective_action_and_feedback_to_the_community]]*WWWW[[#This Row],[Total PoP ]]</f>
        <v>0</v>
      </c>
      <c r="EF15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8" s="902">
        <f>VLOOKUP(WWWW[[#This Row],[Site Name]],SiteDB6[[Site Name]:[CCCM Management]],6,FALSE)</f>
        <v>0</v>
      </c>
      <c r="EJ158" s="902" t="str">
        <f>VLOOKUP(WWWW[[#This Row],[Site Name]],SiteDB6[[Site Name]:[CCCM Focal Agency]],7,FALSE)</f>
        <v>DFSS</v>
      </c>
      <c r="EK158" s="902" t="str">
        <f>VLOOKUP(WWWW[[#This Row],[Site Name]],SiteDB6[[Site Name]:[Location Type 1]],9,FALSE)</f>
        <v>Camp</v>
      </c>
      <c r="EL158" s="902" t="str">
        <f>VLOOKUP(WWWW[[#This Row],[Site Name]],SiteDB6[[Site Name]:[Type of Accommodation]],10,FALSE)</f>
        <v>Camp like setting</v>
      </c>
      <c r="EM158" s="902" t="str">
        <f>VLOOKUP(WWWW[[#This Row],[Site Name]],SiteDB6[[Site Name]:[Ethnic or GCA/NGCA]],11,FALSE)</f>
        <v>GCA</v>
      </c>
      <c r="EN158" s="902">
        <f>VLOOKUP(WWWW[[#This Row],[Site Name]],SiteDB6[[Site Name]:[Lat]],12,FALSE)</f>
        <v>0</v>
      </c>
      <c r="EO158" s="902">
        <f>VLOOKUP(WWWW[[#This Row],[Site Name]],SiteDB6[[Site Name]:[Long]],13,FALSE)</f>
        <v>0</v>
      </c>
      <c r="EP158" s="902" t="str">
        <f>VLOOKUP(WWWW[[#This Row],[Site Name]],SiteDB6[[Site Name]:[Pcode]],3,FALSE)</f>
        <v>MMR001CMP302</v>
      </c>
      <c r="EQ158" s="907" t="str">
        <f t="shared" si="2"/>
        <v>Notcovered</v>
      </c>
      <c r="ER158" s="907"/>
      <c r="ES158" s="907"/>
      <c r="ET158" s="902">
        <f>VLOOKUP(WWWW[[#This Row],[Site Name]],SiteDB6[[Site Name]:[Pop
(Kachin/Shan-CCCM as of May 2023)]],16,FALSE)</f>
        <v>30</v>
      </c>
      <c r="EU158" s="902">
        <f>VLOOKUP(WWWW[[#This Row],[Site Name]],SiteDB6[[Site Name]:[Pop
(Kachin/Shan-CCCM as of May 2023)]],17,FALSE)</f>
        <v>160</v>
      </c>
    </row>
    <row r="159" spans="1:151" hidden="1">
      <c r="A159" s="900" t="s">
        <v>2961</v>
      </c>
      <c r="B159" s="900" t="s">
        <v>309</v>
      </c>
      <c r="C159" s="901" t="s">
        <v>309</v>
      </c>
      <c r="D159" s="901"/>
      <c r="E159" s="901" t="s">
        <v>37</v>
      </c>
      <c r="F159" s="901" t="s">
        <v>142</v>
      </c>
      <c r="G159" s="902" t="str">
        <f>VLOOKUP(WWWW[[#This Row],[Site Name]],SiteDB6[[Site Name]:[Location Type]],8,FALSE)</f>
        <v>Camp</v>
      </c>
      <c r="H159" s="901" t="s">
        <v>2978</v>
      </c>
      <c r="I159" s="903">
        <v>30</v>
      </c>
      <c r="J159" s="903">
        <v>157</v>
      </c>
      <c r="K159" s="904"/>
      <c r="L159" s="905"/>
      <c r="M159" s="903"/>
      <c r="N159" s="903"/>
      <c r="O159" s="903"/>
      <c r="P159" s="903"/>
      <c r="Q159" s="906"/>
      <c r="R159" s="903"/>
      <c r="S159" s="903"/>
      <c r="T159" s="441"/>
      <c r="U159" s="903"/>
      <c r="V159" s="903"/>
      <c r="W159" s="903"/>
      <c r="X159" s="903"/>
      <c r="Y159" s="903"/>
      <c r="Z159" s="903"/>
      <c r="AA159" s="903"/>
      <c r="AB159" s="903"/>
      <c r="AC159" s="903"/>
      <c r="AD159" s="903"/>
      <c r="AE159" s="903"/>
      <c r="AF159" s="903"/>
      <c r="AG159" s="903"/>
      <c r="AH159" s="903"/>
      <c r="AI159" s="903"/>
      <c r="AJ159" s="903"/>
      <c r="AK159" s="903"/>
      <c r="AL159" s="903"/>
      <c r="AM159" s="903"/>
      <c r="AN159" s="903"/>
      <c r="AO159" s="441"/>
      <c r="AP159" s="907"/>
      <c r="AQ159" s="903"/>
      <c r="AR159" s="903"/>
      <c r="AS159" s="908"/>
      <c r="AT159" s="903"/>
      <c r="AU159" s="903"/>
      <c r="AV159" s="903"/>
      <c r="AW159" s="903"/>
      <c r="AX159" s="903"/>
      <c r="AY159" s="902"/>
      <c r="AZ159" s="907"/>
      <c r="BA159" s="903"/>
      <c r="BB159" s="903"/>
      <c r="BC159" s="903"/>
      <c r="BD159" s="441"/>
      <c r="BE159" s="441"/>
      <c r="BF159" s="902"/>
      <c r="BG159" s="903"/>
      <c r="BH159" s="903"/>
      <c r="BI159" s="903"/>
      <c r="BJ159" s="903"/>
      <c r="BK159" s="903"/>
      <c r="BL159" s="903"/>
      <c r="BM159" s="903"/>
      <c r="BN159" s="903"/>
      <c r="BO159" s="903"/>
      <c r="BP159" s="902"/>
      <c r="BQ159" s="909"/>
      <c r="BR159" s="908"/>
      <c r="BS159" s="902"/>
      <c r="BT159" s="416"/>
      <c r="BU159" s="416"/>
      <c r="BV159" s="418"/>
      <c r="BW159" s="416"/>
      <c r="BX159" s="441"/>
      <c r="BY159" s="441"/>
      <c r="BZ159" s="441"/>
      <c r="CA159" s="441"/>
      <c r="CB159" s="441"/>
      <c r="CC159" s="693"/>
      <c r="CD159" s="441"/>
      <c r="CE159" s="910" t="str">
        <f>IFERROR(WWWW[[#This Row],['#_Water sources passed]]/WWWW[[#This Row],['#_Water sources tested for fecal coliform ]],"no test")</f>
        <v>no test</v>
      </c>
      <c r="CF159" s="908" t="str">
        <f>IFERROR(WWWW[[#This Row],['#_Household passed]]/WWWW[[#This Row],['#_Household water samples tested for fecal coliform]],"no test")</f>
        <v>no test</v>
      </c>
      <c r="CG159" s="909" t="str">
        <f>IF(AND(WWWW[[#This Row],[% of water sources passed]]="no test",WWWW[[#This Row],[% Household passed]]="no test"),"No Test","Tested")</f>
        <v>No Test</v>
      </c>
      <c r="CH159" s="909">
        <f>WWWW[[#This Row],['#_Constructed/existing protected hand dug well]]-WWWW[[#This Row],['#_Non-functional protected hand dug well]]</f>
        <v>0</v>
      </c>
      <c r="CI159" s="909">
        <f>(WWWW[[#This Row],['#_Constructed/Existing tube wells/boreholes/handpumps_WASH_agency]]+WWWW[[#This Row],['#_Non-Cluster partner water tube-wells/boreholes/handpumps]])-WWWW[[#This Row],['#_Non-functional tube wells/boreholes/handpumps]]</f>
        <v>0</v>
      </c>
      <c r="CJ159" s="909">
        <f>WWWW[[#This Row],['#_Constructed/Existingwater storage tank with gravity fed reticulation system]]-WWWW[[#This Row],['#_Non-functional storage tank gravity fed reticulation system]]</f>
        <v>0</v>
      </c>
      <c r="CK159" s="909">
        <f>(WWWW[[#This Row],['#_Water_Liters_supplied_by_Water boating or water trucking]]/90)/15</f>
        <v>0</v>
      </c>
      <c r="CL159" s="909">
        <f>WWWW[[#This Row],['#_Water_Liters_from_Constructed/Existing water distribution system from river or natural spring]]/90/15</f>
        <v>0</v>
      </c>
      <c r="CM159" s="417">
        <f>IF(WWWW[[#This Row],['#_of water points in TLS/CFS]]*500&gt;WWWW[[#This Row],[Total PoP ]],WWWW[[#This Row],[Total PoP ]],WWWW[[#This Row],['#_of water points in TLS/CFS]]*500)</f>
        <v>0</v>
      </c>
      <c r="CN159" s="417">
        <f>IF(WWWW[[#This Row],['#_of water points in THF]]*500&gt;WWWW[[#This Row],[Total PoP ]],WWWW[[#This Row],[Total PoP ]],WWWW[[#This Row],['#_of water points in THF]]*500)</f>
        <v>0</v>
      </c>
      <c r="CO159" s="417"/>
      <c r="CP159"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59"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59" s="908">
        <f>IF(WWWW[[#This Row],[Location Type 1]]="Village",WWWW[[#This Row],[Access to safe drinking water for Village]],WWWW[[#This Row],[Access to safe drinking water for Camp]])</f>
        <v>0</v>
      </c>
      <c r="CS159" s="906">
        <f>WWWW[[#This Row],[%Equitable and continuous access to sufficient quantity of safe drinking water]]*WWWW[[#This Row],[Total PoP ]]</f>
        <v>0</v>
      </c>
      <c r="CT159" s="908">
        <f>IF((WWWW[[#This Row],['#_Constructed/Existing protected/fenced ponds]]*250)/WWWW[[#This Row],[Total PoP ]]&gt;1,1,(WWWW[[#This Row],['#_Constructed/Existing protected/fenced ponds]]*250)/WWWW[[#This Row],[Total PoP ]])</f>
        <v>0</v>
      </c>
      <c r="CU159" s="906">
        <f>WWWW[[#This Row],[% Access to unimproved water points]]*WWWW[[#This Row],[Total PoP ]]</f>
        <v>0</v>
      </c>
      <c r="CV159"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59"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59" s="906">
        <f>WWWW[[#This Row],[HRP1]]/500</f>
        <v>0</v>
      </c>
      <c r="CY159" s="911">
        <f>1-WWWW[[#This Row],[% Equitable and continuous access to sufficient quantity of domestic water]]</f>
        <v>1</v>
      </c>
      <c r="CZ159" s="906">
        <f>WWWW[[#This Row],[%equitable and continuous access to sufficient quantity of safe drinking and domestic water''s GAP]]*WWWW[[#This Row],[Total PoP ]]</f>
        <v>157</v>
      </c>
      <c r="DA159" s="909">
        <f>IF(WWWW[[#This Row],[Total required water points]]-WWWW[[#This Row],['#Water points coverage]]&lt;0,0,WWWW[[#This Row],[Total required water points]]-WWWW[[#This Row],['#Water points coverage]])</f>
        <v>1</v>
      </c>
      <c r="DB159" s="909">
        <f>ROUND(IF(WWWW[[#This Row],[Total PoP ]]&lt;500,1,WWWW[[#This Row],[Total PoP ]]/500),0)</f>
        <v>1</v>
      </c>
      <c r="DC159" s="909">
        <f>(WWWW[[#This Row],['#_Constructed latrines_by_WASHAgencies]]+WWWW[[#This Row],['#_Non Cluster partner latrines]])-WWWW[[#This Row],['#_Non-functional latrines]]</f>
        <v>0</v>
      </c>
      <c r="DD159" s="615">
        <f>WWWW[[#This Row],[HRP2]]/WWWW[[#This Row],[Total PoP ]]</f>
        <v>0</v>
      </c>
      <c r="DE159"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59"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59"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59" s="417">
        <f>IF(WWWW[[#This Row],['# of functional latrines in THF supported by WASH partners during the reporting period2]]="",0,WWWW[[#This Row],['# of functional latrines in THF supported by WASH partners during the reporting period2]]*50)</f>
        <v>0</v>
      </c>
      <c r="DI159" s="909">
        <f>ROUND(IF(WWWW[[#This Row],[Location Type 1]]="camp",WWWW[[#This Row],[Total PoP ]]/20,IF(WWWW[[#This Row],[Location Type 1]]="Temporary Location",WWWW[[#This Row],[Total PoP ]]/50,(WWWW[[#This Row],[Total PoP ]]/6))),0)</f>
        <v>8</v>
      </c>
      <c r="DJ159" s="909">
        <f>IF(WWWW[[#This Row],[Total required Latrines]]-(WWWW[[#This Row],['#_Constructed latrines_by_WASHAgencies]]+WWWW[[#This Row],['#_Non Cluster partner latrines]])&lt;0,0,WWWW[[#This Row],[Total required Latrines]]-(WWWW[[#This Row],['#_Constructed latrines_by_WASHAgencies]]+WWWW[[#This Row],['#_Non Cluster partner latrines]]))</f>
        <v>8</v>
      </c>
      <c r="DK159" s="911">
        <f>1-WWWW[[#This Row],[% people access to functioning Latrine]]</f>
        <v>1</v>
      </c>
      <c r="DL159" s="910">
        <f>IF(OR(WWWW[[#This Row],['#_Non-functional latrines]]="",WWWW[[#This Row],['#_Non-functional latrines]]=0),0,WWWW[[#This Row],['#_Non-functional latrines]]/(WWWW[[#This Row],['#_Constructed latrines_by_WASHAgencies]]+WWWW[[#This Row],['#_Non Cluster partner latrines]]))</f>
        <v>0</v>
      </c>
      <c r="DM159" s="906">
        <f>IF(500*(WWWW[[#This Row],['#_male hygiene promoters]]+WWWW[[#This Row],['#_female hygiene promoters]])&gt;WWWW[[#This Row],[Total PoP ]],WWWW[[#This Row],[Total PoP ]],500*(WWWW[[#This Row],['#_male hygiene promoters]]+WWWW[[#This Row],['#_female hygiene promoters]]))</f>
        <v>0</v>
      </c>
      <c r="DN159"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59"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59" s="909">
        <f>IF(WWWW[[#This Row],['# People with access to soap]]&gt;WWWW[[#This Row],['# People with access to Sanity Pads]],WWWW[[#This Row],['# People with access to soap]],WWWW[[#This Row],['# People with access to Sanity Pads]])</f>
        <v>0</v>
      </c>
      <c r="DQ159"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59" s="911">
        <f>IF(WWWW[[#This Row],[HRP3]]/WWWW[[#This Row],[Total PoP ]]&gt;1,1,WWWW[[#This Row],[HRP3]]/WWWW[[#This Row],[Total PoP ]])</f>
        <v>0</v>
      </c>
      <c r="DS159" s="910">
        <f>1-WWWW[[#This Row],[Hygiene Coverage%]]</f>
        <v>1</v>
      </c>
      <c r="DT159" s="908">
        <f>WWWW[[#This Row],['# people reached by regular dedicated hygiene promotion_5]]/WWWW[[#This Row],[Total PoP ]]</f>
        <v>0</v>
      </c>
      <c r="DU159"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59"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59" s="909">
        <f>WWWW[[#This Row],['#_Constructed/Existing hand washing stations]]-WWWW[[#This Row],['#_Non-Functional_hand_washing_stations]]</f>
        <v>0</v>
      </c>
      <c r="DX159" s="906">
        <f>IF(WWWW[[#This Row],['# Functional hand washing stations during reporting period]]*20&gt;WWWW[[#This Row],[Total HH]],WWWW[[#This Row],[Total HH]],WWWW[[#This Row],['# Functional hand washing stations during reporting period]]*20)</f>
        <v>0</v>
      </c>
      <c r="DY159" s="906">
        <f>IF(WWWW[[#This Row],[Is sufficient soap available for TLS? (Yes/No)]]="yes",WWWW[[#This Row],['#_Constructed/Existing hand washing stations at TLS/CFS/THF]],0)</f>
        <v>0</v>
      </c>
      <c r="DZ159" s="421">
        <f>IF(WWWW[[#This Row],['# Functional hand washing stations during reporting period]]*100&gt;WWWW[[#This Row],[Total PoP ]],WWWW[[#This Row],[Total PoP ]],WWWW[[#This Row],['# Functional hand washing stations during reporting period]]*100)</f>
        <v>0</v>
      </c>
      <c r="EA159" s="421" t="str">
        <f>IF(OR(WWWW[[#This Row],['#_students at TLS_CFS]]="",WWWW[[#This Row],['#_students at TLS_CFS]]=0),"No","Yes")</f>
        <v>No</v>
      </c>
      <c r="EB15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59" s="566">
        <f>WWWW[[#This Row],[%_of_affected_people_surveyed_who_report_feeling_satistfied_with_the_latrine_design_and_sanitation_service]]*WWWW[[#This Row],[Total PoP ]]</f>
        <v>0</v>
      </c>
      <c r="ED159" s="566">
        <f>WWWW[[#This Row],[%_of_affected_people_surveyed_who_report_feeling_satistfied_with_the_water_point_design_and_water_service]]*WWWW[[#This Row],[Total PoP ]]</f>
        <v>0</v>
      </c>
      <c r="EE159" s="566">
        <f>WWWW[[#This Row],[%_of_complaints_received_that_result_in_timely_corrective_action_and_feedback_to_the_community]]*WWWW[[#This Row],[Total PoP ]]</f>
        <v>0</v>
      </c>
      <c r="EF15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5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5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59" s="902">
        <f>VLOOKUP(WWWW[[#This Row],[Site Name]],SiteDB6[[Site Name]:[CCCM Management]],6,FALSE)</f>
        <v>0</v>
      </c>
      <c r="EJ159" s="902" t="str">
        <f>VLOOKUP(WWWW[[#This Row],[Site Name]],SiteDB6[[Site Name]:[CCCM Focal Agency]],7,FALSE)</f>
        <v>DFSS</v>
      </c>
      <c r="EK159" s="902" t="str">
        <f>VLOOKUP(WWWW[[#This Row],[Site Name]],SiteDB6[[Site Name]:[Location Type 1]],9,FALSE)</f>
        <v>Camp</v>
      </c>
      <c r="EL159" s="902" t="str">
        <f>VLOOKUP(WWWW[[#This Row],[Site Name]],SiteDB6[[Site Name]:[Type of Accommodation]],10,FALSE)</f>
        <v>Camp like setting</v>
      </c>
      <c r="EM159" s="902" t="str">
        <f>VLOOKUP(WWWW[[#This Row],[Site Name]],SiteDB6[[Site Name]:[Ethnic or GCA/NGCA]],11,FALSE)</f>
        <v>GCA</v>
      </c>
      <c r="EN159" s="902">
        <f>VLOOKUP(WWWW[[#This Row],[Site Name]],SiteDB6[[Site Name]:[Lat]],12,FALSE)</f>
        <v>0</v>
      </c>
      <c r="EO159" s="902" t="str">
        <f>VLOOKUP(WWWW[[#This Row],[Site Name]],SiteDB6[[Site Name]:[Long]],13,FALSE)</f>
        <v>not available</v>
      </c>
      <c r="EP159" s="902" t="str">
        <f>VLOOKUP(WWWW[[#This Row],[Site Name]],SiteDB6[[Site Name]:[Pcode]],3,FALSE)</f>
        <v>MMR001CMP296</v>
      </c>
      <c r="EQ159" s="907" t="str">
        <f t="shared" si="2"/>
        <v>Notcovered</v>
      </c>
      <c r="ER159" s="907"/>
      <c r="ES159" s="907"/>
      <c r="ET159" s="902">
        <f>VLOOKUP(WWWW[[#This Row],[Site Name]],SiteDB6[[Site Name]:[Pop
(Kachin/Shan-CCCM as of May 2023)]],16,FALSE)</f>
        <v>30</v>
      </c>
      <c r="EU159" s="902">
        <f>VLOOKUP(WWWW[[#This Row],[Site Name]],SiteDB6[[Site Name]:[Pop
(Kachin/Shan-CCCM as of May 2023)]],17,FALSE)</f>
        <v>159</v>
      </c>
    </row>
    <row r="160" spans="1:151" hidden="1">
      <c r="A160" s="900" t="s">
        <v>2961</v>
      </c>
      <c r="B160" s="900" t="s">
        <v>309</v>
      </c>
      <c r="C160" s="901" t="s">
        <v>309</v>
      </c>
      <c r="D160" s="901"/>
      <c r="E160" s="901" t="s">
        <v>37</v>
      </c>
      <c r="F160" s="901" t="s">
        <v>142</v>
      </c>
      <c r="G160" s="902" t="str">
        <f>VLOOKUP(WWWW[[#This Row],[Site Name]],SiteDB6[[Site Name]:[Location Type]],8,FALSE)</f>
        <v>Camp</v>
      </c>
      <c r="H160" s="901" t="s">
        <v>2705</v>
      </c>
      <c r="I160" s="903">
        <v>27</v>
      </c>
      <c r="J160" s="903">
        <v>139</v>
      </c>
      <c r="K160" s="904"/>
      <c r="L160" s="905"/>
      <c r="M160" s="903"/>
      <c r="N160" s="903"/>
      <c r="O160" s="903"/>
      <c r="P160" s="903"/>
      <c r="Q160" s="906"/>
      <c r="R160" s="903"/>
      <c r="S160" s="903"/>
      <c r="T160" s="441"/>
      <c r="U160" s="903"/>
      <c r="V160" s="903"/>
      <c r="W160" s="903"/>
      <c r="X160" s="903"/>
      <c r="Y160" s="903"/>
      <c r="Z160" s="903"/>
      <c r="AA160" s="903"/>
      <c r="AB160" s="903"/>
      <c r="AC160" s="903"/>
      <c r="AD160" s="903"/>
      <c r="AE160" s="903"/>
      <c r="AF160" s="903"/>
      <c r="AG160" s="903"/>
      <c r="AH160" s="903"/>
      <c r="AI160" s="903"/>
      <c r="AJ160" s="903"/>
      <c r="AK160" s="903"/>
      <c r="AL160" s="903"/>
      <c r="AM160" s="903"/>
      <c r="AN160" s="903"/>
      <c r="AO160" s="441"/>
      <c r="AP160" s="907"/>
      <c r="AQ160" s="903"/>
      <c r="AR160" s="903"/>
      <c r="AS160" s="908"/>
      <c r="AT160" s="903"/>
      <c r="AU160" s="903"/>
      <c r="AV160" s="903"/>
      <c r="AW160" s="903"/>
      <c r="AX160" s="903"/>
      <c r="AY160" s="902" t="s">
        <v>140</v>
      </c>
      <c r="AZ160" s="907" t="s">
        <v>140</v>
      </c>
      <c r="BA160" s="903"/>
      <c r="BB160" s="903"/>
      <c r="BC160" s="903"/>
      <c r="BD160" s="441"/>
      <c r="BE160" s="441"/>
      <c r="BF160" s="902"/>
      <c r="BG160" s="903">
        <v>7</v>
      </c>
      <c r="BH160" s="903"/>
      <c r="BI160" s="903"/>
      <c r="BJ160" s="903">
        <v>7</v>
      </c>
      <c r="BK160" s="903"/>
      <c r="BL160" s="903"/>
      <c r="BM160" s="903"/>
      <c r="BN160" s="903"/>
      <c r="BO160" s="903"/>
      <c r="BP160" s="902"/>
      <c r="BQ160" s="909"/>
      <c r="BR160" s="908"/>
      <c r="BS160" s="902"/>
      <c r="BT160" s="416"/>
      <c r="BU160" s="416"/>
      <c r="BV160" s="418"/>
      <c r="BW160" s="416"/>
      <c r="BX160" s="441"/>
      <c r="BY160" s="441"/>
      <c r="BZ160" s="441"/>
      <c r="CA160" s="441"/>
      <c r="CB160" s="441"/>
      <c r="CC160" s="693"/>
      <c r="CD160" s="441"/>
      <c r="CE160" s="910" t="str">
        <f>IFERROR(WWWW[[#This Row],['#_Water sources passed]]/WWWW[[#This Row],['#_Water sources tested for fecal coliform ]],"no test")</f>
        <v>no test</v>
      </c>
      <c r="CF160" s="908" t="str">
        <f>IFERROR(WWWW[[#This Row],['#_Household passed]]/WWWW[[#This Row],['#_Household water samples tested for fecal coliform]],"no test")</f>
        <v>no test</v>
      </c>
      <c r="CG160" s="909" t="str">
        <f>IF(AND(WWWW[[#This Row],[% of water sources passed]]="no test",WWWW[[#This Row],[% Household passed]]="no test"),"No Test","Tested")</f>
        <v>No Test</v>
      </c>
      <c r="CH160" s="909">
        <f>WWWW[[#This Row],['#_Constructed/existing protected hand dug well]]-WWWW[[#This Row],['#_Non-functional protected hand dug well]]</f>
        <v>0</v>
      </c>
      <c r="CI160" s="909">
        <f>(WWWW[[#This Row],['#_Constructed/Existing tube wells/boreholes/handpumps_WASH_agency]]+WWWW[[#This Row],['#_Non-Cluster partner water tube-wells/boreholes/handpumps]])-WWWW[[#This Row],['#_Non-functional tube wells/boreholes/handpumps]]</f>
        <v>0</v>
      </c>
      <c r="CJ160" s="909">
        <f>WWWW[[#This Row],['#_Constructed/Existingwater storage tank with gravity fed reticulation system]]-WWWW[[#This Row],['#_Non-functional storage tank gravity fed reticulation system]]</f>
        <v>0</v>
      </c>
      <c r="CK160" s="909">
        <f>(WWWW[[#This Row],['#_Water_Liters_supplied_by_Water boating or water trucking]]/90)/15</f>
        <v>0</v>
      </c>
      <c r="CL160" s="909">
        <f>WWWW[[#This Row],['#_Water_Liters_from_Constructed/Existing water distribution system from river or natural spring]]/90/15</f>
        <v>0</v>
      </c>
      <c r="CM160" s="417">
        <f>IF(WWWW[[#This Row],['#_of water points in TLS/CFS]]*500&gt;WWWW[[#This Row],[Total PoP ]],WWWW[[#This Row],[Total PoP ]],WWWW[[#This Row],['#_of water points in TLS/CFS]]*500)</f>
        <v>0</v>
      </c>
      <c r="CN160" s="417">
        <f>IF(WWWW[[#This Row],['#_of water points in THF]]*500&gt;WWWW[[#This Row],[Total PoP ]],WWWW[[#This Row],[Total PoP ]],WWWW[[#This Row],['#_of water points in THF]]*500)</f>
        <v>0</v>
      </c>
      <c r="CO160" s="417"/>
      <c r="CP160"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60"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60" s="908">
        <f>IF(WWWW[[#This Row],[Location Type 1]]="Village",WWWW[[#This Row],[Access to safe drinking water for Village]],WWWW[[#This Row],[Access to safe drinking water for Camp]])</f>
        <v>0</v>
      </c>
      <c r="CS160" s="906">
        <f>WWWW[[#This Row],[%Equitable and continuous access to sufficient quantity of safe drinking water]]*WWWW[[#This Row],[Total PoP ]]</f>
        <v>0</v>
      </c>
      <c r="CT160" s="908">
        <f>IF((WWWW[[#This Row],['#_Constructed/Existing protected/fenced ponds]]*250)/WWWW[[#This Row],[Total PoP ]]&gt;1,1,(WWWW[[#This Row],['#_Constructed/Existing protected/fenced ponds]]*250)/WWWW[[#This Row],[Total PoP ]])</f>
        <v>0</v>
      </c>
      <c r="CU160" s="906">
        <f>WWWW[[#This Row],[% Access to unimproved water points]]*WWWW[[#This Row],[Total PoP ]]</f>
        <v>0</v>
      </c>
      <c r="CV160"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60"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60" s="906">
        <f>WWWW[[#This Row],[HRP1]]/500</f>
        <v>0</v>
      </c>
      <c r="CY160" s="911">
        <f>1-WWWW[[#This Row],[% Equitable and continuous access to sufficient quantity of domestic water]]</f>
        <v>1</v>
      </c>
      <c r="CZ160" s="906">
        <f>WWWW[[#This Row],[%equitable and continuous access to sufficient quantity of safe drinking and domestic water''s GAP]]*WWWW[[#This Row],[Total PoP ]]</f>
        <v>139</v>
      </c>
      <c r="DA160" s="909">
        <f>IF(WWWW[[#This Row],[Total required water points]]-WWWW[[#This Row],['#Water points coverage]]&lt;0,0,WWWW[[#This Row],[Total required water points]]-WWWW[[#This Row],['#Water points coverage]])</f>
        <v>1</v>
      </c>
      <c r="DB160" s="909">
        <f>ROUND(IF(WWWW[[#This Row],[Total PoP ]]&lt;500,1,WWWW[[#This Row],[Total PoP ]]/500),0)</f>
        <v>1</v>
      </c>
      <c r="DC160" s="909">
        <f>(WWWW[[#This Row],['#_Constructed latrines_by_WASHAgencies]]+WWWW[[#This Row],['#_Non Cluster partner latrines]])-WWWW[[#This Row],['#_Non-functional latrines]]</f>
        <v>0</v>
      </c>
      <c r="DD160" s="615">
        <f>WWWW[[#This Row],[HRP2]]/WWWW[[#This Row],[Total PoP ]]</f>
        <v>0</v>
      </c>
      <c r="DE160"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60"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60"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0" s="417">
        <f>IF(WWWW[[#This Row],['# of functional latrines in THF supported by WASH partners during the reporting period2]]="",0,WWWW[[#This Row],['# of functional latrines in THF supported by WASH partners during the reporting period2]]*50)</f>
        <v>0</v>
      </c>
      <c r="DI160" s="909">
        <f>ROUND(IF(WWWW[[#This Row],[Location Type 1]]="camp",WWWW[[#This Row],[Total PoP ]]/20,IF(WWWW[[#This Row],[Location Type 1]]="Temporary Location",WWWW[[#This Row],[Total PoP ]]/50,(WWWW[[#This Row],[Total PoP ]]/6))),0)</f>
        <v>7</v>
      </c>
      <c r="DJ160" s="909">
        <f>IF(WWWW[[#This Row],[Total required Latrines]]-(WWWW[[#This Row],['#_Constructed latrines_by_WASHAgencies]]+WWWW[[#This Row],['#_Non Cluster partner latrines]])&lt;0,0,WWWW[[#This Row],[Total required Latrines]]-(WWWW[[#This Row],['#_Constructed latrines_by_WASHAgencies]]+WWWW[[#This Row],['#_Non Cluster partner latrines]]))</f>
        <v>7</v>
      </c>
      <c r="DK160" s="911">
        <f>1-WWWW[[#This Row],[% people access to functioning Latrine]]</f>
        <v>1</v>
      </c>
      <c r="DL160" s="910">
        <f>IF(OR(WWWW[[#This Row],['#_Non-functional latrines]]="",WWWW[[#This Row],['#_Non-functional latrines]]=0),0,WWWW[[#This Row],['#_Non-functional latrines]]/(WWWW[[#This Row],['#_Constructed latrines_by_WASHAgencies]]+WWWW[[#This Row],['#_Non Cluster partner latrines]]))</f>
        <v>0</v>
      </c>
      <c r="DM160" s="906">
        <f>IF(500*(WWWW[[#This Row],['#_male hygiene promoters]]+WWWW[[#This Row],['#_female hygiene promoters]])&gt;WWWW[[#This Row],[Total PoP ]],WWWW[[#This Row],[Total PoP ]],500*(WWWW[[#This Row],['#_male hygiene promoters]]+WWWW[[#This Row],['#_female hygiene promoters]]))</f>
        <v>0</v>
      </c>
      <c r="DN160"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0"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0" s="909">
        <f>IF(WWWW[[#This Row],['# People with access to soap]]&gt;WWWW[[#This Row],['# People with access to Sanity Pads]],WWWW[[#This Row],['# People with access to soap]],WWWW[[#This Row],['# People with access to Sanity Pads]])</f>
        <v>0</v>
      </c>
      <c r="DQ160"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60" s="911">
        <f>IF(WWWW[[#This Row],[HRP3]]/WWWW[[#This Row],[Total PoP ]]&gt;1,1,WWWW[[#This Row],[HRP3]]/WWWW[[#This Row],[Total PoP ]])</f>
        <v>0</v>
      </c>
      <c r="DS160" s="910">
        <f>1-WWWW[[#This Row],[Hygiene Coverage%]]</f>
        <v>1</v>
      </c>
      <c r="DT160" s="908">
        <f>WWWW[[#This Row],['# people reached by regular dedicated hygiene promotion_5]]/WWWW[[#This Row],[Total PoP ]]</f>
        <v>0</v>
      </c>
      <c r="DU160"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0"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0" s="909">
        <f>WWWW[[#This Row],['#_Constructed/Existing hand washing stations]]-WWWW[[#This Row],['#_Non-Functional_hand_washing_stations]]</f>
        <v>7</v>
      </c>
      <c r="DX160" s="906">
        <f>IF(WWWW[[#This Row],['# Functional hand washing stations during reporting period]]*20&gt;WWWW[[#This Row],[Total HH]],WWWW[[#This Row],[Total HH]],WWWW[[#This Row],['# Functional hand washing stations during reporting period]]*20)</f>
        <v>27</v>
      </c>
      <c r="DY160" s="906">
        <f>IF(WWWW[[#This Row],[Is sufficient soap available for TLS? (Yes/No)]]="yes",WWWW[[#This Row],['#_Constructed/Existing hand washing stations at TLS/CFS/THF]],0)</f>
        <v>0</v>
      </c>
      <c r="DZ160" s="421">
        <f>IF(WWWW[[#This Row],['# Functional hand washing stations during reporting period]]*100&gt;WWWW[[#This Row],[Total PoP ]],WWWW[[#This Row],[Total PoP ]],WWWW[[#This Row],['# Functional hand washing stations during reporting period]]*100)</f>
        <v>139</v>
      </c>
      <c r="EA160" s="421" t="str">
        <f>IF(OR(WWWW[[#This Row],['#_students at TLS_CFS]]="",WWWW[[#This Row],['#_students at TLS_CFS]]=0),"No","Yes")</f>
        <v>No</v>
      </c>
      <c r="EB16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60" s="566">
        <f>WWWW[[#This Row],[%_of_affected_people_surveyed_who_report_feeling_satistfied_with_the_latrine_design_and_sanitation_service]]*WWWW[[#This Row],[Total PoP ]]</f>
        <v>0</v>
      </c>
      <c r="ED160" s="566">
        <f>WWWW[[#This Row],[%_of_affected_people_surveyed_who_report_feeling_satistfied_with_the_water_point_design_and_water_service]]*WWWW[[#This Row],[Total PoP ]]</f>
        <v>0</v>
      </c>
      <c r="EE160" s="566">
        <f>WWWW[[#This Row],[%_of_complaints_received_that_result_in_timely_corrective_action_and_feedback_to_the_community]]*WWWW[[#This Row],[Total PoP ]]</f>
        <v>0</v>
      </c>
      <c r="EF16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6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0" s="902">
        <f>VLOOKUP(WWWW[[#This Row],[Site Name]],SiteDB6[[Site Name]:[CCCM Management]],6,FALSE)</f>
        <v>0</v>
      </c>
      <c r="EJ160" s="902" t="str">
        <f>VLOOKUP(WWWW[[#This Row],[Site Name]],SiteDB6[[Site Name]:[CCCM Focal Agency]],7,FALSE)</f>
        <v xml:space="preserve">Uncovered  </v>
      </c>
      <c r="EK160" s="902" t="str">
        <f>VLOOKUP(WWWW[[#This Row],[Site Name]],SiteDB6[[Site Name]:[Location Type 1]],9,FALSE)</f>
        <v>Camp</v>
      </c>
      <c r="EL160" s="902" t="str">
        <f>VLOOKUP(WWWW[[#This Row],[Site Name]],SiteDB6[[Site Name]:[Type of Accommodation]],10,FALSE)</f>
        <v>Camp like setting</v>
      </c>
      <c r="EM160" s="902" t="str">
        <f>VLOOKUP(WWWW[[#This Row],[Site Name]],SiteDB6[[Site Name]:[Ethnic or GCA/NGCA]],11,FALSE)</f>
        <v>GCA</v>
      </c>
      <c r="EN160" s="902">
        <f>VLOOKUP(WWWW[[#This Row],[Site Name]],SiteDB6[[Site Name]:[Lat]],12,FALSE)</f>
        <v>25.211500000000001</v>
      </c>
      <c r="EO160" s="902">
        <f>VLOOKUP(WWWW[[#This Row],[Site Name]],SiteDB6[[Site Name]:[Long]],13,FALSE)</f>
        <v>97.261799999999994</v>
      </c>
      <c r="EP160" s="902" t="str">
        <f>VLOOKUP(WWWW[[#This Row],[Site Name]],SiteDB6[[Site Name]:[Pcode]],3,FALSE)</f>
        <v>MMR001CMP287</v>
      </c>
      <c r="EQ160" s="907" t="str">
        <f t="shared" si="2"/>
        <v>Notcovered</v>
      </c>
      <c r="ER160" s="907"/>
      <c r="ES160" s="907"/>
      <c r="ET160" s="902">
        <f>VLOOKUP(WWWW[[#This Row],[Site Name]],SiteDB6[[Site Name]:[Pop
(Kachin/Shan-CCCM as of May 2023)]],16,FALSE)</f>
        <v>24</v>
      </c>
      <c r="EU160" s="902">
        <f>VLOOKUP(WWWW[[#This Row],[Site Name]],SiteDB6[[Site Name]:[Pop
(Kachin/Shan-CCCM as of May 2023)]],17,FALSE)</f>
        <v>126</v>
      </c>
    </row>
    <row r="161" spans="1:151" hidden="1">
      <c r="A161" s="900" t="s">
        <v>2961</v>
      </c>
      <c r="B161" s="900" t="s">
        <v>309</v>
      </c>
      <c r="C161" s="901" t="s">
        <v>309</v>
      </c>
      <c r="D161" s="901"/>
      <c r="E161" s="901" t="s">
        <v>37</v>
      </c>
      <c r="F161" s="901" t="s">
        <v>142</v>
      </c>
      <c r="G161" s="902" t="str">
        <f>VLOOKUP(WWWW[[#This Row],[Site Name]],SiteDB6[[Site Name]:[Location Type]],8,FALSE)</f>
        <v>Camp</v>
      </c>
      <c r="H161" s="901" t="s">
        <v>2989</v>
      </c>
      <c r="I161" s="903">
        <v>16</v>
      </c>
      <c r="J161" s="903">
        <v>76</v>
      </c>
      <c r="K161" s="904"/>
      <c r="L161" s="905"/>
      <c r="M161" s="903"/>
      <c r="N161" s="903"/>
      <c r="O161" s="903"/>
      <c r="P161" s="903"/>
      <c r="Q161" s="906"/>
      <c r="R161" s="903"/>
      <c r="S161" s="903"/>
      <c r="T161" s="441"/>
      <c r="U161" s="903"/>
      <c r="V161" s="903"/>
      <c r="W161" s="903"/>
      <c r="X161" s="903"/>
      <c r="Y161" s="903"/>
      <c r="Z161" s="903"/>
      <c r="AA161" s="903"/>
      <c r="AB161" s="903"/>
      <c r="AC161" s="903"/>
      <c r="AD161" s="903"/>
      <c r="AE161" s="903"/>
      <c r="AF161" s="903"/>
      <c r="AG161" s="903"/>
      <c r="AH161" s="903"/>
      <c r="AI161" s="903"/>
      <c r="AJ161" s="903"/>
      <c r="AK161" s="903"/>
      <c r="AL161" s="903"/>
      <c r="AM161" s="903"/>
      <c r="AN161" s="903"/>
      <c r="AO161" s="441"/>
      <c r="AP161" s="907"/>
      <c r="AQ161" s="903"/>
      <c r="AR161" s="903"/>
      <c r="AS161" s="908"/>
      <c r="AT161" s="903"/>
      <c r="AU161" s="903"/>
      <c r="AV161" s="903"/>
      <c r="AW161" s="903"/>
      <c r="AX161" s="903"/>
      <c r="AY161" s="902"/>
      <c r="AZ161" s="907"/>
      <c r="BA161" s="903"/>
      <c r="BB161" s="903"/>
      <c r="BC161" s="903"/>
      <c r="BD161" s="441"/>
      <c r="BE161" s="441"/>
      <c r="BF161" s="902"/>
      <c r="BG161" s="903"/>
      <c r="BH161" s="903"/>
      <c r="BI161" s="903"/>
      <c r="BJ161" s="903"/>
      <c r="BK161" s="903"/>
      <c r="BL161" s="903"/>
      <c r="BM161" s="903"/>
      <c r="BN161" s="903"/>
      <c r="BO161" s="903"/>
      <c r="BP161" s="902"/>
      <c r="BQ161" s="909"/>
      <c r="BR161" s="908"/>
      <c r="BS161" s="902"/>
      <c r="BT161" s="416"/>
      <c r="BU161" s="416"/>
      <c r="BV161" s="418"/>
      <c r="BW161" s="416"/>
      <c r="BX161" s="441"/>
      <c r="BY161" s="441"/>
      <c r="BZ161" s="441"/>
      <c r="CA161" s="441"/>
      <c r="CB161" s="441"/>
      <c r="CC161" s="693"/>
      <c r="CD161" s="441"/>
      <c r="CE161" s="910" t="str">
        <f>IFERROR(WWWW[[#This Row],['#_Water sources passed]]/WWWW[[#This Row],['#_Water sources tested for fecal coliform ]],"no test")</f>
        <v>no test</v>
      </c>
      <c r="CF161" s="908" t="str">
        <f>IFERROR(WWWW[[#This Row],['#_Household passed]]/WWWW[[#This Row],['#_Household water samples tested for fecal coliform]],"no test")</f>
        <v>no test</v>
      </c>
      <c r="CG161" s="909" t="str">
        <f>IF(AND(WWWW[[#This Row],[% of water sources passed]]="no test",WWWW[[#This Row],[% Household passed]]="no test"),"No Test","Tested")</f>
        <v>No Test</v>
      </c>
      <c r="CH161" s="909">
        <f>WWWW[[#This Row],['#_Constructed/existing protected hand dug well]]-WWWW[[#This Row],['#_Non-functional protected hand dug well]]</f>
        <v>0</v>
      </c>
      <c r="CI161" s="909">
        <f>(WWWW[[#This Row],['#_Constructed/Existing tube wells/boreholes/handpumps_WASH_agency]]+WWWW[[#This Row],['#_Non-Cluster partner water tube-wells/boreholes/handpumps]])-WWWW[[#This Row],['#_Non-functional tube wells/boreholes/handpumps]]</f>
        <v>0</v>
      </c>
      <c r="CJ161" s="909">
        <f>WWWW[[#This Row],['#_Constructed/Existingwater storage tank with gravity fed reticulation system]]-WWWW[[#This Row],['#_Non-functional storage tank gravity fed reticulation system]]</f>
        <v>0</v>
      </c>
      <c r="CK161" s="909">
        <f>(WWWW[[#This Row],['#_Water_Liters_supplied_by_Water boating or water trucking]]/90)/15</f>
        <v>0</v>
      </c>
      <c r="CL161" s="909">
        <f>WWWW[[#This Row],['#_Water_Liters_from_Constructed/Existing water distribution system from river or natural spring]]/90/15</f>
        <v>0</v>
      </c>
      <c r="CM161" s="417">
        <f>IF(WWWW[[#This Row],['#_of water points in TLS/CFS]]*500&gt;WWWW[[#This Row],[Total PoP ]],WWWW[[#This Row],[Total PoP ]],WWWW[[#This Row],['#_of water points in TLS/CFS]]*500)</f>
        <v>0</v>
      </c>
      <c r="CN161" s="417">
        <f>IF(WWWW[[#This Row],['#_of water points in THF]]*500&gt;WWWW[[#This Row],[Total PoP ]],WWWW[[#This Row],[Total PoP ]],WWWW[[#This Row],['#_of water points in THF]]*500)</f>
        <v>0</v>
      </c>
      <c r="CO161" s="417"/>
      <c r="CP161"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61"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61" s="908">
        <f>IF(WWWW[[#This Row],[Location Type 1]]="Village",WWWW[[#This Row],[Access to safe drinking water for Village]],WWWW[[#This Row],[Access to safe drinking water for Camp]])</f>
        <v>0</v>
      </c>
      <c r="CS161" s="906">
        <f>WWWW[[#This Row],[%Equitable and continuous access to sufficient quantity of safe drinking water]]*WWWW[[#This Row],[Total PoP ]]</f>
        <v>0</v>
      </c>
      <c r="CT161" s="908">
        <f>IF((WWWW[[#This Row],['#_Constructed/Existing protected/fenced ponds]]*250)/WWWW[[#This Row],[Total PoP ]]&gt;1,1,(WWWW[[#This Row],['#_Constructed/Existing protected/fenced ponds]]*250)/WWWW[[#This Row],[Total PoP ]])</f>
        <v>0</v>
      </c>
      <c r="CU161" s="906">
        <f>WWWW[[#This Row],[% Access to unimproved water points]]*WWWW[[#This Row],[Total PoP ]]</f>
        <v>0</v>
      </c>
      <c r="CV161"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61"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61" s="906">
        <f>WWWW[[#This Row],[HRP1]]/500</f>
        <v>0</v>
      </c>
      <c r="CY161" s="911">
        <f>1-WWWW[[#This Row],[% Equitable and continuous access to sufficient quantity of domestic water]]</f>
        <v>1</v>
      </c>
      <c r="CZ161" s="906">
        <f>WWWW[[#This Row],[%equitable and continuous access to sufficient quantity of safe drinking and domestic water''s GAP]]*WWWW[[#This Row],[Total PoP ]]</f>
        <v>76</v>
      </c>
      <c r="DA161" s="909">
        <f>IF(WWWW[[#This Row],[Total required water points]]-WWWW[[#This Row],['#Water points coverage]]&lt;0,0,WWWW[[#This Row],[Total required water points]]-WWWW[[#This Row],['#Water points coverage]])</f>
        <v>1</v>
      </c>
      <c r="DB161" s="909">
        <f>ROUND(IF(WWWW[[#This Row],[Total PoP ]]&lt;500,1,WWWW[[#This Row],[Total PoP ]]/500),0)</f>
        <v>1</v>
      </c>
      <c r="DC161" s="909">
        <f>(WWWW[[#This Row],['#_Constructed latrines_by_WASHAgencies]]+WWWW[[#This Row],['#_Non Cluster partner latrines]])-WWWW[[#This Row],['#_Non-functional latrines]]</f>
        <v>0</v>
      </c>
      <c r="DD161" s="615">
        <f>WWWW[[#This Row],[HRP2]]/WWWW[[#This Row],[Total PoP ]]</f>
        <v>0</v>
      </c>
      <c r="DE161"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61"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61"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1" s="417">
        <f>IF(WWWW[[#This Row],['# of functional latrines in THF supported by WASH partners during the reporting period2]]="",0,WWWW[[#This Row],['# of functional latrines in THF supported by WASH partners during the reporting period2]]*50)</f>
        <v>0</v>
      </c>
      <c r="DI161" s="909">
        <f>ROUND(IF(WWWW[[#This Row],[Location Type 1]]="camp",WWWW[[#This Row],[Total PoP ]]/20,IF(WWWW[[#This Row],[Location Type 1]]="Temporary Location",WWWW[[#This Row],[Total PoP ]]/50,(WWWW[[#This Row],[Total PoP ]]/6))),0)</f>
        <v>4</v>
      </c>
      <c r="DJ161" s="909">
        <f>IF(WWWW[[#This Row],[Total required Latrines]]-(WWWW[[#This Row],['#_Constructed latrines_by_WASHAgencies]]+WWWW[[#This Row],['#_Non Cluster partner latrines]])&lt;0,0,WWWW[[#This Row],[Total required Latrines]]-(WWWW[[#This Row],['#_Constructed latrines_by_WASHAgencies]]+WWWW[[#This Row],['#_Non Cluster partner latrines]]))</f>
        <v>4</v>
      </c>
      <c r="DK161" s="911">
        <f>1-WWWW[[#This Row],[% people access to functioning Latrine]]</f>
        <v>1</v>
      </c>
      <c r="DL161" s="910">
        <f>IF(OR(WWWW[[#This Row],['#_Non-functional latrines]]="",WWWW[[#This Row],['#_Non-functional latrines]]=0),0,WWWW[[#This Row],['#_Non-functional latrines]]/(WWWW[[#This Row],['#_Constructed latrines_by_WASHAgencies]]+WWWW[[#This Row],['#_Non Cluster partner latrines]]))</f>
        <v>0</v>
      </c>
      <c r="DM161" s="906">
        <f>IF(500*(WWWW[[#This Row],['#_male hygiene promoters]]+WWWW[[#This Row],['#_female hygiene promoters]])&gt;WWWW[[#This Row],[Total PoP ]],WWWW[[#This Row],[Total PoP ]],500*(WWWW[[#This Row],['#_male hygiene promoters]]+WWWW[[#This Row],['#_female hygiene promoters]]))</f>
        <v>0</v>
      </c>
      <c r="DN161"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1"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1" s="909">
        <f>IF(WWWW[[#This Row],['# People with access to soap]]&gt;WWWW[[#This Row],['# People with access to Sanity Pads]],WWWW[[#This Row],['# People with access to soap]],WWWW[[#This Row],['# People with access to Sanity Pads]])</f>
        <v>0</v>
      </c>
      <c r="DQ161"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61" s="911">
        <f>IF(WWWW[[#This Row],[HRP3]]/WWWW[[#This Row],[Total PoP ]]&gt;1,1,WWWW[[#This Row],[HRP3]]/WWWW[[#This Row],[Total PoP ]])</f>
        <v>0</v>
      </c>
      <c r="DS161" s="910">
        <f>1-WWWW[[#This Row],[Hygiene Coverage%]]</f>
        <v>1</v>
      </c>
      <c r="DT161" s="908">
        <f>WWWW[[#This Row],['# people reached by regular dedicated hygiene promotion_5]]/WWWW[[#This Row],[Total PoP ]]</f>
        <v>0</v>
      </c>
      <c r="DU161"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1"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1" s="909">
        <f>WWWW[[#This Row],['#_Constructed/Existing hand washing stations]]-WWWW[[#This Row],['#_Non-Functional_hand_washing_stations]]</f>
        <v>0</v>
      </c>
      <c r="DX161" s="906">
        <f>IF(WWWW[[#This Row],['# Functional hand washing stations during reporting period]]*20&gt;WWWW[[#This Row],[Total HH]],WWWW[[#This Row],[Total HH]],WWWW[[#This Row],['# Functional hand washing stations during reporting period]]*20)</f>
        <v>0</v>
      </c>
      <c r="DY161" s="906">
        <f>IF(WWWW[[#This Row],[Is sufficient soap available for TLS? (Yes/No)]]="yes",WWWW[[#This Row],['#_Constructed/Existing hand washing stations at TLS/CFS/THF]],0)</f>
        <v>0</v>
      </c>
      <c r="DZ161" s="421">
        <f>IF(WWWW[[#This Row],['# Functional hand washing stations during reporting period]]*100&gt;WWWW[[#This Row],[Total PoP ]],WWWW[[#This Row],[Total PoP ]],WWWW[[#This Row],['# Functional hand washing stations during reporting period]]*100)</f>
        <v>0</v>
      </c>
      <c r="EA161" s="421" t="str">
        <f>IF(OR(WWWW[[#This Row],['#_students at TLS_CFS]]="",WWWW[[#This Row],['#_students at TLS_CFS]]=0),"No","Yes")</f>
        <v>No</v>
      </c>
      <c r="EB16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61" s="566">
        <f>WWWW[[#This Row],[%_of_affected_people_surveyed_who_report_feeling_satistfied_with_the_latrine_design_and_sanitation_service]]*WWWW[[#This Row],[Total PoP ]]</f>
        <v>0</v>
      </c>
      <c r="ED161" s="566">
        <f>WWWW[[#This Row],[%_of_affected_people_surveyed_who_report_feeling_satistfied_with_the_water_point_design_and_water_service]]*WWWW[[#This Row],[Total PoP ]]</f>
        <v>0</v>
      </c>
      <c r="EE161" s="566">
        <f>WWWW[[#This Row],[%_of_complaints_received_that_result_in_timely_corrective_action_and_feedback_to_the_community]]*WWWW[[#This Row],[Total PoP ]]</f>
        <v>0</v>
      </c>
      <c r="EF16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6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1" s="902">
        <f>VLOOKUP(WWWW[[#This Row],[Site Name]],SiteDB6[[Site Name]:[CCCM Management]],6,FALSE)</f>
        <v>0</v>
      </c>
      <c r="EJ161" s="902" t="str">
        <f>VLOOKUP(WWWW[[#This Row],[Site Name]],SiteDB6[[Site Name]:[CCCM Focal Agency]],7,FALSE)</f>
        <v>DFSS</v>
      </c>
      <c r="EK161" s="902" t="str">
        <f>VLOOKUP(WWWW[[#This Row],[Site Name]],SiteDB6[[Site Name]:[Location Type 1]],9,FALSE)</f>
        <v>Camp</v>
      </c>
      <c r="EL161" s="902" t="str">
        <f>VLOOKUP(WWWW[[#This Row],[Site Name]],SiteDB6[[Site Name]:[Type of Accommodation]],10,FALSE)</f>
        <v>Temporary closed</v>
      </c>
      <c r="EM161" s="902" t="str">
        <f>VLOOKUP(WWWW[[#This Row],[Site Name]],SiteDB6[[Site Name]:[Ethnic or GCA/NGCA]],11,FALSE)</f>
        <v>GCA</v>
      </c>
      <c r="EN161" s="902">
        <f>VLOOKUP(WWWW[[#This Row],[Site Name]],SiteDB6[[Site Name]:[Lat]],12,FALSE)</f>
        <v>0</v>
      </c>
      <c r="EO161" s="902">
        <f>VLOOKUP(WWWW[[#This Row],[Site Name]],SiteDB6[[Site Name]:[Long]],13,FALSE)</f>
        <v>0</v>
      </c>
      <c r="EP161" s="902" t="str">
        <f>VLOOKUP(WWWW[[#This Row],[Site Name]],SiteDB6[[Site Name]:[Pcode]],3,FALSE)</f>
        <v>MMR001CMP301</v>
      </c>
      <c r="EQ161" s="907" t="str">
        <f t="shared" si="2"/>
        <v>Notcovered</v>
      </c>
      <c r="ER161" s="907"/>
      <c r="ES161" s="907"/>
      <c r="ET161" s="902">
        <f>VLOOKUP(WWWW[[#This Row],[Site Name]],SiteDB6[[Site Name]:[Pop
(Kachin/Shan-CCCM as of May 2023)]],16,FALSE)</f>
        <v>16</v>
      </c>
      <c r="EU161" s="902">
        <f>VLOOKUP(WWWW[[#This Row],[Site Name]],SiteDB6[[Site Name]:[Pop
(Kachin/Shan-CCCM as of May 2023)]],17,FALSE)</f>
        <v>76</v>
      </c>
    </row>
    <row r="162" spans="1:151" hidden="1">
      <c r="A162" s="900" t="s">
        <v>2961</v>
      </c>
      <c r="B162" s="900" t="s">
        <v>309</v>
      </c>
      <c r="C162" s="901" t="s">
        <v>309</v>
      </c>
      <c r="D162" s="901"/>
      <c r="E162" s="901" t="s">
        <v>515</v>
      </c>
      <c r="F162" s="901" t="s">
        <v>955</v>
      </c>
      <c r="G162" s="902" t="str">
        <f>VLOOKUP(WWWW[[#This Row],[Site Name]],SiteDB6[[Site Name]:[Location Type]],8,FALSE)</f>
        <v>Camp</v>
      </c>
      <c r="H162" s="901" t="s">
        <v>2646</v>
      </c>
      <c r="I162" s="903">
        <v>142</v>
      </c>
      <c r="J162" s="903">
        <v>504</v>
      </c>
      <c r="K162" s="904"/>
      <c r="L162" s="905"/>
      <c r="M162" s="903"/>
      <c r="N162" s="903"/>
      <c r="O162" s="903"/>
      <c r="P162" s="903"/>
      <c r="Q162" s="906"/>
      <c r="R162" s="903"/>
      <c r="S162" s="903"/>
      <c r="T162" s="441"/>
      <c r="U162" s="903"/>
      <c r="V162" s="903"/>
      <c r="W162" s="903"/>
      <c r="X162" s="903"/>
      <c r="Y162" s="903"/>
      <c r="Z162" s="903"/>
      <c r="AA162" s="903"/>
      <c r="AB162" s="903"/>
      <c r="AC162" s="903"/>
      <c r="AD162" s="903"/>
      <c r="AE162" s="903"/>
      <c r="AF162" s="903"/>
      <c r="AG162" s="903"/>
      <c r="AH162" s="903"/>
      <c r="AI162" s="903"/>
      <c r="AJ162" s="903"/>
      <c r="AK162" s="903"/>
      <c r="AL162" s="903"/>
      <c r="AM162" s="903"/>
      <c r="AN162" s="903"/>
      <c r="AO162" s="441"/>
      <c r="AP162" s="907"/>
      <c r="AQ162" s="903"/>
      <c r="AR162" s="903"/>
      <c r="AS162" s="908"/>
      <c r="AT162" s="903"/>
      <c r="AU162" s="903"/>
      <c r="AV162" s="903"/>
      <c r="AW162" s="903"/>
      <c r="AX162" s="903"/>
      <c r="AY162" s="902" t="s">
        <v>140</v>
      </c>
      <c r="AZ162" s="907" t="s">
        <v>140</v>
      </c>
      <c r="BA162" s="903"/>
      <c r="BB162" s="903"/>
      <c r="BC162" s="903"/>
      <c r="BD162" s="441"/>
      <c r="BE162" s="441"/>
      <c r="BF162" s="902"/>
      <c r="BG162" s="903"/>
      <c r="BH162" s="903"/>
      <c r="BI162" s="903"/>
      <c r="BJ162" s="903"/>
      <c r="BK162" s="903"/>
      <c r="BL162" s="903"/>
      <c r="BM162" s="903"/>
      <c r="BN162" s="903"/>
      <c r="BO162" s="903"/>
      <c r="BP162" s="902"/>
      <c r="BQ162" s="909"/>
      <c r="BR162" s="908"/>
      <c r="BS162" s="902"/>
      <c r="BT162" s="416"/>
      <c r="BU162" s="416"/>
      <c r="BV162" s="418"/>
      <c r="BW162" s="416"/>
      <c r="BX162" s="441"/>
      <c r="BY162" s="441"/>
      <c r="BZ162" s="441"/>
      <c r="CA162" s="441"/>
      <c r="CB162" s="441"/>
      <c r="CC162" s="693"/>
      <c r="CD162" s="441"/>
      <c r="CE162" s="910" t="str">
        <f>IFERROR(WWWW[[#This Row],['#_Water sources passed]]/WWWW[[#This Row],['#_Water sources tested for fecal coliform ]],"no test")</f>
        <v>no test</v>
      </c>
      <c r="CF162" s="908" t="str">
        <f>IFERROR(WWWW[[#This Row],['#_Household passed]]/WWWW[[#This Row],['#_Household water samples tested for fecal coliform]],"no test")</f>
        <v>no test</v>
      </c>
      <c r="CG162" s="909" t="str">
        <f>IF(AND(WWWW[[#This Row],[% of water sources passed]]="no test",WWWW[[#This Row],[% Household passed]]="no test"),"No Test","Tested")</f>
        <v>No Test</v>
      </c>
      <c r="CH162" s="909">
        <f>WWWW[[#This Row],['#_Constructed/existing protected hand dug well]]-WWWW[[#This Row],['#_Non-functional protected hand dug well]]</f>
        <v>0</v>
      </c>
      <c r="CI162" s="909">
        <f>(WWWW[[#This Row],['#_Constructed/Existing tube wells/boreholes/handpumps_WASH_agency]]+WWWW[[#This Row],['#_Non-Cluster partner water tube-wells/boreholes/handpumps]])-WWWW[[#This Row],['#_Non-functional tube wells/boreholes/handpumps]]</f>
        <v>0</v>
      </c>
      <c r="CJ162" s="909">
        <f>WWWW[[#This Row],['#_Constructed/Existingwater storage tank with gravity fed reticulation system]]-WWWW[[#This Row],['#_Non-functional storage tank gravity fed reticulation system]]</f>
        <v>0</v>
      </c>
      <c r="CK162" s="909">
        <f>(WWWW[[#This Row],['#_Water_Liters_supplied_by_Water boating or water trucking]]/90)/15</f>
        <v>0</v>
      </c>
      <c r="CL162" s="909">
        <f>WWWW[[#This Row],['#_Water_Liters_from_Constructed/Existing water distribution system from river or natural spring]]/90/15</f>
        <v>0</v>
      </c>
      <c r="CM162" s="417">
        <f>IF(WWWW[[#This Row],['#_of water points in TLS/CFS]]*500&gt;WWWW[[#This Row],[Total PoP ]],WWWW[[#This Row],[Total PoP ]],WWWW[[#This Row],['#_of water points in TLS/CFS]]*500)</f>
        <v>0</v>
      </c>
      <c r="CN162" s="417">
        <f>IF(WWWW[[#This Row],['#_of water points in THF]]*500&gt;WWWW[[#This Row],[Total PoP ]],WWWW[[#This Row],[Total PoP ]],WWWW[[#This Row],['#_of water points in THF]]*500)</f>
        <v>0</v>
      </c>
      <c r="CO162" s="417"/>
      <c r="CP162"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62"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62" s="908">
        <f>IF(WWWW[[#This Row],[Location Type 1]]="Village",WWWW[[#This Row],[Access to safe drinking water for Village]],WWWW[[#This Row],[Access to safe drinking water for Camp]])</f>
        <v>0</v>
      </c>
      <c r="CS162" s="906">
        <f>WWWW[[#This Row],[%Equitable and continuous access to sufficient quantity of safe drinking water]]*WWWW[[#This Row],[Total PoP ]]</f>
        <v>0</v>
      </c>
      <c r="CT162" s="908">
        <f>IF((WWWW[[#This Row],['#_Constructed/Existing protected/fenced ponds]]*250)/WWWW[[#This Row],[Total PoP ]]&gt;1,1,(WWWW[[#This Row],['#_Constructed/Existing protected/fenced ponds]]*250)/WWWW[[#This Row],[Total PoP ]])</f>
        <v>0</v>
      </c>
      <c r="CU162" s="906">
        <f>WWWW[[#This Row],[% Access to unimproved water points]]*WWWW[[#This Row],[Total PoP ]]</f>
        <v>0</v>
      </c>
      <c r="CV162"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62"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62" s="906">
        <f>WWWW[[#This Row],[HRP1]]/500</f>
        <v>0</v>
      </c>
      <c r="CY162" s="911">
        <f>1-WWWW[[#This Row],[% Equitable and continuous access to sufficient quantity of domestic water]]</f>
        <v>1</v>
      </c>
      <c r="CZ162" s="906">
        <f>WWWW[[#This Row],[%equitable and continuous access to sufficient quantity of safe drinking and domestic water''s GAP]]*WWWW[[#This Row],[Total PoP ]]</f>
        <v>504</v>
      </c>
      <c r="DA162" s="909">
        <f>IF(WWWW[[#This Row],[Total required water points]]-WWWW[[#This Row],['#Water points coverage]]&lt;0,0,WWWW[[#This Row],[Total required water points]]-WWWW[[#This Row],['#Water points coverage]])</f>
        <v>1</v>
      </c>
      <c r="DB162" s="909">
        <f>ROUND(IF(WWWW[[#This Row],[Total PoP ]]&lt;500,1,WWWW[[#This Row],[Total PoP ]]/500),0)</f>
        <v>1</v>
      </c>
      <c r="DC162" s="909">
        <f>(WWWW[[#This Row],['#_Constructed latrines_by_WASHAgencies]]+WWWW[[#This Row],['#_Non Cluster partner latrines]])-WWWW[[#This Row],['#_Non-functional latrines]]</f>
        <v>0</v>
      </c>
      <c r="DD162" s="615">
        <f>WWWW[[#This Row],[HRP2]]/WWWW[[#This Row],[Total PoP ]]</f>
        <v>0</v>
      </c>
      <c r="DE162"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62"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62"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2" s="417">
        <f>IF(WWWW[[#This Row],['# of functional latrines in THF supported by WASH partners during the reporting period2]]="",0,WWWW[[#This Row],['# of functional latrines in THF supported by WASH partners during the reporting period2]]*50)</f>
        <v>0</v>
      </c>
      <c r="DI162" s="909">
        <f>ROUND(IF(WWWW[[#This Row],[Location Type 1]]="camp",WWWW[[#This Row],[Total PoP ]]/20,IF(WWWW[[#This Row],[Location Type 1]]="Temporary Location",WWWW[[#This Row],[Total PoP ]]/50,(WWWW[[#This Row],[Total PoP ]]/6))),0)</f>
        <v>25</v>
      </c>
      <c r="DJ162" s="909">
        <f>IF(WWWW[[#This Row],[Total required Latrines]]-(WWWW[[#This Row],['#_Constructed latrines_by_WASHAgencies]]+WWWW[[#This Row],['#_Non Cluster partner latrines]])&lt;0,0,WWWW[[#This Row],[Total required Latrines]]-(WWWW[[#This Row],['#_Constructed latrines_by_WASHAgencies]]+WWWW[[#This Row],['#_Non Cluster partner latrines]]))</f>
        <v>25</v>
      </c>
      <c r="DK162" s="911">
        <f>1-WWWW[[#This Row],[% people access to functioning Latrine]]</f>
        <v>1</v>
      </c>
      <c r="DL162" s="910">
        <f>IF(OR(WWWW[[#This Row],['#_Non-functional latrines]]="",WWWW[[#This Row],['#_Non-functional latrines]]=0),0,WWWW[[#This Row],['#_Non-functional latrines]]/(WWWW[[#This Row],['#_Constructed latrines_by_WASHAgencies]]+WWWW[[#This Row],['#_Non Cluster partner latrines]]))</f>
        <v>0</v>
      </c>
      <c r="DM162" s="906">
        <f>IF(500*(WWWW[[#This Row],['#_male hygiene promoters]]+WWWW[[#This Row],['#_female hygiene promoters]])&gt;WWWW[[#This Row],[Total PoP ]],WWWW[[#This Row],[Total PoP ]],500*(WWWW[[#This Row],['#_male hygiene promoters]]+WWWW[[#This Row],['#_female hygiene promoters]]))</f>
        <v>0</v>
      </c>
      <c r="DN162"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2"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2" s="909">
        <f>IF(WWWW[[#This Row],['# People with access to soap]]&gt;WWWW[[#This Row],['# People with access to Sanity Pads]],WWWW[[#This Row],['# People with access to soap]],WWWW[[#This Row],['# People with access to Sanity Pads]])</f>
        <v>0</v>
      </c>
      <c r="DQ162"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62" s="911">
        <f>IF(WWWW[[#This Row],[HRP3]]/WWWW[[#This Row],[Total PoP ]]&gt;1,1,WWWW[[#This Row],[HRP3]]/WWWW[[#This Row],[Total PoP ]])</f>
        <v>0</v>
      </c>
      <c r="DS162" s="910">
        <f>1-WWWW[[#This Row],[Hygiene Coverage%]]</f>
        <v>1</v>
      </c>
      <c r="DT162" s="908">
        <f>WWWW[[#This Row],['# people reached by regular dedicated hygiene promotion_5]]/WWWW[[#This Row],[Total PoP ]]</f>
        <v>0</v>
      </c>
      <c r="DU162"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2"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2" s="909">
        <f>WWWW[[#This Row],['#_Constructed/Existing hand washing stations]]-WWWW[[#This Row],['#_Non-Functional_hand_washing_stations]]</f>
        <v>0</v>
      </c>
      <c r="DX162" s="906">
        <f>IF(WWWW[[#This Row],['# Functional hand washing stations during reporting period]]*20&gt;WWWW[[#This Row],[Total HH]],WWWW[[#This Row],[Total HH]],WWWW[[#This Row],['# Functional hand washing stations during reporting period]]*20)</f>
        <v>0</v>
      </c>
      <c r="DY162" s="906">
        <f>IF(WWWW[[#This Row],[Is sufficient soap available for TLS? (Yes/No)]]="yes",WWWW[[#This Row],['#_Constructed/Existing hand washing stations at TLS/CFS/THF]],0)</f>
        <v>0</v>
      </c>
      <c r="DZ162" s="421">
        <f>IF(WWWW[[#This Row],['# Functional hand washing stations during reporting period]]*100&gt;WWWW[[#This Row],[Total PoP ]],WWWW[[#This Row],[Total PoP ]],WWWW[[#This Row],['# Functional hand washing stations during reporting period]]*100)</f>
        <v>0</v>
      </c>
      <c r="EA162" s="421" t="str">
        <f>IF(OR(WWWW[[#This Row],['#_students at TLS_CFS]]="",WWWW[[#This Row],['#_students at TLS_CFS]]=0),"No","Yes")</f>
        <v>No</v>
      </c>
      <c r="EB16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62" s="566">
        <f>WWWW[[#This Row],[%_of_affected_people_surveyed_who_report_feeling_satistfied_with_the_latrine_design_and_sanitation_service]]*WWWW[[#This Row],[Total PoP ]]</f>
        <v>0</v>
      </c>
      <c r="ED162" s="566">
        <f>WWWW[[#This Row],[%_of_affected_people_surveyed_who_report_feeling_satistfied_with_the_water_point_design_and_water_service]]*WWWW[[#This Row],[Total PoP ]]</f>
        <v>0</v>
      </c>
      <c r="EE162" s="566">
        <f>WWWW[[#This Row],[%_of_complaints_received_that_result_in_timely_corrective_action_and_feedback_to_the_community]]*WWWW[[#This Row],[Total PoP ]]</f>
        <v>0</v>
      </c>
      <c r="EF16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6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2" s="902">
        <f>VLOOKUP(WWWW[[#This Row],[Site Name]],SiteDB6[[Site Name]:[CCCM Management]],6,FALSE)</f>
        <v>0</v>
      </c>
      <c r="EJ162" s="902" t="str">
        <f>VLOOKUP(WWWW[[#This Row],[Site Name]],SiteDB6[[Site Name]:[CCCM Focal Agency]],7,FALSE)</f>
        <v>uncovered</v>
      </c>
      <c r="EK162" s="902" t="str">
        <f>VLOOKUP(WWWW[[#This Row],[Site Name]],SiteDB6[[Site Name]:[Location Type 1]],9,FALSE)</f>
        <v>Camp</v>
      </c>
      <c r="EL162" s="902" t="str">
        <f>VLOOKUP(WWWW[[#This Row],[Site Name]],SiteDB6[[Site Name]:[Type of Accommodation]],10,FALSE)</f>
        <v>IDPs in host</v>
      </c>
      <c r="EM162" s="902" t="str">
        <f>VLOOKUP(WWWW[[#This Row],[Site Name]],SiteDB6[[Site Name]:[Ethnic or GCA/NGCA]],11,FALSE)</f>
        <v>GCA</v>
      </c>
      <c r="EN162" s="902">
        <f>VLOOKUP(WWWW[[#This Row],[Site Name]],SiteDB6[[Site Name]:[Lat]],12,FALSE)</f>
        <v>22.325900000000001</v>
      </c>
      <c r="EO162" s="902">
        <f>VLOOKUP(WWWW[[#This Row],[Site Name]],SiteDB6[[Site Name]:[Long]],13,FALSE)</f>
        <v>97.021000000000001</v>
      </c>
      <c r="EP162" s="902" t="str">
        <f>VLOOKUP(WWWW[[#This Row],[Site Name]],SiteDB6[[Site Name]:[Pcode]],3,FALSE)</f>
        <v>MMR015CMP075</v>
      </c>
      <c r="EQ162" s="907" t="str">
        <f t="shared" si="2"/>
        <v>Notcovered</v>
      </c>
      <c r="ER162" s="907"/>
      <c r="ES162" s="907"/>
      <c r="ET162" s="902">
        <f>VLOOKUP(WWWW[[#This Row],[Site Name]],SiteDB6[[Site Name]:[Pop
(Kachin/Shan-CCCM as of May 2023)]],16,FALSE)</f>
        <v>941</v>
      </c>
      <c r="EU162" s="902">
        <f>VLOOKUP(WWWW[[#This Row],[Site Name]],SiteDB6[[Site Name]:[Pop
(Kachin/Shan-CCCM as of May 2023)]],17,FALSE)</f>
        <v>3558</v>
      </c>
    </row>
    <row r="163" spans="1:151" hidden="1">
      <c r="A163" s="900" t="s">
        <v>2961</v>
      </c>
      <c r="B163" s="900" t="s">
        <v>309</v>
      </c>
      <c r="C163" s="901" t="s">
        <v>309</v>
      </c>
      <c r="D163" s="901"/>
      <c r="E163" s="901" t="s">
        <v>515</v>
      </c>
      <c r="F163" s="901" t="s">
        <v>956</v>
      </c>
      <c r="G163" s="902" t="str">
        <f>VLOOKUP(WWWW[[#This Row],[Site Name]],SiteDB6[[Site Name]:[Location Type]],8,FALSE)</f>
        <v>Camp</v>
      </c>
      <c r="H163" s="901" t="s">
        <v>2985</v>
      </c>
      <c r="I163" s="903">
        <v>7</v>
      </c>
      <c r="J163" s="903">
        <v>30</v>
      </c>
      <c r="K163" s="904"/>
      <c r="L163" s="905"/>
      <c r="M163" s="903"/>
      <c r="N163" s="903"/>
      <c r="O163" s="903"/>
      <c r="P163" s="903"/>
      <c r="Q163" s="906"/>
      <c r="R163" s="903"/>
      <c r="S163" s="903"/>
      <c r="T163" s="441"/>
      <c r="U163" s="903"/>
      <c r="V163" s="903"/>
      <c r="W163" s="903"/>
      <c r="X163" s="903"/>
      <c r="Y163" s="903"/>
      <c r="Z163" s="903"/>
      <c r="AA163" s="903"/>
      <c r="AB163" s="903"/>
      <c r="AC163" s="903"/>
      <c r="AD163" s="903"/>
      <c r="AE163" s="903"/>
      <c r="AF163" s="903"/>
      <c r="AG163" s="903"/>
      <c r="AH163" s="903"/>
      <c r="AI163" s="903"/>
      <c r="AJ163" s="903"/>
      <c r="AK163" s="903"/>
      <c r="AL163" s="903"/>
      <c r="AM163" s="903"/>
      <c r="AN163" s="903"/>
      <c r="AO163" s="441"/>
      <c r="AP163" s="907"/>
      <c r="AQ163" s="903"/>
      <c r="AR163" s="903"/>
      <c r="AS163" s="908"/>
      <c r="AT163" s="903"/>
      <c r="AU163" s="903"/>
      <c r="AV163" s="903"/>
      <c r="AW163" s="903"/>
      <c r="AX163" s="903"/>
      <c r="AY163" s="902"/>
      <c r="AZ163" s="907"/>
      <c r="BA163" s="903"/>
      <c r="BB163" s="903"/>
      <c r="BC163" s="903"/>
      <c r="BD163" s="441"/>
      <c r="BE163" s="441"/>
      <c r="BF163" s="902"/>
      <c r="BG163" s="903"/>
      <c r="BH163" s="903"/>
      <c r="BI163" s="903"/>
      <c r="BJ163" s="903"/>
      <c r="BK163" s="903"/>
      <c r="BL163" s="903"/>
      <c r="BM163" s="903"/>
      <c r="BN163" s="903"/>
      <c r="BO163" s="903"/>
      <c r="BP163" s="902"/>
      <c r="BQ163" s="909"/>
      <c r="BR163" s="908"/>
      <c r="BS163" s="902"/>
      <c r="BT163" s="416"/>
      <c r="BU163" s="416"/>
      <c r="BV163" s="418"/>
      <c r="BW163" s="416"/>
      <c r="BX163" s="441"/>
      <c r="BY163" s="441"/>
      <c r="BZ163" s="441"/>
      <c r="CA163" s="441"/>
      <c r="CB163" s="441"/>
      <c r="CC163" s="693"/>
      <c r="CD163" s="441"/>
      <c r="CE163" s="910" t="str">
        <f>IFERROR(WWWW[[#This Row],['#_Water sources passed]]/WWWW[[#This Row],['#_Water sources tested for fecal coliform ]],"no test")</f>
        <v>no test</v>
      </c>
      <c r="CF163" s="908" t="str">
        <f>IFERROR(WWWW[[#This Row],['#_Household passed]]/WWWW[[#This Row],['#_Household water samples tested for fecal coliform]],"no test")</f>
        <v>no test</v>
      </c>
      <c r="CG163" s="909" t="str">
        <f>IF(AND(WWWW[[#This Row],[% of water sources passed]]="no test",WWWW[[#This Row],[% Household passed]]="no test"),"No Test","Tested")</f>
        <v>No Test</v>
      </c>
      <c r="CH163" s="909">
        <f>WWWW[[#This Row],['#_Constructed/existing protected hand dug well]]-WWWW[[#This Row],['#_Non-functional protected hand dug well]]</f>
        <v>0</v>
      </c>
      <c r="CI163" s="909">
        <f>(WWWW[[#This Row],['#_Constructed/Existing tube wells/boreholes/handpumps_WASH_agency]]+WWWW[[#This Row],['#_Non-Cluster partner water tube-wells/boreholes/handpumps]])-WWWW[[#This Row],['#_Non-functional tube wells/boreholes/handpumps]]</f>
        <v>0</v>
      </c>
      <c r="CJ163" s="909">
        <f>WWWW[[#This Row],['#_Constructed/Existingwater storage tank with gravity fed reticulation system]]-WWWW[[#This Row],['#_Non-functional storage tank gravity fed reticulation system]]</f>
        <v>0</v>
      </c>
      <c r="CK163" s="909">
        <f>(WWWW[[#This Row],['#_Water_Liters_supplied_by_Water boating or water trucking]]/90)/15</f>
        <v>0</v>
      </c>
      <c r="CL163" s="909">
        <f>WWWW[[#This Row],['#_Water_Liters_from_Constructed/Existing water distribution system from river or natural spring]]/90/15</f>
        <v>0</v>
      </c>
      <c r="CM163" s="417">
        <f>IF(WWWW[[#This Row],['#_of water points in TLS/CFS]]*500&gt;WWWW[[#This Row],[Total PoP ]],WWWW[[#This Row],[Total PoP ]],WWWW[[#This Row],['#_of water points in TLS/CFS]]*500)</f>
        <v>0</v>
      </c>
      <c r="CN163" s="417">
        <f>IF(WWWW[[#This Row],['#_of water points in THF]]*500&gt;WWWW[[#This Row],[Total PoP ]],WWWW[[#This Row],[Total PoP ]],WWWW[[#This Row],['#_of water points in THF]]*500)</f>
        <v>0</v>
      </c>
      <c r="CO163" s="417"/>
      <c r="CP163"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63"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63" s="908">
        <f>IF(WWWW[[#This Row],[Location Type 1]]="Village",WWWW[[#This Row],[Access to safe drinking water for Village]],WWWW[[#This Row],[Access to safe drinking water for Camp]])</f>
        <v>0</v>
      </c>
      <c r="CS163" s="906">
        <f>WWWW[[#This Row],[%Equitable and continuous access to sufficient quantity of safe drinking water]]*WWWW[[#This Row],[Total PoP ]]</f>
        <v>0</v>
      </c>
      <c r="CT163" s="908">
        <f>IF((WWWW[[#This Row],['#_Constructed/Existing protected/fenced ponds]]*250)/WWWW[[#This Row],[Total PoP ]]&gt;1,1,(WWWW[[#This Row],['#_Constructed/Existing protected/fenced ponds]]*250)/WWWW[[#This Row],[Total PoP ]])</f>
        <v>0</v>
      </c>
      <c r="CU163" s="906">
        <f>WWWW[[#This Row],[% Access to unimproved water points]]*WWWW[[#This Row],[Total PoP ]]</f>
        <v>0</v>
      </c>
      <c r="CV163"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63"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63" s="906">
        <f>WWWW[[#This Row],[HRP1]]/500</f>
        <v>0</v>
      </c>
      <c r="CY163" s="911">
        <f>1-WWWW[[#This Row],[% Equitable and continuous access to sufficient quantity of domestic water]]</f>
        <v>1</v>
      </c>
      <c r="CZ163" s="906">
        <f>WWWW[[#This Row],[%equitable and continuous access to sufficient quantity of safe drinking and domestic water''s GAP]]*WWWW[[#This Row],[Total PoP ]]</f>
        <v>30</v>
      </c>
      <c r="DA163" s="909">
        <f>IF(WWWW[[#This Row],[Total required water points]]-WWWW[[#This Row],['#Water points coverage]]&lt;0,0,WWWW[[#This Row],[Total required water points]]-WWWW[[#This Row],['#Water points coverage]])</f>
        <v>1</v>
      </c>
      <c r="DB163" s="909">
        <f>ROUND(IF(WWWW[[#This Row],[Total PoP ]]&lt;500,1,WWWW[[#This Row],[Total PoP ]]/500),0)</f>
        <v>1</v>
      </c>
      <c r="DC163" s="909">
        <f>(WWWW[[#This Row],['#_Constructed latrines_by_WASHAgencies]]+WWWW[[#This Row],['#_Non Cluster partner latrines]])-WWWW[[#This Row],['#_Non-functional latrines]]</f>
        <v>0</v>
      </c>
      <c r="DD163" s="615">
        <f>WWWW[[#This Row],[HRP2]]/WWWW[[#This Row],[Total PoP ]]</f>
        <v>0</v>
      </c>
      <c r="DE163"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63"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63"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3" s="417">
        <f>IF(WWWW[[#This Row],['# of functional latrines in THF supported by WASH partners during the reporting period2]]="",0,WWWW[[#This Row],['# of functional latrines in THF supported by WASH partners during the reporting period2]]*50)</f>
        <v>0</v>
      </c>
      <c r="DI163" s="909">
        <f>ROUND(IF(WWWW[[#This Row],[Location Type 1]]="camp",WWWW[[#This Row],[Total PoP ]]/20,IF(WWWW[[#This Row],[Location Type 1]]="Temporary Location",WWWW[[#This Row],[Total PoP ]]/50,(WWWW[[#This Row],[Total PoP ]]/6))),0)</f>
        <v>2</v>
      </c>
      <c r="DJ163" s="909">
        <f>IF(WWWW[[#This Row],[Total required Latrines]]-(WWWW[[#This Row],['#_Constructed latrines_by_WASHAgencies]]+WWWW[[#This Row],['#_Non Cluster partner latrines]])&lt;0,0,WWWW[[#This Row],[Total required Latrines]]-(WWWW[[#This Row],['#_Constructed latrines_by_WASHAgencies]]+WWWW[[#This Row],['#_Non Cluster partner latrines]]))</f>
        <v>2</v>
      </c>
      <c r="DK163" s="911">
        <f>1-WWWW[[#This Row],[% people access to functioning Latrine]]</f>
        <v>1</v>
      </c>
      <c r="DL163" s="910">
        <f>IF(OR(WWWW[[#This Row],['#_Non-functional latrines]]="",WWWW[[#This Row],['#_Non-functional latrines]]=0),0,WWWW[[#This Row],['#_Non-functional latrines]]/(WWWW[[#This Row],['#_Constructed latrines_by_WASHAgencies]]+WWWW[[#This Row],['#_Non Cluster partner latrines]]))</f>
        <v>0</v>
      </c>
      <c r="DM163" s="906">
        <f>IF(500*(WWWW[[#This Row],['#_male hygiene promoters]]+WWWW[[#This Row],['#_female hygiene promoters]])&gt;WWWW[[#This Row],[Total PoP ]],WWWW[[#This Row],[Total PoP ]],500*(WWWW[[#This Row],['#_male hygiene promoters]]+WWWW[[#This Row],['#_female hygiene promoters]]))</f>
        <v>0</v>
      </c>
      <c r="DN163"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3"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3" s="909">
        <f>IF(WWWW[[#This Row],['# People with access to soap]]&gt;WWWW[[#This Row],['# People with access to Sanity Pads]],WWWW[[#This Row],['# People with access to soap]],WWWW[[#This Row],['# People with access to Sanity Pads]])</f>
        <v>0</v>
      </c>
      <c r="DQ163"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63" s="911">
        <f>IF(WWWW[[#This Row],[HRP3]]/WWWW[[#This Row],[Total PoP ]]&gt;1,1,WWWW[[#This Row],[HRP3]]/WWWW[[#This Row],[Total PoP ]])</f>
        <v>0</v>
      </c>
      <c r="DS163" s="910">
        <f>1-WWWW[[#This Row],[Hygiene Coverage%]]</f>
        <v>1</v>
      </c>
      <c r="DT163" s="908">
        <f>WWWW[[#This Row],['# people reached by regular dedicated hygiene promotion_5]]/WWWW[[#This Row],[Total PoP ]]</f>
        <v>0</v>
      </c>
      <c r="DU163"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3"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3" s="909">
        <f>WWWW[[#This Row],['#_Constructed/Existing hand washing stations]]-WWWW[[#This Row],['#_Non-Functional_hand_washing_stations]]</f>
        <v>0</v>
      </c>
      <c r="DX163" s="906">
        <f>IF(WWWW[[#This Row],['# Functional hand washing stations during reporting period]]*20&gt;WWWW[[#This Row],[Total HH]],WWWW[[#This Row],[Total HH]],WWWW[[#This Row],['# Functional hand washing stations during reporting period]]*20)</f>
        <v>0</v>
      </c>
      <c r="DY163" s="906">
        <f>IF(WWWW[[#This Row],[Is sufficient soap available for TLS? (Yes/No)]]="yes",WWWW[[#This Row],['#_Constructed/Existing hand washing stations at TLS/CFS/THF]],0)</f>
        <v>0</v>
      </c>
      <c r="DZ163" s="421">
        <f>IF(WWWW[[#This Row],['# Functional hand washing stations during reporting period]]*100&gt;WWWW[[#This Row],[Total PoP ]],WWWW[[#This Row],[Total PoP ]],WWWW[[#This Row],['# Functional hand washing stations during reporting period]]*100)</f>
        <v>0</v>
      </c>
      <c r="EA163" s="421" t="str">
        <f>IF(OR(WWWW[[#This Row],['#_students at TLS_CFS]]="",WWWW[[#This Row],['#_students at TLS_CFS]]=0),"No","Yes")</f>
        <v>No</v>
      </c>
      <c r="EB16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63" s="566">
        <f>WWWW[[#This Row],[%_of_affected_people_surveyed_who_report_feeling_satistfied_with_the_latrine_design_and_sanitation_service]]*WWWW[[#This Row],[Total PoP ]]</f>
        <v>0</v>
      </c>
      <c r="ED163" s="566">
        <f>WWWW[[#This Row],[%_of_affected_people_surveyed_who_report_feeling_satistfied_with_the_water_point_design_and_water_service]]*WWWW[[#This Row],[Total PoP ]]</f>
        <v>0</v>
      </c>
      <c r="EE163" s="566">
        <f>WWWW[[#This Row],[%_of_complaints_received_that_result_in_timely_corrective_action_and_feedback_to_the_community]]*WWWW[[#This Row],[Total PoP ]]</f>
        <v>0</v>
      </c>
      <c r="EF16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6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3" s="902">
        <f>VLOOKUP(WWWW[[#This Row],[Site Name]],SiteDB6[[Site Name]:[CCCM Management]],6,FALSE)</f>
        <v>0</v>
      </c>
      <c r="EJ163" s="902" t="str">
        <f>VLOOKUP(WWWW[[#This Row],[Site Name]],SiteDB6[[Site Name]:[CCCM Focal Agency]],7,FALSE)</f>
        <v>Uncovered</v>
      </c>
      <c r="EK163" s="902" t="str">
        <f>VLOOKUP(WWWW[[#This Row],[Site Name]],SiteDB6[[Site Name]:[Location Type 1]],9,FALSE)</f>
        <v>Camp</v>
      </c>
      <c r="EL163" s="902" t="str">
        <f>VLOOKUP(WWWW[[#This Row],[Site Name]],SiteDB6[[Site Name]:[Type of Accommodation]],10,FALSE)</f>
        <v>Camp like setting</v>
      </c>
      <c r="EM163" s="902" t="str">
        <f>VLOOKUP(WWWW[[#This Row],[Site Name]],SiteDB6[[Site Name]:[Ethnic or GCA/NGCA]],11,FALSE)</f>
        <v>GCA</v>
      </c>
      <c r="EN163" s="902">
        <f>VLOOKUP(WWWW[[#This Row],[Site Name]],SiteDB6[[Site Name]:[Lat]],12,FALSE)</f>
        <v>0</v>
      </c>
      <c r="EO163" s="902" t="str">
        <f>VLOOKUP(WWWW[[#This Row],[Site Name]],SiteDB6[[Site Name]:[Long]],13,FALSE)</f>
        <v>not available</v>
      </c>
      <c r="EP163" s="902" t="str">
        <f>VLOOKUP(WWWW[[#This Row],[Site Name]],SiteDB6[[Site Name]:[Pcode]],3,FALSE)</f>
        <v>MMR015CMP096</v>
      </c>
      <c r="EQ163" s="907" t="str">
        <f t="shared" si="2"/>
        <v>Notcovered</v>
      </c>
      <c r="ER163" s="907"/>
      <c r="ES163" s="907"/>
      <c r="ET163" s="902">
        <f>VLOOKUP(WWWW[[#This Row],[Site Name]],SiteDB6[[Site Name]:[Pop
(Kachin/Shan-CCCM as of May 2023)]],16,FALSE)</f>
        <v>7</v>
      </c>
      <c r="EU163" s="902">
        <f>VLOOKUP(WWWW[[#This Row],[Site Name]],SiteDB6[[Site Name]:[Pop
(Kachin/Shan-CCCM as of May 2023)]],17,FALSE)</f>
        <v>30</v>
      </c>
    </row>
    <row r="164" spans="1:151" hidden="1">
      <c r="A164" s="900" t="s">
        <v>2961</v>
      </c>
      <c r="B164" s="900" t="s">
        <v>309</v>
      </c>
      <c r="C164" s="901" t="s">
        <v>309</v>
      </c>
      <c r="D164" s="901"/>
      <c r="E164" s="901" t="s">
        <v>515</v>
      </c>
      <c r="F164" s="901" t="s">
        <v>956</v>
      </c>
      <c r="G164" s="902" t="str">
        <f>VLOOKUP(WWWW[[#This Row],[Site Name]],SiteDB6[[Site Name]:[Location Type]],8,FALSE)</f>
        <v>Camp</v>
      </c>
      <c r="H164" s="901" t="s">
        <v>2973</v>
      </c>
      <c r="I164" s="903">
        <v>19</v>
      </c>
      <c r="J164" s="903">
        <v>82</v>
      </c>
      <c r="K164" s="904"/>
      <c r="L164" s="905"/>
      <c r="M164" s="903"/>
      <c r="N164" s="903"/>
      <c r="O164" s="903"/>
      <c r="P164" s="903"/>
      <c r="Q164" s="906"/>
      <c r="R164" s="903"/>
      <c r="S164" s="903"/>
      <c r="T164" s="441"/>
      <c r="U164" s="903"/>
      <c r="V164" s="903"/>
      <c r="W164" s="903"/>
      <c r="X164" s="903"/>
      <c r="Y164" s="903"/>
      <c r="Z164" s="903"/>
      <c r="AA164" s="903"/>
      <c r="AB164" s="903"/>
      <c r="AC164" s="903"/>
      <c r="AD164" s="903"/>
      <c r="AE164" s="903"/>
      <c r="AF164" s="903"/>
      <c r="AG164" s="903"/>
      <c r="AH164" s="903"/>
      <c r="AI164" s="903"/>
      <c r="AJ164" s="903"/>
      <c r="AK164" s="903"/>
      <c r="AL164" s="903"/>
      <c r="AM164" s="903"/>
      <c r="AN164" s="903"/>
      <c r="AO164" s="441"/>
      <c r="AP164" s="907"/>
      <c r="AQ164" s="903"/>
      <c r="AR164" s="903"/>
      <c r="AS164" s="908"/>
      <c r="AT164" s="903"/>
      <c r="AU164" s="903"/>
      <c r="AV164" s="903"/>
      <c r="AW164" s="903"/>
      <c r="AX164" s="903"/>
      <c r="AY164" s="902"/>
      <c r="AZ164" s="907"/>
      <c r="BA164" s="903"/>
      <c r="BB164" s="903"/>
      <c r="BC164" s="903"/>
      <c r="BD164" s="441"/>
      <c r="BE164" s="441"/>
      <c r="BF164" s="902"/>
      <c r="BG164" s="903"/>
      <c r="BH164" s="903"/>
      <c r="BI164" s="903"/>
      <c r="BJ164" s="903"/>
      <c r="BK164" s="903"/>
      <c r="BL164" s="903"/>
      <c r="BM164" s="903"/>
      <c r="BN164" s="903"/>
      <c r="BO164" s="903"/>
      <c r="BP164" s="902"/>
      <c r="BQ164" s="909"/>
      <c r="BR164" s="908"/>
      <c r="BS164" s="902"/>
      <c r="BT164" s="416"/>
      <c r="BU164" s="416"/>
      <c r="BV164" s="418"/>
      <c r="BW164" s="416"/>
      <c r="BX164" s="441"/>
      <c r="BY164" s="441"/>
      <c r="BZ164" s="441"/>
      <c r="CA164" s="441"/>
      <c r="CB164" s="441"/>
      <c r="CC164" s="693"/>
      <c r="CD164" s="441"/>
      <c r="CE164" s="910" t="str">
        <f>IFERROR(WWWW[[#This Row],['#_Water sources passed]]/WWWW[[#This Row],['#_Water sources tested for fecal coliform ]],"no test")</f>
        <v>no test</v>
      </c>
      <c r="CF164" s="908" t="str">
        <f>IFERROR(WWWW[[#This Row],['#_Household passed]]/WWWW[[#This Row],['#_Household water samples tested for fecal coliform]],"no test")</f>
        <v>no test</v>
      </c>
      <c r="CG164" s="909" t="str">
        <f>IF(AND(WWWW[[#This Row],[% of water sources passed]]="no test",WWWW[[#This Row],[% Household passed]]="no test"),"No Test","Tested")</f>
        <v>No Test</v>
      </c>
      <c r="CH164" s="909">
        <f>WWWW[[#This Row],['#_Constructed/existing protected hand dug well]]-WWWW[[#This Row],['#_Non-functional protected hand dug well]]</f>
        <v>0</v>
      </c>
      <c r="CI164" s="909">
        <f>(WWWW[[#This Row],['#_Constructed/Existing tube wells/boreholes/handpumps_WASH_agency]]+WWWW[[#This Row],['#_Non-Cluster partner water tube-wells/boreholes/handpumps]])-WWWW[[#This Row],['#_Non-functional tube wells/boreholes/handpumps]]</f>
        <v>0</v>
      </c>
      <c r="CJ164" s="909">
        <f>WWWW[[#This Row],['#_Constructed/Existingwater storage tank with gravity fed reticulation system]]-WWWW[[#This Row],['#_Non-functional storage tank gravity fed reticulation system]]</f>
        <v>0</v>
      </c>
      <c r="CK164" s="909">
        <f>(WWWW[[#This Row],['#_Water_Liters_supplied_by_Water boating or water trucking]]/90)/15</f>
        <v>0</v>
      </c>
      <c r="CL164" s="909">
        <f>WWWW[[#This Row],['#_Water_Liters_from_Constructed/Existing water distribution system from river or natural spring]]/90/15</f>
        <v>0</v>
      </c>
      <c r="CM164" s="417">
        <f>IF(WWWW[[#This Row],['#_of water points in TLS/CFS]]*500&gt;WWWW[[#This Row],[Total PoP ]],WWWW[[#This Row],[Total PoP ]],WWWW[[#This Row],['#_of water points in TLS/CFS]]*500)</f>
        <v>0</v>
      </c>
      <c r="CN164" s="417">
        <f>IF(WWWW[[#This Row],['#_of water points in THF]]*500&gt;WWWW[[#This Row],[Total PoP ]],WWWW[[#This Row],[Total PoP ]],WWWW[[#This Row],['#_of water points in THF]]*500)</f>
        <v>0</v>
      </c>
      <c r="CO164" s="417"/>
      <c r="CP164"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64"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64" s="908">
        <f>IF(WWWW[[#This Row],[Location Type 1]]="Village",WWWW[[#This Row],[Access to safe drinking water for Village]],WWWW[[#This Row],[Access to safe drinking water for Camp]])</f>
        <v>0</v>
      </c>
      <c r="CS164" s="906">
        <f>WWWW[[#This Row],[%Equitable and continuous access to sufficient quantity of safe drinking water]]*WWWW[[#This Row],[Total PoP ]]</f>
        <v>0</v>
      </c>
      <c r="CT164" s="908">
        <f>IF((WWWW[[#This Row],['#_Constructed/Existing protected/fenced ponds]]*250)/WWWW[[#This Row],[Total PoP ]]&gt;1,1,(WWWW[[#This Row],['#_Constructed/Existing protected/fenced ponds]]*250)/WWWW[[#This Row],[Total PoP ]])</f>
        <v>0</v>
      </c>
      <c r="CU164" s="906">
        <f>WWWW[[#This Row],[% Access to unimproved water points]]*WWWW[[#This Row],[Total PoP ]]</f>
        <v>0</v>
      </c>
      <c r="CV164"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64"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64" s="906">
        <f>WWWW[[#This Row],[HRP1]]/500</f>
        <v>0</v>
      </c>
      <c r="CY164" s="911">
        <f>1-WWWW[[#This Row],[% Equitable and continuous access to sufficient quantity of domestic water]]</f>
        <v>1</v>
      </c>
      <c r="CZ164" s="906">
        <f>WWWW[[#This Row],[%equitable and continuous access to sufficient quantity of safe drinking and domestic water''s GAP]]*WWWW[[#This Row],[Total PoP ]]</f>
        <v>82</v>
      </c>
      <c r="DA164" s="909">
        <f>IF(WWWW[[#This Row],[Total required water points]]-WWWW[[#This Row],['#Water points coverage]]&lt;0,0,WWWW[[#This Row],[Total required water points]]-WWWW[[#This Row],['#Water points coverage]])</f>
        <v>1</v>
      </c>
      <c r="DB164" s="909">
        <f>ROUND(IF(WWWW[[#This Row],[Total PoP ]]&lt;500,1,WWWW[[#This Row],[Total PoP ]]/500),0)</f>
        <v>1</v>
      </c>
      <c r="DC164" s="909">
        <f>(WWWW[[#This Row],['#_Constructed latrines_by_WASHAgencies]]+WWWW[[#This Row],['#_Non Cluster partner latrines]])-WWWW[[#This Row],['#_Non-functional latrines]]</f>
        <v>0</v>
      </c>
      <c r="DD164" s="615">
        <f>WWWW[[#This Row],[HRP2]]/WWWW[[#This Row],[Total PoP ]]</f>
        <v>0</v>
      </c>
      <c r="DE164"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64"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64"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4" s="417">
        <f>IF(WWWW[[#This Row],['# of functional latrines in THF supported by WASH partners during the reporting period2]]="",0,WWWW[[#This Row],['# of functional latrines in THF supported by WASH partners during the reporting period2]]*50)</f>
        <v>0</v>
      </c>
      <c r="DI164" s="909">
        <f>ROUND(IF(WWWW[[#This Row],[Location Type 1]]="camp",WWWW[[#This Row],[Total PoP ]]/20,IF(WWWW[[#This Row],[Location Type 1]]="Temporary Location",WWWW[[#This Row],[Total PoP ]]/50,(WWWW[[#This Row],[Total PoP ]]/6))),0)</f>
        <v>4</v>
      </c>
      <c r="DJ164" s="909">
        <f>IF(WWWW[[#This Row],[Total required Latrines]]-(WWWW[[#This Row],['#_Constructed latrines_by_WASHAgencies]]+WWWW[[#This Row],['#_Non Cluster partner latrines]])&lt;0,0,WWWW[[#This Row],[Total required Latrines]]-(WWWW[[#This Row],['#_Constructed latrines_by_WASHAgencies]]+WWWW[[#This Row],['#_Non Cluster partner latrines]]))</f>
        <v>4</v>
      </c>
      <c r="DK164" s="911">
        <f>1-WWWW[[#This Row],[% people access to functioning Latrine]]</f>
        <v>1</v>
      </c>
      <c r="DL164" s="910">
        <f>IF(OR(WWWW[[#This Row],['#_Non-functional latrines]]="",WWWW[[#This Row],['#_Non-functional latrines]]=0),0,WWWW[[#This Row],['#_Non-functional latrines]]/(WWWW[[#This Row],['#_Constructed latrines_by_WASHAgencies]]+WWWW[[#This Row],['#_Non Cluster partner latrines]]))</f>
        <v>0</v>
      </c>
      <c r="DM164" s="906">
        <f>IF(500*(WWWW[[#This Row],['#_male hygiene promoters]]+WWWW[[#This Row],['#_female hygiene promoters]])&gt;WWWW[[#This Row],[Total PoP ]],WWWW[[#This Row],[Total PoP ]],500*(WWWW[[#This Row],['#_male hygiene promoters]]+WWWW[[#This Row],['#_female hygiene promoters]]))</f>
        <v>0</v>
      </c>
      <c r="DN164"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4"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4" s="909">
        <f>IF(WWWW[[#This Row],['# People with access to soap]]&gt;WWWW[[#This Row],['# People with access to Sanity Pads]],WWWW[[#This Row],['# People with access to soap]],WWWW[[#This Row],['# People with access to Sanity Pads]])</f>
        <v>0</v>
      </c>
      <c r="DQ164"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64" s="911">
        <f>IF(WWWW[[#This Row],[HRP3]]/WWWW[[#This Row],[Total PoP ]]&gt;1,1,WWWW[[#This Row],[HRP3]]/WWWW[[#This Row],[Total PoP ]])</f>
        <v>0</v>
      </c>
      <c r="DS164" s="910">
        <f>1-WWWW[[#This Row],[Hygiene Coverage%]]</f>
        <v>1</v>
      </c>
      <c r="DT164" s="908">
        <f>WWWW[[#This Row],['# people reached by regular dedicated hygiene promotion_5]]/WWWW[[#This Row],[Total PoP ]]</f>
        <v>0</v>
      </c>
      <c r="DU164"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4"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4" s="909">
        <f>WWWW[[#This Row],['#_Constructed/Existing hand washing stations]]-WWWW[[#This Row],['#_Non-Functional_hand_washing_stations]]</f>
        <v>0</v>
      </c>
      <c r="DX164" s="906">
        <f>IF(WWWW[[#This Row],['# Functional hand washing stations during reporting period]]*20&gt;WWWW[[#This Row],[Total HH]],WWWW[[#This Row],[Total HH]],WWWW[[#This Row],['# Functional hand washing stations during reporting period]]*20)</f>
        <v>0</v>
      </c>
      <c r="DY164" s="906">
        <f>IF(WWWW[[#This Row],[Is sufficient soap available for TLS? (Yes/No)]]="yes",WWWW[[#This Row],['#_Constructed/Existing hand washing stations at TLS/CFS/THF]],0)</f>
        <v>0</v>
      </c>
      <c r="DZ164" s="421">
        <f>IF(WWWW[[#This Row],['# Functional hand washing stations during reporting period]]*100&gt;WWWW[[#This Row],[Total PoP ]],WWWW[[#This Row],[Total PoP ]],WWWW[[#This Row],['# Functional hand washing stations during reporting period]]*100)</f>
        <v>0</v>
      </c>
      <c r="EA164" s="421" t="str">
        <f>IF(OR(WWWW[[#This Row],['#_students at TLS_CFS]]="",WWWW[[#This Row],['#_students at TLS_CFS]]=0),"No","Yes")</f>
        <v>No</v>
      </c>
      <c r="EB16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64" s="566">
        <f>WWWW[[#This Row],[%_of_affected_people_surveyed_who_report_feeling_satistfied_with_the_latrine_design_and_sanitation_service]]*WWWW[[#This Row],[Total PoP ]]</f>
        <v>0</v>
      </c>
      <c r="ED164" s="566">
        <f>WWWW[[#This Row],[%_of_affected_people_surveyed_who_report_feeling_satistfied_with_the_water_point_design_and_water_service]]*WWWW[[#This Row],[Total PoP ]]</f>
        <v>0</v>
      </c>
      <c r="EE164" s="566">
        <f>WWWW[[#This Row],[%_of_complaints_received_that_result_in_timely_corrective_action_and_feedback_to_the_community]]*WWWW[[#This Row],[Total PoP ]]</f>
        <v>0</v>
      </c>
      <c r="EF16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6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4" s="902">
        <f>VLOOKUP(WWWW[[#This Row],[Site Name]],SiteDB6[[Site Name]:[CCCM Management]],6,FALSE)</f>
        <v>0</v>
      </c>
      <c r="EJ164" s="902" t="str">
        <f>VLOOKUP(WWWW[[#This Row],[Site Name]],SiteDB6[[Site Name]:[CCCM Focal Agency]],7,FALSE)</f>
        <v>Uncovered</v>
      </c>
      <c r="EK164" s="902" t="str">
        <f>VLOOKUP(WWWW[[#This Row],[Site Name]],SiteDB6[[Site Name]:[Location Type 1]],9,FALSE)</f>
        <v>Camp</v>
      </c>
      <c r="EL164" s="902" t="str">
        <f>VLOOKUP(WWWW[[#This Row],[Site Name]],SiteDB6[[Site Name]:[Type of Accommodation]],10,FALSE)</f>
        <v>Camp like setting</v>
      </c>
      <c r="EM164" s="902" t="str">
        <f>VLOOKUP(WWWW[[#This Row],[Site Name]],SiteDB6[[Site Name]:[Ethnic or GCA/NGCA]],11,FALSE)</f>
        <v>GCA</v>
      </c>
      <c r="EN164" s="902">
        <f>VLOOKUP(WWWW[[#This Row],[Site Name]],SiteDB6[[Site Name]:[Lat]],12,FALSE)</f>
        <v>22.97711</v>
      </c>
      <c r="EO164" s="902">
        <f>VLOOKUP(WWWW[[#This Row],[Site Name]],SiteDB6[[Site Name]:[Long]],13,FALSE)</f>
        <v>97.699299999999994</v>
      </c>
      <c r="EP164" s="902" t="str">
        <f>VLOOKUP(WWWW[[#This Row],[Site Name]],SiteDB6[[Site Name]:[Pcode]],3,FALSE)</f>
        <v>MMR015CMP086</v>
      </c>
      <c r="EQ164" s="907" t="str">
        <f t="shared" si="2"/>
        <v>Notcovered</v>
      </c>
      <c r="ER164" s="907"/>
      <c r="ES164" s="907"/>
      <c r="ET164" s="902">
        <f>VLOOKUP(WWWW[[#This Row],[Site Name]],SiteDB6[[Site Name]:[Pop
(Kachin/Shan-CCCM as of May 2023)]],16,FALSE)</f>
        <v>19</v>
      </c>
      <c r="EU164" s="902">
        <f>VLOOKUP(WWWW[[#This Row],[Site Name]],SiteDB6[[Site Name]:[Pop
(Kachin/Shan-CCCM as of May 2023)]],17,FALSE)</f>
        <v>82</v>
      </c>
    </row>
    <row r="165" spans="1:151" hidden="1">
      <c r="A165" s="900" t="s">
        <v>2961</v>
      </c>
      <c r="B165" s="900" t="s">
        <v>309</v>
      </c>
      <c r="C165" s="901" t="s">
        <v>309</v>
      </c>
      <c r="D165" s="901"/>
      <c r="E165" s="901" t="s">
        <v>515</v>
      </c>
      <c r="F165" s="901" t="s">
        <v>956</v>
      </c>
      <c r="G165" s="902" t="str">
        <f>VLOOKUP(WWWW[[#This Row],[Site Name]],SiteDB6[[Site Name]:[Location Type]],8,FALSE)</f>
        <v>Camp</v>
      </c>
      <c r="H165" s="901" t="s">
        <v>2981</v>
      </c>
      <c r="I165" s="903">
        <v>20</v>
      </c>
      <c r="J165" s="903">
        <v>61</v>
      </c>
      <c r="K165" s="904"/>
      <c r="L165" s="905"/>
      <c r="M165" s="903"/>
      <c r="N165" s="903"/>
      <c r="O165" s="903"/>
      <c r="P165" s="903"/>
      <c r="Q165" s="906"/>
      <c r="R165" s="903"/>
      <c r="S165" s="903"/>
      <c r="T165" s="441"/>
      <c r="U165" s="903"/>
      <c r="V165" s="903"/>
      <c r="W165" s="903"/>
      <c r="X165" s="903"/>
      <c r="Y165" s="903"/>
      <c r="Z165" s="903"/>
      <c r="AA165" s="903"/>
      <c r="AB165" s="903"/>
      <c r="AC165" s="903"/>
      <c r="AD165" s="903"/>
      <c r="AE165" s="903"/>
      <c r="AF165" s="903"/>
      <c r="AG165" s="903"/>
      <c r="AH165" s="903"/>
      <c r="AI165" s="903"/>
      <c r="AJ165" s="903"/>
      <c r="AK165" s="903"/>
      <c r="AL165" s="903"/>
      <c r="AM165" s="903"/>
      <c r="AN165" s="903"/>
      <c r="AO165" s="441"/>
      <c r="AP165" s="907"/>
      <c r="AQ165" s="903"/>
      <c r="AR165" s="903"/>
      <c r="AS165" s="908"/>
      <c r="AT165" s="903"/>
      <c r="AU165" s="903"/>
      <c r="AV165" s="903"/>
      <c r="AW165" s="903"/>
      <c r="AX165" s="903"/>
      <c r="AY165" s="902"/>
      <c r="AZ165" s="907"/>
      <c r="BA165" s="903"/>
      <c r="BB165" s="903"/>
      <c r="BC165" s="903"/>
      <c r="BD165" s="441"/>
      <c r="BE165" s="441"/>
      <c r="BF165" s="902"/>
      <c r="BG165" s="903"/>
      <c r="BH165" s="903"/>
      <c r="BI165" s="903"/>
      <c r="BJ165" s="903"/>
      <c r="BK165" s="903"/>
      <c r="BL165" s="903"/>
      <c r="BM165" s="903"/>
      <c r="BN165" s="903"/>
      <c r="BO165" s="903"/>
      <c r="BP165" s="902"/>
      <c r="BQ165" s="909"/>
      <c r="BR165" s="908"/>
      <c r="BS165" s="902"/>
      <c r="BT165" s="416"/>
      <c r="BU165" s="416"/>
      <c r="BV165" s="418"/>
      <c r="BW165" s="416"/>
      <c r="BX165" s="441"/>
      <c r="BY165" s="441"/>
      <c r="BZ165" s="441"/>
      <c r="CA165" s="441"/>
      <c r="CB165" s="441"/>
      <c r="CC165" s="693"/>
      <c r="CD165" s="441"/>
      <c r="CE165" s="910" t="str">
        <f>IFERROR(WWWW[[#This Row],['#_Water sources passed]]/WWWW[[#This Row],['#_Water sources tested for fecal coliform ]],"no test")</f>
        <v>no test</v>
      </c>
      <c r="CF165" s="908" t="str">
        <f>IFERROR(WWWW[[#This Row],['#_Household passed]]/WWWW[[#This Row],['#_Household water samples tested for fecal coliform]],"no test")</f>
        <v>no test</v>
      </c>
      <c r="CG165" s="909" t="str">
        <f>IF(AND(WWWW[[#This Row],[% of water sources passed]]="no test",WWWW[[#This Row],[% Household passed]]="no test"),"No Test","Tested")</f>
        <v>No Test</v>
      </c>
      <c r="CH165" s="909">
        <f>WWWW[[#This Row],['#_Constructed/existing protected hand dug well]]-WWWW[[#This Row],['#_Non-functional protected hand dug well]]</f>
        <v>0</v>
      </c>
      <c r="CI165" s="909">
        <f>(WWWW[[#This Row],['#_Constructed/Existing tube wells/boreholes/handpumps_WASH_agency]]+WWWW[[#This Row],['#_Non-Cluster partner water tube-wells/boreholes/handpumps]])-WWWW[[#This Row],['#_Non-functional tube wells/boreholes/handpumps]]</f>
        <v>0</v>
      </c>
      <c r="CJ165" s="909">
        <f>WWWW[[#This Row],['#_Constructed/Existingwater storage tank with gravity fed reticulation system]]-WWWW[[#This Row],['#_Non-functional storage tank gravity fed reticulation system]]</f>
        <v>0</v>
      </c>
      <c r="CK165" s="909">
        <f>(WWWW[[#This Row],['#_Water_Liters_supplied_by_Water boating or water trucking]]/90)/15</f>
        <v>0</v>
      </c>
      <c r="CL165" s="909">
        <f>WWWW[[#This Row],['#_Water_Liters_from_Constructed/Existing water distribution system from river or natural spring]]/90/15</f>
        <v>0</v>
      </c>
      <c r="CM165" s="417">
        <f>IF(WWWW[[#This Row],['#_of water points in TLS/CFS]]*500&gt;WWWW[[#This Row],[Total PoP ]],WWWW[[#This Row],[Total PoP ]],WWWW[[#This Row],['#_of water points in TLS/CFS]]*500)</f>
        <v>0</v>
      </c>
      <c r="CN165" s="417">
        <f>IF(WWWW[[#This Row],['#_of water points in THF]]*500&gt;WWWW[[#This Row],[Total PoP ]],WWWW[[#This Row],[Total PoP ]],WWWW[[#This Row],['#_of water points in THF]]*500)</f>
        <v>0</v>
      </c>
      <c r="CO165" s="417"/>
      <c r="CP165"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65"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65" s="908">
        <f>IF(WWWW[[#This Row],[Location Type 1]]="Village",WWWW[[#This Row],[Access to safe drinking water for Village]],WWWW[[#This Row],[Access to safe drinking water for Camp]])</f>
        <v>0</v>
      </c>
      <c r="CS165" s="906">
        <f>WWWW[[#This Row],[%Equitable and continuous access to sufficient quantity of safe drinking water]]*WWWW[[#This Row],[Total PoP ]]</f>
        <v>0</v>
      </c>
      <c r="CT165" s="908">
        <f>IF((WWWW[[#This Row],['#_Constructed/Existing protected/fenced ponds]]*250)/WWWW[[#This Row],[Total PoP ]]&gt;1,1,(WWWW[[#This Row],['#_Constructed/Existing protected/fenced ponds]]*250)/WWWW[[#This Row],[Total PoP ]])</f>
        <v>0</v>
      </c>
      <c r="CU165" s="906">
        <f>WWWW[[#This Row],[% Access to unimproved water points]]*WWWW[[#This Row],[Total PoP ]]</f>
        <v>0</v>
      </c>
      <c r="CV165"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65"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65" s="906">
        <f>WWWW[[#This Row],[HRP1]]/500</f>
        <v>0</v>
      </c>
      <c r="CY165" s="911">
        <f>1-WWWW[[#This Row],[% Equitable and continuous access to sufficient quantity of domestic water]]</f>
        <v>1</v>
      </c>
      <c r="CZ165" s="906">
        <f>WWWW[[#This Row],[%equitable and continuous access to sufficient quantity of safe drinking and domestic water''s GAP]]*WWWW[[#This Row],[Total PoP ]]</f>
        <v>61</v>
      </c>
      <c r="DA165" s="909">
        <f>IF(WWWW[[#This Row],[Total required water points]]-WWWW[[#This Row],['#Water points coverage]]&lt;0,0,WWWW[[#This Row],[Total required water points]]-WWWW[[#This Row],['#Water points coverage]])</f>
        <v>1</v>
      </c>
      <c r="DB165" s="909">
        <f>ROUND(IF(WWWW[[#This Row],[Total PoP ]]&lt;500,1,WWWW[[#This Row],[Total PoP ]]/500),0)</f>
        <v>1</v>
      </c>
      <c r="DC165" s="909">
        <f>(WWWW[[#This Row],['#_Constructed latrines_by_WASHAgencies]]+WWWW[[#This Row],['#_Non Cluster partner latrines]])-WWWW[[#This Row],['#_Non-functional latrines]]</f>
        <v>0</v>
      </c>
      <c r="DD165" s="615">
        <f>WWWW[[#This Row],[HRP2]]/WWWW[[#This Row],[Total PoP ]]</f>
        <v>0</v>
      </c>
      <c r="DE165"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65"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65"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5" s="417">
        <f>IF(WWWW[[#This Row],['# of functional latrines in THF supported by WASH partners during the reporting period2]]="",0,WWWW[[#This Row],['# of functional latrines in THF supported by WASH partners during the reporting period2]]*50)</f>
        <v>0</v>
      </c>
      <c r="DI165" s="909">
        <f>ROUND(IF(WWWW[[#This Row],[Location Type 1]]="camp",WWWW[[#This Row],[Total PoP ]]/20,IF(WWWW[[#This Row],[Location Type 1]]="Temporary Location",WWWW[[#This Row],[Total PoP ]]/50,(WWWW[[#This Row],[Total PoP ]]/6))),0)</f>
        <v>3</v>
      </c>
      <c r="DJ165" s="909">
        <f>IF(WWWW[[#This Row],[Total required Latrines]]-(WWWW[[#This Row],['#_Constructed latrines_by_WASHAgencies]]+WWWW[[#This Row],['#_Non Cluster partner latrines]])&lt;0,0,WWWW[[#This Row],[Total required Latrines]]-(WWWW[[#This Row],['#_Constructed latrines_by_WASHAgencies]]+WWWW[[#This Row],['#_Non Cluster partner latrines]]))</f>
        <v>3</v>
      </c>
      <c r="DK165" s="911">
        <f>1-WWWW[[#This Row],[% people access to functioning Latrine]]</f>
        <v>1</v>
      </c>
      <c r="DL165" s="910">
        <f>IF(OR(WWWW[[#This Row],['#_Non-functional latrines]]="",WWWW[[#This Row],['#_Non-functional latrines]]=0),0,WWWW[[#This Row],['#_Non-functional latrines]]/(WWWW[[#This Row],['#_Constructed latrines_by_WASHAgencies]]+WWWW[[#This Row],['#_Non Cluster partner latrines]]))</f>
        <v>0</v>
      </c>
      <c r="DM165" s="906">
        <f>IF(500*(WWWW[[#This Row],['#_male hygiene promoters]]+WWWW[[#This Row],['#_female hygiene promoters]])&gt;WWWW[[#This Row],[Total PoP ]],WWWW[[#This Row],[Total PoP ]],500*(WWWW[[#This Row],['#_male hygiene promoters]]+WWWW[[#This Row],['#_female hygiene promoters]]))</f>
        <v>0</v>
      </c>
      <c r="DN165"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5"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5" s="909">
        <f>IF(WWWW[[#This Row],['# People with access to soap]]&gt;WWWW[[#This Row],['# People with access to Sanity Pads]],WWWW[[#This Row],['# People with access to soap]],WWWW[[#This Row],['# People with access to Sanity Pads]])</f>
        <v>0</v>
      </c>
      <c r="DQ165"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65" s="911">
        <f>IF(WWWW[[#This Row],[HRP3]]/WWWW[[#This Row],[Total PoP ]]&gt;1,1,WWWW[[#This Row],[HRP3]]/WWWW[[#This Row],[Total PoP ]])</f>
        <v>0</v>
      </c>
      <c r="DS165" s="910">
        <f>1-WWWW[[#This Row],[Hygiene Coverage%]]</f>
        <v>1</v>
      </c>
      <c r="DT165" s="908">
        <f>WWWW[[#This Row],['# people reached by regular dedicated hygiene promotion_5]]/WWWW[[#This Row],[Total PoP ]]</f>
        <v>0</v>
      </c>
      <c r="DU165"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5"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5" s="909">
        <f>WWWW[[#This Row],['#_Constructed/Existing hand washing stations]]-WWWW[[#This Row],['#_Non-Functional_hand_washing_stations]]</f>
        <v>0</v>
      </c>
      <c r="DX165" s="906">
        <f>IF(WWWW[[#This Row],['# Functional hand washing stations during reporting period]]*20&gt;WWWW[[#This Row],[Total HH]],WWWW[[#This Row],[Total HH]],WWWW[[#This Row],['# Functional hand washing stations during reporting period]]*20)</f>
        <v>0</v>
      </c>
      <c r="DY165" s="906">
        <f>IF(WWWW[[#This Row],[Is sufficient soap available for TLS? (Yes/No)]]="yes",WWWW[[#This Row],['#_Constructed/Existing hand washing stations at TLS/CFS/THF]],0)</f>
        <v>0</v>
      </c>
      <c r="DZ165" s="421">
        <f>IF(WWWW[[#This Row],['# Functional hand washing stations during reporting period]]*100&gt;WWWW[[#This Row],[Total PoP ]],WWWW[[#This Row],[Total PoP ]],WWWW[[#This Row],['# Functional hand washing stations during reporting period]]*100)</f>
        <v>0</v>
      </c>
      <c r="EA165" s="421" t="str">
        <f>IF(OR(WWWW[[#This Row],['#_students at TLS_CFS]]="",WWWW[[#This Row],['#_students at TLS_CFS]]=0),"No","Yes")</f>
        <v>No</v>
      </c>
      <c r="EB16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65" s="566">
        <f>WWWW[[#This Row],[%_of_affected_people_surveyed_who_report_feeling_satistfied_with_the_latrine_design_and_sanitation_service]]*WWWW[[#This Row],[Total PoP ]]</f>
        <v>0</v>
      </c>
      <c r="ED165" s="566">
        <f>WWWW[[#This Row],[%_of_affected_people_surveyed_who_report_feeling_satistfied_with_the_water_point_design_and_water_service]]*WWWW[[#This Row],[Total PoP ]]</f>
        <v>0</v>
      </c>
      <c r="EE165" s="566">
        <f>WWWW[[#This Row],[%_of_complaints_received_that_result_in_timely_corrective_action_and_feedback_to_the_community]]*WWWW[[#This Row],[Total PoP ]]</f>
        <v>0</v>
      </c>
      <c r="EF16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6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5" s="902">
        <f>VLOOKUP(WWWW[[#This Row],[Site Name]],SiteDB6[[Site Name]:[CCCM Management]],6,FALSE)</f>
        <v>0</v>
      </c>
      <c r="EJ165" s="902" t="str">
        <f>VLOOKUP(WWWW[[#This Row],[Site Name]],SiteDB6[[Site Name]:[CCCM Focal Agency]],7,FALSE)</f>
        <v>Uncovered</v>
      </c>
      <c r="EK165" s="902" t="str">
        <f>VLOOKUP(WWWW[[#This Row],[Site Name]],SiteDB6[[Site Name]:[Location Type 1]],9,FALSE)</f>
        <v>Camp</v>
      </c>
      <c r="EL165" s="902" t="str">
        <f>VLOOKUP(WWWW[[#This Row],[Site Name]],SiteDB6[[Site Name]:[Type of Accommodation]],10,FALSE)</f>
        <v>Camp like setting</v>
      </c>
      <c r="EM165" s="902" t="str">
        <f>VLOOKUP(WWWW[[#This Row],[Site Name]],SiteDB6[[Site Name]:[Ethnic or GCA/NGCA]],11,FALSE)</f>
        <v>GCA</v>
      </c>
      <c r="EN165" s="902">
        <f>VLOOKUP(WWWW[[#This Row],[Site Name]],SiteDB6[[Site Name]:[Lat]],12,FALSE)</f>
        <v>0</v>
      </c>
      <c r="EO165" s="902" t="str">
        <f>VLOOKUP(WWWW[[#This Row],[Site Name]],SiteDB6[[Site Name]:[Long]],13,FALSE)</f>
        <v>not available</v>
      </c>
      <c r="EP165" s="902" t="str">
        <f>VLOOKUP(WWWW[[#This Row],[Site Name]],SiteDB6[[Site Name]:[Pcode]],3,FALSE)</f>
        <v>MMR015CMP092</v>
      </c>
      <c r="EQ165" s="907" t="str">
        <f t="shared" si="2"/>
        <v>Notcovered</v>
      </c>
      <c r="ER165" s="907"/>
      <c r="ES165" s="907"/>
      <c r="ET165" s="902">
        <f>VLOOKUP(WWWW[[#This Row],[Site Name]],SiteDB6[[Site Name]:[Pop
(Kachin/Shan-CCCM as of May 2023)]],16,FALSE)</f>
        <v>20</v>
      </c>
      <c r="EU165" s="902">
        <f>VLOOKUP(WWWW[[#This Row],[Site Name]],SiteDB6[[Site Name]:[Pop
(Kachin/Shan-CCCM as of May 2023)]],17,FALSE)</f>
        <v>61</v>
      </c>
    </row>
    <row r="166" spans="1:151" hidden="1">
      <c r="A166" s="900" t="s">
        <v>2961</v>
      </c>
      <c r="B166" s="900" t="s">
        <v>309</v>
      </c>
      <c r="C166" s="901" t="s">
        <v>309</v>
      </c>
      <c r="D166" s="901"/>
      <c r="E166" s="901" t="s">
        <v>515</v>
      </c>
      <c r="F166" s="901" t="s">
        <v>956</v>
      </c>
      <c r="G166" s="902" t="str">
        <f>VLOOKUP(WWWW[[#This Row],[Site Name]],SiteDB6[[Site Name]:[Location Type]],8,FALSE)</f>
        <v>Camp</v>
      </c>
      <c r="H166" s="901" t="s">
        <v>2974</v>
      </c>
      <c r="I166" s="903">
        <v>26</v>
      </c>
      <c r="J166" s="903">
        <v>135</v>
      </c>
      <c r="K166" s="904"/>
      <c r="L166" s="905"/>
      <c r="M166" s="903"/>
      <c r="N166" s="903"/>
      <c r="O166" s="903"/>
      <c r="P166" s="903"/>
      <c r="Q166" s="906"/>
      <c r="R166" s="903"/>
      <c r="S166" s="903"/>
      <c r="T166" s="441"/>
      <c r="U166" s="903"/>
      <c r="V166" s="903"/>
      <c r="W166" s="903"/>
      <c r="X166" s="903"/>
      <c r="Y166" s="903"/>
      <c r="Z166" s="903"/>
      <c r="AA166" s="903"/>
      <c r="AB166" s="903"/>
      <c r="AC166" s="903"/>
      <c r="AD166" s="903"/>
      <c r="AE166" s="903"/>
      <c r="AF166" s="903"/>
      <c r="AG166" s="903"/>
      <c r="AH166" s="903"/>
      <c r="AI166" s="903"/>
      <c r="AJ166" s="903"/>
      <c r="AK166" s="903"/>
      <c r="AL166" s="903"/>
      <c r="AM166" s="903"/>
      <c r="AN166" s="903"/>
      <c r="AO166" s="441"/>
      <c r="AP166" s="907"/>
      <c r="AQ166" s="903"/>
      <c r="AR166" s="903"/>
      <c r="AS166" s="908"/>
      <c r="AT166" s="903"/>
      <c r="AU166" s="903"/>
      <c r="AV166" s="903"/>
      <c r="AW166" s="903"/>
      <c r="AX166" s="903"/>
      <c r="AY166" s="902"/>
      <c r="AZ166" s="907"/>
      <c r="BA166" s="903"/>
      <c r="BB166" s="903"/>
      <c r="BC166" s="903"/>
      <c r="BD166" s="441"/>
      <c r="BE166" s="441"/>
      <c r="BF166" s="902"/>
      <c r="BG166" s="903"/>
      <c r="BH166" s="903"/>
      <c r="BI166" s="903"/>
      <c r="BJ166" s="903"/>
      <c r="BK166" s="903"/>
      <c r="BL166" s="903"/>
      <c r="BM166" s="903"/>
      <c r="BN166" s="903"/>
      <c r="BO166" s="903"/>
      <c r="BP166" s="902"/>
      <c r="BQ166" s="909"/>
      <c r="BR166" s="908"/>
      <c r="BS166" s="902"/>
      <c r="BT166" s="416"/>
      <c r="BU166" s="416"/>
      <c r="BV166" s="418"/>
      <c r="BW166" s="416"/>
      <c r="BX166" s="441"/>
      <c r="BY166" s="441"/>
      <c r="BZ166" s="441"/>
      <c r="CA166" s="441"/>
      <c r="CB166" s="441"/>
      <c r="CC166" s="693"/>
      <c r="CD166" s="441"/>
      <c r="CE166" s="910" t="str">
        <f>IFERROR(WWWW[[#This Row],['#_Water sources passed]]/WWWW[[#This Row],['#_Water sources tested for fecal coliform ]],"no test")</f>
        <v>no test</v>
      </c>
      <c r="CF166" s="908" t="str">
        <f>IFERROR(WWWW[[#This Row],['#_Household passed]]/WWWW[[#This Row],['#_Household water samples tested for fecal coliform]],"no test")</f>
        <v>no test</v>
      </c>
      <c r="CG166" s="909" t="str">
        <f>IF(AND(WWWW[[#This Row],[% of water sources passed]]="no test",WWWW[[#This Row],[% Household passed]]="no test"),"No Test","Tested")</f>
        <v>No Test</v>
      </c>
      <c r="CH166" s="909">
        <f>WWWW[[#This Row],['#_Constructed/existing protected hand dug well]]-WWWW[[#This Row],['#_Non-functional protected hand dug well]]</f>
        <v>0</v>
      </c>
      <c r="CI166" s="909">
        <f>(WWWW[[#This Row],['#_Constructed/Existing tube wells/boreholes/handpumps_WASH_agency]]+WWWW[[#This Row],['#_Non-Cluster partner water tube-wells/boreholes/handpumps]])-WWWW[[#This Row],['#_Non-functional tube wells/boreholes/handpumps]]</f>
        <v>0</v>
      </c>
      <c r="CJ166" s="909">
        <f>WWWW[[#This Row],['#_Constructed/Existingwater storage tank with gravity fed reticulation system]]-WWWW[[#This Row],['#_Non-functional storage tank gravity fed reticulation system]]</f>
        <v>0</v>
      </c>
      <c r="CK166" s="909">
        <f>(WWWW[[#This Row],['#_Water_Liters_supplied_by_Water boating or water trucking]]/90)/15</f>
        <v>0</v>
      </c>
      <c r="CL166" s="909">
        <f>WWWW[[#This Row],['#_Water_Liters_from_Constructed/Existing water distribution system from river or natural spring]]/90/15</f>
        <v>0</v>
      </c>
      <c r="CM166" s="417">
        <f>IF(WWWW[[#This Row],['#_of water points in TLS/CFS]]*500&gt;WWWW[[#This Row],[Total PoP ]],WWWW[[#This Row],[Total PoP ]],WWWW[[#This Row],['#_of water points in TLS/CFS]]*500)</f>
        <v>0</v>
      </c>
      <c r="CN166" s="417">
        <f>IF(WWWW[[#This Row],['#_of water points in THF]]*500&gt;WWWW[[#This Row],[Total PoP ]],WWWW[[#This Row],[Total PoP ]],WWWW[[#This Row],['#_of water points in THF]]*500)</f>
        <v>0</v>
      </c>
      <c r="CO166" s="417"/>
      <c r="CP166"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66"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66" s="908">
        <f>IF(WWWW[[#This Row],[Location Type 1]]="Village",WWWW[[#This Row],[Access to safe drinking water for Village]],WWWW[[#This Row],[Access to safe drinking water for Camp]])</f>
        <v>0</v>
      </c>
      <c r="CS166" s="906">
        <f>WWWW[[#This Row],[%Equitable and continuous access to sufficient quantity of safe drinking water]]*WWWW[[#This Row],[Total PoP ]]</f>
        <v>0</v>
      </c>
      <c r="CT166" s="908">
        <f>IF((WWWW[[#This Row],['#_Constructed/Existing protected/fenced ponds]]*250)/WWWW[[#This Row],[Total PoP ]]&gt;1,1,(WWWW[[#This Row],['#_Constructed/Existing protected/fenced ponds]]*250)/WWWW[[#This Row],[Total PoP ]])</f>
        <v>0</v>
      </c>
      <c r="CU166" s="906">
        <f>WWWW[[#This Row],[% Access to unimproved water points]]*WWWW[[#This Row],[Total PoP ]]</f>
        <v>0</v>
      </c>
      <c r="CV166"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66"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66" s="906">
        <f>WWWW[[#This Row],[HRP1]]/500</f>
        <v>0</v>
      </c>
      <c r="CY166" s="911">
        <f>1-WWWW[[#This Row],[% Equitable and continuous access to sufficient quantity of domestic water]]</f>
        <v>1</v>
      </c>
      <c r="CZ166" s="906">
        <f>WWWW[[#This Row],[%equitable and continuous access to sufficient quantity of safe drinking and domestic water''s GAP]]*WWWW[[#This Row],[Total PoP ]]</f>
        <v>135</v>
      </c>
      <c r="DA166" s="909">
        <f>IF(WWWW[[#This Row],[Total required water points]]-WWWW[[#This Row],['#Water points coverage]]&lt;0,0,WWWW[[#This Row],[Total required water points]]-WWWW[[#This Row],['#Water points coverage]])</f>
        <v>1</v>
      </c>
      <c r="DB166" s="909">
        <f>ROUND(IF(WWWW[[#This Row],[Total PoP ]]&lt;500,1,WWWW[[#This Row],[Total PoP ]]/500),0)</f>
        <v>1</v>
      </c>
      <c r="DC166" s="909">
        <f>(WWWW[[#This Row],['#_Constructed latrines_by_WASHAgencies]]+WWWW[[#This Row],['#_Non Cluster partner latrines]])-WWWW[[#This Row],['#_Non-functional latrines]]</f>
        <v>0</v>
      </c>
      <c r="DD166" s="615">
        <f>WWWW[[#This Row],[HRP2]]/WWWW[[#This Row],[Total PoP ]]</f>
        <v>0</v>
      </c>
      <c r="DE166"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66"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66"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6" s="417">
        <f>IF(WWWW[[#This Row],['# of functional latrines in THF supported by WASH partners during the reporting period2]]="",0,WWWW[[#This Row],['# of functional latrines in THF supported by WASH partners during the reporting period2]]*50)</f>
        <v>0</v>
      </c>
      <c r="DI166" s="909">
        <f>ROUND(IF(WWWW[[#This Row],[Location Type 1]]="camp",WWWW[[#This Row],[Total PoP ]]/20,IF(WWWW[[#This Row],[Location Type 1]]="Temporary Location",WWWW[[#This Row],[Total PoP ]]/50,(WWWW[[#This Row],[Total PoP ]]/6))),0)</f>
        <v>7</v>
      </c>
      <c r="DJ166" s="909">
        <f>IF(WWWW[[#This Row],[Total required Latrines]]-(WWWW[[#This Row],['#_Constructed latrines_by_WASHAgencies]]+WWWW[[#This Row],['#_Non Cluster partner latrines]])&lt;0,0,WWWW[[#This Row],[Total required Latrines]]-(WWWW[[#This Row],['#_Constructed latrines_by_WASHAgencies]]+WWWW[[#This Row],['#_Non Cluster partner latrines]]))</f>
        <v>7</v>
      </c>
      <c r="DK166" s="911">
        <f>1-WWWW[[#This Row],[% people access to functioning Latrine]]</f>
        <v>1</v>
      </c>
      <c r="DL166" s="910">
        <f>IF(OR(WWWW[[#This Row],['#_Non-functional latrines]]="",WWWW[[#This Row],['#_Non-functional latrines]]=0),0,WWWW[[#This Row],['#_Non-functional latrines]]/(WWWW[[#This Row],['#_Constructed latrines_by_WASHAgencies]]+WWWW[[#This Row],['#_Non Cluster partner latrines]]))</f>
        <v>0</v>
      </c>
      <c r="DM166" s="906">
        <f>IF(500*(WWWW[[#This Row],['#_male hygiene promoters]]+WWWW[[#This Row],['#_female hygiene promoters]])&gt;WWWW[[#This Row],[Total PoP ]],WWWW[[#This Row],[Total PoP ]],500*(WWWW[[#This Row],['#_male hygiene promoters]]+WWWW[[#This Row],['#_female hygiene promoters]]))</f>
        <v>0</v>
      </c>
      <c r="DN166"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6"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6" s="909">
        <f>IF(WWWW[[#This Row],['# People with access to soap]]&gt;WWWW[[#This Row],['# People with access to Sanity Pads]],WWWW[[#This Row],['# People with access to soap]],WWWW[[#This Row],['# People with access to Sanity Pads]])</f>
        <v>0</v>
      </c>
      <c r="DQ166"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66" s="911">
        <f>IF(WWWW[[#This Row],[HRP3]]/WWWW[[#This Row],[Total PoP ]]&gt;1,1,WWWW[[#This Row],[HRP3]]/WWWW[[#This Row],[Total PoP ]])</f>
        <v>0</v>
      </c>
      <c r="DS166" s="910">
        <f>1-WWWW[[#This Row],[Hygiene Coverage%]]</f>
        <v>1</v>
      </c>
      <c r="DT166" s="908">
        <f>WWWW[[#This Row],['# people reached by regular dedicated hygiene promotion_5]]/WWWW[[#This Row],[Total PoP ]]</f>
        <v>0</v>
      </c>
      <c r="DU166"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6"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6" s="909">
        <f>WWWW[[#This Row],['#_Constructed/Existing hand washing stations]]-WWWW[[#This Row],['#_Non-Functional_hand_washing_stations]]</f>
        <v>0</v>
      </c>
      <c r="DX166" s="906">
        <f>IF(WWWW[[#This Row],['# Functional hand washing stations during reporting period]]*20&gt;WWWW[[#This Row],[Total HH]],WWWW[[#This Row],[Total HH]],WWWW[[#This Row],['# Functional hand washing stations during reporting period]]*20)</f>
        <v>0</v>
      </c>
      <c r="DY166" s="906">
        <f>IF(WWWW[[#This Row],[Is sufficient soap available for TLS? (Yes/No)]]="yes",WWWW[[#This Row],['#_Constructed/Existing hand washing stations at TLS/CFS/THF]],0)</f>
        <v>0</v>
      </c>
      <c r="DZ166" s="421">
        <f>IF(WWWW[[#This Row],['# Functional hand washing stations during reporting period]]*100&gt;WWWW[[#This Row],[Total PoP ]],WWWW[[#This Row],[Total PoP ]],WWWW[[#This Row],['# Functional hand washing stations during reporting period]]*100)</f>
        <v>0</v>
      </c>
      <c r="EA166" s="421" t="str">
        <f>IF(OR(WWWW[[#This Row],['#_students at TLS_CFS]]="",WWWW[[#This Row],['#_students at TLS_CFS]]=0),"No","Yes")</f>
        <v>No</v>
      </c>
      <c r="EB16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66" s="566">
        <f>WWWW[[#This Row],[%_of_affected_people_surveyed_who_report_feeling_satistfied_with_the_latrine_design_and_sanitation_service]]*WWWW[[#This Row],[Total PoP ]]</f>
        <v>0</v>
      </c>
      <c r="ED166" s="566">
        <f>WWWW[[#This Row],[%_of_affected_people_surveyed_who_report_feeling_satistfied_with_the_water_point_design_and_water_service]]*WWWW[[#This Row],[Total PoP ]]</f>
        <v>0</v>
      </c>
      <c r="EE166" s="566">
        <f>WWWW[[#This Row],[%_of_complaints_received_that_result_in_timely_corrective_action_and_feedback_to_the_community]]*WWWW[[#This Row],[Total PoP ]]</f>
        <v>0</v>
      </c>
      <c r="EF16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6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6" s="902">
        <f>VLOOKUP(WWWW[[#This Row],[Site Name]],SiteDB6[[Site Name]:[CCCM Management]],6,FALSE)</f>
        <v>0</v>
      </c>
      <c r="EJ166" s="902" t="str">
        <f>VLOOKUP(WWWW[[#This Row],[Site Name]],SiteDB6[[Site Name]:[CCCM Focal Agency]],7,FALSE)</f>
        <v>Uncovered</v>
      </c>
      <c r="EK166" s="902" t="str">
        <f>VLOOKUP(WWWW[[#This Row],[Site Name]],SiteDB6[[Site Name]:[Location Type 1]],9,FALSE)</f>
        <v>Camp</v>
      </c>
      <c r="EL166" s="902" t="str">
        <f>VLOOKUP(WWWW[[#This Row],[Site Name]],SiteDB6[[Site Name]:[Type of Accommodation]],10,FALSE)</f>
        <v>Camp like setting</v>
      </c>
      <c r="EM166" s="902" t="str">
        <f>VLOOKUP(WWWW[[#This Row],[Site Name]],SiteDB6[[Site Name]:[Ethnic or GCA/NGCA]],11,FALSE)</f>
        <v>GCA</v>
      </c>
      <c r="EN166" s="902">
        <f>VLOOKUP(WWWW[[#This Row],[Site Name]],SiteDB6[[Site Name]:[Lat]],12,FALSE)</f>
        <v>0</v>
      </c>
      <c r="EO166" s="902" t="str">
        <f>VLOOKUP(WWWW[[#This Row],[Site Name]],SiteDB6[[Site Name]:[Long]],13,FALSE)</f>
        <v>not available</v>
      </c>
      <c r="EP166" s="902" t="str">
        <f>VLOOKUP(WWWW[[#This Row],[Site Name]],SiteDB6[[Site Name]:[Pcode]],3,FALSE)</f>
        <v>MMR015CMP087</v>
      </c>
      <c r="EQ166" s="907" t="str">
        <f t="shared" si="2"/>
        <v>Notcovered</v>
      </c>
      <c r="ER166" s="907"/>
      <c r="ES166" s="907"/>
      <c r="ET166" s="902">
        <f>VLOOKUP(WWWW[[#This Row],[Site Name]],SiteDB6[[Site Name]:[Pop
(Kachin/Shan-CCCM as of May 2023)]],16,FALSE)</f>
        <v>26</v>
      </c>
      <c r="EU166" s="902">
        <f>VLOOKUP(WWWW[[#This Row],[Site Name]],SiteDB6[[Site Name]:[Pop
(Kachin/Shan-CCCM as of May 2023)]],17,FALSE)</f>
        <v>135</v>
      </c>
    </row>
    <row r="167" spans="1:151" hidden="1">
      <c r="A167" s="900" t="s">
        <v>2961</v>
      </c>
      <c r="B167" s="900" t="s">
        <v>309</v>
      </c>
      <c r="C167" s="901" t="s">
        <v>309</v>
      </c>
      <c r="D167" s="901"/>
      <c r="E167" s="901" t="s">
        <v>515</v>
      </c>
      <c r="F167" s="901" t="s">
        <v>956</v>
      </c>
      <c r="G167" s="902" t="str">
        <f>VLOOKUP(WWWW[[#This Row],[Site Name]],SiteDB6[[Site Name]:[Location Type]],8,FALSE)</f>
        <v>Camp</v>
      </c>
      <c r="H167" s="901" t="s">
        <v>2984</v>
      </c>
      <c r="I167" s="903">
        <v>18</v>
      </c>
      <c r="J167" s="903">
        <v>92</v>
      </c>
      <c r="K167" s="904"/>
      <c r="L167" s="905"/>
      <c r="M167" s="903"/>
      <c r="N167" s="903"/>
      <c r="O167" s="903"/>
      <c r="P167" s="903"/>
      <c r="Q167" s="906"/>
      <c r="R167" s="903"/>
      <c r="S167" s="903"/>
      <c r="T167" s="441"/>
      <c r="U167" s="903"/>
      <c r="V167" s="903"/>
      <c r="W167" s="903"/>
      <c r="X167" s="903"/>
      <c r="Y167" s="903"/>
      <c r="Z167" s="903"/>
      <c r="AA167" s="903"/>
      <c r="AB167" s="903"/>
      <c r="AC167" s="903"/>
      <c r="AD167" s="903"/>
      <c r="AE167" s="903"/>
      <c r="AF167" s="903"/>
      <c r="AG167" s="903"/>
      <c r="AH167" s="903"/>
      <c r="AI167" s="903"/>
      <c r="AJ167" s="903"/>
      <c r="AK167" s="903"/>
      <c r="AL167" s="903"/>
      <c r="AM167" s="903"/>
      <c r="AN167" s="903"/>
      <c r="AO167" s="441"/>
      <c r="AP167" s="907"/>
      <c r="AQ167" s="903"/>
      <c r="AR167" s="903"/>
      <c r="AS167" s="908"/>
      <c r="AT167" s="903"/>
      <c r="AU167" s="903"/>
      <c r="AV167" s="903"/>
      <c r="AW167" s="903"/>
      <c r="AX167" s="903"/>
      <c r="AY167" s="902"/>
      <c r="AZ167" s="907"/>
      <c r="BA167" s="903"/>
      <c r="BB167" s="903"/>
      <c r="BC167" s="903"/>
      <c r="BD167" s="441"/>
      <c r="BE167" s="441"/>
      <c r="BF167" s="902"/>
      <c r="BG167" s="903"/>
      <c r="BH167" s="903"/>
      <c r="BI167" s="903"/>
      <c r="BJ167" s="903"/>
      <c r="BK167" s="903"/>
      <c r="BL167" s="903"/>
      <c r="BM167" s="903"/>
      <c r="BN167" s="903"/>
      <c r="BO167" s="903"/>
      <c r="BP167" s="902"/>
      <c r="BQ167" s="909"/>
      <c r="BR167" s="908"/>
      <c r="BS167" s="902"/>
      <c r="BT167" s="416"/>
      <c r="BU167" s="416"/>
      <c r="BV167" s="418"/>
      <c r="BW167" s="416"/>
      <c r="BX167" s="441"/>
      <c r="BY167" s="441"/>
      <c r="BZ167" s="441"/>
      <c r="CA167" s="441"/>
      <c r="CB167" s="441"/>
      <c r="CC167" s="693"/>
      <c r="CD167" s="441"/>
      <c r="CE167" s="910" t="str">
        <f>IFERROR(WWWW[[#This Row],['#_Water sources passed]]/WWWW[[#This Row],['#_Water sources tested for fecal coliform ]],"no test")</f>
        <v>no test</v>
      </c>
      <c r="CF167" s="908" t="str">
        <f>IFERROR(WWWW[[#This Row],['#_Household passed]]/WWWW[[#This Row],['#_Household water samples tested for fecal coliform]],"no test")</f>
        <v>no test</v>
      </c>
      <c r="CG167" s="909" t="str">
        <f>IF(AND(WWWW[[#This Row],[% of water sources passed]]="no test",WWWW[[#This Row],[% Household passed]]="no test"),"No Test","Tested")</f>
        <v>No Test</v>
      </c>
      <c r="CH167" s="909">
        <f>WWWW[[#This Row],['#_Constructed/existing protected hand dug well]]-WWWW[[#This Row],['#_Non-functional protected hand dug well]]</f>
        <v>0</v>
      </c>
      <c r="CI167" s="909">
        <f>(WWWW[[#This Row],['#_Constructed/Existing tube wells/boreholes/handpumps_WASH_agency]]+WWWW[[#This Row],['#_Non-Cluster partner water tube-wells/boreholes/handpumps]])-WWWW[[#This Row],['#_Non-functional tube wells/boreholes/handpumps]]</f>
        <v>0</v>
      </c>
      <c r="CJ167" s="909">
        <f>WWWW[[#This Row],['#_Constructed/Existingwater storage tank with gravity fed reticulation system]]-WWWW[[#This Row],['#_Non-functional storage tank gravity fed reticulation system]]</f>
        <v>0</v>
      </c>
      <c r="CK167" s="909">
        <f>(WWWW[[#This Row],['#_Water_Liters_supplied_by_Water boating or water trucking]]/90)/15</f>
        <v>0</v>
      </c>
      <c r="CL167" s="909">
        <f>WWWW[[#This Row],['#_Water_Liters_from_Constructed/Existing water distribution system from river or natural spring]]/90/15</f>
        <v>0</v>
      </c>
      <c r="CM167" s="417">
        <f>IF(WWWW[[#This Row],['#_of water points in TLS/CFS]]*500&gt;WWWW[[#This Row],[Total PoP ]],WWWW[[#This Row],[Total PoP ]],WWWW[[#This Row],['#_of water points in TLS/CFS]]*500)</f>
        <v>0</v>
      </c>
      <c r="CN167" s="417">
        <f>IF(WWWW[[#This Row],['#_of water points in THF]]*500&gt;WWWW[[#This Row],[Total PoP ]],WWWW[[#This Row],[Total PoP ]],WWWW[[#This Row],['#_of water points in THF]]*500)</f>
        <v>0</v>
      </c>
      <c r="CO167" s="417"/>
      <c r="CP167"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67"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67" s="908">
        <f>IF(WWWW[[#This Row],[Location Type 1]]="Village",WWWW[[#This Row],[Access to safe drinking water for Village]],WWWW[[#This Row],[Access to safe drinking water for Camp]])</f>
        <v>0</v>
      </c>
      <c r="CS167" s="906">
        <f>WWWW[[#This Row],[%Equitable and continuous access to sufficient quantity of safe drinking water]]*WWWW[[#This Row],[Total PoP ]]</f>
        <v>0</v>
      </c>
      <c r="CT167" s="908">
        <f>IF((WWWW[[#This Row],['#_Constructed/Existing protected/fenced ponds]]*250)/WWWW[[#This Row],[Total PoP ]]&gt;1,1,(WWWW[[#This Row],['#_Constructed/Existing protected/fenced ponds]]*250)/WWWW[[#This Row],[Total PoP ]])</f>
        <v>0</v>
      </c>
      <c r="CU167" s="906">
        <f>WWWW[[#This Row],[% Access to unimproved water points]]*WWWW[[#This Row],[Total PoP ]]</f>
        <v>0</v>
      </c>
      <c r="CV167"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67"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67" s="906">
        <f>WWWW[[#This Row],[HRP1]]/500</f>
        <v>0</v>
      </c>
      <c r="CY167" s="911">
        <f>1-WWWW[[#This Row],[% Equitable and continuous access to sufficient quantity of domestic water]]</f>
        <v>1</v>
      </c>
      <c r="CZ167" s="906">
        <f>WWWW[[#This Row],[%equitable and continuous access to sufficient quantity of safe drinking and domestic water''s GAP]]*WWWW[[#This Row],[Total PoP ]]</f>
        <v>92</v>
      </c>
      <c r="DA167" s="909">
        <f>IF(WWWW[[#This Row],[Total required water points]]-WWWW[[#This Row],['#Water points coverage]]&lt;0,0,WWWW[[#This Row],[Total required water points]]-WWWW[[#This Row],['#Water points coverage]])</f>
        <v>1</v>
      </c>
      <c r="DB167" s="909">
        <f>ROUND(IF(WWWW[[#This Row],[Total PoP ]]&lt;500,1,WWWW[[#This Row],[Total PoP ]]/500),0)</f>
        <v>1</v>
      </c>
      <c r="DC167" s="909">
        <f>(WWWW[[#This Row],['#_Constructed latrines_by_WASHAgencies]]+WWWW[[#This Row],['#_Non Cluster partner latrines]])-WWWW[[#This Row],['#_Non-functional latrines]]</f>
        <v>0</v>
      </c>
      <c r="DD167" s="615">
        <f>WWWW[[#This Row],[HRP2]]/WWWW[[#This Row],[Total PoP ]]</f>
        <v>0</v>
      </c>
      <c r="DE167"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67"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67"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7" s="417">
        <f>IF(WWWW[[#This Row],['# of functional latrines in THF supported by WASH partners during the reporting period2]]="",0,WWWW[[#This Row],['# of functional latrines in THF supported by WASH partners during the reporting period2]]*50)</f>
        <v>0</v>
      </c>
      <c r="DI167" s="909">
        <f>ROUND(IF(WWWW[[#This Row],[Location Type 1]]="camp",WWWW[[#This Row],[Total PoP ]]/20,IF(WWWW[[#This Row],[Location Type 1]]="Temporary Location",WWWW[[#This Row],[Total PoP ]]/50,(WWWW[[#This Row],[Total PoP ]]/6))),0)</f>
        <v>5</v>
      </c>
      <c r="DJ167" s="909">
        <f>IF(WWWW[[#This Row],[Total required Latrines]]-(WWWW[[#This Row],['#_Constructed latrines_by_WASHAgencies]]+WWWW[[#This Row],['#_Non Cluster partner latrines]])&lt;0,0,WWWW[[#This Row],[Total required Latrines]]-(WWWW[[#This Row],['#_Constructed latrines_by_WASHAgencies]]+WWWW[[#This Row],['#_Non Cluster partner latrines]]))</f>
        <v>5</v>
      </c>
      <c r="DK167" s="911">
        <f>1-WWWW[[#This Row],[% people access to functioning Latrine]]</f>
        <v>1</v>
      </c>
      <c r="DL167" s="910">
        <f>IF(OR(WWWW[[#This Row],['#_Non-functional latrines]]="",WWWW[[#This Row],['#_Non-functional latrines]]=0),0,WWWW[[#This Row],['#_Non-functional latrines]]/(WWWW[[#This Row],['#_Constructed latrines_by_WASHAgencies]]+WWWW[[#This Row],['#_Non Cluster partner latrines]]))</f>
        <v>0</v>
      </c>
      <c r="DM167" s="906">
        <f>IF(500*(WWWW[[#This Row],['#_male hygiene promoters]]+WWWW[[#This Row],['#_female hygiene promoters]])&gt;WWWW[[#This Row],[Total PoP ]],WWWW[[#This Row],[Total PoP ]],500*(WWWW[[#This Row],['#_male hygiene promoters]]+WWWW[[#This Row],['#_female hygiene promoters]]))</f>
        <v>0</v>
      </c>
      <c r="DN167"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7"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7" s="909">
        <f>IF(WWWW[[#This Row],['# People with access to soap]]&gt;WWWW[[#This Row],['# People with access to Sanity Pads]],WWWW[[#This Row],['# People with access to soap]],WWWW[[#This Row],['# People with access to Sanity Pads]])</f>
        <v>0</v>
      </c>
      <c r="DQ167"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67" s="911">
        <f>IF(WWWW[[#This Row],[HRP3]]/WWWW[[#This Row],[Total PoP ]]&gt;1,1,WWWW[[#This Row],[HRP3]]/WWWW[[#This Row],[Total PoP ]])</f>
        <v>0</v>
      </c>
      <c r="DS167" s="910">
        <f>1-WWWW[[#This Row],[Hygiene Coverage%]]</f>
        <v>1</v>
      </c>
      <c r="DT167" s="908">
        <f>WWWW[[#This Row],['# people reached by regular dedicated hygiene promotion_5]]/WWWW[[#This Row],[Total PoP ]]</f>
        <v>0</v>
      </c>
      <c r="DU167"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7"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7" s="909">
        <f>WWWW[[#This Row],['#_Constructed/Existing hand washing stations]]-WWWW[[#This Row],['#_Non-Functional_hand_washing_stations]]</f>
        <v>0</v>
      </c>
      <c r="DX167" s="906">
        <f>IF(WWWW[[#This Row],['# Functional hand washing stations during reporting period]]*20&gt;WWWW[[#This Row],[Total HH]],WWWW[[#This Row],[Total HH]],WWWW[[#This Row],['# Functional hand washing stations during reporting period]]*20)</f>
        <v>0</v>
      </c>
      <c r="DY167" s="906">
        <f>IF(WWWW[[#This Row],[Is sufficient soap available for TLS? (Yes/No)]]="yes",WWWW[[#This Row],['#_Constructed/Existing hand washing stations at TLS/CFS/THF]],0)</f>
        <v>0</v>
      </c>
      <c r="DZ167" s="421">
        <f>IF(WWWW[[#This Row],['# Functional hand washing stations during reporting period]]*100&gt;WWWW[[#This Row],[Total PoP ]],WWWW[[#This Row],[Total PoP ]],WWWW[[#This Row],['# Functional hand washing stations during reporting period]]*100)</f>
        <v>0</v>
      </c>
      <c r="EA167" s="421" t="str">
        <f>IF(OR(WWWW[[#This Row],['#_students at TLS_CFS]]="",WWWW[[#This Row],['#_students at TLS_CFS]]=0),"No","Yes")</f>
        <v>No</v>
      </c>
      <c r="EB16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67" s="566">
        <f>WWWW[[#This Row],[%_of_affected_people_surveyed_who_report_feeling_satistfied_with_the_latrine_design_and_sanitation_service]]*WWWW[[#This Row],[Total PoP ]]</f>
        <v>0</v>
      </c>
      <c r="ED167" s="566">
        <f>WWWW[[#This Row],[%_of_affected_people_surveyed_who_report_feeling_satistfied_with_the_water_point_design_and_water_service]]*WWWW[[#This Row],[Total PoP ]]</f>
        <v>0</v>
      </c>
      <c r="EE167" s="566">
        <f>WWWW[[#This Row],[%_of_complaints_received_that_result_in_timely_corrective_action_and_feedback_to_the_community]]*WWWW[[#This Row],[Total PoP ]]</f>
        <v>0</v>
      </c>
      <c r="EF16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6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7" s="902">
        <f>VLOOKUP(WWWW[[#This Row],[Site Name]],SiteDB6[[Site Name]:[CCCM Management]],6,FALSE)</f>
        <v>0</v>
      </c>
      <c r="EJ167" s="902" t="str">
        <f>VLOOKUP(WWWW[[#This Row],[Site Name]],SiteDB6[[Site Name]:[CCCM Focal Agency]],7,FALSE)</f>
        <v>Uncovered</v>
      </c>
      <c r="EK167" s="902" t="str">
        <f>VLOOKUP(WWWW[[#This Row],[Site Name]],SiteDB6[[Site Name]:[Location Type 1]],9,FALSE)</f>
        <v>Camp</v>
      </c>
      <c r="EL167" s="902" t="str">
        <f>VLOOKUP(WWWW[[#This Row],[Site Name]],SiteDB6[[Site Name]:[Type of Accommodation]],10,FALSE)</f>
        <v>Camp like setting</v>
      </c>
      <c r="EM167" s="902" t="str">
        <f>VLOOKUP(WWWW[[#This Row],[Site Name]],SiteDB6[[Site Name]:[Ethnic or GCA/NGCA]],11,FALSE)</f>
        <v>GCA</v>
      </c>
      <c r="EN167" s="902">
        <f>VLOOKUP(WWWW[[#This Row],[Site Name]],SiteDB6[[Site Name]:[Lat]],12,FALSE)</f>
        <v>0</v>
      </c>
      <c r="EO167" s="902" t="str">
        <f>VLOOKUP(WWWW[[#This Row],[Site Name]],SiteDB6[[Site Name]:[Long]],13,FALSE)</f>
        <v>not available</v>
      </c>
      <c r="EP167" s="902" t="str">
        <f>VLOOKUP(WWWW[[#This Row],[Site Name]],SiteDB6[[Site Name]:[Pcode]],3,FALSE)</f>
        <v>MMR015CMP095</v>
      </c>
      <c r="EQ167" s="907" t="str">
        <f t="shared" si="2"/>
        <v>Notcovered</v>
      </c>
      <c r="ER167" s="907"/>
      <c r="ES167" s="907"/>
      <c r="ET167" s="902">
        <f>VLOOKUP(WWWW[[#This Row],[Site Name]],SiteDB6[[Site Name]:[Pop
(Kachin/Shan-CCCM as of May 2023)]],16,FALSE)</f>
        <v>18</v>
      </c>
      <c r="EU167" s="902">
        <f>VLOOKUP(WWWW[[#This Row],[Site Name]],SiteDB6[[Site Name]:[Pop
(Kachin/Shan-CCCM as of May 2023)]],17,FALSE)</f>
        <v>92</v>
      </c>
    </row>
    <row r="168" spans="1:151" hidden="1">
      <c r="A168" s="900" t="s">
        <v>2961</v>
      </c>
      <c r="B168" s="900" t="s">
        <v>309</v>
      </c>
      <c r="C168" s="901" t="s">
        <v>309</v>
      </c>
      <c r="D168" s="901"/>
      <c r="E168" s="901" t="s">
        <v>515</v>
      </c>
      <c r="F168" s="901" t="s">
        <v>956</v>
      </c>
      <c r="G168" s="902" t="str">
        <f>VLOOKUP(WWWW[[#This Row],[Site Name]],SiteDB6[[Site Name]:[Location Type]],8,FALSE)</f>
        <v>Camp</v>
      </c>
      <c r="H168" s="901" t="s">
        <v>2975</v>
      </c>
      <c r="I168" s="903">
        <v>18</v>
      </c>
      <c r="J168" s="903">
        <v>123</v>
      </c>
      <c r="K168" s="904"/>
      <c r="L168" s="905"/>
      <c r="M168" s="903"/>
      <c r="N168" s="903"/>
      <c r="O168" s="903"/>
      <c r="P168" s="903"/>
      <c r="Q168" s="906"/>
      <c r="R168" s="903"/>
      <c r="S168" s="903"/>
      <c r="T168" s="441"/>
      <c r="U168" s="903"/>
      <c r="V168" s="903"/>
      <c r="W168" s="903"/>
      <c r="X168" s="903"/>
      <c r="Y168" s="903"/>
      <c r="Z168" s="903"/>
      <c r="AA168" s="903"/>
      <c r="AB168" s="903"/>
      <c r="AC168" s="903"/>
      <c r="AD168" s="903"/>
      <c r="AE168" s="903"/>
      <c r="AF168" s="903"/>
      <c r="AG168" s="903"/>
      <c r="AH168" s="903"/>
      <c r="AI168" s="903"/>
      <c r="AJ168" s="903"/>
      <c r="AK168" s="903"/>
      <c r="AL168" s="903"/>
      <c r="AM168" s="903"/>
      <c r="AN168" s="903"/>
      <c r="AO168" s="441"/>
      <c r="AP168" s="907"/>
      <c r="AQ168" s="903"/>
      <c r="AR168" s="903"/>
      <c r="AS168" s="908"/>
      <c r="AT168" s="903"/>
      <c r="AU168" s="903"/>
      <c r="AV168" s="903"/>
      <c r="AW168" s="903"/>
      <c r="AX168" s="903"/>
      <c r="AY168" s="902"/>
      <c r="AZ168" s="907"/>
      <c r="BA168" s="903"/>
      <c r="BB168" s="903"/>
      <c r="BC168" s="903"/>
      <c r="BD168" s="441"/>
      <c r="BE168" s="441"/>
      <c r="BF168" s="902"/>
      <c r="BG168" s="903"/>
      <c r="BH168" s="903"/>
      <c r="BI168" s="903"/>
      <c r="BJ168" s="903"/>
      <c r="BK168" s="903"/>
      <c r="BL168" s="903"/>
      <c r="BM168" s="903"/>
      <c r="BN168" s="903"/>
      <c r="BO168" s="903"/>
      <c r="BP168" s="902"/>
      <c r="BQ168" s="909"/>
      <c r="BR168" s="908"/>
      <c r="BS168" s="902"/>
      <c r="BT168" s="416"/>
      <c r="BU168" s="416"/>
      <c r="BV168" s="418"/>
      <c r="BW168" s="416"/>
      <c r="BX168" s="441"/>
      <c r="BY168" s="441"/>
      <c r="BZ168" s="441"/>
      <c r="CA168" s="441"/>
      <c r="CB168" s="441"/>
      <c r="CC168" s="693"/>
      <c r="CD168" s="441"/>
      <c r="CE168" s="910" t="str">
        <f>IFERROR(WWWW[[#This Row],['#_Water sources passed]]/WWWW[[#This Row],['#_Water sources tested for fecal coliform ]],"no test")</f>
        <v>no test</v>
      </c>
      <c r="CF168" s="908" t="str">
        <f>IFERROR(WWWW[[#This Row],['#_Household passed]]/WWWW[[#This Row],['#_Household water samples tested for fecal coliform]],"no test")</f>
        <v>no test</v>
      </c>
      <c r="CG168" s="909" t="str">
        <f>IF(AND(WWWW[[#This Row],[% of water sources passed]]="no test",WWWW[[#This Row],[% Household passed]]="no test"),"No Test","Tested")</f>
        <v>No Test</v>
      </c>
      <c r="CH168" s="909">
        <f>WWWW[[#This Row],['#_Constructed/existing protected hand dug well]]-WWWW[[#This Row],['#_Non-functional protected hand dug well]]</f>
        <v>0</v>
      </c>
      <c r="CI168" s="909">
        <f>(WWWW[[#This Row],['#_Constructed/Existing tube wells/boreholes/handpumps_WASH_agency]]+WWWW[[#This Row],['#_Non-Cluster partner water tube-wells/boreholes/handpumps]])-WWWW[[#This Row],['#_Non-functional tube wells/boreholes/handpumps]]</f>
        <v>0</v>
      </c>
      <c r="CJ168" s="909">
        <f>WWWW[[#This Row],['#_Constructed/Existingwater storage tank with gravity fed reticulation system]]-WWWW[[#This Row],['#_Non-functional storage tank gravity fed reticulation system]]</f>
        <v>0</v>
      </c>
      <c r="CK168" s="909">
        <f>(WWWW[[#This Row],['#_Water_Liters_supplied_by_Water boating or water trucking]]/90)/15</f>
        <v>0</v>
      </c>
      <c r="CL168" s="909">
        <f>WWWW[[#This Row],['#_Water_Liters_from_Constructed/Existing water distribution system from river or natural spring]]/90/15</f>
        <v>0</v>
      </c>
      <c r="CM168" s="417">
        <f>IF(WWWW[[#This Row],['#_of water points in TLS/CFS]]*500&gt;WWWW[[#This Row],[Total PoP ]],WWWW[[#This Row],[Total PoP ]],WWWW[[#This Row],['#_of water points in TLS/CFS]]*500)</f>
        <v>0</v>
      </c>
      <c r="CN168" s="417">
        <f>IF(WWWW[[#This Row],['#_of water points in THF]]*500&gt;WWWW[[#This Row],[Total PoP ]],WWWW[[#This Row],[Total PoP ]],WWWW[[#This Row],['#_of water points in THF]]*500)</f>
        <v>0</v>
      </c>
      <c r="CO168" s="417"/>
      <c r="CP168"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68"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68" s="908">
        <f>IF(WWWW[[#This Row],[Location Type 1]]="Village",WWWW[[#This Row],[Access to safe drinking water for Village]],WWWW[[#This Row],[Access to safe drinking water for Camp]])</f>
        <v>0</v>
      </c>
      <c r="CS168" s="906">
        <f>WWWW[[#This Row],[%Equitable and continuous access to sufficient quantity of safe drinking water]]*WWWW[[#This Row],[Total PoP ]]</f>
        <v>0</v>
      </c>
      <c r="CT168" s="908">
        <f>IF((WWWW[[#This Row],['#_Constructed/Existing protected/fenced ponds]]*250)/WWWW[[#This Row],[Total PoP ]]&gt;1,1,(WWWW[[#This Row],['#_Constructed/Existing protected/fenced ponds]]*250)/WWWW[[#This Row],[Total PoP ]])</f>
        <v>0</v>
      </c>
      <c r="CU168" s="906">
        <f>WWWW[[#This Row],[% Access to unimproved water points]]*WWWW[[#This Row],[Total PoP ]]</f>
        <v>0</v>
      </c>
      <c r="CV168"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68"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68" s="906">
        <f>WWWW[[#This Row],[HRP1]]/500</f>
        <v>0</v>
      </c>
      <c r="CY168" s="911">
        <f>1-WWWW[[#This Row],[% Equitable and continuous access to sufficient quantity of domestic water]]</f>
        <v>1</v>
      </c>
      <c r="CZ168" s="906">
        <f>WWWW[[#This Row],[%equitable and continuous access to sufficient quantity of safe drinking and domestic water''s GAP]]*WWWW[[#This Row],[Total PoP ]]</f>
        <v>123</v>
      </c>
      <c r="DA168" s="909">
        <f>IF(WWWW[[#This Row],[Total required water points]]-WWWW[[#This Row],['#Water points coverage]]&lt;0,0,WWWW[[#This Row],[Total required water points]]-WWWW[[#This Row],['#Water points coverage]])</f>
        <v>1</v>
      </c>
      <c r="DB168" s="909">
        <f>ROUND(IF(WWWW[[#This Row],[Total PoP ]]&lt;500,1,WWWW[[#This Row],[Total PoP ]]/500),0)</f>
        <v>1</v>
      </c>
      <c r="DC168" s="909">
        <f>(WWWW[[#This Row],['#_Constructed latrines_by_WASHAgencies]]+WWWW[[#This Row],['#_Non Cluster partner latrines]])-WWWW[[#This Row],['#_Non-functional latrines]]</f>
        <v>0</v>
      </c>
      <c r="DD168" s="615">
        <f>WWWW[[#This Row],[HRP2]]/WWWW[[#This Row],[Total PoP ]]</f>
        <v>0</v>
      </c>
      <c r="DE168"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68"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68"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8" s="417">
        <f>IF(WWWW[[#This Row],['# of functional latrines in THF supported by WASH partners during the reporting period2]]="",0,WWWW[[#This Row],['# of functional latrines in THF supported by WASH partners during the reporting period2]]*50)</f>
        <v>0</v>
      </c>
      <c r="DI168" s="909">
        <f>ROUND(IF(WWWW[[#This Row],[Location Type 1]]="camp",WWWW[[#This Row],[Total PoP ]]/20,IF(WWWW[[#This Row],[Location Type 1]]="Temporary Location",WWWW[[#This Row],[Total PoP ]]/50,(WWWW[[#This Row],[Total PoP ]]/6))),0)</f>
        <v>6</v>
      </c>
      <c r="DJ168" s="909">
        <f>IF(WWWW[[#This Row],[Total required Latrines]]-(WWWW[[#This Row],['#_Constructed latrines_by_WASHAgencies]]+WWWW[[#This Row],['#_Non Cluster partner latrines]])&lt;0,0,WWWW[[#This Row],[Total required Latrines]]-(WWWW[[#This Row],['#_Constructed latrines_by_WASHAgencies]]+WWWW[[#This Row],['#_Non Cluster partner latrines]]))</f>
        <v>6</v>
      </c>
      <c r="DK168" s="911">
        <f>1-WWWW[[#This Row],[% people access to functioning Latrine]]</f>
        <v>1</v>
      </c>
      <c r="DL168" s="910">
        <f>IF(OR(WWWW[[#This Row],['#_Non-functional latrines]]="",WWWW[[#This Row],['#_Non-functional latrines]]=0),0,WWWW[[#This Row],['#_Non-functional latrines]]/(WWWW[[#This Row],['#_Constructed latrines_by_WASHAgencies]]+WWWW[[#This Row],['#_Non Cluster partner latrines]]))</f>
        <v>0</v>
      </c>
      <c r="DM168" s="906">
        <f>IF(500*(WWWW[[#This Row],['#_male hygiene promoters]]+WWWW[[#This Row],['#_female hygiene promoters]])&gt;WWWW[[#This Row],[Total PoP ]],WWWW[[#This Row],[Total PoP ]],500*(WWWW[[#This Row],['#_male hygiene promoters]]+WWWW[[#This Row],['#_female hygiene promoters]]))</f>
        <v>0</v>
      </c>
      <c r="DN168"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8"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8" s="909">
        <f>IF(WWWW[[#This Row],['# People with access to soap]]&gt;WWWW[[#This Row],['# People with access to Sanity Pads]],WWWW[[#This Row],['# People with access to soap]],WWWW[[#This Row],['# People with access to Sanity Pads]])</f>
        <v>0</v>
      </c>
      <c r="DQ168"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68" s="911">
        <f>IF(WWWW[[#This Row],[HRP3]]/WWWW[[#This Row],[Total PoP ]]&gt;1,1,WWWW[[#This Row],[HRP3]]/WWWW[[#This Row],[Total PoP ]])</f>
        <v>0</v>
      </c>
      <c r="DS168" s="910">
        <f>1-WWWW[[#This Row],[Hygiene Coverage%]]</f>
        <v>1</v>
      </c>
      <c r="DT168" s="908">
        <f>WWWW[[#This Row],['# people reached by regular dedicated hygiene promotion_5]]/WWWW[[#This Row],[Total PoP ]]</f>
        <v>0</v>
      </c>
      <c r="DU168"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8"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8" s="909">
        <f>WWWW[[#This Row],['#_Constructed/Existing hand washing stations]]-WWWW[[#This Row],['#_Non-Functional_hand_washing_stations]]</f>
        <v>0</v>
      </c>
      <c r="DX168" s="906">
        <f>IF(WWWW[[#This Row],['# Functional hand washing stations during reporting period]]*20&gt;WWWW[[#This Row],[Total HH]],WWWW[[#This Row],[Total HH]],WWWW[[#This Row],['# Functional hand washing stations during reporting period]]*20)</f>
        <v>0</v>
      </c>
      <c r="DY168" s="906">
        <f>IF(WWWW[[#This Row],[Is sufficient soap available for TLS? (Yes/No)]]="yes",WWWW[[#This Row],['#_Constructed/Existing hand washing stations at TLS/CFS/THF]],0)</f>
        <v>0</v>
      </c>
      <c r="DZ168" s="421">
        <f>IF(WWWW[[#This Row],['# Functional hand washing stations during reporting period]]*100&gt;WWWW[[#This Row],[Total PoP ]],WWWW[[#This Row],[Total PoP ]],WWWW[[#This Row],['# Functional hand washing stations during reporting period]]*100)</f>
        <v>0</v>
      </c>
      <c r="EA168" s="421" t="str">
        <f>IF(OR(WWWW[[#This Row],['#_students at TLS_CFS]]="",WWWW[[#This Row],['#_students at TLS_CFS]]=0),"No","Yes")</f>
        <v>No</v>
      </c>
      <c r="EB16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68" s="566">
        <f>WWWW[[#This Row],[%_of_affected_people_surveyed_who_report_feeling_satistfied_with_the_latrine_design_and_sanitation_service]]*WWWW[[#This Row],[Total PoP ]]</f>
        <v>0</v>
      </c>
      <c r="ED168" s="566">
        <f>WWWW[[#This Row],[%_of_affected_people_surveyed_who_report_feeling_satistfied_with_the_water_point_design_and_water_service]]*WWWW[[#This Row],[Total PoP ]]</f>
        <v>0</v>
      </c>
      <c r="EE168" s="566">
        <f>WWWW[[#This Row],[%_of_complaints_received_that_result_in_timely_corrective_action_and_feedback_to_the_community]]*WWWW[[#This Row],[Total PoP ]]</f>
        <v>0</v>
      </c>
      <c r="EF16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6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8" s="902">
        <f>VLOOKUP(WWWW[[#This Row],[Site Name]],SiteDB6[[Site Name]:[CCCM Management]],6,FALSE)</f>
        <v>0</v>
      </c>
      <c r="EJ168" s="902" t="str">
        <f>VLOOKUP(WWWW[[#This Row],[Site Name]],SiteDB6[[Site Name]:[CCCM Focal Agency]],7,FALSE)</f>
        <v>Uncovered</v>
      </c>
      <c r="EK168" s="902" t="str">
        <f>VLOOKUP(WWWW[[#This Row],[Site Name]],SiteDB6[[Site Name]:[Location Type 1]],9,FALSE)</f>
        <v>Camp</v>
      </c>
      <c r="EL168" s="902" t="str">
        <f>VLOOKUP(WWWW[[#This Row],[Site Name]],SiteDB6[[Site Name]:[Type of Accommodation]],10,FALSE)</f>
        <v>Camp like setting</v>
      </c>
      <c r="EM168" s="902" t="str">
        <f>VLOOKUP(WWWW[[#This Row],[Site Name]],SiteDB6[[Site Name]:[Ethnic or GCA/NGCA]],11,FALSE)</f>
        <v>GCA</v>
      </c>
      <c r="EN168" s="902">
        <f>VLOOKUP(WWWW[[#This Row],[Site Name]],SiteDB6[[Site Name]:[Lat]],12,FALSE)</f>
        <v>0</v>
      </c>
      <c r="EO168" s="902" t="str">
        <f>VLOOKUP(WWWW[[#This Row],[Site Name]],SiteDB6[[Site Name]:[Long]],13,FALSE)</f>
        <v>not available</v>
      </c>
      <c r="EP168" s="902" t="str">
        <f>VLOOKUP(WWWW[[#This Row],[Site Name]],SiteDB6[[Site Name]:[Pcode]],3,FALSE)</f>
        <v>MMR015CMP088</v>
      </c>
      <c r="EQ168" s="907" t="str">
        <f t="shared" si="2"/>
        <v>Notcovered</v>
      </c>
      <c r="ER168" s="907"/>
      <c r="ES168" s="907"/>
      <c r="ET168" s="902">
        <f>VLOOKUP(WWWW[[#This Row],[Site Name]],SiteDB6[[Site Name]:[Pop
(Kachin/Shan-CCCM as of May 2023)]],16,FALSE)</f>
        <v>18</v>
      </c>
      <c r="EU168" s="902">
        <f>VLOOKUP(WWWW[[#This Row],[Site Name]],SiteDB6[[Site Name]:[Pop
(Kachin/Shan-CCCM as of May 2023)]],17,FALSE)</f>
        <v>123</v>
      </c>
    </row>
    <row r="169" spans="1:151" hidden="1">
      <c r="A169" s="900" t="s">
        <v>2961</v>
      </c>
      <c r="B169" s="900" t="s">
        <v>309</v>
      </c>
      <c r="C169" s="901" t="s">
        <v>309</v>
      </c>
      <c r="D169" s="901"/>
      <c r="E169" s="901" t="s">
        <v>515</v>
      </c>
      <c r="F169" s="901" t="s">
        <v>956</v>
      </c>
      <c r="G169" s="902" t="str">
        <f>VLOOKUP(WWWW[[#This Row],[Site Name]],SiteDB6[[Site Name]:[Location Type]],8,FALSE)</f>
        <v>Camp</v>
      </c>
      <c r="H169" s="901" t="s">
        <v>2980</v>
      </c>
      <c r="I169" s="903">
        <v>62</v>
      </c>
      <c r="J169" s="903">
        <v>144</v>
      </c>
      <c r="K169" s="904"/>
      <c r="L169" s="905"/>
      <c r="M169" s="903"/>
      <c r="N169" s="903"/>
      <c r="O169" s="903"/>
      <c r="P169" s="903"/>
      <c r="Q169" s="906"/>
      <c r="R169" s="903"/>
      <c r="S169" s="903"/>
      <c r="T169" s="441"/>
      <c r="U169" s="903"/>
      <c r="V169" s="903"/>
      <c r="W169" s="903"/>
      <c r="X169" s="903"/>
      <c r="Y169" s="903"/>
      <c r="Z169" s="903"/>
      <c r="AA169" s="903"/>
      <c r="AB169" s="903"/>
      <c r="AC169" s="903"/>
      <c r="AD169" s="903"/>
      <c r="AE169" s="903"/>
      <c r="AF169" s="903"/>
      <c r="AG169" s="903"/>
      <c r="AH169" s="903"/>
      <c r="AI169" s="903"/>
      <c r="AJ169" s="903"/>
      <c r="AK169" s="903"/>
      <c r="AL169" s="903"/>
      <c r="AM169" s="903"/>
      <c r="AN169" s="903"/>
      <c r="AO169" s="441"/>
      <c r="AP169" s="907"/>
      <c r="AQ169" s="903"/>
      <c r="AR169" s="903"/>
      <c r="AS169" s="908"/>
      <c r="AT169" s="903"/>
      <c r="AU169" s="903"/>
      <c r="AV169" s="903"/>
      <c r="AW169" s="903"/>
      <c r="AX169" s="903"/>
      <c r="AY169" s="902"/>
      <c r="AZ169" s="907"/>
      <c r="BA169" s="903"/>
      <c r="BB169" s="903"/>
      <c r="BC169" s="903"/>
      <c r="BD169" s="441"/>
      <c r="BE169" s="441"/>
      <c r="BF169" s="902"/>
      <c r="BG169" s="903"/>
      <c r="BH169" s="903"/>
      <c r="BI169" s="903"/>
      <c r="BJ169" s="903"/>
      <c r="BK169" s="903"/>
      <c r="BL169" s="903"/>
      <c r="BM169" s="903"/>
      <c r="BN169" s="903"/>
      <c r="BO169" s="903"/>
      <c r="BP169" s="902"/>
      <c r="BQ169" s="909"/>
      <c r="BR169" s="908"/>
      <c r="BS169" s="902"/>
      <c r="BT169" s="416"/>
      <c r="BU169" s="416"/>
      <c r="BV169" s="418"/>
      <c r="BW169" s="416"/>
      <c r="BX169" s="441"/>
      <c r="BY169" s="441"/>
      <c r="BZ169" s="441"/>
      <c r="CA169" s="441"/>
      <c r="CB169" s="441"/>
      <c r="CC169" s="693"/>
      <c r="CD169" s="441"/>
      <c r="CE169" s="910" t="str">
        <f>IFERROR(WWWW[[#This Row],['#_Water sources passed]]/WWWW[[#This Row],['#_Water sources tested for fecal coliform ]],"no test")</f>
        <v>no test</v>
      </c>
      <c r="CF169" s="908" t="str">
        <f>IFERROR(WWWW[[#This Row],['#_Household passed]]/WWWW[[#This Row],['#_Household water samples tested for fecal coliform]],"no test")</f>
        <v>no test</v>
      </c>
      <c r="CG169" s="909" t="str">
        <f>IF(AND(WWWW[[#This Row],[% of water sources passed]]="no test",WWWW[[#This Row],[% Household passed]]="no test"),"No Test","Tested")</f>
        <v>No Test</v>
      </c>
      <c r="CH169" s="909">
        <f>WWWW[[#This Row],['#_Constructed/existing protected hand dug well]]-WWWW[[#This Row],['#_Non-functional protected hand dug well]]</f>
        <v>0</v>
      </c>
      <c r="CI169" s="909">
        <f>(WWWW[[#This Row],['#_Constructed/Existing tube wells/boreholes/handpumps_WASH_agency]]+WWWW[[#This Row],['#_Non-Cluster partner water tube-wells/boreholes/handpumps]])-WWWW[[#This Row],['#_Non-functional tube wells/boreholes/handpumps]]</f>
        <v>0</v>
      </c>
      <c r="CJ169" s="909">
        <f>WWWW[[#This Row],['#_Constructed/Existingwater storage tank with gravity fed reticulation system]]-WWWW[[#This Row],['#_Non-functional storage tank gravity fed reticulation system]]</f>
        <v>0</v>
      </c>
      <c r="CK169" s="909">
        <f>(WWWW[[#This Row],['#_Water_Liters_supplied_by_Water boating or water trucking]]/90)/15</f>
        <v>0</v>
      </c>
      <c r="CL169" s="909">
        <f>WWWW[[#This Row],['#_Water_Liters_from_Constructed/Existing water distribution system from river or natural spring]]/90/15</f>
        <v>0</v>
      </c>
      <c r="CM169" s="417">
        <f>IF(WWWW[[#This Row],['#_of water points in TLS/CFS]]*500&gt;WWWW[[#This Row],[Total PoP ]],WWWW[[#This Row],[Total PoP ]],WWWW[[#This Row],['#_of water points in TLS/CFS]]*500)</f>
        <v>0</v>
      </c>
      <c r="CN169" s="417">
        <f>IF(WWWW[[#This Row],['#_of water points in THF]]*500&gt;WWWW[[#This Row],[Total PoP ]],WWWW[[#This Row],[Total PoP ]],WWWW[[#This Row],['#_of water points in THF]]*500)</f>
        <v>0</v>
      </c>
      <c r="CO169" s="417"/>
      <c r="CP169"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69"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69" s="908">
        <f>IF(WWWW[[#This Row],[Location Type 1]]="Village",WWWW[[#This Row],[Access to safe drinking water for Village]],WWWW[[#This Row],[Access to safe drinking water for Camp]])</f>
        <v>0</v>
      </c>
      <c r="CS169" s="906">
        <f>WWWW[[#This Row],[%Equitable and continuous access to sufficient quantity of safe drinking water]]*WWWW[[#This Row],[Total PoP ]]</f>
        <v>0</v>
      </c>
      <c r="CT169" s="908">
        <f>IF((WWWW[[#This Row],['#_Constructed/Existing protected/fenced ponds]]*250)/WWWW[[#This Row],[Total PoP ]]&gt;1,1,(WWWW[[#This Row],['#_Constructed/Existing protected/fenced ponds]]*250)/WWWW[[#This Row],[Total PoP ]])</f>
        <v>0</v>
      </c>
      <c r="CU169" s="906">
        <f>WWWW[[#This Row],[% Access to unimproved water points]]*WWWW[[#This Row],[Total PoP ]]</f>
        <v>0</v>
      </c>
      <c r="CV169"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69"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69" s="906">
        <f>WWWW[[#This Row],[HRP1]]/500</f>
        <v>0</v>
      </c>
      <c r="CY169" s="911">
        <f>1-WWWW[[#This Row],[% Equitable and continuous access to sufficient quantity of domestic water]]</f>
        <v>1</v>
      </c>
      <c r="CZ169" s="906">
        <f>WWWW[[#This Row],[%equitable and continuous access to sufficient quantity of safe drinking and domestic water''s GAP]]*WWWW[[#This Row],[Total PoP ]]</f>
        <v>144</v>
      </c>
      <c r="DA169" s="909">
        <f>IF(WWWW[[#This Row],[Total required water points]]-WWWW[[#This Row],['#Water points coverage]]&lt;0,0,WWWW[[#This Row],[Total required water points]]-WWWW[[#This Row],['#Water points coverage]])</f>
        <v>1</v>
      </c>
      <c r="DB169" s="909">
        <f>ROUND(IF(WWWW[[#This Row],[Total PoP ]]&lt;500,1,WWWW[[#This Row],[Total PoP ]]/500),0)</f>
        <v>1</v>
      </c>
      <c r="DC169" s="909">
        <f>(WWWW[[#This Row],['#_Constructed latrines_by_WASHAgencies]]+WWWW[[#This Row],['#_Non Cluster partner latrines]])-WWWW[[#This Row],['#_Non-functional latrines]]</f>
        <v>0</v>
      </c>
      <c r="DD169" s="615">
        <f>WWWW[[#This Row],[HRP2]]/WWWW[[#This Row],[Total PoP ]]</f>
        <v>0</v>
      </c>
      <c r="DE169"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69"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69"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69" s="417">
        <f>IF(WWWW[[#This Row],['# of functional latrines in THF supported by WASH partners during the reporting period2]]="",0,WWWW[[#This Row],['# of functional latrines in THF supported by WASH partners during the reporting period2]]*50)</f>
        <v>0</v>
      </c>
      <c r="DI169" s="909">
        <f>ROUND(IF(WWWW[[#This Row],[Location Type 1]]="camp",WWWW[[#This Row],[Total PoP ]]/20,IF(WWWW[[#This Row],[Location Type 1]]="Temporary Location",WWWW[[#This Row],[Total PoP ]]/50,(WWWW[[#This Row],[Total PoP ]]/6))),0)</f>
        <v>7</v>
      </c>
      <c r="DJ169" s="909">
        <f>IF(WWWW[[#This Row],[Total required Latrines]]-(WWWW[[#This Row],['#_Constructed latrines_by_WASHAgencies]]+WWWW[[#This Row],['#_Non Cluster partner latrines]])&lt;0,0,WWWW[[#This Row],[Total required Latrines]]-(WWWW[[#This Row],['#_Constructed latrines_by_WASHAgencies]]+WWWW[[#This Row],['#_Non Cluster partner latrines]]))</f>
        <v>7</v>
      </c>
      <c r="DK169" s="911">
        <f>1-WWWW[[#This Row],[% people access to functioning Latrine]]</f>
        <v>1</v>
      </c>
      <c r="DL169" s="910">
        <f>IF(OR(WWWW[[#This Row],['#_Non-functional latrines]]="",WWWW[[#This Row],['#_Non-functional latrines]]=0),0,WWWW[[#This Row],['#_Non-functional latrines]]/(WWWW[[#This Row],['#_Constructed latrines_by_WASHAgencies]]+WWWW[[#This Row],['#_Non Cluster partner latrines]]))</f>
        <v>0</v>
      </c>
      <c r="DM169" s="906">
        <f>IF(500*(WWWW[[#This Row],['#_male hygiene promoters]]+WWWW[[#This Row],['#_female hygiene promoters]])&gt;WWWW[[#This Row],[Total PoP ]],WWWW[[#This Row],[Total PoP ]],500*(WWWW[[#This Row],['#_male hygiene promoters]]+WWWW[[#This Row],['#_female hygiene promoters]]))</f>
        <v>0</v>
      </c>
      <c r="DN169"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69"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69" s="909">
        <f>IF(WWWW[[#This Row],['# People with access to soap]]&gt;WWWW[[#This Row],['# People with access to Sanity Pads]],WWWW[[#This Row],['# People with access to soap]],WWWW[[#This Row],['# People with access to Sanity Pads]])</f>
        <v>0</v>
      </c>
      <c r="DQ169"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69" s="911">
        <f>IF(WWWW[[#This Row],[HRP3]]/WWWW[[#This Row],[Total PoP ]]&gt;1,1,WWWW[[#This Row],[HRP3]]/WWWW[[#This Row],[Total PoP ]])</f>
        <v>0</v>
      </c>
      <c r="DS169" s="910">
        <f>1-WWWW[[#This Row],[Hygiene Coverage%]]</f>
        <v>1</v>
      </c>
      <c r="DT169" s="908">
        <f>WWWW[[#This Row],['# people reached by regular dedicated hygiene promotion_5]]/WWWW[[#This Row],[Total PoP ]]</f>
        <v>0</v>
      </c>
      <c r="DU169"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69"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69" s="909">
        <f>WWWW[[#This Row],['#_Constructed/Existing hand washing stations]]-WWWW[[#This Row],['#_Non-Functional_hand_washing_stations]]</f>
        <v>0</v>
      </c>
      <c r="DX169" s="906">
        <f>IF(WWWW[[#This Row],['# Functional hand washing stations during reporting period]]*20&gt;WWWW[[#This Row],[Total HH]],WWWW[[#This Row],[Total HH]],WWWW[[#This Row],['# Functional hand washing stations during reporting period]]*20)</f>
        <v>0</v>
      </c>
      <c r="DY169" s="906">
        <f>IF(WWWW[[#This Row],[Is sufficient soap available for TLS? (Yes/No)]]="yes",WWWW[[#This Row],['#_Constructed/Existing hand washing stations at TLS/CFS/THF]],0)</f>
        <v>0</v>
      </c>
      <c r="DZ169" s="421">
        <f>IF(WWWW[[#This Row],['# Functional hand washing stations during reporting period]]*100&gt;WWWW[[#This Row],[Total PoP ]],WWWW[[#This Row],[Total PoP ]],WWWW[[#This Row],['# Functional hand washing stations during reporting period]]*100)</f>
        <v>0</v>
      </c>
      <c r="EA169" s="421" t="str">
        <f>IF(OR(WWWW[[#This Row],['#_students at TLS_CFS]]="",WWWW[[#This Row],['#_students at TLS_CFS]]=0),"No","Yes")</f>
        <v>No</v>
      </c>
      <c r="EB16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69" s="566">
        <f>WWWW[[#This Row],[%_of_affected_people_surveyed_who_report_feeling_satistfied_with_the_latrine_design_and_sanitation_service]]*WWWW[[#This Row],[Total PoP ]]</f>
        <v>0</v>
      </c>
      <c r="ED169" s="566">
        <f>WWWW[[#This Row],[%_of_affected_people_surveyed_who_report_feeling_satistfied_with_the_water_point_design_and_water_service]]*WWWW[[#This Row],[Total PoP ]]</f>
        <v>0</v>
      </c>
      <c r="EE169" s="566">
        <f>WWWW[[#This Row],[%_of_complaints_received_that_result_in_timely_corrective_action_and_feedback_to_the_community]]*WWWW[[#This Row],[Total PoP ]]</f>
        <v>0</v>
      </c>
      <c r="EF16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6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6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69" s="902">
        <f>VLOOKUP(WWWW[[#This Row],[Site Name]],SiteDB6[[Site Name]:[CCCM Management]],6,FALSE)</f>
        <v>0</v>
      </c>
      <c r="EJ169" s="902" t="str">
        <f>VLOOKUP(WWWW[[#This Row],[Site Name]],SiteDB6[[Site Name]:[CCCM Focal Agency]],7,FALSE)</f>
        <v>Uncovered</v>
      </c>
      <c r="EK169" s="902" t="str">
        <f>VLOOKUP(WWWW[[#This Row],[Site Name]],SiteDB6[[Site Name]:[Location Type 1]],9,FALSE)</f>
        <v>Camp</v>
      </c>
      <c r="EL169" s="902" t="str">
        <f>VLOOKUP(WWWW[[#This Row],[Site Name]],SiteDB6[[Site Name]:[Type of Accommodation]],10,FALSE)</f>
        <v>Camp like setting</v>
      </c>
      <c r="EM169" s="902" t="str">
        <f>VLOOKUP(WWWW[[#This Row],[Site Name]],SiteDB6[[Site Name]:[Ethnic or GCA/NGCA]],11,FALSE)</f>
        <v>GCA</v>
      </c>
      <c r="EN169" s="902">
        <f>VLOOKUP(WWWW[[#This Row],[Site Name]],SiteDB6[[Site Name]:[Lat]],12,FALSE)</f>
        <v>0</v>
      </c>
      <c r="EO169" s="902" t="str">
        <f>VLOOKUP(WWWW[[#This Row],[Site Name]],SiteDB6[[Site Name]:[Long]],13,FALSE)</f>
        <v>not available</v>
      </c>
      <c r="EP169" s="902" t="str">
        <f>VLOOKUP(WWWW[[#This Row],[Site Name]],SiteDB6[[Site Name]:[Pcode]],3,FALSE)</f>
        <v>MMR015CMP091</v>
      </c>
      <c r="EQ169" s="907" t="str">
        <f t="shared" si="2"/>
        <v>Notcovered</v>
      </c>
      <c r="ER169" s="907"/>
      <c r="ES169" s="907"/>
      <c r="ET169" s="902">
        <f>VLOOKUP(WWWW[[#This Row],[Site Name]],SiteDB6[[Site Name]:[Pop
(Kachin/Shan-CCCM as of May 2023)]],16,FALSE)</f>
        <v>62</v>
      </c>
      <c r="EU169" s="902">
        <f>VLOOKUP(WWWW[[#This Row],[Site Name]],SiteDB6[[Site Name]:[Pop
(Kachin/Shan-CCCM as of May 2023)]],17,FALSE)</f>
        <v>144</v>
      </c>
    </row>
    <row r="170" spans="1:151" hidden="1">
      <c r="A170" s="900" t="s">
        <v>2961</v>
      </c>
      <c r="B170" s="900" t="s">
        <v>309</v>
      </c>
      <c r="C170" s="901" t="s">
        <v>309</v>
      </c>
      <c r="D170" s="901"/>
      <c r="E170" s="901" t="s">
        <v>515</v>
      </c>
      <c r="F170" s="901" t="s">
        <v>958</v>
      </c>
      <c r="G170" s="902" t="str">
        <f>VLOOKUP(WWWW[[#This Row],[Site Name]],SiteDB6[[Site Name]:[Location Type]],8,FALSE)</f>
        <v>Relocated</v>
      </c>
      <c r="H170" s="901" t="s">
        <v>2574</v>
      </c>
      <c r="I170" s="903">
        <v>219</v>
      </c>
      <c r="J170" s="903">
        <v>653</v>
      </c>
      <c r="K170" s="904"/>
      <c r="L170" s="905"/>
      <c r="M170" s="903"/>
      <c r="N170" s="903"/>
      <c r="O170" s="903"/>
      <c r="P170" s="903"/>
      <c r="Q170" s="906"/>
      <c r="R170" s="903"/>
      <c r="S170" s="903"/>
      <c r="T170" s="441"/>
      <c r="U170" s="903"/>
      <c r="V170" s="903"/>
      <c r="W170" s="903"/>
      <c r="X170" s="903"/>
      <c r="Y170" s="903"/>
      <c r="Z170" s="903"/>
      <c r="AA170" s="903"/>
      <c r="AB170" s="903"/>
      <c r="AC170" s="903"/>
      <c r="AD170" s="903"/>
      <c r="AE170" s="903"/>
      <c r="AF170" s="903"/>
      <c r="AG170" s="903"/>
      <c r="AH170" s="903"/>
      <c r="AI170" s="903"/>
      <c r="AJ170" s="903"/>
      <c r="AK170" s="903"/>
      <c r="AL170" s="903"/>
      <c r="AM170" s="903"/>
      <c r="AN170" s="903"/>
      <c r="AO170" s="441"/>
      <c r="AP170" s="907"/>
      <c r="AQ170" s="903"/>
      <c r="AR170" s="903"/>
      <c r="AS170" s="908"/>
      <c r="AT170" s="903"/>
      <c r="AU170" s="903"/>
      <c r="AV170" s="903"/>
      <c r="AW170" s="903"/>
      <c r="AX170" s="903"/>
      <c r="AY170" s="902" t="s">
        <v>140</v>
      </c>
      <c r="AZ170" s="907" t="s">
        <v>140</v>
      </c>
      <c r="BA170" s="903"/>
      <c r="BB170" s="903"/>
      <c r="BC170" s="903"/>
      <c r="BD170" s="441"/>
      <c r="BE170" s="441"/>
      <c r="BF170" s="902"/>
      <c r="BG170" s="903"/>
      <c r="BH170" s="903"/>
      <c r="BI170" s="903"/>
      <c r="BJ170" s="903"/>
      <c r="BK170" s="903"/>
      <c r="BL170" s="903"/>
      <c r="BM170" s="903"/>
      <c r="BN170" s="903"/>
      <c r="BO170" s="903"/>
      <c r="BP170" s="902"/>
      <c r="BQ170" s="909"/>
      <c r="BR170" s="908"/>
      <c r="BS170" s="902"/>
      <c r="BT170" s="416"/>
      <c r="BU170" s="416"/>
      <c r="BV170" s="418"/>
      <c r="BW170" s="416"/>
      <c r="BX170" s="441"/>
      <c r="BY170" s="441"/>
      <c r="BZ170" s="441"/>
      <c r="CA170" s="441"/>
      <c r="CB170" s="441"/>
      <c r="CC170" s="693"/>
      <c r="CD170" s="441"/>
      <c r="CE170" s="910" t="str">
        <f>IFERROR(WWWW[[#This Row],['#_Water sources passed]]/WWWW[[#This Row],['#_Water sources tested for fecal coliform ]],"no test")</f>
        <v>no test</v>
      </c>
      <c r="CF170" s="908" t="str">
        <f>IFERROR(WWWW[[#This Row],['#_Household passed]]/WWWW[[#This Row],['#_Household water samples tested for fecal coliform]],"no test")</f>
        <v>no test</v>
      </c>
      <c r="CG170" s="909" t="str">
        <f>IF(AND(WWWW[[#This Row],[% of water sources passed]]="no test",WWWW[[#This Row],[% Household passed]]="no test"),"No Test","Tested")</f>
        <v>No Test</v>
      </c>
      <c r="CH170" s="909">
        <f>WWWW[[#This Row],['#_Constructed/existing protected hand dug well]]-WWWW[[#This Row],['#_Non-functional protected hand dug well]]</f>
        <v>0</v>
      </c>
      <c r="CI170" s="909">
        <f>(WWWW[[#This Row],['#_Constructed/Existing tube wells/boreholes/handpumps_WASH_agency]]+WWWW[[#This Row],['#_Non-Cluster partner water tube-wells/boreholes/handpumps]])-WWWW[[#This Row],['#_Non-functional tube wells/boreholes/handpumps]]</f>
        <v>0</v>
      </c>
      <c r="CJ170" s="909">
        <f>WWWW[[#This Row],['#_Constructed/Existingwater storage tank with gravity fed reticulation system]]-WWWW[[#This Row],['#_Non-functional storage tank gravity fed reticulation system]]</f>
        <v>0</v>
      </c>
      <c r="CK170" s="909">
        <f>(WWWW[[#This Row],['#_Water_Liters_supplied_by_Water boating or water trucking]]/90)/15</f>
        <v>0</v>
      </c>
      <c r="CL170" s="909">
        <f>WWWW[[#This Row],['#_Water_Liters_from_Constructed/Existing water distribution system from river or natural spring]]/90/15</f>
        <v>0</v>
      </c>
      <c r="CM170" s="417">
        <f>IF(WWWW[[#This Row],['#_of water points in TLS/CFS]]*500&gt;WWWW[[#This Row],[Total PoP ]],WWWW[[#This Row],[Total PoP ]],WWWW[[#This Row],['#_of water points in TLS/CFS]]*500)</f>
        <v>0</v>
      </c>
      <c r="CN170" s="417">
        <f>IF(WWWW[[#This Row],['#_of water points in THF]]*500&gt;WWWW[[#This Row],[Total PoP ]],WWWW[[#This Row],[Total PoP ]],WWWW[[#This Row],['#_of water points in THF]]*500)</f>
        <v>0</v>
      </c>
      <c r="CO170" s="417"/>
      <c r="CP170"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70"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70" s="908">
        <f>IF(WWWW[[#This Row],[Location Type 1]]="Village",WWWW[[#This Row],[Access to safe drinking water for Village]],WWWW[[#This Row],[Access to safe drinking water for Camp]])</f>
        <v>0</v>
      </c>
      <c r="CS170" s="906">
        <f>WWWW[[#This Row],[%Equitable and continuous access to sufficient quantity of safe drinking water]]*WWWW[[#This Row],[Total PoP ]]</f>
        <v>0</v>
      </c>
      <c r="CT170" s="908">
        <f>IF((WWWW[[#This Row],['#_Constructed/Existing protected/fenced ponds]]*250)/WWWW[[#This Row],[Total PoP ]]&gt;1,1,(WWWW[[#This Row],['#_Constructed/Existing protected/fenced ponds]]*250)/WWWW[[#This Row],[Total PoP ]])</f>
        <v>0</v>
      </c>
      <c r="CU170" s="906">
        <f>WWWW[[#This Row],[% Access to unimproved water points]]*WWWW[[#This Row],[Total PoP ]]</f>
        <v>0</v>
      </c>
      <c r="CV170"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70"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70" s="906">
        <f>WWWW[[#This Row],[HRP1]]/500</f>
        <v>0</v>
      </c>
      <c r="CY170" s="911">
        <f>1-WWWW[[#This Row],[% Equitable and continuous access to sufficient quantity of domestic water]]</f>
        <v>1</v>
      </c>
      <c r="CZ170" s="906">
        <f>WWWW[[#This Row],[%equitable and continuous access to sufficient quantity of safe drinking and domestic water''s GAP]]*WWWW[[#This Row],[Total PoP ]]</f>
        <v>653</v>
      </c>
      <c r="DA170" s="909">
        <f>IF(WWWW[[#This Row],[Total required water points]]-WWWW[[#This Row],['#Water points coverage]]&lt;0,0,WWWW[[#This Row],[Total required water points]]-WWWW[[#This Row],['#Water points coverage]])</f>
        <v>1</v>
      </c>
      <c r="DB170" s="909">
        <f>ROUND(IF(WWWW[[#This Row],[Total PoP ]]&lt;500,1,WWWW[[#This Row],[Total PoP ]]/500),0)</f>
        <v>1</v>
      </c>
      <c r="DC170" s="909">
        <f>(WWWW[[#This Row],['#_Constructed latrines_by_WASHAgencies]]+WWWW[[#This Row],['#_Non Cluster partner latrines]])-WWWW[[#This Row],['#_Non-functional latrines]]</f>
        <v>0</v>
      </c>
      <c r="DD170" s="615">
        <f>WWWW[[#This Row],[HRP2]]/WWWW[[#This Row],[Total PoP ]]</f>
        <v>0</v>
      </c>
      <c r="DE170"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70"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70"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0" s="417">
        <f>IF(WWWW[[#This Row],['# of functional latrines in THF supported by WASH partners during the reporting period2]]="",0,WWWW[[#This Row],['# of functional latrines in THF supported by WASH partners during the reporting period2]]*50)</f>
        <v>0</v>
      </c>
      <c r="DI170" s="909">
        <f>ROUND(IF(WWWW[[#This Row],[Location Type 1]]="camp",WWWW[[#This Row],[Total PoP ]]/20,IF(WWWW[[#This Row],[Location Type 1]]="Temporary Location",WWWW[[#This Row],[Total PoP ]]/50,(WWWW[[#This Row],[Total PoP ]]/6))),0)</f>
        <v>109</v>
      </c>
      <c r="DJ170" s="909">
        <f>IF(WWWW[[#This Row],[Total required Latrines]]-(WWWW[[#This Row],['#_Constructed latrines_by_WASHAgencies]]+WWWW[[#This Row],['#_Non Cluster partner latrines]])&lt;0,0,WWWW[[#This Row],[Total required Latrines]]-(WWWW[[#This Row],['#_Constructed latrines_by_WASHAgencies]]+WWWW[[#This Row],['#_Non Cluster partner latrines]]))</f>
        <v>109</v>
      </c>
      <c r="DK170" s="911">
        <f>1-WWWW[[#This Row],[% people access to functioning Latrine]]</f>
        <v>1</v>
      </c>
      <c r="DL170" s="910">
        <f>IF(OR(WWWW[[#This Row],['#_Non-functional latrines]]="",WWWW[[#This Row],['#_Non-functional latrines]]=0),0,WWWW[[#This Row],['#_Non-functional latrines]]/(WWWW[[#This Row],['#_Constructed latrines_by_WASHAgencies]]+WWWW[[#This Row],['#_Non Cluster partner latrines]]))</f>
        <v>0</v>
      </c>
      <c r="DM170" s="906">
        <f>IF(500*(WWWW[[#This Row],['#_male hygiene promoters]]+WWWW[[#This Row],['#_female hygiene promoters]])&gt;WWWW[[#This Row],[Total PoP ]],WWWW[[#This Row],[Total PoP ]],500*(WWWW[[#This Row],['#_male hygiene promoters]]+WWWW[[#This Row],['#_female hygiene promoters]]))</f>
        <v>0</v>
      </c>
      <c r="DN170"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70"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70" s="909">
        <f>IF(WWWW[[#This Row],['# People with access to soap]]&gt;WWWW[[#This Row],['# People with access to Sanity Pads]],WWWW[[#This Row],['# People with access to soap]],WWWW[[#This Row],['# People with access to Sanity Pads]])</f>
        <v>0</v>
      </c>
      <c r="DQ170"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70" s="911">
        <f>IF(WWWW[[#This Row],[HRP3]]/WWWW[[#This Row],[Total PoP ]]&gt;1,1,WWWW[[#This Row],[HRP3]]/WWWW[[#This Row],[Total PoP ]])</f>
        <v>0</v>
      </c>
      <c r="DS170" s="910">
        <f>1-WWWW[[#This Row],[Hygiene Coverage%]]</f>
        <v>1</v>
      </c>
      <c r="DT170" s="908">
        <f>WWWW[[#This Row],['# people reached by regular dedicated hygiene promotion_5]]/WWWW[[#This Row],[Total PoP ]]</f>
        <v>0</v>
      </c>
      <c r="DU170"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70"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70" s="909">
        <f>WWWW[[#This Row],['#_Constructed/Existing hand washing stations]]-WWWW[[#This Row],['#_Non-Functional_hand_washing_stations]]</f>
        <v>0</v>
      </c>
      <c r="DX170" s="906">
        <f>IF(WWWW[[#This Row],['# Functional hand washing stations during reporting period]]*20&gt;WWWW[[#This Row],[Total HH]],WWWW[[#This Row],[Total HH]],WWWW[[#This Row],['# Functional hand washing stations during reporting period]]*20)</f>
        <v>0</v>
      </c>
      <c r="DY170" s="906">
        <f>IF(WWWW[[#This Row],[Is sufficient soap available for TLS? (Yes/No)]]="yes",WWWW[[#This Row],['#_Constructed/Existing hand washing stations at TLS/CFS/THF]],0)</f>
        <v>0</v>
      </c>
      <c r="DZ170" s="421">
        <f>IF(WWWW[[#This Row],['# Functional hand washing stations during reporting period]]*100&gt;WWWW[[#This Row],[Total PoP ]],WWWW[[#This Row],[Total PoP ]],WWWW[[#This Row],['# Functional hand washing stations during reporting period]]*100)</f>
        <v>0</v>
      </c>
      <c r="EA170" s="421" t="str">
        <f>IF(OR(WWWW[[#This Row],['#_students at TLS_CFS]]="",WWWW[[#This Row],['#_students at TLS_CFS]]=0),"No","Yes")</f>
        <v>No</v>
      </c>
      <c r="EB17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70" s="566">
        <f>WWWW[[#This Row],[%_of_affected_people_surveyed_who_report_feeling_satistfied_with_the_latrine_design_and_sanitation_service]]*WWWW[[#This Row],[Total PoP ]]</f>
        <v>0</v>
      </c>
      <c r="ED170" s="566">
        <f>WWWW[[#This Row],[%_of_affected_people_surveyed_who_report_feeling_satistfied_with_the_water_point_design_and_water_service]]*WWWW[[#This Row],[Total PoP ]]</f>
        <v>0</v>
      </c>
      <c r="EE170" s="566">
        <f>WWWW[[#This Row],[%_of_complaints_received_that_result_in_timely_corrective_action_and_feedback_to_the_community]]*WWWW[[#This Row],[Total PoP ]]</f>
        <v>0</v>
      </c>
      <c r="EF17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7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7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70" s="902">
        <f>VLOOKUP(WWWW[[#This Row],[Site Name]],SiteDB6[[Site Name]:[CCCM Management]],6,FALSE)</f>
        <v>0</v>
      </c>
      <c r="EJ170" s="902">
        <f>VLOOKUP(WWWW[[#This Row],[Site Name]],SiteDB6[[Site Name]:[CCCM Focal Agency]],7,FALSE)</f>
        <v>0</v>
      </c>
      <c r="EK170" s="902" t="str">
        <f>VLOOKUP(WWWW[[#This Row],[Site Name]],SiteDB6[[Site Name]:[Location Type 1]],9,FALSE)</f>
        <v>Relocated</v>
      </c>
      <c r="EL170" s="902" t="str">
        <f>VLOOKUP(WWWW[[#This Row],[Site Name]],SiteDB6[[Site Name]:[Type of Accommodation]],10,FALSE)</f>
        <v>Relocated-Individual House</v>
      </c>
      <c r="EM170" s="902" t="str">
        <f>VLOOKUP(WWWW[[#This Row],[Site Name]],SiteDB6[[Site Name]:[Ethnic or GCA/NGCA]],11,FALSE)</f>
        <v>GCA</v>
      </c>
      <c r="EN170" s="902">
        <f>VLOOKUP(WWWW[[#This Row],[Site Name]],SiteDB6[[Site Name]:[Lat]],12,FALSE)</f>
        <v>23.415991000000002</v>
      </c>
      <c r="EO170" s="902">
        <f>VLOOKUP(WWWW[[#This Row],[Site Name]],SiteDB6[[Site Name]:[Long]],13,FALSE)</f>
        <v>98.471779999999995</v>
      </c>
      <c r="EP170" s="902" t="str">
        <f>VLOOKUP(WWWW[[#This Row],[Site Name]],SiteDB6[[Site Name]:[Pcode]],3,FALSE)</f>
        <v>MMR015CMP073</v>
      </c>
      <c r="EQ170" s="907" t="str">
        <f t="shared" si="2"/>
        <v>Notcovered</v>
      </c>
      <c r="ER170" s="907"/>
      <c r="ES170" s="907"/>
      <c r="ET170" s="902">
        <f>VLOOKUP(WWWW[[#This Row],[Site Name]],SiteDB6[[Site Name]:[Pop
(Kachin/Shan-CCCM as of May 2023)]],16,FALSE)</f>
        <v>219</v>
      </c>
      <c r="EU170" s="902">
        <f>VLOOKUP(WWWW[[#This Row],[Site Name]],SiteDB6[[Site Name]:[Pop
(Kachin/Shan-CCCM as of May 2023)]],17,FALSE)</f>
        <v>653</v>
      </c>
    </row>
    <row r="171" spans="1:151" hidden="1">
      <c r="A171" s="900" t="s">
        <v>2961</v>
      </c>
      <c r="B171" s="900" t="s">
        <v>309</v>
      </c>
      <c r="C171" s="901" t="s">
        <v>309</v>
      </c>
      <c r="D171" s="901"/>
      <c r="E171" s="901" t="s">
        <v>515</v>
      </c>
      <c r="F171" s="901" t="s">
        <v>958</v>
      </c>
      <c r="G171" s="902" t="str">
        <f>VLOOKUP(WWWW[[#This Row],[Site Name]],SiteDB6[[Site Name]:[Location Type]],8,FALSE)</f>
        <v>Relocated</v>
      </c>
      <c r="H171" s="901" t="s">
        <v>2573</v>
      </c>
      <c r="I171" s="903">
        <v>657</v>
      </c>
      <c r="J171" s="903">
        <v>2786</v>
      </c>
      <c r="K171" s="904"/>
      <c r="L171" s="905"/>
      <c r="M171" s="903"/>
      <c r="N171" s="903"/>
      <c r="O171" s="903"/>
      <c r="P171" s="903"/>
      <c r="Q171" s="906"/>
      <c r="R171" s="903"/>
      <c r="S171" s="903"/>
      <c r="T171" s="441"/>
      <c r="U171" s="903"/>
      <c r="V171" s="903"/>
      <c r="W171" s="903"/>
      <c r="X171" s="903"/>
      <c r="Y171" s="903"/>
      <c r="Z171" s="903"/>
      <c r="AA171" s="903"/>
      <c r="AB171" s="903"/>
      <c r="AC171" s="903"/>
      <c r="AD171" s="903"/>
      <c r="AE171" s="903"/>
      <c r="AF171" s="903"/>
      <c r="AG171" s="903"/>
      <c r="AH171" s="903"/>
      <c r="AI171" s="903"/>
      <c r="AJ171" s="903"/>
      <c r="AK171" s="903"/>
      <c r="AL171" s="903"/>
      <c r="AM171" s="903"/>
      <c r="AN171" s="903"/>
      <c r="AO171" s="441"/>
      <c r="AP171" s="907"/>
      <c r="AQ171" s="903"/>
      <c r="AR171" s="903"/>
      <c r="AS171" s="908"/>
      <c r="AT171" s="903"/>
      <c r="AU171" s="903"/>
      <c r="AV171" s="903"/>
      <c r="AW171" s="903"/>
      <c r="AX171" s="903"/>
      <c r="AY171" s="902" t="s">
        <v>140</v>
      </c>
      <c r="AZ171" s="907" t="s">
        <v>140</v>
      </c>
      <c r="BA171" s="903"/>
      <c r="BB171" s="903"/>
      <c r="BC171" s="903"/>
      <c r="BD171" s="441"/>
      <c r="BE171" s="441"/>
      <c r="BF171" s="902"/>
      <c r="BG171" s="903"/>
      <c r="BH171" s="903"/>
      <c r="BI171" s="903"/>
      <c r="BJ171" s="903"/>
      <c r="BK171" s="903"/>
      <c r="BL171" s="903"/>
      <c r="BM171" s="903"/>
      <c r="BN171" s="903"/>
      <c r="BO171" s="903"/>
      <c r="BP171" s="902"/>
      <c r="BQ171" s="909"/>
      <c r="BR171" s="908"/>
      <c r="BS171" s="902"/>
      <c r="BT171" s="416"/>
      <c r="BU171" s="416"/>
      <c r="BV171" s="418"/>
      <c r="BW171" s="416"/>
      <c r="BX171" s="441"/>
      <c r="BY171" s="441"/>
      <c r="BZ171" s="441"/>
      <c r="CA171" s="441"/>
      <c r="CB171" s="441"/>
      <c r="CC171" s="693"/>
      <c r="CD171" s="441"/>
      <c r="CE171" s="910" t="str">
        <f>IFERROR(WWWW[[#This Row],['#_Water sources passed]]/WWWW[[#This Row],['#_Water sources tested for fecal coliform ]],"no test")</f>
        <v>no test</v>
      </c>
      <c r="CF171" s="908" t="str">
        <f>IFERROR(WWWW[[#This Row],['#_Household passed]]/WWWW[[#This Row],['#_Household water samples tested for fecal coliform]],"no test")</f>
        <v>no test</v>
      </c>
      <c r="CG171" s="909" t="str">
        <f>IF(AND(WWWW[[#This Row],[% of water sources passed]]="no test",WWWW[[#This Row],[% Household passed]]="no test"),"No Test","Tested")</f>
        <v>No Test</v>
      </c>
      <c r="CH171" s="909">
        <f>WWWW[[#This Row],['#_Constructed/existing protected hand dug well]]-WWWW[[#This Row],['#_Non-functional protected hand dug well]]</f>
        <v>0</v>
      </c>
      <c r="CI171" s="909">
        <f>(WWWW[[#This Row],['#_Constructed/Existing tube wells/boreholes/handpumps_WASH_agency]]+WWWW[[#This Row],['#_Non-Cluster partner water tube-wells/boreholes/handpumps]])-WWWW[[#This Row],['#_Non-functional tube wells/boreholes/handpumps]]</f>
        <v>0</v>
      </c>
      <c r="CJ171" s="909">
        <f>WWWW[[#This Row],['#_Constructed/Existingwater storage tank with gravity fed reticulation system]]-WWWW[[#This Row],['#_Non-functional storage tank gravity fed reticulation system]]</f>
        <v>0</v>
      </c>
      <c r="CK171" s="909">
        <f>(WWWW[[#This Row],['#_Water_Liters_supplied_by_Water boating or water trucking]]/90)/15</f>
        <v>0</v>
      </c>
      <c r="CL171" s="909">
        <f>WWWW[[#This Row],['#_Water_Liters_from_Constructed/Existing water distribution system from river or natural spring]]/90/15</f>
        <v>0</v>
      </c>
      <c r="CM171" s="417">
        <f>IF(WWWW[[#This Row],['#_of water points in TLS/CFS]]*500&gt;WWWW[[#This Row],[Total PoP ]],WWWW[[#This Row],[Total PoP ]],WWWW[[#This Row],['#_of water points in TLS/CFS]]*500)</f>
        <v>0</v>
      </c>
      <c r="CN171" s="417">
        <f>IF(WWWW[[#This Row],['#_of water points in THF]]*500&gt;WWWW[[#This Row],[Total PoP ]],WWWW[[#This Row],[Total PoP ]],WWWW[[#This Row],['#_of water points in THF]]*500)</f>
        <v>0</v>
      </c>
      <c r="CO171" s="417"/>
      <c r="CP171"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71"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71" s="908">
        <f>IF(WWWW[[#This Row],[Location Type 1]]="Village",WWWW[[#This Row],[Access to safe drinking water for Village]],WWWW[[#This Row],[Access to safe drinking water for Camp]])</f>
        <v>0</v>
      </c>
      <c r="CS171" s="906">
        <f>WWWW[[#This Row],[%Equitable and continuous access to sufficient quantity of safe drinking water]]*WWWW[[#This Row],[Total PoP ]]</f>
        <v>0</v>
      </c>
      <c r="CT171" s="908">
        <f>IF((WWWW[[#This Row],['#_Constructed/Existing protected/fenced ponds]]*250)/WWWW[[#This Row],[Total PoP ]]&gt;1,1,(WWWW[[#This Row],['#_Constructed/Existing protected/fenced ponds]]*250)/WWWW[[#This Row],[Total PoP ]])</f>
        <v>0</v>
      </c>
      <c r="CU171" s="906">
        <f>WWWW[[#This Row],[% Access to unimproved water points]]*WWWW[[#This Row],[Total PoP ]]</f>
        <v>0</v>
      </c>
      <c r="CV171"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71"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71" s="906">
        <f>WWWW[[#This Row],[HRP1]]/500</f>
        <v>0</v>
      </c>
      <c r="CY171" s="911">
        <f>1-WWWW[[#This Row],[% Equitable and continuous access to sufficient quantity of domestic water]]</f>
        <v>1</v>
      </c>
      <c r="CZ171" s="906">
        <f>WWWW[[#This Row],[%equitable and continuous access to sufficient quantity of safe drinking and domestic water''s GAP]]*WWWW[[#This Row],[Total PoP ]]</f>
        <v>2786</v>
      </c>
      <c r="DA171" s="909">
        <f>IF(WWWW[[#This Row],[Total required water points]]-WWWW[[#This Row],['#Water points coverage]]&lt;0,0,WWWW[[#This Row],[Total required water points]]-WWWW[[#This Row],['#Water points coverage]])</f>
        <v>6</v>
      </c>
      <c r="DB171" s="909">
        <f>ROUND(IF(WWWW[[#This Row],[Total PoP ]]&lt;500,1,WWWW[[#This Row],[Total PoP ]]/500),0)</f>
        <v>6</v>
      </c>
      <c r="DC171" s="909">
        <f>(WWWW[[#This Row],['#_Constructed latrines_by_WASHAgencies]]+WWWW[[#This Row],['#_Non Cluster partner latrines]])-WWWW[[#This Row],['#_Non-functional latrines]]</f>
        <v>0</v>
      </c>
      <c r="DD171" s="615">
        <f>WWWW[[#This Row],[HRP2]]/WWWW[[#This Row],[Total PoP ]]</f>
        <v>0</v>
      </c>
      <c r="DE171"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71"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71"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1" s="417">
        <f>IF(WWWW[[#This Row],['# of functional latrines in THF supported by WASH partners during the reporting period2]]="",0,WWWW[[#This Row],['# of functional latrines in THF supported by WASH partners during the reporting period2]]*50)</f>
        <v>0</v>
      </c>
      <c r="DI171" s="909">
        <f>ROUND(IF(WWWW[[#This Row],[Location Type 1]]="camp",WWWW[[#This Row],[Total PoP ]]/20,IF(WWWW[[#This Row],[Location Type 1]]="Temporary Location",WWWW[[#This Row],[Total PoP ]]/50,(WWWW[[#This Row],[Total PoP ]]/6))),0)</f>
        <v>464</v>
      </c>
      <c r="DJ171" s="909">
        <f>IF(WWWW[[#This Row],[Total required Latrines]]-(WWWW[[#This Row],['#_Constructed latrines_by_WASHAgencies]]+WWWW[[#This Row],['#_Non Cluster partner latrines]])&lt;0,0,WWWW[[#This Row],[Total required Latrines]]-(WWWW[[#This Row],['#_Constructed latrines_by_WASHAgencies]]+WWWW[[#This Row],['#_Non Cluster partner latrines]]))</f>
        <v>464</v>
      </c>
      <c r="DK171" s="911">
        <f>1-WWWW[[#This Row],[% people access to functioning Latrine]]</f>
        <v>1</v>
      </c>
      <c r="DL171" s="910">
        <f>IF(OR(WWWW[[#This Row],['#_Non-functional latrines]]="",WWWW[[#This Row],['#_Non-functional latrines]]=0),0,WWWW[[#This Row],['#_Non-functional latrines]]/(WWWW[[#This Row],['#_Constructed latrines_by_WASHAgencies]]+WWWW[[#This Row],['#_Non Cluster partner latrines]]))</f>
        <v>0</v>
      </c>
      <c r="DM171" s="906">
        <f>IF(500*(WWWW[[#This Row],['#_male hygiene promoters]]+WWWW[[#This Row],['#_female hygiene promoters]])&gt;WWWW[[#This Row],[Total PoP ]],WWWW[[#This Row],[Total PoP ]],500*(WWWW[[#This Row],['#_male hygiene promoters]]+WWWW[[#This Row],['#_female hygiene promoters]]))</f>
        <v>0</v>
      </c>
      <c r="DN171"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71"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71" s="909">
        <f>IF(WWWW[[#This Row],['# People with access to soap]]&gt;WWWW[[#This Row],['# People with access to Sanity Pads]],WWWW[[#This Row],['# People with access to soap]],WWWW[[#This Row],['# People with access to Sanity Pads]])</f>
        <v>0</v>
      </c>
      <c r="DQ171"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71" s="911">
        <f>IF(WWWW[[#This Row],[HRP3]]/WWWW[[#This Row],[Total PoP ]]&gt;1,1,WWWW[[#This Row],[HRP3]]/WWWW[[#This Row],[Total PoP ]])</f>
        <v>0</v>
      </c>
      <c r="DS171" s="910">
        <f>1-WWWW[[#This Row],[Hygiene Coverage%]]</f>
        <v>1</v>
      </c>
      <c r="DT171" s="908">
        <f>WWWW[[#This Row],['# people reached by regular dedicated hygiene promotion_5]]/WWWW[[#This Row],[Total PoP ]]</f>
        <v>0</v>
      </c>
      <c r="DU171"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71"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71" s="909">
        <f>WWWW[[#This Row],['#_Constructed/Existing hand washing stations]]-WWWW[[#This Row],['#_Non-Functional_hand_washing_stations]]</f>
        <v>0</v>
      </c>
      <c r="DX171" s="906">
        <f>IF(WWWW[[#This Row],['# Functional hand washing stations during reporting period]]*20&gt;WWWW[[#This Row],[Total HH]],WWWW[[#This Row],[Total HH]],WWWW[[#This Row],['# Functional hand washing stations during reporting period]]*20)</f>
        <v>0</v>
      </c>
      <c r="DY171" s="906">
        <f>IF(WWWW[[#This Row],[Is sufficient soap available for TLS? (Yes/No)]]="yes",WWWW[[#This Row],['#_Constructed/Existing hand washing stations at TLS/CFS/THF]],0)</f>
        <v>0</v>
      </c>
      <c r="DZ171" s="421">
        <f>IF(WWWW[[#This Row],['# Functional hand washing stations during reporting period]]*100&gt;WWWW[[#This Row],[Total PoP ]],WWWW[[#This Row],[Total PoP ]],WWWW[[#This Row],['# Functional hand washing stations during reporting period]]*100)</f>
        <v>0</v>
      </c>
      <c r="EA171" s="421" t="str">
        <f>IF(OR(WWWW[[#This Row],['#_students at TLS_CFS]]="",WWWW[[#This Row],['#_students at TLS_CFS]]=0),"No","Yes")</f>
        <v>No</v>
      </c>
      <c r="EB17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71" s="566">
        <f>WWWW[[#This Row],[%_of_affected_people_surveyed_who_report_feeling_satistfied_with_the_latrine_design_and_sanitation_service]]*WWWW[[#This Row],[Total PoP ]]</f>
        <v>0</v>
      </c>
      <c r="ED171" s="566">
        <f>WWWW[[#This Row],[%_of_affected_people_surveyed_who_report_feeling_satistfied_with_the_water_point_design_and_water_service]]*WWWW[[#This Row],[Total PoP ]]</f>
        <v>0</v>
      </c>
      <c r="EE171" s="566">
        <f>WWWW[[#This Row],[%_of_complaints_received_that_result_in_timely_corrective_action_and_feedback_to_the_community]]*WWWW[[#This Row],[Total PoP ]]</f>
        <v>0</v>
      </c>
      <c r="EF17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7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7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71" s="902">
        <f>VLOOKUP(WWWW[[#This Row],[Site Name]],SiteDB6[[Site Name]:[CCCM Management]],6,FALSE)</f>
        <v>0</v>
      </c>
      <c r="EJ171" s="902">
        <f>VLOOKUP(WWWW[[#This Row],[Site Name]],SiteDB6[[Site Name]:[CCCM Focal Agency]],7,FALSE)</f>
        <v>0</v>
      </c>
      <c r="EK171" s="902" t="str">
        <f>VLOOKUP(WWWW[[#This Row],[Site Name]],SiteDB6[[Site Name]:[Location Type 1]],9,FALSE)</f>
        <v>Relocated</v>
      </c>
      <c r="EL171" s="902" t="str">
        <f>VLOOKUP(WWWW[[#This Row],[Site Name]],SiteDB6[[Site Name]:[Type of Accommodation]],10,FALSE)</f>
        <v>Relocated-Individual House</v>
      </c>
      <c r="EM171" s="902" t="str">
        <f>VLOOKUP(WWWW[[#This Row],[Site Name]],SiteDB6[[Site Name]:[Ethnic or GCA/NGCA]],11,FALSE)</f>
        <v>GCA</v>
      </c>
      <c r="EN171" s="902">
        <f>VLOOKUP(WWWW[[#This Row],[Site Name]],SiteDB6[[Site Name]:[Lat]],12,FALSE)</f>
        <v>23.363275999999999</v>
      </c>
      <c r="EO171" s="902">
        <f>VLOOKUP(WWWW[[#This Row],[Site Name]],SiteDB6[[Site Name]:[Long]],13,FALSE)</f>
        <v>98.472977999999998</v>
      </c>
      <c r="EP171" s="902" t="str">
        <f>VLOOKUP(WWWW[[#This Row],[Site Name]],SiteDB6[[Site Name]:[Pcode]],3,FALSE)</f>
        <v>MMR015CMP072</v>
      </c>
      <c r="EQ171" s="907" t="str">
        <f t="shared" si="2"/>
        <v>Notcovered</v>
      </c>
      <c r="ER171" s="907"/>
      <c r="ES171" s="907"/>
      <c r="ET171" s="902">
        <f>VLOOKUP(WWWW[[#This Row],[Site Name]],SiteDB6[[Site Name]:[Pop
(Kachin/Shan-CCCM as of May 2023)]],16,FALSE)</f>
        <v>657</v>
      </c>
      <c r="EU171" s="902">
        <f>VLOOKUP(WWWW[[#This Row],[Site Name]],SiteDB6[[Site Name]:[Pop
(Kachin/Shan-CCCM as of May 2023)]],17,FALSE)</f>
        <v>2786</v>
      </c>
    </row>
    <row r="172" spans="1:151" hidden="1">
      <c r="A172" s="900" t="s">
        <v>2961</v>
      </c>
      <c r="B172" s="900" t="s">
        <v>309</v>
      </c>
      <c r="C172" s="901" t="s">
        <v>309</v>
      </c>
      <c r="D172" s="901"/>
      <c r="E172" s="901" t="s">
        <v>515</v>
      </c>
      <c r="F172" s="901" t="s">
        <v>958</v>
      </c>
      <c r="G172" s="902" t="str">
        <f>VLOOKUP(WWWW[[#This Row],[Site Name]],SiteDB6[[Site Name]:[Location Type]],8,FALSE)</f>
        <v>Camp</v>
      </c>
      <c r="H172" s="901" t="s">
        <v>2571</v>
      </c>
      <c r="I172" s="903">
        <v>34</v>
      </c>
      <c r="J172" s="903">
        <v>170</v>
      </c>
      <c r="K172" s="904"/>
      <c r="L172" s="905"/>
      <c r="M172" s="903"/>
      <c r="N172" s="903"/>
      <c r="O172" s="903"/>
      <c r="P172" s="903"/>
      <c r="Q172" s="906"/>
      <c r="R172" s="903"/>
      <c r="S172" s="903"/>
      <c r="T172" s="441"/>
      <c r="U172" s="903"/>
      <c r="V172" s="903"/>
      <c r="W172" s="903"/>
      <c r="X172" s="903"/>
      <c r="Y172" s="903"/>
      <c r="Z172" s="903"/>
      <c r="AA172" s="903"/>
      <c r="AB172" s="903"/>
      <c r="AC172" s="903"/>
      <c r="AD172" s="903"/>
      <c r="AE172" s="903"/>
      <c r="AF172" s="903"/>
      <c r="AG172" s="903"/>
      <c r="AH172" s="903"/>
      <c r="AI172" s="903"/>
      <c r="AJ172" s="903"/>
      <c r="AK172" s="903"/>
      <c r="AL172" s="903"/>
      <c r="AM172" s="903"/>
      <c r="AN172" s="903"/>
      <c r="AO172" s="441"/>
      <c r="AP172" s="907"/>
      <c r="AQ172" s="903"/>
      <c r="AR172" s="903"/>
      <c r="AS172" s="908"/>
      <c r="AT172" s="903"/>
      <c r="AU172" s="903"/>
      <c r="AV172" s="903"/>
      <c r="AW172" s="903"/>
      <c r="AX172" s="903"/>
      <c r="AY172" s="902" t="s">
        <v>140</v>
      </c>
      <c r="AZ172" s="907" t="s">
        <v>140</v>
      </c>
      <c r="BA172" s="903"/>
      <c r="BB172" s="903"/>
      <c r="BC172" s="903"/>
      <c r="BD172" s="441"/>
      <c r="BE172" s="441"/>
      <c r="BF172" s="902"/>
      <c r="BG172" s="903"/>
      <c r="BH172" s="903"/>
      <c r="BI172" s="903"/>
      <c r="BJ172" s="903"/>
      <c r="BK172" s="903"/>
      <c r="BL172" s="903"/>
      <c r="BM172" s="903"/>
      <c r="BN172" s="903"/>
      <c r="BO172" s="903"/>
      <c r="BP172" s="902"/>
      <c r="BQ172" s="909"/>
      <c r="BR172" s="908"/>
      <c r="BS172" s="902"/>
      <c r="BT172" s="416"/>
      <c r="BU172" s="416"/>
      <c r="BV172" s="418"/>
      <c r="BW172" s="416"/>
      <c r="BX172" s="441"/>
      <c r="BY172" s="441"/>
      <c r="BZ172" s="441"/>
      <c r="CA172" s="441"/>
      <c r="CB172" s="441"/>
      <c r="CC172" s="693"/>
      <c r="CD172" s="441"/>
      <c r="CE172" s="910" t="str">
        <f>IFERROR(WWWW[[#This Row],['#_Water sources passed]]/WWWW[[#This Row],['#_Water sources tested for fecal coliform ]],"no test")</f>
        <v>no test</v>
      </c>
      <c r="CF172" s="908" t="str">
        <f>IFERROR(WWWW[[#This Row],['#_Household passed]]/WWWW[[#This Row],['#_Household water samples tested for fecal coliform]],"no test")</f>
        <v>no test</v>
      </c>
      <c r="CG172" s="909" t="str">
        <f>IF(AND(WWWW[[#This Row],[% of water sources passed]]="no test",WWWW[[#This Row],[% Household passed]]="no test"),"No Test","Tested")</f>
        <v>No Test</v>
      </c>
      <c r="CH172" s="909">
        <f>WWWW[[#This Row],['#_Constructed/existing protected hand dug well]]-WWWW[[#This Row],['#_Non-functional protected hand dug well]]</f>
        <v>0</v>
      </c>
      <c r="CI172" s="909">
        <f>(WWWW[[#This Row],['#_Constructed/Existing tube wells/boreholes/handpumps_WASH_agency]]+WWWW[[#This Row],['#_Non-Cluster partner water tube-wells/boreholes/handpumps]])-WWWW[[#This Row],['#_Non-functional tube wells/boreholes/handpumps]]</f>
        <v>0</v>
      </c>
      <c r="CJ172" s="909">
        <f>WWWW[[#This Row],['#_Constructed/Existingwater storage tank with gravity fed reticulation system]]-WWWW[[#This Row],['#_Non-functional storage tank gravity fed reticulation system]]</f>
        <v>0</v>
      </c>
      <c r="CK172" s="909">
        <f>(WWWW[[#This Row],['#_Water_Liters_supplied_by_Water boating or water trucking]]/90)/15</f>
        <v>0</v>
      </c>
      <c r="CL172" s="909">
        <f>WWWW[[#This Row],['#_Water_Liters_from_Constructed/Existing water distribution system from river or natural spring]]/90/15</f>
        <v>0</v>
      </c>
      <c r="CM172" s="417">
        <f>IF(WWWW[[#This Row],['#_of water points in TLS/CFS]]*500&gt;WWWW[[#This Row],[Total PoP ]],WWWW[[#This Row],[Total PoP ]],WWWW[[#This Row],['#_of water points in TLS/CFS]]*500)</f>
        <v>0</v>
      </c>
      <c r="CN172" s="417">
        <f>IF(WWWW[[#This Row],['#_of water points in THF]]*500&gt;WWWW[[#This Row],[Total PoP ]],WWWW[[#This Row],[Total PoP ]],WWWW[[#This Row],['#_of water points in THF]]*500)</f>
        <v>0</v>
      </c>
      <c r="CO172" s="417"/>
      <c r="CP172"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72"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72" s="908">
        <f>IF(WWWW[[#This Row],[Location Type 1]]="Village",WWWW[[#This Row],[Access to safe drinking water for Village]],WWWW[[#This Row],[Access to safe drinking water for Camp]])</f>
        <v>0</v>
      </c>
      <c r="CS172" s="906">
        <f>WWWW[[#This Row],[%Equitable and continuous access to sufficient quantity of safe drinking water]]*WWWW[[#This Row],[Total PoP ]]</f>
        <v>0</v>
      </c>
      <c r="CT172" s="908">
        <f>IF((WWWW[[#This Row],['#_Constructed/Existing protected/fenced ponds]]*250)/WWWW[[#This Row],[Total PoP ]]&gt;1,1,(WWWW[[#This Row],['#_Constructed/Existing protected/fenced ponds]]*250)/WWWW[[#This Row],[Total PoP ]])</f>
        <v>0</v>
      </c>
      <c r="CU172" s="906">
        <f>WWWW[[#This Row],[% Access to unimproved water points]]*WWWW[[#This Row],[Total PoP ]]</f>
        <v>0</v>
      </c>
      <c r="CV172"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72"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72" s="906">
        <f>WWWW[[#This Row],[HRP1]]/500</f>
        <v>0</v>
      </c>
      <c r="CY172" s="911">
        <f>1-WWWW[[#This Row],[% Equitable and continuous access to sufficient quantity of domestic water]]</f>
        <v>1</v>
      </c>
      <c r="CZ172" s="906">
        <f>WWWW[[#This Row],[%equitable and continuous access to sufficient quantity of safe drinking and domestic water''s GAP]]*WWWW[[#This Row],[Total PoP ]]</f>
        <v>170</v>
      </c>
      <c r="DA172" s="909">
        <f>IF(WWWW[[#This Row],[Total required water points]]-WWWW[[#This Row],['#Water points coverage]]&lt;0,0,WWWW[[#This Row],[Total required water points]]-WWWW[[#This Row],['#Water points coverage]])</f>
        <v>1</v>
      </c>
      <c r="DB172" s="909">
        <f>ROUND(IF(WWWW[[#This Row],[Total PoP ]]&lt;500,1,WWWW[[#This Row],[Total PoP ]]/500),0)</f>
        <v>1</v>
      </c>
      <c r="DC172" s="909">
        <f>(WWWW[[#This Row],['#_Constructed latrines_by_WASHAgencies]]+WWWW[[#This Row],['#_Non Cluster partner latrines]])-WWWW[[#This Row],['#_Non-functional latrines]]</f>
        <v>0</v>
      </c>
      <c r="DD172" s="615">
        <f>WWWW[[#This Row],[HRP2]]/WWWW[[#This Row],[Total PoP ]]</f>
        <v>0</v>
      </c>
      <c r="DE172"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72"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72"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2" s="417">
        <f>IF(WWWW[[#This Row],['# of functional latrines in THF supported by WASH partners during the reporting period2]]="",0,WWWW[[#This Row],['# of functional latrines in THF supported by WASH partners during the reporting period2]]*50)</f>
        <v>0</v>
      </c>
      <c r="DI172" s="909">
        <f>ROUND(IF(WWWW[[#This Row],[Location Type 1]]="camp",WWWW[[#This Row],[Total PoP ]]/20,IF(WWWW[[#This Row],[Location Type 1]]="Temporary Location",WWWW[[#This Row],[Total PoP ]]/50,(WWWW[[#This Row],[Total PoP ]]/6))),0)</f>
        <v>9</v>
      </c>
      <c r="DJ172" s="909">
        <f>IF(WWWW[[#This Row],[Total required Latrines]]-(WWWW[[#This Row],['#_Constructed latrines_by_WASHAgencies]]+WWWW[[#This Row],['#_Non Cluster partner latrines]])&lt;0,0,WWWW[[#This Row],[Total required Latrines]]-(WWWW[[#This Row],['#_Constructed latrines_by_WASHAgencies]]+WWWW[[#This Row],['#_Non Cluster partner latrines]]))</f>
        <v>9</v>
      </c>
      <c r="DK172" s="911">
        <f>1-WWWW[[#This Row],[% people access to functioning Latrine]]</f>
        <v>1</v>
      </c>
      <c r="DL172" s="910">
        <f>IF(OR(WWWW[[#This Row],['#_Non-functional latrines]]="",WWWW[[#This Row],['#_Non-functional latrines]]=0),0,WWWW[[#This Row],['#_Non-functional latrines]]/(WWWW[[#This Row],['#_Constructed latrines_by_WASHAgencies]]+WWWW[[#This Row],['#_Non Cluster partner latrines]]))</f>
        <v>0</v>
      </c>
      <c r="DM172" s="906">
        <f>IF(500*(WWWW[[#This Row],['#_male hygiene promoters]]+WWWW[[#This Row],['#_female hygiene promoters]])&gt;WWWW[[#This Row],[Total PoP ]],WWWW[[#This Row],[Total PoP ]],500*(WWWW[[#This Row],['#_male hygiene promoters]]+WWWW[[#This Row],['#_female hygiene promoters]]))</f>
        <v>0</v>
      </c>
      <c r="DN172"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72"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72" s="909">
        <f>IF(WWWW[[#This Row],['# People with access to soap]]&gt;WWWW[[#This Row],['# People with access to Sanity Pads]],WWWW[[#This Row],['# People with access to soap]],WWWW[[#This Row],['# People with access to Sanity Pads]])</f>
        <v>0</v>
      </c>
      <c r="DQ172"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72" s="911">
        <f>IF(WWWW[[#This Row],[HRP3]]/WWWW[[#This Row],[Total PoP ]]&gt;1,1,WWWW[[#This Row],[HRP3]]/WWWW[[#This Row],[Total PoP ]])</f>
        <v>0</v>
      </c>
      <c r="DS172" s="910">
        <f>1-WWWW[[#This Row],[Hygiene Coverage%]]</f>
        <v>1</v>
      </c>
      <c r="DT172" s="908">
        <f>WWWW[[#This Row],['# people reached by regular dedicated hygiene promotion_5]]/WWWW[[#This Row],[Total PoP ]]</f>
        <v>0</v>
      </c>
      <c r="DU172"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72"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72" s="909">
        <f>WWWW[[#This Row],['#_Constructed/Existing hand washing stations]]-WWWW[[#This Row],['#_Non-Functional_hand_washing_stations]]</f>
        <v>0</v>
      </c>
      <c r="DX172" s="906">
        <f>IF(WWWW[[#This Row],['# Functional hand washing stations during reporting period]]*20&gt;WWWW[[#This Row],[Total HH]],WWWW[[#This Row],[Total HH]],WWWW[[#This Row],['# Functional hand washing stations during reporting period]]*20)</f>
        <v>0</v>
      </c>
      <c r="DY172" s="906">
        <f>IF(WWWW[[#This Row],[Is sufficient soap available for TLS? (Yes/No)]]="yes",WWWW[[#This Row],['#_Constructed/Existing hand washing stations at TLS/CFS/THF]],0)</f>
        <v>0</v>
      </c>
      <c r="DZ172" s="421">
        <f>IF(WWWW[[#This Row],['# Functional hand washing stations during reporting period]]*100&gt;WWWW[[#This Row],[Total PoP ]],WWWW[[#This Row],[Total PoP ]],WWWW[[#This Row],['# Functional hand washing stations during reporting period]]*100)</f>
        <v>0</v>
      </c>
      <c r="EA172" s="421" t="str">
        <f>IF(OR(WWWW[[#This Row],['#_students at TLS_CFS]]="",WWWW[[#This Row],['#_students at TLS_CFS]]=0),"No","Yes")</f>
        <v>No</v>
      </c>
      <c r="EB17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72" s="566">
        <f>WWWW[[#This Row],[%_of_affected_people_surveyed_who_report_feeling_satistfied_with_the_latrine_design_and_sanitation_service]]*WWWW[[#This Row],[Total PoP ]]</f>
        <v>0</v>
      </c>
      <c r="ED172" s="566">
        <f>WWWW[[#This Row],[%_of_affected_people_surveyed_who_report_feeling_satistfied_with_the_water_point_design_and_water_service]]*WWWW[[#This Row],[Total PoP ]]</f>
        <v>0</v>
      </c>
      <c r="EE172" s="566">
        <f>WWWW[[#This Row],[%_of_complaints_received_that_result_in_timely_corrective_action_and_feedback_to_the_community]]*WWWW[[#This Row],[Total PoP ]]</f>
        <v>0</v>
      </c>
      <c r="EF17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7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7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72" s="902">
        <f>VLOOKUP(WWWW[[#This Row],[Site Name]],SiteDB6[[Site Name]:[CCCM Management]],6,FALSE)</f>
        <v>0</v>
      </c>
      <c r="EJ172" s="902">
        <f>VLOOKUP(WWWW[[#This Row],[Site Name]],SiteDB6[[Site Name]:[CCCM Focal Agency]],7,FALSE)</f>
        <v>0</v>
      </c>
      <c r="EK172" s="902" t="str">
        <f>VLOOKUP(WWWW[[#This Row],[Site Name]],SiteDB6[[Site Name]:[Location Type 1]],9,FALSE)</f>
        <v>Camp</v>
      </c>
      <c r="EL172" s="902" t="str">
        <f>VLOOKUP(WWWW[[#This Row],[Site Name]],SiteDB6[[Site Name]:[Type of Accommodation]],10,FALSE)</f>
        <v>Camp Like setting</v>
      </c>
      <c r="EM172" s="902" t="str">
        <f>VLOOKUP(WWWW[[#This Row],[Site Name]],SiteDB6[[Site Name]:[Ethnic or GCA/NGCA]],11,FALSE)</f>
        <v>GCA</v>
      </c>
      <c r="EN172" s="902">
        <f>VLOOKUP(WWWW[[#This Row],[Site Name]],SiteDB6[[Site Name]:[Lat]],12,FALSE)</f>
        <v>23.729893000000001</v>
      </c>
      <c r="EO172" s="902">
        <f>VLOOKUP(WWWW[[#This Row],[Site Name]],SiteDB6[[Site Name]:[Long]],13,FALSE)</f>
        <v>98.779853500000002</v>
      </c>
      <c r="EP172" s="902" t="str">
        <f>VLOOKUP(WWWW[[#This Row],[Site Name]],SiteDB6[[Site Name]:[Pcode]],3,FALSE)</f>
        <v>MMR015CMP070</v>
      </c>
      <c r="EQ172" s="907" t="str">
        <f t="shared" si="2"/>
        <v>Notcovered</v>
      </c>
      <c r="ER172" s="907"/>
      <c r="ES172" s="907"/>
      <c r="ET172" s="902">
        <f>VLOOKUP(WWWW[[#This Row],[Site Name]],SiteDB6[[Site Name]:[Pop
(Kachin/Shan-CCCM as of May 2023)]],16,FALSE)</f>
        <v>34</v>
      </c>
      <c r="EU172" s="902">
        <f>VLOOKUP(WWWW[[#This Row],[Site Name]],SiteDB6[[Site Name]:[Pop
(Kachin/Shan-CCCM as of May 2023)]],17,FALSE)</f>
        <v>170</v>
      </c>
    </row>
    <row r="173" spans="1:151" hidden="1">
      <c r="A173" s="900" t="s">
        <v>2961</v>
      </c>
      <c r="B173" s="900" t="s">
        <v>309</v>
      </c>
      <c r="C173" s="901" t="s">
        <v>309</v>
      </c>
      <c r="D173" s="901"/>
      <c r="E173" s="901" t="s">
        <v>515</v>
      </c>
      <c r="F173" s="901" t="s">
        <v>525</v>
      </c>
      <c r="G173" s="902" t="str">
        <f>VLOOKUP(WWWW[[#This Row],[Site Name]],SiteDB6[[Site Name]:[Location Type]],8,FALSE)</f>
        <v>Camp</v>
      </c>
      <c r="H173" s="901" t="s">
        <v>3061</v>
      </c>
      <c r="I173" s="903">
        <v>102</v>
      </c>
      <c r="J173" s="903">
        <v>328</v>
      </c>
      <c r="K173" s="904"/>
      <c r="L173" s="905"/>
      <c r="M173" s="903"/>
      <c r="N173" s="903"/>
      <c r="O173" s="903"/>
      <c r="P173" s="903"/>
      <c r="Q173" s="906"/>
      <c r="R173" s="903"/>
      <c r="S173" s="903"/>
      <c r="T173" s="441"/>
      <c r="U173" s="903"/>
      <c r="V173" s="903"/>
      <c r="W173" s="903"/>
      <c r="X173" s="903"/>
      <c r="Y173" s="903"/>
      <c r="Z173" s="903"/>
      <c r="AA173" s="903"/>
      <c r="AB173" s="903"/>
      <c r="AC173" s="903"/>
      <c r="AD173" s="903"/>
      <c r="AE173" s="903"/>
      <c r="AF173" s="903"/>
      <c r="AG173" s="903"/>
      <c r="AH173" s="903"/>
      <c r="AI173" s="903"/>
      <c r="AJ173" s="903"/>
      <c r="AK173" s="903"/>
      <c r="AL173" s="903"/>
      <c r="AM173" s="903"/>
      <c r="AN173" s="903"/>
      <c r="AO173" s="441"/>
      <c r="AP173" s="907"/>
      <c r="AQ173" s="903"/>
      <c r="AR173" s="903"/>
      <c r="AS173" s="908"/>
      <c r="AT173" s="903"/>
      <c r="AU173" s="903"/>
      <c r="AV173" s="903"/>
      <c r="AW173" s="903"/>
      <c r="AX173" s="903"/>
      <c r="AY173" s="902"/>
      <c r="AZ173" s="907"/>
      <c r="BA173" s="903"/>
      <c r="BB173" s="903"/>
      <c r="BC173" s="903"/>
      <c r="BD173" s="441"/>
      <c r="BE173" s="441"/>
      <c r="BF173" s="902"/>
      <c r="BG173" s="903"/>
      <c r="BH173" s="903"/>
      <c r="BI173" s="903"/>
      <c r="BJ173" s="903"/>
      <c r="BK173" s="903"/>
      <c r="BL173" s="903"/>
      <c r="BM173" s="903"/>
      <c r="BN173" s="903"/>
      <c r="BO173" s="903"/>
      <c r="BP173" s="902"/>
      <c r="BQ173" s="909"/>
      <c r="BR173" s="908"/>
      <c r="BS173" s="902"/>
      <c r="BT173" s="416"/>
      <c r="BU173" s="416"/>
      <c r="BV173" s="418"/>
      <c r="BW173" s="416"/>
      <c r="BX173" s="441"/>
      <c r="BY173" s="441"/>
      <c r="BZ173" s="441"/>
      <c r="CA173" s="441"/>
      <c r="CB173" s="441"/>
      <c r="CC173" s="693"/>
      <c r="CD173" s="441"/>
      <c r="CE173" s="910" t="str">
        <f>IFERROR(WWWW[[#This Row],['#_Water sources passed]]/WWWW[[#This Row],['#_Water sources tested for fecal coliform ]],"no test")</f>
        <v>no test</v>
      </c>
      <c r="CF173" s="908" t="str">
        <f>IFERROR(WWWW[[#This Row],['#_Household passed]]/WWWW[[#This Row],['#_Household water samples tested for fecal coliform]],"no test")</f>
        <v>no test</v>
      </c>
      <c r="CG173" s="909" t="str">
        <f>IF(AND(WWWW[[#This Row],[% of water sources passed]]="no test",WWWW[[#This Row],[% Household passed]]="no test"),"No Test","Tested")</f>
        <v>No Test</v>
      </c>
      <c r="CH173" s="909">
        <f>WWWW[[#This Row],['#_Constructed/existing protected hand dug well]]-WWWW[[#This Row],['#_Non-functional protected hand dug well]]</f>
        <v>0</v>
      </c>
      <c r="CI173" s="909">
        <f>(WWWW[[#This Row],['#_Constructed/Existing tube wells/boreholes/handpumps_WASH_agency]]+WWWW[[#This Row],['#_Non-Cluster partner water tube-wells/boreholes/handpumps]])-WWWW[[#This Row],['#_Non-functional tube wells/boreholes/handpumps]]</f>
        <v>0</v>
      </c>
      <c r="CJ173" s="909">
        <f>WWWW[[#This Row],['#_Constructed/Existingwater storage tank with gravity fed reticulation system]]-WWWW[[#This Row],['#_Non-functional storage tank gravity fed reticulation system]]</f>
        <v>0</v>
      </c>
      <c r="CK173" s="909">
        <f>(WWWW[[#This Row],['#_Water_Liters_supplied_by_Water boating or water trucking]]/90)/15</f>
        <v>0</v>
      </c>
      <c r="CL173" s="909">
        <f>WWWW[[#This Row],['#_Water_Liters_from_Constructed/Existing water distribution system from river or natural spring]]/90/15</f>
        <v>0</v>
      </c>
      <c r="CM173" s="417">
        <f>IF(WWWW[[#This Row],['#_of water points in TLS/CFS]]*500&gt;WWWW[[#This Row],[Total PoP ]],WWWW[[#This Row],[Total PoP ]],WWWW[[#This Row],['#_of water points in TLS/CFS]]*500)</f>
        <v>0</v>
      </c>
      <c r="CN173" s="417">
        <f>IF(WWWW[[#This Row],['#_of water points in THF]]*500&gt;WWWW[[#This Row],[Total PoP ]],WWWW[[#This Row],[Total PoP ]],WWWW[[#This Row],['#_of water points in THF]]*500)</f>
        <v>0</v>
      </c>
      <c r="CO173" s="417"/>
      <c r="CP173"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73"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73" s="908">
        <f>IF(WWWW[[#This Row],[Location Type 1]]="Village",WWWW[[#This Row],[Access to safe drinking water for Village]],WWWW[[#This Row],[Access to safe drinking water for Camp]])</f>
        <v>0</v>
      </c>
      <c r="CS173" s="906">
        <f>WWWW[[#This Row],[%Equitable and continuous access to sufficient quantity of safe drinking water]]*WWWW[[#This Row],[Total PoP ]]</f>
        <v>0</v>
      </c>
      <c r="CT173" s="908">
        <f>IF((WWWW[[#This Row],['#_Constructed/Existing protected/fenced ponds]]*250)/WWWW[[#This Row],[Total PoP ]]&gt;1,1,(WWWW[[#This Row],['#_Constructed/Existing protected/fenced ponds]]*250)/WWWW[[#This Row],[Total PoP ]])</f>
        <v>0</v>
      </c>
      <c r="CU173" s="906">
        <f>WWWW[[#This Row],[% Access to unimproved water points]]*WWWW[[#This Row],[Total PoP ]]</f>
        <v>0</v>
      </c>
      <c r="CV173"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73"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73" s="906">
        <f>WWWW[[#This Row],[HRP1]]/500</f>
        <v>0</v>
      </c>
      <c r="CY173" s="911">
        <f>1-WWWW[[#This Row],[% Equitable and continuous access to sufficient quantity of domestic water]]</f>
        <v>1</v>
      </c>
      <c r="CZ173" s="906">
        <f>WWWW[[#This Row],[%equitable and continuous access to sufficient quantity of safe drinking and domestic water''s GAP]]*WWWW[[#This Row],[Total PoP ]]</f>
        <v>328</v>
      </c>
      <c r="DA173" s="909">
        <f>IF(WWWW[[#This Row],[Total required water points]]-WWWW[[#This Row],['#Water points coverage]]&lt;0,0,WWWW[[#This Row],[Total required water points]]-WWWW[[#This Row],['#Water points coverage]])</f>
        <v>1</v>
      </c>
      <c r="DB173" s="909">
        <f>ROUND(IF(WWWW[[#This Row],[Total PoP ]]&lt;500,1,WWWW[[#This Row],[Total PoP ]]/500),0)</f>
        <v>1</v>
      </c>
      <c r="DC173" s="909">
        <f>(WWWW[[#This Row],['#_Constructed latrines_by_WASHAgencies]]+WWWW[[#This Row],['#_Non Cluster partner latrines]])-WWWW[[#This Row],['#_Non-functional latrines]]</f>
        <v>0</v>
      </c>
      <c r="DD173" s="615">
        <f>WWWW[[#This Row],[HRP2]]/WWWW[[#This Row],[Total PoP ]]</f>
        <v>0</v>
      </c>
      <c r="DE173"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73"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73"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3" s="417">
        <f>IF(WWWW[[#This Row],['# of functional latrines in THF supported by WASH partners during the reporting period2]]="",0,WWWW[[#This Row],['# of functional latrines in THF supported by WASH partners during the reporting period2]]*50)</f>
        <v>0</v>
      </c>
      <c r="DI173" s="909">
        <f>ROUND(IF(WWWW[[#This Row],[Location Type 1]]="camp",WWWW[[#This Row],[Total PoP ]]/20,IF(WWWW[[#This Row],[Location Type 1]]="Temporary Location",WWWW[[#This Row],[Total PoP ]]/50,(WWWW[[#This Row],[Total PoP ]]/6))),0)</f>
        <v>16</v>
      </c>
      <c r="DJ173" s="909">
        <f>IF(WWWW[[#This Row],[Total required Latrines]]-(WWWW[[#This Row],['#_Constructed latrines_by_WASHAgencies]]+WWWW[[#This Row],['#_Non Cluster partner latrines]])&lt;0,0,WWWW[[#This Row],[Total required Latrines]]-(WWWW[[#This Row],['#_Constructed latrines_by_WASHAgencies]]+WWWW[[#This Row],['#_Non Cluster partner latrines]]))</f>
        <v>16</v>
      </c>
      <c r="DK173" s="911">
        <f>1-WWWW[[#This Row],[% people access to functioning Latrine]]</f>
        <v>1</v>
      </c>
      <c r="DL173" s="910">
        <f>IF(OR(WWWW[[#This Row],['#_Non-functional latrines]]="",WWWW[[#This Row],['#_Non-functional latrines]]=0),0,WWWW[[#This Row],['#_Non-functional latrines]]/(WWWW[[#This Row],['#_Constructed latrines_by_WASHAgencies]]+WWWW[[#This Row],['#_Non Cluster partner latrines]]))</f>
        <v>0</v>
      </c>
      <c r="DM173" s="906">
        <f>IF(500*(WWWW[[#This Row],['#_male hygiene promoters]]+WWWW[[#This Row],['#_female hygiene promoters]])&gt;WWWW[[#This Row],[Total PoP ]],WWWW[[#This Row],[Total PoP ]],500*(WWWW[[#This Row],['#_male hygiene promoters]]+WWWW[[#This Row],['#_female hygiene promoters]]))</f>
        <v>0</v>
      </c>
      <c r="DN173"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73"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73" s="909">
        <f>IF(WWWW[[#This Row],['# People with access to soap]]&gt;WWWW[[#This Row],['# People with access to Sanity Pads]],WWWW[[#This Row],['# People with access to soap]],WWWW[[#This Row],['# People with access to Sanity Pads]])</f>
        <v>0</v>
      </c>
      <c r="DQ173"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73" s="911">
        <f>IF(WWWW[[#This Row],[HRP3]]/WWWW[[#This Row],[Total PoP ]]&gt;1,1,WWWW[[#This Row],[HRP3]]/WWWW[[#This Row],[Total PoP ]])</f>
        <v>0</v>
      </c>
      <c r="DS173" s="910">
        <f>1-WWWW[[#This Row],[Hygiene Coverage%]]</f>
        <v>1</v>
      </c>
      <c r="DT173" s="908">
        <f>WWWW[[#This Row],['# people reached by regular dedicated hygiene promotion_5]]/WWWW[[#This Row],[Total PoP ]]</f>
        <v>0</v>
      </c>
      <c r="DU173"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73"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73" s="909">
        <f>WWWW[[#This Row],['#_Constructed/Existing hand washing stations]]-WWWW[[#This Row],['#_Non-Functional_hand_washing_stations]]</f>
        <v>0</v>
      </c>
      <c r="DX173" s="906">
        <f>IF(WWWW[[#This Row],['# Functional hand washing stations during reporting period]]*20&gt;WWWW[[#This Row],[Total HH]],WWWW[[#This Row],[Total HH]],WWWW[[#This Row],['# Functional hand washing stations during reporting period]]*20)</f>
        <v>0</v>
      </c>
      <c r="DY173" s="906">
        <f>IF(WWWW[[#This Row],[Is sufficient soap available for TLS? (Yes/No)]]="yes",WWWW[[#This Row],['#_Constructed/Existing hand washing stations at TLS/CFS/THF]],0)</f>
        <v>0</v>
      </c>
      <c r="DZ173" s="421">
        <f>IF(WWWW[[#This Row],['# Functional hand washing stations during reporting period]]*100&gt;WWWW[[#This Row],[Total PoP ]],WWWW[[#This Row],[Total PoP ]],WWWW[[#This Row],['# Functional hand washing stations during reporting period]]*100)</f>
        <v>0</v>
      </c>
      <c r="EA173" s="421" t="str">
        <f>IF(OR(WWWW[[#This Row],['#_students at TLS_CFS]]="",WWWW[[#This Row],['#_students at TLS_CFS]]=0),"No","Yes")</f>
        <v>No</v>
      </c>
      <c r="EB17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73" s="566">
        <f>WWWW[[#This Row],[%_of_affected_people_surveyed_who_report_feeling_satistfied_with_the_latrine_design_and_sanitation_service]]*WWWW[[#This Row],[Total PoP ]]</f>
        <v>0</v>
      </c>
      <c r="ED173" s="566">
        <f>WWWW[[#This Row],[%_of_affected_people_surveyed_who_report_feeling_satistfied_with_the_water_point_design_and_water_service]]*WWWW[[#This Row],[Total PoP ]]</f>
        <v>0</v>
      </c>
      <c r="EE173" s="566">
        <f>WWWW[[#This Row],[%_of_complaints_received_that_result_in_timely_corrective_action_and_feedback_to_the_community]]*WWWW[[#This Row],[Total PoP ]]</f>
        <v>0</v>
      </c>
      <c r="EF17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7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7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73" s="902">
        <f>VLOOKUP(WWWW[[#This Row],[Site Name]],SiteDB6[[Site Name]:[CCCM Management]],6,FALSE)</f>
        <v>0</v>
      </c>
      <c r="EJ173" s="902">
        <f>VLOOKUP(WWWW[[#This Row],[Site Name]],SiteDB6[[Site Name]:[CCCM Focal Agency]],7,FALSE)</f>
        <v>0</v>
      </c>
      <c r="EK173" s="902" t="str">
        <f>VLOOKUP(WWWW[[#This Row],[Site Name]],SiteDB6[[Site Name]:[Location Type 1]],9,FALSE)</f>
        <v>Camp</v>
      </c>
      <c r="EL173" s="902" t="str">
        <f>VLOOKUP(WWWW[[#This Row],[Site Name]],SiteDB6[[Site Name]:[Type of Accommodation]],10,FALSE)</f>
        <v>Closed Camp</v>
      </c>
      <c r="EM173" s="902" t="str">
        <f>VLOOKUP(WWWW[[#This Row],[Site Name]],SiteDB6[[Site Name]:[Ethnic or GCA/NGCA]],11,FALSE)</f>
        <v>GCA</v>
      </c>
      <c r="EN173" s="902">
        <f>VLOOKUP(WWWW[[#This Row],[Site Name]],SiteDB6[[Site Name]:[Lat]],12,FALSE)</f>
        <v>0</v>
      </c>
      <c r="EO173" s="902">
        <f>VLOOKUP(WWWW[[#This Row],[Site Name]],SiteDB6[[Site Name]:[Long]],13,FALSE)</f>
        <v>0</v>
      </c>
      <c r="EP173" s="902" t="str">
        <f>VLOOKUP(WWWW[[#This Row],[Site Name]],SiteDB6[[Site Name]:[Pcode]],3,FALSE)</f>
        <v>MMR015CMP084</v>
      </c>
      <c r="EQ173" s="907" t="str">
        <f t="shared" si="2"/>
        <v>Notcovered</v>
      </c>
      <c r="ER173" s="907"/>
      <c r="ES173" s="907"/>
      <c r="ET173" s="902">
        <f>VLOOKUP(WWWW[[#This Row],[Site Name]],SiteDB6[[Site Name]:[Pop
(Kachin/Shan-CCCM as of May 2023)]],16,FALSE)</f>
        <v>102</v>
      </c>
      <c r="EU173" s="902">
        <f>VLOOKUP(WWWW[[#This Row],[Site Name]],SiteDB6[[Site Name]:[Pop
(Kachin/Shan-CCCM as of May 2023)]],17,FALSE)</f>
        <v>328</v>
      </c>
    </row>
    <row r="174" spans="1:151" hidden="1">
      <c r="A174" s="900" t="s">
        <v>2961</v>
      </c>
      <c r="B174" s="900" t="s">
        <v>309</v>
      </c>
      <c r="C174" s="901" t="s">
        <v>309</v>
      </c>
      <c r="D174" s="901"/>
      <c r="E174" s="901" t="s">
        <v>515</v>
      </c>
      <c r="F174" s="901" t="s">
        <v>525</v>
      </c>
      <c r="G174" s="902" t="str">
        <f>VLOOKUP(WWWW[[#This Row],[Site Name]],SiteDB6[[Site Name]:[Location Type]],8,FALSE)</f>
        <v>Camp</v>
      </c>
      <c r="H174" s="901" t="s">
        <v>2972</v>
      </c>
      <c r="I174" s="903">
        <v>28</v>
      </c>
      <c r="J174" s="903">
        <v>87</v>
      </c>
      <c r="K174" s="904"/>
      <c r="L174" s="905"/>
      <c r="M174" s="903"/>
      <c r="N174" s="903"/>
      <c r="O174" s="903"/>
      <c r="P174" s="903"/>
      <c r="Q174" s="906"/>
      <c r="R174" s="903"/>
      <c r="S174" s="903"/>
      <c r="T174" s="441"/>
      <c r="U174" s="903"/>
      <c r="V174" s="903"/>
      <c r="W174" s="903"/>
      <c r="X174" s="903"/>
      <c r="Y174" s="903"/>
      <c r="Z174" s="903"/>
      <c r="AA174" s="903"/>
      <c r="AB174" s="903"/>
      <c r="AC174" s="903"/>
      <c r="AD174" s="903"/>
      <c r="AE174" s="903"/>
      <c r="AF174" s="903"/>
      <c r="AG174" s="903"/>
      <c r="AH174" s="903"/>
      <c r="AI174" s="903"/>
      <c r="AJ174" s="903"/>
      <c r="AK174" s="903"/>
      <c r="AL174" s="903"/>
      <c r="AM174" s="903"/>
      <c r="AN174" s="903"/>
      <c r="AO174" s="441"/>
      <c r="AP174" s="907"/>
      <c r="AQ174" s="903"/>
      <c r="AR174" s="903"/>
      <c r="AS174" s="908"/>
      <c r="AT174" s="903"/>
      <c r="AU174" s="903"/>
      <c r="AV174" s="903"/>
      <c r="AW174" s="903"/>
      <c r="AX174" s="903"/>
      <c r="AY174" s="902"/>
      <c r="AZ174" s="907"/>
      <c r="BA174" s="903"/>
      <c r="BB174" s="903"/>
      <c r="BC174" s="903"/>
      <c r="BD174" s="441"/>
      <c r="BE174" s="441"/>
      <c r="BF174" s="902"/>
      <c r="BG174" s="903"/>
      <c r="BH174" s="903"/>
      <c r="BI174" s="903"/>
      <c r="BJ174" s="903"/>
      <c r="BK174" s="903"/>
      <c r="BL174" s="903"/>
      <c r="BM174" s="903"/>
      <c r="BN174" s="903"/>
      <c r="BO174" s="903"/>
      <c r="BP174" s="902"/>
      <c r="BQ174" s="909"/>
      <c r="BR174" s="908"/>
      <c r="BS174" s="902"/>
      <c r="BT174" s="416"/>
      <c r="BU174" s="416"/>
      <c r="BV174" s="418"/>
      <c r="BW174" s="416"/>
      <c r="BX174" s="441"/>
      <c r="BY174" s="441"/>
      <c r="BZ174" s="441"/>
      <c r="CA174" s="441"/>
      <c r="CB174" s="441"/>
      <c r="CC174" s="693"/>
      <c r="CD174" s="441"/>
      <c r="CE174" s="910" t="str">
        <f>IFERROR(WWWW[[#This Row],['#_Water sources passed]]/WWWW[[#This Row],['#_Water sources tested for fecal coliform ]],"no test")</f>
        <v>no test</v>
      </c>
      <c r="CF174" s="908" t="str">
        <f>IFERROR(WWWW[[#This Row],['#_Household passed]]/WWWW[[#This Row],['#_Household water samples tested for fecal coliform]],"no test")</f>
        <v>no test</v>
      </c>
      <c r="CG174" s="909" t="str">
        <f>IF(AND(WWWW[[#This Row],[% of water sources passed]]="no test",WWWW[[#This Row],[% Household passed]]="no test"),"No Test","Tested")</f>
        <v>No Test</v>
      </c>
      <c r="CH174" s="909">
        <f>WWWW[[#This Row],['#_Constructed/existing protected hand dug well]]-WWWW[[#This Row],['#_Non-functional protected hand dug well]]</f>
        <v>0</v>
      </c>
      <c r="CI174" s="909">
        <f>(WWWW[[#This Row],['#_Constructed/Existing tube wells/boreholes/handpumps_WASH_agency]]+WWWW[[#This Row],['#_Non-Cluster partner water tube-wells/boreholes/handpumps]])-WWWW[[#This Row],['#_Non-functional tube wells/boreholes/handpumps]]</f>
        <v>0</v>
      </c>
      <c r="CJ174" s="909">
        <f>WWWW[[#This Row],['#_Constructed/Existingwater storage tank with gravity fed reticulation system]]-WWWW[[#This Row],['#_Non-functional storage tank gravity fed reticulation system]]</f>
        <v>0</v>
      </c>
      <c r="CK174" s="909">
        <f>(WWWW[[#This Row],['#_Water_Liters_supplied_by_Water boating or water trucking]]/90)/15</f>
        <v>0</v>
      </c>
      <c r="CL174" s="909">
        <f>WWWW[[#This Row],['#_Water_Liters_from_Constructed/Existing water distribution system from river or natural spring]]/90/15</f>
        <v>0</v>
      </c>
      <c r="CM174" s="417">
        <f>IF(WWWW[[#This Row],['#_of water points in TLS/CFS]]*500&gt;WWWW[[#This Row],[Total PoP ]],WWWW[[#This Row],[Total PoP ]],WWWW[[#This Row],['#_of water points in TLS/CFS]]*500)</f>
        <v>0</v>
      </c>
      <c r="CN174" s="417">
        <f>IF(WWWW[[#This Row],['#_of water points in THF]]*500&gt;WWWW[[#This Row],[Total PoP ]],WWWW[[#This Row],[Total PoP ]],WWWW[[#This Row],['#_of water points in THF]]*500)</f>
        <v>0</v>
      </c>
      <c r="CO174" s="417"/>
      <c r="CP174"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74"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74" s="908">
        <f>IF(WWWW[[#This Row],[Location Type 1]]="Village",WWWW[[#This Row],[Access to safe drinking water for Village]],WWWW[[#This Row],[Access to safe drinking water for Camp]])</f>
        <v>0</v>
      </c>
      <c r="CS174" s="906">
        <f>WWWW[[#This Row],[%Equitable and continuous access to sufficient quantity of safe drinking water]]*WWWW[[#This Row],[Total PoP ]]</f>
        <v>0</v>
      </c>
      <c r="CT174" s="908">
        <f>IF((WWWW[[#This Row],['#_Constructed/Existing protected/fenced ponds]]*250)/WWWW[[#This Row],[Total PoP ]]&gt;1,1,(WWWW[[#This Row],['#_Constructed/Existing protected/fenced ponds]]*250)/WWWW[[#This Row],[Total PoP ]])</f>
        <v>0</v>
      </c>
      <c r="CU174" s="906">
        <f>WWWW[[#This Row],[% Access to unimproved water points]]*WWWW[[#This Row],[Total PoP ]]</f>
        <v>0</v>
      </c>
      <c r="CV174"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74"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74" s="906">
        <f>WWWW[[#This Row],[HRP1]]/500</f>
        <v>0</v>
      </c>
      <c r="CY174" s="911">
        <f>1-WWWW[[#This Row],[% Equitable and continuous access to sufficient quantity of domestic water]]</f>
        <v>1</v>
      </c>
      <c r="CZ174" s="906">
        <f>WWWW[[#This Row],[%equitable and continuous access to sufficient quantity of safe drinking and domestic water''s GAP]]*WWWW[[#This Row],[Total PoP ]]</f>
        <v>87</v>
      </c>
      <c r="DA174" s="909">
        <f>IF(WWWW[[#This Row],[Total required water points]]-WWWW[[#This Row],['#Water points coverage]]&lt;0,0,WWWW[[#This Row],[Total required water points]]-WWWW[[#This Row],['#Water points coverage]])</f>
        <v>1</v>
      </c>
      <c r="DB174" s="909">
        <f>ROUND(IF(WWWW[[#This Row],[Total PoP ]]&lt;500,1,WWWW[[#This Row],[Total PoP ]]/500),0)</f>
        <v>1</v>
      </c>
      <c r="DC174" s="909">
        <f>(WWWW[[#This Row],['#_Constructed latrines_by_WASHAgencies]]+WWWW[[#This Row],['#_Non Cluster partner latrines]])-WWWW[[#This Row],['#_Non-functional latrines]]</f>
        <v>0</v>
      </c>
      <c r="DD174" s="615">
        <f>WWWW[[#This Row],[HRP2]]/WWWW[[#This Row],[Total PoP ]]</f>
        <v>0</v>
      </c>
      <c r="DE174"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74"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74"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4" s="417">
        <f>IF(WWWW[[#This Row],['# of functional latrines in THF supported by WASH partners during the reporting period2]]="",0,WWWW[[#This Row],['# of functional latrines in THF supported by WASH partners during the reporting period2]]*50)</f>
        <v>0</v>
      </c>
      <c r="DI174" s="909">
        <f>ROUND(IF(WWWW[[#This Row],[Location Type 1]]="camp",WWWW[[#This Row],[Total PoP ]]/20,IF(WWWW[[#This Row],[Location Type 1]]="Temporary Location",WWWW[[#This Row],[Total PoP ]]/50,(WWWW[[#This Row],[Total PoP ]]/6))),0)</f>
        <v>4</v>
      </c>
      <c r="DJ174" s="909">
        <f>IF(WWWW[[#This Row],[Total required Latrines]]-(WWWW[[#This Row],['#_Constructed latrines_by_WASHAgencies]]+WWWW[[#This Row],['#_Non Cluster partner latrines]])&lt;0,0,WWWW[[#This Row],[Total required Latrines]]-(WWWW[[#This Row],['#_Constructed latrines_by_WASHAgencies]]+WWWW[[#This Row],['#_Non Cluster partner latrines]]))</f>
        <v>4</v>
      </c>
      <c r="DK174" s="911">
        <f>1-WWWW[[#This Row],[% people access to functioning Latrine]]</f>
        <v>1</v>
      </c>
      <c r="DL174" s="910">
        <f>IF(OR(WWWW[[#This Row],['#_Non-functional latrines]]="",WWWW[[#This Row],['#_Non-functional latrines]]=0),0,WWWW[[#This Row],['#_Non-functional latrines]]/(WWWW[[#This Row],['#_Constructed latrines_by_WASHAgencies]]+WWWW[[#This Row],['#_Non Cluster partner latrines]]))</f>
        <v>0</v>
      </c>
      <c r="DM174" s="906">
        <f>IF(500*(WWWW[[#This Row],['#_male hygiene promoters]]+WWWW[[#This Row],['#_female hygiene promoters]])&gt;WWWW[[#This Row],[Total PoP ]],WWWW[[#This Row],[Total PoP ]],500*(WWWW[[#This Row],['#_male hygiene promoters]]+WWWW[[#This Row],['#_female hygiene promoters]]))</f>
        <v>0</v>
      </c>
      <c r="DN174"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74"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74" s="909">
        <f>IF(WWWW[[#This Row],['# People with access to soap]]&gt;WWWW[[#This Row],['# People with access to Sanity Pads]],WWWW[[#This Row],['# People with access to soap]],WWWW[[#This Row],['# People with access to Sanity Pads]])</f>
        <v>0</v>
      </c>
      <c r="DQ174"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74" s="911">
        <f>IF(WWWW[[#This Row],[HRP3]]/WWWW[[#This Row],[Total PoP ]]&gt;1,1,WWWW[[#This Row],[HRP3]]/WWWW[[#This Row],[Total PoP ]])</f>
        <v>0</v>
      </c>
      <c r="DS174" s="910">
        <f>1-WWWW[[#This Row],[Hygiene Coverage%]]</f>
        <v>1</v>
      </c>
      <c r="DT174" s="908">
        <f>WWWW[[#This Row],['# people reached by regular dedicated hygiene promotion_5]]/WWWW[[#This Row],[Total PoP ]]</f>
        <v>0</v>
      </c>
      <c r="DU174"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74"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74" s="909">
        <f>WWWW[[#This Row],['#_Constructed/Existing hand washing stations]]-WWWW[[#This Row],['#_Non-Functional_hand_washing_stations]]</f>
        <v>0</v>
      </c>
      <c r="DX174" s="906">
        <f>IF(WWWW[[#This Row],['# Functional hand washing stations during reporting period]]*20&gt;WWWW[[#This Row],[Total HH]],WWWW[[#This Row],[Total HH]],WWWW[[#This Row],['# Functional hand washing stations during reporting period]]*20)</f>
        <v>0</v>
      </c>
      <c r="DY174" s="906">
        <f>IF(WWWW[[#This Row],[Is sufficient soap available for TLS? (Yes/No)]]="yes",WWWW[[#This Row],['#_Constructed/Existing hand washing stations at TLS/CFS/THF]],0)</f>
        <v>0</v>
      </c>
      <c r="DZ174" s="421">
        <f>IF(WWWW[[#This Row],['# Functional hand washing stations during reporting period]]*100&gt;WWWW[[#This Row],[Total PoP ]],WWWW[[#This Row],[Total PoP ]],WWWW[[#This Row],['# Functional hand washing stations during reporting period]]*100)</f>
        <v>0</v>
      </c>
      <c r="EA174" s="421" t="str">
        <f>IF(OR(WWWW[[#This Row],['#_students at TLS_CFS]]="",WWWW[[#This Row],['#_students at TLS_CFS]]=0),"No","Yes")</f>
        <v>No</v>
      </c>
      <c r="EB17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74" s="566">
        <f>WWWW[[#This Row],[%_of_affected_people_surveyed_who_report_feeling_satistfied_with_the_latrine_design_and_sanitation_service]]*WWWW[[#This Row],[Total PoP ]]</f>
        <v>0</v>
      </c>
      <c r="ED174" s="566">
        <f>WWWW[[#This Row],[%_of_affected_people_surveyed_who_report_feeling_satistfied_with_the_water_point_design_and_water_service]]*WWWW[[#This Row],[Total PoP ]]</f>
        <v>0</v>
      </c>
      <c r="EE174" s="566">
        <f>WWWW[[#This Row],[%_of_complaints_received_that_result_in_timely_corrective_action_and_feedback_to_the_community]]*WWWW[[#This Row],[Total PoP ]]</f>
        <v>0</v>
      </c>
      <c r="EF17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7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7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74" s="902">
        <f>VLOOKUP(WWWW[[#This Row],[Site Name]],SiteDB6[[Site Name]:[CCCM Management]],6,FALSE)</f>
        <v>0</v>
      </c>
      <c r="EJ174" s="902" t="str">
        <f>VLOOKUP(WWWW[[#This Row],[Site Name]],SiteDB6[[Site Name]:[CCCM Focal Agency]],7,FALSE)</f>
        <v>Uncovered</v>
      </c>
      <c r="EK174" s="902" t="str">
        <f>VLOOKUP(WWWW[[#This Row],[Site Name]],SiteDB6[[Site Name]:[Location Type 1]],9,FALSE)</f>
        <v>Camp</v>
      </c>
      <c r="EL174" s="902" t="str">
        <f>VLOOKUP(WWWW[[#This Row],[Site Name]],SiteDB6[[Site Name]:[Type of Accommodation]],10,FALSE)</f>
        <v>Closed Camp</v>
      </c>
      <c r="EM174" s="902" t="str">
        <f>VLOOKUP(WWWW[[#This Row],[Site Name]],SiteDB6[[Site Name]:[Ethnic or GCA/NGCA]],11,FALSE)</f>
        <v>GCA</v>
      </c>
      <c r="EN174" s="902">
        <f>VLOOKUP(WWWW[[#This Row],[Site Name]],SiteDB6[[Site Name]:[Lat]],12,FALSE)</f>
        <v>0</v>
      </c>
      <c r="EO174" s="902" t="str">
        <f>VLOOKUP(WWWW[[#This Row],[Site Name]],SiteDB6[[Site Name]:[Long]],13,FALSE)</f>
        <v>not available</v>
      </c>
      <c r="EP174" s="902" t="str">
        <f>VLOOKUP(WWWW[[#This Row],[Site Name]],SiteDB6[[Site Name]:[Pcode]],3,FALSE)</f>
        <v>MMR015CMP085</v>
      </c>
      <c r="EQ174" s="907" t="str">
        <f t="shared" si="2"/>
        <v>Notcovered</v>
      </c>
      <c r="ER174" s="907"/>
      <c r="ES174" s="907"/>
      <c r="ET174" s="902">
        <f>VLOOKUP(WWWW[[#This Row],[Site Name]],SiteDB6[[Site Name]:[Pop
(Kachin/Shan-CCCM as of May 2023)]],16,FALSE)</f>
        <v>28</v>
      </c>
      <c r="EU174" s="902">
        <f>VLOOKUP(WWWW[[#This Row],[Site Name]],SiteDB6[[Site Name]:[Pop
(Kachin/Shan-CCCM as of May 2023)]],17,FALSE)</f>
        <v>87</v>
      </c>
    </row>
    <row r="175" spans="1:151" hidden="1">
      <c r="A175" s="900" t="s">
        <v>2961</v>
      </c>
      <c r="B175" s="900" t="s">
        <v>309</v>
      </c>
      <c r="C175" s="901" t="s">
        <v>309</v>
      </c>
      <c r="D175" s="901"/>
      <c r="E175" s="901" t="s">
        <v>515</v>
      </c>
      <c r="F175" s="901" t="s">
        <v>525</v>
      </c>
      <c r="G175" s="902" t="str">
        <f>VLOOKUP(WWWW[[#This Row],[Site Name]],SiteDB6[[Site Name]:[Location Type]],8,FALSE)</f>
        <v>Camp</v>
      </c>
      <c r="H175" s="901" t="s">
        <v>2977</v>
      </c>
      <c r="I175" s="903">
        <v>33</v>
      </c>
      <c r="J175" s="903">
        <v>130</v>
      </c>
      <c r="K175" s="904"/>
      <c r="L175" s="905"/>
      <c r="M175" s="903"/>
      <c r="N175" s="903"/>
      <c r="O175" s="903"/>
      <c r="P175" s="903"/>
      <c r="Q175" s="906"/>
      <c r="R175" s="903"/>
      <c r="S175" s="903"/>
      <c r="T175" s="441"/>
      <c r="U175" s="903"/>
      <c r="V175" s="903"/>
      <c r="W175" s="903"/>
      <c r="X175" s="903"/>
      <c r="Y175" s="903"/>
      <c r="Z175" s="903"/>
      <c r="AA175" s="903"/>
      <c r="AB175" s="903"/>
      <c r="AC175" s="903"/>
      <c r="AD175" s="903"/>
      <c r="AE175" s="903"/>
      <c r="AF175" s="903"/>
      <c r="AG175" s="903"/>
      <c r="AH175" s="903"/>
      <c r="AI175" s="903"/>
      <c r="AJ175" s="903"/>
      <c r="AK175" s="903"/>
      <c r="AL175" s="903"/>
      <c r="AM175" s="903"/>
      <c r="AN175" s="903"/>
      <c r="AO175" s="441"/>
      <c r="AP175" s="907"/>
      <c r="AQ175" s="903"/>
      <c r="AR175" s="903"/>
      <c r="AS175" s="908"/>
      <c r="AT175" s="903"/>
      <c r="AU175" s="903"/>
      <c r="AV175" s="903"/>
      <c r="AW175" s="903"/>
      <c r="AX175" s="903"/>
      <c r="AY175" s="902"/>
      <c r="AZ175" s="907"/>
      <c r="BA175" s="903"/>
      <c r="BB175" s="903"/>
      <c r="BC175" s="903"/>
      <c r="BD175" s="441"/>
      <c r="BE175" s="441"/>
      <c r="BF175" s="902"/>
      <c r="BG175" s="903"/>
      <c r="BH175" s="903"/>
      <c r="BI175" s="903"/>
      <c r="BJ175" s="903"/>
      <c r="BK175" s="903"/>
      <c r="BL175" s="903"/>
      <c r="BM175" s="903"/>
      <c r="BN175" s="903"/>
      <c r="BO175" s="903"/>
      <c r="BP175" s="902"/>
      <c r="BQ175" s="909"/>
      <c r="BR175" s="908"/>
      <c r="BS175" s="902"/>
      <c r="BT175" s="416"/>
      <c r="BU175" s="416"/>
      <c r="BV175" s="418"/>
      <c r="BW175" s="416"/>
      <c r="BX175" s="441"/>
      <c r="BY175" s="441"/>
      <c r="BZ175" s="441"/>
      <c r="CA175" s="441"/>
      <c r="CB175" s="441"/>
      <c r="CC175" s="693"/>
      <c r="CD175" s="441"/>
      <c r="CE175" s="910" t="str">
        <f>IFERROR(WWWW[[#This Row],['#_Water sources passed]]/WWWW[[#This Row],['#_Water sources tested for fecal coliform ]],"no test")</f>
        <v>no test</v>
      </c>
      <c r="CF175" s="908" t="str">
        <f>IFERROR(WWWW[[#This Row],['#_Household passed]]/WWWW[[#This Row],['#_Household water samples tested for fecal coliform]],"no test")</f>
        <v>no test</v>
      </c>
      <c r="CG175" s="909" t="str">
        <f>IF(AND(WWWW[[#This Row],[% of water sources passed]]="no test",WWWW[[#This Row],[% Household passed]]="no test"),"No Test","Tested")</f>
        <v>No Test</v>
      </c>
      <c r="CH175" s="909">
        <f>WWWW[[#This Row],['#_Constructed/existing protected hand dug well]]-WWWW[[#This Row],['#_Non-functional protected hand dug well]]</f>
        <v>0</v>
      </c>
      <c r="CI175" s="909">
        <f>(WWWW[[#This Row],['#_Constructed/Existing tube wells/boreholes/handpumps_WASH_agency]]+WWWW[[#This Row],['#_Non-Cluster partner water tube-wells/boreholes/handpumps]])-WWWW[[#This Row],['#_Non-functional tube wells/boreholes/handpumps]]</f>
        <v>0</v>
      </c>
      <c r="CJ175" s="909">
        <f>WWWW[[#This Row],['#_Constructed/Existingwater storage tank with gravity fed reticulation system]]-WWWW[[#This Row],['#_Non-functional storage tank gravity fed reticulation system]]</f>
        <v>0</v>
      </c>
      <c r="CK175" s="909">
        <f>(WWWW[[#This Row],['#_Water_Liters_supplied_by_Water boating or water trucking]]/90)/15</f>
        <v>0</v>
      </c>
      <c r="CL175" s="909">
        <f>WWWW[[#This Row],['#_Water_Liters_from_Constructed/Existing water distribution system from river or natural spring]]/90/15</f>
        <v>0</v>
      </c>
      <c r="CM175" s="417">
        <f>IF(WWWW[[#This Row],['#_of water points in TLS/CFS]]*500&gt;WWWW[[#This Row],[Total PoP ]],WWWW[[#This Row],[Total PoP ]],WWWW[[#This Row],['#_of water points in TLS/CFS]]*500)</f>
        <v>0</v>
      </c>
      <c r="CN175" s="417">
        <f>IF(WWWW[[#This Row],['#_of water points in THF]]*500&gt;WWWW[[#This Row],[Total PoP ]],WWWW[[#This Row],[Total PoP ]],WWWW[[#This Row],['#_of water points in THF]]*500)</f>
        <v>0</v>
      </c>
      <c r="CO175" s="417"/>
      <c r="CP175"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75"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75" s="908">
        <f>IF(WWWW[[#This Row],[Location Type 1]]="Village",WWWW[[#This Row],[Access to safe drinking water for Village]],WWWW[[#This Row],[Access to safe drinking water for Camp]])</f>
        <v>0</v>
      </c>
      <c r="CS175" s="906">
        <f>WWWW[[#This Row],[%Equitable and continuous access to sufficient quantity of safe drinking water]]*WWWW[[#This Row],[Total PoP ]]</f>
        <v>0</v>
      </c>
      <c r="CT175" s="908">
        <f>IF((WWWW[[#This Row],['#_Constructed/Existing protected/fenced ponds]]*250)/WWWW[[#This Row],[Total PoP ]]&gt;1,1,(WWWW[[#This Row],['#_Constructed/Existing protected/fenced ponds]]*250)/WWWW[[#This Row],[Total PoP ]])</f>
        <v>0</v>
      </c>
      <c r="CU175" s="906">
        <f>WWWW[[#This Row],[% Access to unimproved water points]]*WWWW[[#This Row],[Total PoP ]]</f>
        <v>0</v>
      </c>
      <c r="CV175"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75"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75" s="906">
        <f>WWWW[[#This Row],[HRP1]]/500</f>
        <v>0</v>
      </c>
      <c r="CY175" s="911">
        <f>1-WWWW[[#This Row],[% Equitable and continuous access to sufficient quantity of domestic water]]</f>
        <v>1</v>
      </c>
      <c r="CZ175" s="906">
        <f>WWWW[[#This Row],[%equitable and continuous access to sufficient quantity of safe drinking and domestic water''s GAP]]*WWWW[[#This Row],[Total PoP ]]</f>
        <v>130</v>
      </c>
      <c r="DA175" s="909">
        <f>IF(WWWW[[#This Row],[Total required water points]]-WWWW[[#This Row],['#Water points coverage]]&lt;0,0,WWWW[[#This Row],[Total required water points]]-WWWW[[#This Row],['#Water points coverage]])</f>
        <v>1</v>
      </c>
      <c r="DB175" s="909">
        <f>ROUND(IF(WWWW[[#This Row],[Total PoP ]]&lt;500,1,WWWW[[#This Row],[Total PoP ]]/500),0)</f>
        <v>1</v>
      </c>
      <c r="DC175" s="909">
        <f>(WWWW[[#This Row],['#_Constructed latrines_by_WASHAgencies]]+WWWW[[#This Row],['#_Non Cluster partner latrines]])-WWWW[[#This Row],['#_Non-functional latrines]]</f>
        <v>0</v>
      </c>
      <c r="DD175" s="615">
        <f>WWWW[[#This Row],[HRP2]]/WWWW[[#This Row],[Total PoP ]]</f>
        <v>0</v>
      </c>
      <c r="DE175"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75"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75"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5" s="417">
        <f>IF(WWWW[[#This Row],['# of functional latrines in THF supported by WASH partners during the reporting period2]]="",0,WWWW[[#This Row],['# of functional latrines in THF supported by WASH partners during the reporting period2]]*50)</f>
        <v>0</v>
      </c>
      <c r="DI175" s="909">
        <f>ROUND(IF(WWWW[[#This Row],[Location Type 1]]="camp",WWWW[[#This Row],[Total PoP ]]/20,IF(WWWW[[#This Row],[Location Type 1]]="Temporary Location",WWWW[[#This Row],[Total PoP ]]/50,(WWWW[[#This Row],[Total PoP ]]/6))),0)</f>
        <v>7</v>
      </c>
      <c r="DJ175" s="909">
        <f>IF(WWWW[[#This Row],[Total required Latrines]]-(WWWW[[#This Row],['#_Constructed latrines_by_WASHAgencies]]+WWWW[[#This Row],['#_Non Cluster partner latrines]])&lt;0,0,WWWW[[#This Row],[Total required Latrines]]-(WWWW[[#This Row],['#_Constructed latrines_by_WASHAgencies]]+WWWW[[#This Row],['#_Non Cluster partner latrines]]))</f>
        <v>7</v>
      </c>
      <c r="DK175" s="911">
        <f>1-WWWW[[#This Row],[% people access to functioning Latrine]]</f>
        <v>1</v>
      </c>
      <c r="DL175" s="910">
        <f>IF(OR(WWWW[[#This Row],['#_Non-functional latrines]]="",WWWW[[#This Row],['#_Non-functional latrines]]=0),0,WWWW[[#This Row],['#_Non-functional latrines]]/(WWWW[[#This Row],['#_Constructed latrines_by_WASHAgencies]]+WWWW[[#This Row],['#_Non Cluster partner latrines]]))</f>
        <v>0</v>
      </c>
      <c r="DM175" s="906">
        <f>IF(500*(WWWW[[#This Row],['#_male hygiene promoters]]+WWWW[[#This Row],['#_female hygiene promoters]])&gt;WWWW[[#This Row],[Total PoP ]],WWWW[[#This Row],[Total PoP ]],500*(WWWW[[#This Row],['#_male hygiene promoters]]+WWWW[[#This Row],['#_female hygiene promoters]]))</f>
        <v>0</v>
      </c>
      <c r="DN175"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75"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75" s="909">
        <f>IF(WWWW[[#This Row],['# People with access to soap]]&gt;WWWW[[#This Row],['# People with access to Sanity Pads]],WWWW[[#This Row],['# People with access to soap]],WWWW[[#This Row],['# People with access to Sanity Pads]])</f>
        <v>0</v>
      </c>
      <c r="DQ175"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75" s="911">
        <f>IF(WWWW[[#This Row],[HRP3]]/WWWW[[#This Row],[Total PoP ]]&gt;1,1,WWWW[[#This Row],[HRP3]]/WWWW[[#This Row],[Total PoP ]])</f>
        <v>0</v>
      </c>
      <c r="DS175" s="910">
        <f>1-WWWW[[#This Row],[Hygiene Coverage%]]</f>
        <v>1</v>
      </c>
      <c r="DT175" s="908">
        <f>WWWW[[#This Row],['# people reached by regular dedicated hygiene promotion_5]]/WWWW[[#This Row],[Total PoP ]]</f>
        <v>0</v>
      </c>
      <c r="DU175"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75"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75" s="909">
        <f>WWWW[[#This Row],['#_Constructed/Existing hand washing stations]]-WWWW[[#This Row],['#_Non-Functional_hand_washing_stations]]</f>
        <v>0</v>
      </c>
      <c r="DX175" s="906">
        <f>IF(WWWW[[#This Row],['# Functional hand washing stations during reporting period]]*20&gt;WWWW[[#This Row],[Total HH]],WWWW[[#This Row],[Total HH]],WWWW[[#This Row],['# Functional hand washing stations during reporting period]]*20)</f>
        <v>0</v>
      </c>
      <c r="DY175" s="906">
        <f>IF(WWWW[[#This Row],[Is sufficient soap available for TLS? (Yes/No)]]="yes",WWWW[[#This Row],['#_Constructed/Existing hand washing stations at TLS/CFS/THF]],0)</f>
        <v>0</v>
      </c>
      <c r="DZ175" s="421">
        <f>IF(WWWW[[#This Row],['# Functional hand washing stations during reporting period]]*100&gt;WWWW[[#This Row],[Total PoP ]],WWWW[[#This Row],[Total PoP ]],WWWW[[#This Row],['# Functional hand washing stations during reporting period]]*100)</f>
        <v>0</v>
      </c>
      <c r="EA175" s="421" t="str">
        <f>IF(OR(WWWW[[#This Row],['#_students at TLS_CFS]]="",WWWW[[#This Row],['#_students at TLS_CFS]]=0),"No","Yes")</f>
        <v>No</v>
      </c>
      <c r="EB17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75" s="566">
        <f>WWWW[[#This Row],[%_of_affected_people_surveyed_who_report_feeling_satistfied_with_the_latrine_design_and_sanitation_service]]*WWWW[[#This Row],[Total PoP ]]</f>
        <v>0</v>
      </c>
      <c r="ED175" s="566">
        <f>WWWW[[#This Row],[%_of_affected_people_surveyed_who_report_feeling_satistfied_with_the_water_point_design_and_water_service]]*WWWW[[#This Row],[Total PoP ]]</f>
        <v>0</v>
      </c>
      <c r="EE175" s="566">
        <f>WWWW[[#This Row],[%_of_complaints_received_that_result_in_timely_corrective_action_and_feedback_to_the_community]]*WWWW[[#This Row],[Total PoP ]]</f>
        <v>0</v>
      </c>
      <c r="EF17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7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7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75" s="902">
        <f>VLOOKUP(WWWW[[#This Row],[Site Name]],SiteDB6[[Site Name]:[CCCM Management]],6,FALSE)</f>
        <v>0</v>
      </c>
      <c r="EJ175" s="902" t="str">
        <f>VLOOKUP(WWWW[[#This Row],[Site Name]],SiteDB6[[Site Name]:[CCCM Focal Agency]],7,FALSE)</f>
        <v>Uncovered</v>
      </c>
      <c r="EK175" s="902" t="str">
        <f>VLOOKUP(WWWW[[#This Row],[Site Name]],SiteDB6[[Site Name]:[Location Type 1]],9,FALSE)</f>
        <v>Camp</v>
      </c>
      <c r="EL175" s="902" t="str">
        <f>VLOOKUP(WWWW[[#This Row],[Site Name]],SiteDB6[[Site Name]:[Type of Accommodation]],10,FALSE)</f>
        <v>Closed Camp</v>
      </c>
      <c r="EM175" s="902" t="str">
        <f>VLOOKUP(WWWW[[#This Row],[Site Name]],SiteDB6[[Site Name]:[Ethnic or GCA/NGCA]],11,FALSE)</f>
        <v>GCA</v>
      </c>
      <c r="EN175" s="902">
        <f>VLOOKUP(WWWW[[#This Row],[Site Name]],SiteDB6[[Site Name]:[Lat]],12,FALSE)</f>
        <v>0</v>
      </c>
      <c r="EO175" s="902" t="str">
        <f>VLOOKUP(WWWW[[#This Row],[Site Name]],SiteDB6[[Site Name]:[Long]],13,FALSE)</f>
        <v>not available</v>
      </c>
      <c r="EP175" s="902" t="str">
        <f>VLOOKUP(WWWW[[#This Row],[Site Name]],SiteDB6[[Site Name]:[Pcode]],3,FALSE)</f>
        <v>MMR015CMP090</v>
      </c>
      <c r="EQ175" s="907" t="str">
        <f t="shared" si="2"/>
        <v>Notcovered</v>
      </c>
      <c r="ER175" s="907"/>
      <c r="ES175" s="907"/>
      <c r="ET175" s="902">
        <f>VLOOKUP(WWWW[[#This Row],[Site Name]],SiteDB6[[Site Name]:[Pop
(Kachin/Shan-CCCM as of May 2023)]],16,FALSE)</f>
        <v>33</v>
      </c>
      <c r="EU175" s="902">
        <f>VLOOKUP(WWWW[[#This Row],[Site Name]],SiteDB6[[Site Name]:[Pop
(Kachin/Shan-CCCM as of May 2023)]],17,FALSE)</f>
        <v>130</v>
      </c>
    </row>
    <row r="176" spans="1:151" hidden="1">
      <c r="A176" s="900" t="s">
        <v>2961</v>
      </c>
      <c r="B176" s="900" t="s">
        <v>309</v>
      </c>
      <c r="C176" s="901" t="s">
        <v>309</v>
      </c>
      <c r="D176" s="901"/>
      <c r="E176" s="901" t="s">
        <v>515</v>
      </c>
      <c r="F176" s="901" t="s">
        <v>2971</v>
      </c>
      <c r="G176" s="902" t="str">
        <f>VLOOKUP(WWWW[[#This Row],[Site Name]],SiteDB6[[Site Name]:[Location Type]],8,FALSE)</f>
        <v>Camp</v>
      </c>
      <c r="H176" s="901" t="s">
        <v>2983</v>
      </c>
      <c r="I176" s="903">
        <v>43</v>
      </c>
      <c r="J176" s="903">
        <v>157</v>
      </c>
      <c r="K176" s="904"/>
      <c r="L176" s="905"/>
      <c r="M176" s="903"/>
      <c r="N176" s="903"/>
      <c r="O176" s="903"/>
      <c r="P176" s="903"/>
      <c r="Q176" s="906"/>
      <c r="R176" s="903"/>
      <c r="S176" s="903"/>
      <c r="T176" s="441"/>
      <c r="U176" s="903"/>
      <c r="V176" s="903"/>
      <c r="W176" s="903"/>
      <c r="X176" s="903"/>
      <c r="Y176" s="903"/>
      <c r="Z176" s="903"/>
      <c r="AA176" s="903"/>
      <c r="AB176" s="903"/>
      <c r="AC176" s="903"/>
      <c r="AD176" s="903"/>
      <c r="AE176" s="903"/>
      <c r="AF176" s="903"/>
      <c r="AG176" s="903"/>
      <c r="AH176" s="903"/>
      <c r="AI176" s="903"/>
      <c r="AJ176" s="903"/>
      <c r="AK176" s="903"/>
      <c r="AL176" s="903"/>
      <c r="AM176" s="903"/>
      <c r="AN176" s="903"/>
      <c r="AO176" s="441"/>
      <c r="AP176" s="907"/>
      <c r="AQ176" s="903"/>
      <c r="AR176" s="903"/>
      <c r="AS176" s="908"/>
      <c r="AT176" s="903"/>
      <c r="AU176" s="903"/>
      <c r="AV176" s="903"/>
      <c r="AW176" s="903"/>
      <c r="AX176" s="903"/>
      <c r="AY176" s="902"/>
      <c r="AZ176" s="907"/>
      <c r="BA176" s="903"/>
      <c r="BB176" s="903"/>
      <c r="BC176" s="903"/>
      <c r="BD176" s="441"/>
      <c r="BE176" s="441"/>
      <c r="BF176" s="902"/>
      <c r="BG176" s="903"/>
      <c r="BH176" s="903"/>
      <c r="BI176" s="903"/>
      <c r="BJ176" s="903"/>
      <c r="BK176" s="903"/>
      <c r="BL176" s="903"/>
      <c r="BM176" s="903"/>
      <c r="BN176" s="903"/>
      <c r="BO176" s="903"/>
      <c r="BP176" s="902"/>
      <c r="BQ176" s="909"/>
      <c r="BR176" s="908"/>
      <c r="BS176" s="902"/>
      <c r="BT176" s="416"/>
      <c r="BU176" s="416"/>
      <c r="BV176" s="418"/>
      <c r="BW176" s="416"/>
      <c r="BX176" s="441"/>
      <c r="BY176" s="441"/>
      <c r="BZ176" s="441"/>
      <c r="CA176" s="441"/>
      <c r="CB176" s="441"/>
      <c r="CC176" s="693"/>
      <c r="CD176" s="441"/>
      <c r="CE176" s="910" t="str">
        <f>IFERROR(WWWW[[#This Row],['#_Water sources passed]]/WWWW[[#This Row],['#_Water sources tested for fecal coliform ]],"no test")</f>
        <v>no test</v>
      </c>
      <c r="CF176" s="908" t="str">
        <f>IFERROR(WWWW[[#This Row],['#_Household passed]]/WWWW[[#This Row],['#_Household water samples tested for fecal coliform]],"no test")</f>
        <v>no test</v>
      </c>
      <c r="CG176" s="909" t="str">
        <f>IF(AND(WWWW[[#This Row],[% of water sources passed]]="no test",WWWW[[#This Row],[% Household passed]]="no test"),"No Test","Tested")</f>
        <v>No Test</v>
      </c>
      <c r="CH176" s="909">
        <f>WWWW[[#This Row],['#_Constructed/existing protected hand dug well]]-WWWW[[#This Row],['#_Non-functional protected hand dug well]]</f>
        <v>0</v>
      </c>
      <c r="CI176" s="909">
        <f>(WWWW[[#This Row],['#_Constructed/Existing tube wells/boreholes/handpumps_WASH_agency]]+WWWW[[#This Row],['#_Non-Cluster partner water tube-wells/boreholes/handpumps]])-WWWW[[#This Row],['#_Non-functional tube wells/boreholes/handpumps]]</f>
        <v>0</v>
      </c>
      <c r="CJ176" s="909">
        <f>WWWW[[#This Row],['#_Constructed/Existingwater storage tank with gravity fed reticulation system]]-WWWW[[#This Row],['#_Non-functional storage tank gravity fed reticulation system]]</f>
        <v>0</v>
      </c>
      <c r="CK176" s="909">
        <f>(WWWW[[#This Row],['#_Water_Liters_supplied_by_Water boating or water trucking]]/90)/15</f>
        <v>0</v>
      </c>
      <c r="CL176" s="909">
        <f>WWWW[[#This Row],['#_Water_Liters_from_Constructed/Existing water distribution system from river or natural spring]]/90/15</f>
        <v>0</v>
      </c>
      <c r="CM176" s="417">
        <f>IF(WWWW[[#This Row],['#_of water points in TLS/CFS]]*500&gt;WWWW[[#This Row],[Total PoP ]],WWWW[[#This Row],[Total PoP ]],WWWW[[#This Row],['#_of water points in TLS/CFS]]*500)</f>
        <v>0</v>
      </c>
      <c r="CN176" s="417">
        <f>IF(WWWW[[#This Row],['#_of water points in THF]]*500&gt;WWWW[[#This Row],[Total PoP ]],WWWW[[#This Row],[Total PoP ]],WWWW[[#This Row],['#_of water points in THF]]*500)</f>
        <v>0</v>
      </c>
      <c r="CO176" s="417"/>
      <c r="CP176"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76"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76" s="908">
        <f>IF(WWWW[[#This Row],[Location Type 1]]="Village",WWWW[[#This Row],[Access to safe drinking water for Village]],WWWW[[#This Row],[Access to safe drinking water for Camp]])</f>
        <v>0</v>
      </c>
      <c r="CS176" s="906">
        <f>WWWW[[#This Row],[%Equitable and continuous access to sufficient quantity of safe drinking water]]*WWWW[[#This Row],[Total PoP ]]</f>
        <v>0</v>
      </c>
      <c r="CT176" s="908">
        <f>IF((WWWW[[#This Row],['#_Constructed/Existing protected/fenced ponds]]*250)/WWWW[[#This Row],[Total PoP ]]&gt;1,1,(WWWW[[#This Row],['#_Constructed/Existing protected/fenced ponds]]*250)/WWWW[[#This Row],[Total PoP ]])</f>
        <v>0</v>
      </c>
      <c r="CU176" s="906">
        <f>WWWW[[#This Row],[% Access to unimproved water points]]*WWWW[[#This Row],[Total PoP ]]</f>
        <v>0</v>
      </c>
      <c r="CV176"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76"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76" s="906">
        <f>WWWW[[#This Row],[HRP1]]/500</f>
        <v>0</v>
      </c>
      <c r="CY176" s="911">
        <f>1-WWWW[[#This Row],[% Equitable and continuous access to sufficient quantity of domestic water]]</f>
        <v>1</v>
      </c>
      <c r="CZ176" s="906">
        <f>WWWW[[#This Row],[%equitable and continuous access to sufficient quantity of safe drinking and domestic water''s GAP]]*WWWW[[#This Row],[Total PoP ]]</f>
        <v>157</v>
      </c>
      <c r="DA176" s="909">
        <f>IF(WWWW[[#This Row],[Total required water points]]-WWWW[[#This Row],['#Water points coverage]]&lt;0,0,WWWW[[#This Row],[Total required water points]]-WWWW[[#This Row],['#Water points coverage]])</f>
        <v>1</v>
      </c>
      <c r="DB176" s="909">
        <f>ROUND(IF(WWWW[[#This Row],[Total PoP ]]&lt;500,1,WWWW[[#This Row],[Total PoP ]]/500),0)</f>
        <v>1</v>
      </c>
      <c r="DC176" s="909">
        <f>(WWWW[[#This Row],['#_Constructed latrines_by_WASHAgencies]]+WWWW[[#This Row],['#_Non Cluster partner latrines]])-WWWW[[#This Row],['#_Non-functional latrines]]</f>
        <v>0</v>
      </c>
      <c r="DD176" s="615">
        <f>WWWW[[#This Row],[HRP2]]/WWWW[[#This Row],[Total PoP ]]</f>
        <v>0</v>
      </c>
      <c r="DE176"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176"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76"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6" s="417">
        <f>IF(WWWW[[#This Row],['# of functional latrines in THF supported by WASH partners during the reporting period2]]="",0,WWWW[[#This Row],['# of functional latrines in THF supported by WASH partners during the reporting period2]]*50)</f>
        <v>0</v>
      </c>
      <c r="DI176" s="909">
        <f>ROUND(IF(WWWW[[#This Row],[Location Type 1]]="camp",WWWW[[#This Row],[Total PoP ]]/20,IF(WWWW[[#This Row],[Location Type 1]]="Temporary Location",WWWW[[#This Row],[Total PoP ]]/50,(WWWW[[#This Row],[Total PoP ]]/6))),0)</f>
        <v>8</v>
      </c>
      <c r="DJ176" s="909">
        <f>IF(WWWW[[#This Row],[Total required Latrines]]-(WWWW[[#This Row],['#_Constructed latrines_by_WASHAgencies]]+WWWW[[#This Row],['#_Non Cluster partner latrines]])&lt;0,0,WWWW[[#This Row],[Total required Latrines]]-(WWWW[[#This Row],['#_Constructed latrines_by_WASHAgencies]]+WWWW[[#This Row],['#_Non Cluster partner latrines]]))</f>
        <v>8</v>
      </c>
      <c r="DK176" s="911">
        <f>1-WWWW[[#This Row],[% people access to functioning Latrine]]</f>
        <v>1</v>
      </c>
      <c r="DL176" s="910">
        <f>IF(OR(WWWW[[#This Row],['#_Non-functional latrines]]="",WWWW[[#This Row],['#_Non-functional latrines]]=0),0,WWWW[[#This Row],['#_Non-functional latrines]]/(WWWW[[#This Row],['#_Constructed latrines_by_WASHAgencies]]+WWWW[[#This Row],['#_Non Cluster partner latrines]]))</f>
        <v>0</v>
      </c>
      <c r="DM176" s="906">
        <f>IF(500*(WWWW[[#This Row],['#_male hygiene promoters]]+WWWW[[#This Row],['#_female hygiene promoters]])&gt;WWWW[[#This Row],[Total PoP ]],WWWW[[#This Row],[Total PoP ]],500*(WWWW[[#This Row],['#_male hygiene promoters]]+WWWW[[#This Row],['#_female hygiene promoters]]))</f>
        <v>0</v>
      </c>
      <c r="DN176"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76"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76" s="909">
        <f>IF(WWWW[[#This Row],['# People with access to soap]]&gt;WWWW[[#This Row],['# People with access to Sanity Pads]],WWWW[[#This Row],['# People with access to soap]],WWWW[[#This Row],['# People with access to Sanity Pads]])</f>
        <v>0</v>
      </c>
      <c r="DQ176"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76" s="911">
        <f>IF(WWWW[[#This Row],[HRP3]]/WWWW[[#This Row],[Total PoP ]]&gt;1,1,WWWW[[#This Row],[HRP3]]/WWWW[[#This Row],[Total PoP ]])</f>
        <v>0</v>
      </c>
      <c r="DS176" s="910">
        <f>1-WWWW[[#This Row],[Hygiene Coverage%]]</f>
        <v>1</v>
      </c>
      <c r="DT176" s="908">
        <f>WWWW[[#This Row],['# people reached by regular dedicated hygiene promotion_5]]/WWWW[[#This Row],[Total PoP ]]</f>
        <v>0</v>
      </c>
      <c r="DU176"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76"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76" s="909">
        <f>WWWW[[#This Row],['#_Constructed/Existing hand washing stations]]-WWWW[[#This Row],['#_Non-Functional_hand_washing_stations]]</f>
        <v>0</v>
      </c>
      <c r="DX176" s="906">
        <f>IF(WWWW[[#This Row],['# Functional hand washing stations during reporting period]]*20&gt;WWWW[[#This Row],[Total HH]],WWWW[[#This Row],[Total HH]],WWWW[[#This Row],['# Functional hand washing stations during reporting period]]*20)</f>
        <v>0</v>
      </c>
      <c r="DY176" s="906">
        <f>IF(WWWW[[#This Row],[Is sufficient soap available for TLS? (Yes/No)]]="yes",WWWW[[#This Row],['#_Constructed/Existing hand washing stations at TLS/CFS/THF]],0)</f>
        <v>0</v>
      </c>
      <c r="DZ176" s="421">
        <f>IF(WWWW[[#This Row],['# Functional hand washing stations during reporting period]]*100&gt;WWWW[[#This Row],[Total PoP ]],WWWW[[#This Row],[Total PoP ]],WWWW[[#This Row],['# Functional hand washing stations during reporting period]]*100)</f>
        <v>0</v>
      </c>
      <c r="EA176" s="421" t="str">
        <f>IF(OR(WWWW[[#This Row],['#_students at TLS_CFS]]="",WWWW[[#This Row],['#_students at TLS_CFS]]=0),"No","Yes")</f>
        <v>No</v>
      </c>
      <c r="EB17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76" s="566">
        <f>WWWW[[#This Row],[%_of_affected_people_surveyed_who_report_feeling_satistfied_with_the_latrine_design_and_sanitation_service]]*WWWW[[#This Row],[Total PoP ]]</f>
        <v>0</v>
      </c>
      <c r="ED176" s="566">
        <f>WWWW[[#This Row],[%_of_affected_people_surveyed_who_report_feeling_satistfied_with_the_water_point_design_and_water_service]]*WWWW[[#This Row],[Total PoP ]]</f>
        <v>0</v>
      </c>
      <c r="EE176" s="566">
        <f>WWWW[[#This Row],[%_of_complaints_received_that_result_in_timely_corrective_action_and_feedback_to_the_community]]*WWWW[[#This Row],[Total PoP ]]</f>
        <v>0</v>
      </c>
      <c r="EF17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7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7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76" s="902">
        <f>VLOOKUP(WWWW[[#This Row],[Site Name]],SiteDB6[[Site Name]:[CCCM Management]],6,FALSE)</f>
        <v>0</v>
      </c>
      <c r="EJ176" s="902" t="str">
        <f>VLOOKUP(WWWW[[#This Row],[Site Name]],SiteDB6[[Site Name]:[CCCM Focal Agency]],7,FALSE)</f>
        <v>Uncovered</v>
      </c>
      <c r="EK176" s="902" t="str">
        <f>VLOOKUP(WWWW[[#This Row],[Site Name]],SiteDB6[[Site Name]:[Location Type 1]],9,FALSE)</f>
        <v>Camp</v>
      </c>
      <c r="EL176" s="902" t="str">
        <f>VLOOKUP(WWWW[[#This Row],[Site Name]],SiteDB6[[Site Name]:[Type of Accommodation]],10,FALSE)</f>
        <v>Camp like setting</v>
      </c>
      <c r="EM176" s="902" t="str">
        <f>VLOOKUP(WWWW[[#This Row],[Site Name]],SiteDB6[[Site Name]:[Ethnic or GCA/NGCA]],11,FALSE)</f>
        <v>GCA</v>
      </c>
      <c r="EN176" s="902">
        <f>VLOOKUP(WWWW[[#This Row],[Site Name]],SiteDB6[[Site Name]:[Lat]],12,FALSE)</f>
        <v>0</v>
      </c>
      <c r="EO176" s="902" t="str">
        <f>VLOOKUP(WWWW[[#This Row],[Site Name]],SiteDB6[[Site Name]:[Long]],13,FALSE)</f>
        <v>not available</v>
      </c>
      <c r="EP176" s="902" t="str">
        <f>VLOOKUP(WWWW[[#This Row],[Site Name]],SiteDB6[[Site Name]:[Pcode]],3,FALSE)</f>
        <v>MMR015CMP094</v>
      </c>
      <c r="EQ176" s="907" t="str">
        <f t="shared" si="2"/>
        <v>Notcovered</v>
      </c>
      <c r="ER176" s="907"/>
      <c r="ES176" s="907"/>
      <c r="ET176" s="902">
        <f>VLOOKUP(WWWW[[#This Row],[Site Name]],SiteDB6[[Site Name]:[Pop
(Kachin/Shan-CCCM as of May 2023)]],16,FALSE)</f>
        <v>43</v>
      </c>
      <c r="EU176" s="902">
        <f>VLOOKUP(WWWW[[#This Row],[Site Name]],SiteDB6[[Site Name]:[Pop
(Kachin/Shan-CCCM as of May 2023)]],17,FALSE)</f>
        <v>157</v>
      </c>
    </row>
    <row r="177" spans="1:151" hidden="1">
      <c r="A177" s="900" t="s">
        <v>2961</v>
      </c>
      <c r="B177" s="900" t="s">
        <v>242</v>
      </c>
      <c r="C177" s="901" t="s">
        <v>242</v>
      </c>
      <c r="D177" s="901" t="s">
        <v>3184</v>
      </c>
      <c r="E177" s="901" t="s">
        <v>37</v>
      </c>
      <c r="F177" s="901" t="s">
        <v>195</v>
      </c>
      <c r="G177" s="418" t="s">
        <v>43</v>
      </c>
      <c r="H177" s="901" t="s">
        <v>3187</v>
      </c>
      <c r="I177" s="903">
        <v>48</v>
      </c>
      <c r="J177" s="903">
        <v>213</v>
      </c>
      <c r="K177" s="904">
        <v>44927</v>
      </c>
      <c r="L177" s="905">
        <v>45291</v>
      </c>
      <c r="M177" s="903"/>
      <c r="N177" s="903"/>
      <c r="O177" s="903">
        <v>1</v>
      </c>
      <c r="P177" s="903"/>
      <c r="Q177" s="906" t="s">
        <v>41</v>
      </c>
      <c r="R177" s="903">
        <v>3</v>
      </c>
      <c r="S177" s="903">
        <v>3</v>
      </c>
      <c r="T177" s="441">
        <v>1</v>
      </c>
      <c r="U177" s="903"/>
      <c r="V177" s="903"/>
      <c r="W177" s="903"/>
      <c r="X177" s="903">
        <v>1</v>
      </c>
      <c r="Y177" s="903"/>
      <c r="Z177" s="903"/>
      <c r="AA177" s="903"/>
      <c r="AB177" s="903"/>
      <c r="AC177" s="903"/>
      <c r="AD177" s="903"/>
      <c r="AE177" s="903"/>
      <c r="AF177" s="903"/>
      <c r="AG177" s="903"/>
      <c r="AH177" s="903"/>
      <c r="AI177" s="903"/>
      <c r="AJ177" s="903"/>
      <c r="AK177" s="903">
        <v>2</v>
      </c>
      <c r="AL177" s="903"/>
      <c r="AM177" s="903">
        <v>4</v>
      </c>
      <c r="AN177" s="903">
        <v>1</v>
      </c>
      <c r="AO177" s="441"/>
      <c r="AP177" s="907" t="s">
        <v>3188</v>
      </c>
      <c r="AQ177" s="903">
        <v>10</v>
      </c>
      <c r="AR177" s="903"/>
      <c r="AS177" s="908" t="s">
        <v>276</v>
      </c>
      <c r="AT177" s="903">
        <v>2</v>
      </c>
      <c r="AU177" s="903">
        <v>2</v>
      </c>
      <c r="AV177" s="903">
        <v>5</v>
      </c>
      <c r="AW177" s="903"/>
      <c r="AX177" s="903"/>
      <c r="AY177" s="902" t="s">
        <v>41</v>
      </c>
      <c r="AZ177" s="907" t="s">
        <v>140</v>
      </c>
      <c r="BA177" s="903"/>
      <c r="BB177" s="903">
        <v>2</v>
      </c>
      <c r="BC177" s="903"/>
      <c r="BD177" s="441"/>
      <c r="BE177" s="441"/>
      <c r="BF177" s="902"/>
      <c r="BG177" s="903">
        <v>8</v>
      </c>
      <c r="BH177" s="903"/>
      <c r="BI177" s="903"/>
      <c r="BJ177" s="903">
        <v>3</v>
      </c>
      <c r="BK177" s="903"/>
      <c r="BL177" s="903">
        <v>1</v>
      </c>
      <c r="BM177" s="903"/>
      <c r="BN177" s="903"/>
      <c r="BO177" s="903"/>
      <c r="BP177" s="902"/>
      <c r="BQ177" s="909">
        <v>1</v>
      </c>
      <c r="BR177" s="908">
        <v>0.5</v>
      </c>
      <c r="BS177" s="902" t="s">
        <v>3189</v>
      </c>
      <c r="BT177" s="416">
        <v>1</v>
      </c>
      <c r="BU177" s="416">
        <v>1</v>
      </c>
      <c r="BV177" s="418">
        <v>100</v>
      </c>
      <c r="BW177" s="416">
        <v>0.3</v>
      </c>
      <c r="BX177" s="441"/>
      <c r="BY177" s="441"/>
      <c r="BZ177" s="441"/>
      <c r="CA177" s="441"/>
      <c r="CB177" s="441"/>
      <c r="CC177" s="693"/>
      <c r="CD177" s="441"/>
      <c r="CE177" s="910" t="str">
        <f>IFERROR(WWWW[[#This Row],['#_Water sources passed]]/WWWW[[#This Row],['#_Water sources tested for fecal coliform ]],"no test")</f>
        <v>no test</v>
      </c>
      <c r="CF177" s="908">
        <f>IFERROR(WWWW[[#This Row],['#_Household passed]]/WWWW[[#This Row],['#_Household water samples tested for fecal coliform]],"no test")</f>
        <v>0</v>
      </c>
      <c r="CG177" s="909" t="str">
        <f>IF(AND(WWWW[[#This Row],[% of water sources passed]]="no test",WWWW[[#This Row],[% Household passed]]="no test"),"No Test","Tested")</f>
        <v>Tested</v>
      </c>
      <c r="CH177" s="909">
        <f>WWWW[[#This Row],['#_Constructed/existing protected hand dug well]]-WWWW[[#This Row],['#_Non-functional protected hand dug well]]</f>
        <v>1</v>
      </c>
      <c r="CI177" s="909">
        <f>(WWWW[[#This Row],['#_Constructed/Existing tube wells/boreholes/handpumps_WASH_agency]]+WWWW[[#This Row],['#_Non-Cluster partner water tube-wells/boreholes/handpumps]])-WWWW[[#This Row],['#_Non-functional tube wells/boreholes/handpumps]]</f>
        <v>1</v>
      </c>
      <c r="CJ177" s="909">
        <f>WWWW[[#This Row],['#_Constructed/Existingwater storage tank with gravity fed reticulation system]]-WWWW[[#This Row],['#_Non-functional storage tank gravity fed reticulation system]]</f>
        <v>0</v>
      </c>
      <c r="CK177" s="909">
        <f>(WWWW[[#This Row],['#_Water_Liters_supplied_by_Water boating or water trucking]]/90)/15</f>
        <v>0</v>
      </c>
      <c r="CL177" s="909">
        <f>WWWW[[#This Row],['#_Water_Liters_from_Constructed/Existing water distribution system from river or natural spring]]/90/15</f>
        <v>0</v>
      </c>
      <c r="CM177" s="417">
        <f>IF(WWWW[[#This Row],['#_of water points in TLS/CFS]]*500&gt;WWWW[[#This Row],[Total PoP ]],WWWW[[#This Row],[Total PoP ]],WWWW[[#This Row],['#_of water points in TLS/CFS]]*500)</f>
        <v>213</v>
      </c>
      <c r="CN177" s="417">
        <f>IF(WWWW[[#This Row],['#_of water points in THF]]*500&gt;WWWW[[#This Row],[Total PoP ]],WWWW[[#This Row],[Total PoP ]],WWWW[[#This Row],['#_of water points in THF]]*500)</f>
        <v>0</v>
      </c>
      <c r="CO177" s="417"/>
      <c r="CP177"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77"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77" s="908">
        <f>IF(WWWW[[#This Row],[Location Type 1]]="Village",WWWW[[#This Row],[Access to safe drinking water for Village]],WWWW[[#This Row],[Access to safe drinking water for Camp]])</f>
        <v>1</v>
      </c>
      <c r="CS177" s="906">
        <f>WWWW[[#This Row],[%Equitable and continuous access to sufficient quantity of safe drinking water]]*WWWW[[#This Row],[Total PoP ]]</f>
        <v>213</v>
      </c>
      <c r="CT177" s="908">
        <f>IF((WWWW[[#This Row],['#_Constructed/Existing protected/fenced ponds]]*250)/WWWW[[#This Row],[Total PoP ]]&gt;1,1,(WWWW[[#This Row],['#_Constructed/Existing protected/fenced ponds]]*250)/WWWW[[#This Row],[Total PoP ]])</f>
        <v>0</v>
      </c>
      <c r="CU177" s="906">
        <f>WWWW[[#This Row],[% Access to unimproved water points]]*WWWW[[#This Row],[Total PoP ]]</f>
        <v>0</v>
      </c>
      <c r="CV177"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77"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213</v>
      </c>
      <c r="CX177" s="906">
        <f>WWWW[[#This Row],[HRP1]]/500</f>
        <v>0.42599999999999999</v>
      </c>
      <c r="CY177" s="911">
        <f>1-WWWW[[#This Row],[% Equitable and continuous access to sufficient quantity of domestic water]]</f>
        <v>0</v>
      </c>
      <c r="CZ177" s="906">
        <f>WWWW[[#This Row],[%equitable and continuous access to sufficient quantity of safe drinking and domestic water''s GAP]]*WWWW[[#This Row],[Total PoP ]]</f>
        <v>0</v>
      </c>
      <c r="DA177" s="909">
        <f>IF(WWWW[[#This Row],[Total required water points]]-WWWW[[#This Row],['#Water points coverage]]&lt;0,0,WWWW[[#This Row],[Total required water points]]-WWWW[[#This Row],['#Water points coverage]])</f>
        <v>0.57400000000000007</v>
      </c>
      <c r="DB177" s="909">
        <f>ROUND(IF(WWWW[[#This Row],[Total PoP ]]&lt;500,1,WWWW[[#This Row],[Total PoP ]]/500),0)</f>
        <v>1</v>
      </c>
      <c r="DC177" s="909">
        <f>(WWWW[[#This Row],['#_Constructed latrines_by_WASHAgencies]]+WWWW[[#This Row],['#_Non Cluster partner latrines]])-WWWW[[#This Row],['#_Non-functional latrines]]</f>
        <v>8</v>
      </c>
      <c r="DD177" s="615">
        <f>WWWW[[#This Row],[HRP2]]/WWWW[[#This Row],[Total PoP ]]</f>
        <v>0.75117370892018775</v>
      </c>
      <c r="DE177"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160</v>
      </c>
      <c r="DF177"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100</v>
      </c>
      <c r="DG177"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7" s="417">
        <f>IF(WWWW[[#This Row],['# of functional latrines in THF supported by WASH partners during the reporting period2]]="",0,WWWW[[#This Row],['# of functional latrines in THF supported by WASH partners during the reporting period2]]*50)</f>
        <v>0</v>
      </c>
      <c r="DI177" s="909">
        <f>ROUND(IF(WWWW[[#This Row],[Location Type 1]]="camp",WWWW[[#This Row],[Total PoP ]]/20,IF(WWWW[[#This Row],[Location Type 1]]="Temporary Location",WWWW[[#This Row],[Total PoP ]]/50,(WWWW[[#This Row],[Total PoP ]]/6))),0)</f>
        <v>11</v>
      </c>
      <c r="DJ177" s="909">
        <f>IF(WWWW[[#This Row],[Total required Latrines]]-(WWWW[[#This Row],['#_Constructed latrines_by_WASHAgencies]]+WWWW[[#This Row],['#_Non Cluster partner latrines]])&lt;0,0,WWWW[[#This Row],[Total required Latrines]]-(WWWW[[#This Row],['#_Constructed latrines_by_WASHAgencies]]+WWWW[[#This Row],['#_Non Cluster partner latrines]]))</f>
        <v>1</v>
      </c>
      <c r="DK177" s="911">
        <f>1-WWWW[[#This Row],[% people access to functioning Latrine]]</f>
        <v>0.24882629107981225</v>
      </c>
      <c r="DL177" s="910">
        <f>IF(OR(WWWW[[#This Row],['#_Non-functional latrines]]="",WWWW[[#This Row],['#_Non-functional latrines]]=0),0,WWWW[[#This Row],['#_Non-functional latrines]]/(WWWW[[#This Row],['#_Constructed latrines_by_WASHAgencies]]+WWWW[[#This Row],['#_Non Cluster partner latrines]]))</f>
        <v>0.2</v>
      </c>
      <c r="DM177" s="906">
        <f>IF(500*(WWWW[[#This Row],['#_male hygiene promoters]]+WWWW[[#This Row],['#_female hygiene promoters]])&gt;WWWW[[#This Row],[Total PoP ]],WWWW[[#This Row],[Total PoP ]],500*(WWWW[[#This Row],['#_male hygiene promoters]]+WWWW[[#This Row],['#_female hygiene promoters]]))</f>
        <v>213</v>
      </c>
      <c r="DN177"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77"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77" s="909">
        <f>IF(WWWW[[#This Row],['# People with access to soap]]&gt;WWWW[[#This Row],['# People with access to Sanity Pads]],WWWW[[#This Row],['# People with access to soap]],WWWW[[#This Row],['# People with access to Sanity Pads]])</f>
        <v>0</v>
      </c>
      <c r="DQ177" s="909">
        <f>IF(WWWW[[#This Row],['# people reached by regular dedicated hygiene promotion_5]]&gt;WWWW[[#This Row],['# People received regular supply of hygiene items_6]],WWWW[[#This Row],['# people reached by regular dedicated hygiene promotion_5]],WWWW[[#This Row],['# People received regular supply of hygiene items_6]])</f>
        <v>213</v>
      </c>
      <c r="DR177" s="911">
        <f>IF(WWWW[[#This Row],[HRP3]]/WWWW[[#This Row],[Total PoP ]]&gt;1,1,WWWW[[#This Row],[HRP3]]/WWWW[[#This Row],[Total PoP ]])</f>
        <v>1</v>
      </c>
      <c r="DS177" s="910">
        <f>1-WWWW[[#This Row],[Hygiene Coverage%]]</f>
        <v>0</v>
      </c>
      <c r="DT177" s="908">
        <f>WWWW[[#This Row],['# people reached by regular dedicated hygiene promotion_5]]/WWWW[[#This Row],[Total PoP ]]</f>
        <v>1</v>
      </c>
      <c r="DU177"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77"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77" s="909">
        <f>WWWW[[#This Row],['#_Constructed/Existing hand washing stations]]-WWWW[[#This Row],['#_Non-Functional_hand_washing_stations]]</f>
        <v>8</v>
      </c>
      <c r="DX177" s="906">
        <f>IF(WWWW[[#This Row],['# Functional hand washing stations during reporting period]]*20&gt;WWWW[[#This Row],[Total HH]],WWWW[[#This Row],[Total HH]],WWWW[[#This Row],['# Functional hand washing stations during reporting period]]*20)</f>
        <v>48</v>
      </c>
      <c r="DY177" s="906">
        <f>IF(WWWW[[#This Row],[Is sufficient soap available for TLS? (Yes/No)]]="yes",WWWW[[#This Row],['#_Constructed/Existing hand washing stations at TLS/CFS/THF]],0)</f>
        <v>0</v>
      </c>
      <c r="DZ177" s="421">
        <f>IF(WWWW[[#This Row],['# Functional hand washing stations during reporting period]]*100&gt;WWWW[[#This Row],[Total PoP ]],WWWW[[#This Row],[Total PoP ]],WWWW[[#This Row],['# Functional hand washing stations during reporting period]]*100)</f>
        <v>213</v>
      </c>
      <c r="EA177" s="421" t="str">
        <f>IF(OR(WWWW[[#This Row],['#_students at TLS_CFS]]="",WWWW[[#This Row],['#_students at TLS_CFS]]=0),"No","Yes")</f>
        <v>No</v>
      </c>
      <c r="EB177" s="615">
        <f>IF(WWWW[[#This Row],['#_of_affected_people_surveyed_who_report_feeling_informed_about_the_different_WASH_services_available_to_them]]="","",WWWW[[#This Row],['#_of_affected_people_surveyed_who_report_feeling_informed_about_the_different_WASH_services_available_to_them]]/WWWW[[#This Row],[Total PoP ]])</f>
        <v>0.46948356807511737</v>
      </c>
      <c r="EC177" s="566">
        <f>WWWW[[#This Row],[%_of_affected_people_surveyed_who_report_feeling_satistfied_with_the_latrine_design_and_sanitation_service]]*WWWW[[#This Row],[Total PoP ]]</f>
        <v>213</v>
      </c>
      <c r="ED177" s="566">
        <f>WWWW[[#This Row],[%_of_affected_people_surveyed_who_report_feeling_satistfied_with_the_water_point_design_and_water_service]]*WWWW[[#This Row],[Total PoP ]]</f>
        <v>213</v>
      </c>
      <c r="EE177" s="566">
        <f>WWWW[[#This Row],[%_of_complaints_received_that_result_in_timely_corrective_action_and_feedback_to_the_community]]*WWWW[[#This Row],[Total PoP ]]</f>
        <v>63.9</v>
      </c>
      <c r="EF17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213</v>
      </c>
      <c r="EG17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213</v>
      </c>
      <c r="EH17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77" s="902" t="e">
        <f>VLOOKUP(WWWW[[#This Row],[Site Name]],SiteDB6[[Site Name]:[CCCM Management]],6,FALSE)</f>
        <v>#N/A</v>
      </c>
      <c r="EJ177" s="902" t="e">
        <f>VLOOKUP(WWWW[[#This Row],[Site Name]],SiteDB6[[Site Name]:[CCCM Focal Agency]],7,FALSE)</f>
        <v>#N/A</v>
      </c>
      <c r="EK177" s="902" t="s">
        <v>43</v>
      </c>
      <c r="EL177" s="902" t="s">
        <v>43</v>
      </c>
      <c r="EM177" s="902" t="s">
        <v>44</v>
      </c>
      <c r="EN177" s="902" t="e">
        <f>VLOOKUP(WWWW[[#This Row],[Site Name]],SiteDB6[[Site Name]:[Lat]],12,FALSE)</f>
        <v>#N/A</v>
      </c>
      <c r="EO177" s="902" t="e">
        <f>VLOOKUP(WWWW[[#This Row],[Site Name]],SiteDB6[[Site Name]:[Long]],13,FALSE)</f>
        <v>#N/A</v>
      </c>
      <c r="EP177" s="902" t="e">
        <f>VLOOKUP(WWWW[[#This Row],[Site Name]],SiteDB6[[Site Name]:[Pcode]],3,FALSE)</f>
        <v>#N/A</v>
      </c>
      <c r="EQ177" s="907" t="str">
        <f t="shared" si="2"/>
        <v>Covered</v>
      </c>
      <c r="ER177" s="907" t="s">
        <v>3126</v>
      </c>
      <c r="ES177" s="907" t="s">
        <v>3126</v>
      </c>
      <c r="ET177" s="902" t="e">
        <f>VLOOKUP(WWWW[[#This Row],[Site Name]],SiteDB6[[Site Name]:[Pop
(Kachin/Shan-CCCM as of May 2023)]],16,FALSE)</f>
        <v>#N/A</v>
      </c>
      <c r="EU177" s="902" t="e">
        <f>VLOOKUP(WWWW[[#This Row],[Site Name]],SiteDB6[[Site Name]:[Pop
(Kachin/Shan-CCCM as of May 2023)]],17,FALSE)</f>
        <v>#N/A</v>
      </c>
    </row>
    <row r="178" spans="1:151" hidden="1">
      <c r="A178" s="900" t="s">
        <v>2961</v>
      </c>
      <c r="B178" s="900" t="s">
        <v>242</v>
      </c>
      <c r="C178" s="901" t="s">
        <v>242</v>
      </c>
      <c r="D178" s="901" t="s">
        <v>3184</v>
      </c>
      <c r="E178" s="901" t="s">
        <v>37</v>
      </c>
      <c r="F178" s="901" t="s">
        <v>195</v>
      </c>
      <c r="G178" s="418" t="s">
        <v>43</v>
      </c>
      <c r="H178" s="901" t="s">
        <v>3186</v>
      </c>
      <c r="I178" s="903">
        <v>67</v>
      </c>
      <c r="J178" s="903">
        <v>324</v>
      </c>
      <c r="K178" s="904">
        <v>44927</v>
      </c>
      <c r="L178" s="905">
        <v>45291</v>
      </c>
      <c r="M178" s="903"/>
      <c r="N178" s="903"/>
      <c r="O178" s="903">
        <v>1</v>
      </c>
      <c r="P178" s="903"/>
      <c r="Q178" s="906" t="s">
        <v>41</v>
      </c>
      <c r="R178" s="903">
        <v>2</v>
      </c>
      <c r="S178" s="903">
        <v>3</v>
      </c>
      <c r="T178" s="441"/>
      <c r="U178" s="903"/>
      <c r="V178" s="903"/>
      <c r="W178" s="903"/>
      <c r="X178" s="903"/>
      <c r="Y178" s="903"/>
      <c r="Z178" s="903"/>
      <c r="AA178" s="903"/>
      <c r="AB178" s="903"/>
      <c r="AC178" s="903"/>
      <c r="AD178" s="903"/>
      <c r="AE178" s="903"/>
      <c r="AF178" s="903"/>
      <c r="AG178" s="903"/>
      <c r="AH178" s="903"/>
      <c r="AI178" s="903"/>
      <c r="AJ178" s="903"/>
      <c r="AK178" s="903"/>
      <c r="AL178" s="903"/>
      <c r="AM178" s="903">
        <v>1</v>
      </c>
      <c r="AN178" s="903"/>
      <c r="AO178" s="441"/>
      <c r="AP178" s="907"/>
      <c r="AQ178" s="903">
        <v>7</v>
      </c>
      <c r="AR178" s="903"/>
      <c r="AS178" s="908"/>
      <c r="AT178" s="903"/>
      <c r="AU178" s="903"/>
      <c r="AV178" s="903"/>
      <c r="AW178" s="903"/>
      <c r="AX178" s="903">
        <v>6</v>
      </c>
      <c r="AY178" s="902" t="s">
        <v>41</v>
      </c>
      <c r="AZ178" s="907" t="s">
        <v>137</v>
      </c>
      <c r="BA178" s="903"/>
      <c r="BB178" s="903"/>
      <c r="BC178" s="903"/>
      <c r="BD178" s="441"/>
      <c r="BE178" s="441">
        <v>4</v>
      </c>
      <c r="BF178" s="902"/>
      <c r="BG178" s="903">
        <v>1</v>
      </c>
      <c r="BH178" s="903"/>
      <c r="BI178" s="903"/>
      <c r="BJ178" s="903">
        <v>8</v>
      </c>
      <c r="BK178" s="903"/>
      <c r="BL178" s="903"/>
      <c r="BM178" s="903">
        <v>1</v>
      </c>
      <c r="BN178" s="903"/>
      <c r="BO178" s="903"/>
      <c r="BP178" s="902"/>
      <c r="BQ178" s="909"/>
      <c r="BR178" s="908">
        <v>0.65</v>
      </c>
      <c r="BS178" s="902"/>
      <c r="BT178" s="416">
        <v>0.75</v>
      </c>
      <c r="BU178" s="416">
        <v>0.5</v>
      </c>
      <c r="BV178" s="418"/>
      <c r="BW178" s="416">
        <v>0.95</v>
      </c>
      <c r="BX178" s="441"/>
      <c r="BY178" s="441"/>
      <c r="BZ178" s="441"/>
      <c r="CA178" s="441"/>
      <c r="CB178" s="441"/>
      <c r="CC178" s="693"/>
      <c r="CD178" s="441"/>
      <c r="CE178" s="910" t="str">
        <f>IFERROR(WWWW[[#This Row],['#_Water sources passed]]/WWWW[[#This Row],['#_Water sources tested for fecal coliform ]],"no test")</f>
        <v>no test</v>
      </c>
      <c r="CF178" s="908" t="str">
        <f>IFERROR(WWWW[[#This Row],['#_Household passed]]/WWWW[[#This Row],['#_Household water samples tested for fecal coliform]],"no test")</f>
        <v>no test</v>
      </c>
      <c r="CG178" s="909" t="str">
        <f>IF(AND(WWWW[[#This Row],[% of water sources passed]]="no test",WWWW[[#This Row],[% Household passed]]="no test"),"No Test","Tested")</f>
        <v>No Test</v>
      </c>
      <c r="CH178" s="909">
        <f>WWWW[[#This Row],['#_Constructed/existing protected hand dug well]]-WWWW[[#This Row],['#_Non-functional protected hand dug well]]</f>
        <v>0</v>
      </c>
      <c r="CI178" s="909">
        <f>(WWWW[[#This Row],['#_Constructed/Existing tube wells/boreholes/handpumps_WASH_agency]]+WWWW[[#This Row],['#_Non-Cluster partner water tube-wells/boreholes/handpumps]])-WWWW[[#This Row],['#_Non-functional tube wells/boreholes/handpumps]]</f>
        <v>0</v>
      </c>
      <c r="CJ178" s="909">
        <f>WWWW[[#This Row],['#_Constructed/Existingwater storage tank with gravity fed reticulation system]]-WWWW[[#This Row],['#_Non-functional storage tank gravity fed reticulation system]]</f>
        <v>0</v>
      </c>
      <c r="CK178" s="909">
        <f>(WWWW[[#This Row],['#_Water_Liters_supplied_by_Water boating or water trucking]]/90)/15</f>
        <v>0</v>
      </c>
      <c r="CL178" s="909">
        <f>WWWW[[#This Row],['#_Water_Liters_from_Constructed/Existing water distribution system from river or natural spring]]/90/15</f>
        <v>0</v>
      </c>
      <c r="CM178" s="417">
        <f>IF(WWWW[[#This Row],['#_of water points in TLS/CFS]]*500&gt;WWWW[[#This Row],[Total PoP ]],WWWW[[#This Row],[Total PoP ]],WWWW[[#This Row],['#_of water points in TLS/CFS]]*500)</f>
        <v>0</v>
      </c>
      <c r="CN178" s="417">
        <f>IF(WWWW[[#This Row],['#_of water points in THF]]*500&gt;WWWW[[#This Row],[Total PoP ]],WWWW[[#This Row],[Total PoP ]],WWWW[[#This Row],['#_of water points in THF]]*500)</f>
        <v>0</v>
      </c>
      <c r="CO178" s="417"/>
      <c r="CP178"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78"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78" s="908">
        <f>IF(WWWW[[#This Row],[Location Type 1]]="Village",WWWW[[#This Row],[Access to safe drinking water for Village]],WWWW[[#This Row],[Access to safe drinking water for Camp]])</f>
        <v>0</v>
      </c>
      <c r="CS178" s="906">
        <f>WWWW[[#This Row],[%Equitable and continuous access to sufficient quantity of safe drinking water]]*WWWW[[#This Row],[Total PoP ]]</f>
        <v>0</v>
      </c>
      <c r="CT178" s="908">
        <f>IF((WWWW[[#This Row],['#_Constructed/Existing protected/fenced ponds]]*250)/WWWW[[#This Row],[Total PoP ]]&gt;1,1,(WWWW[[#This Row],['#_Constructed/Existing protected/fenced ponds]]*250)/WWWW[[#This Row],[Total PoP ]])</f>
        <v>0</v>
      </c>
      <c r="CU178" s="906">
        <f>WWWW[[#This Row],[% Access to unimproved water points]]*WWWW[[#This Row],[Total PoP ]]</f>
        <v>0</v>
      </c>
      <c r="CV178"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78"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78" s="906">
        <f>WWWW[[#This Row],[HRP1]]/500</f>
        <v>0</v>
      </c>
      <c r="CY178" s="911">
        <f>1-WWWW[[#This Row],[% Equitable and continuous access to sufficient quantity of domestic water]]</f>
        <v>1</v>
      </c>
      <c r="CZ178" s="906">
        <f>WWWW[[#This Row],[%equitable and continuous access to sufficient quantity of safe drinking and domestic water''s GAP]]*WWWW[[#This Row],[Total PoP ]]</f>
        <v>324</v>
      </c>
      <c r="DA178" s="909">
        <f>IF(WWWW[[#This Row],[Total required water points]]-WWWW[[#This Row],['#Water points coverage]]&lt;0,0,WWWW[[#This Row],[Total required water points]]-WWWW[[#This Row],['#Water points coverage]])</f>
        <v>1</v>
      </c>
      <c r="DB178" s="909">
        <f>ROUND(IF(WWWW[[#This Row],[Total PoP ]]&lt;500,1,WWWW[[#This Row],[Total PoP ]]/500),0)</f>
        <v>1</v>
      </c>
      <c r="DC178" s="909">
        <f>(WWWW[[#This Row],['#_Constructed latrines_by_WASHAgencies]]+WWWW[[#This Row],['#_Non Cluster partner latrines]])-WWWW[[#This Row],['#_Non-functional latrines]]</f>
        <v>7</v>
      </c>
      <c r="DD178" s="615">
        <f>WWWW[[#This Row],[HRP2]]/WWWW[[#This Row],[Total PoP ]]</f>
        <v>0.44444444444444442</v>
      </c>
      <c r="DE178"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144</v>
      </c>
      <c r="DF178"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78"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8" s="417">
        <f>IF(WWWW[[#This Row],['# of functional latrines in THF supported by WASH partners during the reporting period2]]="",0,WWWW[[#This Row],['# of functional latrines in THF supported by WASH partners during the reporting period2]]*50)</f>
        <v>0</v>
      </c>
      <c r="DI178" s="909">
        <f>ROUND(IF(WWWW[[#This Row],[Location Type 1]]="camp",WWWW[[#This Row],[Total PoP ]]/20,IF(WWWW[[#This Row],[Location Type 1]]="Temporary Location",WWWW[[#This Row],[Total PoP ]]/50,(WWWW[[#This Row],[Total PoP ]]/6))),0)</f>
        <v>16</v>
      </c>
      <c r="DJ178" s="909">
        <f>IF(WWWW[[#This Row],[Total required Latrines]]-(WWWW[[#This Row],['#_Constructed latrines_by_WASHAgencies]]+WWWW[[#This Row],['#_Non Cluster partner latrines]])&lt;0,0,WWWW[[#This Row],[Total required Latrines]]-(WWWW[[#This Row],['#_Constructed latrines_by_WASHAgencies]]+WWWW[[#This Row],['#_Non Cluster partner latrines]]))</f>
        <v>9</v>
      </c>
      <c r="DK178" s="911">
        <f>1-WWWW[[#This Row],[% people access to functioning Latrine]]</f>
        <v>0.55555555555555558</v>
      </c>
      <c r="DL178" s="910">
        <f>IF(OR(WWWW[[#This Row],['#_Non-functional latrines]]="",WWWW[[#This Row],['#_Non-functional latrines]]=0),0,WWWW[[#This Row],['#_Non-functional latrines]]/(WWWW[[#This Row],['#_Constructed latrines_by_WASHAgencies]]+WWWW[[#This Row],['#_Non Cluster partner latrines]]))</f>
        <v>0</v>
      </c>
      <c r="DM178" s="906">
        <f>IF(500*(WWWW[[#This Row],['#_male hygiene promoters]]+WWWW[[#This Row],['#_female hygiene promoters]])&gt;WWWW[[#This Row],[Total PoP ]],WWWW[[#This Row],[Total PoP ]],500*(WWWW[[#This Row],['#_male hygiene promoters]]+WWWW[[#This Row],['#_female hygiene promoters]]))</f>
        <v>324</v>
      </c>
      <c r="DN178"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78"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78" s="909">
        <f>IF(WWWW[[#This Row],['# People with access to soap]]&gt;WWWW[[#This Row],['# People with access to Sanity Pads]],WWWW[[#This Row],['# People with access to soap]],WWWW[[#This Row],['# People with access to Sanity Pads]])</f>
        <v>0</v>
      </c>
      <c r="DQ178" s="909">
        <f>IF(WWWW[[#This Row],['# people reached by regular dedicated hygiene promotion_5]]&gt;WWWW[[#This Row],['# People received regular supply of hygiene items_6]],WWWW[[#This Row],['# people reached by regular dedicated hygiene promotion_5]],WWWW[[#This Row],['# People received regular supply of hygiene items_6]])</f>
        <v>324</v>
      </c>
      <c r="DR178" s="911">
        <f>IF(WWWW[[#This Row],[HRP3]]/WWWW[[#This Row],[Total PoP ]]&gt;1,1,WWWW[[#This Row],[HRP3]]/WWWW[[#This Row],[Total PoP ]])</f>
        <v>1</v>
      </c>
      <c r="DS178" s="910">
        <f>1-WWWW[[#This Row],[Hygiene Coverage%]]</f>
        <v>0</v>
      </c>
      <c r="DT178" s="908">
        <f>WWWW[[#This Row],['# people reached by regular dedicated hygiene promotion_5]]/WWWW[[#This Row],[Total PoP ]]</f>
        <v>1</v>
      </c>
      <c r="DU178"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78"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78" s="909">
        <f>WWWW[[#This Row],['#_Constructed/Existing hand washing stations]]-WWWW[[#This Row],['#_Non-Functional_hand_washing_stations]]</f>
        <v>1</v>
      </c>
      <c r="DX178" s="906">
        <f>IF(WWWW[[#This Row],['# Functional hand washing stations during reporting period]]*20&gt;WWWW[[#This Row],[Total HH]],WWWW[[#This Row],[Total HH]],WWWW[[#This Row],['# Functional hand washing stations during reporting period]]*20)</f>
        <v>20</v>
      </c>
      <c r="DY178" s="906">
        <f>IF(WWWW[[#This Row],[Is sufficient soap available for TLS? (Yes/No)]]="yes",WWWW[[#This Row],['#_Constructed/Existing hand washing stations at TLS/CFS/THF]],0)</f>
        <v>0</v>
      </c>
      <c r="DZ178" s="421">
        <f>IF(WWWW[[#This Row],['# Functional hand washing stations during reporting period]]*100&gt;WWWW[[#This Row],[Total PoP ]],WWWW[[#This Row],[Total PoP ]],WWWW[[#This Row],['# Functional hand washing stations during reporting period]]*100)</f>
        <v>100</v>
      </c>
      <c r="EA178" s="421" t="str">
        <f>IF(OR(WWWW[[#This Row],['#_students at TLS_CFS]]="",WWWW[[#This Row],['#_students at TLS_CFS]]=0),"No","Yes")</f>
        <v>No</v>
      </c>
      <c r="EB17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78" s="566">
        <f>WWWW[[#This Row],[%_of_affected_people_surveyed_who_report_feeling_satistfied_with_the_latrine_design_and_sanitation_service]]*WWWW[[#This Row],[Total PoP ]]</f>
        <v>243</v>
      </c>
      <c r="ED178" s="566">
        <f>WWWW[[#This Row],[%_of_affected_people_surveyed_who_report_feeling_satistfied_with_the_water_point_design_and_water_service]]*WWWW[[#This Row],[Total PoP ]]</f>
        <v>162</v>
      </c>
      <c r="EE178" s="566">
        <f>WWWW[[#This Row],[%_of_complaints_received_that_result_in_timely_corrective_action_and_feedback_to_the_community]]*WWWW[[#This Row],[Total PoP ]]</f>
        <v>307.8</v>
      </c>
      <c r="EF17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307.8</v>
      </c>
      <c r="EG17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7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78" s="902" t="e">
        <f>VLOOKUP(WWWW[[#This Row],[Site Name]],SiteDB6[[Site Name]:[CCCM Management]],6,FALSE)</f>
        <v>#N/A</v>
      </c>
      <c r="EJ178" s="902" t="e">
        <f>VLOOKUP(WWWW[[#This Row],[Site Name]],SiteDB6[[Site Name]:[CCCM Focal Agency]],7,FALSE)</f>
        <v>#N/A</v>
      </c>
      <c r="EK178" s="902" t="s">
        <v>43</v>
      </c>
      <c r="EL178" s="902" t="s">
        <v>43</v>
      </c>
      <c r="EM178" s="902" t="s">
        <v>44</v>
      </c>
      <c r="EN178" s="902" t="e">
        <f>VLOOKUP(WWWW[[#This Row],[Site Name]],SiteDB6[[Site Name]:[Lat]],12,FALSE)</f>
        <v>#N/A</v>
      </c>
      <c r="EO178" s="902" t="e">
        <f>VLOOKUP(WWWW[[#This Row],[Site Name]],SiteDB6[[Site Name]:[Long]],13,FALSE)</f>
        <v>#N/A</v>
      </c>
      <c r="EP178" s="902" t="e">
        <f>VLOOKUP(WWWW[[#This Row],[Site Name]],SiteDB6[[Site Name]:[Pcode]],3,FALSE)</f>
        <v>#N/A</v>
      </c>
      <c r="EQ178" s="907" t="str">
        <f t="shared" si="2"/>
        <v>Covered</v>
      </c>
      <c r="ER178" s="907" t="s">
        <v>3126</v>
      </c>
      <c r="ES178" s="907" t="s">
        <v>3126</v>
      </c>
      <c r="ET178" s="902" t="e">
        <f>VLOOKUP(WWWW[[#This Row],[Site Name]],SiteDB6[[Site Name]:[Pop
(Kachin/Shan-CCCM as of May 2023)]],16,FALSE)</f>
        <v>#N/A</v>
      </c>
      <c r="EU178" s="902" t="e">
        <f>VLOOKUP(WWWW[[#This Row],[Site Name]],SiteDB6[[Site Name]:[Pop
(Kachin/Shan-CCCM as of May 2023)]],17,FALSE)</f>
        <v>#N/A</v>
      </c>
    </row>
    <row r="179" spans="1:151" hidden="1">
      <c r="A179" s="900" t="s">
        <v>2961</v>
      </c>
      <c r="B179" s="900" t="s">
        <v>242</v>
      </c>
      <c r="C179" s="901" t="s">
        <v>242</v>
      </c>
      <c r="D179" s="901" t="s">
        <v>3184</v>
      </c>
      <c r="E179" s="901" t="s">
        <v>37</v>
      </c>
      <c r="F179" s="901" t="s">
        <v>146</v>
      </c>
      <c r="G179" s="902" t="str">
        <f>VLOOKUP(WWWW[[#This Row],[Site Name]],SiteDB6[[Site Name]:[Location Type]],8,FALSE)</f>
        <v>Camp</v>
      </c>
      <c r="H179" s="901" t="s">
        <v>245</v>
      </c>
      <c r="I179" s="903">
        <v>136</v>
      </c>
      <c r="J179" s="903">
        <v>704</v>
      </c>
      <c r="K179" s="904">
        <v>44927</v>
      </c>
      <c r="L179" s="905">
        <v>45291</v>
      </c>
      <c r="M179" s="903"/>
      <c r="N179" s="903"/>
      <c r="O179" s="903">
        <v>1</v>
      </c>
      <c r="P179" s="903"/>
      <c r="Q179" s="906" t="s">
        <v>41</v>
      </c>
      <c r="R179" s="903">
        <v>2</v>
      </c>
      <c r="S179" s="903">
        <v>6</v>
      </c>
      <c r="T179" s="441"/>
      <c r="U179" s="903"/>
      <c r="V179" s="903"/>
      <c r="W179" s="903"/>
      <c r="X179" s="903"/>
      <c r="Y179" s="903"/>
      <c r="Z179" s="903"/>
      <c r="AA179" s="903">
        <v>12</v>
      </c>
      <c r="AB179" s="903"/>
      <c r="AC179" s="903">
        <v>1</v>
      </c>
      <c r="AD179" s="903"/>
      <c r="AE179" s="903">
        <v>3</v>
      </c>
      <c r="AF179" s="903"/>
      <c r="AG179" s="903">
        <v>1</v>
      </c>
      <c r="AH179" s="903"/>
      <c r="AI179" s="903"/>
      <c r="AJ179" s="903"/>
      <c r="AK179" s="903"/>
      <c r="AL179" s="903"/>
      <c r="AM179" s="903"/>
      <c r="AN179" s="903"/>
      <c r="AO179" s="441"/>
      <c r="AP179" s="907"/>
      <c r="AQ179" s="903">
        <v>15</v>
      </c>
      <c r="AR179" s="903"/>
      <c r="AS179" s="908" t="s">
        <v>3190</v>
      </c>
      <c r="AT179" s="903">
        <v>1</v>
      </c>
      <c r="AU179" s="903"/>
      <c r="AV179" s="903"/>
      <c r="AW179" s="903"/>
      <c r="AX179" s="903"/>
      <c r="AY179" s="902" t="s">
        <v>41</v>
      </c>
      <c r="AZ179" s="907" t="s">
        <v>137</v>
      </c>
      <c r="BA179" s="903"/>
      <c r="BB179" s="903"/>
      <c r="BC179" s="903"/>
      <c r="BD179" s="441">
        <v>0.5</v>
      </c>
      <c r="BE179" s="441"/>
      <c r="BF179" s="902"/>
      <c r="BG179" s="903">
        <v>2</v>
      </c>
      <c r="BH179" s="903"/>
      <c r="BI179" s="903"/>
      <c r="BJ179" s="903">
        <v>2</v>
      </c>
      <c r="BK179" s="903"/>
      <c r="BL179" s="903"/>
      <c r="BM179" s="903">
        <v>1</v>
      </c>
      <c r="BN179" s="903">
        <v>4</v>
      </c>
      <c r="BO179" s="903"/>
      <c r="BP179" s="902" t="s">
        <v>136</v>
      </c>
      <c r="BQ179" s="909">
        <v>1</v>
      </c>
      <c r="BR179" s="908">
        <v>0.7</v>
      </c>
      <c r="BS179" s="902"/>
      <c r="BT179" s="416">
        <v>0.8</v>
      </c>
      <c r="BU179" s="416">
        <v>0.8</v>
      </c>
      <c r="BV179" s="418">
        <v>30</v>
      </c>
      <c r="BW179" s="416">
        <v>0.9</v>
      </c>
      <c r="BX179" s="441"/>
      <c r="BY179" s="441"/>
      <c r="BZ179" s="441"/>
      <c r="CA179" s="441"/>
      <c r="CB179" s="441"/>
      <c r="CC179" s="693"/>
      <c r="CD179" s="441"/>
      <c r="CE179" s="910" t="str">
        <f>IFERROR(WWWW[[#This Row],['#_Water sources passed]]/WWWW[[#This Row],['#_Water sources tested for fecal coliform ]],"no test")</f>
        <v>no test</v>
      </c>
      <c r="CF179" s="908" t="str">
        <f>IFERROR(WWWW[[#This Row],['#_Household passed]]/WWWW[[#This Row],['#_Household water samples tested for fecal coliform]],"no test")</f>
        <v>no test</v>
      </c>
      <c r="CG179" s="909" t="str">
        <f>IF(AND(WWWW[[#This Row],[% of water sources passed]]="no test",WWWW[[#This Row],[% Household passed]]="no test"),"No Test","Tested")</f>
        <v>No Test</v>
      </c>
      <c r="CH179" s="909">
        <f>WWWW[[#This Row],['#_Constructed/existing protected hand dug well]]-WWWW[[#This Row],['#_Non-functional protected hand dug well]]</f>
        <v>0</v>
      </c>
      <c r="CI179" s="909">
        <f>(WWWW[[#This Row],['#_Constructed/Existing tube wells/boreholes/handpumps_WASH_agency]]+WWWW[[#This Row],['#_Non-Cluster partner water tube-wells/boreholes/handpumps]])-WWWW[[#This Row],['#_Non-functional tube wells/boreholes/handpumps]]</f>
        <v>0</v>
      </c>
      <c r="CJ179" s="909">
        <f>WWWW[[#This Row],['#_Constructed/Existingwater storage tank with gravity fed reticulation system]]-WWWW[[#This Row],['#_Non-functional storage tank gravity fed reticulation system]]</f>
        <v>12</v>
      </c>
      <c r="CK179" s="909">
        <f>(WWWW[[#This Row],['#_Water_Liters_supplied_by_Water boating or water trucking]]/90)/15</f>
        <v>0</v>
      </c>
      <c r="CL179" s="909">
        <f>WWWW[[#This Row],['#_Water_Liters_from_Constructed/Existing water distribution system from river or natural spring]]/90/15</f>
        <v>0</v>
      </c>
      <c r="CM179" s="417">
        <f>IF(WWWW[[#This Row],['#_of water points in TLS/CFS]]*500&gt;WWWW[[#This Row],[Total PoP ]],WWWW[[#This Row],[Total PoP ]],WWWW[[#This Row],['#_of water points in TLS/CFS]]*500)</f>
        <v>0</v>
      </c>
      <c r="CN179" s="417">
        <f>IF(WWWW[[#This Row],['#_of water points in THF]]*500&gt;WWWW[[#This Row],[Total PoP ]],WWWW[[#This Row],[Total PoP ]],WWWW[[#This Row],['#_of water points in THF]]*500)</f>
        <v>0</v>
      </c>
      <c r="CO179" s="417"/>
      <c r="CP179"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79"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79" s="908">
        <f>IF(WWWW[[#This Row],[Location Type 1]]="Village",WWWW[[#This Row],[Access to safe drinking water for Village]],WWWW[[#This Row],[Access to safe drinking water for Camp]])</f>
        <v>1</v>
      </c>
      <c r="CS179" s="906">
        <f>WWWW[[#This Row],[%Equitable and continuous access to sufficient quantity of safe drinking water]]*WWWW[[#This Row],[Total PoP ]]</f>
        <v>704</v>
      </c>
      <c r="CT179" s="908">
        <f>IF((WWWW[[#This Row],['#_Constructed/Existing protected/fenced ponds]]*250)/WWWW[[#This Row],[Total PoP ]]&gt;1,1,(WWWW[[#This Row],['#_Constructed/Existing protected/fenced ponds]]*250)/WWWW[[#This Row],[Total PoP ]])</f>
        <v>1</v>
      </c>
      <c r="CU179" s="906">
        <f>WWWW[[#This Row],[% Access to unimproved water points]]*WWWW[[#This Row],[Total PoP ]]</f>
        <v>704</v>
      </c>
      <c r="CV179"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79"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704</v>
      </c>
      <c r="CX179" s="906">
        <f>WWWW[[#This Row],[HRP1]]/500</f>
        <v>1.4079999999999999</v>
      </c>
      <c r="CY179" s="911">
        <f>1-WWWW[[#This Row],[% Equitable and continuous access to sufficient quantity of domestic water]]</f>
        <v>0</v>
      </c>
      <c r="CZ179" s="906">
        <f>WWWW[[#This Row],[%equitable and continuous access to sufficient quantity of safe drinking and domestic water''s GAP]]*WWWW[[#This Row],[Total PoP ]]</f>
        <v>0</v>
      </c>
      <c r="DA179" s="909">
        <f>IF(WWWW[[#This Row],[Total required water points]]-WWWW[[#This Row],['#Water points coverage]]&lt;0,0,WWWW[[#This Row],[Total required water points]]-WWWW[[#This Row],['#Water points coverage]])</f>
        <v>0</v>
      </c>
      <c r="DB179" s="909">
        <f>ROUND(IF(WWWW[[#This Row],[Total PoP ]]&lt;500,1,WWWW[[#This Row],[Total PoP ]]/500),0)</f>
        <v>1</v>
      </c>
      <c r="DC179" s="909">
        <f>(WWWW[[#This Row],['#_Constructed latrines_by_WASHAgencies]]+WWWW[[#This Row],['#_Non Cluster partner latrines]])-WWWW[[#This Row],['#_Non-functional latrines]]</f>
        <v>14</v>
      </c>
      <c r="DD179" s="615">
        <f>WWWW[[#This Row],[HRP2]]/WWWW[[#This Row],[Total PoP ]]</f>
        <v>0.39772727272727271</v>
      </c>
      <c r="DE179"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280</v>
      </c>
      <c r="DF179"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79"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79" s="417">
        <f>IF(WWWW[[#This Row],['# of functional latrines in THF supported by WASH partners during the reporting period2]]="",0,WWWW[[#This Row],['# of functional latrines in THF supported by WASH partners during the reporting period2]]*50)</f>
        <v>25</v>
      </c>
      <c r="DI179" s="909">
        <f>ROUND(IF(WWWW[[#This Row],[Location Type 1]]="camp",WWWW[[#This Row],[Total PoP ]]/20,IF(WWWW[[#This Row],[Location Type 1]]="Temporary Location",WWWW[[#This Row],[Total PoP ]]/50,(WWWW[[#This Row],[Total PoP ]]/6))),0)</f>
        <v>35</v>
      </c>
      <c r="DJ179" s="909">
        <f>IF(WWWW[[#This Row],[Total required Latrines]]-(WWWW[[#This Row],['#_Constructed latrines_by_WASHAgencies]]+WWWW[[#This Row],['#_Non Cluster partner latrines]])&lt;0,0,WWWW[[#This Row],[Total required Latrines]]-(WWWW[[#This Row],['#_Constructed latrines_by_WASHAgencies]]+WWWW[[#This Row],['#_Non Cluster partner latrines]]))</f>
        <v>20</v>
      </c>
      <c r="DK179" s="911">
        <f>1-WWWW[[#This Row],[% people access to functioning Latrine]]</f>
        <v>0.60227272727272729</v>
      </c>
      <c r="DL179" s="910">
        <f>IF(OR(WWWW[[#This Row],['#_Non-functional latrines]]="",WWWW[[#This Row],['#_Non-functional latrines]]=0),0,WWWW[[#This Row],['#_Non-functional latrines]]/(WWWW[[#This Row],['#_Constructed latrines_by_WASHAgencies]]+WWWW[[#This Row],['#_Non Cluster partner latrines]]))</f>
        <v>6.6666666666666666E-2</v>
      </c>
      <c r="DM179" s="906">
        <f>IF(500*(WWWW[[#This Row],['#_male hygiene promoters]]+WWWW[[#This Row],['#_female hygiene promoters]])&gt;WWWW[[#This Row],[Total PoP ]],WWWW[[#This Row],[Total PoP ]],500*(WWWW[[#This Row],['#_male hygiene promoters]]+WWWW[[#This Row],['#_female hygiene promoters]]))</f>
        <v>500</v>
      </c>
      <c r="DN179"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v>
      </c>
      <c r="DO179"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79" s="909">
        <f>IF(WWWW[[#This Row],['# People with access to soap]]&gt;WWWW[[#This Row],['# People with access to Sanity Pads]],WWWW[[#This Row],['# People with access to soap]],WWWW[[#This Row],['# People with access to Sanity Pads]])</f>
        <v>20</v>
      </c>
      <c r="DQ179" s="909">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179" s="911">
        <f>IF(WWWW[[#This Row],[HRP3]]/WWWW[[#This Row],[Total PoP ]]&gt;1,1,WWWW[[#This Row],[HRP3]]/WWWW[[#This Row],[Total PoP ]])</f>
        <v>0.71022727272727271</v>
      </c>
      <c r="DS179" s="910">
        <f>1-WWWW[[#This Row],[Hygiene Coverage%]]</f>
        <v>0.28977272727272729</v>
      </c>
      <c r="DT179" s="908">
        <f>WWWW[[#This Row],['# people reached by regular dedicated hygiene promotion_5]]/WWWW[[#This Row],[Total PoP ]]</f>
        <v>0.71022727272727271</v>
      </c>
      <c r="DU179"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0.11764705882352941</v>
      </c>
      <c r="DV179"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79" s="909">
        <f>WWWW[[#This Row],['#_Constructed/Existing hand washing stations]]-WWWW[[#This Row],['#_Non-Functional_hand_washing_stations]]</f>
        <v>2</v>
      </c>
      <c r="DX179" s="906">
        <f>IF(WWWW[[#This Row],['# Functional hand washing stations during reporting period]]*20&gt;WWWW[[#This Row],[Total HH]],WWWW[[#This Row],[Total HH]],WWWW[[#This Row],['# Functional hand washing stations during reporting period]]*20)</f>
        <v>40</v>
      </c>
      <c r="DY179" s="906">
        <f>IF(WWWW[[#This Row],[Is sufficient soap available for TLS? (Yes/No)]]="yes",WWWW[[#This Row],['#_Constructed/Existing hand washing stations at TLS/CFS/THF]],0)</f>
        <v>0</v>
      </c>
      <c r="DZ179" s="421">
        <f>IF(WWWW[[#This Row],['# Functional hand washing stations during reporting period]]*100&gt;WWWW[[#This Row],[Total PoP ]],WWWW[[#This Row],[Total PoP ]],WWWW[[#This Row],['# Functional hand washing stations during reporting period]]*100)</f>
        <v>200</v>
      </c>
      <c r="EA179" s="421" t="str">
        <f>IF(OR(WWWW[[#This Row],['#_students at TLS_CFS]]="",WWWW[[#This Row],['#_students at TLS_CFS]]=0),"No","Yes")</f>
        <v>No</v>
      </c>
      <c r="EB179" s="615">
        <f>IF(WWWW[[#This Row],['#_of_affected_people_surveyed_who_report_feeling_informed_about_the_different_WASH_services_available_to_them]]="","",WWWW[[#This Row],['#_of_affected_people_surveyed_who_report_feeling_informed_about_the_different_WASH_services_available_to_them]]/WWWW[[#This Row],[Total PoP ]])</f>
        <v>4.261363636363636E-2</v>
      </c>
      <c r="EC179" s="566">
        <f>WWWW[[#This Row],[%_of_affected_people_surveyed_who_report_feeling_satistfied_with_the_latrine_design_and_sanitation_service]]*WWWW[[#This Row],[Total PoP ]]</f>
        <v>563.20000000000005</v>
      </c>
      <c r="ED179" s="566">
        <f>WWWW[[#This Row],[%_of_affected_people_surveyed_who_report_feeling_satistfied_with_the_water_point_design_and_water_service]]*WWWW[[#This Row],[Total PoP ]]</f>
        <v>563.20000000000005</v>
      </c>
      <c r="EE179" s="566">
        <f>WWWW[[#This Row],[%_of_complaints_received_that_result_in_timely_corrective_action_and_feedback_to_the_community]]*WWWW[[#This Row],[Total PoP ]]</f>
        <v>633.6</v>
      </c>
      <c r="EF17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633.6</v>
      </c>
      <c r="EG17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7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25</v>
      </c>
      <c r="EI179" s="902" t="str">
        <f>VLOOKUP(WWWW[[#This Row],[Site Name]],SiteDB6[[Site Name]:[CCCM Management]],6,FALSE)</f>
        <v>Yes</v>
      </c>
      <c r="EJ179" s="902" t="str">
        <f>VLOOKUP(WWWW[[#This Row],[Site Name]],SiteDB6[[Site Name]:[CCCM Focal Agency]],7,FALSE)</f>
        <v>Shalom</v>
      </c>
      <c r="EK179" s="902" t="str">
        <f>VLOOKUP(WWWW[[#This Row],[Site Name]],SiteDB6[[Site Name]:[Location Type 1]],9,FALSE)</f>
        <v>Camp</v>
      </c>
      <c r="EL179" s="902" t="str">
        <f>VLOOKUP(WWWW[[#This Row],[Site Name]],SiteDB6[[Site Name]:[Type of Accommodation]],10,FALSE)</f>
        <v>Camp</v>
      </c>
      <c r="EM179" s="902" t="str">
        <f>VLOOKUP(WWWW[[#This Row],[Site Name]],SiteDB6[[Site Name]:[Ethnic or GCA/NGCA]],11,FALSE)</f>
        <v>GCA</v>
      </c>
      <c r="EN179" s="902">
        <f>VLOOKUP(WWWW[[#This Row],[Site Name]],SiteDB6[[Site Name]:[Lat]],12,FALSE)</f>
        <v>25.889410000000002</v>
      </c>
      <c r="EO179" s="902">
        <f>VLOOKUP(WWWW[[#This Row],[Site Name]],SiteDB6[[Site Name]:[Long]],13,FALSE)</f>
        <v>98.131550000000004</v>
      </c>
      <c r="EP179" s="902" t="str">
        <f>VLOOKUP(WWWW[[#This Row],[Site Name]],SiteDB6[[Site Name]:[Pcode]],3,FALSE)</f>
        <v>MMR001CMP042</v>
      </c>
      <c r="EQ179" s="907" t="str">
        <f t="shared" si="2"/>
        <v>Covered</v>
      </c>
      <c r="ER179" s="907" t="s">
        <v>3126</v>
      </c>
      <c r="ES179" s="907" t="s">
        <v>3126</v>
      </c>
      <c r="ET179" s="902">
        <f>VLOOKUP(WWWW[[#This Row],[Site Name]],SiteDB6[[Site Name]:[Pop
(Kachin/Shan-CCCM as of May 2023)]],16,FALSE)</f>
        <v>137</v>
      </c>
      <c r="EU179" s="902">
        <f>VLOOKUP(WWWW[[#This Row],[Site Name]],SiteDB6[[Site Name]:[Pop
(Kachin/Shan-CCCM as of May 2023)]],17,FALSE)</f>
        <v>713</v>
      </c>
    </row>
    <row r="180" spans="1:151" hidden="1">
      <c r="A180" s="900" t="s">
        <v>2961</v>
      </c>
      <c r="B180" s="900" t="s">
        <v>242</v>
      </c>
      <c r="C180" s="901" t="s">
        <v>242</v>
      </c>
      <c r="D180" s="901" t="s">
        <v>3184</v>
      </c>
      <c r="E180" s="901" t="s">
        <v>37</v>
      </c>
      <c r="F180" s="901" t="s">
        <v>146</v>
      </c>
      <c r="G180" s="902" t="str">
        <f>VLOOKUP(WWWW[[#This Row],[Site Name]],SiteDB6[[Site Name]:[Location Type]],8,FALSE)</f>
        <v>Camp</v>
      </c>
      <c r="H180" s="901" t="s">
        <v>247</v>
      </c>
      <c r="I180" s="903">
        <v>201</v>
      </c>
      <c r="J180" s="903">
        <v>885</v>
      </c>
      <c r="K180" s="904">
        <v>44927</v>
      </c>
      <c r="L180" s="905">
        <v>45291</v>
      </c>
      <c r="M180" s="903">
        <v>400</v>
      </c>
      <c r="N180" s="903"/>
      <c r="O180" s="903">
        <v>1</v>
      </c>
      <c r="P180" s="903"/>
      <c r="Q180" s="906" t="s">
        <v>41</v>
      </c>
      <c r="R180" s="903">
        <v>4</v>
      </c>
      <c r="S180" s="903">
        <v>2</v>
      </c>
      <c r="T180" s="441">
        <v>1</v>
      </c>
      <c r="U180" s="903"/>
      <c r="V180" s="903"/>
      <c r="W180" s="903"/>
      <c r="X180" s="903"/>
      <c r="Y180" s="903"/>
      <c r="Z180" s="903"/>
      <c r="AA180" s="903">
        <v>3</v>
      </c>
      <c r="AB180" s="903"/>
      <c r="AC180" s="903">
        <v>3</v>
      </c>
      <c r="AD180" s="903"/>
      <c r="AE180" s="903">
        <v>14</v>
      </c>
      <c r="AF180" s="903"/>
      <c r="AG180" s="903">
        <v>10</v>
      </c>
      <c r="AH180" s="903"/>
      <c r="AI180" s="903"/>
      <c r="AJ180" s="903"/>
      <c r="AK180" s="903"/>
      <c r="AL180" s="903"/>
      <c r="AM180" s="903">
        <v>2</v>
      </c>
      <c r="AN180" s="903">
        <v>2</v>
      </c>
      <c r="AO180" s="441"/>
      <c r="AP180" s="907"/>
      <c r="AQ180" s="903">
        <v>32</v>
      </c>
      <c r="AR180" s="903">
        <v>8</v>
      </c>
      <c r="AS180" s="908" t="s">
        <v>2885</v>
      </c>
      <c r="AT180" s="903">
        <v>10</v>
      </c>
      <c r="AU180" s="903">
        <v>3</v>
      </c>
      <c r="AV180" s="903">
        <v>2</v>
      </c>
      <c r="AW180" s="903">
        <v>11.35624</v>
      </c>
      <c r="AX180" s="903">
        <v>50</v>
      </c>
      <c r="AY180" s="902" t="s">
        <v>3126</v>
      </c>
      <c r="AZ180" s="907" t="s">
        <v>137</v>
      </c>
      <c r="BA180" s="903"/>
      <c r="BB180" s="903"/>
      <c r="BC180" s="903"/>
      <c r="BD180" s="441"/>
      <c r="BE180" s="441"/>
      <c r="BF180" s="902"/>
      <c r="BG180" s="903">
        <v>1</v>
      </c>
      <c r="BH180" s="903"/>
      <c r="BI180" s="903"/>
      <c r="BJ180" s="903">
        <v>1</v>
      </c>
      <c r="BK180" s="903"/>
      <c r="BL180" s="903">
        <v>1</v>
      </c>
      <c r="BM180" s="903">
        <v>1</v>
      </c>
      <c r="BN180" s="903">
        <v>50</v>
      </c>
      <c r="BO180" s="903">
        <v>295</v>
      </c>
      <c r="BP180" s="902" t="s">
        <v>41</v>
      </c>
      <c r="BQ180" s="909">
        <v>1</v>
      </c>
      <c r="BR180" s="908">
        <v>0.5</v>
      </c>
      <c r="BS180" s="902"/>
      <c r="BT180" s="416">
        <v>0.8</v>
      </c>
      <c r="BU180" s="416">
        <v>0.8</v>
      </c>
      <c r="BV180" s="418"/>
      <c r="BW180" s="416">
        <v>1</v>
      </c>
      <c r="BX180" s="441"/>
      <c r="BY180" s="441"/>
      <c r="BZ180" s="441"/>
      <c r="CA180" s="441"/>
      <c r="CB180" s="441"/>
      <c r="CC180" s="693"/>
      <c r="CD180" s="441"/>
      <c r="CE180" s="910" t="str">
        <f>IFERROR(WWWW[[#This Row],['#_Water sources passed]]/WWWW[[#This Row],['#_Water sources tested for fecal coliform ]],"no test")</f>
        <v>no test</v>
      </c>
      <c r="CF180" s="908" t="str">
        <f>IFERROR(WWWW[[#This Row],['#_Household passed]]/WWWW[[#This Row],['#_Household water samples tested for fecal coliform]],"no test")</f>
        <v>no test</v>
      </c>
      <c r="CG180" s="909" t="str">
        <f>IF(AND(WWWW[[#This Row],[% of water sources passed]]="no test",WWWW[[#This Row],[% Household passed]]="no test"),"No Test","Tested")</f>
        <v>No Test</v>
      </c>
      <c r="CH180" s="909">
        <f>WWWW[[#This Row],['#_Constructed/existing protected hand dug well]]-WWWW[[#This Row],['#_Non-functional protected hand dug well]]</f>
        <v>1</v>
      </c>
      <c r="CI180" s="909">
        <f>(WWWW[[#This Row],['#_Constructed/Existing tube wells/boreholes/handpumps_WASH_agency]]+WWWW[[#This Row],['#_Non-Cluster partner water tube-wells/boreholes/handpumps]])-WWWW[[#This Row],['#_Non-functional tube wells/boreholes/handpumps]]</f>
        <v>0</v>
      </c>
      <c r="CJ180" s="909">
        <f>WWWW[[#This Row],['#_Constructed/Existingwater storage tank with gravity fed reticulation system]]-WWWW[[#This Row],['#_Non-functional storage tank gravity fed reticulation system]]</f>
        <v>3</v>
      </c>
      <c r="CK180" s="909">
        <f>(WWWW[[#This Row],['#_Water_Liters_supplied_by_Water boating or water trucking]]/90)/15</f>
        <v>0</v>
      </c>
      <c r="CL180" s="909">
        <f>WWWW[[#This Row],['#_Water_Liters_from_Constructed/Existing water distribution system from river or natural spring]]/90/15</f>
        <v>0</v>
      </c>
      <c r="CM180" s="417">
        <f>IF(WWWW[[#This Row],['#_of water points in TLS/CFS]]*500&gt;WWWW[[#This Row],[Total PoP ]],WWWW[[#This Row],[Total PoP ]],WWWW[[#This Row],['#_of water points in TLS/CFS]]*500)</f>
        <v>885</v>
      </c>
      <c r="CN180" s="417">
        <f>IF(WWWW[[#This Row],['#_of water points in THF]]*500&gt;WWWW[[#This Row],[Total PoP ]],WWWW[[#This Row],[Total PoP ]],WWWW[[#This Row],['#_of water points in THF]]*500)</f>
        <v>0</v>
      </c>
      <c r="CO180" s="417"/>
      <c r="CP180"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0.67796610169491522</v>
      </c>
      <c r="CQ180"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0.50847457627118642</v>
      </c>
      <c r="CR180" s="908">
        <f>IF(WWWW[[#This Row],[Location Type 1]]="Village",WWWW[[#This Row],[Access to safe drinking water for Village]],WWWW[[#This Row],[Access to safe drinking water for Camp]])</f>
        <v>0.67796610169491522</v>
      </c>
      <c r="CS180" s="906">
        <f>WWWW[[#This Row],[%Equitable and continuous access to sufficient quantity of safe drinking water]]*WWWW[[#This Row],[Total PoP ]]</f>
        <v>600</v>
      </c>
      <c r="CT180" s="908">
        <f>IF((WWWW[[#This Row],['#_Constructed/Existing protected/fenced ponds]]*250)/WWWW[[#This Row],[Total PoP ]]&gt;1,1,(WWWW[[#This Row],['#_Constructed/Existing protected/fenced ponds]]*250)/WWWW[[#This Row],[Total PoP ]])</f>
        <v>1</v>
      </c>
      <c r="CU180" s="906">
        <f>WWWW[[#This Row],[% Access to unimproved water points]]*WWWW[[#This Row],[Total PoP ]]</f>
        <v>885</v>
      </c>
      <c r="CV180"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80"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885</v>
      </c>
      <c r="CX180" s="906">
        <f>WWWW[[#This Row],[HRP1]]/500</f>
        <v>1.77</v>
      </c>
      <c r="CY180" s="911">
        <f>1-WWWW[[#This Row],[% Equitable and continuous access to sufficient quantity of domestic water]]</f>
        <v>0</v>
      </c>
      <c r="CZ180" s="906">
        <f>WWWW[[#This Row],[%equitable and continuous access to sufficient quantity of safe drinking and domestic water''s GAP]]*WWWW[[#This Row],[Total PoP ]]</f>
        <v>0</v>
      </c>
      <c r="DA180" s="909">
        <f>IF(WWWW[[#This Row],[Total required water points]]-WWWW[[#This Row],['#Water points coverage]]&lt;0,0,WWWW[[#This Row],[Total required water points]]-WWWW[[#This Row],['#Water points coverage]])</f>
        <v>0.22999999999999998</v>
      </c>
      <c r="DB180" s="909">
        <f>ROUND(IF(WWWW[[#This Row],[Total PoP ]]&lt;500,1,WWWW[[#This Row],[Total PoP ]]/500),0)</f>
        <v>2</v>
      </c>
      <c r="DC180" s="909">
        <f>(WWWW[[#This Row],['#_Constructed latrines_by_WASHAgencies]]+WWWW[[#This Row],['#_Non Cluster partner latrines]])-WWWW[[#This Row],['#_Non-functional latrines]]</f>
        <v>30</v>
      </c>
      <c r="DD180" s="615">
        <f>WWWW[[#This Row],[HRP2]]/WWWW[[#This Row],[Total PoP ]]</f>
        <v>0.67796610169491522</v>
      </c>
      <c r="DE180"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600</v>
      </c>
      <c r="DF180"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DG180"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80" s="417">
        <f>IF(WWWW[[#This Row],['# of functional latrines in THF supported by WASH partners during the reporting period2]]="",0,WWWW[[#This Row],['# of functional latrines in THF supported by WASH partners during the reporting period2]]*50)</f>
        <v>0</v>
      </c>
      <c r="DI180" s="909">
        <f>ROUND(IF(WWWW[[#This Row],[Location Type 1]]="camp",WWWW[[#This Row],[Total PoP ]]/20,IF(WWWW[[#This Row],[Location Type 1]]="Temporary Location",WWWW[[#This Row],[Total PoP ]]/50,(WWWW[[#This Row],[Total PoP ]]/6))),0)</f>
        <v>44</v>
      </c>
      <c r="DJ180" s="909">
        <f>IF(WWWW[[#This Row],[Total required Latrines]]-(WWWW[[#This Row],['#_Constructed latrines_by_WASHAgencies]]+WWWW[[#This Row],['#_Non Cluster partner latrines]])&lt;0,0,WWWW[[#This Row],[Total required Latrines]]-(WWWW[[#This Row],['#_Constructed latrines_by_WASHAgencies]]+WWWW[[#This Row],['#_Non Cluster partner latrines]]))</f>
        <v>4</v>
      </c>
      <c r="DK180" s="911">
        <f>1-WWWW[[#This Row],[% people access to functioning Latrine]]</f>
        <v>0.32203389830508478</v>
      </c>
      <c r="DL180" s="910">
        <f>IF(OR(WWWW[[#This Row],['#_Non-functional latrines]]="",WWWW[[#This Row],['#_Non-functional latrines]]=0),0,WWWW[[#This Row],['#_Non-functional latrines]]/(WWWW[[#This Row],['#_Constructed latrines_by_WASHAgencies]]+WWWW[[#This Row],['#_Non Cluster partner latrines]]))</f>
        <v>0.25</v>
      </c>
      <c r="DM180" s="906">
        <f>IF(500*(WWWW[[#This Row],['#_male hygiene promoters]]+WWWW[[#This Row],['#_female hygiene promoters]])&gt;WWWW[[#This Row],[Total PoP ]],WWWW[[#This Row],[Total PoP ]],500*(WWWW[[#This Row],['#_male hygiene promoters]]+WWWW[[#This Row],['#_female hygiene promoters]]))</f>
        <v>885</v>
      </c>
      <c r="DN180"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250</v>
      </c>
      <c r="DO180"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295</v>
      </c>
      <c r="DP180" s="909">
        <f>IF(WWWW[[#This Row],['# People with access to soap]]&gt;WWWW[[#This Row],['# People with access to Sanity Pads]],WWWW[[#This Row],['# People with access to soap]],WWWW[[#This Row],['# People with access to Sanity Pads]])</f>
        <v>295</v>
      </c>
      <c r="DQ180" s="909">
        <f>IF(WWWW[[#This Row],['# people reached by regular dedicated hygiene promotion_5]]&gt;WWWW[[#This Row],['# People received regular supply of hygiene items_6]],WWWW[[#This Row],['# people reached by regular dedicated hygiene promotion_5]],WWWW[[#This Row],['# People received regular supply of hygiene items_6]])</f>
        <v>885</v>
      </c>
      <c r="DR180" s="911">
        <f>IF(WWWW[[#This Row],[HRP3]]/WWWW[[#This Row],[Total PoP ]]&gt;1,1,WWWW[[#This Row],[HRP3]]/WWWW[[#This Row],[Total PoP ]])</f>
        <v>1</v>
      </c>
      <c r="DS180" s="910">
        <f>1-WWWW[[#This Row],[Hygiene Coverage%]]</f>
        <v>0</v>
      </c>
      <c r="DT180" s="908">
        <f>WWWW[[#This Row],['# people reached by regular dedicated hygiene promotion_5]]/WWWW[[#This Row],[Total PoP ]]</f>
        <v>1</v>
      </c>
      <c r="DU180"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0.99502487562189057</v>
      </c>
      <c r="DV180"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180" s="909">
        <f>WWWW[[#This Row],['#_Constructed/Existing hand washing stations]]-WWWW[[#This Row],['#_Non-Functional_hand_washing_stations]]</f>
        <v>1</v>
      </c>
      <c r="DX180" s="906">
        <f>IF(WWWW[[#This Row],['# Functional hand washing stations during reporting period]]*20&gt;WWWW[[#This Row],[Total HH]],WWWW[[#This Row],[Total HH]],WWWW[[#This Row],['# Functional hand washing stations during reporting period]]*20)</f>
        <v>20</v>
      </c>
      <c r="DY180" s="906">
        <f>IF(WWWW[[#This Row],[Is sufficient soap available for TLS? (Yes/No)]]="yes",WWWW[[#This Row],['#_Constructed/Existing hand washing stations at TLS/CFS/THF]],0)</f>
        <v>2</v>
      </c>
      <c r="DZ180" s="421">
        <f>IF(WWWW[[#This Row],['# Functional hand washing stations during reporting period]]*100&gt;WWWW[[#This Row],[Total PoP ]],WWWW[[#This Row],[Total PoP ]],WWWW[[#This Row],['# Functional hand washing stations during reporting period]]*100)</f>
        <v>100</v>
      </c>
      <c r="EA180" s="421" t="str">
        <f>IF(OR(WWWW[[#This Row],['#_students at TLS_CFS]]="",WWWW[[#This Row],['#_students at TLS_CFS]]=0),"No","Yes")</f>
        <v>Yes</v>
      </c>
      <c r="EB18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80" s="566">
        <f>WWWW[[#This Row],[%_of_affected_people_surveyed_who_report_feeling_satistfied_with_the_latrine_design_and_sanitation_service]]*WWWW[[#This Row],[Total PoP ]]</f>
        <v>708</v>
      </c>
      <c r="ED180" s="566">
        <f>WWWW[[#This Row],[%_of_affected_people_surveyed_who_report_feeling_satistfied_with_the_water_point_design_and_water_service]]*WWWW[[#This Row],[Total PoP ]]</f>
        <v>708</v>
      </c>
      <c r="EE180" s="566">
        <f>WWWW[[#This Row],[%_of_complaints_received_that_result_in_timely_corrective_action_and_feedback_to_the_community]]*WWWW[[#This Row],[Total PoP ]]</f>
        <v>885</v>
      </c>
      <c r="EF18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885</v>
      </c>
      <c r="EG18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885</v>
      </c>
      <c r="EH18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80" s="902" t="str">
        <f>VLOOKUP(WWWW[[#This Row],[Site Name]],SiteDB6[[Site Name]:[CCCM Management]],6,FALSE)</f>
        <v>Yes</v>
      </c>
      <c r="EJ180" s="902" t="str">
        <f>VLOOKUP(WWWW[[#This Row],[Site Name]],SiteDB6[[Site Name]:[CCCM Focal Agency]],7,FALSE)</f>
        <v>Shalom</v>
      </c>
      <c r="EK180" s="902" t="str">
        <f>VLOOKUP(WWWW[[#This Row],[Site Name]],SiteDB6[[Site Name]:[Location Type 1]],9,FALSE)</f>
        <v>Camp</v>
      </c>
      <c r="EL180" s="902" t="str">
        <f>VLOOKUP(WWWW[[#This Row],[Site Name]],SiteDB6[[Site Name]:[Type of Accommodation]],10,FALSE)</f>
        <v>Camp</v>
      </c>
      <c r="EM180" s="902" t="str">
        <f>VLOOKUP(WWWW[[#This Row],[Site Name]],SiteDB6[[Site Name]:[Ethnic or GCA/NGCA]],11,FALSE)</f>
        <v>GCA</v>
      </c>
      <c r="EN180" s="902">
        <f>VLOOKUP(WWWW[[#This Row],[Site Name]],SiteDB6[[Site Name]:[Lat]],12,FALSE)</f>
        <v>25.887339999999998</v>
      </c>
      <c r="EO180" s="902">
        <f>VLOOKUP(WWWW[[#This Row],[Site Name]],SiteDB6[[Site Name]:[Long]],13,FALSE)</f>
        <v>98.129990000000006</v>
      </c>
      <c r="EP180" s="902" t="str">
        <f>VLOOKUP(WWWW[[#This Row],[Site Name]],SiteDB6[[Site Name]:[Pcode]],3,FALSE)</f>
        <v>MMR001CMP195</v>
      </c>
      <c r="EQ180" s="907" t="str">
        <f t="shared" si="2"/>
        <v>Covered</v>
      </c>
      <c r="ER180" s="907" t="s">
        <v>3126</v>
      </c>
      <c r="ES180" s="907" t="s">
        <v>3126</v>
      </c>
      <c r="ET180" s="902">
        <f>VLOOKUP(WWWW[[#This Row],[Site Name]],SiteDB6[[Site Name]:[Pop
(Kachin/Shan-CCCM as of May 2023)]],16,FALSE)</f>
        <v>179</v>
      </c>
      <c r="EU180" s="902">
        <f>VLOOKUP(WWWW[[#This Row],[Site Name]],SiteDB6[[Site Name]:[Pop
(Kachin/Shan-CCCM as of May 2023)]],17,FALSE)</f>
        <v>860</v>
      </c>
    </row>
    <row r="181" spans="1:151" hidden="1">
      <c r="A181" s="900" t="s">
        <v>2961</v>
      </c>
      <c r="B181" s="900" t="s">
        <v>242</v>
      </c>
      <c r="C181" s="901" t="s">
        <v>242</v>
      </c>
      <c r="D181" s="901" t="s">
        <v>3184</v>
      </c>
      <c r="E181" s="901" t="s">
        <v>37</v>
      </c>
      <c r="F181" s="901" t="s">
        <v>148</v>
      </c>
      <c r="G181" s="902" t="str">
        <f>VLOOKUP(WWWW[[#This Row],[Site Name]],SiteDB6[[Site Name]:[Location Type]],8,FALSE)</f>
        <v>Camp</v>
      </c>
      <c r="H181" s="901" t="s">
        <v>248</v>
      </c>
      <c r="I181" s="903">
        <v>96</v>
      </c>
      <c r="J181" s="903">
        <v>446</v>
      </c>
      <c r="K181" s="904">
        <v>44927</v>
      </c>
      <c r="L181" s="905">
        <v>45291</v>
      </c>
      <c r="M181" s="903">
        <v>50</v>
      </c>
      <c r="N181" s="903"/>
      <c r="O181" s="903">
        <v>1</v>
      </c>
      <c r="P181" s="903">
        <v>1</v>
      </c>
      <c r="Q181" s="906" t="s">
        <v>136</v>
      </c>
      <c r="R181" s="903">
        <v>5</v>
      </c>
      <c r="S181" s="903">
        <v>5</v>
      </c>
      <c r="T181" s="441">
        <v>3</v>
      </c>
      <c r="U181" s="903"/>
      <c r="V181" s="903"/>
      <c r="W181" s="903"/>
      <c r="X181" s="903"/>
      <c r="Y181" s="903"/>
      <c r="Z181" s="903"/>
      <c r="AA181" s="903">
        <v>4</v>
      </c>
      <c r="AB181" s="903"/>
      <c r="AC181" s="903">
        <v>5.6781180000000004</v>
      </c>
      <c r="AD181" s="903"/>
      <c r="AE181" s="903"/>
      <c r="AF181" s="903"/>
      <c r="AG181" s="903"/>
      <c r="AH181" s="903">
        <v>1</v>
      </c>
      <c r="AI181" s="903"/>
      <c r="AJ181" s="903"/>
      <c r="AK181" s="903"/>
      <c r="AL181" s="903"/>
      <c r="AM181" s="903"/>
      <c r="AN181" s="903"/>
      <c r="AO181" s="441"/>
      <c r="AP181" s="907"/>
      <c r="AQ181" s="903">
        <v>4</v>
      </c>
      <c r="AR181" s="903">
        <v>14</v>
      </c>
      <c r="AS181" s="908" t="s">
        <v>3200</v>
      </c>
      <c r="AT181" s="903"/>
      <c r="AU181" s="903"/>
      <c r="AV181" s="903"/>
      <c r="AW181" s="903"/>
      <c r="AX181" s="903"/>
      <c r="AY181" s="902" t="s">
        <v>41</v>
      </c>
      <c r="AZ181" s="907" t="s">
        <v>136</v>
      </c>
      <c r="BA181" s="903"/>
      <c r="BB181" s="903"/>
      <c r="BC181" s="903"/>
      <c r="BD181" s="441"/>
      <c r="BE181" s="441">
        <v>8</v>
      </c>
      <c r="BF181" s="902" t="s">
        <v>3196</v>
      </c>
      <c r="BG181" s="903">
        <v>4</v>
      </c>
      <c r="BH181" s="903">
        <v>3</v>
      </c>
      <c r="BI181" s="903">
        <v>1</v>
      </c>
      <c r="BJ181" s="903">
        <v>1</v>
      </c>
      <c r="BK181" s="903">
        <v>1</v>
      </c>
      <c r="BL181" s="903">
        <v>1</v>
      </c>
      <c r="BM181" s="903"/>
      <c r="BN181" s="903">
        <v>96</v>
      </c>
      <c r="BO181" s="903">
        <v>99</v>
      </c>
      <c r="BP181" s="902"/>
      <c r="BQ181" s="909">
        <v>1</v>
      </c>
      <c r="BR181" s="908"/>
      <c r="BS181" s="902" t="s">
        <v>3201</v>
      </c>
      <c r="BT181" s="416">
        <v>1</v>
      </c>
      <c r="BU181" s="416">
        <v>1</v>
      </c>
      <c r="BV181" s="418">
        <v>30</v>
      </c>
      <c r="BW181" s="416">
        <v>0.7</v>
      </c>
      <c r="BX181" s="441"/>
      <c r="BY181" s="441"/>
      <c r="BZ181" s="441"/>
      <c r="CA181" s="441"/>
      <c r="CB181" s="441"/>
      <c r="CC181" s="693"/>
      <c r="CD181" s="441"/>
      <c r="CE181" s="910" t="str">
        <f>IFERROR(WWWW[[#This Row],['#_Water sources passed]]/WWWW[[#This Row],['#_Water sources tested for fecal coliform ]],"no test")</f>
        <v>no test</v>
      </c>
      <c r="CF181" s="908" t="str">
        <f>IFERROR(WWWW[[#This Row],['#_Household passed]]/WWWW[[#This Row],['#_Household water samples tested for fecal coliform]],"no test")</f>
        <v>no test</v>
      </c>
      <c r="CG181" s="909" t="str">
        <f>IF(AND(WWWW[[#This Row],[% of water sources passed]]="no test",WWWW[[#This Row],[% Household passed]]="no test"),"No Test","Tested")</f>
        <v>No Test</v>
      </c>
      <c r="CH181" s="909">
        <f>WWWW[[#This Row],['#_Constructed/existing protected hand dug well]]-WWWW[[#This Row],['#_Non-functional protected hand dug well]]</f>
        <v>3</v>
      </c>
      <c r="CI181" s="909">
        <f>(WWWW[[#This Row],['#_Constructed/Existing tube wells/boreholes/handpumps_WASH_agency]]+WWWW[[#This Row],['#_Non-Cluster partner water tube-wells/boreholes/handpumps]])-WWWW[[#This Row],['#_Non-functional tube wells/boreholes/handpumps]]</f>
        <v>0</v>
      </c>
      <c r="CJ181" s="909">
        <f>WWWW[[#This Row],['#_Constructed/Existingwater storage tank with gravity fed reticulation system]]-WWWW[[#This Row],['#_Non-functional storage tank gravity fed reticulation system]]</f>
        <v>4</v>
      </c>
      <c r="CK181" s="909">
        <f>(WWWW[[#This Row],['#_Water_Liters_supplied_by_Water boating or water trucking]]/90)/15</f>
        <v>0</v>
      </c>
      <c r="CL181" s="909">
        <f>WWWW[[#This Row],['#_Water_Liters_from_Constructed/Existing water distribution system from river or natural spring]]/90/15</f>
        <v>0</v>
      </c>
      <c r="CM181" s="417">
        <f>IF(WWWW[[#This Row],['#_of water points in TLS/CFS]]*500&gt;WWWW[[#This Row],[Total PoP ]],WWWW[[#This Row],[Total PoP ]],WWWW[[#This Row],['#_of water points in TLS/CFS]]*500)</f>
        <v>0</v>
      </c>
      <c r="CN181" s="417">
        <f>IF(WWWW[[#This Row],['#_of water points in THF]]*500&gt;WWWW[[#This Row],[Total PoP ]],WWWW[[#This Row],[Total PoP ]],WWWW[[#This Row],['#_of water points in THF]]*500)</f>
        <v>0</v>
      </c>
      <c r="CO181" s="417"/>
      <c r="CP181"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81"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81" s="908">
        <f>IF(WWWW[[#This Row],[Location Type 1]]="Village",WWWW[[#This Row],[Access to safe drinking water for Village]],WWWW[[#This Row],[Access to safe drinking water for Camp]])</f>
        <v>1</v>
      </c>
      <c r="CS181" s="906">
        <f>WWWW[[#This Row],[%Equitable and continuous access to sufficient quantity of safe drinking water]]*WWWW[[#This Row],[Total PoP ]]</f>
        <v>446</v>
      </c>
      <c r="CT181" s="908">
        <f>IF((WWWW[[#This Row],['#_Constructed/Existing protected/fenced ponds]]*250)/WWWW[[#This Row],[Total PoP ]]&gt;1,1,(WWWW[[#This Row],['#_Constructed/Existing protected/fenced ponds]]*250)/WWWW[[#This Row],[Total PoP ]])</f>
        <v>0</v>
      </c>
      <c r="CU181" s="906">
        <f>WWWW[[#This Row],[% Access to unimproved water points]]*WWWW[[#This Row],[Total PoP ]]</f>
        <v>0</v>
      </c>
      <c r="CV181"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81"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446</v>
      </c>
      <c r="CX181" s="906">
        <f>WWWW[[#This Row],[HRP1]]/500</f>
        <v>0.89200000000000002</v>
      </c>
      <c r="CY181" s="911">
        <f>1-WWWW[[#This Row],[% Equitable and continuous access to sufficient quantity of domestic water]]</f>
        <v>0</v>
      </c>
      <c r="CZ181" s="906">
        <f>WWWW[[#This Row],[%equitable and continuous access to sufficient quantity of safe drinking and domestic water''s GAP]]*WWWW[[#This Row],[Total PoP ]]</f>
        <v>0</v>
      </c>
      <c r="DA181" s="909">
        <f>IF(WWWW[[#This Row],[Total required water points]]-WWWW[[#This Row],['#Water points coverage]]&lt;0,0,WWWW[[#This Row],[Total required water points]]-WWWW[[#This Row],['#Water points coverage]])</f>
        <v>0.10799999999999998</v>
      </c>
      <c r="DB181" s="909">
        <f>ROUND(IF(WWWW[[#This Row],[Total PoP ]]&lt;500,1,WWWW[[#This Row],[Total PoP ]]/500),0)</f>
        <v>1</v>
      </c>
      <c r="DC181" s="909">
        <f>(WWWW[[#This Row],['#_Constructed latrines_by_WASHAgencies]]+WWWW[[#This Row],['#_Non Cluster partner latrines]])-WWWW[[#This Row],['#_Non-functional latrines]]</f>
        <v>18</v>
      </c>
      <c r="DD181" s="615">
        <f>WWWW[[#This Row],[HRP2]]/WWWW[[#This Row],[Total PoP ]]</f>
        <v>0.82511210762331844</v>
      </c>
      <c r="DE181"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368</v>
      </c>
      <c r="DF181"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81"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81" s="417">
        <f>IF(WWWW[[#This Row],['# of functional latrines in THF supported by WASH partners during the reporting period2]]="",0,WWWW[[#This Row],['# of functional latrines in THF supported by WASH partners during the reporting period2]]*50)</f>
        <v>0</v>
      </c>
      <c r="DI181" s="909">
        <f>ROUND(IF(WWWW[[#This Row],[Location Type 1]]="camp",WWWW[[#This Row],[Total PoP ]]/20,IF(WWWW[[#This Row],[Location Type 1]]="Temporary Location",WWWW[[#This Row],[Total PoP ]]/50,(WWWW[[#This Row],[Total PoP ]]/6))),0)</f>
        <v>22</v>
      </c>
      <c r="DJ181" s="909">
        <f>IF(WWWW[[#This Row],[Total required Latrines]]-(WWWW[[#This Row],['#_Constructed latrines_by_WASHAgencies]]+WWWW[[#This Row],['#_Non Cluster partner latrines]])&lt;0,0,WWWW[[#This Row],[Total required Latrines]]-(WWWW[[#This Row],['#_Constructed latrines_by_WASHAgencies]]+WWWW[[#This Row],['#_Non Cluster partner latrines]]))</f>
        <v>4</v>
      </c>
      <c r="DK181" s="911">
        <f>1-WWWW[[#This Row],[% people access to functioning Latrine]]</f>
        <v>0.17488789237668156</v>
      </c>
      <c r="DL181" s="910">
        <f>IF(OR(WWWW[[#This Row],['#_Non-functional latrines]]="",WWWW[[#This Row],['#_Non-functional latrines]]=0),0,WWWW[[#This Row],['#_Non-functional latrines]]/(WWWW[[#This Row],['#_Constructed latrines_by_WASHAgencies]]+WWWW[[#This Row],['#_Non Cluster partner latrines]]))</f>
        <v>0</v>
      </c>
      <c r="DM181" s="906">
        <f>IF(500*(WWWW[[#This Row],['#_male hygiene promoters]]+WWWW[[#This Row],['#_female hygiene promoters]])&gt;WWWW[[#This Row],[Total PoP ]],WWWW[[#This Row],[Total PoP ]],500*(WWWW[[#This Row],['#_male hygiene promoters]]+WWWW[[#This Row],['#_female hygiene promoters]]))</f>
        <v>446</v>
      </c>
      <c r="DN181"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446</v>
      </c>
      <c r="DO181"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99</v>
      </c>
      <c r="DP181" s="909">
        <f>IF(WWWW[[#This Row],['# People with access to soap]]&gt;WWWW[[#This Row],['# People with access to Sanity Pads]],WWWW[[#This Row],['# People with access to soap]],WWWW[[#This Row],['# People with access to Sanity Pads]])</f>
        <v>446</v>
      </c>
      <c r="DQ181" s="909">
        <f>IF(WWWW[[#This Row],['# people reached by regular dedicated hygiene promotion_5]]&gt;WWWW[[#This Row],['# People received regular supply of hygiene items_6]],WWWW[[#This Row],['# people reached by regular dedicated hygiene promotion_5]],WWWW[[#This Row],['# People received regular supply of hygiene items_6]])</f>
        <v>446</v>
      </c>
      <c r="DR181" s="911">
        <f>IF(WWWW[[#This Row],[HRP3]]/WWWW[[#This Row],[Total PoP ]]&gt;1,1,WWWW[[#This Row],[HRP3]]/WWWW[[#This Row],[Total PoP ]])</f>
        <v>1</v>
      </c>
      <c r="DS181" s="910">
        <f>1-WWWW[[#This Row],[Hygiene Coverage%]]</f>
        <v>0</v>
      </c>
      <c r="DT181" s="908">
        <f>WWWW[[#This Row],['# people reached by regular dedicated hygiene promotion_5]]/WWWW[[#This Row],[Total PoP ]]</f>
        <v>1</v>
      </c>
      <c r="DU181"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181"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181" s="909">
        <f>WWWW[[#This Row],['#_Constructed/Existing hand washing stations]]-WWWW[[#This Row],['#_Non-Functional_hand_washing_stations]]</f>
        <v>1</v>
      </c>
      <c r="DX181" s="906">
        <f>IF(WWWW[[#This Row],['# Functional hand washing stations during reporting period]]*20&gt;WWWW[[#This Row],[Total HH]],WWWW[[#This Row],[Total HH]],WWWW[[#This Row],['# Functional hand washing stations during reporting period]]*20)</f>
        <v>20</v>
      </c>
      <c r="DY181" s="906">
        <f>IF(WWWW[[#This Row],[Is sufficient soap available for TLS? (Yes/No)]]="yes",WWWW[[#This Row],['#_Constructed/Existing hand washing stations at TLS/CFS/THF]],0)</f>
        <v>0</v>
      </c>
      <c r="DZ181" s="421">
        <f>IF(WWWW[[#This Row],['# Functional hand washing stations during reporting period]]*100&gt;WWWW[[#This Row],[Total PoP ]],WWWW[[#This Row],[Total PoP ]],WWWW[[#This Row],['# Functional hand washing stations during reporting period]]*100)</f>
        <v>100</v>
      </c>
      <c r="EA181" s="421" t="str">
        <f>IF(OR(WWWW[[#This Row],['#_students at TLS_CFS]]="",WWWW[[#This Row],['#_students at TLS_CFS]]=0),"No","Yes")</f>
        <v>Yes</v>
      </c>
      <c r="EB181" s="615">
        <f>IF(WWWW[[#This Row],['#_of_affected_people_surveyed_who_report_feeling_informed_about_the_different_WASH_services_available_to_them]]="","",WWWW[[#This Row],['#_of_affected_people_surveyed_who_report_feeling_informed_about_the_different_WASH_services_available_to_them]]/WWWW[[#This Row],[Total PoP ]])</f>
        <v>6.726457399103139E-2</v>
      </c>
      <c r="EC181" s="566">
        <f>WWWW[[#This Row],[%_of_affected_people_surveyed_who_report_feeling_satistfied_with_the_latrine_design_and_sanitation_service]]*WWWW[[#This Row],[Total PoP ]]</f>
        <v>446</v>
      </c>
      <c r="ED181" s="566">
        <f>WWWW[[#This Row],[%_of_affected_people_surveyed_who_report_feeling_satistfied_with_the_water_point_design_and_water_service]]*WWWW[[#This Row],[Total PoP ]]</f>
        <v>446</v>
      </c>
      <c r="EE181" s="566">
        <f>WWWW[[#This Row],[%_of_complaints_received_that_result_in_timely_corrective_action_and_feedback_to_the_community]]*WWWW[[#This Row],[Total PoP ]]</f>
        <v>312.2</v>
      </c>
      <c r="EF18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446</v>
      </c>
      <c r="EG18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8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81" s="902" t="str">
        <f>VLOOKUP(WWWW[[#This Row],[Site Name]],SiteDB6[[Site Name]:[CCCM Management]],6,FALSE)</f>
        <v>Yes</v>
      </c>
      <c r="EJ181" s="902" t="str">
        <f>VLOOKUP(WWWW[[#This Row],[Site Name]],SiteDB6[[Site Name]:[CCCM Focal Agency]],7,FALSE)</f>
        <v>Shalom</v>
      </c>
      <c r="EK181" s="902" t="str">
        <f>VLOOKUP(WWWW[[#This Row],[Site Name]],SiteDB6[[Site Name]:[Location Type 1]],9,FALSE)</f>
        <v>Camp</v>
      </c>
      <c r="EL181" s="902" t="str">
        <f>VLOOKUP(WWWW[[#This Row],[Site Name]],SiteDB6[[Site Name]:[Type of Accommodation]],10,FALSE)</f>
        <v>Camp</v>
      </c>
      <c r="EM181" s="902" t="str">
        <f>VLOOKUP(WWWW[[#This Row],[Site Name]],SiteDB6[[Site Name]:[Ethnic or GCA/NGCA]],11,FALSE)</f>
        <v>GCA</v>
      </c>
      <c r="EN181" s="902">
        <f>VLOOKUP(WWWW[[#This Row],[Site Name]],SiteDB6[[Site Name]:[Lat]],12,FALSE)</f>
        <v>25.635300000000001</v>
      </c>
      <c r="EO181" s="902">
        <f>VLOOKUP(WWWW[[#This Row],[Site Name]],SiteDB6[[Site Name]:[Long]],13,FALSE)</f>
        <v>96.345569999999995</v>
      </c>
      <c r="EP181" s="902" t="str">
        <f>VLOOKUP(WWWW[[#This Row],[Site Name]],SiteDB6[[Site Name]:[Pcode]],3,FALSE)</f>
        <v>MMR001CMP176</v>
      </c>
      <c r="EQ181" s="907" t="str">
        <f t="shared" si="2"/>
        <v>Covered</v>
      </c>
      <c r="ER181" s="907" t="s">
        <v>3126</v>
      </c>
      <c r="ES181" s="907" t="s">
        <v>3126</v>
      </c>
      <c r="ET181" s="902">
        <f>VLOOKUP(WWWW[[#This Row],[Site Name]],SiteDB6[[Site Name]:[Pop
(Kachin/Shan-CCCM as of May 2023)]],16,FALSE)</f>
        <v>96</v>
      </c>
      <c r="EU181" s="902">
        <f>VLOOKUP(WWWW[[#This Row],[Site Name]],SiteDB6[[Site Name]:[Pop
(Kachin/Shan-CCCM as of May 2023)]],17,FALSE)</f>
        <v>448</v>
      </c>
    </row>
    <row r="182" spans="1:151" hidden="1">
      <c r="A182" s="900" t="s">
        <v>2961</v>
      </c>
      <c r="B182" s="900" t="s">
        <v>242</v>
      </c>
      <c r="C182" s="901" t="s">
        <v>242</v>
      </c>
      <c r="D182" s="901" t="s">
        <v>3184</v>
      </c>
      <c r="E182" s="901" t="s">
        <v>37</v>
      </c>
      <c r="F182" s="901" t="s">
        <v>148</v>
      </c>
      <c r="G182" s="902" t="str">
        <f>VLOOKUP(WWWW[[#This Row],[Site Name]],SiteDB6[[Site Name]:[Location Type]],8,FALSE)</f>
        <v>Camp</v>
      </c>
      <c r="H182" s="901" t="s">
        <v>249</v>
      </c>
      <c r="I182" s="903">
        <v>13</v>
      </c>
      <c r="J182" s="903">
        <v>70</v>
      </c>
      <c r="K182" s="904">
        <v>44927</v>
      </c>
      <c r="L182" s="905">
        <v>45291</v>
      </c>
      <c r="M182" s="903">
        <v>25</v>
      </c>
      <c r="N182" s="903"/>
      <c r="O182" s="903">
        <v>1</v>
      </c>
      <c r="P182" s="903"/>
      <c r="Q182" s="906" t="s">
        <v>41</v>
      </c>
      <c r="R182" s="903">
        <v>1</v>
      </c>
      <c r="S182" s="903">
        <v>4</v>
      </c>
      <c r="T182" s="441">
        <v>1</v>
      </c>
      <c r="U182" s="903"/>
      <c r="V182" s="903"/>
      <c r="W182" s="903"/>
      <c r="X182" s="903"/>
      <c r="Y182" s="903"/>
      <c r="Z182" s="903"/>
      <c r="AA182" s="903">
        <v>2</v>
      </c>
      <c r="AB182" s="903"/>
      <c r="AC182" s="903">
        <v>2</v>
      </c>
      <c r="AD182" s="903"/>
      <c r="AE182" s="903">
        <v>1</v>
      </c>
      <c r="AF182" s="903"/>
      <c r="AG182" s="903"/>
      <c r="AH182" s="903"/>
      <c r="AI182" s="903"/>
      <c r="AJ182" s="903">
        <v>1</v>
      </c>
      <c r="AK182" s="903"/>
      <c r="AL182" s="903"/>
      <c r="AM182" s="903">
        <v>3</v>
      </c>
      <c r="AN182" s="903"/>
      <c r="AO182" s="441"/>
      <c r="AP182" s="907" t="s">
        <v>3202</v>
      </c>
      <c r="AQ182" s="903">
        <v>5</v>
      </c>
      <c r="AR182" s="903"/>
      <c r="AS182" s="908" t="s">
        <v>242</v>
      </c>
      <c r="AT182" s="903">
        <v>2</v>
      </c>
      <c r="AU182" s="903">
        <v>2</v>
      </c>
      <c r="AV182" s="903"/>
      <c r="AW182" s="903"/>
      <c r="AX182" s="903"/>
      <c r="AY182" s="902" t="s">
        <v>41</v>
      </c>
      <c r="AZ182" s="907" t="s">
        <v>136</v>
      </c>
      <c r="BA182" s="903"/>
      <c r="BB182" s="903"/>
      <c r="BC182" s="903"/>
      <c r="BD182" s="441"/>
      <c r="BE182" s="441"/>
      <c r="BF182" s="902"/>
      <c r="BG182" s="903">
        <v>3</v>
      </c>
      <c r="BH182" s="903"/>
      <c r="BI182" s="903"/>
      <c r="BJ182" s="903"/>
      <c r="BK182" s="903"/>
      <c r="BL182" s="903"/>
      <c r="BM182" s="903">
        <v>1</v>
      </c>
      <c r="BN182" s="903">
        <v>13</v>
      </c>
      <c r="BO182" s="903">
        <v>18</v>
      </c>
      <c r="BP182" s="902" t="s">
        <v>136</v>
      </c>
      <c r="BQ182" s="909">
        <v>1</v>
      </c>
      <c r="BR182" s="908">
        <v>0.4</v>
      </c>
      <c r="BS182" s="902"/>
      <c r="BT182" s="416">
        <v>0.5</v>
      </c>
      <c r="BU182" s="416">
        <v>0.5</v>
      </c>
      <c r="BV182" s="418"/>
      <c r="BW182" s="416">
        <v>0.5</v>
      </c>
      <c r="BX182" s="441"/>
      <c r="BY182" s="441"/>
      <c r="BZ182" s="441"/>
      <c r="CA182" s="441"/>
      <c r="CB182" s="441"/>
      <c r="CC182" s="693"/>
      <c r="CD182" s="441"/>
      <c r="CE182" s="910" t="str">
        <f>IFERROR(WWWW[[#This Row],['#_Water sources passed]]/WWWW[[#This Row],['#_Water sources tested for fecal coliform ]],"no test")</f>
        <v>no test</v>
      </c>
      <c r="CF182" s="908" t="str">
        <f>IFERROR(WWWW[[#This Row],['#_Household passed]]/WWWW[[#This Row],['#_Household water samples tested for fecal coliform]],"no test")</f>
        <v>no test</v>
      </c>
      <c r="CG182" s="909" t="str">
        <f>IF(AND(WWWW[[#This Row],[% of water sources passed]]="no test",WWWW[[#This Row],[% Household passed]]="no test"),"No Test","Tested")</f>
        <v>No Test</v>
      </c>
      <c r="CH182" s="909">
        <f>WWWW[[#This Row],['#_Constructed/existing protected hand dug well]]-WWWW[[#This Row],['#_Non-functional protected hand dug well]]</f>
        <v>1</v>
      </c>
      <c r="CI182" s="909">
        <f>(WWWW[[#This Row],['#_Constructed/Existing tube wells/boreholes/handpumps_WASH_agency]]+WWWW[[#This Row],['#_Non-Cluster partner water tube-wells/boreholes/handpumps]])-WWWW[[#This Row],['#_Non-functional tube wells/boreholes/handpumps]]</f>
        <v>0</v>
      </c>
      <c r="CJ182" s="909">
        <f>WWWW[[#This Row],['#_Constructed/Existingwater storage tank with gravity fed reticulation system]]-WWWW[[#This Row],['#_Non-functional storage tank gravity fed reticulation system]]</f>
        <v>2</v>
      </c>
      <c r="CK182" s="909">
        <f>(WWWW[[#This Row],['#_Water_Liters_supplied_by_Water boating or water trucking]]/90)/15</f>
        <v>0</v>
      </c>
      <c r="CL182" s="909">
        <f>WWWW[[#This Row],['#_Water_Liters_from_Constructed/Existing water distribution system from river or natural spring]]/90/15</f>
        <v>0</v>
      </c>
      <c r="CM182" s="417">
        <f>IF(WWWW[[#This Row],['#_of water points in TLS/CFS]]*500&gt;WWWW[[#This Row],[Total PoP ]],WWWW[[#This Row],[Total PoP ]],WWWW[[#This Row],['#_of water points in TLS/CFS]]*500)</f>
        <v>0</v>
      </c>
      <c r="CN182" s="417">
        <f>IF(WWWW[[#This Row],['#_of water points in THF]]*500&gt;WWWW[[#This Row],[Total PoP ]],WWWW[[#This Row],[Total PoP ]],WWWW[[#This Row],['#_of water points in THF]]*500)</f>
        <v>0</v>
      </c>
      <c r="CO182" s="417"/>
      <c r="CP182"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82"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82" s="908">
        <f>IF(WWWW[[#This Row],[Location Type 1]]="Village",WWWW[[#This Row],[Access to safe drinking water for Village]],WWWW[[#This Row],[Access to safe drinking water for Camp]])</f>
        <v>1</v>
      </c>
      <c r="CS182" s="906">
        <f>WWWW[[#This Row],[%Equitable and continuous access to sufficient quantity of safe drinking water]]*WWWW[[#This Row],[Total PoP ]]</f>
        <v>70</v>
      </c>
      <c r="CT182" s="908">
        <f>IF((WWWW[[#This Row],['#_Constructed/Existing protected/fenced ponds]]*250)/WWWW[[#This Row],[Total PoP ]]&gt;1,1,(WWWW[[#This Row],['#_Constructed/Existing protected/fenced ponds]]*250)/WWWW[[#This Row],[Total PoP ]])</f>
        <v>1</v>
      </c>
      <c r="CU182" s="906">
        <f>WWWW[[#This Row],[% Access to unimproved water points]]*WWWW[[#This Row],[Total PoP ]]</f>
        <v>70</v>
      </c>
      <c r="CV182"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82"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70</v>
      </c>
      <c r="CX182" s="906">
        <f>WWWW[[#This Row],[HRP1]]/500</f>
        <v>0.14000000000000001</v>
      </c>
      <c r="CY182" s="911">
        <f>1-WWWW[[#This Row],[% Equitable and continuous access to sufficient quantity of domestic water]]</f>
        <v>0</v>
      </c>
      <c r="CZ182" s="906">
        <f>WWWW[[#This Row],[%equitable and continuous access to sufficient quantity of safe drinking and domestic water''s GAP]]*WWWW[[#This Row],[Total PoP ]]</f>
        <v>0</v>
      </c>
      <c r="DA182" s="909">
        <f>IF(WWWW[[#This Row],[Total required water points]]-WWWW[[#This Row],['#Water points coverage]]&lt;0,0,WWWW[[#This Row],[Total required water points]]-WWWW[[#This Row],['#Water points coverage]])</f>
        <v>0.86</v>
      </c>
      <c r="DB182" s="909">
        <f>ROUND(IF(WWWW[[#This Row],[Total PoP ]]&lt;500,1,WWWW[[#This Row],[Total PoP ]]/500),0)</f>
        <v>1</v>
      </c>
      <c r="DC182" s="909">
        <f>(WWWW[[#This Row],['#_Constructed latrines_by_WASHAgencies]]+WWWW[[#This Row],['#_Non Cluster partner latrines]])-WWWW[[#This Row],['#_Non-functional latrines]]</f>
        <v>3</v>
      </c>
      <c r="DD182" s="615">
        <f>WWWW[[#This Row],[HRP2]]/WWWW[[#This Row],[Total PoP ]]</f>
        <v>0.8571428571428571</v>
      </c>
      <c r="DE182"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60</v>
      </c>
      <c r="DF182"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82"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82" s="417">
        <f>IF(WWWW[[#This Row],['# of functional latrines in THF supported by WASH partners during the reporting period2]]="",0,WWWW[[#This Row],['# of functional latrines in THF supported by WASH partners during the reporting period2]]*50)</f>
        <v>0</v>
      </c>
      <c r="DI182" s="909">
        <f>ROUND(IF(WWWW[[#This Row],[Location Type 1]]="camp",WWWW[[#This Row],[Total PoP ]]/20,IF(WWWW[[#This Row],[Location Type 1]]="Temporary Location",WWWW[[#This Row],[Total PoP ]]/50,(WWWW[[#This Row],[Total PoP ]]/6))),0)</f>
        <v>4</v>
      </c>
      <c r="DJ182" s="909">
        <f>IF(WWWW[[#This Row],[Total required Latrines]]-(WWWW[[#This Row],['#_Constructed latrines_by_WASHAgencies]]+WWWW[[#This Row],['#_Non Cluster partner latrines]])&lt;0,0,WWWW[[#This Row],[Total required Latrines]]-(WWWW[[#This Row],['#_Constructed latrines_by_WASHAgencies]]+WWWW[[#This Row],['#_Non Cluster partner latrines]]))</f>
        <v>0</v>
      </c>
      <c r="DK182" s="911">
        <f>1-WWWW[[#This Row],[% people access to functioning Latrine]]</f>
        <v>0.1428571428571429</v>
      </c>
      <c r="DL182" s="910">
        <f>IF(OR(WWWW[[#This Row],['#_Non-functional latrines]]="",WWWW[[#This Row],['#_Non-functional latrines]]=0),0,WWWW[[#This Row],['#_Non-functional latrines]]/(WWWW[[#This Row],['#_Constructed latrines_by_WASHAgencies]]+WWWW[[#This Row],['#_Non Cluster partner latrines]]))</f>
        <v>0.4</v>
      </c>
      <c r="DM182" s="906">
        <f>IF(500*(WWWW[[#This Row],['#_male hygiene promoters]]+WWWW[[#This Row],['#_female hygiene promoters]])&gt;WWWW[[#This Row],[Total PoP ]],WWWW[[#This Row],[Total PoP ]],500*(WWWW[[#This Row],['#_male hygiene promoters]]+WWWW[[#This Row],['#_female hygiene promoters]]))</f>
        <v>70</v>
      </c>
      <c r="DN182"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70</v>
      </c>
      <c r="DO182"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P182" s="909">
        <f>IF(WWWW[[#This Row],['# People with access to soap]]&gt;WWWW[[#This Row],['# People with access to Sanity Pads]],WWWW[[#This Row],['# People with access to soap]],WWWW[[#This Row],['# People with access to Sanity Pads]])</f>
        <v>70</v>
      </c>
      <c r="DQ182" s="909">
        <f>IF(WWWW[[#This Row],['# people reached by regular dedicated hygiene promotion_5]]&gt;WWWW[[#This Row],['# People received regular supply of hygiene items_6]],WWWW[[#This Row],['# people reached by regular dedicated hygiene promotion_5]],WWWW[[#This Row],['# People received regular supply of hygiene items_6]])</f>
        <v>70</v>
      </c>
      <c r="DR182" s="911">
        <f>IF(WWWW[[#This Row],[HRP3]]/WWWW[[#This Row],[Total PoP ]]&gt;1,1,WWWW[[#This Row],[HRP3]]/WWWW[[#This Row],[Total PoP ]])</f>
        <v>1</v>
      </c>
      <c r="DS182" s="910">
        <f>1-WWWW[[#This Row],[Hygiene Coverage%]]</f>
        <v>0</v>
      </c>
      <c r="DT182" s="908">
        <f>WWWW[[#This Row],['# people reached by regular dedicated hygiene promotion_5]]/WWWW[[#This Row],[Total PoP ]]</f>
        <v>1</v>
      </c>
      <c r="DU182"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182"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182" s="909">
        <f>WWWW[[#This Row],['#_Constructed/Existing hand washing stations]]-WWWW[[#This Row],['#_Non-Functional_hand_washing_stations]]</f>
        <v>3</v>
      </c>
      <c r="DX182" s="906">
        <f>IF(WWWW[[#This Row],['# Functional hand washing stations during reporting period]]*20&gt;WWWW[[#This Row],[Total HH]],WWWW[[#This Row],[Total HH]],WWWW[[#This Row],['# Functional hand washing stations during reporting period]]*20)</f>
        <v>13</v>
      </c>
      <c r="DY182" s="906">
        <f>IF(WWWW[[#This Row],[Is sufficient soap available for TLS? (Yes/No)]]="yes",WWWW[[#This Row],['#_Constructed/Existing hand washing stations at TLS/CFS/THF]],0)</f>
        <v>0</v>
      </c>
      <c r="DZ182" s="421">
        <f>IF(WWWW[[#This Row],['# Functional hand washing stations during reporting period]]*100&gt;WWWW[[#This Row],[Total PoP ]],WWWW[[#This Row],[Total PoP ]],WWWW[[#This Row],['# Functional hand washing stations during reporting period]]*100)</f>
        <v>70</v>
      </c>
      <c r="EA182" s="421" t="str">
        <f>IF(OR(WWWW[[#This Row],['#_students at TLS_CFS]]="",WWWW[[#This Row],['#_students at TLS_CFS]]=0),"No","Yes")</f>
        <v>Yes</v>
      </c>
      <c r="EB18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82" s="566">
        <f>WWWW[[#This Row],[%_of_affected_people_surveyed_who_report_feeling_satistfied_with_the_latrine_design_and_sanitation_service]]*WWWW[[#This Row],[Total PoP ]]</f>
        <v>35</v>
      </c>
      <c r="ED182" s="566">
        <f>WWWW[[#This Row],[%_of_affected_people_surveyed_who_report_feeling_satistfied_with_the_water_point_design_and_water_service]]*WWWW[[#This Row],[Total PoP ]]</f>
        <v>35</v>
      </c>
      <c r="EE182" s="566">
        <f>WWWW[[#This Row],[%_of_complaints_received_that_result_in_timely_corrective_action_and_feedback_to_the_community]]*WWWW[[#This Row],[Total PoP ]]</f>
        <v>35</v>
      </c>
      <c r="EF18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35</v>
      </c>
      <c r="EG18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8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82" s="902" t="str">
        <f>VLOOKUP(WWWW[[#This Row],[Site Name]],SiteDB6[[Site Name]:[CCCM Management]],6,FALSE)</f>
        <v>Yes</v>
      </c>
      <c r="EJ182" s="902" t="str">
        <f>VLOOKUP(WWWW[[#This Row],[Site Name]],SiteDB6[[Site Name]:[CCCM Focal Agency]],7,FALSE)</f>
        <v>Shalom</v>
      </c>
      <c r="EK182" s="902" t="str">
        <f>VLOOKUP(WWWW[[#This Row],[Site Name]],SiteDB6[[Site Name]:[Location Type 1]],9,FALSE)</f>
        <v>Camp</v>
      </c>
      <c r="EL182" s="902" t="str">
        <f>VLOOKUP(WWWW[[#This Row],[Site Name]],SiteDB6[[Site Name]:[Type of Accommodation]],10,FALSE)</f>
        <v>Camp</v>
      </c>
      <c r="EM182" s="902" t="str">
        <f>VLOOKUP(WWWW[[#This Row],[Site Name]],SiteDB6[[Site Name]:[Ethnic or GCA/NGCA]],11,FALSE)</f>
        <v>GCA</v>
      </c>
      <c r="EN182" s="902">
        <f>VLOOKUP(WWWW[[#This Row],[Site Name]],SiteDB6[[Site Name]:[Lat]],12,FALSE)</f>
        <v>25.616509000000001</v>
      </c>
      <c r="EO182" s="902">
        <f>VLOOKUP(WWWW[[#This Row],[Site Name]],SiteDB6[[Site Name]:[Long]],13,FALSE)</f>
        <v>96.317350000000005</v>
      </c>
      <c r="EP182" s="902" t="str">
        <f>VLOOKUP(WWWW[[#This Row],[Site Name]],SiteDB6[[Site Name]:[Pcode]],3,FALSE)</f>
        <v>MMR001CMP190</v>
      </c>
      <c r="EQ182" s="907" t="str">
        <f t="shared" si="2"/>
        <v>Covered</v>
      </c>
      <c r="ER182" s="907" t="s">
        <v>3126</v>
      </c>
      <c r="ES182" s="907" t="s">
        <v>3126</v>
      </c>
      <c r="ET182" s="902">
        <f>VLOOKUP(WWWW[[#This Row],[Site Name]],SiteDB6[[Site Name]:[Pop
(Kachin/Shan-CCCM as of May 2023)]],16,FALSE)</f>
        <v>22</v>
      </c>
      <c r="EU182" s="902">
        <f>VLOOKUP(WWWW[[#This Row],[Site Name]],SiteDB6[[Site Name]:[Pop
(Kachin/Shan-CCCM as of May 2023)]],17,FALSE)</f>
        <v>115</v>
      </c>
    </row>
    <row r="183" spans="1:151" hidden="1">
      <c r="A183" s="900" t="s">
        <v>2961</v>
      </c>
      <c r="B183" s="900" t="s">
        <v>242</v>
      </c>
      <c r="C183" s="901" t="s">
        <v>242</v>
      </c>
      <c r="D183" s="901" t="s">
        <v>3184</v>
      </c>
      <c r="E183" s="901" t="s">
        <v>37</v>
      </c>
      <c r="F183" s="901" t="s">
        <v>148</v>
      </c>
      <c r="G183" s="902" t="str">
        <f>VLOOKUP(WWWW[[#This Row],[Site Name]],SiteDB6[[Site Name]:[Location Type]],8,FALSE)</f>
        <v>Camp</v>
      </c>
      <c r="H183" s="901" t="s">
        <v>250</v>
      </c>
      <c r="I183" s="903">
        <v>40</v>
      </c>
      <c r="J183" s="903">
        <v>249</v>
      </c>
      <c r="K183" s="904">
        <v>44927</v>
      </c>
      <c r="L183" s="905">
        <v>45291</v>
      </c>
      <c r="M183" s="903">
        <v>80</v>
      </c>
      <c r="N183" s="903"/>
      <c r="O183" s="903">
        <v>1</v>
      </c>
      <c r="P183" s="903"/>
      <c r="Q183" s="906" t="s">
        <v>41</v>
      </c>
      <c r="R183" s="903">
        <v>1</v>
      </c>
      <c r="S183" s="903">
        <v>5</v>
      </c>
      <c r="T183" s="441">
        <v>2</v>
      </c>
      <c r="U183" s="903"/>
      <c r="V183" s="903"/>
      <c r="W183" s="903"/>
      <c r="X183" s="903">
        <v>1</v>
      </c>
      <c r="Y183" s="903"/>
      <c r="Z183" s="903"/>
      <c r="AA183" s="903"/>
      <c r="AB183" s="903"/>
      <c r="AC183" s="903"/>
      <c r="AD183" s="903"/>
      <c r="AE183" s="903">
        <v>1</v>
      </c>
      <c r="AF183" s="903"/>
      <c r="AG183" s="903"/>
      <c r="AH183" s="903">
        <v>1</v>
      </c>
      <c r="AI183" s="903"/>
      <c r="AJ183" s="903"/>
      <c r="AK183" s="903"/>
      <c r="AL183" s="903"/>
      <c r="AM183" s="903"/>
      <c r="AN183" s="903"/>
      <c r="AO183" s="441"/>
      <c r="AP183" s="907"/>
      <c r="AQ183" s="903">
        <v>10</v>
      </c>
      <c r="AR183" s="903"/>
      <c r="AS183" s="908" t="s">
        <v>242</v>
      </c>
      <c r="AT183" s="903"/>
      <c r="AU183" s="903"/>
      <c r="AV183" s="903"/>
      <c r="AW183" s="903"/>
      <c r="AX183" s="903"/>
      <c r="AY183" s="902" t="s">
        <v>41</v>
      </c>
      <c r="AZ183" s="907" t="s">
        <v>137</v>
      </c>
      <c r="BA183" s="903"/>
      <c r="BB183" s="903"/>
      <c r="BC183" s="903"/>
      <c r="BD183" s="441"/>
      <c r="BE183" s="441"/>
      <c r="BF183" s="902" t="s">
        <v>3203</v>
      </c>
      <c r="BG183" s="903">
        <v>2</v>
      </c>
      <c r="BH183" s="903"/>
      <c r="BI183" s="903">
        <v>4</v>
      </c>
      <c r="BJ183" s="903">
        <v>3</v>
      </c>
      <c r="BK183" s="903"/>
      <c r="BL183" s="903"/>
      <c r="BM183" s="903">
        <v>1</v>
      </c>
      <c r="BN183" s="903">
        <v>40</v>
      </c>
      <c r="BO183" s="903">
        <v>55</v>
      </c>
      <c r="BP183" s="902" t="s">
        <v>41</v>
      </c>
      <c r="BQ183" s="909">
        <v>1</v>
      </c>
      <c r="BR183" s="908">
        <v>0.2</v>
      </c>
      <c r="BS183" s="902" t="s">
        <v>3204</v>
      </c>
      <c r="BT183" s="416">
        <v>0.8</v>
      </c>
      <c r="BU183" s="416">
        <v>0.7</v>
      </c>
      <c r="BV183" s="418">
        <v>10</v>
      </c>
      <c r="BW183" s="416">
        <v>0.7</v>
      </c>
      <c r="BX183" s="441"/>
      <c r="BY183" s="441"/>
      <c r="BZ183" s="441"/>
      <c r="CA183" s="441"/>
      <c r="CB183" s="441"/>
      <c r="CC183" s="693"/>
      <c r="CD183" s="441"/>
      <c r="CE183" s="910" t="str">
        <f>IFERROR(WWWW[[#This Row],['#_Water sources passed]]/WWWW[[#This Row],['#_Water sources tested for fecal coliform ]],"no test")</f>
        <v>no test</v>
      </c>
      <c r="CF183" s="908" t="str">
        <f>IFERROR(WWWW[[#This Row],['#_Household passed]]/WWWW[[#This Row],['#_Household water samples tested for fecal coliform]],"no test")</f>
        <v>no test</v>
      </c>
      <c r="CG183" s="909" t="str">
        <f>IF(AND(WWWW[[#This Row],[% of water sources passed]]="no test",WWWW[[#This Row],[% Household passed]]="no test"),"No Test","Tested")</f>
        <v>No Test</v>
      </c>
      <c r="CH183" s="909">
        <f>WWWW[[#This Row],['#_Constructed/existing protected hand dug well]]-WWWW[[#This Row],['#_Non-functional protected hand dug well]]</f>
        <v>2</v>
      </c>
      <c r="CI183" s="909">
        <f>(WWWW[[#This Row],['#_Constructed/Existing tube wells/boreholes/handpumps_WASH_agency]]+WWWW[[#This Row],['#_Non-Cluster partner water tube-wells/boreholes/handpumps]])-WWWW[[#This Row],['#_Non-functional tube wells/boreholes/handpumps]]</f>
        <v>1</v>
      </c>
      <c r="CJ183" s="909">
        <f>WWWW[[#This Row],['#_Constructed/Existingwater storage tank with gravity fed reticulation system]]-WWWW[[#This Row],['#_Non-functional storage tank gravity fed reticulation system]]</f>
        <v>0</v>
      </c>
      <c r="CK183" s="909">
        <f>(WWWW[[#This Row],['#_Water_Liters_supplied_by_Water boating or water trucking]]/90)/15</f>
        <v>0</v>
      </c>
      <c r="CL183" s="909">
        <f>WWWW[[#This Row],['#_Water_Liters_from_Constructed/Existing water distribution system from river or natural spring]]/90/15</f>
        <v>0</v>
      </c>
      <c r="CM183" s="417">
        <f>IF(WWWW[[#This Row],['#_of water points in TLS/CFS]]*500&gt;WWWW[[#This Row],[Total PoP ]],WWWW[[#This Row],[Total PoP ]],WWWW[[#This Row],['#_of water points in TLS/CFS]]*500)</f>
        <v>0</v>
      </c>
      <c r="CN183" s="417">
        <f>IF(WWWW[[#This Row],['#_of water points in THF]]*500&gt;WWWW[[#This Row],[Total PoP ]],WWWW[[#This Row],[Total PoP ]],WWWW[[#This Row],['#_of water points in THF]]*500)</f>
        <v>0</v>
      </c>
      <c r="CO183" s="417"/>
      <c r="CP183"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83"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83" s="908">
        <f>IF(WWWW[[#This Row],[Location Type 1]]="Village",WWWW[[#This Row],[Access to safe drinking water for Village]],WWWW[[#This Row],[Access to safe drinking water for Camp]])</f>
        <v>1</v>
      </c>
      <c r="CS183" s="906">
        <f>WWWW[[#This Row],[%Equitable and continuous access to sufficient quantity of safe drinking water]]*WWWW[[#This Row],[Total PoP ]]</f>
        <v>249</v>
      </c>
      <c r="CT183" s="908">
        <f>IF((WWWW[[#This Row],['#_Constructed/Existing protected/fenced ponds]]*250)/WWWW[[#This Row],[Total PoP ]]&gt;1,1,(WWWW[[#This Row],['#_Constructed/Existing protected/fenced ponds]]*250)/WWWW[[#This Row],[Total PoP ]])</f>
        <v>1</v>
      </c>
      <c r="CU183" s="906">
        <f>WWWW[[#This Row],[% Access to unimproved water points]]*WWWW[[#This Row],[Total PoP ]]</f>
        <v>249</v>
      </c>
      <c r="CV183"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83"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249</v>
      </c>
      <c r="CX183" s="906">
        <f>WWWW[[#This Row],[HRP1]]/500</f>
        <v>0.498</v>
      </c>
      <c r="CY183" s="911">
        <f>1-WWWW[[#This Row],[% Equitable and continuous access to sufficient quantity of domestic water]]</f>
        <v>0</v>
      </c>
      <c r="CZ183" s="906">
        <f>WWWW[[#This Row],[%equitable and continuous access to sufficient quantity of safe drinking and domestic water''s GAP]]*WWWW[[#This Row],[Total PoP ]]</f>
        <v>0</v>
      </c>
      <c r="DA183" s="909">
        <f>IF(WWWW[[#This Row],[Total required water points]]-WWWW[[#This Row],['#Water points coverage]]&lt;0,0,WWWW[[#This Row],[Total required water points]]-WWWW[[#This Row],['#Water points coverage]])</f>
        <v>0.502</v>
      </c>
      <c r="DB183" s="909">
        <f>ROUND(IF(WWWW[[#This Row],[Total PoP ]]&lt;500,1,WWWW[[#This Row],[Total PoP ]]/500),0)</f>
        <v>1</v>
      </c>
      <c r="DC183" s="909">
        <f>(WWWW[[#This Row],['#_Constructed latrines_by_WASHAgencies]]+WWWW[[#This Row],['#_Non Cluster partner latrines]])-WWWW[[#This Row],['#_Non-functional latrines]]</f>
        <v>10</v>
      </c>
      <c r="DD183" s="615">
        <f>WWWW[[#This Row],[HRP2]]/WWWW[[#This Row],[Total PoP ]]</f>
        <v>0.80321285140562249</v>
      </c>
      <c r="DE183"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200</v>
      </c>
      <c r="DF183"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83"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83" s="417">
        <f>IF(WWWW[[#This Row],['# of functional latrines in THF supported by WASH partners during the reporting period2]]="",0,WWWW[[#This Row],['# of functional latrines in THF supported by WASH partners during the reporting period2]]*50)</f>
        <v>0</v>
      </c>
      <c r="DI183" s="909">
        <f>ROUND(IF(WWWW[[#This Row],[Location Type 1]]="camp",WWWW[[#This Row],[Total PoP ]]/20,IF(WWWW[[#This Row],[Location Type 1]]="Temporary Location",WWWW[[#This Row],[Total PoP ]]/50,(WWWW[[#This Row],[Total PoP ]]/6))),0)</f>
        <v>12</v>
      </c>
      <c r="DJ183" s="909">
        <f>IF(WWWW[[#This Row],[Total required Latrines]]-(WWWW[[#This Row],['#_Constructed latrines_by_WASHAgencies]]+WWWW[[#This Row],['#_Non Cluster partner latrines]])&lt;0,0,WWWW[[#This Row],[Total required Latrines]]-(WWWW[[#This Row],['#_Constructed latrines_by_WASHAgencies]]+WWWW[[#This Row],['#_Non Cluster partner latrines]]))</f>
        <v>2</v>
      </c>
      <c r="DK183" s="911">
        <f>1-WWWW[[#This Row],[% people access to functioning Latrine]]</f>
        <v>0.19678714859437751</v>
      </c>
      <c r="DL183" s="910">
        <f>IF(OR(WWWW[[#This Row],['#_Non-functional latrines]]="",WWWW[[#This Row],['#_Non-functional latrines]]=0),0,WWWW[[#This Row],['#_Non-functional latrines]]/(WWWW[[#This Row],['#_Constructed latrines_by_WASHAgencies]]+WWWW[[#This Row],['#_Non Cluster partner latrines]]))</f>
        <v>0</v>
      </c>
      <c r="DM183" s="906">
        <f>IF(500*(WWWW[[#This Row],['#_male hygiene promoters]]+WWWW[[#This Row],['#_female hygiene promoters]])&gt;WWWW[[#This Row],[Total PoP ]],WWWW[[#This Row],[Total PoP ]],500*(WWWW[[#This Row],['#_male hygiene promoters]]+WWWW[[#This Row],['#_female hygiene promoters]]))</f>
        <v>249</v>
      </c>
      <c r="DN183"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249</v>
      </c>
      <c r="DO183"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55</v>
      </c>
      <c r="DP183" s="909">
        <f>IF(WWWW[[#This Row],['# People with access to soap]]&gt;WWWW[[#This Row],['# People with access to Sanity Pads]],WWWW[[#This Row],['# People with access to soap]],WWWW[[#This Row],['# People with access to Sanity Pads]])</f>
        <v>249</v>
      </c>
      <c r="DQ183" s="909">
        <f>IF(WWWW[[#This Row],['# people reached by regular dedicated hygiene promotion_5]]&gt;WWWW[[#This Row],['# People received regular supply of hygiene items_6]],WWWW[[#This Row],['# people reached by regular dedicated hygiene promotion_5]],WWWW[[#This Row],['# People received regular supply of hygiene items_6]])</f>
        <v>249</v>
      </c>
      <c r="DR183" s="911">
        <f>IF(WWWW[[#This Row],[HRP3]]/WWWW[[#This Row],[Total PoP ]]&gt;1,1,WWWW[[#This Row],[HRP3]]/WWWW[[#This Row],[Total PoP ]])</f>
        <v>1</v>
      </c>
      <c r="DS183" s="910">
        <f>1-WWWW[[#This Row],[Hygiene Coverage%]]</f>
        <v>0</v>
      </c>
      <c r="DT183" s="908">
        <f>WWWW[[#This Row],['# people reached by regular dedicated hygiene promotion_5]]/WWWW[[#This Row],[Total PoP ]]</f>
        <v>1</v>
      </c>
      <c r="DU183"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183"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183" s="909">
        <f>WWWW[[#This Row],['#_Constructed/Existing hand washing stations]]-WWWW[[#This Row],['#_Non-Functional_hand_washing_stations]]</f>
        <v>2</v>
      </c>
      <c r="DX183" s="906">
        <f>IF(WWWW[[#This Row],['# Functional hand washing stations during reporting period]]*20&gt;WWWW[[#This Row],[Total HH]],WWWW[[#This Row],[Total HH]],WWWW[[#This Row],['# Functional hand washing stations during reporting period]]*20)</f>
        <v>40</v>
      </c>
      <c r="DY183" s="906">
        <f>IF(WWWW[[#This Row],[Is sufficient soap available for TLS? (Yes/No)]]="yes",WWWW[[#This Row],['#_Constructed/Existing hand washing stations at TLS/CFS/THF]],0)</f>
        <v>0</v>
      </c>
      <c r="DZ183" s="421">
        <f>IF(WWWW[[#This Row],['# Functional hand washing stations during reporting period]]*100&gt;WWWW[[#This Row],[Total PoP ]],WWWW[[#This Row],[Total PoP ]],WWWW[[#This Row],['# Functional hand washing stations during reporting period]]*100)</f>
        <v>200</v>
      </c>
      <c r="EA183" s="421" t="str">
        <f>IF(OR(WWWW[[#This Row],['#_students at TLS_CFS]]="",WWWW[[#This Row],['#_students at TLS_CFS]]=0),"No","Yes")</f>
        <v>Yes</v>
      </c>
      <c r="EB183" s="615">
        <f>IF(WWWW[[#This Row],['#_of_affected_people_surveyed_who_report_feeling_informed_about_the_different_WASH_services_available_to_them]]="","",WWWW[[#This Row],['#_of_affected_people_surveyed_who_report_feeling_informed_about_the_different_WASH_services_available_to_them]]/WWWW[[#This Row],[Total PoP ]])</f>
        <v>4.0160642570281124E-2</v>
      </c>
      <c r="EC183" s="566">
        <f>WWWW[[#This Row],[%_of_affected_people_surveyed_who_report_feeling_satistfied_with_the_latrine_design_and_sanitation_service]]*WWWW[[#This Row],[Total PoP ]]</f>
        <v>199.20000000000002</v>
      </c>
      <c r="ED183" s="566">
        <f>WWWW[[#This Row],[%_of_affected_people_surveyed_who_report_feeling_satistfied_with_the_water_point_design_and_water_service]]*WWWW[[#This Row],[Total PoP ]]</f>
        <v>174.29999999999998</v>
      </c>
      <c r="EE183" s="566">
        <f>WWWW[[#This Row],[%_of_complaints_received_that_result_in_timely_corrective_action_and_feedback_to_the_community]]*WWWW[[#This Row],[Total PoP ]]</f>
        <v>174.29999999999998</v>
      </c>
      <c r="EF18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199.20000000000002</v>
      </c>
      <c r="EG18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8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83" s="902" t="str">
        <f>VLOOKUP(WWWW[[#This Row],[Site Name]],SiteDB6[[Site Name]:[CCCM Management]],6,FALSE)</f>
        <v>Yes</v>
      </c>
      <c r="EJ183" s="902" t="str">
        <f>VLOOKUP(WWWW[[#This Row],[Site Name]],SiteDB6[[Site Name]:[CCCM Focal Agency]],7,FALSE)</f>
        <v>KBC-MYT</v>
      </c>
      <c r="EK183" s="902" t="str">
        <f>VLOOKUP(WWWW[[#This Row],[Site Name]],SiteDB6[[Site Name]:[Location Type 1]],9,FALSE)</f>
        <v>Camp</v>
      </c>
      <c r="EL183" s="902" t="str">
        <f>VLOOKUP(WWWW[[#This Row],[Site Name]],SiteDB6[[Site Name]:[Type of Accommodation]],10,FALSE)</f>
        <v>Camp</v>
      </c>
      <c r="EM183" s="902" t="str">
        <f>VLOOKUP(WWWW[[#This Row],[Site Name]],SiteDB6[[Site Name]:[Ethnic or GCA/NGCA]],11,FALSE)</f>
        <v>GCA</v>
      </c>
      <c r="EN183" s="902">
        <f>VLOOKUP(WWWW[[#This Row],[Site Name]],SiteDB6[[Site Name]:[Lat]],12,FALSE)</f>
        <v>25.647649999999999</v>
      </c>
      <c r="EO183" s="902">
        <f>VLOOKUP(WWWW[[#This Row],[Site Name]],SiteDB6[[Site Name]:[Long]],13,FALSE)</f>
        <v>96.346469999999997</v>
      </c>
      <c r="EP183" s="902" t="str">
        <f>VLOOKUP(WWWW[[#This Row],[Site Name]],SiteDB6[[Site Name]:[Pcode]],3,FALSE)</f>
        <v>MMR001CMP169</v>
      </c>
      <c r="EQ183" s="907" t="str">
        <f t="shared" si="2"/>
        <v>Covered</v>
      </c>
      <c r="ER183" s="907" t="s">
        <v>3126</v>
      </c>
      <c r="ES183" s="907" t="s">
        <v>3126</v>
      </c>
      <c r="ET183" s="902">
        <f>VLOOKUP(WWWW[[#This Row],[Site Name]],SiteDB6[[Site Name]:[Pop
(Kachin/Shan-CCCM as of May 2023)]],16,FALSE)</f>
        <v>40</v>
      </c>
      <c r="EU183" s="902">
        <f>VLOOKUP(WWWW[[#This Row],[Site Name]],SiteDB6[[Site Name]:[Pop
(Kachin/Shan-CCCM as of May 2023)]],17,FALSE)</f>
        <v>245</v>
      </c>
    </row>
    <row r="184" spans="1:151" hidden="1">
      <c r="A184" s="900" t="s">
        <v>2961</v>
      </c>
      <c r="B184" s="900" t="s">
        <v>242</v>
      </c>
      <c r="C184" s="901" t="s">
        <v>242</v>
      </c>
      <c r="D184" s="901" t="s">
        <v>299</v>
      </c>
      <c r="E184" s="901" t="s">
        <v>37</v>
      </c>
      <c r="F184" s="901" t="s">
        <v>148</v>
      </c>
      <c r="G184" s="902" t="str">
        <f>VLOOKUP(WWWW[[#This Row],[Site Name]],SiteDB6[[Site Name]:[Location Type]],8,FALSE)</f>
        <v>Camp</v>
      </c>
      <c r="H184" s="901" t="s">
        <v>251</v>
      </c>
      <c r="I184" s="903">
        <v>5</v>
      </c>
      <c r="J184" s="903">
        <v>24</v>
      </c>
      <c r="K184" s="904">
        <v>44562</v>
      </c>
      <c r="L184" s="905">
        <v>44926</v>
      </c>
      <c r="M184" s="903"/>
      <c r="N184" s="903">
        <v>1</v>
      </c>
      <c r="O184" s="903"/>
      <c r="P184" s="903"/>
      <c r="Q184" s="906" t="s">
        <v>41</v>
      </c>
      <c r="R184" s="903">
        <v>2</v>
      </c>
      <c r="S184" s="903">
        <v>2</v>
      </c>
      <c r="T184" s="441"/>
      <c r="U184" s="903"/>
      <c r="V184" s="903"/>
      <c r="W184" s="903"/>
      <c r="X184" s="903"/>
      <c r="Y184" s="903"/>
      <c r="Z184" s="903"/>
      <c r="AA184" s="903"/>
      <c r="AB184" s="903"/>
      <c r="AC184" s="903"/>
      <c r="AD184" s="903"/>
      <c r="AE184" s="903"/>
      <c r="AF184" s="903"/>
      <c r="AG184" s="903">
        <v>1</v>
      </c>
      <c r="AH184" s="903"/>
      <c r="AI184" s="903"/>
      <c r="AJ184" s="903"/>
      <c r="AK184" s="903"/>
      <c r="AL184" s="903"/>
      <c r="AM184" s="903"/>
      <c r="AN184" s="903"/>
      <c r="AO184" s="441"/>
      <c r="AP184" s="907"/>
      <c r="AQ184" s="903">
        <v>2</v>
      </c>
      <c r="AR184" s="903"/>
      <c r="AS184" s="908"/>
      <c r="AT184" s="903"/>
      <c r="AU184" s="903"/>
      <c r="AV184" s="903"/>
      <c r="AW184" s="903"/>
      <c r="AX184" s="903"/>
      <c r="AY184" s="902" t="s">
        <v>41</v>
      </c>
      <c r="AZ184" s="907" t="s">
        <v>137</v>
      </c>
      <c r="BA184" s="903"/>
      <c r="BB184" s="903"/>
      <c r="BC184" s="903"/>
      <c r="BD184" s="441"/>
      <c r="BE184" s="441"/>
      <c r="BF184" s="902"/>
      <c r="BG184" s="903">
        <v>1</v>
      </c>
      <c r="BH184" s="903"/>
      <c r="BI184" s="903"/>
      <c r="BJ184" s="903">
        <v>1</v>
      </c>
      <c r="BK184" s="903"/>
      <c r="BL184" s="903"/>
      <c r="BM184" s="903">
        <v>1</v>
      </c>
      <c r="BN184" s="903"/>
      <c r="BO184" s="903"/>
      <c r="BP184" s="902"/>
      <c r="BQ184" s="909"/>
      <c r="BR184" s="908"/>
      <c r="BS184" s="902"/>
      <c r="BT184" s="416"/>
      <c r="BU184" s="416"/>
      <c r="BV184" s="418"/>
      <c r="BW184" s="416"/>
      <c r="BX184" s="441"/>
      <c r="BY184" s="441"/>
      <c r="BZ184" s="441"/>
      <c r="CA184" s="441"/>
      <c r="CB184" s="441"/>
      <c r="CC184" s="693"/>
      <c r="CD184" s="441"/>
      <c r="CE184" s="910" t="str">
        <f>IFERROR(WWWW[[#This Row],['#_Water sources passed]]/WWWW[[#This Row],['#_Water sources tested for fecal coliform ]],"no test")</f>
        <v>no test</v>
      </c>
      <c r="CF184" s="908" t="str">
        <f>IFERROR(WWWW[[#This Row],['#_Household passed]]/WWWW[[#This Row],['#_Household water samples tested for fecal coliform]],"no test")</f>
        <v>no test</v>
      </c>
      <c r="CG184" s="909" t="str">
        <f>IF(AND(WWWW[[#This Row],[% of water sources passed]]="no test",WWWW[[#This Row],[% Household passed]]="no test"),"No Test","Tested")</f>
        <v>No Test</v>
      </c>
      <c r="CH184" s="909">
        <f>WWWW[[#This Row],['#_Constructed/existing protected hand dug well]]-WWWW[[#This Row],['#_Non-functional protected hand dug well]]</f>
        <v>0</v>
      </c>
      <c r="CI184" s="909">
        <f>(WWWW[[#This Row],['#_Constructed/Existing tube wells/boreholes/handpumps_WASH_agency]]+WWWW[[#This Row],['#_Non-Cluster partner water tube-wells/boreholes/handpumps]])-WWWW[[#This Row],['#_Non-functional tube wells/boreholes/handpumps]]</f>
        <v>0</v>
      </c>
      <c r="CJ184" s="909">
        <f>WWWW[[#This Row],['#_Constructed/Existingwater storage tank with gravity fed reticulation system]]-WWWW[[#This Row],['#_Non-functional storage tank gravity fed reticulation system]]</f>
        <v>0</v>
      </c>
      <c r="CK184" s="909">
        <f>(WWWW[[#This Row],['#_Water_Liters_supplied_by_Water boating or water trucking]]/90)/15</f>
        <v>0</v>
      </c>
      <c r="CL184" s="909">
        <f>WWWW[[#This Row],['#_Water_Liters_from_Constructed/Existing water distribution system from river or natural spring]]/90/15</f>
        <v>0</v>
      </c>
      <c r="CM184" s="417">
        <f>IF(WWWW[[#This Row],['#_of water points in TLS/CFS]]*500&gt;WWWW[[#This Row],[Total PoP ]],WWWW[[#This Row],[Total PoP ]],WWWW[[#This Row],['#_of water points in TLS/CFS]]*500)</f>
        <v>0</v>
      </c>
      <c r="CN184" s="417">
        <f>IF(WWWW[[#This Row],['#_of water points in THF]]*500&gt;WWWW[[#This Row],[Total PoP ]],WWWW[[#This Row],[Total PoP ]],WWWW[[#This Row],['#_of water points in THF]]*500)</f>
        <v>0</v>
      </c>
      <c r="CO184" s="417"/>
      <c r="CP184"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84"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84" s="908">
        <f>IF(WWWW[[#This Row],[Location Type 1]]="Village",WWWW[[#This Row],[Access to safe drinking water for Village]],WWWW[[#This Row],[Access to safe drinking water for Camp]])</f>
        <v>0</v>
      </c>
      <c r="CS184" s="906">
        <f>WWWW[[#This Row],[%Equitable and continuous access to sufficient quantity of safe drinking water]]*WWWW[[#This Row],[Total PoP ]]</f>
        <v>0</v>
      </c>
      <c r="CT184" s="908">
        <f>IF((WWWW[[#This Row],['#_Constructed/Existing protected/fenced ponds]]*250)/WWWW[[#This Row],[Total PoP ]]&gt;1,1,(WWWW[[#This Row],['#_Constructed/Existing protected/fenced ponds]]*250)/WWWW[[#This Row],[Total PoP ]])</f>
        <v>0</v>
      </c>
      <c r="CU184" s="906">
        <f>WWWW[[#This Row],[% Access to unimproved water points]]*WWWW[[#This Row],[Total PoP ]]</f>
        <v>0</v>
      </c>
      <c r="CV184"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84"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84" s="906">
        <f>WWWW[[#This Row],[HRP1]]/500</f>
        <v>0</v>
      </c>
      <c r="CY184" s="911">
        <f>1-WWWW[[#This Row],[% Equitable and continuous access to sufficient quantity of domestic water]]</f>
        <v>1</v>
      </c>
      <c r="CZ184" s="906">
        <f>WWWW[[#This Row],[%equitable and continuous access to sufficient quantity of safe drinking and domestic water''s GAP]]*WWWW[[#This Row],[Total PoP ]]</f>
        <v>24</v>
      </c>
      <c r="DA184" s="909">
        <f>IF(WWWW[[#This Row],[Total required water points]]-WWWW[[#This Row],['#Water points coverage]]&lt;0,0,WWWW[[#This Row],[Total required water points]]-WWWW[[#This Row],['#Water points coverage]])</f>
        <v>1</v>
      </c>
      <c r="DB184" s="909">
        <f>ROUND(IF(WWWW[[#This Row],[Total PoP ]]&lt;500,1,WWWW[[#This Row],[Total PoP ]]/500),0)</f>
        <v>1</v>
      </c>
      <c r="DC184" s="909">
        <f>(WWWW[[#This Row],['#_Constructed latrines_by_WASHAgencies]]+WWWW[[#This Row],['#_Non Cluster partner latrines]])-WWWW[[#This Row],['#_Non-functional latrines]]</f>
        <v>2</v>
      </c>
      <c r="DD184" s="615">
        <f>WWWW[[#This Row],[HRP2]]/WWWW[[#This Row],[Total PoP ]]</f>
        <v>1</v>
      </c>
      <c r="DE184"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24</v>
      </c>
      <c r="DF184"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84"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84" s="417">
        <f>IF(WWWW[[#This Row],['# of functional latrines in THF supported by WASH partners during the reporting period2]]="",0,WWWW[[#This Row],['# of functional latrines in THF supported by WASH partners during the reporting period2]]*50)</f>
        <v>0</v>
      </c>
      <c r="DI184" s="909">
        <f>ROUND(IF(WWWW[[#This Row],[Location Type 1]]="camp",WWWW[[#This Row],[Total PoP ]]/20,IF(WWWW[[#This Row],[Location Type 1]]="Temporary Location",WWWW[[#This Row],[Total PoP ]]/50,(WWWW[[#This Row],[Total PoP ]]/6))),0)</f>
        <v>1</v>
      </c>
      <c r="DJ184" s="909">
        <f>IF(WWWW[[#This Row],[Total required Latrines]]-(WWWW[[#This Row],['#_Constructed latrines_by_WASHAgencies]]+WWWW[[#This Row],['#_Non Cluster partner latrines]])&lt;0,0,WWWW[[#This Row],[Total required Latrines]]-(WWWW[[#This Row],['#_Constructed latrines_by_WASHAgencies]]+WWWW[[#This Row],['#_Non Cluster partner latrines]]))</f>
        <v>0</v>
      </c>
      <c r="DK184" s="911">
        <f>1-WWWW[[#This Row],[% people access to functioning Latrine]]</f>
        <v>0</v>
      </c>
      <c r="DL184" s="910">
        <f>IF(OR(WWWW[[#This Row],['#_Non-functional latrines]]="",WWWW[[#This Row],['#_Non-functional latrines]]=0),0,WWWW[[#This Row],['#_Non-functional latrines]]/(WWWW[[#This Row],['#_Constructed latrines_by_WASHAgencies]]+WWWW[[#This Row],['#_Non Cluster partner latrines]]))</f>
        <v>0</v>
      </c>
      <c r="DM184" s="906">
        <f>IF(500*(WWWW[[#This Row],['#_male hygiene promoters]]+WWWW[[#This Row],['#_female hygiene promoters]])&gt;WWWW[[#This Row],[Total PoP ]],WWWW[[#This Row],[Total PoP ]],500*(WWWW[[#This Row],['#_male hygiene promoters]]+WWWW[[#This Row],['#_female hygiene promoters]]))</f>
        <v>24</v>
      </c>
      <c r="DN184"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84"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84" s="909">
        <f>IF(WWWW[[#This Row],['# People with access to soap]]&gt;WWWW[[#This Row],['# People with access to Sanity Pads]],WWWW[[#This Row],['# People with access to soap]],WWWW[[#This Row],['# People with access to Sanity Pads]])</f>
        <v>0</v>
      </c>
      <c r="DQ184" s="909">
        <f>IF(WWWW[[#This Row],['# people reached by regular dedicated hygiene promotion_5]]&gt;WWWW[[#This Row],['# People received regular supply of hygiene items_6]],WWWW[[#This Row],['# people reached by regular dedicated hygiene promotion_5]],WWWW[[#This Row],['# People received regular supply of hygiene items_6]])</f>
        <v>24</v>
      </c>
      <c r="DR184" s="911">
        <f>IF(WWWW[[#This Row],[HRP3]]/WWWW[[#This Row],[Total PoP ]]&gt;1,1,WWWW[[#This Row],[HRP3]]/WWWW[[#This Row],[Total PoP ]])</f>
        <v>1</v>
      </c>
      <c r="DS184" s="910">
        <f>1-WWWW[[#This Row],[Hygiene Coverage%]]</f>
        <v>0</v>
      </c>
      <c r="DT184" s="908">
        <f>WWWW[[#This Row],['# people reached by regular dedicated hygiene promotion_5]]/WWWW[[#This Row],[Total PoP ]]</f>
        <v>1</v>
      </c>
      <c r="DU184"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84"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84" s="909">
        <f>WWWW[[#This Row],['#_Constructed/Existing hand washing stations]]-WWWW[[#This Row],['#_Non-Functional_hand_washing_stations]]</f>
        <v>1</v>
      </c>
      <c r="DX184" s="906">
        <f>IF(WWWW[[#This Row],['# Functional hand washing stations during reporting period]]*20&gt;WWWW[[#This Row],[Total HH]],WWWW[[#This Row],[Total HH]],WWWW[[#This Row],['# Functional hand washing stations during reporting period]]*20)</f>
        <v>5</v>
      </c>
      <c r="DY184" s="906">
        <f>IF(WWWW[[#This Row],[Is sufficient soap available for TLS? (Yes/No)]]="yes",WWWW[[#This Row],['#_Constructed/Existing hand washing stations at TLS/CFS/THF]],0)</f>
        <v>0</v>
      </c>
      <c r="DZ184" s="421">
        <f>IF(WWWW[[#This Row],['# Functional hand washing stations during reporting period]]*100&gt;WWWW[[#This Row],[Total PoP ]],WWWW[[#This Row],[Total PoP ]],WWWW[[#This Row],['# Functional hand washing stations during reporting period]]*100)</f>
        <v>24</v>
      </c>
      <c r="EA184" s="421" t="str">
        <f>IF(OR(WWWW[[#This Row],['#_students at TLS_CFS]]="",WWWW[[#This Row],['#_students at TLS_CFS]]=0),"No","Yes")</f>
        <v>No</v>
      </c>
      <c r="EB18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84" s="566">
        <f>WWWW[[#This Row],[%_of_affected_people_surveyed_who_report_feeling_satistfied_with_the_latrine_design_and_sanitation_service]]*WWWW[[#This Row],[Total PoP ]]</f>
        <v>0</v>
      </c>
      <c r="ED184" s="566">
        <f>WWWW[[#This Row],[%_of_affected_people_surveyed_who_report_feeling_satistfied_with_the_water_point_design_and_water_service]]*WWWW[[#This Row],[Total PoP ]]</f>
        <v>0</v>
      </c>
      <c r="EE184" s="566">
        <f>WWWW[[#This Row],[%_of_complaints_received_that_result_in_timely_corrective_action_and_feedback_to_the_community]]*WWWW[[#This Row],[Total PoP ]]</f>
        <v>0</v>
      </c>
      <c r="EF18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8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8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84" s="902" t="str">
        <f>VLOOKUP(WWWW[[#This Row],[Site Name]],SiteDB6[[Site Name]:[CCCM Management]],6,FALSE)</f>
        <v>Yes</v>
      </c>
      <c r="EJ184" s="902" t="str">
        <f>VLOOKUP(WWWW[[#This Row],[Site Name]],SiteDB6[[Site Name]:[CCCM Focal Agency]],7,FALSE)</f>
        <v>Shalom</v>
      </c>
      <c r="EK184" s="902" t="str">
        <f>VLOOKUP(WWWW[[#This Row],[Site Name]],SiteDB6[[Site Name]:[Location Type 1]],9,FALSE)</f>
        <v>Camp</v>
      </c>
      <c r="EL184" s="902" t="str">
        <f>VLOOKUP(WWWW[[#This Row],[Site Name]],SiteDB6[[Site Name]:[Type of Accommodation]],10,FALSE)</f>
        <v>Closed Camp</v>
      </c>
      <c r="EM184" s="902" t="str">
        <f>VLOOKUP(WWWW[[#This Row],[Site Name]],SiteDB6[[Site Name]:[Ethnic or GCA/NGCA]],11,FALSE)</f>
        <v>GCA</v>
      </c>
      <c r="EN184" s="902">
        <f>VLOOKUP(WWWW[[#This Row],[Site Name]],SiteDB6[[Site Name]:[Lat]],12,FALSE)</f>
        <v>25.582065</v>
      </c>
      <c r="EO184" s="902">
        <f>VLOOKUP(WWWW[[#This Row],[Site Name]],SiteDB6[[Site Name]:[Long]],13,FALSE)</f>
        <v>96.283377000000002</v>
      </c>
      <c r="EP184" s="902" t="str">
        <f>VLOOKUP(WWWW[[#This Row],[Site Name]],SiteDB6[[Site Name]:[Pcode]],3,FALSE)</f>
        <v>MMR001CMP109</v>
      </c>
      <c r="EQ184" s="907" t="str">
        <f t="shared" si="2"/>
        <v>Covered</v>
      </c>
      <c r="ER184" s="907" t="s">
        <v>3126</v>
      </c>
      <c r="ES184" s="907" t="s">
        <v>3126</v>
      </c>
      <c r="ET184" s="902">
        <f>VLOOKUP(WWWW[[#This Row],[Site Name]],SiteDB6[[Site Name]:[Pop
(Kachin/Shan-CCCM as of May 2023)]],16,FALSE)</f>
        <v>5</v>
      </c>
      <c r="EU184" s="902">
        <f>VLOOKUP(WWWW[[#This Row],[Site Name]],SiteDB6[[Site Name]:[Pop
(Kachin/Shan-CCCM as of May 2023)]],17,FALSE)</f>
        <v>26</v>
      </c>
    </row>
    <row r="185" spans="1:151" hidden="1">
      <c r="A185" s="900" t="s">
        <v>2961</v>
      </c>
      <c r="B185" s="900" t="s">
        <v>242</v>
      </c>
      <c r="C185" s="901" t="s">
        <v>242</v>
      </c>
      <c r="D185" s="901" t="s">
        <v>3184</v>
      </c>
      <c r="E185" s="901" t="s">
        <v>37</v>
      </c>
      <c r="F185" s="901" t="s">
        <v>148</v>
      </c>
      <c r="G185" s="902" t="str">
        <f>VLOOKUP(WWWW[[#This Row],[Site Name]],SiteDB6[[Site Name]:[Location Type]],8,FALSE)</f>
        <v>Camp</v>
      </c>
      <c r="H185" s="901" t="s">
        <v>252</v>
      </c>
      <c r="I185" s="903">
        <v>91</v>
      </c>
      <c r="J185" s="903">
        <v>451</v>
      </c>
      <c r="K185" s="904">
        <v>44927</v>
      </c>
      <c r="L185" s="905">
        <v>45291</v>
      </c>
      <c r="M185" s="903">
        <v>199</v>
      </c>
      <c r="N185" s="903"/>
      <c r="O185" s="903">
        <v>1</v>
      </c>
      <c r="P185" s="903"/>
      <c r="Q185" s="906" t="s">
        <v>41</v>
      </c>
      <c r="R185" s="903">
        <v>3</v>
      </c>
      <c r="S185" s="903">
        <v>6</v>
      </c>
      <c r="T185" s="441">
        <v>1</v>
      </c>
      <c r="U185" s="903"/>
      <c r="V185" s="903"/>
      <c r="W185" s="903">
        <v>1</v>
      </c>
      <c r="X185" s="903"/>
      <c r="Y185" s="903"/>
      <c r="Z185" s="903"/>
      <c r="AA185" s="903"/>
      <c r="AB185" s="903"/>
      <c r="AC185" s="903"/>
      <c r="AD185" s="903"/>
      <c r="AE185" s="903">
        <v>1</v>
      </c>
      <c r="AF185" s="903"/>
      <c r="AG185" s="903"/>
      <c r="AH185" s="903">
        <v>1</v>
      </c>
      <c r="AI185" s="903"/>
      <c r="AJ185" s="903"/>
      <c r="AK185" s="903"/>
      <c r="AL185" s="903"/>
      <c r="AM185" s="903">
        <v>1</v>
      </c>
      <c r="AN185" s="903">
        <v>1</v>
      </c>
      <c r="AO185" s="441">
        <v>1</v>
      </c>
      <c r="AP185" s="907" t="s">
        <v>3205</v>
      </c>
      <c r="AQ185" s="903">
        <v>23</v>
      </c>
      <c r="AR185" s="903"/>
      <c r="AS185" s="908"/>
      <c r="AT185" s="903">
        <v>1</v>
      </c>
      <c r="AU185" s="903">
        <v>19</v>
      </c>
      <c r="AV185" s="903"/>
      <c r="AW185" s="903"/>
      <c r="AX185" s="903"/>
      <c r="AY185" s="902" t="s">
        <v>41</v>
      </c>
      <c r="AZ185" s="907" t="s">
        <v>137</v>
      </c>
      <c r="BA185" s="903">
        <v>1</v>
      </c>
      <c r="BB185" s="903"/>
      <c r="BC185" s="903"/>
      <c r="BD185" s="441"/>
      <c r="BE185" s="441">
        <v>3</v>
      </c>
      <c r="BF185" s="902" t="s">
        <v>3206</v>
      </c>
      <c r="BG185" s="903">
        <v>6</v>
      </c>
      <c r="BH185" s="903">
        <v>2</v>
      </c>
      <c r="BI185" s="903"/>
      <c r="BJ185" s="903">
        <v>3</v>
      </c>
      <c r="BK185" s="903"/>
      <c r="BL185" s="903"/>
      <c r="BM185" s="903">
        <v>1</v>
      </c>
      <c r="BN185" s="903">
        <v>91</v>
      </c>
      <c r="BO185" s="903">
        <v>131</v>
      </c>
      <c r="BP185" s="902" t="s">
        <v>136</v>
      </c>
      <c r="BQ185" s="909">
        <v>1</v>
      </c>
      <c r="BR185" s="908">
        <v>0.3</v>
      </c>
      <c r="BS185" s="902" t="s">
        <v>3207</v>
      </c>
      <c r="BT185" s="416">
        <v>0.4</v>
      </c>
      <c r="BU185" s="416">
        <v>0.4</v>
      </c>
      <c r="BV185" s="418">
        <v>20</v>
      </c>
      <c r="BW185" s="416">
        <v>0.5</v>
      </c>
      <c r="BX185" s="441"/>
      <c r="BY185" s="441"/>
      <c r="BZ185" s="441"/>
      <c r="CA185" s="441"/>
      <c r="CB185" s="441"/>
      <c r="CC185" s="693"/>
      <c r="CD185" s="441"/>
      <c r="CE185" s="910" t="str">
        <f>IFERROR(WWWW[[#This Row],['#_Water sources passed]]/WWWW[[#This Row],['#_Water sources tested for fecal coliform ]],"no test")</f>
        <v>no test</v>
      </c>
      <c r="CF185" s="908" t="str">
        <f>IFERROR(WWWW[[#This Row],['#_Household passed]]/WWWW[[#This Row],['#_Household water samples tested for fecal coliform]],"no test")</f>
        <v>no test</v>
      </c>
      <c r="CG185" s="909" t="str">
        <f>IF(AND(WWWW[[#This Row],[% of water sources passed]]="no test",WWWW[[#This Row],[% Household passed]]="no test"),"No Test","Tested")</f>
        <v>No Test</v>
      </c>
      <c r="CH185" s="909">
        <f>WWWW[[#This Row],['#_Constructed/existing protected hand dug well]]-WWWW[[#This Row],['#_Non-functional protected hand dug well]]</f>
        <v>1</v>
      </c>
      <c r="CI185" s="909">
        <f>(WWWW[[#This Row],['#_Constructed/Existing tube wells/boreholes/handpumps_WASH_agency]]+WWWW[[#This Row],['#_Non-Cluster partner water tube-wells/boreholes/handpumps]])-WWWW[[#This Row],['#_Non-functional tube wells/boreholes/handpumps]]</f>
        <v>1</v>
      </c>
      <c r="CJ185" s="909">
        <f>WWWW[[#This Row],['#_Constructed/Existingwater storage tank with gravity fed reticulation system]]-WWWW[[#This Row],['#_Non-functional storage tank gravity fed reticulation system]]</f>
        <v>0</v>
      </c>
      <c r="CK185" s="909">
        <f>(WWWW[[#This Row],['#_Water_Liters_supplied_by_Water boating or water trucking]]/90)/15</f>
        <v>0</v>
      </c>
      <c r="CL185" s="909">
        <f>WWWW[[#This Row],['#_Water_Liters_from_Constructed/Existing water distribution system from river or natural spring]]/90/15</f>
        <v>0</v>
      </c>
      <c r="CM185" s="417">
        <f>IF(WWWW[[#This Row],['#_of water points in TLS/CFS]]*500&gt;WWWW[[#This Row],[Total PoP ]],WWWW[[#This Row],[Total PoP ]],WWWW[[#This Row],['#_of water points in TLS/CFS]]*500)</f>
        <v>451</v>
      </c>
      <c r="CN185" s="417">
        <f>IF(WWWW[[#This Row],['#_of water points in THF]]*500&gt;WWWW[[#This Row],[Total PoP ]],WWWW[[#This Row],[Total PoP ]],WWWW[[#This Row],['#_of water points in THF]]*500)</f>
        <v>451</v>
      </c>
      <c r="CO185" s="417"/>
      <c r="CP185"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85"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85" s="908">
        <f>IF(WWWW[[#This Row],[Location Type 1]]="Village",WWWW[[#This Row],[Access to safe drinking water for Village]],WWWW[[#This Row],[Access to safe drinking water for Camp]])</f>
        <v>1</v>
      </c>
      <c r="CS185" s="906">
        <f>WWWW[[#This Row],[%Equitable and continuous access to sufficient quantity of safe drinking water]]*WWWW[[#This Row],[Total PoP ]]</f>
        <v>451</v>
      </c>
      <c r="CT185" s="908">
        <f>IF((WWWW[[#This Row],['#_Constructed/Existing protected/fenced ponds]]*250)/WWWW[[#This Row],[Total PoP ]]&gt;1,1,(WWWW[[#This Row],['#_Constructed/Existing protected/fenced ponds]]*250)/WWWW[[#This Row],[Total PoP ]])</f>
        <v>0.55432372505543237</v>
      </c>
      <c r="CU185" s="906">
        <f>WWWW[[#This Row],[% Access to unimproved water points]]*WWWW[[#This Row],[Total PoP ]]</f>
        <v>250</v>
      </c>
      <c r="CV185"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85"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451</v>
      </c>
      <c r="CX185" s="906">
        <f>WWWW[[#This Row],[HRP1]]/500</f>
        <v>0.90200000000000002</v>
      </c>
      <c r="CY185" s="911">
        <f>1-WWWW[[#This Row],[% Equitable and continuous access to sufficient quantity of domestic water]]</f>
        <v>0</v>
      </c>
      <c r="CZ185" s="906">
        <f>WWWW[[#This Row],[%equitable and continuous access to sufficient quantity of safe drinking and domestic water''s GAP]]*WWWW[[#This Row],[Total PoP ]]</f>
        <v>0</v>
      </c>
      <c r="DA185" s="909">
        <f>IF(WWWW[[#This Row],[Total required water points]]-WWWW[[#This Row],['#Water points coverage]]&lt;0,0,WWWW[[#This Row],[Total required water points]]-WWWW[[#This Row],['#Water points coverage]])</f>
        <v>9.7999999999999976E-2</v>
      </c>
      <c r="DB185" s="909">
        <f>ROUND(IF(WWWW[[#This Row],[Total PoP ]]&lt;500,1,WWWW[[#This Row],[Total PoP ]]/500),0)</f>
        <v>1</v>
      </c>
      <c r="DC185" s="909">
        <f>(WWWW[[#This Row],['#_Constructed latrines_by_WASHAgencies]]+WWWW[[#This Row],['#_Non Cluster partner latrines]])-WWWW[[#This Row],['#_Non-functional latrines]]</f>
        <v>22</v>
      </c>
      <c r="DD185" s="615">
        <f>WWWW[[#This Row],[HRP2]]/WWWW[[#This Row],[Total PoP ]]</f>
        <v>1</v>
      </c>
      <c r="DE185"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451</v>
      </c>
      <c r="DF185"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85"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85" s="417">
        <f>IF(WWWW[[#This Row],['# of functional latrines in THF supported by WASH partners during the reporting period2]]="",0,WWWW[[#This Row],['# of functional latrines in THF supported by WASH partners during the reporting period2]]*50)</f>
        <v>0</v>
      </c>
      <c r="DI185" s="909">
        <f>ROUND(IF(WWWW[[#This Row],[Location Type 1]]="camp",WWWW[[#This Row],[Total PoP ]]/20,IF(WWWW[[#This Row],[Location Type 1]]="Temporary Location",WWWW[[#This Row],[Total PoP ]]/50,(WWWW[[#This Row],[Total PoP ]]/6))),0)</f>
        <v>23</v>
      </c>
      <c r="DJ185" s="909">
        <f>IF(WWWW[[#This Row],[Total required Latrines]]-(WWWW[[#This Row],['#_Constructed latrines_by_WASHAgencies]]+WWWW[[#This Row],['#_Non Cluster partner latrines]])&lt;0,0,WWWW[[#This Row],[Total required Latrines]]-(WWWW[[#This Row],['#_Constructed latrines_by_WASHAgencies]]+WWWW[[#This Row],['#_Non Cluster partner latrines]]))</f>
        <v>0</v>
      </c>
      <c r="DK185" s="911">
        <f>1-WWWW[[#This Row],[% people access to functioning Latrine]]</f>
        <v>0</v>
      </c>
      <c r="DL185" s="910">
        <f>IF(OR(WWWW[[#This Row],['#_Non-functional latrines]]="",WWWW[[#This Row],['#_Non-functional latrines]]=0),0,WWWW[[#This Row],['#_Non-functional latrines]]/(WWWW[[#This Row],['#_Constructed latrines_by_WASHAgencies]]+WWWW[[#This Row],['#_Non Cluster partner latrines]]))</f>
        <v>4.3478260869565216E-2</v>
      </c>
      <c r="DM185" s="906">
        <f>IF(500*(WWWW[[#This Row],['#_male hygiene promoters]]+WWWW[[#This Row],['#_female hygiene promoters]])&gt;WWWW[[#This Row],[Total PoP ]],WWWW[[#This Row],[Total PoP ]],500*(WWWW[[#This Row],['#_male hygiene promoters]]+WWWW[[#This Row],['#_female hygiene promoters]]))</f>
        <v>451</v>
      </c>
      <c r="DN185"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451</v>
      </c>
      <c r="DO185"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131</v>
      </c>
      <c r="DP185" s="909">
        <f>IF(WWWW[[#This Row],['# People with access to soap]]&gt;WWWW[[#This Row],['# People with access to Sanity Pads]],WWWW[[#This Row],['# People with access to soap]],WWWW[[#This Row],['# People with access to Sanity Pads]])</f>
        <v>451</v>
      </c>
      <c r="DQ185" s="909">
        <f>IF(WWWW[[#This Row],['# people reached by regular dedicated hygiene promotion_5]]&gt;WWWW[[#This Row],['# People received regular supply of hygiene items_6]],WWWW[[#This Row],['# people reached by regular dedicated hygiene promotion_5]],WWWW[[#This Row],['# People received regular supply of hygiene items_6]])</f>
        <v>451</v>
      </c>
      <c r="DR185" s="911">
        <f>IF(WWWW[[#This Row],[HRP3]]/WWWW[[#This Row],[Total PoP ]]&gt;1,1,WWWW[[#This Row],[HRP3]]/WWWW[[#This Row],[Total PoP ]])</f>
        <v>1</v>
      </c>
      <c r="DS185" s="910">
        <f>1-WWWW[[#This Row],[Hygiene Coverage%]]</f>
        <v>0</v>
      </c>
      <c r="DT185" s="908">
        <f>WWWW[[#This Row],['# people reached by regular dedicated hygiene promotion_5]]/WWWW[[#This Row],[Total PoP ]]</f>
        <v>1</v>
      </c>
      <c r="DU185"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185"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185" s="909">
        <f>WWWW[[#This Row],['#_Constructed/Existing hand washing stations]]-WWWW[[#This Row],['#_Non-Functional_hand_washing_stations]]</f>
        <v>4</v>
      </c>
      <c r="DX185" s="906">
        <f>IF(WWWW[[#This Row],['# Functional hand washing stations during reporting period]]*20&gt;WWWW[[#This Row],[Total HH]],WWWW[[#This Row],[Total HH]],WWWW[[#This Row],['# Functional hand washing stations during reporting period]]*20)</f>
        <v>80</v>
      </c>
      <c r="DY185" s="906">
        <f>IF(WWWW[[#This Row],[Is sufficient soap available for TLS? (Yes/No)]]="yes",WWWW[[#This Row],['#_Constructed/Existing hand washing stations at TLS/CFS/THF]],0)</f>
        <v>0</v>
      </c>
      <c r="DZ185" s="421">
        <f>IF(WWWW[[#This Row],['# Functional hand washing stations during reporting period]]*100&gt;WWWW[[#This Row],[Total PoP ]],WWWW[[#This Row],[Total PoP ]],WWWW[[#This Row],['# Functional hand washing stations during reporting period]]*100)</f>
        <v>400</v>
      </c>
      <c r="EA185" s="421" t="str">
        <f>IF(OR(WWWW[[#This Row],['#_students at TLS_CFS]]="",WWWW[[#This Row],['#_students at TLS_CFS]]=0),"No","Yes")</f>
        <v>Yes</v>
      </c>
      <c r="EB185" s="615">
        <f>IF(WWWW[[#This Row],['#_of_affected_people_surveyed_who_report_feeling_informed_about_the_different_WASH_services_available_to_them]]="","",WWWW[[#This Row],['#_of_affected_people_surveyed_who_report_feeling_informed_about_the_different_WASH_services_available_to_them]]/WWWW[[#This Row],[Total PoP ]])</f>
        <v>4.4345898004434593E-2</v>
      </c>
      <c r="EC185" s="566">
        <f>WWWW[[#This Row],[%_of_affected_people_surveyed_who_report_feeling_satistfied_with_the_latrine_design_and_sanitation_service]]*WWWW[[#This Row],[Total PoP ]]</f>
        <v>180.4</v>
      </c>
      <c r="ED185" s="566">
        <f>WWWW[[#This Row],[%_of_affected_people_surveyed_who_report_feeling_satistfied_with_the_water_point_design_and_water_service]]*WWWW[[#This Row],[Total PoP ]]</f>
        <v>180.4</v>
      </c>
      <c r="EE185" s="566">
        <f>WWWW[[#This Row],[%_of_complaints_received_that_result_in_timely_corrective_action_and_feedback_to_the_community]]*WWWW[[#This Row],[Total PoP ]]</f>
        <v>225.5</v>
      </c>
      <c r="EF18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225.5</v>
      </c>
      <c r="EG18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451</v>
      </c>
      <c r="EH18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451</v>
      </c>
      <c r="EI185" s="902" t="str">
        <f>VLOOKUP(WWWW[[#This Row],[Site Name]],SiteDB6[[Site Name]:[CCCM Management]],6,FALSE)</f>
        <v>Yes</v>
      </c>
      <c r="EJ185" s="902" t="str">
        <f>VLOOKUP(WWWW[[#This Row],[Site Name]],SiteDB6[[Site Name]:[CCCM Focal Agency]],7,FALSE)</f>
        <v>Shalom</v>
      </c>
      <c r="EK185" s="902" t="str">
        <f>VLOOKUP(WWWW[[#This Row],[Site Name]],SiteDB6[[Site Name]:[Location Type 1]],9,FALSE)</f>
        <v>Camp</v>
      </c>
      <c r="EL185" s="902" t="str">
        <f>VLOOKUP(WWWW[[#This Row],[Site Name]],SiteDB6[[Site Name]:[Type of Accommodation]],10,FALSE)</f>
        <v>Camp</v>
      </c>
      <c r="EM185" s="902" t="str">
        <f>VLOOKUP(WWWW[[#This Row],[Site Name]],SiteDB6[[Site Name]:[Ethnic or GCA/NGCA]],11,FALSE)</f>
        <v>GCA</v>
      </c>
      <c r="EN185" s="902">
        <f>VLOOKUP(WWWW[[#This Row],[Site Name]],SiteDB6[[Site Name]:[Lat]],12,FALSE)</f>
        <v>25.637309999999999</v>
      </c>
      <c r="EO185" s="902">
        <f>VLOOKUP(WWWW[[#This Row],[Site Name]],SiteDB6[[Site Name]:[Long]],13,FALSE)</f>
        <v>96.35257</v>
      </c>
      <c r="EP185" s="902" t="str">
        <f>VLOOKUP(WWWW[[#This Row],[Site Name]],SiteDB6[[Site Name]:[Pcode]],3,FALSE)</f>
        <v>MMR001CMP174</v>
      </c>
      <c r="EQ185" s="907" t="str">
        <f t="shared" si="2"/>
        <v>Covered</v>
      </c>
      <c r="ER185" s="907" t="s">
        <v>3126</v>
      </c>
      <c r="ES185" s="907" t="s">
        <v>3126</v>
      </c>
      <c r="ET185" s="902">
        <f>VLOOKUP(WWWW[[#This Row],[Site Name]],SiteDB6[[Site Name]:[Pop
(Kachin/Shan-CCCM as of May 2023)]],16,FALSE)</f>
        <v>91</v>
      </c>
      <c r="EU185" s="902">
        <f>VLOOKUP(WWWW[[#This Row],[Site Name]],SiteDB6[[Site Name]:[Pop
(Kachin/Shan-CCCM as of May 2023)]],17,FALSE)</f>
        <v>454</v>
      </c>
    </row>
    <row r="186" spans="1:151" hidden="1">
      <c r="A186" s="900" t="s">
        <v>2961</v>
      </c>
      <c r="B186" s="900" t="s">
        <v>242</v>
      </c>
      <c r="C186" s="901" t="s">
        <v>242</v>
      </c>
      <c r="D186" s="901" t="s">
        <v>3184</v>
      </c>
      <c r="E186" s="901" t="s">
        <v>37</v>
      </c>
      <c r="F186" s="901" t="s">
        <v>148</v>
      </c>
      <c r="G186" s="902" t="str">
        <f>VLOOKUP(WWWW[[#This Row],[Site Name]],SiteDB6[[Site Name]:[Location Type]],8,FALSE)</f>
        <v>Camp</v>
      </c>
      <c r="H186" s="901" t="s">
        <v>254</v>
      </c>
      <c r="I186" s="903">
        <v>95</v>
      </c>
      <c r="J186" s="903">
        <v>471</v>
      </c>
      <c r="K186" s="904">
        <v>44927</v>
      </c>
      <c r="L186" s="905">
        <v>45291</v>
      </c>
      <c r="M186" s="903">
        <v>90</v>
      </c>
      <c r="N186" s="903"/>
      <c r="O186" s="903">
        <v>1</v>
      </c>
      <c r="P186" s="903"/>
      <c r="Q186" s="906" t="s">
        <v>136</v>
      </c>
      <c r="R186" s="903">
        <v>7</v>
      </c>
      <c r="S186" s="903">
        <v>3</v>
      </c>
      <c r="T186" s="441"/>
      <c r="U186" s="903"/>
      <c r="V186" s="903"/>
      <c r="W186" s="903"/>
      <c r="X186" s="903"/>
      <c r="Y186" s="903"/>
      <c r="Z186" s="903"/>
      <c r="AA186" s="903">
        <v>2</v>
      </c>
      <c r="AB186" s="903"/>
      <c r="AC186" s="903">
        <v>1</v>
      </c>
      <c r="AD186" s="903"/>
      <c r="AE186" s="903">
        <v>2</v>
      </c>
      <c r="AF186" s="903"/>
      <c r="AG186" s="903">
        <v>7</v>
      </c>
      <c r="AH186" s="903">
        <v>1</v>
      </c>
      <c r="AI186" s="903"/>
      <c r="AJ186" s="903"/>
      <c r="AK186" s="903"/>
      <c r="AL186" s="903"/>
      <c r="AM186" s="903">
        <v>1</v>
      </c>
      <c r="AN186" s="903"/>
      <c r="AO186" s="441"/>
      <c r="AP186" s="907" t="s">
        <v>3208</v>
      </c>
      <c r="AQ186" s="903">
        <v>14</v>
      </c>
      <c r="AR186" s="903"/>
      <c r="AS186" s="908" t="s">
        <v>242</v>
      </c>
      <c r="AT186" s="903"/>
      <c r="AU186" s="903"/>
      <c r="AV186" s="903">
        <v>3</v>
      </c>
      <c r="AW186" s="903"/>
      <c r="AX186" s="903"/>
      <c r="AY186" s="902" t="s">
        <v>41</v>
      </c>
      <c r="AZ186" s="907" t="s">
        <v>137</v>
      </c>
      <c r="BA186" s="903"/>
      <c r="BB186" s="903"/>
      <c r="BC186" s="903">
        <v>2</v>
      </c>
      <c r="BD186" s="441"/>
      <c r="BE186" s="441"/>
      <c r="BF186" s="902"/>
      <c r="BG186" s="903">
        <v>3</v>
      </c>
      <c r="BH186" s="903"/>
      <c r="BI186" s="903"/>
      <c r="BJ186" s="903">
        <v>2</v>
      </c>
      <c r="BK186" s="903"/>
      <c r="BL186" s="903">
        <v>1</v>
      </c>
      <c r="BM186" s="903"/>
      <c r="BN186" s="903">
        <v>100</v>
      </c>
      <c r="BO186" s="903">
        <v>138</v>
      </c>
      <c r="BP186" s="902" t="s">
        <v>136</v>
      </c>
      <c r="BQ186" s="909">
        <v>1</v>
      </c>
      <c r="BR186" s="908">
        <v>0.5</v>
      </c>
      <c r="BS186" s="902" t="s">
        <v>3209</v>
      </c>
      <c r="BT186" s="416">
        <v>1</v>
      </c>
      <c r="BU186" s="416">
        <v>1</v>
      </c>
      <c r="BV186" s="418">
        <v>10</v>
      </c>
      <c r="BW186" s="416">
        <v>1</v>
      </c>
      <c r="BX186" s="441"/>
      <c r="BY186" s="441"/>
      <c r="BZ186" s="441"/>
      <c r="CA186" s="441"/>
      <c r="CB186" s="441"/>
      <c r="CC186" s="693"/>
      <c r="CD186" s="441"/>
      <c r="CE186" s="910" t="str">
        <f>IFERROR(WWWW[[#This Row],['#_Water sources passed]]/WWWW[[#This Row],['#_Water sources tested for fecal coliform ]],"no test")</f>
        <v>no test</v>
      </c>
      <c r="CF186" s="908" t="str">
        <f>IFERROR(WWWW[[#This Row],['#_Household passed]]/WWWW[[#This Row],['#_Household water samples tested for fecal coliform]],"no test")</f>
        <v>no test</v>
      </c>
      <c r="CG186" s="909" t="str">
        <f>IF(AND(WWWW[[#This Row],[% of water sources passed]]="no test",WWWW[[#This Row],[% Household passed]]="no test"),"No Test","Tested")</f>
        <v>No Test</v>
      </c>
      <c r="CH186" s="909">
        <f>WWWW[[#This Row],['#_Constructed/existing protected hand dug well]]-WWWW[[#This Row],['#_Non-functional protected hand dug well]]</f>
        <v>0</v>
      </c>
      <c r="CI186" s="909">
        <f>(WWWW[[#This Row],['#_Constructed/Existing tube wells/boreholes/handpumps_WASH_agency]]+WWWW[[#This Row],['#_Non-Cluster partner water tube-wells/boreholes/handpumps]])-WWWW[[#This Row],['#_Non-functional tube wells/boreholes/handpumps]]</f>
        <v>0</v>
      </c>
      <c r="CJ186" s="909">
        <f>WWWW[[#This Row],['#_Constructed/Existingwater storage tank with gravity fed reticulation system]]-WWWW[[#This Row],['#_Non-functional storage tank gravity fed reticulation system]]</f>
        <v>2</v>
      </c>
      <c r="CK186" s="909">
        <f>(WWWW[[#This Row],['#_Water_Liters_supplied_by_Water boating or water trucking]]/90)/15</f>
        <v>0</v>
      </c>
      <c r="CL186" s="909">
        <f>WWWW[[#This Row],['#_Water_Liters_from_Constructed/Existing water distribution system from river or natural spring]]/90/15</f>
        <v>0</v>
      </c>
      <c r="CM186" s="417">
        <f>IF(WWWW[[#This Row],['#_of water points in TLS/CFS]]*500&gt;WWWW[[#This Row],[Total PoP ]],WWWW[[#This Row],[Total PoP ]],WWWW[[#This Row],['#_of water points in TLS/CFS]]*500)</f>
        <v>0</v>
      </c>
      <c r="CN186" s="417">
        <f>IF(WWWW[[#This Row],['#_of water points in THF]]*500&gt;WWWW[[#This Row],[Total PoP ]],WWWW[[#This Row],[Total PoP ]],WWWW[[#This Row],['#_of water points in THF]]*500)</f>
        <v>0</v>
      </c>
      <c r="CO186" s="417"/>
      <c r="CP186"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0.28308563340410475</v>
      </c>
      <c r="CQ186"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0.28308563340410475</v>
      </c>
      <c r="CR186" s="908">
        <f>IF(WWWW[[#This Row],[Location Type 1]]="Village",WWWW[[#This Row],[Access to safe drinking water for Village]],WWWW[[#This Row],[Access to safe drinking water for Camp]])</f>
        <v>0.28308563340410475</v>
      </c>
      <c r="CS186" s="906">
        <f>WWWW[[#This Row],[%Equitable and continuous access to sufficient quantity of safe drinking water]]*WWWW[[#This Row],[Total PoP ]]</f>
        <v>133.33333333333334</v>
      </c>
      <c r="CT186" s="908">
        <f>IF((WWWW[[#This Row],['#_Constructed/Existing protected/fenced ponds]]*250)/WWWW[[#This Row],[Total PoP ]]&gt;1,1,(WWWW[[#This Row],['#_Constructed/Existing protected/fenced ponds]]*250)/WWWW[[#This Row],[Total PoP ]])</f>
        <v>1</v>
      </c>
      <c r="CU186" s="906">
        <f>WWWW[[#This Row],[% Access to unimproved water points]]*WWWW[[#This Row],[Total PoP ]]</f>
        <v>471</v>
      </c>
      <c r="CV186"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86"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471</v>
      </c>
      <c r="CX186" s="906">
        <f>WWWW[[#This Row],[HRP1]]/500</f>
        <v>0.94199999999999995</v>
      </c>
      <c r="CY186" s="911">
        <f>1-WWWW[[#This Row],[% Equitable and continuous access to sufficient quantity of domestic water]]</f>
        <v>0</v>
      </c>
      <c r="CZ186" s="906">
        <f>WWWW[[#This Row],[%equitable and continuous access to sufficient quantity of safe drinking and domestic water''s GAP]]*WWWW[[#This Row],[Total PoP ]]</f>
        <v>0</v>
      </c>
      <c r="DA186" s="909">
        <f>IF(WWWW[[#This Row],[Total required water points]]-WWWW[[#This Row],['#Water points coverage]]&lt;0,0,WWWW[[#This Row],[Total required water points]]-WWWW[[#This Row],['#Water points coverage]])</f>
        <v>5.8000000000000052E-2</v>
      </c>
      <c r="DB186" s="909">
        <f>ROUND(IF(WWWW[[#This Row],[Total PoP ]]&lt;500,1,WWWW[[#This Row],[Total PoP ]]/500),0)</f>
        <v>1</v>
      </c>
      <c r="DC186" s="909">
        <f>(WWWW[[#This Row],['#_Constructed latrines_by_WASHAgencies]]+WWWW[[#This Row],['#_Non Cluster partner latrines]])-WWWW[[#This Row],['#_Non-functional latrines]]</f>
        <v>14</v>
      </c>
      <c r="DD186" s="615">
        <f>WWWW[[#This Row],[HRP2]]/WWWW[[#This Row],[Total PoP ]]</f>
        <v>0.59447983014861994</v>
      </c>
      <c r="DE186"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280</v>
      </c>
      <c r="DF186"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DG186"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90</v>
      </c>
      <c r="DH186" s="417">
        <f>IF(WWWW[[#This Row],['# of functional latrines in THF supported by WASH partners during the reporting period2]]="",0,WWWW[[#This Row],['# of functional latrines in THF supported by WASH partners during the reporting period2]]*50)</f>
        <v>0</v>
      </c>
      <c r="DI186" s="909">
        <f>ROUND(IF(WWWW[[#This Row],[Location Type 1]]="camp",WWWW[[#This Row],[Total PoP ]]/20,IF(WWWW[[#This Row],[Location Type 1]]="Temporary Location",WWWW[[#This Row],[Total PoP ]]/50,(WWWW[[#This Row],[Total PoP ]]/6))),0)</f>
        <v>24</v>
      </c>
      <c r="DJ186" s="909">
        <f>IF(WWWW[[#This Row],[Total required Latrines]]-(WWWW[[#This Row],['#_Constructed latrines_by_WASHAgencies]]+WWWW[[#This Row],['#_Non Cluster partner latrines]])&lt;0,0,WWWW[[#This Row],[Total required Latrines]]-(WWWW[[#This Row],['#_Constructed latrines_by_WASHAgencies]]+WWWW[[#This Row],['#_Non Cluster partner latrines]]))</f>
        <v>10</v>
      </c>
      <c r="DK186" s="911">
        <f>1-WWWW[[#This Row],[% people access to functioning Latrine]]</f>
        <v>0.40552016985138006</v>
      </c>
      <c r="DL186" s="910">
        <f>IF(OR(WWWW[[#This Row],['#_Non-functional latrines]]="",WWWW[[#This Row],['#_Non-functional latrines]]=0),0,WWWW[[#This Row],['#_Non-functional latrines]]/(WWWW[[#This Row],['#_Constructed latrines_by_WASHAgencies]]+WWWW[[#This Row],['#_Non Cluster partner latrines]]))</f>
        <v>0</v>
      </c>
      <c r="DM186" s="906">
        <f>IF(500*(WWWW[[#This Row],['#_male hygiene promoters]]+WWWW[[#This Row],['#_female hygiene promoters]])&gt;WWWW[[#This Row],[Total PoP ]],WWWW[[#This Row],[Total PoP ]],500*(WWWW[[#This Row],['#_male hygiene promoters]]+WWWW[[#This Row],['#_female hygiene promoters]]))</f>
        <v>471</v>
      </c>
      <c r="DN186"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471</v>
      </c>
      <c r="DO186"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138</v>
      </c>
      <c r="DP186" s="909">
        <f>IF(WWWW[[#This Row],['# People with access to soap]]&gt;WWWW[[#This Row],['# People with access to Sanity Pads]],WWWW[[#This Row],['# People with access to soap]],WWWW[[#This Row],['# People with access to Sanity Pads]])</f>
        <v>471</v>
      </c>
      <c r="DQ186" s="909">
        <f>IF(WWWW[[#This Row],['# people reached by regular dedicated hygiene promotion_5]]&gt;WWWW[[#This Row],['# People received regular supply of hygiene items_6]],WWWW[[#This Row],['# people reached by regular dedicated hygiene promotion_5]],WWWW[[#This Row],['# People received regular supply of hygiene items_6]])</f>
        <v>471</v>
      </c>
      <c r="DR186" s="911">
        <f>IF(WWWW[[#This Row],[HRP3]]/WWWW[[#This Row],[Total PoP ]]&gt;1,1,WWWW[[#This Row],[HRP3]]/WWWW[[#This Row],[Total PoP ]])</f>
        <v>1</v>
      </c>
      <c r="DS186" s="910">
        <f>1-WWWW[[#This Row],[Hygiene Coverage%]]</f>
        <v>0</v>
      </c>
      <c r="DT186" s="908">
        <f>WWWW[[#This Row],['# people reached by regular dedicated hygiene promotion_5]]/WWWW[[#This Row],[Total PoP ]]</f>
        <v>1</v>
      </c>
      <c r="DU186"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186"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186" s="909">
        <f>WWWW[[#This Row],['#_Constructed/Existing hand washing stations]]-WWWW[[#This Row],['#_Non-Functional_hand_washing_stations]]</f>
        <v>3</v>
      </c>
      <c r="DX186" s="906">
        <f>IF(WWWW[[#This Row],['# Functional hand washing stations during reporting period]]*20&gt;WWWW[[#This Row],[Total HH]],WWWW[[#This Row],[Total HH]],WWWW[[#This Row],['# Functional hand washing stations during reporting period]]*20)</f>
        <v>60</v>
      </c>
      <c r="DY186" s="906">
        <f>IF(WWWW[[#This Row],[Is sufficient soap available for TLS? (Yes/No)]]="yes",WWWW[[#This Row],['#_Constructed/Existing hand washing stations at TLS/CFS/THF]],0)</f>
        <v>0</v>
      </c>
      <c r="DZ186" s="421">
        <f>IF(WWWW[[#This Row],['# Functional hand washing stations during reporting period]]*100&gt;WWWW[[#This Row],[Total PoP ]],WWWW[[#This Row],[Total PoP ]],WWWW[[#This Row],['# Functional hand washing stations during reporting period]]*100)</f>
        <v>300</v>
      </c>
      <c r="EA186" s="421" t="str">
        <f>IF(OR(WWWW[[#This Row],['#_students at TLS_CFS]]="",WWWW[[#This Row],['#_students at TLS_CFS]]=0),"No","Yes")</f>
        <v>Yes</v>
      </c>
      <c r="EB186" s="615">
        <f>IF(WWWW[[#This Row],['#_of_affected_people_surveyed_who_report_feeling_informed_about_the_different_WASH_services_available_to_them]]="","",WWWW[[#This Row],['#_of_affected_people_surveyed_who_report_feeling_informed_about_the_different_WASH_services_available_to_them]]/WWWW[[#This Row],[Total PoP ]])</f>
        <v>2.1231422505307854E-2</v>
      </c>
      <c r="EC186" s="566">
        <f>WWWW[[#This Row],[%_of_affected_people_surveyed_who_report_feeling_satistfied_with_the_latrine_design_and_sanitation_service]]*WWWW[[#This Row],[Total PoP ]]</f>
        <v>471</v>
      </c>
      <c r="ED186" s="566">
        <f>WWWW[[#This Row],[%_of_affected_people_surveyed_who_report_feeling_satistfied_with_the_water_point_design_and_water_service]]*WWWW[[#This Row],[Total PoP ]]</f>
        <v>471</v>
      </c>
      <c r="EE186" s="566">
        <f>WWWW[[#This Row],[%_of_complaints_received_that_result_in_timely_corrective_action_and_feedback_to_the_community]]*WWWW[[#This Row],[Total PoP ]]</f>
        <v>471</v>
      </c>
      <c r="EF18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471</v>
      </c>
      <c r="EG18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90</v>
      </c>
      <c r="EH18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86" s="902" t="str">
        <f>VLOOKUP(WWWW[[#This Row],[Site Name]],SiteDB6[[Site Name]:[CCCM Management]],6,FALSE)</f>
        <v>Yes</v>
      </c>
      <c r="EJ186" s="902" t="str">
        <f>VLOOKUP(WWWW[[#This Row],[Site Name]],SiteDB6[[Site Name]:[CCCM Focal Agency]],7,FALSE)</f>
        <v>KBC-MYT</v>
      </c>
      <c r="EK186" s="902" t="str">
        <f>VLOOKUP(WWWW[[#This Row],[Site Name]],SiteDB6[[Site Name]:[Location Type 1]],9,FALSE)</f>
        <v>Camp</v>
      </c>
      <c r="EL186" s="902" t="str">
        <f>VLOOKUP(WWWW[[#This Row],[Site Name]],SiteDB6[[Site Name]:[Type of Accommodation]],10,FALSE)</f>
        <v>Camp</v>
      </c>
      <c r="EM186" s="902" t="str">
        <f>VLOOKUP(WWWW[[#This Row],[Site Name]],SiteDB6[[Site Name]:[Ethnic or GCA/NGCA]],11,FALSE)</f>
        <v>GCA</v>
      </c>
      <c r="EN186" s="902">
        <f>VLOOKUP(WWWW[[#This Row],[Site Name]],SiteDB6[[Site Name]:[Lat]],12,FALSE)</f>
        <v>25.611160000000002</v>
      </c>
      <c r="EO186" s="902">
        <f>VLOOKUP(WWWW[[#This Row],[Site Name]],SiteDB6[[Site Name]:[Long]],13,FALSE)</f>
        <v>96.312790000000007</v>
      </c>
      <c r="EP186" s="902" t="str">
        <f>VLOOKUP(WWWW[[#This Row],[Site Name]],SiteDB6[[Site Name]:[Pcode]],3,FALSE)</f>
        <v>MMR001CMP229</v>
      </c>
      <c r="EQ186" s="907" t="str">
        <f t="shared" si="2"/>
        <v>Covered</v>
      </c>
      <c r="ER186" s="907" t="s">
        <v>3126</v>
      </c>
      <c r="ES186" s="907" t="s">
        <v>3126</v>
      </c>
      <c r="ET186" s="902">
        <f>VLOOKUP(WWWW[[#This Row],[Site Name]],SiteDB6[[Site Name]:[Pop
(Kachin/Shan-CCCM as of May 2023)]],16,FALSE)</f>
        <v>83</v>
      </c>
      <c r="EU186" s="902">
        <f>VLOOKUP(WWWW[[#This Row],[Site Name]],SiteDB6[[Site Name]:[Pop
(Kachin/Shan-CCCM as of May 2023)]],17,FALSE)</f>
        <v>413</v>
      </c>
    </row>
    <row r="187" spans="1:151" hidden="1">
      <c r="A187" s="900" t="s">
        <v>2961</v>
      </c>
      <c r="B187" s="900" t="s">
        <v>242</v>
      </c>
      <c r="C187" s="901" t="s">
        <v>242</v>
      </c>
      <c r="D187" s="901" t="s">
        <v>3184</v>
      </c>
      <c r="E187" s="901" t="s">
        <v>37</v>
      </c>
      <c r="F187" s="901" t="s">
        <v>148</v>
      </c>
      <c r="G187" s="902" t="str">
        <f>VLOOKUP(WWWW[[#This Row],[Site Name]],SiteDB6[[Site Name]:[Location Type]],8,FALSE)</f>
        <v>Camp</v>
      </c>
      <c r="H187" s="901" t="s">
        <v>243</v>
      </c>
      <c r="I187" s="903">
        <v>124</v>
      </c>
      <c r="J187" s="903">
        <v>634</v>
      </c>
      <c r="K187" s="904">
        <v>44927</v>
      </c>
      <c r="L187" s="905">
        <v>45291</v>
      </c>
      <c r="M187" s="903"/>
      <c r="N187" s="903"/>
      <c r="O187" s="903">
        <v>1</v>
      </c>
      <c r="P187" s="903"/>
      <c r="Q187" s="906" t="s">
        <v>41</v>
      </c>
      <c r="R187" s="903">
        <v>4</v>
      </c>
      <c r="S187" s="903">
        <v>6</v>
      </c>
      <c r="T187" s="441">
        <v>1</v>
      </c>
      <c r="U187" s="903"/>
      <c r="V187" s="903"/>
      <c r="W187" s="903">
        <v>1</v>
      </c>
      <c r="X187" s="903">
        <v>1</v>
      </c>
      <c r="Y187" s="903">
        <v>1</v>
      </c>
      <c r="Z187" s="903"/>
      <c r="AA187" s="903">
        <v>1</v>
      </c>
      <c r="AB187" s="903"/>
      <c r="AC187" s="903">
        <v>1</v>
      </c>
      <c r="AD187" s="903"/>
      <c r="AE187" s="903">
        <v>1</v>
      </c>
      <c r="AF187" s="903"/>
      <c r="AG187" s="903">
        <v>5</v>
      </c>
      <c r="AH187" s="903">
        <v>5</v>
      </c>
      <c r="AI187" s="903"/>
      <c r="AJ187" s="903"/>
      <c r="AK187" s="903"/>
      <c r="AL187" s="903"/>
      <c r="AM187" s="903">
        <v>2</v>
      </c>
      <c r="AN187" s="903"/>
      <c r="AO187" s="441"/>
      <c r="AP187" s="907"/>
      <c r="AQ187" s="903">
        <v>29</v>
      </c>
      <c r="AR187" s="903"/>
      <c r="AS187" s="908" t="s">
        <v>242</v>
      </c>
      <c r="AT187" s="903"/>
      <c r="AU187" s="903"/>
      <c r="AV187" s="903">
        <v>13</v>
      </c>
      <c r="AW187" s="903"/>
      <c r="AX187" s="903"/>
      <c r="AY187" s="902" t="s">
        <v>41</v>
      </c>
      <c r="AZ187" s="907" t="s">
        <v>137</v>
      </c>
      <c r="BA187" s="903">
        <v>1</v>
      </c>
      <c r="BB187" s="903"/>
      <c r="BC187" s="903"/>
      <c r="BD187" s="441"/>
      <c r="BE187" s="441">
        <v>6</v>
      </c>
      <c r="BF187" s="902"/>
      <c r="BG187" s="903">
        <v>7</v>
      </c>
      <c r="BH187" s="903">
        <v>4</v>
      </c>
      <c r="BI187" s="903"/>
      <c r="BJ187" s="903">
        <v>4</v>
      </c>
      <c r="BK187" s="903"/>
      <c r="BL187" s="903"/>
      <c r="BM187" s="903">
        <v>1</v>
      </c>
      <c r="BN187" s="903">
        <v>124</v>
      </c>
      <c r="BO187" s="903">
        <v>118</v>
      </c>
      <c r="BP187" s="902" t="s">
        <v>136</v>
      </c>
      <c r="BQ187" s="909">
        <v>1</v>
      </c>
      <c r="BR187" s="908">
        <v>0.8</v>
      </c>
      <c r="BS187" s="902" t="s">
        <v>3210</v>
      </c>
      <c r="BT187" s="416">
        <v>1</v>
      </c>
      <c r="BU187" s="416">
        <v>1</v>
      </c>
      <c r="BV187" s="418">
        <v>80</v>
      </c>
      <c r="BW187" s="416">
        <v>1</v>
      </c>
      <c r="BX187" s="441"/>
      <c r="BY187" s="441"/>
      <c r="BZ187" s="441"/>
      <c r="CA187" s="441"/>
      <c r="CB187" s="441"/>
      <c r="CC187" s="693"/>
      <c r="CD187" s="441"/>
      <c r="CE187" s="910" t="str">
        <f>IFERROR(WWWW[[#This Row],['#_Water sources passed]]/WWWW[[#This Row],['#_Water sources tested for fecal coliform ]],"no test")</f>
        <v>no test</v>
      </c>
      <c r="CF187" s="908" t="str">
        <f>IFERROR(WWWW[[#This Row],['#_Household passed]]/WWWW[[#This Row],['#_Household water samples tested for fecal coliform]],"no test")</f>
        <v>no test</v>
      </c>
      <c r="CG187" s="909" t="str">
        <f>IF(AND(WWWW[[#This Row],[% of water sources passed]]="no test",WWWW[[#This Row],[% Household passed]]="no test"),"No Test","Tested")</f>
        <v>No Test</v>
      </c>
      <c r="CH187" s="909">
        <f>WWWW[[#This Row],['#_Constructed/existing protected hand dug well]]-WWWW[[#This Row],['#_Non-functional protected hand dug well]]</f>
        <v>1</v>
      </c>
      <c r="CI187" s="909">
        <f>(WWWW[[#This Row],['#_Constructed/Existing tube wells/boreholes/handpumps_WASH_agency]]+WWWW[[#This Row],['#_Non-Cluster partner water tube-wells/boreholes/handpumps]])-WWWW[[#This Row],['#_Non-functional tube wells/boreholes/handpumps]]</f>
        <v>1</v>
      </c>
      <c r="CJ187" s="909">
        <f>WWWW[[#This Row],['#_Constructed/Existingwater storage tank with gravity fed reticulation system]]-WWWW[[#This Row],['#_Non-functional storage tank gravity fed reticulation system]]</f>
        <v>1</v>
      </c>
      <c r="CK187" s="909">
        <f>(WWWW[[#This Row],['#_Water_Liters_supplied_by_Water boating or water trucking]]/90)/15</f>
        <v>0</v>
      </c>
      <c r="CL187" s="909">
        <f>WWWW[[#This Row],['#_Water_Liters_from_Constructed/Existing water distribution system from river or natural spring]]/90/15</f>
        <v>0</v>
      </c>
      <c r="CM187" s="417">
        <f>IF(WWWW[[#This Row],['#_of water points in TLS/CFS]]*500&gt;WWWW[[#This Row],[Total PoP ]],WWWW[[#This Row],[Total PoP ]],WWWW[[#This Row],['#_of water points in TLS/CFS]]*500)</f>
        <v>0</v>
      </c>
      <c r="CN187" s="417">
        <f>IF(WWWW[[#This Row],['#_of water points in THF]]*500&gt;WWWW[[#This Row],[Total PoP ]],WWWW[[#This Row],[Total PoP ]],WWWW[[#This Row],['#_of water points in THF]]*500)</f>
        <v>0</v>
      </c>
      <c r="CO187" s="417"/>
      <c r="CP187"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87"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0.89379600420609884</v>
      </c>
      <c r="CR187" s="908">
        <f>IF(WWWW[[#This Row],[Location Type 1]]="Village",WWWW[[#This Row],[Access to safe drinking water for Village]],WWWW[[#This Row],[Access to safe drinking water for Camp]])</f>
        <v>1</v>
      </c>
      <c r="CS187" s="906">
        <f>WWWW[[#This Row],[%Equitable and continuous access to sufficient quantity of safe drinking water]]*WWWW[[#This Row],[Total PoP ]]</f>
        <v>634</v>
      </c>
      <c r="CT187" s="908">
        <f>IF((WWWW[[#This Row],['#_Constructed/Existing protected/fenced ponds]]*250)/WWWW[[#This Row],[Total PoP ]]&gt;1,1,(WWWW[[#This Row],['#_Constructed/Existing protected/fenced ponds]]*250)/WWWW[[#This Row],[Total PoP ]])</f>
        <v>0.39432176656151419</v>
      </c>
      <c r="CU187" s="906">
        <f>WWWW[[#This Row],[% Access to unimproved water points]]*WWWW[[#This Row],[Total PoP ]]</f>
        <v>250</v>
      </c>
      <c r="CV187"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87"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634</v>
      </c>
      <c r="CX187" s="906">
        <f>WWWW[[#This Row],[HRP1]]/500</f>
        <v>1.268</v>
      </c>
      <c r="CY187" s="911">
        <f>1-WWWW[[#This Row],[% Equitable and continuous access to sufficient quantity of domestic water]]</f>
        <v>0</v>
      </c>
      <c r="CZ187" s="906">
        <f>WWWW[[#This Row],[%equitable and continuous access to sufficient quantity of safe drinking and domestic water''s GAP]]*WWWW[[#This Row],[Total PoP ]]</f>
        <v>0</v>
      </c>
      <c r="DA187" s="909">
        <f>IF(WWWW[[#This Row],[Total required water points]]-WWWW[[#This Row],['#Water points coverage]]&lt;0,0,WWWW[[#This Row],[Total required water points]]-WWWW[[#This Row],['#Water points coverage]])</f>
        <v>0</v>
      </c>
      <c r="DB187" s="909">
        <f>ROUND(IF(WWWW[[#This Row],[Total PoP ]]&lt;500,1,WWWW[[#This Row],[Total PoP ]]/500),0)</f>
        <v>1</v>
      </c>
      <c r="DC187" s="909">
        <f>(WWWW[[#This Row],['#_Constructed latrines_by_WASHAgencies]]+WWWW[[#This Row],['#_Non Cluster partner latrines]])-WWWW[[#This Row],['#_Non-functional latrines]]</f>
        <v>29</v>
      </c>
      <c r="DD187" s="615">
        <f>WWWW[[#This Row],[HRP2]]/WWWW[[#This Row],[Total PoP ]]</f>
        <v>0.95583596214511046</v>
      </c>
      <c r="DE187"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606</v>
      </c>
      <c r="DF187"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260</v>
      </c>
      <c r="DG187"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87" s="417">
        <f>IF(WWWW[[#This Row],['# of functional latrines in THF supported by WASH partners during the reporting period2]]="",0,WWWW[[#This Row],['# of functional latrines in THF supported by WASH partners during the reporting period2]]*50)</f>
        <v>0</v>
      </c>
      <c r="DI187" s="909">
        <f>ROUND(IF(WWWW[[#This Row],[Location Type 1]]="camp",WWWW[[#This Row],[Total PoP ]]/20,IF(WWWW[[#This Row],[Location Type 1]]="Temporary Location",WWWW[[#This Row],[Total PoP ]]/50,(WWWW[[#This Row],[Total PoP ]]/6))),0)</f>
        <v>32</v>
      </c>
      <c r="DJ187" s="909">
        <f>IF(WWWW[[#This Row],[Total required Latrines]]-(WWWW[[#This Row],['#_Constructed latrines_by_WASHAgencies]]+WWWW[[#This Row],['#_Non Cluster partner latrines]])&lt;0,0,WWWW[[#This Row],[Total required Latrines]]-(WWWW[[#This Row],['#_Constructed latrines_by_WASHAgencies]]+WWWW[[#This Row],['#_Non Cluster partner latrines]]))</f>
        <v>3</v>
      </c>
      <c r="DK187" s="911">
        <f>1-WWWW[[#This Row],[% people access to functioning Latrine]]</f>
        <v>4.4164037854889537E-2</v>
      </c>
      <c r="DL187" s="910">
        <f>IF(OR(WWWW[[#This Row],['#_Non-functional latrines]]="",WWWW[[#This Row],['#_Non-functional latrines]]=0),0,WWWW[[#This Row],['#_Non-functional latrines]]/(WWWW[[#This Row],['#_Constructed latrines_by_WASHAgencies]]+WWWW[[#This Row],['#_Non Cluster partner latrines]]))</f>
        <v>0</v>
      </c>
      <c r="DM187" s="906">
        <f>IF(500*(WWWW[[#This Row],['#_male hygiene promoters]]+WWWW[[#This Row],['#_female hygiene promoters]])&gt;WWWW[[#This Row],[Total PoP ]],WWWW[[#This Row],[Total PoP ]],500*(WWWW[[#This Row],['#_male hygiene promoters]]+WWWW[[#This Row],['#_female hygiene promoters]]))</f>
        <v>500</v>
      </c>
      <c r="DN187"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634</v>
      </c>
      <c r="DO187"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118</v>
      </c>
      <c r="DP187" s="909">
        <f>IF(WWWW[[#This Row],['# People with access to soap]]&gt;WWWW[[#This Row],['# People with access to Sanity Pads]],WWWW[[#This Row],['# People with access to soap]],WWWW[[#This Row],['# People with access to Sanity Pads]])</f>
        <v>634</v>
      </c>
      <c r="DQ187" s="909">
        <f>IF(WWWW[[#This Row],['# people reached by regular dedicated hygiene promotion_5]]&gt;WWWW[[#This Row],['# People received regular supply of hygiene items_6]],WWWW[[#This Row],['# people reached by regular dedicated hygiene promotion_5]],WWWW[[#This Row],['# People received regular supply of hygiene items_6]])</f>
        <v>634</v>
      </c>
      <c r="DR187" s="911">
        <f>IF(WWWW[[#This Row],[HRP3]]/WWWW[[#This Row],[Total PoP ]]&gt;1,1,WWWW[[#This Row],[HRP3]]/WWWW[[#This Row],[Total PoP ]])</f>
        <v>1</v>
      </c>
      <c r="DS187" s="910">
        <f>1-WWWW[[#This Row],[Hygiene Coverage%]]</f>
        <v>0</v>
      </c>
      <c r="DT187" s="908">
        <f>WWWW[[#This Row],['# people reached by regular dedicated hygiene promotion_5]]/WWWW[[#This Row],[Total PoP ]]</f>
        <v>0.78864353312302837</v>
      </c>
      <c r="DU187"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187"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0.95161290322580649</v>
      </c>
      <c r="DW187" s="909">
        <f>WWWW[[#This Row],['#_Constructed/Existing hand washing stations]]-WWWW[[#This Row],['#_Non-Functional_hand_washing_stations]]</f>
        <v>3</v>
      </c>
      <c r="DX187" s="906">
        <f>IF(WWWW[[#This Row],['# Functional hand washing stations during reporting period]]*20&gt;WWWW[[#This Row],[Total HH]],WWWW[[#This Row],[Total HH]],WWWW[[#This Row],['# Functional hand washing stations during reporting period]]*20)</f>
        <v>60</v>
      </c>
      <c r="DY187" s="906">
        <f>IF(WWWW[[#This Row],[Is sufficient soap available for TLS? (Yes/No)]]="yes",WWWW[[#This Row],['#_Constructed/Existing hand washing stations at TLS/CFS/THF]],0)</f>
        <v>0</v>
      </c>
      <c r="DZ187" s="421">
        <f>IF(WWWW[[#This Row],['# Functional hand washing stations during reporting period]]*100&gt;WWWW[[#This Row],[Total PoP ]],WWWW[[#This Row],[Total PoP ]],WWWW[[#This Row],['# Functional hand washing stations during reporting period]]*100)</f>
        <v>300</v>
      </c>
      <c r="EA187" s="421" t="str">
        <f>IF(OR(WWWW[[#This Row],['#_students at TLS_CFS]]="",WWWW[[#This Row],['#_students at TLS_CFS]]=0),"No","Yes")</f>
        <v>No</v>
      </c>
      <c r="EB187" s="615">
        <f>IF(WWWW[[#This Row],['#_of_affected_people_surveyed_who_report_feeling_informed_about_the_different_WASH_services_available_to_them]]="","",WWWW[[#This Row],['#_of_affected_people_surveyed_who_report_feeling_informed_about_the_different_WASH_services_available_to_them]]/WWWW[[#This Row],[Total PoP ]])</f>
        <v>0.12618296529968454</v>
      </c>
      <c r="EC187" s="566">
        <f>WWWW[[#This Row],[%_of_affected_people_surveyed_who_report_feeling_satistfied_with_the_latrine_design_and_sanitation_service]]*WWWW[[#This Row],[Total PoP ]]</f>
        <v>634</v>
      </c>
      <c r="ED187" s="566">
        <f>WWWW[[#This Row],[%_of_affected_people_surveyed_who_report_feeling_satistfied_with_the_water_point_design_and_water_service]]*WWWW[[#This Row],[Total PoP ]]</f>
        <v>634</v>
      </c>
      <c r="EE187" s="566">
        <f>WWWW[[#This Row],[%_of_complaints_received_that_result_in_timely_corrective_action_and_feedback_to_the_community]]*WWWW[[#This Row],[Total PoP ]]</f>
        <v>634</v>
      </c>
      <c r="EF18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634</v>
      </c>
      <c r="EG18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8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87" s="902" t="str">
        <f>VLOOKUP(WWWW[[#This Row],[Site Name]],SiteDB6[[Site Name]:[CCCM Management]],6,FALSE)</f>
        <v>Yes</v>
      </c>
      <c r="EJ187" s="902" t="str">
        <f>VLOOKUP(WWWW[[#This Row],[Site Name]],SiteDB6[[Site Name]:[CCCM Focal Agency]],7,FALSE)</f>
        <v>KBC-MYT</v>
      </c>
      <c r="EK187" s="902" t="str">
        <f>VLOOKUP(WWWW[[#This Row],[Site Name]],SiteDB6[[Site Name]:[Location Type 1]],9,FALSE)</f>
        <v>Camp</v>
      </c>
      <c r="EL187" s="902" t="str">
        <f>VLOOKUP(WWWW[[#This Row],[Site Name]],SiteDB6[[Site Name]:[Type of Accommodation]],10,FALSE)</f>
        <v>camp</v>
      </c>
      <c r="EM187" s="902" t="str">
        <f>VLOOKUP(WWWW[[#This Row],[Site Name]],SiteDB6[[Site Name]:[Ethnic or GCA/NGCA]],11,FALSE)</f>
        <v>GCA</v>
      </c>
      <c r="EN187" s="902">
        <f>VLOOKUP(WWWW[[#This Row],[Site Name]],SiteDB6[[Site Name]:[Lat]],12,FALSE)</f>
        <v>25.664000000000001</v>
      </c>
      <c r="EO187" s="902">
        <f>VLOOKUP(WWWW[[#This Row],[Site Name]],SiteDB6[[Site Name]:[Long]],13,FALSE)</f>
        <v>96.34</v>
      </c>
      <c r="EP187" s="902" t="str">
        <f>VLOOKUP(WWWW[[#This Row],[Site Name]],SiteDB6[[Site Name]:[Pcode]],3,FALSE)</f>
        <v>MMR001CMP250</v>
      </c>
      <c r="EQ187" s="907" t="str">
        <f t="shared" si="2"/>
        <v>Covered</v>
      </c>
      <c r="ER187" s="907" t="s">
        <v>3126</v>
      </c>
      <c r="ES187" s="907" t="s">
        <v>3126</v>
      </c>
      <c r="ET187" s="902">
        <f>VLOOKUP(WWWW[[#This Row],[Site Name]],SiteDB6[[Site Name]:[Pop
(Kachin/Shan-CCCM as of May 2023)]],16,FALSE)</f>
        <v>122</v>
      </c>
      <c r="EU187" s="902">
        <f>VLOOKUP(WWWW[[#This Row],[Site Name]],SiteDB6[[Site Name]:[Pop
(Kachin/Shan-CCCM as of May 2023)]],17,FALSE)</f>
        <v>630</v>
      </c>
    </row>
    <row r="188" spans="1:151" hidden="1">
      <c r="A188" s="900" t="s">
        <v>2961</v>
      </c>
      <c r="B188" s="900" t="s">
        <v>242</v>
      </c>
      <c r="C188" s="901" t="s">
        <v>242</v>
      </c>
      <c r="D188" s="901" t="s">
        <v>3184</v>
      </c>
      <c r="E188" s="901" t="s">
        <v>37</v>
      </c>
      <c r="F188" s="901" t="s">
        <v>148</v>
      </c>
      <c r="G188" s="902" t="str">
        <f>VLOOKUP(WWWW[[#This Row],[Site Name]],SiteDB6[[Site Name]:[Location Type]],8,FALSE)</f>
        <v>Camp</v>
      </c>
      <c r="H188" s="901" t="s">
        <v>255</v>
      </c>
      <c r="I188" s="903">
        <v>19</v>
      </c>
      <c r="J188" s="903">
        <v>107</v>
      </c>
      <c r="K188" s="904">
        <v>44927</v>
      </c>
      <c r="L188" s="905">
        <v>45291</v>
      </c>
      <c r="M188" s="903"/>
      <c r="N188" s="903"/>
      <c r="O188" s="903">
        <v>1</v>
      </c>
      <c r="P188" s="903"/>
      <c r="Q188" s="906" t="s">
        <v>136</v>
      </c>
      <c r="R188" s="903">
        <v>3</v>
      </c>
      <c r="S188" s="903">
        <v>2</v>
      </c>
      <c r="T188" s="441">
        <v>1</v>
      </c>
      <c r="U188" s="903"/>
      <c r="V188" s="903"/>
      <c r="W188" s="903"/>
      <c r="X188" s="903"/>
      <c r="Y188" s="903"/>
      <c r="Z188" s="903"/>
      <c r="AA188" s="903"/>
      <c r="AB188" s="903"/>
      <c r="AC188" s="903"/>
      <c r="AD188" s="903"/>
      <c r="AE188" s="903"/>
      <c r="AF188" s="903"/>
      <c r="AG188" s="903"/>
      <c r="AH188" s="903">
        <v>1</v>
      </c>
      <c r="AI188" s="903">
        <v>1</v>
      </c>
      <c r="AJ188" s="903">
        <v>1</v>
      </c>
      <c r="AK188" s="903">
        <v>1</v>
      </c>
      <c r="AL188" s="903"/>
      <c r="AM188" s="903"/>
      <c r="AN188" s="903"/>
      <c r="AO188" s="441"/>
      <c r="AP188" s="907"/>
      <c r="AQ188" s="903">
        <v>8</v>
      </c>
      <c r="AR188" s="903"/>
      <c r="AS188" s="908" t="s">
        <v>242</v>
      </c>
      <c r="AT188" s="903"/>
      <c r="AU188" s="903"/>
      <c r="AV188" s="903"/>
      <c r="AW188" s="903"/>
      <c r="AX188" s="903"/>
      <c r="AY188" s="902" t="s">
        <v>41</v>
      </c>
      <c r="AZ188" s="907" t="s">
        <v>137</v>
      </c>
      <c r="BA188" s="903"/>
      <c r="BB188" s="903"/>
      <c r="BC188" s="903"/>
      <c r="BD188" s="441"/>
      <c r="BE188" s="441"/>
      <c r="BF188" s="902"/>
      <c r="BG188" s="903">
        <v>2</v>
      </c>
      <c r="BH188" s="903">
        <v>2</v>
      </c>
      <c r="BI188" s="903"/>
      <c r="BJ188" s="903">
        <v>2</v>
      </c>
      <c r="BK188" s="903"/>
      <c r="BL188" s="903">
        <v>1</v>
      </c>
      <c r="BM188" s="903"/>
      <c r="BN188" s="903">
        <v>19</v>
      </c>
      <c r="BO188" s="903">
        <v>29</v>
      </c>
      <c r="BP188" s="902" t="s">
        <v>136</v>
      </c>
      <c r="BQ188" s="909"/>
      <c r="BR188" s="908">
        <v>0.65</v>
      </c>
      <c r="BS188" s="902"/>
      <c r="BT188" s="416">
        <v>0.8</v>
      </c>
      <c r="BU188" s="416">
        <v>0.85</v>
      </c>
      <c r="BV188" s="418"/>
      <c r="BW188" s="416">
        <v>1</v>
      </c>
      <c r="BX188" s="441"/>
      <c r="BY188" s="441"/>
      <c r="BZ188" s="441"/>
      <c r="CA188" s="441"/>
      <c r="CB188" s="441"/>
      <c r="CC188" s="693"/>
      <c r="CD188" s="441"/>
      <c r="CE188" s="910">
        <f>IFERROR(WWWW[[#This Row],['#_Water sources passed]]/WWWW[[#This Row],['#_Water sources tested for fecal coliform ]],"no test")</f>
        <v>1</v>
      </c>
      <c r="CF188" s="908">
        <f>IFERROR(WWWW[[#This Row],['#_Household passed]]/WWWW[[#This Row],['#_Household water samples tested for fecal coliform]],"no test")</f>
        <v>0</v>
      </c>
      <c r="CG188" s="909" t="str">
        <f>IF(AND(WWWW[[#This Row],[% of water sources passed]]="no test",WWWW[[#This Row],[% Household passed]]="no test"),"No Test","Tested")</f>
        <v>Tested</v>
      </c>
      <c r="CH188" s="909">
        <f>WWWW[[#This Row],['#_Constructed/existing protected hand dug well]]-WWWW[[#This Row],['#_Non-functional protected hand dug well]]</f>
        <v>1</v>
      </c>
      <c r="CI188" s="909">
        <f>(WWWW[[#This Row],['#_Constructed/Existing tube wells/boreholes/handpumps_WASH_agency]]+WWWW[[#This Row],['#_Non-Cluster partner water tube-wells/boreholes/handpumps]])-WWWW[[#This Row],['#_Non-functional tube wells/boreholes/handpumps]]</f>
        <v>0</v>
      </c>
      <c r="CJ188" s="909">
        <f>WWWW[[#This Row],['#_Constructed/Existingwater storage tank with gravity fed reticulation system]]-WWWW[[#This Row],['#_Non-functional storage tank gravity fed reticulation system]]</f>
        <v>0</v>
      </c>
      <c r="CK188" s="909">
        <f>(WWWW[[#This Row],['#_Water_Liters_supplied_by_Water boating or water trucking]]/90)/15</f>
        <v>0</v>
      </c>
      <c r="CL188" s="909">
        <f>WWWW[[#This Row],['#_Water_Liters_from_Constructed/Existing water distribution system from river or natural spring]]/90/15</f>
        <v>0</v>
      </c>
      <c r="CM188" s="417">
        <f>IF(WWWW[[#This Row],['#_of water points in TLS/CFS]]*500&gt;WWWW[[#This Row],[Total PoP ]],WWWW[[#This Row],[Total PoP ]],WWWW[[#This Row],['#_of water points in TLS/CFS]]*500)</f>
        <v>0</v>
      </c>
      <c r="CN188" s="417">
        <f>IF(WWWW[[#This Row],['#_of water points in THF]]*500&gt;WWWW[[#This Row],[Total PoP ]],WWWW[[#This Row],[Total PoP ]],WWWW[[#This Row],['#_of water points in THF]]*500)</f>
        <v>0</v>
      </c>
      <c r="CO188" s="417"/>
      <c r="CP188"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88"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88" s="908">
        <f>IF(WWWW[[#This Row],[Location Type 1]]="Village",WWWW[[#This Row],[Access to safe drinking water for Village]],WWWW[[#This Row],[Access to safe drinking water for Camp]])</f>
        <v>1</v>
      </c>
      <c r="CS188" s="906">
        <f>WWWW[[#This Row],[%Equitable and continuous access to sufficient quantity of safe drinking water]]*WWWW[[#This Row],[Total PoP ]]</f>
        <v>107</v>
      </c>
      <c r="CT188" s="908">
        <f>IF((WWWW[[#This Row],['#_Constructed/Existing protected/fenced ponds]]*250)/WWWW[[#This Row],[Total PoP ]]&gt;1,1,(WWWW[[#This Row],['#_Constructed/Existing protected/fenced ponds]]*250)/WWWW[[#This Row],[Total PoP ]])</f>
        <v>0</v>
      </c>
      <c r="CU188" s="906">
        <f>WWWW[[#This Row],[% Access to unimproved water points]]*WWWW[[#This Row],[Total PoP ]]</f>
        <v>0</v>
      </c>
      <c r="CV188"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88"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107</v>
      </c>
      <c r="CX188" s="906">
        <f>WWWW[[#This Row],[HRP1]]/500</f>
        <v>0.214</v>
      </c>
      <c r="CY188" s="911">
        <f>1-WWWW[[#This Row],[% Equitable and continuous access to sufficient quantity of domestic water]]</f>
        <v>0</v>
      </c>
      <c r="CZ188" s="906">
        <f>WWWW[[#This Row],[%equitable and continuous access to sufficient quantity of safe drinking and domestic water''s GAP]]*WWWW[[#This Row],[Total PoP ]]</f>
        <v>0</v>
      </c>
      <c r="DA188" s="909">
        <f>IF(WWWW[[#This Row],[Total required water points]]-WWWW[[#This Row],['#Water points coverage]]&lt;0,0,WWWW[[#This Row],[Total required water points]]-WWWW[[#This Row],['#Water points coverage]])</f>
        <v>0.78600000000000003</v>
      </c>
      <c r="DB188" s="909">
        <f>ROUND(IF(WWWW[[#This Row],[Total PoP ]]&lt;500,1,WWWW[[#This Row],[Total PoP ]]/500),0)</f>
        <v>1</v>
      </c>
      <c r="DC188" s="909">
        <f>(WWWW[[#This Row],['#_Constructed latrines_by_WASHAgencies]]+WWWW[[#This Row],['#_Non Cluster partner latrines]])-WWWW[[#This Row],['#_Non-functional latrines]]</f>
        <v>8</v>
      </c>
      <c r="DD188" s="615">
        <f>WWWW[[#This Row],[HRP2]]/WWWW[[#This Row],[Total PoP ]]</f>
        <v>1</v>
      </c>
      <c r="DE188"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107</v>
      </c>
      <c r="DF188"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88"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88" s="417">
        <f>IF(WWWW[[#This Row],['# of functional latrines in THF supported by WASH partners during the reporting period2]]="",0,WWWW[[#This Row],['# of functional latrines in THF supported by WASH partners during the reporting period2]]*50)</f>
        <v>0</v>
      </c>
      <c r="DI188" s="909">
        <f>ROUND(IF(WWWW[[#This Row],[Location Type 1]]="camp",WWWW[[#This Row],[Total PoP ]]/20,IF(WWWW[[#This Row],[Location Type 1]]="Temporary Location",WWWW[[#This Row],[Total PoP ]]/50,(WWWW[[#This Row],[Total PoP ]]/6))),0)</f>
        <v>5</v>
      </c>
      <c r="DJ188" s="909">
        <f>IF(WWWW[[#This Row],[Total required Latrines]]-(WWWW[[#This Row],['#_Constructed latrines_by_WASHAgencies]]+WWWW[[#This Row],['#_Non Cluster partner latrines]])&lt;0,0,WWWW[[#This Row],[Total required Latrines]]-(WWWW[[#This Row],['#_Constructed latrines_by_WASHAgencies]]+WWWW[[#This Row],['#_Non Cluster partner latrines]]))</f>
        <v>0</v>
      </c>
      <c r="DK188" s="911">
        <f>1-WWWW[[#This Row],[% people access to functioning Latrine]]</f>
        <v>0</v>
      </c>
      <c r="DL188" s="910">
        <f>IF(OR(WWWW[[#This Row],['#_Non-functional latrines]]="",WWWW[[#This Row],['#_Non-functional latrines]]=0),0,WWWW[[#This Row],['#_Non-functional latrines]]/(WWWW[[#This Row],['#_Constructed latrines_by_WASHAgencies]]+WWWW[[#This Row],['#_Non Cluster partner latrines]]))</f>
        <v>0</v>
      </c>
      <c r="DM188" s="906">
        <f>IF(500*(WWWW[[#This Row],['#_male hygiene promoters]]+WWWW[[#This Row],['#_female hygiene promoters]])&gt;WWWW[[#This Row],[Total PoP ]],WWWW[[#This Row],[Total PoP ]],500*(WWWW[[#This Row],['#_male hygiene promoters]]+WWWW[[#This Row],['#_female hygiene promoters]]))</f>
        <v>107</v>
      </c>
      <c r="DN188"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107</v>
      </c>
      <c r="DO188"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29</v>
      </c>
      <c r="DP188" s="909">
        <f>IF(WWWW[[#This Row],['# People with access to soap]]&gt;WWWW[[#This Row],['# People with access to Sanity Pads]],WWWW[[#This Row],['# People with access to soap]],WWWW[[#This Row],['# People with access to Sanity Pads]])</f>
        <v>107</v>
      </c>
      <c r="DQ188" s="909">
        <f>IF(WWWW[[#This Row],['# people reached by regular dedicated hygiene promotion_5]]&gt;WWWW[[#This Row],['# People received regular supply of hygiene items_6]],WWWW[[#This Row],['# people reached by regular dedicated hygiene promotion_5]],WWWW[[#This Row],['# People received regular supply of hygiene items_6]])</f>
        <v>107</v>
      </c>
      <c r="DR188" s="911">
        <f>IF(WWWW[[#This Row],[HRP3]]/WWWW[[#This Row],[Total PoP ]]&gt;1,1,WWWW[[#This Row],[HRP3]]/WWWW[[#This Row],[Total PoP ]])</f>
        <v>1</v>
      </c>
      <c r="DS188" s="910">
        <f>1-WWWW[[#This Row],[Hygiene Coverage%]]</f>
        <v>0</v>
      </c>
      <c r="DT188" s="908">
        <f>WWWW[[#This Row],['# people reached by regular dedicated hygiene promotion_5]]/WWWW[[#This Row],[Total PoP ]]</f>
        <v>1</v>
      </c>
      <c r="DU188"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188"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188" s="909">
        <f>WWWW[[#This Row],['#_Constructed/Existing hand washing stations]]-WWWW[[#This Row],['#_Non-Functional_hand_washing_stations]]</f>
        <v>0</v>
      </c>
      <c r="DX188" s="906">
        <f>IF(WWWW[[#This Row],['# Functional hand washing stations during reporting period]]*20&gt;WWWW[[#This Row],[Total HH]],WWWW[[#This Row],[Total HH]],WWWW[[#This Row],['# Functional hand washing stations during reporting period]]*20)</f>
        <v>0</v>
      </c>
      <c r="DY188" s="906">
        <f>IF(WWWW[[#This Row],[Is sufficient soap available for TLS? (Yes/No)]]="yes",WWWW[[#This Row],['#_Constructed/Existing hand washing stations at TLS/CFS/THF]],0)</f>
        <v>0</v>
      </c>
      <c r="DZ188" s="421">
        <f>IF(WWWW[[#This Row],['# Functional hand washing stations during reporting period]]*100&gt;WWWW[[#This Row],[Total PoP ]],WWWW[[#This Row],[Total PoP ]],WWWW[[#This Row],['# Functional hand washing stations during reporting period]]*100)</f>
        <v>0</v>
      </c>
      <c r="EA188" s="421" t="str">
        <f>IF(OR(WWWW[[#This Row],['#_students at TLS_CFS]]="",WWWW[[#This Row],['#_students at TLS_CFS]]=0),"No","Yes")</f>
        <v>No</v>
      </c>
      <c r="EB18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88" s="566">
        <f>WWWW[[#This Row],[%_of_affected_people_surveyed_who_report_feeling_satistfied_with_the_latrine_design_and_sanitation_service]]*WWWW[[#This Row],[Total PoP ]]</f>
        <v>85.600000000000009</v>
      </c>
      <c r="ED188" s="566">
        <f>WWWW[[#This Row],[%_of_affected_people_surveyed_who_report_feeling_satistfied_with_the_water_point_design_and_water_service]]*WWWW[[#This Row],[Total PoP ]]</f>
        <v>90.95</v>
      </c>
      <c r="EE188" s="566">
        <f>WWWW[[#This Row],[%_of_complaints_received_that_result_in_timely_corrective_action_and_feedback_to_the_community]]*WWWW[[#This Row],[Total PoP ]]</f>
        <v>107</v>
      </c>
      <c r="EF18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107</v>
      </c>
      <c r="EG18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8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88" s="902" t="str">
        <f>VLOOKUP(WWWW[[#This Row],[Site Name]],SiteDB6[[Site Name]:[CCCM Management]],6,FALSE)</f>
        <v>Yes</v>
      </c>
      <c r="EJ188" s="902" t="str">
        <f>VLOOKUP(WWWW[[#This Row],[Site Name]],SiteDB6[[Site Name]:[CCCM Focal Agency]],7,FALSE)</f>
        <v>Shalom</v>
      </c>
      <c r="EK188" s="902" t="str">
        <f>VLOOKUP(WWWW[[#This Row],[Site Name]],SiteDB6[[Site Name]:[Location Type 1]],9,FALSE)</f>
        <v>Camp</v>
      </c>
      <c r="EL188" s="902" t="str">
        <f>VLOOKUP(WWWW[[#This Row],[Site Name]],SiteDB6[[Site Name]:[Type of Accommodation]],10,FALSE)</f>
        <v>Camp</v>
      </c>
      <c r="EM188" s="902" t="str">
        <f>VLOOKUP(WWWW[[#This Row],[Site Name]],SiteDB6[[Site Name]:[Ethnic or GCA/NGCA]],11,FALSE)</f>
        <v>GCA</v>
      </c>
      <c r="EN188" s="902">
        <f>VLOOKUP(WWWW[[#This Row],[Site Name]],SiteDB6[[Site Name]:[Lat]],12,FALSE)</f>
        <v>25.566510000000001</v>
      </c>
      <c r="EO188" s="902">
        <f>VLOOKUP(WWWW[[#This Row],[Site Name]],SiteDB6[[Site Name]:[Long]],13,FALSE)</f>
        <v>96.269199999999998</v>
      </c>
      <c r="EP188" s="902" t="str">
        <f>VLOOKUP(WWWW[[#This Row],[Site Name]],SiteDB6[[Site Name]:[Pcode]],3,FALSE)</f>
        <v>MMR001CMP181</v>
      </c>
      <c r="EQ188" s="907" t="str">
        <f t="shared" si="2"/>
        <v>Covered</v>
      </c>
      <c r="ER188" s="907" t="s">
        <v>3126</v>
      </c>
      <c r="ES188" s="907" t="s">
        <v>3126</v>
      </c>
      <c r="ET188" s="902">
        <f>VLOOKUP(WWWW[[#This Row],[Site Name]],SiteDB6[[Site Name]:[Pop
(Kachin/Shan-CCCM as of May 2023)]],16,FALSE)</f>
        <v>19</v>
      </c>
      <c r="EU188" s="902">
        <f>VLOOKUP(WWWW[[#This Row],[Site Name]],SiteDB6[[Site Name]:[Pop
(Kachin/Shan-CCCM as of May 2023)]],17,FALSE)</f>
        <v>108</v>
      </c>
    </row>
    <row r="189" spans="1:151" hidden="1">
      <c r="A189" s="900" t="s">
        <v>2961</v>
      </c>
      <c r="B189" s="900" t="s">
        <v>242</v>
      </c>
      <c r="C189" s="901" t="s">
        <v>242</v>
      </c>
      <c r="D189" s="901" t="s">
        <v>3184</v>
      </c>
      <c r="E189" s="901" t="s">
        <v>37</v>
      </c>
      <c r="F189" s="901" t="s">
        <v>148</v>
      </c>
      <c r="G189" s="902" t="str">
        <f>VLOOKUP(WWWW[[#This Row],[Site Name]],SiteDB6[[Site Name]:[Location Type]],8,FALSE)</f>
        <v>Camp</v>
      </c>
      <c r="H189" s="901" t="s">
        <v>256</v>
      </c>
      <c r="I189" s="903">
        <v>10</v>
      </c>
      <c r="J189" s="903">
        <v>56</v>
      </c>
      <c r="K189" s="904">
        <v>44927</v>
      </c>
      <c r="L189" s="905">
        <v>45291</v>
      </c>
      <c r="M189" s="903">
        <v>18</v>
      </c>
      <c r="N189" s="903"/>
      <c r="O189" s="903">
        <v>1</v>
      </c>
      <c r="P189" s="903"/>
      <c r="Q189" s="906" t="s">
        <v>41</v>
      </c>
      <c r="R189" s="903">
        <v>3</v>
      </c>
      <c r="S189" s="903">
        <v>4</v>
      </c>
      <c r="T189" s="441">
        <v>1</v>
      </c>
      <c r="U189" s="903"/>
      <c r="V189" s="903"/>
      <c r="W189" s="903">
        <v>1</v>
      </c>
      <c r="X189" s="903"/>
      <c r="Y189" s="903"/>
      <c r="Z189" s="903"/>
      <c r="AA189" s="903"/>
      <c r="AB189" s="903"/>
      <c r="AC189" s="903"/>
      <c r="AD189" s="903"/>
      <c r="AE189" s="903"/>
      <c r="AF189" s="903"/>
      <c r="AG189" s="903">
        <v>1</v>
      </c>
      <c r="AH189" s="903">
        <v>1</v>
      </c>
      <c r="AI189" s="903">
        <v>1</v>
      </c>
      <c r="AJ189" s="903">
        <v>1</v>
      </c>
      <c r="AK189" s="903"/>
      <c r="AL189" s="903"/>
      <c r="AM189" s="903"/>
      <c r="AN189" s="903"/>
      <c r="AO189" s="441"/>
      <c r="AP189" s="907" t="s">
        <v>3208</v>
      </c>
      <c r="AQ189" s="903">
        <v>2</v>
      </c>
      <c r="AR189" s="903"/>
      <c r="AS189" s="908" t="s">
        <v>242</v>
      </c>
      <c r="AT189" s="903"/>
      <c r="AU189" s="903"/>
      <c r="AV189" s="903"/>
      <c r="AW189" s="903"/>
      <c r="AX189" s="903"/>
      <c r="AY189" s="902" t="s">
        <v>41</v>
      </c>
      <c r="AZ189" s="907" t="s">
        <v>137</v>
      </c>
      <c r="BA189" s="903"/>
      <c r="BB189" s="903"/>
      <c r="BC189" s="903"/>
      <c r="BD189" s="441"/>
      <c r="BE189" s="441"/>
      <c r="BF189" s="902"/>
      <c r="BG189" s="903">
        <v>3</v>
      </c>
      <c r="BH189" s="903"/>
      <c r="BI189" s="903"/>
      <c r="BJ189" s="903">
        <v>2</v>
      </c>
      <c r="BK189" s="903">
        <v>2</v>
      </c>
      <c r="BL189" s="903"/>
      <c r="BM189" s="903">
        <v>1</v>
      </c>
      <c r="BN189" s="903">
        <v>10</v>
      </c>
      <c r="BO189" s="903">
        <v>11</v>
      </c>
      <c r="BP189" s="902"/>
      <c r="BQ189" s="909">
        <v>3</v>
      </c>
      <c r="BR189" s="908">
        <v>0.15</v>
      </c>
      <c r="BS189" s="902" t="s">
        <v>3211</v>
      </c>
      <c r="BT189" s="416">
        <v>0.75</v>
      </c>
      <c r="BU189" s="416">
        <v>0.89</v>
      </c>
      <c r="BV189" s="418"/>
      <c r="BW189" s="416">
        <v>0.75</v>
      </c>
      <c r="BX189" s="441"/>
      <c r="BY189" s="441"/>
      <c r="BZ189" s="441"/>
      <c r="CA189" s="441"/>
      <c r="CB189" s="441"/>
      <c r="CC189" s="693"/>
      <c r="CD189" s="441"/>
      <c r="CE189" s="910">
        <f>IFERROR(WWWW[[#This Row],['#_Water sources passed]]/WWWW[[#This Row],['#_Water sources tested for fecal coliform ]],"no test")</f>
        <v>1</v>
      </c>
      <c r="CF189" s="908" t="str">
        <f>IFERROR(WWWW[[#This Row],['#_Household passed]]/WWWW[[#This Row],['#_Household water samples tested for fecal coliform]],"no test")</f>
        <v>no test</v>
      </c>
      <c r="CG189" s="909" t="str">
        <f>IF(AND(WWWW[[#This Row],[% of water sources passed]]="no test",WWWW[[#This Row],[% Household passed]]="no test"),"No Test","Tested")</f>
        <v>Tested</v>
      </c>
      <c r="CH189" s="909">
        <f>WWWW[[#This Row],['#_Constructed/existing protected hand dug well]]-WWWW[[#This Row],['#_Non-functional protected hand dug well]]</f>
        <v>1</v>
      </c>
      <c r="CI189" s="909">
        <f>(WWWW[[#This Row],['#_Constructed/Existing tube wells/boreholes/handpumps_WASH_agency]]+WWWW[[#This Row],['#_Non-Cluster partner water tube-wells/boreholes/handpumps]])-WWWW[[#This Row],['#_Non-functional tube wells/boreholes/handpumps]]</f>
        <v>1</v>
      </c>
      <c r="CJ189" s="909">
        <f>WWWW[[#This Row],['#_Constructed/Existingwater storage tank with gravity fed reticulation system]]-WWWW[[#This Row],['#_Non-functional storage tank gravity fed reticulation system]]</f>
        <v>0</v>
      </c>
      <c r="CK189" s="909">
        <f>(WWWW[[#This Row],['#_Water_Liters_supplied_by_Water boating or water trucking]]/90)/15</f>
        <v>0</v>
      </c>
      <c r="CL189" s="909">
        <f>WWWW[[#This Row],['#_Water_Liters_from_Constructed/Existing water distribution system from river or natural spring]]/90/15</f>
        <v>0</v>
      </c>
      <c r="CM189" s="417">
        <f>IF(WWWW[[#This Row],['#_of water points in TLS/CFS]]*500&gt;WWWW[[#This Row],[Total PoP ]],WWWW[[#This Row],[Total PoP ]],WWWW[[#This Row],['#_of water points in TLS/CFS]]*500)</f>
        <v>0</v>
      </c>
      <c r="CN189" s="417">
        <f>IF(WWWW[[#This Row],['#_of water points in THF]]*500&gt;WWWW[[#This Row],[Total PoP ]],WWWW[[#This Row],[Total PoP ]],WWWW[[#This Row],['#_of water points in THF]]*500)</f>
        <v>0</v>
      </c>
      <c r="CO189" s="417"/>
      <c r="CP189"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89"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89" s="908">
        <f>IF(WWWW[[#This Row],[Location Type 1]]="Village",WWWW[[#This Row],[Access to safe drinking water for Village]],WWWW[[#This Row],[Access to safe drinking water for Camp]])</f>
        <v>1</v>
      </c>
      <c r="CS189" s="906">
        <f>WWWW[[#This Row],[%Equitable and continuous access to sufficient quantity of safe drinking water]]*WWWW[[#This Row],[Total PoP ]]</f>
        <v>56</v>
      </c>
      <c r="CT189" s="908">
        <f>IF((WWWW[[#This Row],['#_Constructed/Existing protected/fenced ponds]]*250)/WWWW[[#This Row],[Total PoP ]]&gt;1,1,(WWWW[[#This Row],['#_Constructed/Existing protected/fenced ponds]]*250)/WWWW[[#This Row],[Total PoP ]])</f>
        <v>0</v>
      </c>
      <c r="CU189" s="906">
        <f>WWWW[[#This Row],[% Access to unimproved water points]]*WWWW[[#This Row],[Total PoP ]]</f>
        <v>0</v>
      </c>
      <c r="CV189"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89"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56</v>
      </c>
      <c r="CX189" s="906">
        <f>WWWW[[#This Row],[HRP1]]/500</f>
        <v>0.112</v>
      </c>
      <c r="CY189" s="911">
        <f>1-WWWW[[#This Row],[% Equitable and continuous access to sufficient quantity of domestic water]]</f>
        <v>0</v>
      </c>
      <c r="CZ189" s="906">
        <f>WWWW[[#This Row],[%equitable and continuous access to sufficient quantity of safe drinking and domestic water''s GAP]]*WWWW[[#This Row],[Total PoP ]]</f>
        <v>0</v>
      </c>
      <c r="DA189" s="909">
        <f>IF(WWWW[[#This Row],[Total required water points]]-WWWW[[#This Row],['#Water points coverage]]&lt;0,0,WWWW[[#This Row],[Total required water points]]-WWWW[[#This Row],['#Water points coverage]])</f>
        <v>0.88800000000000001</v>
      </c>
      <c r="DB189" s="909">
        <f>ROUND(IF(WWWW[[#This Row],[Total PoP ]]&lt;500,1,WWWW[[#This Row],[Total PoP ]]/500),0)</f>
        <v>1</v>
      </c>
      <c r="DC189" s="909">
        <f>(WWWW[[#This Row],['#_Constructed latrines_by_WASHAgencies]]+WWWW[[#This Row],['#_Non Cluster partner latrines]])-WWWW[[#This Row],['#_Non-functional latrines]]</f>
        <v>2</v>
      </c>
      <c r="DD189" s="615">
        <f>WWWW[[#This Row],[HRP2]]/WWWW[[#This Row],[Total PoP ]]</f>
        <v>0.7142857142857143</v>
      </c>
      <c r="DE189"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189"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89"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89" s="417">
        <f>IF(WWWW[[#This Row],['# of functional latrines in THF supported by WASH partners during the reporting period2]]="",0,WWWW[[#This Row],['# of functional latrines in THF supported by WASH partners during the reporting period2]]*50)</f>
        <v>0</v>
      </c>
      <c r="DI189" s="909">
        <f>ROUND(IF(WWWW[[#This Row],[Location Type 1]]="camp",WWWW[[#This Row],[Total PoP ]]/20,IF(WWWW[[#This Row],[Location Type 1]]="Temporary Location",WWWW[[#This Row],[Total PoP ]]/50,(WWWW[[#This Row],[Total PoP ]]/6))),0)</f>
        <v>3</v>
      </c>
      <c r="DJ189" s="909">
        <f>IF(WWWW[[#This Row],[Total required Latrines]]-(WWWW[[#This Row],['#_Constructed latrines_by_WASHAgencies]]+WWWW[[#This Row],['#_Non Cluster partner latrines]])&lt;0,0,WWWW[[#This Row],[Total required Latrines]]-(WWWW[[#This Row],['#_Constructed latrines_by_WASHAgencies]]+WWWW[[#This Row],['#_Non Cluster partner latrines]]))</f>
        <v>1</v>
      </c>
      <c r="DK189" s="911">
        <f>1-WWWW[[#This Row],[% people access to functioning Latrine]]</f>
        <v>0.2857142857142857</v>
      </c>
      <c r="DL189" s="910">
        <f>IF(OR(WWWW[[#This Row],['#_Non-functional latrines]]="",WWWW[[#This Row],['#_Non-functional latrines]]=0),0,WWWW[[#This Row],['#_Non-functional latrines]]/(WWWW[[#This Row],['#_Constructed latrines_by_WASHAgencies]]+WWWW[[#This Row],['#_Non Cluster partner latrines]]))</f>
        <v>0</v>
      </c>
      <c r="DM189" s="906">
        <f>IF(500*(WWWW[[#This Row],['#_male hygiene promoters]]+WWWW[[#This Row],['#_female hygiene promoters]])&gt;WWWW[[#This Row],[Total PoP ]],WWWW[[#This Row],[Total PoP ]],500*(WWWW[[#This Row],['#_male hygiene promoters]]+WWWW[[#This Row],['#_female hygiene promoters]]))</f>
        <v>56</v>
      </c>
      <c r="DN189"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56</v>
      </c>
      <c r="DO189"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11</v>
      </c>
      <c r="DP189" s="909">
        <f>IF(WWWW[[#This Row],['# People with access to soap]]&gt;WWWW[[#This Row],['# People with access to Sanity Pads]],WWWW[[#This Row],['# People with access to soap]],WWWW[[#This Row],['# People with access to Sanity Pads]])</f>
        <v>56</v>
      </c>
      <c r="DQ189" s="909">
        <f>IF(WWWW[[#This Row],['# people reached by regular dedicated hygiene promotion_5]]&gt;WWWW[[#This Row],['# People received regular supply of hygiene items_6]],WWWW[[#This Row],['# people reached by regular dedicated hygiene promotion_5]],WWWW[[#This Row],['# People received regular supply of hygiene items_6]])</f>
        <v>56</v>
      </c>
      <c r="DR189" s="911">
        <f>IF(WWWW[[#This Row],[HRP3]]/WWWW[[#This Row],[Total PoP ]]&gt;1,1,WWWW[[#This Row],[HRP3]]/WWWW[[#This Row],[Total PoP ]])</f>
        <v>1</v>
      </c>
      <c r="DS189" s="910">
        <f>1-WWWW[[#This Row],[Hygiene Coverage%]]</f>
        <v>0</v>
      </c>
      <c r="DT189" s="908">
        <f>WWWW[[#This Row],['# people reached by regular dedicated hygiene promotion_5]]/WWWW[[#This Row],[Total PoP ]]</f>
        <v>1</v>
      </c>
      <c r="DU189"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189"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189" s="909">
        <f>WWWW[[#This Row],['#_Constructed/Existing hand washing stations]]-WWWW[[#This Row],['#_Non-Functional_hand_washing_stations]]</f>
        <v>3</v>
      </c>
      <c r="DX189" s="906">
        <f>IF(WWWW[[#This Row],['# Functional hand washing stations during reporting period]]*20&gt;WWWW[[#This Row],[Total HH]],WWWW[[#This Row],[Total HH]],WWWW[[#This Row],['# Functional hand washing stations during reporting period]]*20)</f>
        <v>10</v>
      </c>
      <c r="DY189" s="906">
        <f>IF(WWWW[[#This Row],[Is sufficient soap available for TLS? (Yes/No)]]="yes",WWWW[[#This Row],['#_Constructed/Existing hand washing stations at TLS/CFS/THF]],0)</f>
        <v>0</v>
      </c>
      <c r="DZ189" s="421">
        <f>IF(WWWW[[#This Row],['# Functional hand washing stations during reporting period]]*100&gt;WWWW[[#This Row],[Total PoP ]],WWWW[[#This Row],[Total PoP ]],WWWW[[#This Row],['# Functional hand washing stations during reporting period]]*100)</f>
        <v>56</v>
      </c>
      <c r="EA189" s="421" t="str">
        <f>IF(OR(WWWW[[#This Row],['#_students at TLS_CFS]]="",WWWW[[#This Row],['#_students at TLS_CFS]]=0),"No","Yes")</f>
        <v>Yes</v>
      </c>
      <c r="EB18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89" s="566">
        <f>WWWW[[#This Row],[%_of_affected_people_surveyed_who_report_feeling_satistfied_with_the_latrine_design_and_sanitation_service]]*WWWW[[#This Row],[Total PoP ]]</f>
        <v>42</v>
      </c>
      <c r="ED189" s="566">
        <f>WWWW[[#This Row],[%_of_affected_people_surveyed_who_report_feeling_satistfied_with_the_water_point_design_and_water_service]]*WWWW[[#This Row],[Total PoP ]]</f>
        <v>49.84</v>
      </c>
      <c r="EE189" s="566">
        <f>WWWW[[#This Row],[%_of_complaints_received_that_result_in_timely_corrective_action_and_feedback_to_the_community]]*WWWW[[#This Row],[Total PoP ]]</f>
        <v>42</v>
      </c>
      <c r="EF18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49.84</v>
      </c>
      <c r="EG18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8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89" s="902" t="str">
        <f>VLOOKUP(WWWW[[#This Row],[Site Name]],SiteDB6[[Site Name]:[CCCM Management]],6,FALSE)</f>
        <v>Yes</v>
      </c>
      <c r="EJ189" s="902" t="str">
        <f>VLOOKUP(WWWW[[#This Row],[Site Name]],SiteDB6[[Site Name]:[CCCM Focal Agency]],7,FALSE)</f>
        <v>Shalom</v>
      </c>
      <c r="EK189" s="902" t="str">
        <f>VLOOKUP(WWWW[[#This Row],[Site Name]],SiteDB6[[Site Name]:[Location Type 1]],9,FALSE)</f>
        <v>Camp</v>
      </c>
      <c r="EL189" s="902" t="str">
        <f>VLOOKUP(WWWW[[#This Row],[Site Name]],SiteDB6[[Site Name]:[Type of Accommodation]],10,FALSE)</f>
        <v>Camp</v>
      </c>
      <c r="EM189" s="902" t="str">
        <f>VLOOKUP(WWWW[[#This Row],[Site Name]],SiteDB6[[Site Name]:[Ethnic or GCA/NGCA]],11,FALSE)</f>
        <v>GCA</v>
      </c>
      <c r="EN189" s="902">
        <f>VLOOKUP(WWWW[[#This Row],[Site Name]],SiteDB6[[Site Name]:[Lat]],12,FALSE)</f>
        <v>25.61842</v>
      </c>
      <c r="EO189" s="902">
        <f>VLOOKUP(WWWW[[#This Row],[Site Name]],SiteDB6[[Site Name]:[Long]],13,FALSE)</f>
        <v>96.316400000000002</v>
      </c>
      <c r="EP189" s="902" t="str">
        <f>VLOOKUP(WWWW[[#This Row],[Site Name]],SiteDB6[[Site Name]:[Pcode]],3,FALSE)</f>
        <v>MMR001CMP167</v>
      </c>
      <c r="EQ189" s="907" t="str">
        <f t="shared" si="2"/>
        <v>Covered</v>
      </c>
      <c r="ER189" s="907" t="s">
        <v>3126</v>
      </c>
      <c r="ES189" s="907" t="s">
        <v>3126</v>
      </c>
      <c r="ET189" s="902">
        <f>VLOOKUP(WWWW[[#This Row],[Site Name]],SiteDB6[[Site Name]:[Pop
(Kachin/Shan-CCCM as of May 2023)]],16,FALSE)</f>
        <v>10</v>
      </c>
      <c r="EU189" s="902">
        <f>VLOOKUP(WWWW[[#This Row],[Site Name]],SiteDB6[[Site Name]:[Pop
(Kachin/Shan-CCCM as of May 2023)]],17,FALSE)</f>
        <v>58</v>
      </c>
    </row>
    <row r="190" spans="1:151" hidden="1">
      <c r="A190" s="900" t="s">
        <v>2961</v>
      </c>
      <c r="B190" s="900" t="s">
        <v>242</v>
      </c>
      <c r="C190" s="901" t="s">
        <v>242</v>
      </c>
      <c r="D190" s="901" t="s">
        <v>3184</v>
      </c>
      <c r="E190" s="901" t="s">
        <v>37</v>
      </c>
      <c r="F190" s="901" t="s">
        <v>148</v>
      </c>
      <c r="G190" s="902" t="str">
        <f>VLOOKUP(WWWW[[#This Row],[Site Name]],SiteDB6[[Site Name]:[Location Type]],8,FALSE)</f>
        <v>Camp</v>
      </c>
      <c r="H190" s="901" t="s">
        <v>258</v>
      </c>
      <c r="I190" s="903">
        <v>7</v>
      </c>
      <c r="J190" s="903">
        <v>24</v>
      </c>
      <c r="K190" s="904">
        <v>44927</v>
      </c>
      <c r="L190" s="905">
        <v>45291</v>
      </c>
      <c r="M190" s="903"/>
      <c r="N190" s="903"/>
      <c r="O190" s="903">
        <v>1</v>
      </c>
      <c r="P190" s="903"/>
      <c r="Q190" s="906" t="s">
        <v>41</v>
      </c>
      <c r="R190" s="903">
        <v>3</v>
      </c>
      <c r="S190" s="903">
        <v>4</v>
      </c>
      <c r="T190" s="441">
        <v>1</v>
      </c>
      <c r="U190" s="903">
        <v>1</v>
      </c>
      <c r="V190" s="903"/>
      <c r="W190" s="903">
        <v>1</v>
      </c>
      <c r="X190" s="903"/>
      <c r="Y190" s="903">
        <v>1</v>
      </c>
      <c r="Z190" s="903"/>
      <c r="AA190" s="903">
        <v>1</v>
      </c>
      <c r="AB190" s="903"/>
      <c r="AC190" s="903">
        <v>1</v>
      </c>
      <c r="AD190" s="903">
        <v>1500</v>
      </c>
      <c r="AE190" s="903">
        <v>1</v>
      </c>
      <c r="AF190" s="903"/>
      <c r="AG190" s="903">
        <v>1</v>
      </c>
      <c r="AH190" s="903">
        <v>1</v>
      </c>
      <c r="AI190" s="903"/>
      <c r="AJ190" s="903"/>
      <c r="AK190" s="903"/>
      <c r="AL190" s="903"/>
      <c r="AM190" s="903"/>
      <c r="AN190" s="903"/>
      <c r="AO190" s="441"/>
      <c r="AP190" s="907"/>
      <c r="AQ190" s="903">
        <v>3</v>
      </c>
      <c r="AR190" s="903"/>
      <c r="AS190" s="908"/>
      <c r="AT190" s="903"/>
      <c r="AU190" s="903"/>
      <c r="AV190" s="903"/>
      <c r="AW190" s="903"/>
      <c r="AX190" s="903"/>
      <c r="AY190" s="902" t="s">
        <v>41</v>
      </c>
      <c r="AZ190" s="907" t="s">
        <v>136</v>
      </c>
      <c r="BA190" s="903"/>
      <c r="BB190" s="903"/>
      <c r="BC190" s="903"/>
      <c r="BD190" s="441"/>
      <c r="BE190" s="441"/>
      <c r="BF190" s="902"/>
      <c r="BG190" s="903">
        <v>2</v>
      </c>
      <c r="BH190" s="903">
        <v>2</v>
      </c>
      <c r="BI190" s="903"/>
      <c r="BJ190" s="903">
        <v>2</v>
      </c>
      <c r="BK190" s="903"/>
      <c r="BL190" s="903">
        <v>1</v>
      </c>
      <c r="BM190" s="903"/>
      <c r="BN190" s="903">
        <v>7</v>
      </c>
      <c r="BO190" s="903">
        <v>4</v>
      </c>
      <c r="BP190" s="902" t="s">
        <v>136</v>
      </c>
      <c r="BQ190" s="909"/>
      <c r="BR190" s="908"/>
      <c r="BS190" s="902"/>
      <c r="BT190" s="416">
        <v>0.75</v>
      </c>
      <c r="BU190" s="416">
        <v>0.75</v>
      </c>
      <c r="BV190" s="418">
        <v>3</v>
      </c>
      <c r="BW190" s="416">
        <v>0.9</v>
      </c>
      <c r="BX190" s="441"/>
      <c r="BY190" s="441"/>
      <c r="BZ190" s="441"/>
      <c r="CA190" s="441"/>
      <c r="CB190" s="441"/>
      <c r="CC190" s="693"/>
      <c r="CD190" s="441"/>
      <c r="CE190" s="910" t="str">
        <f>IFERROR(WWWW[[#This Row],['#_Water sources passed]]/WWWW[[#This Row],['#_Water sources tested for fecal coliform ]],"no test")</f>
        <v>no test</v>
      </c>
      <c r="CF190" s="908" t="str">
        <f>IFERROR(WWWW[[#This Row],['#_Household passed]]/WWWW[[#This Row],['#_Household water samples tested for fecal coliform]],"no test")</f>
        <v>no test</v>
      </c>
      <c r="CG190" s="909" t="str">
        <f>IF(AND(WWWW[[#This Row],[% of water sources passed]]="no test",WWWW[[#This Row],[% Household passed]]="no test"),"No Test","Tested")</f>
        <v>No Test</v>
      </c>
      <c r="CH190" s="909">
        <f>WWWW[[#This Row],['#_Constructed/existing protected hand dug well]]-WWWW[[#This Row],['#_Non-functional protected hand dug well]]</f>
        <v>0</v>
      </c>
      <c r="CI190" s="909">
        <f>(WWWW[[#This Row],['#_Constructed/Existing tube wells/boreholes/handpumps_WASH_agency]]+WWWW[[#This Row],['#_Non-Cluster partner water tube-wells/boreholes/handpumps]])-WWWW[[#This Row],['#_Non-functional tube wells/boreholes/handpumps]]</f>
        <v>0</v>
      </c>
      <c r="CJ190" s="909">
        <f>WWWW[[#This Row],['#_Constructed/Existingwater storage tank with gravity fed reticulation system]]-WWWW[[#This Row],['#_Non-functional storage tank gravity fed reticulation system]]</f>
        <v>1</v>
      </c>
      <c r="CK190" s="909">
        <f>(WWWW[[#This Row],['#_Water_Liters_supplied_by_Water boating or water trucking]]/90)/15</f>
        <v>1.1111111111111112</v>
      </c>
      <c r="CL190" s="909">
        <f>WWWW[[#This Row],['#_Water_Liters_from_Constructed/Existing water distribution system from river or natural spring]]/90/15</f>
        <v>0</v>
      </c>
      <c r="CM190" s="417">
        <f>IF(WWWW[[#This Row],['#_of water points in TLS/CFS]]*500&gt;WWWW[[#This Row],[Total PoP ]],WWWW[[#This Row],[Total PoP ]],WWWW[[#This Row],['#_of water points in TLS/CFS]]*500)</f>
        <v>0</v>
      </c>
      <c r="CN190" s="417">
        <f>IF(WWWW[[#This Row],['#_of water points in THF]]*500&gt;WWWW[[#This Row],[Total PoP ]],WWWW[[#This Row],[Total PoP ]],WWWW[[#This Row],['#_of water points in THF]]*500)</f>
        <v>0</v>
      </c>
      <c r="CO190" s="417"/>
      <c r="CP190"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90"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90" s="908">
        <f>IF(WWWW[[#This Row],[Location Type 1]]="Village",WWWW[[#This Row],[Access to safe drinking water for Village]],WWWW[[#This Row],[Access to safe drinking water for Camp]])</f>
        <v>1</v>
      </c>
      <c r="CS190" s="906">
        <f>WWWW[[#This Row],[%Equitable and continuous access to sufficient quantity of safe drinking water]]*WWWW[[#This Row],[Total PoP ]]</f>
        <v>24</v>
      </c>
      <c r="CT190" s="908">
        <f>IF((WWWW[[#This Row],['#_Constructed/Existing protected/fenced ponds]]*250)/WWWW[[#This Row],[Total PoP ]]&gt;1,1,(WWWW[[#This Row],['#_Constructed/Existing protected/fenced ponds]]*250)/WWWW[[#This Row],[Total PoP ]])</f>
        <v>1</v>
      </c>
      <c r="CU190" s="906">
        <f>WWWW[[#This Row],[% Access to unimproved water points]]*WWWW[[#This Row],[Total PoP ]]</f>
        <v>24</v>
      </c>
      <c r="CV190"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90"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v>
      </c>
      <c r="CX190" s="906">
        <f>WWWW[[#This Row],[HRP1]]/500</f>
        <v>4.8000000000000001E-2</v>
      </c>
      <c r="CY190" s="911">
        <f>1-WWWW[[#This Row],[% Equitable and continuous access to sufficient quantity of domestic water]]</f>
        <v>0</v>
      </c>
      <c r="CZ190" s="906">
        <f>WWWW[[#This Row],[%equitable and continuous access to sufficient quantity of safe drinking and domestic water''s GAP]]*WWWW[[#This Row],[Total PoP ]]</f>
        <v>0</v>
      </c>
      <c r="DA190" s="909">
        <f>IF(WWWW[[#This Row],[Total required water points]]-WWWW[[#This Row],['#Water points coverage]]&lt;0,0,WWWW[[#This Row],[Total required water points]]-WWWW[[#This Row],['#Water points coverage]])</f>
        <v>0.95199999999999996</v>
      </c>
      <c r="DB190" s="909">
        <f>ROUND(IF(WWWW[[#This Row],[Total PoP ]]&lt;500,1,WWWW[[#This Row],[Total PoP ]]/500),0)</f>
        <v>1</v>
      </c>
      <c r="DC190" s="909">
        <f>(WWWW[[#This Row],['#_Constructed latrines_by_WASHAgencies]]+WWWW[[#This Row],['#_Non Cluster partner latrines]])-WWWW[[#This Row],['#_Non-functional latrines]]</f>
        <v>3</v>
      </c>
      <c r="DD190" s="615">
        <f>WWWW[[#This Row],[HRP2]]/WWWW[[#This Row],[Total PoP ]]</f>
        <v>1</v>
      </c>
      <c r="DE190"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24</v>
      </c>
      <c r="DF190"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90"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0" s="417">
        <f>IF(WWWW[[#This Row],['# of functional latrines in THF supported by WASH partners during the reporting period2]]="",0,WWWW[[#This Row],['# of functional latrines in THF supported by WASH partners during the reporting period2]]*50)</f>
        <v>0</v>
      </c>
      <c r="DI190" s="909">
        <f>ROUND(IF(WWWW[[#This Row],[Location Type 1]]="camp",WWWW[[#This Row],[Total PoP ]]/20,IF(WWWW[[#This Row],[Location Type 1]]="Temporary Location",WWWW[[#This Row],[Total PoP ]]/50,(WWWW[[#This Row],[Total PoP ]]/6))),0)</f>
        <v>1</v>
      </c>
      <c r="DJ190" s="909">
        <f>IF(WWWW[[#This Row],[Total required Latrines]]-(WWWW[[#This Row],['#_Constructed latrines_by_WASHAgencies]]+WWWW[[#This Row],['#_Non Cluster partner latrines]])&lt;0,0,WWWW[[#This Row],[Total required Latrines]]-(WWWW[[#This Row],['#_Constructed latrines_by_WASHAgencies]]+WWWW[[#This Row],['#_Non Cluster partner latrines]]))</f>
        <v>0</v>
      </c>
      <c r="DK190" s="911">
        <f>1-WWWW[[#This Row],[% people access to functioning Latrine]]</f>
        <v>0</v>
      </c>
      <c r="DL190" s="910">
        <f>IF(OR(WWWW[[#This Row],['#_Non-functional latrines]]="",WWWW[[#This Row],['#_Non-functional latrines]]=0),0,WWWW[[#This Row],['#_Non-functional latrines]]/(WWWW[[#This Row],['#_Constructed latrines_by_WASHAgencies]]+WWWW[[#This Row],['#_Non Cluster partner latrines]]))</f>
        <v>0</v>
      </c>
      <c r="DM190" s="906">
        <f>IF(500*(WWWW[[#This Row],['#_male hygiene promoters]]+WWWW[[#This Row],['#_female hygiene promoters]])&gt;WWWW[[#This Row],[Total PoP ]],WWWW[[#This Row],[Total PoP ]],500*(WWWW[[#This Row],['#_male hygiene promoters]]+WWWW[[#This Row],['#_female hygiene promoters]]))</f>
        <v>24</v>
      </c>
      <c r="DN190"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v>
      </c>
      <c r="DO190"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v>
      </c>
      <c r="DP190" s="909">
        <f>IF(WWWW[[#This Row],['# People with access to soap]]&gt;WWWW[[#This Row],['# People with access to Sanity Pads]],WWWW[[#This Row],['# People with access to soap]],WWWW[[#This Row],['# People with access to Sanity Pads]])</f>
        <v>24</v>
      </c>
      <c r="DQ190" s="909">
        <f>IF(WWWW[[#This Row],['# people reached by regular dedicated hygiene promotion_5]]&gt;WWWW[[#This Row],['# People received regular supply of hygiene items_6]],WWWW[[#This Row],['# people reached by regular dedicated hygiene promotion_5]],WWWW[[#This Row],['# People received regular supply of hygiene items_6]])</f>
        <v>24</v>
      </c>
      <c r="DR190" s="911">
        <f>IF(WWWW[[#This Row],[HRP3]]/WWWW[[#This Row],[Total PoP ]]&gt;1,1,WWWW[[#This Row],[HRP3]]/WWWW[[#This Row],[Total PoP ]])</f>
        <v>1</v>
      </c>
      <c r="DS190" s="910">
        <f>1-WWWW[[#This Row],[Hygiene Coverage%]]</f>
        <v>0</v>
      </c>
      <c r="DT190" s="908">
        <f>WWWW[[#This Row],['# people reached by regular dedicated hygiene promotion_5]]/WWWW[[#This Row],[Total PoP ]]</f>
        <v>1</v>
      </c>
      <c r="DU190"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190"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0.5714285714285714</v>
      </c>
      <c r="DW190" s="909">
        <f>WWWW[[#This Row],['#_Constructed/Existing hand washing stations]]-WWWW[[#This Row],['#_Non-Functional_hand_washing_stations]]</f>
        <v>0</v>
      </c>
      <c r="DX190" s="906">
        <f>IF(WWWW[[#This Row],['# Functional hand washing stations during reporting period]]*20&gt;WWWW[[#This Row],[Total HH]],WWWW[[#This Row],[Total HH]],WWWW[[#This Row],['# Functional hand washing stations during reporting period]]*20)</f>
        <v>0</v>
      </c>
      <c r="DY190" s="906">
        <f>IF(WWWW[[#This Row],[Is sufficient soap available for TLS? (Yes/No)]]="yes",WWWW[[#This Row],['#_Constructed/Existing hand washing stations at TLS/CFS/THF]],0)</f>
        <v>0</v>
      </c>
      <c r="DZ190" s="421">
        <f>IF(WWWW[[#This Row],['# Functional hand washing stations during reporting period]]*100&gt;WWWW[[#This Row],[Total PoP ]],WWWW[[#This Row],[Total PoP ]],WWWW[[#This Row],['# Functional hand washing stations during reporting period]]*100)</f>
        <v>0</v>
      </c>
      <c r="EA190" s="421" t="str">
        <f>IF(OR(WWWW[[#This Row],['#_students at TLS_CFS]]="",WWWW[[#This Row],['#_students at TLS_CFS]]=0),"No","Yes")</f>
        <v>No</v>
      </c>
      <c r="EB190" s="615">
        <f>IF(WWWW[[#This Row],['#_of_affected_people_surveyed_who_report_feeling_informed_about_the_different_WASH_services_available_to_them]]="","",WWWW[[#This Row],['#_of_affected_people_surveyed_who_report_feeling_informed_about_the_different_WASH_services_available_to_them]]/WWWW[[#This Row],[Total PoP ]])</f>
        <v>0.125</v>
      </c>
      <c r="EC190" s="566">
        <f>WWWW[[#This Row],[%_of_affected_people_surveyed_who_report_feeling_satistfied_with_the_latrine_design_and_sanitation_service]]*WWWW[[#This Row],[Total PoP ]]</f>
        <v>18</v>
      </c>
      <c r="ED190" s="566">
        <f>WWWW[[#This Row],[%_of_affected_people_surveyed_who_report_feeling_satistfied_with_the_water_point_design_and_water_service]]*WWWW[[#This Row],[Total PoP ]]</f>
        <v>18</v>
      </c>
      <c r="EE190" s="566">
        <f>WWWW[[#This Row],[%_of_complaints_received_that_result_in_timely_corrective_action_and_feedback_to_the_community]]*WWWW[[#This Row],[Total PoP ]]</f>
        <v>21.6</v>
      </c>
      <c r="EF19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21.6</v>
      </c>
      <c r="EG19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9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90" s="902" t="str">
        <f>VLOOKUP(WWWW[[#This Row],[Site Name]],SiteDB6[[Site Name]:[CCCM Management]],6,FALSE)</f>
        <v>Yes</v>
      </c>
      <c r="EJ190" s="902" t="str">
        <f>VLOOKUP(WWWW[[#This Row],[Site Name]],SiteDB6[[Site Name]:[CCCM Focal Agency]],7,FALSE)</f>
        <v>Shalom</v>
      </c>
      <c r="EK190" s="902" t="str">
        <f>VLOOKUP(WWWW[[#This Row],[Site Name]],SiteDB6[[Site Name]:[Location Type 1]],9,FALSE)</f>
        <v>Camp</v>
      </c>
      <c r="EL190" s="902" t="str">
        <f>VLOOKUP(WWWW[[#This Row],[Site Name]],SiteDB6[[Site Name]:[Type of Accommodation]],10,FALSE)</f>
        <v>Camp like setting</v>
      </c>
      <c r="EM190" s="902" t="str">
        <f>VLOOKUP(WWWW[[#This Row],[Site Name]],SiteDB6[[Site Name]:[Ethnic or GCA/NGCA]],11,FALSE)</f>
        <v>GCA</v>
      </c>
      <c r="EN190" s="902">
        <f>VLOOKUP(WWWW[[#This Row],[Site Name]],SiteDB6[[Site Name]:[Lat]],12,FALSE)</f>
        <v>25.617998</v>
      </c>
      <c r="EO190" s="902">
        <f>VLOOKUP(WWWW[[#This Row],[Site Name]],SiteDB6[[Site Name]:[Long]],13,FALSE)</f>
        <v>96.339590000000001</v>
      </c>
      <c r="EP190" s="902" t="str">
        <f>VLOOKUP(WWWW[[#This Row],[Site Name]],SiteDB6[[Site Name]:[Pcode]],3,FALSE)</f>
        <v>MMR001CMP192</v>
      </c>
      <c r="EQ190" s="907" t="str">
        <f t="shared" si="2"/>
        <v>Covered</v>
      </c>
      <c r="ER190" s="907" t="s">
        <v>3126</v>
      </c>
      <c r="ES190" s="907" t="s">
        <v>3126</v>
      </c>
      <c r="ET190" s="902">
        <f>VLOOKUP(WWWW[[#This Row],[Site Name]],SiteDB6[[Site Name]:[Pop
(Kachin/Shan-CCCM as of May 2023)]],16,FALSE)</f>
        <v>7</v>
      </c>
      <c r="EU190" s="902">
        <f>VLOOKUP(WWWW[[#This Row],[Site Name]],SiteDB6[[Site Name]:[Pop
(Kachin/Shan-CCCM as of May 2023)]],17,FALSE)</f>
        <v>24</v>
      </c>
    </row>
    <row r="191" spans="1:151" hidden="1">
      <c r="A191" s="900" t="s">
        <v>2961</v>
      </c>
      <c r="B191" s="900" t="s">
        <v>242</v>
      </c>
      <c r="C191" s="901" t="s">
        <v>242</v>
      </c>
      <c r="D191" s="901" t="s">
        <v>3184</v>
      </c>
      <c r="E191" s="901" t="s">
        <v>37</v>
      </c>
      <c r="F191" s="901" t="s">
        <v>148</v>
      </c>
      <c r="G191" s="902" t="str">
        <f>VLOOKUP(WWWW[[#This Row],[Site Name]],SiteDB6[[Site Name]:[Location Type]],8,FALSE)</f>
        <v>Camp</v>
      </c>
      <c r="H191" s="901" t="s">
        <v>259</v>
      </c>
      <c r="I191" s="903">
        <v>16</v>
      </c>
      <c r="J191" s="903">
        <v>72</v>
      </c>
      <c r="K191" s="904">
        <v>44927</v>
      </c>
      <c r="L191" s="905">
        <v>45291</v>
      </c>
      <c r="M191" s="903"/>
      <c r="N191" s="903"/>
      <c r="O191" s="903">
        <v>1</v>
      </c>
      <c r="P191" s="903"/>
      <c r="Q191" s="906" t="s">
        <v>41</v>
      </c>
      <c r="R191" s="903">
        <v>1</v>
      </c>
      <c r="S191" s="903">
        <v>2</v>
      </c>
      <c r="T191" s="441">
        <v>1</v>
      </c>
      <c r="U191" s="903"/>
      <c r="V191" s="903"/>
      <c r="W191" s="903">
        <v>1</v>
      </c>
      <c r="X191" s="903"/>
      <c r="Y191" s="903"/>
      <c r="Z191" s="903"/>
      <c r="AA191" s="903">
        <v>1</v>
      </c>
      <c r="AB191" s="903">
        <v>1</v>
      </c>
      <c r="AC191" s="903"/>
      <c r="AD191" s="903"/>
      <c r="AE191" s="903">
        <v>1</v>
      </c>
      <c r="AF191" s="903"/>
      <c r="AG191" s="903"/>
      <c r="AH191" s="903"/>
      <c r="AI191" s="903"/>
      <c r="AJ191" s="903"/>
      <c r="AK191" s="903"/>
      <c r="AL191" s="903"/>
      <c r="AM191" s="903">
        <v>1</v>
      </c>
      <c r="AN191" s="903"/>
      <c r="AO191" s="441"/>
      <c r="AP191" s="907" t="s">
        <v>3212</v>
      </c>
      <c r="AQ191" s="903">
        <v>2</v>
      </c>
      <c r="AR191" s="903"/>
      <c r="AS191" s="908"/>
      <c r="AT191" s="903"/>
      <c r="AU191" s="903"/>
      <c r="AV191" s="903"/>
      <c r="AW191" s="903"/>
      <c r="AX191" s="903">
        <v>2</v>
      </c>
      <c r="AY191" s="902" t="s">
        <v>41</v>
      </c>
      <c r="AZ191" s="907" t="s">
        <v>137</v>
      </c>
      <c r="BA191" s="903"/>
      <c r="BB191" s="903"/>
      <c r="BC191" s="903"/>
      <c r="BD191" s="441"/>
      <c r="BE191" s="441"/>
      <c r="BF191" s="902" t="s">
        <v>3213</v>
      </c>
      <c r="BG191" s="903">
        <v>3</v>
      </c>
      <c r="BH191" s="903">
        <v>1</v>
      </c>
      <c r="BI191" s="903"/>
      <c r="BJ191" s="903">
        <v>2</v>
      </c>
      <c r="BK191" s="903"/>
      <c r="BL191" s="903">
        <v>1</v>
      </c>
      <c r="BM191" s="903"/>
      <c r="BN191" s="903">
        <v>16</v>
      </c>
      <c r="BO191" s="903">
        <v>24</v>
      </c>
      <c r="BP191" s="902" t="s">
        <v>136</v>
      </c>
      <c r="BQ191" s="909"/>
      <c r="BR191" s="908">
        <v>1</v>
      </c>
      <c r="BS191" s="902"/>
      <c r="BT191" s="416">
        <v>1</v>
      </c>
      <c r="BU191" s="416">
        <v>0.2</v>
      </c>
      <c r="BV191" s="418"/>
      <c r="BW191" s="416">
        <v>0.2</v>
      </c>
      <c r="BX191" s="441"/>
      <c r="BY191" s="441"/>
      <c r="BZ191" s="441"/>
      <c r="CA191" s="441"/>
      <c r="CB191" s="441"/>
      <c r="CC191" s="693"/>
      <c r="CD191" s="441"/>
      <c r="CE191" s="910" t="str">
        <f>IFERROR(WWWW[[#This Row],['#_Water sources passed]]/WWWW[[#This Row],['#_Water sources tested for fecal coliform ]],"no test")</f>
        <v>no test</v>
      </c>
      <c r="CF191" s="908" t="str">
        <f>IFERROR(WWWW[[#This Row],['#_Household passed]]/WWWW[[#This Row],['#_Household water samples tested for fecal coliform]],"no test")</f>
        <v>no test</v>
      </c>
      <c r="CG191" s="909" t="str">
        <f>IF(AND(WWWW[[#This Row],[% of water sources passed]]="no test",WWWW[[#This Row],[% Household passed]]="no test"),"No Test","Tested")</f>
        <v>No Test</v>
      </c>
      <c r="CH191" s="909">
        <f>WWWW[[#This Row],['#_Constructed/existing protected hand dug well]]-WWWW[[#This Row],['#_Non-functional protected hand dug well]]</f>
        <v>1</v>
      </c>
      <c r="CI191" s="909">
        <f>(WWWW[[#This Row],['#_Constructed/Existing tube wells/boreholes/handpumps_WASH_agency]]+WWWW[[#This Row],['#_Non-Cluster partner water tube-wells/boreholes/handpumps]])-WWWW[[#This Row],['#_Non-functional tube wells/boreholes/handpumps]]</f>
        <v>1</v>
      </c>
      <c r="CJ191" s="909">
        <f>WWWW[[#This Row],['#_Constructed/Existingwater storage tank with gravity fed reticulation system]]-WWWW[[#This Row],['#_Non-functional storage tank gravity fed reticulation system]]</f>
        <v>0</v>
      </c>
      <c r="CK191" s="909">
        <f>(WWWW[[#This Row],['#_Water_Liters_supplied_by_Water boating or water trucking]]/90)/15</f>
        <v>0</v>
      </c>
      <c r="CL191" s="909">
        <f>WWWW[[#This Row],['#_Water_Liters_from_Constructed/Existing water distribution system from river or natural spring]]/90/15</f>
        <v>0</v>
      </c>
      <c r="CM191" s="417">
        <f>IF(WWWW[[#This Row],['#_of water points in TLS/CFS]]*500&gt;WWWW[[#This Row],[Total PoP ]],WWWW[[#This Row],[Total PoP ]],WWWW[[#This Row],['#_of water points in TLS/CFS]]*500)</f>
        <v>0</v>
      </c>
      <c r="CN191" s="417">
        <f>IF(WWWW[[#This Row],['#_of water points in THF]]*500&gt;WWWW[[#This Row],[Total PoP ]],WWWW[[#This Row],[Total PoP ]],WWWW[[#This Row],['#_of water points in THF]]*500)</f>
        <v>0</v>
      </c>
      <c r="CO191" s="417"/>
      <c r="CP191"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91"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91" s="908">
        <f>IF(WWWW[[#This Row],[Location Type 1]]="Village",WWWW[[#This Row],[Access to safe drinking water for Village]],WWWW[[#This Row],[Access to safe drinking water for Camp]])</f>
        <v>1</v>
      </c>
      <c r="CS191" s="906">
        <f>WWWW[[#This Row],[%Equitable and continuous access to sufficient quantity of safe drinking water]]*WWWW[[#This Row],[Total PoP ]]</f>
        <v>72</v>
      </c>
      <c r="CT191" s="908">
        <f>IF((WWWW[[#This Row],['#_Constructed/Existing protected/fenced ponds]]*250)/WWWW[[#This Row],[Total PoP ]]&gt;1,1,(WWWW[[#This Row],['#_Constructed/Existing protected/fenced ponds]]*250)/WWWW[[#This Row],[Total PoP ]])</f>
        <v>1</v>
      </c>
      <c r="CU191" s="906">
        <f>WWWW[[#This Row],[% Access to unimproved water points]]*WWWW[[#This Row],[Total PoP ]]</f>
        <v>72</v>
      </c>
      <c r="CV191"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91"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72</v>
      </c>
      <c r="CX191" s="906">
        <f>WWWW[[#This Row],[HRP1]]/500</f>
        <v>0.14399999999999999</v>
      </c>
      <c r="CY191" s="911">
        <f>1-WWWW[[#This Row],[% Equitable and continuous access to sufficient quantity of domestic water]]</f>
        <v>0</v>
      </c>
      <c r="CZ191" s="906">
        <f>WWWW[[#This Row],[%equitable and continuous access to sufficient quantity of safe drinking and domestic water''s GAP]]*WWWW[[#This Row],[Total PoP ]]</f>
        <v>0</v>
      </c>
      <c r="DA191" s="909">
        <f>IF(WWWW[[#This Row],[Total required water points]]-WWWW[[#This Row],['#Water points coverage]]&lt;0,0,WWWW[[#This Row],[Total required water points]]-WWWW[[#This Row],['#Water points coverage]])</f>
        <v>0.85599999999999998</v>
      </c>
      <c r="DB191" s="909">
        <f>ROUND(IF(WWWW[[#This Row],[Total PoP ]]&lt;500,1,WWWW[[#This Row],[Total PoP ]]/500),0)</f>
        <v>1</v>
      </c>
      <c r="DC191" s="909">
        <f>(WWWW[[#This Row],['#_Constructed latrines_by_WASHAgencies]]+WWWW[[#This Row],['#_Non Cluster partner latrines]])-WWWW[[#This Row],['#_Non-functional latrines]]</f>
        <v>2</v>
      </c>
      <c r="DD191" s="615">
        <f>WWWW[[#This Row],[HRP2]]/WWWW[[#This Row],[Total PoP ]]</f>
        <v>0.55555555555555558</v>
      </c>
      <c r="DE191"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191"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91"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1" s="417">
        <f>IF(WWWW[[#This Row],['# of functional latrines in THF supported by WASH partners during the reporting period2]]="",0,WWWW[[#This Row],['# of functional latrines in THF supported by WASH partners during the reporting period2]]*50)</f>
        <v>0</v>
      </c>
      <c r="DI191" s="909">
        <f>ROUND(IF(WWWW[[#This Row],[Location Type 1]]="camp",WWWW[[#This Row],[Total PoP ]]/20,IF(WWWW[[#This Row],[Location Type 1]]="Temporary Location",WWWW[[#This Row],[Total PoP ]]/50,(WWWW[[#This Row],[Total PoP ]]/6))),0)</f>
        <v>4</v>
      </c>
      <c r="DJ191" s="909">
        <f>IF(WWWW[[#This Row],[Total required Latrines]]-(WWWW[[#This Row],['#_Constructed latrines_by_WASHAgencies]]+WWWW[[#This Row],['#_Non Cluster partner latrines]])&lt;0,0,WWWW[[#This Row],[Total required Latrines]]-(WWWW[[#This Row],['#_Constructed latrines_by_WASHAgencies]]+WWWW[[#This Row],['#_Non Cluster partner latrines]]))</f>
        <v>2</v>
      </c>
      <c r="DK191" s="911">
        <f>1-WWWW[[#This Row],[% people access to functioning Latrine]]</f>
        <v>0.44444444444444442</v>
      </c>
      <c r="DL191" s="910">
        <f>IF(OR(WWWW[[#This Row],['#_Non-functional latrines]]="",WWWW[[#This Row],['#_Non-functional latrines]]=0),0,WWWW[[#This Row],['#_Non-functional latrines]]/(WWWW[[#This Row],['#_Constructed latrines_by_WASHAgencies]]+WWWW[[#This Row],['#_Non Cluster partner latrines]]))</f>
        <v>0</v>
      </c>
      <c r="DM191" s="906">
        <f>IF(500*(WWWW[[#This Row],['#_male hygiene promoters]]+WWWW[[#This Row],['#_female hygiene promoters]])&gt;WWWW[[#This Row],[Total PoP ]],WWWW[[#This Row],[Total PoP ]],500*(WWWW[[#This Row],['#_male hygiene promoters]]+WWWW[[#This Row],['#_female hygiene promoters]]))</f>
        <v>72</v>
      </c>
      <c r="DN191"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72</v>
      </c>
      <c r="DO191"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24</v>
      </c>
      <c r="DP191" s="909">
        <f>IF(WWWW[[#This Row],['# People with access to soap]]&gt;WWWW[[#This Row],['# People with access to Sanity Pads]],WWWW[[#This Row],['# People with access to soap]],WWWW[[#This Row],['# People with access to Sanity Pads]])</f>
        <v>72</v>
      </c>
      <c r="DQ191" s="909">
        <f>IF(WWWW[[#This Row],['# people reached by regular dedicated hygiene promotion_5]]&gt;WWWW[[#This Row],['# People received regular supply of hygiene items_6]],WWWW[[#This Row],['# people reached by regular dedicated hygiene promotion_5]],WWWW[[#This Row],['# People received regular supply of hygiene items_6]])</f>
        <v>72</v>
      </c>
      <c r="DR191" s="911">
        <f>IF(WWWW[[#This Row],[HRP3]]/WWWW[[#This Row],[Total PoP ]]&gt;1,1,WWWW[[#This Row],[HRP3]]/WWWW[[#This Row],[Total PoP ]])</f>
        <v>1</v>
      </c>
      <c r="DS191" s="910">
        <f>1-WWWW[[#This Row],[Hygiene Coverage%]]</f>
        <v>0</v>
      </c>
      <c r="DT191" s="908">
        <f>WWWW[[#This Row],['# people reached by regular dedicated hygiene promotion_5]]/WWWW[[#This Row],[Total PoP ]]</f>
        <v>1</v>
      </c>
      <c r="DU191"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191"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191" s="909">
        <f>WWWW[[#This Row],['#_Constructed/Existing hand washing stations]]-WWWW[[#This Row],['#_Non-Functional_hand_washing_stations]]</f>
        <v>2</v>
      </c>
      <c r="DX191" s="906">
        <f>IF(WWWW[[#This Row],['# Functional hand washing stations during reporting period]]*20&gt;WWWW[[#This Row],[Total HH]],WWWW[[#This Row],[Total HH]],WWWW[[#This Row],['# Functional hand washing stations during reporting period]]*20)</f>
        <v>16</v>
      </c>
      <c r="DY191" s="906">
        <f>IF(WWWW[[#This Row],[Is sufficient soap available for TLS? (Yes/No)]]="yes",WWWW[[#This Row],['#_Constructed/Existing hand washing stations at TLS/CFS/THF]],0)</f>
        <v>0</v>
      </c>
      <c r="DZ191" s="421">
        <f>IF(WWWW[[#This Row],['# Functional hand washing stations during reporting period]]*100&gt;WWWW[[#This Row],[Total PoP ]],WWWW[[#This Row],[Total PoP ]],WWWW[[#This Row],['# Functional hand washing stations during reporting period]]*100)</f>
        <v>72</v>
      </c>
      <c r="EA191" s="421" t="str">
        <f>IF(OR(WWWW[[#This Row],['#_students at TLS_CFS]]="",WWWW[[#This Row],['#_students at TLS_CFS]]=0),"No","Yes")</f>
        <v>No</v>
      </c>
      <c r="EB19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91" s="566">
        <f>WWWW[[#This Row],[%_of_affected_people_surveyed_who_report_feeling_satistfied_with_the_latrine_design_and_sanitation_service]]*WWWW[[#This Row],[Total PoP ]]</f>
        <v>72</v>
      </c>
      <c r="ED191" s="566">
        <f>WWWW[[#This Row],[%_of_affected_people_surveyed_who_report_feeling_satistfied_with_the_water_point_design_and_water_service]]*WWWW[[#This Row],[Total PoP ]]</f>
        <v>14.4</v>
      </c>
      <c r="EE191" s="566">
        <f>WWWW[[#This Row],[%_of_complaints_received_that_result_in_timely_corrective_action_and_feedback_to_the_community]]*WWWW[[#This Row],[Total PoP ]]</f>
        <v>14.4</v>
      </c>
      <c r="EF19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72</v>
      </c>
      <c r="EG19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9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91" s="902" t="str">
        <f>VLOOKUP(WWWW[[#This Row],[Site Name]],SiteDB6[[Site Name]:[CCCM Management]],6,FALSE)</f>
        <v>Yes</v>
      </c>
      <c r="EJ191" s="902" t="str">
        <f>VLOOKUP(WWWW[[#This Row],[Site Name]],SiteDB6[[Site Name]:[CCCM Focal Agency]],7,FALSE)</f>
        <v>Shalom</v>
      </c>
      <c r="EK191" s="902" t="str">
        <f>VLOOKUP(WWWW[[#This Row],[Site Name]],SiteDB6[[Site Name]:[Location Type 1]],9,FALSE)</f>
        <v>Camp</v>
      </c>
      <c r="EL191" s="902" t="str">
        <f>VLOOKUP(WWWW[[#This Row],[Site Name]],SiteDB6[[Site Name]:[Type of Accommodation]],10,FALSE)</f>
        <v>Camp like setting</v>
      </c>
      <c r="EM191" s="902" t="str">
        <f>VLOOKUP(WWWW[[#This Row],[Site Name]],SiteDB6[[Site Name]:[Ethnic or GCA/NGCA]],11,FALSE)</f>
        <v>GCA</v>
      </c>
      <c r="EN191" s="902">
        <f>VLOOKUP(WWWW[[#This Row],[Site Name]],SiteDB6[[Site Name]:[Lat]],12,FALSE)</f>
        <v>25.56551</v>
      </c>
      <c r="EO191" s="902">
        <f>VLOOKUP(WWWW[[#This Row],[Site Name]],SiteDB6[[Site Name]:[Long]],13,FALSE)</f>
        <v>96.279200000000003</v>
      </c>
      <c r="EP191" s="902" t="str">
        <f>VLOOKUP(WWWW[[#This Row],[Site Name]],SiteDB6[[Site Name]:[Pcode]],3,FALSE)</f>
        <v>MMR001CMP182</v>
      </c>
      <c r="EQ191" s="907" t="str">
        <f t="shared" si="2"/>
        <v>Covered</v>
      </c>
      <c r="ER191" s="907" t="s">
        <v>3126</v>
      </c>
      <c r="ES191" s="907" t="s">
        <v>3126</v>
      </c>
      <c r="ET191" s="902">
        <f>VLOOKUP(WWWW[[#This Row],[Site Name]],SiteDB6[[Site Name]:[Pop
(Kachin/Shan-CCCM as of May 2023)]],16,FALSE)</f>
        <v>21</v>
      </c>
      <c r="EU191" s="902">
        <f>VLOOKUP(WWWW[[#This Row],[Site Name]],SiteDB6[[Site Name]:[Pop
(Kachin/Shan-CCCM as of May 2023)]],17,FALSE)</f>
        <v>96</v>
      </c>
    </row>
    <row r="192" spans="1:151" hidden="1">
      <c r="A192" s="900" t="s">
        <v>2961</v>
      </c>
      <c r="B192" s="900" t="s">
        <v>242</v>
      </c>
      <c r="C192" s="901" t="s">
        <v>242</v>
      </c>
      <c r="D192" s="901" t="s">
        <v>299</v>
      </c>
      <c r="E192" s="901" t="s">
        <v>37</v>
      </c>
      <c r="F192" s="901" t="s">
        <v>148</v>
      </c>
      <c r="G192" s="902" t="str">
        <f>VLOOKUP(WWWW[[#This Row],[Site Name]],SiteDB6[[Site Name]:[Location Type]],8,FALSE)</f>
        <v>Camp</v>
      </c>
      <c r="H192" s="901" t="s">
        <v>261</v>
      </c>
      <c r="I192" s="903">
        <v>25</v>
      </c>
      <c r="J192" s="903">
        <v>133</v>
      </c>
      <c r="K192" s="904">
        <v>44562</v>
      </c>
      <c r="L192" s="905">
        <v>44926</v>
      </c>
      <c r="M192" s="903"/>
      <c r="N192" s="903"/>
      <c r="O192" s="903">
        <v>1</v>
      </c>
      <c r="P192" s="903"/>
      <c r="Q192" s="906" t="s">
        <v>41</v>
      </c>
      <c r="R192" s="903">
        <v>2</v>
      </c>
      <c r="S192" s="903">
        <v>2</v>
      </c>
      <c r="T192" s="441">
        <v>1</v>
      </c>
      <c r="U192" s="903"/>
      <c r="V192" s="903"/>
      <c r="W192" s="903"/>
      <c r="X192" s="903">
        <v>1</v>
      </c>
      <c r="Y192" s="903"/>
      <c r="Z192" s="903"/>
      <c r="AA192" s="903">
        <v>2</v>
      </c>
      <c r="AB192" s="903"/>
      <c r="AC192" s="903"/>
      <c r="AD192" s="903"/>
      <c r="AE192" s="903">
        <v>4</v>
      </c>
      <c r="AF192" s="903"/>
      <c r="AG192" s="903"/>
      <c r="AH192" s="903"/>
      <c r="AI192" s="903"/>
      <c r="AJ192" s="903"/>
      <c r="AK192" s="903"/>
      <c r="AL192" s="903"/>
      <c r="AM192" s="903"/>
      <c r="AN192" s="903"/>
      <c r="AO192" s="441"/>
      <c r="AP192" s="907"/>
      <c r="AQ192" s="903">
        <v>8</v>
      </c>
      <c r="AR192" s="903">
        <v>4</v>
      </c>
      <c r="AS192" s="908" t="s">
        <v>2636</v>
      </c>
      <c r="AT192" s="903"/>
      <c r="AU192" s="903"/>
      <c r="AV192" s="903"/>
      <c r="AW192" s="903"/>
      <c r="AX192" s="903"/>
      <c r="AY192" s="902" t="s">
        <v>41</v>
      </c>
      <c r="AZ192" s="907" t="s">
        <v>137</v>
      </c>
      <c r="BA192" s="903"/>
      <c r="BB192" s="903">
        <v>2</v>
      </c>
      <c r="BC192" s="903"/>
      <c r="BD192" s="441"/>
      <c r="BE192" s="441"/>
      <c r="BF192" s="902"/>
      <c r="BG192" s="903">
        <v>4</v>
      </c>
      <c r="BH192" s="903"/>
      <c r="BI192" s="903"/>
      <c r="BJ192" s="903">
        <v>2</v>
      </c>
      <c r="BK192" s="903"/>
      <c r="BL192" s="903"/>
      <c r="BM192" s="903"/>
      <c r="BN192" s="903"/>
      <c r="BO192" s="903"/>
      <c r="BP192" s="902"/>
      <c r="BQ192" s="909"/>
      <c r="BR192" s="908"/>
      <c r="BS192" s="902"/>
      <c r="BT192" s="416"/>
      <c r="BU192" s="416"/>
      <c r="BV192" s="418"/>
      <c r="BW192" s="416"/>
      <c r="BX192" s="441"/>
      <c r="BY192" s="441"/>
      <c r="BZ192" s="441"/>
      <c r="CA192" s="441"/>
      <c r="CB192" s="441"/>
      <c r="CC192" s="693"/>
      <c r="CD192" s="441"/>
      <c r="CE192" s="910" t="str">
        <f>IFERROR(WWWW[[#This Row],['#_Water sources passed]]/WWWW[[#This Row],['#_Water sources tested for fecal coliform ]],"no test")</f>
        <v>no test</v>
      </c>
      <c r="CF192" s="908" t="str">
        <f>IFERROR(WWWW[[#This Row],['#_Household passed]]/WWWW[[#This Row],['#_Household water samples tested for fecal coliform]],"no test")</f>
        <v>no test</v>
      </c>
      <c r="CG192" s="909" t="str">
        <f>IF(AND(WWWW[[#This Row],[% of water sources passed]]="no test",WWWW[[#This Row],[% Household passed]]="no test"),"No Test","Tested")</f>
        <v>No Test</v>
      </c>
      <c r="CH192" s="909">
        <f>WWWW[[#This Row],['#_Constructed/existing protected hand dug well]]-WWWW[[#This Row],['#_Non-functional protected hand dug well]]</f>
        <v>1</v>
      </c>
      <c r="CI192" s="909">
        <f>(WWWW[[#This Row],['#_Constructed/Existing tube wells/boreholes/handpumps_WASH_agency]]+WWWW[[#This Row],['#_Non-Cluster partner water tube-wells/boreholes/handpumps]])-WWWW[[#This Row],['#_Non-functional tube wells/boreholes/handpumps]]</f>
        <v>1</v>
      </c>
      <c r="CJ192" s="909">
        <f>WWWW[[#This Row],['#_Constructed/Existingwater storage tank with gravity fed reticulation system]]-WWWW[[#This Row],['#_Non-functional storage tank gravity fed reticulation system]]</f>
        <v>2</v>
      </c>
      <c r="CK192" s="909">
        <f>(WWWW[[#This Row],['#_Water_Liters_supplied_by_Water boating or water trucking]]/90)/15</f>
        <v>0</v>
      </c>
      <c r="CL192" s="909">
        <f>WWWW[[#This Row],['#_Water_Liters_from_Constructed/Existing water distribution system from river or natural spring]]/90/15</f>
        <v>0</v>
      </c>
      <c r="CM192" s="417">
        <f>IF(WWWW[[#This Row],['#_of water points in TLS/CFS]]*500&gt;WWWW[[#This Row],[Total PoP ]],WWWW[[#This Row],[Total PoP ]],WWWW[[#This Row],['#_of water points in TLS/CFS]]*500)</f>
        <v>0</v>
      </c>
      <c r="CN192" s="417">
        <f>IF(WWWW[[#This Row],['#_of water points in THF]]*500&gt;WWWW[[#This Row],[Total PoP ]],WWWW[[#This Row],[Total PoP ]],WWWW[[#This Row],['#_of water points in THF]]*500)</f>
        <v>0</v>
      </c>
      <c r="CO192" s="417"/>
      <c r="CP192"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92"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92" s="908">
        <f>IF(WWWW[[#This Row],[Location Type 1]]="Village",WWWW[[#This Row],[Access to safe drinking water for Village]],WWWW[[#This Row],[Access to safe drinking water for Camp]])</f>
        <v>1</v>
      </c>
      <c r="CS192" s="906">
        <f>WWWW[[#This Row],[%Equitable and continuous access to sufficient quantity of safe drinking water]]*WWWW[[#This Row],[Total PoP ]]</f>
        <v>133</v>
      </c>
      <c r="CT192" s="908">
        <f>IF((WWWW[[#This Row],['#_Constructed/Existing protected/fenced ponds]]*250)/WWWW[[#This Row],[Total PoP ]]&gt;1,1,(WWWW[[#This Row],['#_Constructed/Existing protected/fenced ponds]]*250)/WWWW[[#This Row],[Total PoP ]])</f>
        <v>1</v>
      </c>
      <c r="CU192" s="906">
        <f>WWWW[[#This Row],[% Access to unimproved water points]]*WWWW[[#This Row],[Total PoP ]]</f>
        <v>133</v>
      </c>
      <c r="CV192"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92"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v>
      </c>
      <c r="CX192" s="906">
        <f>WWWW[[#This Row],[HRP1]]/500</f>
        <v>0.26600000000000001</v>
      </c>
      <c r="CY192" s="911">
        <f>1-WWWW[[#This Row],[% Equitable and continuous access to sufficient quantity of domestic water]]</f>
        <v>0</v>
      </c>
      <c r="CZ192" s="906">
        <f>WWWW[[#This Row],[%equitable and continuous access to sufficient quantity of safe drinking and domestic water''s GAP]]*WWWW[[#This Row],[Total PoP ]]</f>
        <v>0</v>
      </c>
      <c r="DA192" s="909">
        <f>IF(WWWW[[#This Row],[Total required water points]]-WWWW[[#This Row],['#Water points coverage]]&lt;0,0,WWWW[[#This Row],[Total required water points]]-WWWW[[#This Row],['#Water points coverage]])</f>
        <v>0.73399999999999999</v>
      </c>
      <c r="DB192" s="909">
        <f>ROUND(IF(WWWW[[#This Row],[Total PoP ]]&lt;500,1,WWWW[[#This Row],[Total PoP ]]/500),0)</f>
        <v>1</v>
      </c>
      <c r="DC192" s="909">
        <f>(WWWW[[#This Row],['#_Constructed latrines_by_WASHAgencies]]+WWWW[[#This Row],['#_Non Cluster partner latrines]])-WWWW[[#This Row],['#_Non-functional latrines]]</f>
        <v>12</v>
      </c>
      <c r="DD192" s="615">
        <f>WWWW[[#This Row],[HRP2]]/WWWW[[#This Row],[Total PoP ]]</f>
        <v>1</v>
      </c>
      <c r="DE192"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133</v>
      </c>
      <c r="DF192"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92"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2" s="417">
        <f>IF(WWWW[[#This Row],['# of functional latrines in THF supported by WASH partners during the reporting period2]]="",0,WWWW[[#This Row],['# of functional latrines in THF supported by WASH partners during the reporting period2]]*50)</f>
        <v>0</v>
      </c>
      <c r="DI192" s="909">
        <f>ROUND(IF(WWWW[[#This Row],[Location Type 1]]="camp",WWWW[[#This Row],[Total PoP ]]/20,IF(WWWW[[#This Row],[Location Type 1]]="Temporary Location",WWWW[[#This Row],[Total PoP ]]/50,(WWWW[[#This Row],[Total PoP ]]/6))),0)</f>
        <v>7</v>
      </c>
      <c r="DJ192" s="909">
        <f>IF(WWWW[[#This Row],[Total required Latrines]]-(WWWW[[#This Row],['#_Constructed latrines_by_WASHAgencies]]+WWWW[[#This Row],['#_Non Cluster partner latrines]])&lt;0,0,WWWW[[#This Row],[Total required Latrines]]-(WWWW[[#This Row],['#_Constructed latrines_by_WASHAgencies]]+WWWW[[#This Row],['#_Non Cluster partner latrines]]))</f>
        <v>0</v>
      </c>
      <c r="DK192" s="911">
        <f>1-WWWW[[#This Row],[% people access to functioning Latrine]]</f>
        <v>0</v>
      </c>
      <c r="DL192" s="910">
        <f>IF(OR(WWWW[[#This Row],['#_Non-functional latrines]]="",WWWW[[#This Row],['#_Non-functional latrines]]=0),0,WWWW[[#This Row],['#_Non-functional latrines]]/(WWWW[[#This Row],['#_Constructed latrines_by_WASHAgencies]]+WWWW[[#This Row],['#_Non Cluster partner latrines]]))</f>
        <v>0</v>
      </c>
      <c r="DM192" s="906">
        <f>IF(500*(WWWW[[#This Row],['#_male hygiene promoters]]+WWWW[[#This Row],['#_female hygiene promoters]])&gt;WWWW[[#This Row],[Total PoP ]],WWWW[[#This Row],[Total PoP ]],500*(WWWW[[#This Row],['#_male hygiene promoters]]+WWWW[[#This Row],['#_female hygiene promoters]]))</f>
        <v>0</v>
      </c>
      <c r="DN192"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92"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92" s="909">
        <f>IF(WWWW[[#This Row],['# People with access to soap]]&gt;WWWW[[#This Row],['# People with access to Sanity Pads]],WWWW[[#This Row],['# People with access to soap]],WWWW[[#This Row],['# People with access to Sanity Pads]])</f>
        <v>0</v>
      </c>
      <c r="DQ192" s="909">
        <f>IF(WWWW[[#This Row],['# people reached by regular dedicated hygiene promotion_5]]&gt;WWWW[[#This Row],['# People received regular supply of hygiene items_6]],WWWW[[#This Row],['# people reached by regular dedicated hygiene promotion_5]],WWWW[[#This Row],['# People received regular supply of hygiene items_6]])</f>
        <v>0</v>
      </c>
      <c r="DR192" s="911">
        <f>IF(WWWW[[#This Row],[HRP3]]/WWWW[[#This Row],[Total PoP ]]&gt;1,1,WWWW[[#This Row],[HRP3]]/WWWW[[#This Row],[Total PoP ]])</f>
        <v>0</v>
      </c>
      <c r="DS192" s="910">
        <f>1-WWWW[[#This Row],[Hygiene Coverage%]]</f>
        <v>1</v>
      </c>
      <c r="DT192" s="908">
        <f>WWWW[[#This Row],['# people reached by regular dedicated hygiene promotion_5]]/WWWW[[#This Row],[Total PoP ]]</f>
        <v>0</v>
      </c>
      <c r="DU192"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92"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92" s="909">
        <f>WWWW[[#This Row],['#_Constructed/Existing hand washing stations]]-WWWW[[#This Row],['#_Non-Functional_hand_washing_stations]]</f>
        <v>4</v>
      </c>
      <c r="DX192" s="906">
        <f>IF(WWWW[[#This Row],['# Functional hand washing stations during reporting period]]*20&gt;WWWW[[#This Row],[Total HH]],WWWW[[#This Row],[Total HH]],WWWW[[#This Row],['# Functional hand washing stations during reporting period]]*20)</f>
        <v>25</v>
      </c>
      <c r="DY192" s="906">
        <f>IF(WWWW[[#This Row],[Is sufficient soap available for TLS? (Yes/No)]]="yes",WWWW[[#This Row],['#_Constructed/Existing hand washing stations at TLS/CFS/THF]],0)</f>
        <v>0</v>
      </c>
      <c r="DZ192" s="421">
        <f>IF(WWWW[[#This Row],['# Functional hand washing stations during reporting period]]*100&gt;WWWW[[#This Row],[Total PoP ]],WWWW[[#This Row],[Total PoP ]],WWWW[[#This Row],['# Functional hand washing stations during reporting period]]*100)</f>
        <v>133</v>
      </c>
      <c r="EA192" s="421" t="str">
        <f>IF(OR(WWWW[[#This Row],['#_students at TLS_CFS]]="",WWWW[[#This Row],['#_students at TLS_CFS]]=0),"No","Yes")</f>
        <v>No</v>
      </c>
      <c r="EB19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92" s="566">
        <f>WWWW[[#This Row],[%_of_affected_people_surveyed_who_report_feeling_satistfied_with_the_latrine_design_and_sanitation_service]]*WWWW[[#This Row],[Total PoP ]]</f>
        <v>0</v>
      </c>
      <c r="ED192" s="566">
        <f>WWWW[[#This Row],[%_of_affected_people_surveyed_who_report_feeling_satistfied_with_the_water_point_design_and_water_service]]*WWWW[[#This Row],[Total PoP ]]</f>
        <v>0</v>
      </c>
      <c r="EE192" s="566">
        <f>WWWW[[#This Row],[%_of_complaints_received_that_result_in_timely_corrective_action_and_feedback_to_the_community]]*WWWW[[#This Row],[Total PoP ]]</f>
        <v>0</v>
      </c>
      <c r="EF19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9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9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92" s="902" t="str">
        <f>VLOOKUP(WWWW[[#This Row],[Site Name]],SiteDB6[[Site Name]:[CCCM Management]],6,FALSE)</f>
        <v>Yes</v>
      </c>
      <c r="EJ192" s="902" t="str">
        <f>VLOOKUP(WWWW[[#This Row],[Site Name]],SiteDB6[[Site Name]:[CCCM Focal Agency]],7,FALSE)</f>
        <v>KBC-MYT</v>
      </c>
      <c r="EK192" s="902" t="str">
        <f>VLOOKUP(WWWW[[#This Row],[Site Name]],SiteDB6[[Site Name]:[Location Type 1]],9,FALSE)</f>
        <v>Camp</v>
      </c>
      <c r="EL192" s="902" t="str">
        <f>VLOOKUP(WWWW[[#This Row],[Site Name]],SiteDB6[[Site Name]:[Type of Accommodation]],10,FALSE)</f>
        <v>Closed Camp</v>
      </c>
      <c r="EM192" s="902" t="str">
        <f>VLOOKUP(WWWW[[#This Row],[Site Name]],SiteDB6[[Site Name]:[Ethnic or GCA/NGCA]],11,FALSE)</f>
        <v>GCA</v>
      </c>
      <c r="EN192" s="902">
        <f>VLOOKUP(WWWW[[#This Row],[Site Name]],SiteDB6[[Site Name]:[Lat]],12,FALSE)</f>
        <v>25.577559999999998</v>
      </c>
      <c r="EO192" s="902">
        <f>VLOOKUP(WWWW[[#This Row],[Site Name]],SiteDB6[[Site Name]:[Long]],13,FALSE)</f>
        <v>96.286680000000004</v>
      </c>
      <c r="EP192" s="902" t="str">
        <f>VLOOKUP(WWWW[[#This Row],[Site Name]],SiteDB6[[Site Name]:[Pcode]],3,FALSE)</f>
        <v>MMR001CMP184</v>
      </c>
      <c r="EQ192" s="907" t="str">
        <f t="shared" si="2"/>
        <v>Covered</v>
      </c>
      <c r="ER192" s="907" t="s">
        <v>3126</v>
      </c>
      <c r="ES192" s="907" t="s">
        <v>3126</v>
      </c>
      <c r="ET192" s="902">
        <f>VLOOKUP(WWWW[[#This Row],[Site Name]],SiteDB6[[Site Name]:[Pop
(Kachin/Shan-CCCM as of May 2023)]],16,FALSE)</f>
        <v>25</v>
      </c>
      <c r="EU192" s="902">
        <f>VLOOKUP(WWWW[[#This Row],[Site Name]],SiteDB6[[Site Name]:[Pop
(Kachin/Shan-CCCM as of May 2023)]],17,FALSE)</f>
        <v>133</v>
      </c>
    </row>
    <row r="193" spans="1:151" hidden="1">
      <c r="A193" s="900" t="s">
        <v>2961</v>
      </c>
      <c r="B193" s="900" t="s">
        <v>242</v>
      </c>
      <c r="C193" s="901" t="s">
        <v>242</v>
      </c>
      <c r="D193" s="901" t="s">
        <v>299</v>
      </c>
      <c r="E193" s="901" t="s">
        <v>37</v>
      </c>
      <c r="F193" s="901" t="s">
        <v>148</v>
      </c>
      <c r="G193" s="902" t="str">
        <f>VLOOKUP(WWWW[[#This Row],[Site Name]],SiteDB6[[Site Name]:[Location Type]],8,FALSE)</f>
        <v>Camp</v>
      </c>
      <c r="H193" s="901" t="s">
        <v>262</v>
      </c>
      <c r="I193" s="903">
        <v>16</v>
      </c>
      <c r="J193" s="903">
        <v>66</v>
      </c>
      <c r="K193" s="904">
        <v>44562</v>
      </c>
      <c r="L193" s="905">
        <v>44926</v>
      </c>
      <c r="M193" s="903">
        <v>30</v>
      </c>
      <c r="N193" s="903"/>
      <c r="O193" s="903"/>
      <c r="P193" s="903"/>
      <c r="Q193" s="906" t="s">
        <v>41</v>
      </c>
      <c r="R193" s="903">
        <v>2</v>
      </c>
      <c r="S193" s="903">
        <v>4</v>
      </c>
      <c r="T193" s="441"/>
      <c r="U193" s="903"/>
      <c r="V193" s="903"/>
      <c r="W193" s="903"/>
      <c r="X193" s="903"/>
      <c r="Y193" s="903"/>
      <c r="Z193" s="903"/>
      <c r="AA193" s="903">
        <v>1</v>
      </c>
      <c r="AB193" s="903"/>
      <c r="AC193" s="903"/>
      <c r="AD193" s="903"/>
      <c r="AE193" s="903">
        <v>2</v>
      </c>
      <c r="AF193" s="903"/>
      <c r="AG193" s="903"/>
      <c r="AH193" s="903"/>
      <c r="AI193" s="903"/>
      <c r="AJ193" s="903"/>
      <c r="AK193" s="903"/>
      <c r="AL193" s="903"/>
      <c r="AM193" s="903">
        <v>2</v>
      </c>
      <c r="AN193" s="903"/>
      <c r="AO193" s="441"/>
      <c r="AP193" s="907"/>
      <c r="AQ193" s="903">
        <v>5</v>
      </c>
      <c r="AR193" s="903"/>
      <c r="AS193" s="908"/>
      <c r="AT193" s="903"/>
      <c r="AU193" s="903"/>
      <c r="AV193" s="903"/>
      <c r="AW193" s="903"/>
      <c r="AX193" s="903"/>
      <c r="AY193" s="902" t="s">
        <v>41</v>
      </c>
      <c r="AZ193" s="907" t="s">
        <v>137</v>
      </c>
      <c r="BA193" s="903"/>
      <c r="BB193" s="903"/>
      <c r="BC193" s="903"/>
      <c r="BD193" s="441"/>
      <c r="BE193" s="441"/>
      <c r="BF193" s="902"/>
      <c r="BG193" s="903">
        <v>2</v>
      </c>
      <c r="BH193" s="903"/>
      <c r="BI193" s="903"/>
      <c r="BJ193" s="903">
        <v>2</v>
      </c>
      <c r="BK193" s="903"/>
      <c r="BL193" s="903">
        <v>1</v>
      </c>
      <c r="BM193" s="903">
        <v>1</v>
      </c>
      <c r="BN193" s="903"/>
      <c r="BO193" s="903"/>
      <c r="BP193" s="902"/>
      <c r="BQ193" s="909"/>
      <c r="BR193" s="908"/>
      <c r="BS193" s="902"/>
      <c r="BT193" s="416"/>
      <c r="BU193" s="416"/>
      <c r="BV193" s="418"/>
      <c r="BW193" s="416"/>
      <c r="BX193" s="441"/>
      <c r="BY193" s="441"/>
      <c r="BZ193" s="441"/>
      <c r="CA193" s="441"/>
      <c r="CB193" s="441"/>
      <c r="CC193" s="693"/>
      <c r="CD193" s="441"/>
      <c r="CE193" s="910" t="str">
        <f>IFERROR(WWWW[[#This Row],['#_Water sources passed]]/WWWW[[#This Row],['#_Water sources tested for fecal coliform ]],"no test")</f>
        <v>no test</v>
      </c>
      <c r="CF193" s="908" t="str">
        <f>IFERROR(WWWW[[#This Row],['#_Household passed]]/WWWW[[#This Row],['#_Household water samples tested for fecal coliform]],"no test")</f>
        <v>no test</v>
      </c>
      <c r="CG193" s="909" t="str">
        <f>IF(AND(WWWW[[#This Row],[% of water sources passed]]="no test",WWWW[[#This Row],[% Household passed]]="no test"),"No Test","Tested")</f>
        <v>No Test</v>
      </c>
      <c r="CH193" s="909">
        <f>WWWW[[#This Row],['#_Constructed/existing protected hand dug well]]-WWWW[[#This Row],['#_Non-functional protected hand dug well]]</f>
        <v>0</v>
      </c>
      <c r="CI193" s="909">
        <f>(WWWW[[#This Row],['#_Constructed/Existing tube wells/boreholes/handpumps_WASH_agency]]+WWWW[[#This Row],['#_Non-Cluster partner water tube-wells/boreholes/handpumps]])-WWWW[[#This Row],['#_Non-functional tube wells/boreholes/handpumps]]</f>
        <v>0</v>
      </c>
      <c r="CJ193" s="909">
        <f>WWWW[[#This Row],['#_Constructed/Existingwater storage tank with gravity fed reticulation system]]-WWWW[[#This Row],['#_Non-functional storage tank gravity fed reticulation system]]</f>
        <v>1</v>
      </c>
      <c r="CK193" s="909">
        <f>(WWWW[[#This Row],['#_Water_Liters_supplied_by_Water boating or water trucking]]/90)/15</f>
        <v>0</v>
      </c>
      <c r="CL193" s="909">
        <f>WWWW[[#This Row],['#_Water_Liters_from_Constructed/Existing water distribution system from river or natural spring]]/90/15</f>
        <v>0</v>
      </c>
      <c r="CM193" s="417">
        <f>IF(WWWW[[#This Row],['#_of water points in TLS/CFS]]*500&gt;WWWW[[#This Row],[Total PoP ]],WWWW[[#This Row],[Total PoP ]],WWWW[[#This Row],['#_of water points in TLS/CFS]]*500)</f>
        <v>0</v>
      </c>
      <c r="CN193" s="417">
        <f>IF(WWWW[[#This Row],['#_of water points in THF]]*500&gt;WWWW[[#This Row],[Total PoP ]],WWWW[[#This Row],[Total PoP ]],WWWW[[#This Row],['#_of water points in THF]]*500)</f>
        <v>0</v>
      </c>
      <c r="CO193" s="417"/>
      <c r="CP193"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93"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93" s="908">
        <f>IF(WWWW[[#This Row],[Location Type 1]]="Village",WWWW[[#This Row],[Access to safe drinking water for Village]],WWWW[[#This Row],[Access to safe drinking water for Camp]])</f>
        <v>1</v>
      </c>
      <c r="CS193" s="906">
        <f>WWWW[[#This Row],[%Equitable and continuous access to sufficient quantity of safe drinking water]]*WWWW[[#This Row],[Total PoP ]]</f>
        <v>66</v>
      </c>
      <c r="CT193" s="908">
        <f>IF((WWWW[[#This Row],['#_Constructed/Existing protected/fenced ponds]]*250)/WWWW[[#This Row],[Total PoP ]]&gt;1,1,(WWWW[[#This Row],['#_Constructed/Existing protected/fenced ponds]]*250)/WWWW[[#This Row],[Total PoP ]])</f>
        <v>1</v>
      </c>
      <c r="CU193" s="906">
        <f>WWWW[[#This Row],[% Access to unimproved water points]]*WWWW[[#This Row],[Total PoP ]]</f>
        <v>66</v>
      </c>
      <c r="CV193"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93"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v>
      </c>
      <c r="CX193" s="906">
        <f>WWWW[[#This Row],[HRP1]]/500</f>
        <v>0.13200000000000001</v>
      </c>
      <c r="CY193" s="911">
        <f>1-WWWW[[#This Row],[% Equitable and continuous access to sufficient quantity of domestic water]]</f>
        <v>0</v>
      </c>
      <c r="CZ193" s="906">
        <f>WWWW[[#This Row],[%equitable and continuous access to sufficient quantity of safe drinking and domestic water''s GAP]]*WWWW[[#This Row],[Total PoP ]]</f>
        <v>0</v>
      </c>
      <c r="DA193" s="909">
        <f>IF(WWWW[[#This Row],[Total required water points]]-WWWW[[#This Row],['#Water points coverage]]&lt;0,0,WWWW[[#This Row],[Total required water points]]-WWWW[[#This Row],['#Water points coverage]])</f>
        <v>0.86799999999999999</v>
      </c>
      <c r="DB193" s="909">
        <f>ROUND(IF(WWWW[[#This Row],[Total PoP ]]&lt;500,1,WWWW[[#This Row],[Total PoP ]]/500),0)</f>
        <v>1</v>
      </c>
      <c r="DC193" s="909">
        <f>(WWWW[[#This Row],['#_Constructed latrines_by_WASHAgencies]]+WWWW[[#This Row],['#_Non Cluster partner latrines]])-WWWW[[#This Row],['#_Non-functional latrines]]</f>
        <v>5</v>
      </c>
      <c r="DD193" s="615">
        <f>WWWW[[#This Row],[HRP2]]/WWWW[[#This Row],[Total PoP ]]</f>
        <v>1</v>
      </c>
      <c r="DE193"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66</v>
      </c>
      <c r="DF193"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93"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3" s="417">
        <f>IF(WWWW[[#This Row],['# of functional latrines in THF supported by WASH partners during the reporting period2]]="",0,WWWW[[#This Row],['# of functional latrines in THF supported by WASH partners during the reporting period2]]*50)</f>
        <v>0</v>
      </c>
      <c r="DI193" s="909">
        <f>ROUND(IF(WWWW[[#This Row],[Location Type 1]]="camp",WWWW[[#This Row],[Total PoP ]]/20,IF(WWWW[[#This Row],[Location Type 1]]="Temporary Location",WWWW[[#This Row],[Total PoP ]]/50,(WWWW[[#This Row],[Total PoP ]]/6))),0)</f>
        <v>3</v>
      </c>
      <c r="DJ193" s="909">
        <f>IF(WWWW[[#This Row],[Total required Latrines]]-(WWWW[[#This Row],['#_Constructed latrines_by_WASHAgencies]]+WWWW[[#This Row],['#_Non Cluster partner latrines]])&lt;0,0,WWWW[[#This Row],[Total required Latrines]]-(WWWW[[#This Row],['#_Constructed latrines_by_WASHAgencies]]+WWWW[[#This Row],['#_Non Cluster partner latrines]]))</f>
        <v>0</v>
      </c>
      <c r="DK193" s="911">
        <f>1-WWWW[[#This Row],[% people access to functioning Latrine]]</f>
        <v>0</v>
      </c>
      <c r="DL193" s="910">
        <f>IF(OR(WWWW[[#This Row],['#_Non-functional latrines]]="",WWWW[[#This Row],['#_Non-functional latrines]]=0),0,WWWW[[#This Row],['#_Non-functional latrines]]/(WWWW[[#This Row],['#_Constructed latrines_by_WASHAgencies]]+WWWW[[#This Row],['#_Non Cluster partner latrines]]))</f>
        <v>0</v>
      </c>
      <c r="DM193" s="906">
        <f>IF(500*(WWWW[[#This Row],['#_male hygiene promoters]]+WWWW[[#This Row],['#_female hygiene promoters]])&gt;WWWW[[#This Row],[Total PoP ]],WWWW[[#This Row],[Total PoP ]],500*(WWWW[[#This Row],['#_male hygiene promoters]]+WWWW[[#This Row],['#_female hygiene promoters]]))</f>
        <v>66</v>
      </c>
      <c r="DN193"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93"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93" s="909">
        <f>IF(WWWW[[#This Row],['# People with access to soap]]&gt;WWWW[[#This Row],['# People with access to Sanity Pads]],WWWW[[#This Row],['# People with access to soap]],WWWW[[#This Row],['# People with access to Sanity Pads]])</f>
        <v>0</v>
      </c>
      <c r="DQ193" s="909">
        <f>IF(WWWW[[#This Row],['# people reached by regular dedicated hygiene promotion_5]]&gt;WWWW[[#This Row],['# People received regular supply of hygiene items_6]],WWWW[[#This Row],['# people reached by regular dedicated hygiene promotion_5]],WWWW[[#This Row],['# People received regular supply of hygiene items_6]])</f>
        <v>66</v>
      </c>
      <c r="DR193" s="911">
        <f>IF(WWWW[[#This Row],[HRP3]]/WWWW[[#This Row],[Total PoP ]]&gt;1,1,WWWW[[#This Row],[HRP3]]/WWWW[[#This Row],[Total PoP ]])</f>
        <v>1</v>
      </c>
      <c r="DS193" s="910">
        <f>1-WWWW[[#This Row],[Hygiene Coverage%]]</f>
        <v>0</v>
      </c>
      <c r="DT193" s="908">
        <f>WWWW[[#This Row],['# people reached by regular dedicated hygiene promotion_5]]/WWWW[[#This Row],[Total PoP ]]</f>
        <v>1</v>
      </c>
      <c r="DU193"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93"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93" s="909">
        <f>WWWW[[#This Row],['#_Constructed/Existing hand washing stations]]-WWWW[[#This Row],['#_Non-Functional_hand_washing_stations]]</f>
        <v>2</v>
      </c>
      <c r="DX193" s="906">
        <f>IF(WWWW[[#This Row],['# Functional hand washing stations during reporting period]]*20&gt;WWWW[[#This Row],[Total HH]],WWWW[[#This Row],[Total HH]],WWWW[[#This Row],['# Functional hand washing stations during reporting period]]*20)</f>
        <v>16</v>
      </c>
      <c r="DY193" s="906">
        <f>IF(WWWW[[#This Row],[Is sufficient soap available for TLS? (Yes/No)]]="yes",WWWW[[#This Row],['#_Constructed/Existing hand washing stations at TLS/CFS/THF]],0)</f>
        <v>0</v>
      </c>
      <c r="DZ193" s="421">
        <f>IF(WWWW[[#This Row],['# Functional hand washing stations during reporting period]]*100&gt;WWWW[[#This Row],[Total PoP ]],WWWW[[#This Row],[Total PoP ]],WWWW[[#This Row],['# Functional hand washing stations during reporting period]]*100)</f>
        <v>66</v>
      </c>
      <c r="EA193" s="421" t="str">
        <f>IF(OR(WWWW[[#This Row],['#_students at TLS_CFS]]="",WWWW[[#This Row],['#_students at TLS_CFS]]=0),"No","Yes")</f>
        <v>Yes</v>
      </c>
      <c r="EB19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93" s="566">
        <f>WWWW[[#This Row],[%_of_affected_people_surveyed_who_report_feeling_satistfied_with_the_latrine_design_and_sanitation_service]]*WWWW[[#This Row],[Total PoP ]]</f>
        <v>0</v>
      </c>
      <c r="ED193" s="566">
        <f>WWWW[[#This Row],[%_of_affected_people_surveyed_who_report_feeling_satistfied_with_the_water_point_design_and_water_service]]*WWWW[[#This Row],[Total PoP ]]</f>
        <v>0</v>
      </c>
      <c r="EE193" s="566">
        <f>WWWW[[#This Row],[%_of_complaints_received_that_result_in_timely_corrective_action_and_feedback_to_the_community]]*WWWW[[#This Row],[Total PoP ]]</f>
        <v>0</v>
      </c>
      <c r="EF19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19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9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93" s="902" t="str">
        <f>VLOOKUP(WWWW[[#This Row],[Site Name]],SiteDB6[[Site Name]:[CCCM Management]],6,FALSE)</f>
        <v>Yes</v>
      </c>
      <c r="EJ193" s="902" t="str">
        <f>VLOOKUP(WWWW[[#This Row],[Site Name]],SiteDB6[[Site Name]:[CCCM Focal Agency]],7,FALSE)</f>
        <v>KBC-MYT</v>
      </c>
      <c r="EK193" s="902" t="str">
        <f>VLOOKUP(WWWW[[#This Row],[Site Name]],SiteDB6[[Site Name]:[Location Type 1]],9,FALSE)</f>
        <v>Camp</v>
      </c>
      <c r="EL193" s="902" t="str">
        <f>VLOOKUP(WWWW[[#This Row],[Site Name]],SiteDB6[[Site Name]:[Type of Accommodation]],10,FALSE)</f>
        <v>Closed Camp</v>
      </c>
      <c r="EM193" s="902" t="str">
        <f>VLOOKUP(WWWW[[#This Row],[Site Name]],SiteDB6[[Site Name]:[Ethnic or GCA/NGCA]],11,FALSE)</f>
        <v>GCA</v>
      </c>
      <c r="EN193" s="902">
        <f>VLOOKUP(WWWW[[#This Row],[Site Name]],SiteDB6[[Site Name]:[Lat]],12,FALSE)</f>
        <v>25.599250000000001</v>
      </c>
      <c r="EO193" s="902">
        <f>VLOOKUP(WWWW[[#This Row],[Site Name]],SiteDB6[[Site Name]:[Long]],13,FALSE)</f>
        <v>96.306910999999999</v>
      </c>
      <c r="EP193" s="902" t="str">
        <f>VLOOKUP(WWWW[[#This Row],[Site Name]],SiteDB6[[Site Name]:[Pcode]],3,FALSE)</f>
        <v>MMR001CMP105</v>
      </c>
      <c r="EQ193" s="907" t="str">
        <f t="shared" si="2"/>
        <v>Covered</v>
      </c>
      <c r="ER193" s="907" t="s">
        <v>3126</v>
      </c>
      <c r="ES193" s="907" t="s">
        <v>3126</v>
      </c>
      <c r="ET193" s="902">
        <f>VLOOKUP(WWWW[[#This Row],[Site Name]],SiteDB6[[Site Name]:[Pop
(Kachin/Shan-CCCM as of May 2023)]],16,FALSE)</f>
        <v>16</v>
      </c>
      <c r="EU193" s="902">
        <f>VLOOKUP(WWWW[[#This Row],[Site Name]],SiteDB6[[Site Name]:[Pop
(Kachin/Shan-CCCM as of May 2023)]],17,FALSE)</f>
        <v>65</v>
      </c>
    </row>
    <row r="194" spans="1:151" hidden="1">
      <c r="A194" s="900" t="s">
        <v>2961</v>
      </c>
      <c r="B194" s="900" t="s">
        <v>242</v>
      </c>
      <c r="C194" s="901" t="s">
        <v>242</v>
      </c>
      <c r="D194" s="901" t="s">
        <v>3184</v>
      </c>
      <c r="E194" s="901" t="s">
        <v>37</v>
      </c>
      <c r="F194" s="901" t="s">
        <v>159</v>
      </c>
      <c r="G194" s="902" t="str">
        <f>VLOOKUP(WWWW[[#This Row],[Site Name]],SiteDB6[[Site Name]:[Location Type]],8,FALSE)</f>
        <v>Camp</v>
      </c>
      <c r="H194" s="901" t="s">
        <v>263</v>
      </c>
      <c r="I194" s="903">
        <v>22</v>
      </c>
      <c r="J194" s="903">
        <v>82</v>
      </c>
      <c r="K194" s="904">
        <v>44927</v>
      </c>
      <c r="L194" s="905">
        <v>45291</v>
      </c>
      <c r="M194" s="903"/>
      <c r="N194" s="903"/>
      <c r="O194" s="903">
        <v>1</v>
      </c>
      <c r="P194" s="903"/>
      <c r="Q194" s="906" t="s">
        <v>41</v>
      </c>
      <c r="R194" s="903">
        <v>3</v>
      </c>
      <c r="S194" s="903">
        <v>2</v>
      </c>
      <c r="T194" s="441">
        <v>1</v>
      </c>
      <c r="U194" s="903">
        <v>1</v>
      </c>
      <c r="V194" s="903">
        <v>1</v>
      </c>
      <c r="W194" s="903">
        <v>2</v>
      </c>
      <c r="X194" s="903">
        <v>2</v>
      </c>
      <c r="Y194" s="903">
        <v>1</v>
      </c>
      <c r="Z194" s="903"/>
      <c r="AA194" s="903">
        <v>2</v>
      </c>
      <c r="AB194" s="903"/>
      <c r="AC194" s="903">
        <v>2</v>
      </c>
      <c r="AD194" s="903"/>
      <c r="AE194" s="903"/>
      <c r="AF194" s="903"/>
      <c r="AG194" s="903"/>
      <c r="AH194" s="903">
        <v>1</v>
      </c>
      <c r="AI194" s="903"/>
      <c r="AJ194" s="903"/>
      <c r="AK194" s="903"/>
      <c r="AL194" s="903"/>
      <c r="AM194" s="903"/>
      <c r="AN194" s="903"/>
      <c r="AO194" s="441"/>
      <c r="AP194" s="907"/>
      <c r="AQ194" s="903">
        <v>5</v>
      </c>
      <c r="AR194" s="903"/>
      <c r="AS194" s="908"/>
      <c r="AT194" s="903"/>
      <c r="AU194" s="903"/>
      <c r="AV194" s="903"/>
      <c r="AW194" s="903"/>
      <c r="AX194" s="903">
        <v>5</v>
      </c>
      <c r="AY194" s="902" t="s">
        <v>41</v>
      </c>
      <c r="AZ194" s="907" t="s">
        <v>137</v>
      </c>
      <c r="BA194" s="903"/>
      <c r="BB194" s="903"/>
      <c r="BC194" s="903"/>
      <c r="BD194" s="441"/>
      <c r="BE194" s="441"/>
      <c r="BF194" s="902"/>
      <c r="BG194" s="903">
        <v>5</v>
      </c>
      <c r="BH194" s="903"/>
      <c r="BI194" s="903">
        <v>2</v>
      </c>
      <c r="BJ194" s="903">
        <v>2</v>
      </c>
      <c r="BK194" s="903"/>
      <c r="BL194" s="903"/>
      <c r="BM194" s="903">
        <v>1</v>
      </c>
      <c r="BN194" s="903"/>
      <c r="BO194" s="903"/>
      <c r="BP194" s="902" t="s">
        <v>41</v>
      </c>
      <c r="BQ194" s="909">
        <v>1</v>
      </c>
      <c r="BR194" s="908">
        <v>0.5</v>
      </c>
      <c r="BS194" s="902"/>
      <c r="BT194" s="416">
        <v>0.75</v>
      </c>
      <c r="BU194" s="416"/>
      <c r="BV194" s="418"/>
      <c r="BW194" s="416"/>
      <c r="BX194" s="441"/>
      <c r="BY194" s="441"/>
      <c r="BZ194" s="441"/>
      <c r="CA194" s="441"/>
      <c r="CB194" s="441"/>
      <c r="CC194" s="693"/>
      <c r="CD194" s="441"/>
      <c r="CE194" s="910" t="str">
        <f>IFERROR(WWWW[[#This Row],['#_Water sources passed]]/WWWW[[#This Row],['#_Water sources tested for fecal coliform ]],"no test")</f>
        <v>no test</v>
      </c>
      <c r="CF194" s="908" t="str">
        <f>IFERROR(WWWW[[#This Row],['#_Household passed]]/WWWW[[#This Row],['#_Household water samples tested for fecal coliform]],"no test")</f>
        <v>no test</v>
      </c>
      <c r="CG194" s="909" t="str">
        <f>IF(AND(WWWW[[#This Row],[% of water sources passed]]="no test",WWWW[[#This Row],[% Household passed]]="no test"),"No Test","Tested")</f>
        <v>No Test</v>
      </c>
      <c r="CH194" s="909">
        <f>WWWW[[#This Row],['#_Constructed/existing protected hand dug well]]-WWWW[[#This Row],['#_Non-functional protected hand dug well]]</f>
        <v>0</v>
      </c>
      <c r="CI194" s="909">
        <f>(WWWW[[#This Row],['#_Constructed/Existing tube wells/boreholes/handpumps_WASH_agency]]+WWWW[[#This Row],['#_Non-Cluster partner water tube-wells/boreholes/handpumps]])-WWWW[[#This Row],['#_Non-functional tube wells/boreholes/handpumps]]</f>
        <v>3</v>
      </c>
      <c r="CJ194" s="909">
        <f>WWWW[[#This Row],['#_Constructed/Existingwater storage tank with gravity fed reticulation system]]-WWWW[[#This Row],['#_Non-functional storage tank gravity fed reticulation system]]</f>
        <v>2</v>
      </c>
      <c r="CK194" s="909">
        <f>(WWWW[[#This Row],['#_Water_Liters_supplied_by_Water boating or water trucking]]/90)/15</f>
        <v>0</v>
      </c>
      <c r="CL194" s="909">
        <f>WWWW[[#This Row],['#_Water_Liters_from_Constructed/Existing water distribution system from river or natural spring]]/90/15</f>
        <v>0</v>
      </c>
      <c r="CM194" s="417">
        <f>IF(WWWW[[#This Row],['#_of water points in TLS/CFS]]*500&gt;WWWW[[#This Row],[Total PoP ]],WWWW[[#This Row],[Total PoP ]],WWWW[[#This Row],['#_of water points in TLS/CFS]]*500)</f>
        <v>0</v>
      </c>
      <c r="CN194" s="417">
        <f>IF(WWWW[[#This Row],['#_of water points in THF]]*500&gt;WWWW[[#This Row],[Total PoP ]],WWWW[[#This Row],[Total PoP ]],WWWW[[#This Row],['#_of water points in THF]]*500)</f>
        <v>0</v>
      </c>
      <c r="CO194" s="417"/>
      <c r="CP194"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94"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94" s="908">
        <f>IF(WWWW[[#This Row],[Location Type 1]]="Village",WWWW[[#This Row],[Access to safe drinking water for Village]],WWWW[[#This Row],[Access to safe drinking water for Camp]])</f>
        <v>1</v>
      </c>
      <c r="CS194" s="906">
        <f>WWWW[[#This Row],[%Equitable and continuous access to sufficient quantity of safe drinking water]]*WWWW[[#This Row],[Total PoP ]]</f>
        <v>82</v>
      </c>
      <c r="CT194" s="908">
        <f>IF((WWWW[[#This Row],['#_Constructed/Existing protected/fenced ponds]]*250)/WWWW[[#This Row],[Total PoP ]]&gt;1,1,(WWWW[[#This Row],['#_Constructed/Existing protected/fenced ponds]]*250)/WWWW[[#This Row],[Total PoP ]])</f>
        <v>0</v>
      </c>
      <c r="CU194" s="906">
        <f>WWWW[[#This Row],[% Access to unimproved water points]]*WWWW[[#This Row],[Total PoP ]]</f>
        <v>0</v>
      </c>
      <c r="CV194"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94"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82</v>
      </c>
      <c r="CX194" s="906">
        <f>WWWW[[#This Row],[HRP1]]/500</f>
        <v>0.16400000000000001</v>
      </c>
      <c r="CY194" s="911">
        <f>1-WWWW[[#This Row],[% Equitable and continuous access to sufficient quantity of domestic water]]</f>
        <v>0</v>
      </c>
      <c r="CZ194" s="906">
        <f>WWWW[[#This Row],[%equitable and continuous access to sufficient quantity of safe drinking and domestic water''s GAP]]*WWWW[[#This Row],[Total PoP ]]</f>
        <v>0</v>
      </c>
      <c r="DA194" s="909">
        <f>IF(WWWW[[#This Row],[Total required water points]]-WWWW[[#This Row],['#Water points coverage]]&lt;0,0,WWWW[[#This Row],[Total required water points]]-WWWW[[#This Row],['#Water points coverage]])</f>
        <v>0.83599999999999997</v>
      </c>
      <c r="DB194" s="909">
        <f>ROUND(IF(WWWW[[#This Row],[Total PoP ]]&lt;500,1,WWWW[[#This Row],[Total PoP ]]/500),0)</f>
        <v>1</v>
      </c>
      <c r="DC194" s="909">
        <f>(WWWW[[#This Row],['#_Constructed latrines_by_WASHAgencies]]+WWWW[[#This Row],['#_Non Cluster partner latrines]])-WWWW[[#This Row],['#_Non-functional latrines]]</f>
        <v>5</v>
      </c>
      <c r="DD194" s="615">
        <f>WWWW[[#This Row],[HRP2]]/WWWW[[#This Row],[Total PoP ]]</f>
        <v>1</v>
      </c>
      <c r="DE194"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82</v>
      </c>
      <c r="DF194"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94"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4" s="417">
        <f>IF(WWWW[[#This Row],['# of functional latrines in THF supported by WASH partners during the reporting period2]]="",0,WWWW[[#This Row],['# of functional latrines in THF supported by WASH partners during the reporting period2]]*50)</f>
        <v>0</v>
      </c>
      <c r="DI194" s="909">
        <f>ROUND(IF(WWWW[[#This Row],[Location Type 1]]="camp",WWWW[[#This Row],[Total PoP ]]/20,IF(WWWW[[#This Row],[Location Type 1]]="Temporary Location",WWWW[[#This Row],[Total PoP ]]/50,(WWWW[[#This Row],[Total PoP ]]/6))),0)</f>
        <v>4</v>
      </c>
      <c r="DJ194" s="909">
        <f>IF(WWWW[[#This Row],[Total required Latrines]]-(WWWW[[#This Row],['#_Constructed latrines_by_WASHAgencies]]+WWWW[[#This Row],['#_Non Cluster partner latrines]])&lt;0,0,WWWW[[#This Row],[Total required Latrines]]-(WWWW[[#This Row],['#_Constructed latrines_by_WASHAgencies]]+WWWW[[#This Row],['#_Non Cluster partner latrines]]))</f>
        <v>0</v>
      </c>
      <c r="DK194" s="911">
        <f>1-WWWW[[#This Row],[% people access to functioning Latrine]]</f>
        <v>0</v>
      </c>
      <c r="DL194" s="910">
        <f>IF(OR(WWWW[[#This Row],['#_Non-functional latrines]]="",WWWW[[#This Row],['#_Non-functional latrines]]=0),0,WWWW[[#This Row],['#_Non-functional latrines]]/(WWWW[[#This Row],['#_Constructed latrines_by_WASHAgencies]]+WWWW[[#This Row],['#_Non Cluster partner latrines]]))</f>
        <v>0</v>
      </c>
      <c r="DM194" s="906">
        <f>IF(500*(WWWW[[#This Row],['#_male hygiene promoters]]+WWWW[[#This Row],['#_female hygiene promoters]])&gt;WWWW[[#This Row],[Total PoP ]],WWWW[[#This Row],[Total PoP ]],500*(WWWW[[#This Row],['#_male hygiene promoters]]+WWWW[[#This Row],['#_female hygiene promoters]]))</f>
        <v>82</v>
      </c>
      <c r="DN194"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94"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94" s="909">
        <f>IF(WWWW[[#This Row],['# People with access to soap]]&gt;WWWW[[#This Row],['# People with access to Sanity Pads]],WWWW[[#This Row],['# People with access to soap]],WWWW[[#This Row],['# People with access to Sanity Pads]])</f>
        <v>0</v>
      </c>
      <c r="DQ194" s="909">
        <f>IF(WWWW[[#This Row],['# people reached by regular dedicated hygiene promotion_5]]&gt;WWWW[[#This Row],['# People received regular supply of hygiene items_6]],WWWW[[#This Row],['# people reached by regular dedicated hygiene promotion_5]],WWWW[[#This Row],['# People received regular supply of hygiene items_6]])</f>
        <v>82</v>
      </c>
      <c r="DR194" s="911">
        <f>IF(WWWW[[#This Row],[HRP3]]/WWWW[[#This Row],[Total PoP ]]&gt;1,1,WWWW[[#This Row],[HRP3]]/WWWW[[#This Row],[Total PoP ]])</f>
        <v>1</v>
      </c>
      <c r="DS194" s="910">
        <f>1-WWWW[[#This Row],[Hygiene Coverage%]]</f>
        <v>0</v>
      </c>
      <c r="DT194" s="908">
        <f>WWWW[[#This Row],['# people reached by regular dedicated hygiene promotion_5]]/WWWW[[#This Row],[Total PoP ]]</f>
        <v>1</v>
      </c>
      <c r="DU194"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94"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94" s="909">
        <f>WWWW[[#This Row],['#_Constructed/Existing hand washing stations]]-WWWW[[#This Row],['#_Non-Functional_hand_washing_stations]]</f>
        <v>5</v>
      </c>
      <c r="DX194" s="906">
        <f>IF(WWWW[[#This Row],['# Functional hand washing stations during reporting period]]*20&gt;WWWW[[#This Row],[Total HH]],WWWW[[#This Row],[Total HH]],WWWW[[#This Row],['# Functional hand washing stations during reporting period]]*20)</f>
        <v>22</v>
      </c>
      <c r="DY194" s="906">
        <f>IF(WWWW[[#This Row],[Is sufficient soap available for TLS? (Yes/No)]]="yes",WWWW[[#This Row],['#_Constructed/Existing hand washing stations at TLS/CFS/THF]],0)</f>
        <v>0</v>
      </c>
      <c r="DZ194" s="421">
        <f>IF(WWWW[[#This Row],['# Functional hand washing stations during reporting period]]*100&gt;WWWW[[#This Row],[Total PoP ]],WWWW[[#This Row],[Total PoP ]],WWWW[[#This Row],['# Functional hand washing stations during reporting period]]*100)</f>
        <v>82</v>
      </c>
      <c r="EA194" s="421" t="str">
        <f>IF(OR(WWWW[[#This Row],['#_students at TLS_CFS]]="",WWWW[[#This Row],['#_students at TLS_CFS]]=0),"No","Yes")</f>
        <v>No</v>
      </c>
      <c r="EB19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94" s="566">
        <f>WWWW[[#This Row],[%_of_affected_people_surveyed_who_report_feeling_satistfied_with_the_latrine_design_and_sanitation_service]]*WWWW[[#This Row],[Total PoP ]]</f>
        <v>61.5</v>
      </c>
      <c r="ED194" s="566">
        <f>WWWW[[#This Row],[%_of_affected_people_surveyed_who_report_feeling_satistfied_with_the_water_point_design_and_water_service]]*WWWW[[#This Row],[Total PoP ]]</f>
        <v>0</v>
      </c>
      <c r="EE194" s="566">
        <f>WWWW[[#This Row],[%_of_complaints_received_that_result_in_timely_corrective_action_and_feedback_to_the_community]]*WWWW[[#This Row],[Total PoP ]]</f>
        <v>0</v>
      </c>
      <c r="EF19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61.5</v>
      </c>
      <c r="EG19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9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94" s="902" t="str">
        <f>VLOOKUP(WWWW[[#This Row],[Site Name]],SiteDB6[[Site Name]:[CCCM Management]],6,FALSE)</f>
        <v>Yes</v>
      </c>
      <c r="EJ194" s="902" t="str">
        <f>VLOOKUP(WWWW[[#This Row],[Site Name]],SiteDB6[[Site Name]:[CCCM Focal Agency]],7,FALSE)</f>
        <v>Shalom</v>
      </c>
      <c r="EK194" s="902" t="str">
        <f>VLOOKUP(WWWW[[#This Row],[Site Name]],SiteDB6[[Site Name]:[Location Type 1]],9,FALSE)</f>
        <v>Camp</v>
      </c>
      <c r="EL194" s="902" t="str">
        <f>VLOOKUP(WWWW[[#This Row],[Site Name]],SiteDB6[[Site Name]:[Type of Accommodation]],10,FALSE)</f>
        <v>Camp</v>
      </c>
      <c r="EM194" s="902" t="str">
        <f>VLOOKUP(WWWW[[#This Row],[Site Name]],SiteDB6[[Site Name]:[Ethnic or GCA/NGCA]],11,FALSE)</f>
        <v>GCA</v>
      </c>
      <c r="EN194" s="902">
        <f>VLOOKUP(WWWW[[#This Row],[Site Name]],SiteDB6[[Site Name]:[Lat]],12,FALSE)</f>
        <v>25.374343974359</v>
      </c>
      <c r="EO194" s="902">
        <f>VLOOKUP(WWWW[[#This Row],[Site Name]],SiteDB6[[Site Name]:[Long]],13,FALSE)</f>
        <v>97.2843958974359</v>
      </c>
      <c r="EP194" s="902" t="str">
        <f>VLOOKUP(WWWW[[#This Row],[Site Name]],SiteDB6[[Site Name]:[Pcode]],3,FALSE)</f>
        <v>MMR001CMP020</v>
      </c>
      <c r="EQ194" s="907" t="str">
        <f t="shared" si="2"/>
        <v>Covered</v>
      </c>
      <c r="ER194" s="907" t="s">
        <v>3126</v>
      </c>
      <c r="ES194" s="907" t="s">
        <v>3126</v>
      </c>
      <c r="ET194" s="902">
        <f>VLOOKUP(WWWW[[#This Row],[Site Name]],SiteDB6[[Site Name]:[Pop
(Kachin/Shan-CCCM as of May 2023)]],16,FALSE)</f>
        <v>18</v>
      </c>
      <c r="EU194" s="902">
        <f>VLOOKUP(WWWW[[#This Row],[Site Name]],SiteDB6[[Site Name]:[Pop
(Kachin/Shan-CCCM as of May 2023)]],17,FALSE)</f>
        <v>74</v>
      </c>
    </row>
    <row r="195" spans="1:151" hidden="1">
      <c r="A195" s="900" t="s">
        <v>2961</v>
      </c>
      <c r="B195" s="900" t="s">
        <v>242</v>
      </c>
      <c r="C195" s="901" t="s">
        <v>242</v>
      </c>
      <c r="D195" s="901" t="s">
        <v>3184</v>
      </c>
      <c r="E195" s="901" t="s">
        <v>37</v>
      </c>
      <c r="F195" s="901" t="s">
        <v>159</v>
      </c>
      <c r="G195" s="902" t="str">
        <f>VLOOKUP(WWWW[[#This Row],[Site Name]],SiteDB6[[Site Name]:[Location Type]],8,FALSE)</f>
        <v>Camp</v>
      </c>
      <c r="H195" s="901" t="s">
        <v>264</v>
      </c>
      <c r="I195" s="903">
        <v>18</v>
      </c>
      <c r="J195" s="903">
        <v>78</v>
      </c>
      <c r="K195" s="904">
        <v>44927</v>
      </c>
      <c r="L195" s="905">
        <v>45291</v>
      </c>
      <c r="M195" s="903"/>
      <c r="N195" s="903"/>
      <c r="O195" s="903">
        <v>1</v>
      </c>
      <c r="P195" s="903"/>
      <c r="Q195" s="906" t="s">
        <v>41</v>
      </c>
      <c r="R195" s="903">
        <v>2</v>
      </c>
      <c r="S195" s="903">
        <v>4</v>
      </c>
      <c r="T195" s="441">
        <v>3</v>
      </c>
      <c r="U195" s="903">
        <v>1</v>
      </c>
      <c r="V195" s="903"/>
      <c r="W195" s="903">
        <v>2</v>
      </c>
      <c r="X195" s="903">
        <v>2</v>
      </c>
      <c r="Y195" s="903">
        <v>1</v>
      </c>
      <c r="Z195" s="903"/>
      <c r="AA195" s="903"/>
      <c r="AB195" s="903"/>
      <c r="AC195" s="903"/>
      <c r="AD195" s="903"/>
      <c r="AE195" s="903">
        <v>2</v>
      </c>
      <c r="AF195" s="903"/>
      <c r="AG195" s="903"/>
      <c r="AH195" s="903">
        <v>3</v>
      </c>
      <c r="AI195" s="903"/>
      <c r="AJ195" s="903"/>
      <c r="AK195" s="903"/>
      <c r="AL195" s="903"/>
      <c r="AM195" s="903">
        <v>4</v>
      </c>
      <c r="AN195" s="903">
        <v>1</v>
      </c>
      <c r="AO195" s="441"/>
      <c r="AP195" s="907"/>
      <c r="AQ195" s="903">
        <v>6</v>
      </c>
      <c r="AR195" s="903"/>
      <c r="AS195" s="908" t="s">
        <v>242</v>
      </c>
      <c r="AT195" s="903">
        <v>1</v>
      </c>
      <c r="AU195" s="903">
        <v>1</v>
      </c>
      <c r="AV195" s="903"/>
      <c r="AW195" s="903"/>
      <c r="AX195" s="903"/>
      <c r="AY195" s="902" t="s">
        <v>41</v>
      </c>
      <c r="AZ195" s="907" t="s">
        <v>137</v>
      </c>
      <c r="BA195" s="903"/>
      <c r="BB195" s="903"/>
      <c r="BC195" s="903"/>
      <c r="BD195" s="441"/>
      <c r="BE195" s="441">
        <v>78</v>
      </c>
      <c r="BF195" s="902"/>
      <c r="BG195" s="903">
        <v>4</v>
      </c>
      <c r="BH195" s="903">
        <v>2</v>
      </c>
      <c r="BI195" s="903"/>
      <c r="BJ195" s="903">
        <v>2</v>
      </c>
      <c r="BK195" s="903"/>
      <c r="BL195" s="903"/>
      <c r="BM195" s="903">
        <v>1</v>
      </c>
      <c r="BN195" s="903">
        <v>18</v>
      </c>
      <c r="BO195" s="903">
        <v>24</v>
      </c>
      <c r="BP195" s="902" t="s">
        <v>41</v>
      </c>
      <c r="BQ195" s="909">
        <v>1</v>
      </c>
      <c r="BR195" s="908">
        <v>0.8</v>
      </c>
      <c r="BS195" s="902"/>
      <c r="BT195" s="416">
        <v>0.8</v>
      </c>
      <c r="BU195" s="416">
        <v>0.8</v>
      </c>
      <c r="BV195" s="418"/>
      <c r="BW195" s="416">
        <v>0.8</v>
      </c>
      <c r="BX195" s="441"/>
      <c r="BY195" s="441"/>
      <c r="BZ195" s="441"/>
      <c r="CA195" s="441"/>
      <c r="CB195" s="441"/>
      <c r="CC195" s="693"/>
      <c r="CD195" s="441"/>
      <c r="CE195" s="910" t="str">
        <f>IFERROR(WWWW[[#This Row],['#_Water sources passed]]/WWWW[[#This Row],['#_Water sources tested for fecal coliform ]],"no test")</f>
        <v>no test</v>
      </c>
      <c r="CF195" s="908" t="str">
        <f>IFERROR(WWWW[[#This Row],['#_Household passed]]/WWWW[[#This Row],['#_Household water samples tested for fecal coliform]],"no test")</f>
        <v>no test</v>
      </c>
      <c r="CG195" s="909" t="str">
        <f>IF(AND(WWWW[[#This Row],[% of water sources passed]]="no test",WWWW[[#This Row],[% Household passed]]="no test"),"No Test","Tested")</f>
        <v>No Test</v>
      </c>
      <c r="CH195" s="909">
        <f>WWWW[[#This Row],['#_Constructed/existing protected hand dug well]]-WWWW[[#This Row],['#_Non-functional protected hand dug well]]</f>
        <v>2</v>
      </c>
      <c r="CI195" s="909">
        <f>(WWWW[[#This Row],['#_Constructed/Existing tube wells/boreholes/handpumps_WASH_agency]]+WWWW[[#This Row],['#_Non-Cluster partner water tube-wells/boreholes/handpumps]])-WWWW[[#This Row],['#_Non-functional tube wells/boreholes/handpumps]]</f>
        <v>3</v>
      </c>
      <c r="CJ195" s="909">
        <f>WWWW[[#This Row],['#_Constructed/Existingwater storage tank with gravity fed reticulation system]]-WWWW[[#This Row],['#_Non-functional storage tank gravity fed reticulation system]]</f>
        <v>0</v>
      </c>
      <c r="CK195" s="909">
        <f>(WWWW[[#This Row],['#_Water_Liters_supplied_by_Water boating or water trucking]]/90)/15</f>
        <v>0</v>
      </c>
      <c r="CL195" s="909">
        <f>WWWW[[#This Row],['#_Water_Liters_from_Constructed/Existing water distribution system from river or natural spring]]/90/15</f>
        <v>0</v>
      </c>
      <c r="CM195" s="417">
        <f>IF(WWWW[[#This Row],['#_of water points in TLS/CFS]]*500&gt;WWWW[[#This Row],[Total PoP ]],WWWW[[#This Row],[Total PoP ]],WWWW[[#This Row],['#_of water points in TLS/CFS]]*500)</f>
        <v>78</v>
      </c>
      <c r="CN195" s="417">
        <f>IF(WWWW[[#This Row],['#_of water points in THF]]*500&gt;WWWW[[#This Row],[Total PoP ]],WWWW[[#This Row],[Total PoP ]],WWWW[[#This Row],['#_of water points in THF]]*500)</f>
        <v>0</v>
      </c>
      <c r="CO195" s="417"/>
      <c r="CP195"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95"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95" s="908">
        <f>IF(WWWW[[#This Row],[Location Type 1]]="Village",WWWW[[#This Row],[Access to safe drinking water for Village]],WWWW[[#This Row],[Access to safe drinking water for Camp]])</f>
        <v>1</v>
      </c>
      <c r="CS195" s="906">
        <f>WWWW[[#This Row],[%Equitable and continuous access to sufficient quantity of safe drinking water]]*WWWW[[#This Row],[Total PoP ]]</f>
        <v>78</v>
      </c>
      <c r="CT195" s="908">
        <f>IF((WWWW[[#This Row],['#_Constructed/Existing protected/fenced ponds]]*250)/WWWW[[#This Row],[Total PoP ]]&gt;1,1,(WWWW[[#This Row],['#_Constructed/Existing protected/fenced ponds]]*250)/WWWW[[#This Row],[Total PoP ]])</f>
        <v>1</v>
      </c>
      <c r="CU195" s="906">
        <f>WWWW[[#This Row],[% Access to unimproved water points]]*WWWW[[#This Row],[Total PoP ]]</f>
        <v>78</v>
      </c>
      <c r="CV195"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95"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78</v>
      </c>
      <c r="CX195" s="906">
        <f>WWWW[[#This Row],[HRP1]]/500</f>
        <v>0.156</v>
      </c>
      <c r="CY195" s="911">
        <f>1-WWWW[[#This Row],[% Equitable and continuous access to sufficient quantity of domestic water]]</f>
        <v>0</v>
      </c>
      <c r="CZ195" s="906">
        <f>WWWW[[#This Row],[%equitable and continuous access to sufficient quantity of safe drinking and domestic water''s GAP]]*WWWW[[#This Row],[Total PoP ]]</f>
        <v>0</v>
      </c>
      <c r="DA195" s="909">
        <f>IF(WWWW[[#This Row],[Total required water points]]-WWWW[[#This Row],['#Water points coverage]]&lt;0,0,WWWW[[#This Row],[Total required water points]]-WWWW[[#This Row],['#Water points coverage]])</f>
        <v>0.84399999999999997</v>
      </c>
      <c r="DB195" s="909">
        <f>ROUND(IF(WWWW[[#This Row],[Total PoP ]]&lt;500,1,WWWW[[#This Row],[Total PoP ]]/500),0)</f>
        <v>1</v>
      </c>
      <c r="DC195" s="909">
        <f>(WWWW[[#This Row],['#_Constructed latrines_by_WASHAgencies]]+WWWW[[#This Row],['#_Non Cluster partner latrines]])-WWWW[[#This Row],['#_Non-functional latrines]]</f>
        <v>5</v>
      </c>
      <c r="DD195" s="615">
        <f>WWWW[[#This Row],[HRP2]]/WWWW[[#This Row],[Total PoP ]]</f>
        <v>1</v>
      </c>
      <c r="DE195"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78</v>
      </c>
      <c r="DF195"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95"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5" s="417">
        <f>IF(WWWW[[#This Row],['# of functional latrines in THF supported by WASH partners during the reporting period2]]="",0,WWWW[[#This Row],['# of functional latrines in THF supported by WASH partners during the reporting period2]]*50)</f>
        <v>0</v>
      </c>
      <c r="DI195" s="909">
        <f>ROUND(IF(WWWW[[#This Row],[Location Type 1]]="camp",WWWW[[#This Row],[Total PoP ]]/20,IF(WWWW[[#This Row],[Location Type 1]]="Temporary Location",WWWW[[#This Row],[Total PoP ]]/50,(WWWW[[#This Row],[Total PoP ]]/6))),0)</f>
        <v>4</v>
      </c>
      <c r="DJ195" s="909">
        <f>IF(WWWW[[#This Row],[Total required Latrines]]-(WWWW[[#This Row],['#_Constructed latrines_by_WASHAgencies]]+WWWW[[#This Row],['#_Non Cluster partner latrines]])&lt;0,0,WWWW[[#This Row],[Total required Latrines]]-(WWWW[[#This Row],['#_Constructed latrines_by_WASHAgencies]]+WWWW[[#This Row],['#_Non Cluster partner latrines]]))</f>
        <v>0</v>
      </c>
      <c r="DK195" s="911">
        <f>1-WWWW[[#This Row],[% people access to functioning Latrine]]</f>
        <v>0</v>
      </c>
      <c r="DL195" s="910">
        <f>IF(OR(WWWW[[#This Row],['#_Non-functional latrines]]="",WWWW[[#This Row],['#_Non-functional latrines]]=0),0,WWWW[[#This Row],['#_Non-functional latrines]]/(WWWW[[#This Row],['#_Constructed latrines_by_WASHAgencies]]+WWWW[[#This Row],['#_Non Cluster partner latrines]]))</f>
        <v>0.16666666666666666</v>
      </c>
      <c r="DM195" s="906">
        <f>IF(500*(WWWW[[#This Row],['#_male hygiene promoters]]+WWWW[[#This Row],['#_female hygiene promoters]])&gt;WWWW[[#This Row],[Total PoP ]],WWWW[[#This Row],[Total PoP ]],500*(WWWW[[#This Row],['#_male hygiene promoters]]+WWWW[[#This Row],['#_female hygiene promoters]]))</f>
        <v>78</v>
      </c>
      <c r="DN195"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78</v>
      </c>
      <c r="DO195"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24</v>
      </c>
      <c r="DP195" s="909">
        <f>IF(WWWW[[#This Row],['# People with access to soap]]&gt;WWWW[[#This Row],['# People with access to Sanity Pads]],WWWW[[#This Row],['# People with access to soap]],WWWW[[#This Row],['# People with access to Sanity Pads]])</f>
        <v>78</v>
      </c>
      <c r="DQ195" s="909">
        <f>IF(WWWW[[#This Row],['# people reached by regular dedicated hygiene promotion_5]]&gt;WWWW[[#This Row],['# People received regular supply of hygiene items_6]],WWWW[[#This Row],['# people reached by regular dedicated hygiene promotion_5]],WWWW[[#This Row],['# People received regular supply of hygiene items_6]])</f>
        <v>78</v>
      </c>
      <c r="DR195" s="911">
        <f>IF(WWWW[[#This Row],[HRP3]]/WWWW[[#This Row],[Total PoP ]]&gt;1,1,WWWW[[#This Row],[HRP3]]/WWWW[[#This Row],[Total PoP ]])</f>
        <v>1</v>
      </c>
      <c r="DS195" s="910">
        <f>1-WWWW[[#This Row],[Hygiene Coverage%]]</f>
        <v>0</v>
      </c>
      <c r="DT195" s="908">
        <f>WWWW[[#This Row],['# people reached by regular dedicated hygiene promotion_5]]/WWWW[[#This Row],[Total PoP ]]</f>
        <v>1</v>
      </c>
      <c r="DU195"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195"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195" s="909">
        <f>WWWW[[#This Row],['#_Constructed/Existing hand washing stations]]-WWWW[[#This Row],['#_Non-Functional_hand_washing_stations]]</f>
        <v>2</v>
      </c>
      <c r="DX195" s="906">
        <f>IF(WWWW[[#This Row],['# Functional hand washing stations during reporting period]]*20&gt;WWWW[[#This Row],[Total HH]],WWWW[[#This Row],[Total HH]],WWWW[[#This Row],['# Functional hand washing stations during reporting period]]*20)</f>
        <v>18</v>
      </c>
      <c r="DY195" s="906">
        <f>IF(WWWW[[#This Row],[Is sufficient soap available for TLS? (Yes/No)]]="yes",WWWW[[#This Row],['#_Constructed/Existing hand washing stations at TLS/CFS/THF]],0)</f>
        <v>4</v>
      </c>
      <c r="DZ195" s="421">
        <f>IF(WWWW[[#This Row],['# Functional hand washing stations during reporting period]]*100&gt;WWWW[[#This Row],[Total PoP ]],WWWW[[#This Row],[Total PoP ]],WWWW[[#This Row],['# Functional hand washing stations during reporting period]]*100)</f>
        <v>78</v>
      </c>
      <c r="EA195" s="421" t="str">
        <f>IF(OR(WWWW[[#This Row],['#_students at TLS_CFS]]="",WWWW[[#This Row],['#_students at TLS_CFS]]=0),"No","Yes")</f>
        <v>No</v>
      </c>
      <c r="EB19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95" s="566">
        <f>WWWW[[#This Row],[%_of_affected_people_surveyed_who_report_feeling_satistfied_with_the_latrine_design_and_sanitation_service]]*WWWW[[#This Row],[Total PoP ]]</f>
        <v>62.400000000000006</v>
      </c>
      <c r="ED195" s="566">
        <f>WWWW[[#This Row],[%_of_affected_people_surveyed_who_report_feeling_satistfied_with_the_water_point_design_and_water_service]]*WWWW[[#This Row],[Total PoP ]]</f>
        <v>62.400000000000006</v>
      </c>
      <c r="EE195" s="566">
        <f>WWWW[[#This Row],[%_of_complaints_received_that_result_in_timely_corrective_action_and_feedback_to_the_community]]*WWWW[[#This Row],[Total PoP ]]</f>
        <v>62.400000000000006</v>
      </c>
      <c r="EF19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62.400000000000006</v>
      </c>
      <c r="EG19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78</v>
      </c>
      <c r="EH19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95" s="902" t="str">
        <f>VLOOKUP(WWWW[[#This Row],[Site Name]],SiteDB6[[Site Name]:[CCCM Management]],6,FALSE)</f>
        <v>Yes</v>
      </c>
      <c r="EJ195" s="902" t="str">
        <f>VLOOKUP(WWWW[[#This Row],[Site Name]],SiteDB6[[Site Name]:[CCCM Focal Agency]],7,FALSE)</f>
        <v>Shalom</v>
      </c>
      <c r="EK195" s="902" t="str">
        <f>VLOOKUP(WWWW[[#This Row],[Site Name]],SiteDB6[[Site Name]:[Location Type 1]],9,FALSE)</f>
        <v>Camp</v>
      </c>
      <c r="EL195" s="902" t="str">
        <f>VLOOKUP(WWWW[[#This Row],[Site Name]],SiteDB6[[Site Name]:[Type of Accommodation]],10,FALSE)</f>
        <v>Camp</v>
      </c>
      <c r="EM195" s="902" t="str">
        <f>VLOOKUP(WWWW[[#This Row],[Site Name]],SiteDB6[[Site Name]:[Ethnic or GCA/NGCA]],11,FALSE)</f>
        <v>GCA</v>
      </c>
      <c r="EN195" s="902">
        <f>VLOOKUP(WWWW[[#This Row],[Site Name]],SiteDB6[[Site Name]:[Lat]],12,FALSE)</f>
        <v>25.371049444444399</v>
      </c>
      <c r="EO195" s="902">
        <f>VLOOKUP(WWWW[[#This Row],[Site Name]],SiteDB6[[Site Name]:[Long]],13,FALSE)</f>
        <v>97.290952037037002</v>
      </c>
      <c r="EP195" s="902" t="str">
        <f>VLOOKUP(WWWW[[#This Row],[Site Name]],SiteDB6[[Site Name]:[Pcode]],3,FALSE)</f>
        <v>MMR001CMP021</v>
      </c>
      <c r="EQ195" s="907" t="str">
        <f t="shared" si="2"/>
        <v>Covered</v>
      </c>
      <c r="ER195" s="907" t="s">
        <v>3126</v>
      </c>
      <c r="ES195" s="907" t="s">
        <v>3126</v>
      </c>
      <c r="ET195" s="902">
        <f>VLOOKUP(WWWW[[#This Row],[Site Name]],SiteDB6[[Site Name]:[Pop
(Kachin/Shan-CCCM as of May 2023)]],16,FALSE)</f>
        <v>29</v>
      </c>
      <c r="EU195" s="902">
        <f>VLOOKUP(WWWW[[#This Row],[Site Name]],SiteDB6[[Site Name]:[Pop
(Kachin/Shan-CCCM as of May 2023)]],17,FALSE)</f>
        <v>174</v>
      </c>
    </row>
    <row r="196" spans="1:151" hidden="1">
      <c r="A196" s="900" t="s">
        <v>2961</v>
      </c>
      <c r="B196" s="900" t="s">
        <v>242</v>
      </c>
      <c r="C196" s="901" t="s">
        <v>242</v>
      </c>
      <c r="D196" s="901" t="s">
        <v>3184</v>
      </c>
      <c r="E196" s="901" t="s">
        <v>37</v>
      </c>
      <c r="F196" s="901" t="s">
        <v>159</v>
      </c>
      <c r="G196" s="902" t="str">
        <f>VLOOKUP(WWWW[[#This Row],[Site Name]],SiteDB6[[Site Name]:[Location Type]],8,FALSE)</f>
        <v>Camp</v>
      </c>
      <c r="H196" s="901" t="s">
        <v>2868</v>
      </c>
      <c r="I196" s="903">
        <v>16</v>
      </c>
      <c r="J196" s="903">
        <v>94</v>
      </c>
      <c r="K196" s="904">
        <v>44927</v>
      </c>
      <c r="L196" s="905">
        <v>45291</v>
      </c>
      <c r="M196" s="903"/>
      <c r="N196" s="903"/>
      <c r="O196" s="903">
        <v>1</v>
      </c>
      <c r="P196" s="903"/>
      <c r="Q196" s="906" t="s">
        <v>41</v>
      </c>
      <c r="R196" s="903">
        <v>2</v>
      </c>
      <c r="S196" s="903">
        <v>2</v>
      </c>
      <c r="T196" s="441">
        <v>1</v>
      </c>
      <c r="U196" s="903">
        <v>1</v>
      </c>
      <c r="V196" s="903"/>
      <c r="W196" s="903">
        <v>2</v>
      </c>
      <c r="X196" s="903"/>
      <c r="Y196" s="903"/>
      <c r="Z196" s="903"/>
      <c r="AA196" s="903"/>
      <c r="AB196" s="903"/>
      <c r="AC196" s="903"/>
      <c r="AD196" s="903"/>
      <c r="AE196" s="903">
        <v>2</v>
      </c>
      <c r="AF196" s="903"/>
      <c r="AG196" s="903"/>
      <c r="AH196" s="903"/>
      <c r="AI196" s="903"/>
      <c r="AJ196" s="903"/>
      <c r="AK196" s="903"/>
      <c r="AL196" s="903"/>
      <c r="AM196" s="903">
        <v>3</v>
      </c>
      <c r="AN196" s="903"/>
      <c r="AO196" s="441"/>
      <c r="AP196" s="907"/>
      <c r="AQ196" s="903">
        <v>7</v>
      </c>
      <c r="AR196" s="903"/>
      <c r="AS196" s="908" t="s">
        <v>2129</v>
      </c>
      <c r="AT196" s="903"/>
      <c r="AU196" s="903"/>
      <c r="AV196" s="903"/>
      <c r="AW196" s="903"/>
      <c r="AX196" s="903">
        <v>7</v>
      </c>
      <c r="AY196" s="902" t="s">
        <v>41</v>
      </c>
      <c r="AZ196" s="907" t="s">
        <v>137</v>
      </c>
      <c r="BA196" s="903"/>
      <c r="BB196" s="903"/>
      <c r="BC196" s="903"/>
      <c r="BD196" s="441"/>
      <c r="BE196" s="441">
        <v>3</v>
      </c>
      <c r="BF196" s="902"/>
      <c r="BG196" s="903">
        <v>3</v>
      </c>
      <c r="BH196" s="903"/>
      <c r="BI196" s="903"/>
      <c r="BJ196" s="903">
        <v>2</v>
      </c>
      <c r="BK196" s="903"/>
      <c r="BL196" s="903">
        <v>1</v>
      </c>
      <c r="BM196" s="903"/>
      <c r="BN196" s="903">
        <v>16</v>
      </c>
      <c r="BO196" s="903"/>
      <c r="BP196" s="902" t="s">
        <v>41</v>
      </c>
      <c r="BQ196" s="909">
        <v>1</v>
      </c>
      <c r="BR196" s="908">
        <v>1</v>
      </c>
      <c r="BS196" s="902"/>
      <c r="BT196" s="416">
        <v>0.9</v>
      </c>
      <c r="BU196" s="416">
        <v>0.9</v>
      </c>
      <c r="BV196" s="418"/>
      <c r="BW196" s="416"/>
      <c r="BX196" s="441"/>
      <c r="BY196" s="441"/>
      <c r="BZ196" s="441"/>
      <c r="CA196" s="441"/>
      <c r="CB196" s="441"/>
      <c r="CC196" s="693"/>
      <c r="CD196" s="441"/>
      <c r="CE196" s="910" t="str">
        <f>IFERROR(WWWW[[#This Row],['#_Water sources passed]]/WWWW[[#This Row],['#_Water sources tested for fecal coliform ]],"no test")</f>
        <v>no test</v>
      </c>
      <c r="CF196" s="908" t="str">
        <f>IFERROR(WWWW[[#This Row],['#_Household passed]]/WWWW[[#This Row],['#_Household water samples tested for fecal coliform]],"no test")</f>
        <v>no test</v>
      </c>
      <c r="CG196" s="909" t="str">
        <f>IF(AND(WWWW[[#This Row],[% of water sources passed]]="no test",WWWW[[#This Row],[% Household passed]]="no test"),"No Test","Tested")</f>
        <v>No Test</v>
      </c>
      <c r="CH196" s="909">
        <f>WWWW[[#This Row],['#_Constructed/existing protected hand dug well]]-WWWW[[#This Row],['#_Non-functional protected hand dug well]]</f>
        <v>0</v>
      </c>
      <c r="CI196" s="909">
        <f>(WWWW[[#This Row],['#_Constructed/Existing tube wells/boreholes/handpumps_WASH_agency]]+WWWW[[#This Row],['#_Non-Cluster partner water tube-wells/boreholes/handpumps]])-WWWW[[#This Row],['#_Non-functional tube wells/boreholes/handpumps]]</f>
        <v>2</v>
      </c>
      <c r="CJ196" s="909">
        <f>WWWW[[#This Row],['#_Constructed/Existingwater storage tank with gravity fed reticulation system]]-WWWW[[#This Row],['#_Non-functional storage tank gravity fed reticulation system]]</f>
        <v>0</v>
      </c>
      <c r="CK196" s="909">
        <f>(WWWW[[#This Row],['#_Water_Liters_supplied_by_Water boating or water trucking]]/90)/15</f>
        <v>0</v>
      </c>
      <c r="CL196" s="909">
        <f>WWWW[[#This Row],['#_Water_Liters_from_Constructed/Existing water distribution system from river or natural spring]]/90/15</f>
        <v>0</v>
      </c>
      <c r="CM196" s="417">
        <f>IF(WWWW[[#This Row],['#_of water points in TLS/CFS]]*500&gt;WWWW[[#This Row],[Total PoP ]],WWWW[[#This Row],[Total PoP ]],WWWW[[#This Row],['#_of water points in TLS/CFS]]*500)</f>
        <v>0</v>
      </c>
      <c r="CN196" s="417">
        <f>IF(WWWW[[#This Row],['#_of water points in THF]]*500&gt;WWWW[[#This Row],[Total PoP ]],WWWW[[#This Row],[Total PoP ]],WWWW[[#This Row],['#_of water points in THF]]*500)</f>
        <v>0</v>
      </c>
      <c r="CO196" s="417"/>
      <c r="CP196"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96"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96" s="908">
        <f>IF(WWWW[[#This Row],[Location Type 1]]="Village",WWWW[[#This Row],[Access to safe drinking water for Village]],WWWW[[#This Row],[Access to safe drinking water for Camp]])</f>
        <v>1</v>
      </c>
      <c r="CS196" s="906">
        <f>WWWW[[#This Row],[%Equitable and continuous access to sufficient quantity of safe drinking water]]*WWWW[[#This Row],[Total PoP ]]</f>
        <v>94</v>
      </c>
      <c r="CT196" s="908">
        <f>IF((WWWW[[#This Row],['#_Constructed/Existing protected/fenced ponds]]*250)/WWWW[[#This Row],[Total PoP ]]&gt;1,1,(WWWW[[#This Row],['#_Constructed/Existing protected/fenced ponds]]*250)/WWWW[[#This Row],[Total PoP ]])</f>
        <v>1</v>
      </c>
      <c r="CU196" s="906">
        <f>WWWW[[#This Row],[% Access to unimproved water points]]*WWWW[[#This Row],[Total PoP ]]</f>
        <v>94</v>
      </c>
      <c r="CV196"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96"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94</v>
      </c>
      <c r="CX196" s="906">
        <f>WWWW[[#This Row],[HRP1]]/500</f>
        <v>0.188</v>
      </c>
      <c r="CY196" s="911">
        <f>1-WWWW[[#This Row],[% Equitable and continuous access to sufficient quantity of domestic water]]</f>
        <v>0</v>
      </c>
      <c r="CZ196" s="906">
        <f>WWWW[[#This Row],[%equitable and continuous access to sufficient quantity of safe drinking and domestic water''s GAP]]*WWWW[[#This Row],[Total PoP ]]</f>
        <v>0</v>
      </c>
      <c r="DA196" s="909">
        <f>IF(WWWW[[#This Row],[Total required water points]]-WWWW[[#This Row],['#Water points coverage]]&lt;0,0,WWWW[[#This Row],[Total required water points]]-WWWW[[#This Row],['#Water points coverage]])</f>
        <v>0.81200000000000006</v>
      </c>
      <c r="DB196" s="909">
        <f>ROUND(IF(WWWW[[#This Row],[Total PoP ]]&lt;500,1,WWWW[[#This Row],[Total PoP ]]/500),0)</f>
        <v>1</v>
      </c>
      <c r="DC196" s="909">
        <f>(WWWW[[#This Row],['#_Constructed latrines_by_WASHAgencies]]+WWWW[[#This Row],['#_Non Cluster partner latrines]])-WWWW[[#This Row],['#_Non-functional latrines]]</f>
        <v>7</v>
      </c>
      <c r="DD196" s="615">
        <f>WWWW[[#This Row],[HRP2]]/WWWW[[#This Row],[Total PoP ]]</f>
        <v>1</v>
      </c>
      <c r="DE196"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94</v>
      </c>
      <c r="DF196"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96"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6" s="417">
        <f>IF(WWWW[[#This Row],['# of functional latrines in THF supported by WASH partners during the reporting period2]]="",0,WWWW[[#This Row],['# of functional latrines in THF supported by WASH partners during the reporting period2]]*50)</f>
        <v>0</v>
      </c>
      <c r="DI196" s="909">
        <f>ROUND(IF(WWWW[[#This Row],[Location Type 1]]="camp",WWWW[[#This Row],[Total PoP ]]/20,IF(WWWW[[#This Row],[Location Type 1]]="Temporary Location",WWWW[[#This Row],[Total PoP ]]/50,(WWWW[[#This Row],[Total PoP ]]/6))),0)</f>
        <v>5</v>
      </c>
      <c r="DJ196" s="909">
        <f>IF(WWWW[[#This Row],[Total required Latrines]]-(WWWW[[#This Row],['#_Constructed latrines_by_WASHAgencies]]+WWWW[[#This Row],['#_Non Cluster partner latrines]])&lt;0,0,WWWW[[#This Row],[Total required Latrines]]-(WWWW[[#This Row],['#_Constructed latrines_by_WASHAgencies]]+WWWW[[#This Row],['#_Non Cluster partner latrines]]))</f>
        <v>0</v>
      </c>
      <c r="DK196" s="911">
        <f>1-WWWW[[#This Row],[% people access to functioning Latrine]]</f>
        <v>0</v>
      </c>
      <c r="DL196" s="910">
        <f>IF(OR(WWWW[[#This Row],['#_Non-functional latrines]]="",WWWW[[#This Row],['#_Non-functional latrines]]=0),0,WWWW[[#This Row],['#_Non-functional latrines]]/(WWWW[[#This Row],['#_Constructed latrines_by_WASHAgencies]]+WWWW[[#This Row],['#_Non Cluster partner latrines]]))</f>
        <v>0</v>
      </c>
      <c r="DM196" s="906">
        <f>IF(500*(WWWW[[#This Row],['#_male hygiene promoters]]+WWWW[[#This Row],['#_female hygiene promoters]])&gt;WWWW[[#This Row],[Total PoP ]],WWWW[[#This Row],[Total PoP ]],500*(WWWW[[#This Row],['#_male hygiene promoters]]+WWWW[[#This Row],['#_female hygiene promoters]]))</f>
        <v>94</v>
      </c>
      <c r="DN196"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94</v>
      </c>
      <c r="DO196"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96" s="909">
        <f>IF(WWWW[[#This Row],['# People with access to soap]]&gt;WWWW[[#This Row],['# People with access to Sanity Pads]],WWWW[[#This Row],['# People with access to soap]],WWWW[[#This Row],['# People with access to Sanity Pads]])</f>
        <v>94</v>
      </c>
      <c r="DQ196" s="909">
        <f>IF(WWWW[[#This Row],['# people reached by regular dedicated hygiene promotion_5]]&gt;WWWW[[#This Row],['# People received regular supply of hygiene items_6]],WWWW[[#This Row],['# people reached by regular dedicated hygiene promotion_5]],WWWW[[#This Row],['# People received regular supply of hygiene items_6]])</f>
        <v>94</v>
      </c>
      <c r="DR196" s="911">
        <f>IF(WWWW[[#This Row],[HRP3]]/WWWW[[#This Row],[Total PoP ]]&gt;1,1,WWWW[[#This Row],[HRP3]]/WWWW[[#This Row],[Total PoP ]])</f>
        <v>1</v>
      </c>
      <c r="DS196" s="910">
        <f>1-WWWW[[#This Row],[Hygiene Coverage%]]</f>
        <v>0</v>
      </c>
      <c r="DT196" s="908">
        <f>WWWW[[#This Row],['# people reached by regular dedicated hygiene promotion_5]]/WWWW[[#This Row],[Total PoP ]]</f>
        <v>1</v>
      </c>
      <c r="DU196"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196"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96" s="909">
        <f>WWWW[[#This Row],['#_Constructed/Existing hand washing stations]]-WWWW[[#This Row],['#_Non-Functional_hand_washing_stations]]</f>
        <v>3</v>
      </c>
      <c r="DX196" s="906">
        <f>IF(WWWW[[#This Row],['# Functional hand washing stations during reporting period]]*20&gt;WWWW[[#This Row],[Total HH]],WWWW[[#This Row],[Total HH]],WWWW[[#This Row],['# Functional hand washing stations during reporting period]]*20)</f>
        <v>16</v>
      </c>
      <c r="DY196" s="906">
        <f>IF(WWWW[[#This Row],[Is sufficient soap available for TLS? (Yes/No)]]="yes",WWWW[[#This Row],['#_Constructed/Existing hand washing stations at TLS/CFS/THF]],0)</f>
        <v>3</v>
      </c>
      <c r="DZ196" s="421">
        <f>IF(WWWW[[#This Row],['# Functional hand washing stations during reporting period]]*100&gt;WWWW[[#This Row],[Total PoP ]],WWWW[[#This Row],[Total PoP ]],WWWW[[#This Row],['# Functional hand washing stations during reporting period]]*100)</f>
        <v>94</v>
      </c>
      <c r="EA196" s="421" t="str">
        <f>IF(OR(WWWW[[#This Row],['#_students at TLS_CFS]]="",WWWW[[#This Row],['#_students at TLS_CFS]]=0),"No","Yes")</f>
        <v>No</v>
      </c>
      <c r="EB19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96" s="566">
        <f>WWWW[[#This Row],[%_of_affected_people_surveyed_who_report_feeling_satistfied_with_the_latrine_design_and_sanitation_service]]*WWWW[[#This Row],[Total PoP ]]</f>
        <v>84.600000000000009</v>
      </c>
      <c r="ED196" s="566">
        <f>WWWW[[#This Row],[%_of_affected_people_surveyed_who_report_feeling_satistfied_with_the_water_point_design_and_water_service]]*WWWW[[#This Row],[Total PoP ]]</f>
        <v>84.600000000000009</v>
      </c>
      <c r="EE196" s="566">
        <f>WWWW[[#This Row],[%_of_complaints_received_that_result_in_timely_corrective_action_and_feedback_to_the_community]]*WWWW[[#This Row],[Total PoP ]]</f>
        <v>0</v>
      </c>
      <c r="EF19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84.600000000000009</v>
      </c>
      <c r="EG19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9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96" s="902" t="str">
        <f>VLOOKUP(WWWW[[#This Row],[Site Name]],SiteDB6[[Site Name]:[CCCM Management]],6,FALSE)</f>
        <v>Yes</v>
      </c>
      <c r="EJ196" s="902" t="str">
        <f>VLOOKUP(WWWW[[#This Row],[Site Name]],SiteDB6[[Site Name]:[CCCM Focal Agency]],7,FALSE)</f>
        <v>Shalom</v>
      </c>
      <c r="EK196" s="902" t="str">
        <f>VLOOKUP(WWWW[[#This Row],[Site Name]],SiteDB6[[Site Name]:[Location Type 1]],9,FALSE)</f>
        <v>Camp</v>
      </c>
      <c r="EL196" s="902" t="str">
        <f>VLOOKUP(WWWW[[#This Row],[Site Name]],SiteDB6[[Site Name]:[Type of Accommodation]],10,FALSE)</f>
        <v>Camp</v>
      </c>
      <c r="EM196" s="902" t="str">
        <f>VLOOKUP(WWWW[[#This Row],[Site Name]],SiteDB6[[Site Name]:[Ethnic or GCA/NGCA]],11,FALSE)</f>
        <v>GCA</v>
      </c>
      <c r="EN196" s="902">
        <f>VLOOKUP(WWWW[[#This Row],[Site Name]],SiteDB6[[Site Name]:[Lat]],12,FALSE)</f>
        <v>25.417733999999999</v>
      </c>
      <c r="EO196" s="902">
        <f>VLOOKUP(WWWW[[#This Row],[Site Name]],SiteDB6[[Site Name]:[Long]],13,FALSE)</f>
        <v>97.389778000000007</v>
      </c>
      <c r="EP196" s="902" t="str">
        <f>VLOOKUP(WWWW[[#This Row],[Site Name]],SiteDB6[[Site Name]:[Pcode]],3,FALSE)</f>
        <v>MMR001CMP004</v>
      </c>
      <c r="EQ196" s="907" t="str">
        <f t="shared" si="2"/>
        <v>Covered</v>
      </c>
      <c r="ER196" s="907" t="s">
        <v>3126</v>
      </c>
      <c r="ES196" s="907" t="s">
        <v>3126</v>
      </c>
      <c r="ET196" s="902">
        <f>VLOOKUP(WWWW[[#This Row],[Site Name]],SiteDB6[[Site Name]:[Pop
(Kachin/Shan-CCCM as of May 2023)]],16,FALSE)</f>
        <v>18</v>
      </c>
      <c r="EU196" s="902">
        <f>VLOOKUP(WWWW[[#This Row],[Site Name]],SiteDB6[[Site Name]:[Pop
(Kachin/Shan-CCCM as of May 2023)]],17,FALSE)</f>
        <v>93</v>
      </c>
    </row>
    <row r="197" spans="1:151" hidden="1">
      <c r="A197" s="900" t="s">
        <v>2961</v>
      </c>
      <c r="B197" s="900" t="s">
        <v>242</v>
      </c>
      <c r="C197" s="901" t="s">
        <v>242</v>
      </c>
      <c r="D197" s="901" t="s">
        <v>3184</v>
      </c>
      <c r="E197" s="901" t="s">
        <v>37</v>
      </c>
      <c r="F197" s="901" t="s">
        <v>159</v>
      </c>
      <c r="G197" s="902" t="str">
        <f>VLOOKUP(WWWW[[#This Row],[Site Name]],SiteDB6[[Site Name]:[Location Type]],8,FALSE)</f>
        <v>Camp</v>
      </c>
      <c r="H197" s="901" t="s">
        <v>265</v>
      </c>
      <c r="I197" s="903">
        <v>21</v>
      </c>
      <c r="J197" s="903">
        <v>101</v>
      </c>
      <c r="K197" s="904">
        <v>44927</v>
      </c>
      <c r="L197" s="905">
        <v>45291</v>
      </c>
      <c r="M197" s="903"/>
      <c r="N197" s="903"/>
      <c r="O197" s="903">
        <v>1</v>
      </c>
      <c r="P197" s="903"/>
      <c r="Q197" s="906" t="s">
        <v>41</v>
      </c>
      <c r="R197" s="903">
        <v>1</v>
      </c>
      <c r="S197" s="903">
        <v>4</v>
      </c>
      <c r="T197" s="441">
        <v>1</v>
      </c>
      <c r="U197" s="903"/>
      <c r="V197" s="903"/>
      <c r="W197" s="903"/>
      <c r="X197" s="903"/>
      <c r="Y197" s="903"/>
      <c r="Z197" s="903"/>
      <c r="AA197" s="903"/>
      <c r="AB197" s="903"/>
      <c r="AC197" s="903"/>
      <c r="AD197" s="903"/>
      <c r="AE197" s="903"/>
      <c r="AF197" s="903"/>
      <c r="AG197" s="903">
        <v>2</v>
      </c>
      <c r="AH197" s="903"/>
      <c r="AI197" s="903"/>
      <c r="AJ197" s="903"/>
      <c r="AK197" s="903"/>
      <c r="AL197" s="903"/>
      <c r="AM197" s="903">
        <v>1</v>
      </c>
      <c r="AN197" s="903">
        <v>1</v>
      </c>
      <c r="AO197" s="441">
        <v>1</v>
      </c>
      <c r="AP197" s="907"/>
      <c r="AQ197" s="903">
        <v>5</v>
      </c>
      <c r="AR197" s="903"/>
      <c r="AS197" s="908" t="s">
        <v>3191</v>
      </c>
      <c r="AT197" s="903"/>
      <c r="AU197" s="903"/>
      <c r="AV197" s="903"/>
      <c r="AW197" s="903"/>
      <c r="AX197" s="903"/>
      <c r="AY197" s="902" t="s">
        <v>41</v>
      </c>
      <c r="AZ197" s="907" t="s">
        <v>137</v>
      </c>
      <c r="BA197" s="903"/>
      <c r="BB197" s="903">
        <v>1</v>
      </c>
      <c r="BC197" s="903"/>
      <c r="BD197" s="441"/>
      <c r="BE197" s="441"/>
      <c r="BF197" s="902"/>
      <c r="BG197" s="903">
        <v>5</v>
      </c>
      <c r="BH197" s="903">
        <v>2</v>
      </c>
      <c r="BI197" s="903"/>
      <c r="BJ197" s="903">
        <v>3</v>
      </c>
      <c r="BK197" s="903"/>
      <c r="BL197" s="903"/>
      <c r="BM197" s="903">
        <v>1</v>
      </c>
      <c r="BN197" s="903">
        <v>26</v>
      </c>
      <c r="BO197" s="903"/>
      <c r="BP197" s="902" t="s">
        <v>41</v>
      </c>
      <c r="BQ197" s="909">
        <v>1</v>
      </c>
      <c r="BR197" s="908">
        <v>0.08</v>
      </c>
      <c r="BS197" s="902" t="s">
        <v>3192</v>
      </c>
      <c r="BT197" s="416">
        <v>1</v>
      </c>
      <c r="BU197" s="416">
        <v>1</v>
      </c>
      <c r="BV197" s="418"/>
      <c r="BW197" s="416">
        <v>1</v>
      </c>
      <c r="BX197" s="441"/>
      <c r="BY197" s="441"/>
      <c r="BZ197" s="441"/>
      <c r="CA197" s="441"/>
      <c r="CB197" s="441"/>
      <c r="CC197" s="693"/>
      <c r="CD197" s="441"/>
      <c r="CE197" s="910" t="str">
        <f>IFERROR(WWWW[[#This Row],['#_Water sources passed]]/WWWW[[#This Row],['#_Water sources tested for fecal coliform ]],"no test")</f>
        <v>no test</v>
      </c>
      <c r="CF197" s="908" t="str">
        <f>IFERROR(WWWW[[#This Row],['#_Household passed]]/WWWW[[#This Row],['#_Household water samples tested for fecal coliform]],"no test")</f>
        <v>no test</v>
      </c>
      <c r="CG197" s="909" t="str">
        <f>IF(AND(WWWW[[#This Row],[% of water sources passed]]="no test",WWWW[[#This Row],[% Household passed]]="no test"),"No Test","Tested")</f>
        <v>No Test</v>
      </c>
      <c r="CH197" s="909">
        <f>WWWW[[#This Row],['#_Constructed/existing protected hand dug well]]-WWWW[[#This Row],['#_Non-functional protected hand dug well]]</f>
        <v>1</v>
      </c>
      <c r="CI197" s="909">
        <f>(WWWW[[#This Row],['#_Constructed/Existing tube wells/boreholes/handpumps_WASH_agency]]+WWWW[[#This Row],['#_Non-Cluster partner water tube-wells/boreholes/handpumps]])-WWWW[[#This Row],['#_Non-functional tube wells/boreholes/handpumps]]</f>
        <v>0</v>
      </c>
      <c r="CJ197" s="909">
        <f>WWWW[[#This Row],['#_Constructed/Existingwater storage tank with gravity fed reticulation system]]-WWWW[[#This Row],['#_Non-functional storage tank gravity fed reticulation system]]</f>
        <v>0</v>
      </c>
      <c r="CK197" s="909">
        <f>(WWWW[[#This Row],['#_Water_Liters_supplied_by_Water boating or water trucking]]/90)/15</f>
        <v>0</v>
      </c>
      <c r="CL197" s="909">
        <f>WWWW[[#This Row],['#_Water_Liters_from_Constructed/Existing water distribution system from river or natural spring]]/90/15</f>
        <v>0</v>
      </c>
      <c r="CM197" s="417">
        <f>IF(WWWW[[#This Row],['#_of water points in TLS/CFS]]*500&gt;WWWW[[#This Row],[Total PoP ]],WWWW[[#This Row],[Total PoP ]],WWWW[[#This Row],['#_of water points in TLS/CFS]]*500)</f>
        <v>101</v>
      </c>
      <c r="CN197" s="417">
        <f>IF(WWWW[[#This Row],['#_of water points in THF]]*500&gt;WWWW[[#This Row],[Total PoP ]],WWWW[[#This Row],[Total PoP ]],WWWW[[#This Row],['#_of water points in THF]]*500)</f>
        <v>101</v>
      </c>
      <c r="CO197" s="417"/>
      <c r="CP197"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97"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97" s="908">
        <f>IF(WWWW[[#This Row],[Location Type 1]]="Village",WWWW[[#This Row],[Access to safe drinking water for Village]],WWWW[[#This Row],[Access to safe drinking water for Camp]])</f>
        <v>1</v>
      </c>
      <c r="CS197" s="906">
        <f>WWWW[[#This Row],[%Equitable and continuous access to sufficient quantity of safe drinking water]]*WWWW[[#This Row],[Total PoP ]]</f>
        <v>101</v>
      </c>
      <c r="CT197" s="908">
        <f>IF((WWWW[[#This Row],['#_Constructed/Existing protected/fenced ponds]]*250)/WWWW[[#This Row],[Total PoP ]]&gt;1,1,(WWWW[[#This Row],['#_Constructed/Existing protected/fenced ponds]]*250)/WWWW[[#This Row],[Total PoP ]])</f>
        <v>0</v>
      </c>
      <c r="CU197" s="906">
        <f>WWWW[[#This Row],[% Access to unimproved water points]]*WWWW[[#This Row],[Total PoP ]]</f>
        <v>0</v>
      </c>
      <c r="CV197"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97"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101</v>
      </c>
      <c r="CX197" s="906">
        <f>WWWW[[#This Row],[HRP1]]/500</f>
        <v>0.20200000000000001</v>
      </c>
      <c r="CY197" s="911">
        <f>1-WWWW[[#This Row],[% Equitable and continuous access to sufficient quantity of domestic water]]</f>
        <v>0</v>
      </c>
      <c r="CZ197" s="906">
        <f>WWWW[[#This Row],[%equitable and continuous access to sufficient quantity of safe drinking and domestic water''s GAP]]*WWWW[[#This Row],[Total PoP ]]</f>
        <v>0</v>
      </c>
      <c r="DA197" s="909">
        <f>IF(WWWW[[#This Row],[Total required water points]]-WWWW[[#This Row],['#Water points coverage]]&lt;0,0,WWWW[[#This Row],[Total required water points]]-WWWW[[#This Row],['#Water points coverage]])</f>
        <v>0.79800000000000004</v>
      </c>
      <c r="DB197" s="909">
        <f>ROUND(IF(WWWW[[#This Row],[Total PoP ]]&lt;500,1,WWWW[[#This Row],[Total PoP ]]/500),0)</f>
        <v>1</v>
      </c>
      <c r="DC197" s="909">
        <f>(WWWW[[#This Row],['#_Constructed latrines_by_WASHAgencies]]+WWWW[[#This Row],['#_Non Cluster partner latrines]])-WWWW[[#This Row],['#_Non-functional latrines]]</f>
        <v>5</v>
      </c>
      <c r="DD197" s="615">
        <f>WWWW[[#This Row],[HRP2]]/WWWW[[#This Row],[Total PoP ]]</f>
        <v>0.99009900990099009</v>
      </c>
      <c r="DE197"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197"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97"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7" s="417">
        <f>IF(WWWW[[#This Row],['# of functional latrines in THF supported by WASH partners during the reporting period2]]="",0,WWWW[[#This Row],['# of functional latrines in THF supported by WASH partners during the reporting period2]]*50)</f>
        <v>0</v>
      </c>
      <c r="DI197" s="909">
        <f>ROUND(IF(WWWW[[#This Row],[Location Type 1]]="camp",WWWW[[#This Row],[Total PoP ]]/20,IF(WWWW[[#This Row],[Location Type 1]]="Temporary Location",WWWW[[#This Row],[Total PoP ]]/50,(WWWW[[#This Row],[Total PoP ]]/6))),0)</f>
        <v>5</v>
      </c>
      <c r="DJ197" s="909">
        <f>IF(WWWW[[#This Row],[Total required Latrines]]-(WWWW[[#This Row],['#_Constructed latrines_by_WASHAgencies]]+WWWW[[#This Row],['#_Non Cluster partner latrines]])&lt;0,0,WWWW[[#This Row],[Total required Latrines]]-(WWWW[[#This Row],['#_Constructed latrines_by_WASHAgencies]]+WWWW[[#This Row],['#_Non Cluster partner latrines]]))</f>
        <v>0</v>
      </c>
      <c r="DK197" s="911">
        <f>1-WWWW[[#This Row],[% people access to functioning Latrine]]</f>
        <v>9.9009900990099098E-3</v>
      </c>
      <c r="DL197" s="910">
        <f>IF(OR(WWWW[[#This Row],['#_Non-functional latrines]]="",WWWW[[#This Row],['#_Non-functional latrines]]=0),0,WWWW[[#This Row],['#_Non-functional latrines]]/(WWWW[[#This Row],['#_Constructed latrines_by_WASHAgencies]]+WWWW[[#This Row],['#_Non Cluster partner latrines]]))</f>
        <v>0</v>
      </c>
      <c r="DM197" s="906">
        <f>IF(500*(WWWW[[#This Row],['#_male hygiene promoters]]+WWWW[[#This Row],['#_female hygiene promoters]])&gt;WWWW[[#This Row],[Total PoP ]],WWWW[[#This Row],[Total PoP ]],500*(WWWW[[#This Row],['#_male hygiene promoters]]+WWWW[[#This Row],['#_female hygiene promoters]]))</f>
        <v>101</v>
      </c>
      <c r="DN197"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101</v>
      </c>
      <c r="DO197"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97" s="909">
        <f>IF(WWWW[[#This Row],['# People with access to soap]]&gt;WWWW[[#This Row],['# People with access to Sanity Pads]],WWWW[[#This Row],['# People with access to soap]],WWWW[[#This Row],['# People with access to Sanity Pads]])</f>
        <v>101</v>
      </c>
      <c r="DQ197" s="909">
        <f>IF(WWWW[[#This Row],['# people reached by regular dedicated hygiene promotion_5]]&gt;WWWW[[#This Row],['# People received regular supply of hygiene items_6]],WWWW[[#This Row],['# people reached by regular dedicated hygiene promotion_5]],WWWW[[#This Row],['# People received regular supply of hygiene items_6]])</f>
        <v>101</v>
      </c>
      <c r="DR197" s="911">
        <f>IF(WWWW[[#This Row],[HRP3]]/WWWW[[#This Row],[Total PoP ]]&gt;1,1,WWWW[[#This Row],[HRP3]]/WWWW[[#This Row],[Total PoP ]])</f>
        <v>1</v>
      </c>
      <c r="DS197" s="910">
        <f>1-WWWW[[#This Row],[Hygiene Coverage%]]</f>
        <v>0</v>
      </c>
      <c r="DT197" s="908">
        <f>WWWW[[#This Row],['# people reached by regular dedicated hygiene promotion_5]]/WWWW[[#This Row],[Total PoP ]]</f>
        <v>1</v>
      </c>
      <c r="DU197"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197"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97" s="909">
        <f>WWWW[[#This Row],['#_Constructed/Existing hand washing stations]]-WWWW[[#This Row],['#_Non-Functional_hand_washing_stations]]</f>
        <v>3</v>
      </c>
      <c r="DX197" s="906">
        <f>IF(WWWW[[#This Row],['# Functional hand washing stations during reporting period]]*20&gt;WWWW[[#This Row],[Total HH]],WWWW[[#This Row],[Total HH]],WWWW[[#This Row],['# Functional hand washing stations during reporting period]]*20)</f>
        <v>21</v>
      </c>
      <c r="DY197" s="906">
        <f>IF(WWWW[[#This Row],[Is sufficient soap available for TLS? (Yes/No)]]="yes",WWWW[[#This Row],['#_Constructed/Existing hand washing stations at TLS/CFS/THF]],0)</f>
        <v>1</v>
      </c>
      <c r="DZ197" s="421">
        <f>IF(WWWW[[#This Row],['# Functional hand washing stations during reporting period]]*100&gt;WWWW[[#This Row],[Total PoP ]],WWWW[[#This Row],[Total PoP ]],WWWW[[#This Row],['# Functional hand washing stations during reporting period]]*100)</f>
        <v>101</v>
      </c>
      <c r="EA197" s="421" t="str">
        <f>IF(OR(WWWW[[#This Row],['#_students at TLS_CFS]]="",WWWW[[#This Row],['#_students at TLS_CFS]]=0),"No","Yes")</f>
        <v>No</v>
      </c>
      <c r="EB19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97" s="566">
        <f>WWWW[[#This Row],[%_of_affected_people_surveyed_who_report_feeling_satistfied_with_the_latrine_design_and_sanitation_service]]*WWWW[[#This Row],[Total PoP ]]</f>
        <v>101</v>
      </c>
      <c r="ED197" s="566">
        <f>WWWW[[#This Row],[%_of_affected_people_surveyed_who_report_feeling_satistfied_with_the_water_point_design_and_water_service]]*WWWW[[#This Row],[Total PoP ]]</f>
        <v>101</v>
      </c>
      <c r="EE197" s="566">
        <f>WWWW[[#This Row],[%_of_complaints_received_that_result_in_timely_corrective_action_and_feedback_to_the_community]]*WWWW[[#This Row],[Total PoP ]]</f>
        <v>101</v>
      </c>
      <c r="EF19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101</v>
      </c>
      <c r="EG19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101</v>
      </c>
      <c r="EH19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101</v>
      </c>
      <c r="EI197" s="902" t="str">
        <f>VLOOKUP(WWWW[[#This Row],[Site Name]],SiteDB6[[Site Name]:[CCCM Management]],6,FALSE)</f>
        <v>Yes</v>
      </c>
      <c r="EJ197" s="902" t="str">
        <f>VLOOKUP(WWWW[[#This Row],[Site Name]],SiteDB6[[Site Name]:[CCCM Focal Agency]],7,FALSE)</f>
        <v>Shalom</v>
      </c>
      <c r="EK197" s="902" t="str">
        <f>VLOOKUP(WWWW[[#This Row],[Site Name]],SiteDB6[[Site Name]:[Location Type 1]],9,FALSE)</f>
        <v>Camp</v>
      </c>
      <c r="EL197" s="902" t="str">
        <f>VLOOKUP(WWWW[[#This Row],[Site Name]],SiteDB6[[Site Name]:[Type of Accommodation]],10,FALSE)</f>
        <v>Camp</v>
      </c>
      <c r="EM197" s="902" t="str">
        <f>VLOOKUP(WWWW[[#This Row],[Site Name]],SiteDB6[[Site Name]:[Ethnic or GCA/NGCA]],11,FALSE)</f>
        <v>GCA</v>
      </c>
      <c r="EN197" s="902">
        <f>VLOOKUP(WWWW[[#This Row],[Site Name]],SiteDB6[[Site Name]:[Lat]],12,FALSE)</f>
        <v>25.423817</v>
      </c>
      <c r="EO197" s="902">
        <f>VLOOKUP(WWWW[[#This Row],[Site Name]],SiteDB6[[Site Name]:[Long]],13,FALSE)</f>
        <v>97.418004999999994</v>
      </c>
      <c r="EP197" s="902" t="str">
        <f>VLOOKUP(WWWW[[#This Row],[Site Name]],SiteDB6[[Site Name]:[Pcode]],3,FALSE)</f>
        <v>MMR001CMP007</v>
      </c>
      <c r="EQ197" s="907" t="str">
        <f t="shared" si="2"/>
        <v>Covered</v>
      </c>
      <c r="ER197" s="907" t="s">
        <v>3126</v>
      </c>
      <c r="ES197" s="907" t="s">
        <v>3126</v>
      </c>
      <c r="ET197" s="902">
        <f>VLOOKUP(WWWW[[#This Row],[Site Name]],SiteDB6[[Site Name]:[Pop
(Kachin/Shan-CCCM as of May 2023)]],16,FALSE)</f>
        <v>26</v>
      </c>
      <c r="EU197" s="902">
        <f>VLOOKUP(WWWW[[#This Row],[Site Name]],SiteDB6[[Site Name]:[Pop
(Kachin/Shan-CCCM as of May 2023)]],17,FALSE)</f>
        <v>124</v>
      </c>
    </row>
    <row r="198" spans="1:151" hidden="1">
      <c r="A198" s="900" t="s">
        <v>2961</v>
      </c>
      <c r="B198" s="900" t="s">
        <v>242</v>
      </c>
      <c r="C198" s="901" t="s">
        <v>242</v>
      </c>
      <c r="D198" s="901" t="s">
        <v>3184</v>
      </c>
      <c r="E198" s="901" t="s">
        <v>37</v>
      </c>
      <c r="F198" s="901" t="s">
        <v>159</v>
      </c>
      <c r="G198" s="902" t="str">
        <f>VLOOKUP(WWWW[[#This Row],[Site Name]],SiteDB6[[Site Name]:[Location Type]],8,FALSE)</f>
        <v>Camp</v>
      </c>
      <c r="H198" s="901" t="s">
        <v>266</v>
      </c>
      <c r="I198" s="903">
        <v>56</v>
      </c>
      <c r="J198" s="903">
        <v>268</v>
      </c>
      <c r="K198" s="904">
        <v>44927</v>
      </c>
      <c r="L198" s="905">
        <v>45291</v>
      </c>
      <c r="M198" s="903"/>
      <c r="N198" s="903"/>
      <c r="O198" s="903">
        <v>1</v>
      </c>
      <c r="P198" s="903"/>
      <c r="Q198" s="906" t="s">
        <v>41</v>
      </c>
      <c r="R198" s="903">
        <v>3</v>
      </c>
      <c r="S198" s="903">
        <v>3</v>
      </c>
      <c r="T198" s="441">
        <v>1</v>
      </c>
      <c r="U198" s="903"/>
      <c r="V198" s="903"/>
      <c r="W198" s="903">
        <v>5</v>
      </c>
      <c r="X198" s="903"/>
      <c r="Y198" s="903"/>
      <c r="Z198" s="903"/>
      <c r="AA198" s="903"/>
      <c r="AB198" s="903"/>
      <c r="AC198" s="903"/>
      <c r="AD198" s="903"/>
      <c r="AE198" s="903"/>
      <c r="AF198" s="903"/>
      <c r="AG198" s="903">
        <v>2</v>
      </c>
      <c r="AH198" s="903">
        <v>4</v>
      </c>
      <c r="AI198" s="903"/>
      <c r="AJ198" s="903"/>
      <c r="AK198" s="903"/>
      <c r="AL198" s="903"/>
      <c r="AM198" s="903">
        <v>2</v>
      </c>
      <c r="AN198" s="903">
        <v>2</v>
      </c>
      <c r="AO198" s="441">
        <v>2</v>
      </c>
      <c r="AP198" s="907"/>
      <c r="AQ198" s="903">
        <v>19</v>
      </c>
      <c r="AR198" s="903"/>
      <c r="AS198" s="908"/>
      <c r="AT198" s="903"/>
      <c r="AU198" s="903"/>
      <c r="AV198" s="903">
        <v>3</v>
      </c>
      <c r="AW198" s="903"/>
      <c r="AX198" s="903"/>
      <c r="AY198" s="902" t="s">
        <v>41</v>
      </c>
      <c r="AZ198" s="907" t="s">
        <v>137</v>
      </c>
      <c r="BA198" s="903"/>
      <c r="BB198" s="903">
        <v>1</v>
      </c>
      <c r="BC198" s="903"/>
      <c r="BD198" s="441"/>
      <c r="BE198" s="441">
        <v>6</v>
      </c>
      <c r="BF198" s="902"/>
      <c r="BG198" s="903">
        <v>4</v>
      </c>
      <c r="BH198" s="903"/>
      <c r="BI198" s="903"/>
      <c r="BJ198" s="903">
        <v>4</v>
      </c>
      <c r="BK198" s="903">
        <v>4</v>
      </c>
      <c r="BL198" s="903"/>
      <c r="BM198" s="903">
        <v>1</v>
      </c>
      <c r="BN198" s="903"/>
      <c r="BO198" s="903"/>
      <c r="BP198" s="902" t="s">
        <v>41</v>
      </c>
      <c r="BQ198" s="909">
        <v>1</v>
      </c>
      <c r="BR198" s="908">
        <v>0.6</v>
      </c>
      <c r="BS198" s="902"/>
      <c r="BT198" s="416">
        <v>0.6</v>
      </c>
      <c r="BU198" s="416">
        <v>0.7</v>
      </c>
      <c r="BV198" s="418">
        <v>10</v>
      </c>
      <c r="BW198" s="416">
        <v>0.6</v>
      </c>
      <c r="BX198" s="441"/>
      <c r="BY198" s="441"/>
      <c r="BZ198" s="441"/>
      <c r="CA198" s="441"/>
      <c r="CB198" s="441"/>
      <c r="CC198" s="693"/>
      <c r="CD198" s="441"/>
      <c r="CE198" s="910" t="str">
        <f>IFERROR(WWWW[[#This Row],['#_Water sources passed]]/WWWW[[#This Row],['#_Water sources tested for fecal coliform ]],"no test")</f>
        <v>no test</v>
      </c>
      <c r="CF198" s="908" t="str">
        <f>IFERROR(WWWW[[#This Row],['#_Household passed]]/WWWW[[#This Row],['#_Household water samples tested for fecal coliform]],"no test")</f>
        <v>no test</v>
      </c>
      <c r="CG198" s="909" t="str">
        <f>IF(AND(WWWW[[#This Row],[% of water sources passed]]="no test",WWWW[[#This Row],[% Household passed]]="no test"),"No Test","Tested")</f>
        <v>No Test</v>
      </c>
      <c r="CH198" s="909">
        <f>WWWW[[#This Row],['#_Constructed/existing protected hand dug well]]-WWWW[[#This Row],['#_Non-functional protected hand dug well]]</f>
        <v>1</v>
      </c>
      <c r="CI198" s="909">
        <f>(WWWW[[#This Row],['#_Constructed/Existing tube wells/boreholes/handpumps_WASH_agency]]+WWWW[[#This Row],['#_Non-Cluster partner water tube-wells/boreholes/handpumps]])-WWWW[[#This Row],['#_Non-functional tube wells/boreholes/handpumps]]</f>
        <v>5</v>
      </c>
      <c r="CJ198" s="909">
        <f>WWWW[[#This Row],['#_Constructed/Existingwater storage tank with gravity fed reticulation system]]-WWWW[[#This Row],['#_Non-functional storage tank gravity fed reticulation system]]</f>
        <v>0</v>
      </c>
      <c r="CK198" s="909">
        <f>(WWWW[[#This Row],['#_Water_Liters_supplied_by_Water boating or water trucking]]/90)/15</f>
        <v>0</v>
      </c>
      <c r="CL198" s="909">
        <f>WWWW[[#This Row],['#_Water_Liters_from_Constructed/Existing water distribution system from river or natural spring]]/90/15</f>
        <v>0</v>
      </c>
      <c r="CM198" s="417">
        <f>IF(WWWW[[#This Row],['#_of water points in TLS/CFS]]*500&gt;WWWW[[#This Row],[Total PoP ]],WWWW[[#This Row],[Total PoP ]],WWWW[[#This Row],['#_of water points in TLS/CFS]]*500)</f>
        <v>268</v>
      </c>
      <c r="CN198" s="417">
        <f>IF(WWWW[[#This Row],['#_of water points in THF]]*500&gt;WWWW[[#This Row],[Total PoP ]],WWWW[[#This Row],[Total PoP ]],WWWW[[#This Row],['#_of water points in THF]]*500)</f>
        <v>268</v>
      </c>
      <c r="CO198" s="417"/>
      <c r="CP198"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198"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198" s="908">
        <f>IF(WWWW[[#This Row],[Location Type 1]]="Village",WWWW[[#This Row],[Access to safe drinking water for Village]],WWWW[[#This Row],[Access to safe drinking water for Camp]])</f>
        <v>1</v>
      </c>
      <c r="CS198" s="906">
        <f>WWWW[[#This Row],[%Equitable and continuous access to sufficient quantity of safe drinking water]]*WWWW[[#This Row],[Total PoP ]]</f>
        <v>268</v>
      </c>
      <c r="CT198" s="908">
        <f>IF((WWWW[[#This Row],['#_Constructed/Existing protected/fenced ponds]]*250)/WWWW[[#This Row],[Total PoP ]]&gt;1,1,(WWWW[[#This Row],['#_Constructed/Existing protected/fenced ponds]]*250)/WWWW[[#This Row],[Total PoP ]])</f>
        <v>0</v>
      </c>
      <c r="CU198" s="906">
        <f>WWWW[[#This Row],[% Access to unimproved water points]]*WWWW[[#This Row],[Total PoP ]]</f>
        <v>0</v>
      </c>
      <c r="CV198"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198"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268</v>
      </c>
      <c r="CX198" s="906">
        <f>WWWW[[#This Row],[HRP1]]/500</f>
        <v>0.53600000000000003</v>
      </c>
      <c r="CY198" s="911">
        <f>1-WWWW[[#This Row],[% Equitable and continuous access to sufficient quantity of domestic water]]</f>
        <v>0</v>
      </c>
      <c r="CZ198" s="906">
        <f>WWWW[[#This Row],[%equitable and continuous access to sufficient quantity of safe drinking and domestic water''s GAP]]*WWWW[[#This Row],[Total PoP ]]</f>
        <v>0</v>
      </c>
      <c r="DA198" s="909">
        <f>IF(WWWW[[#This Row],[Total required water points]]-WWWW[[#This Row],['#Water points coverage]]&lt;0,0,WWWW[[#This Row],[Total required water points]]-WWWW[[#This Row],['#Water points coverage]])</f>
        <v>0.46399999999999997</v>
      </c>
      <c r="DB198" s="909">
        <f>ROUND(IF(WWWW[[#This Row],[Total PoP ]]&lt;500,1,WWWW[[#This Row],[Total PoP ]]/500),0)</f>
        <v>1</v>
      </c>
      <c r="DC198" s="909">
        <f>(WWWW[[#This Row],['#_Constructed latrines_by_WASHAgencies]]+WWWW[[#This Row],['#_Non Cluster partner latrines]])-WWWW[[#This Row],['#_Non-functional latrines]]</f>
        <v>19</v>
      </c>
      <c r="DD198" s="615">
        <f>WWWW[[#This Row],[HRP2]]/WWWW[[#This Row],[Total PoP ]]</f>
        <v>1</v>
      </c>
      <c r="DE198"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268</v>
      </c>
      <c r="DF198"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DG198"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8" s="417">
        <f>IF(WWWW[[#This Row],['# of functional latrines in THF supported by WASH partners during the reporting period2]]="",0,WWWW[[#This Row],['# of functional latrines in THF supported by WASH partners during the reporting period2]]*50)</f>
        <v>0</v>
      </c>
      <c r="DI198" s="909">
        <f>ROUND(IF(WWWW[[#This Row],[Location Type 1]]="camp",WWWW[[#This Row],[Total PoP ]]/20,IF(WWWW[[#This Row],[Location Type 1]]="Temporary Location",WWWW[[#This Row],[Total PoP ]]/50,(WWWW[[#This Row],[Total PoP ]]/6))),0)</f>
        <v>13</v>
      </c>
      <c r="DJ198" s="909">
        <f>IF(WWWW[[#This Row],[Total required Latrines]]-(WWWW[[#This Row],['#_Constructed latrines_by_WASHAgencies]]+WWWW[[#This Row],['#_Non Cluster partner latrines]])&lt;0,0,WWWW[[#This Row],[Total required Latrines]]-(WWWW[[#This Row],['#_Constructed latrines_by_WASHAgencies]]+WWWW[[#This Row],['#_Non Cluster partner latrines]]))</f>
        <v>0</v>
      </c>
      <c r="DK198" s="911">
        <f>1-WWWW[[#This Row],[% people access to functioning Latrine]]</f>
        <v>0</v>
      </c>
      <c r="DL198" s="910">
        <f>IF(OR(WWWW[[#This Row],['#_Non-functional latrines]]="",WWWW[[#This Row],['#_Non-functional latrines]]=0),0,WWWW[[#This Row],['#_Non-functional latrines]]/(WWWW[[#This Row],['#_Constructed latrines_by_WASHAgencies]]+WWWW[[#This Row],['#_Non Cluster partner latrines]]))</f>
        <v>0</v>
      </c>
      <c r="DM198" s="906">
        <f>IF(500*(WWWW[[#This Row],['#_male hygiene promoters]]+WWWW[[#This Row],['#_female hygiene promoters]])&gt;WWWW[[#This Row],[Total PoP ]],WWWW[[#This Row],[Total PoP ]],500*(WWWW[[#This Row],['#_male hygiene promoters]]+WWWW[[#This Row],['#_female hygiene promoters]]))</f>
        <v>268</v>
      </c>
      <c r="DN198"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98"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98" s="909">
        <f>IF(WWWW[[#This Row],['# People with access to soap]]&gt;WWWW[[#This Row],['# People with access to Sanity Pads]],WWWW[[#This Row],['# People with access to soap]],WWWW[[#This Row],['# People with access to Sanity Pads]])</f>
        <v>0</v>
      </c>
      <c r="DQ198" s="909">
        <f>IF(WWWW[[#This Row],['# people reached by regular dedicated hygiene promotion_5]]&gt;WWWW[[#This Row],['# People received regular supply of hygiene items_6]],WWWW[[#This Row],['# people reached by regular dedicated hygiene promotion_5]],WWWW[[#This Row],['# People received regular supply of hygiene items_6]])</f>
        <v>268</v>
      </c>
      <c r="DR198" s="911">
        <f>IF(WWWW[[#This Row],[HRP3]]/WWWW[[#This Row],[Total PoP ]]&gt;1,1,WWWW[[#This Row],[HRP3]]/WWWW[[#This Row],[Total PoP ]])</f>
        <v>1</v>
      </c>
      <c r="DS198" s="910">
        <f>1-WWWW[[#This Row],[Hygiene Coverage%]]</f>
        <v>0</v>
      </c>
      <c r="DT198" s="908">
        <f>WWWW[[#This Row],['# people reached by regular dedicated hygiene promotion_5]]/WWWW[[#This Row],[Total PoP ]]</f>
        <v>1</v>
      </c>
      <c r="DU198"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98"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98" s="909">
        <f>WWWW[[#This Row],['#_Constructed/Existing hand washing stations]]-WWWW[[#This Row],['#_Non-Functional_hand_washing_stations]]</f>
        <v>4</v>
      </c>
      <c r="DX198" s="906">
        <f>IF(WWWW[[#This Row],['# Functional hand washing stations during reporting period]]*20&gt;WWWW[[#This Row],[Total HH]],WWWW[[#This Row],[Total HH]],WWWW[[#This Row],['# Functional hand washing stations during reporting period]]*20)</f>
        <v>56</v>
      </c>
      <c r="DY198" s="906">
        <f>IF(WWWW[[#This Row],[Is sufficient soap available for TLS? (Yes/No)]]="yes",WWWW[[#This Row],['#_Constructed/Existing hand washing stations at TLS/CFS/THF]],0)</f>
        <v>2</v>
      </c>
      <c r="DZ198" s="421">
        <f>IF(WWWW[[#This Row],['# Functional hand washing stations during reporting period]]*100&gt;WWWW[[#This Row],[Total PoP ]],WWWW[[#This Row],[Total PoP ]],WWWW[[#This Row],['# Functional hand washing stations during reporting period]]*100)</f>
        <v>268</v>
      </c>
      <c r="EA198" s="421" t="str">
        <f>IF(OR(WWWW[[#This Row],['#_students at TLS_CFS]]="",WWWW[[#This Row],['#_students at TLS_CFS]]=0),"No","Yes")</f>
        <v>No</v>
      </c>
      <c r="EB198" s="615">
        <f>IF(WWWW[[#This Row],['#_of_affected_people_surveyed_who_report_feeling_informed_about_the_different_WASH_services_available_to_them]]="","",WWWW[[#This Row],['#_of_affected_people_surveyed_who_report_feeling_informed_about_the_different_WASH_services_available_to_them]]/WWWW[[#This Row],[Total PoP ]])</f>
        <v>3.7313432835820892E-2</v>
      </c>
      <c r="EC198" s="566">
        <f>WWWW[[#This Row],[%_of_affected_people_surveyed_who_report_feeling_satistfied_with_the_latrine_design_and_sanitation_service]]*WWWW[[#This Row],[Total PoP ]]</f>
        <v>160.79999999999998</v>
      </c>
      <c r="ED198" s="566">
        <f>WWWW[[#This Row],[%_of_affected_people_surveyed_who_report_feeling_satistfied_with_the_water_point_design_and_water_service]]*WWWW[[#This Row],[Total PoP ]]</f>
        <v>187.6</v>
      </c>
      <c r="EE198" s="566">
        <f>WWWW[[#This Row],[%_of_complaints_received_that_result_in_timely_corrective_action_and_feedback_to_the_community]]*WWWW[[#This Row],[Total PoP ]]</f>
        <v>160.79999999999998</v>
      </c>
      <c r="EF19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187.6</v>
      </c>
      <c r="EG19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268</v>
      </c>
      <c r="EH19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268</v>
      </c>
      <c r="EI198" s="902" t="str">
        <f>VLOOKUP(WWWW[[#This Row],[Site Name]],SiteDB6[[Site Name]:[CCCM Management]],6,FALSE)</f>
        <v>Yes</v>
      </c>
      <c r="EJ198" s="902" t="str">
        <f>VLOOKUP(WWWW[[#This Row],[Site Name]],SiteDB6[[Site Name]:[CCCM Focal Agency]],7,FALSE)</f>
        <v>Shalom</v>
      </c>
      <c r="EK198" s="902" t="str">
        <f>VLOOKUP(WWWW[[#This Row],[Site Name]],SiteDB6[[Site Name]:[Location Type 1]],9,FALSE)</f>
        <v>Camp</v>
      </c>
      <c r="EL198" s="902" t="str">
        <f>VLOOKUP(WWWW[[#This Row],[Site Name]],SiteDB6[[Site Name]:[Type of Accommodation]],10,FALSE)</f>
        <v>Camp</v>
      </c>
      <c r="EM198" s="902" t="str">
        <f>VLOOKUP(WWWW[[#This Row],[Site Name]],SiteDB6[[Site Name]:[Ethnic or GCA/NGCA]],11,FALSE)</f>
        <v>GCA</v>
      </c>
      <c r="EN198" s="902">
        <f>VLOOKUP(WWWW[[#This Row],[Site Name]],SiteDB6[[Site Name]:[Lat]],12,FALSE)</f>
        <v>25.423209</v>
      </c>
      <c r="EO198" s="902">
        <f>VLOOKUP(WWWW[[#This Row],[Site Name]],SiteDB6[[Site Name]:[Long]],13,FALSE)</f>
        <v>97.379987</v>
      </c>
      <c r="EP198" s="902" t="str">
        <f>VLOOKUP(WWWW[[#This Row],[Site Name]],SiteDB6[[Site Name]:[Pcode]],3,FALSE)</f>
        <v>MMR001CMP023</v>
      </c>
      <c r="EQ198" s="907" t="str">
        <f t="shared" si="2"/>
        <v>Covered</v>
      </c>
      <c r="ER198" s="907" t="s">
        <v>3126</v>
      </c>
      <c r="ES198" s="907" t="s">
        <v>3126</v>
      </c>
      <c r="ET198" s="902">
        <f>VLOOKUP(WWWW[[#This Row],[Site Name]],SiteDB6[[Site Name]:[Pop
(Kachin/Shan-CCCM as of May 2023)]],16,FALSE)</f>
        <v>56</v>
      </c>
      <c r="EU198" s="902">
        <f>VLOOKUP(WWWW[[#This Row],[Site Name]],SiteDB6[[Site Name]:[Pop
(Kachin/Shan-CCCM as of May 2023)]],17,FALSE)</f>
        <v>269</v>
      </c>
    </row>
    <row r="199" spans="1:151" hidden="1">
      <c r="A199" s="900" t="s">
        <v>2961</v>
      </c>
      <c r="B199" s="900" t="s">
        <v>242</v>
      </c>
      <c r="C199" s="901" t="s">
        <v>242</v>
      </c>
      <c r="D199" s="901" t="s">
        <v>3184</v>
      </c>
      <c r="E199" s="901" t="s">
        <v>37</v>
      </c>
      <c r="F199" s="901" t="s">
        <v>142</v>
      </c>
      <c r="G199" s="902" t="str">
        <f>VLOOKUP(WWWW[[#This Row],[Site Name]],SiteDB6[[Site Name]:[Location Type]],8,FALSE)</f>
        <v>Camp</v>
      </c>
      <c r="H199" s="901" t="s">
        <v>268</v>
      </c>
      <c r="I199" s="903">
        <v>59</v>
      </c>
      <c r="J199" s="903">
        <v>298</v>
      </c>
      <c r="K199" s="904">
        <v>44927</v>
      </c>
      <c r="L199" s="905">
        <v>45291</v>
      </c>
      <c r="M199" s="903"/>
      <c r="N199" s="903"/>
      <c r="O199" s="903">
        <v>1</v>
      </c>
      <c r="P199" s="903"/>
      <c r="Q199" s="906" t="s">
        <v>41</v>
      </c>
      <c r="R199" s="903">
        <v>3</v>
      </c>
      <c r="S199" s="903">
        <v>6</v>
      </c>
      <c r="T199" s="441">
        <v>1</v>
      </c>
      <c r="U199" s="903">
        <v>1</v>
      </c>
      <c r="V199" s="903"/>
      <c r="W199" s="903">
        <v>1</v>
      </c>
      <c r="X199" s="903"/>
      <c r="Y199" s="903">
        <v>1</v>
      </c>
      <c r="Z199" s="903">
        <v>1</v>
      </c>
      <c r="AA199" s="903"/>
      <c r="AB199" s="903"/>
      <c r="AC199" s="903"/>
      <c r="AD199" s="903"/>
      <c r="AE199" s="903"/>
      <c r="AF199" s="903"/>
      <c r="AG199" s="903">
        <v>2</v>
      </c>
      <c r="AH199" s="903"/>
      <c r="AI199" s="903"/>
      <c r="AJ199" s="903"/>
      <c r="AK199" s="903"/>
      <c r="AL199" s="903"/>
      <c r="AM199" s="903">
        <v>2</v>
      </c>
      <c r="AN199" s="903"/>
      <c r="AO199" s="441"/>
      <c r="AP199" s="907"/>
      <c r="AQ199" s="903">
        <v>26</v>
      </c>
      <c r="AR199" s="903">
        <v>2</v>
      </c>
      <c r="AS199" s="908" t="s">
        <v>2886</v>
      </c>
      <c r="AT199" s="903">
        <v>26</v>
      </c>
      <c r="AU199" s="903"/>
      <c r="AV199" s="903"/>
      <c r="AW199" s="903"/>
      <c r="AX199" s="903"/>
      <c r="AY199" s="902" t="s">
        <v>41</v>
      </c>
      <c r="AZ199" s="907" t="s">
        <v>137</v>
      </c>
      <c r="BA199" s="903"/>
      <c r="BB199" s="903"/>
      <c r="BC199" s="903"/>
      <c r="BD199" s="441"/>
      <c r="BE199" s="441"/>
      <c r="BF199" s="902"/>
      <c r="BG199" s="903">
        <v>2</v>
      </c>
      <c r="BH199" s="903"/>
      <c r="BI199" s="903"/>
      <c r="BJ199" s="903"/>
      <c r="BK199" s="903"/>
      <c r="BL199" s="903"/>
      <c r="BM199" s="903">
        <v>1</v>
      </c>
      <c r="BN199" s="903"/>
      <c r="BO199" s="903"/>
      <c r="BP199" s="902"/>
      <c r="BQ199" s="909">
        <v>1</v>
      </c>
      <c r="BR199" s="908">
        <v>0.5</v>
      </c>
      <c r="BS199" s="902"/>
      <c r="BT199" s="416">
        <v>1</v>
      </c>
      <c r="BU199" s="416">
        <v>0.9</v>
      </c>
      <c r="BV199" s="418"/>
      <c r="BW199" s="416">
        <v>1</v>
      </c>
      <c r="BX199" s="441"/>
      <c r="BY199" s="441"/>
      <c r="BZ199" s="441"/>
      <c r="CA199" s="441"/>
      <c r="CB199" s="441"/>
      <c r="CC199" s="693"/>
      <c r="CD199" s="441"/>
      <c r="CE199" s="910" t="str">
        <f>IFERROR(WWWW[[#This Row],['#_Water sources passed]]/WWWW[[#This Row],['#_Water sources tested for fecal coliform ]],"no test")</f>
        <v>no test</v>
      </c>
      <c r="CF199" s="908" t="str">
        <f>IFERROR(WWWW[[#This Row],['#_Household passed]]/WWWW[[#This Row],['#_Household water samples tested for fecal coliform]],"no test")</f>
        <v>no test</v>
      </c>
      <c r="CG199" s="909" t="str">
        <f>IF(AND(WWWW[[#This Row],[% of water sources passed]]="no test",WWWW[[#This Row],[% Household passed]]="no test"),"No Test","Tested")</f>
        <v>No Test</v>
      </c>
      <c r="CH199" s="909">
        <f>WWWW[[#This Row],['#_Constructed/existing protected hand dug well]]-WWWW[[#This Row],['#_Non-functional protected hand dug well]]</f>
        <v>0</v>
      </c>
      <c r="CI199" s="909">
        <f>(WWWW[[#This Row],['#_Constructed/Existing tube wells/boreholes/handpumps_WASH_agency]]+WWWW[[#This Row],['#_Non-Cluster partner water tube-wells/boreholes/handpumps]])-WWWW[[#This Row],['#_Non-functional tube wells/boreholes/handpumps]]</f>
        <v>0</v>
      </c>
      <c r="CJ199" s="909">
        <f>WWWW[[#This Row],['#_Constructed/Existingwater storage tank with gravity fed reticulation system]]-WWWW[[#This Row],['#_Non-functional storage tank gravity fed reticulation system]]</f>
        <v>0</v>
      </c>
      <c r="CK199" s="909">
        <f>(WWWW[[#This Row],['#_Water_Liters_supplied_by_Water boating or water trucking]]/90)/15</f>
        <v>0</v>
      </c>
      <c r="CL199" s="909">
        <f>WWWW[[#This Row],['#_Water_Liters_from_Constructed/Existing water distribution system from river or natural spring]]/90/15</f>
        <v>0</v>
      </c>
      <c r="CM199" s="417">
        <f>IF(WWWW[[#This Row],['#_of water points in TLS/CFS]]*500&gt;WWWW[[#This Row],[Total PoP ]],WWWW[[#This Row],[Total PoP ]],WWWW[[#This Row],['#_of water points in TLS/CFS]]*500)</f>
        <v>0</v>
      </c>
      <c r="CN199" s="417">
        <f>IF(WWWW[[#This Row],['#_of water points in THF]]*500&gt;WWWW[[#This Row],[Total PoP ]],WWWW[[#This Row],[Total PoP ]],WWWW[[#This Row],['#_of water points in THF]]*500)</f>
        <v>0</v>
      </c>
      <c r="CO199" s="417"/>
      <c r="CP199"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199"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199" s="908">
        <f>IF(WWWW[[#This Row],[Location Type 1]]="Village",WWWW[[#This Row],[Access to safe drinking water for Village]],WWWW[[#This Row],[Access to safe drinking water for Camp]])</f>
        <v>0</v>
      </c>
      <c r="CS199" s="906">
        <f>WWWW[[#This Row],[%Equitable and continuous access to sufficient quantity of safe drinking water]]*WWWW[[#This Row],[Total PoP ]]</f>
        <v>0</v>
      </c>
      <c r="CT199" s="908">
        <f>IF((WWWW[[#This Row],['#_Constructed/Existing protected/fenced ponds]]*250)/WWWW[[#This Row],[Total PoP ]]&gt;1,1,(WWWW[[#This Row],['#_Constructed/Existing protected/fenced ponds]]*250)/WWWW[[#This Row],[Total PoP ]])</f>
        <v>0</v>
      </c>
      <c r="CU199" s="906">
        <f>WWWW[[#This Row],[% Access to unimproved water points]]*WWWW[[#This Row],[Total PoP ]]</f>
        <v>0</v>
      </c>
      <c r="CV199"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199"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199" s="906">
        <f>WWWW[[#This Row],[HRP1]]/500</f>
        <v>0</v>
      </c>
      <c r="CY199" s="911">
        <f>1-WWWW[[#This Row],[% Equitable and continuous access to sufficient quantity of domestic water]]</f>
        <v>1</v>
      </c>
      <c r="CZ199" s="906">
        <f>WWWW[[#This Row],[%equitable and continuous access to sufficient quantity of safe drinking and domestic water''s GAP]]*WWWW[[#This Row],[Total PoP ]]</f>
        <v>298</v>
      </c>
      <c r="DA199" s="909">
        <f>IF(WWWW[[#This Row],[Total required water points]]-WWWW[[#This Row],['#Water points coverage]]&lt;0,0,WWWW[[#This Row],[Total required water points]]-WWWW[[#This Row],['#Water points coverage]])</f>
        <v>1</v>
      </c>
      <c r="DB199" s="909">
        <f>ROUND(IF(WWWW[[#This Row],[Total PoP ]]&lt;500,1,WWWW[[#This Row],[Total PoP ]]/500),0)</f>
        <v>1</v>
      </c>
      <c r="DC199" s="909">
        <f>(WWWW[[#This Row],['#_Constructed latrines_by_WASHAgencies]]+WWWW[[#This Row],['#_Non Cluster partner latrines]])-WWWW[[#This Row],['#_Non-functional latrines]]</f>
        <v>2</v>
      </c>
      <c r="DD199" s="615">
        <f>WWWW[[#This Row],[HRP2]]/WWWW[[#This Row],[Total PoP ]]</f>
        <v>0.13422818791946309</v>
      </c>
      <c r="DE199"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199"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199"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199" s="417">
        <f>IF(WWWW[[#This Row],['# of functional latrines in THF supported by WASH partners during the reporting period2]]="",0,WWWW[[#This Row],['# of functional latrines in THF supported by WASH partners during the reporting period2]]*50)</f>
        <v>0</v>
      </c>
      <c r="DI199" s="909">
        <f>ROUND(IF(WWWW[[#This Row],[Location Type 1]]="camp",WWWW[[#This Row],[Total PoP ]]/20,IF(WWWW[[#This Row],[Location Type 1]]="Temporary Location",WWWW[[#This Row],[Total PoP ]]/50,(WWWW[[#This Row],[Total PoP ]]/6))),0)</f>
        <v>15</v>
      </c>
      <c r="DJ199" s="909">
        <f>IF(WWWW[[#This Row],[Total required Latrines]]-(WWWW[[#This Row],['#_Constructed latrines_by_WASHAgencies]]+WWWW[[#This Row],['#_Non Cluster partner latrines]])&lt;0,0,WWWW[[#This Row],[Total required Latrines]]-(WWWW[[#This Row],['#_Constructed latrines_by_WASHAgencies]]+WWWW[[#This Row],['#_Non Cluster partner latrines]]))</f>
        <v>0</v>
      </c>
      <c r="DK199" s="911">
        <f>1-WWWW[[#This Row],[% people access to functioning Latrine]]</f>
        <v>0.86577181208053688</v>
      </c>
      <c r="DL199" s="910">
        <f>IF(OR(WWWW[[#This Row],['#_Non-functional latrines]]="",WWWW[[#This Row],['#_Non-functional latrines]]=0),0,WWWW[[#This Row],['#_Non-functional latrines]]/(WWWW[[#This Row],['#_Constructed latrines_by_WASHAgencies]]+WWWW[[#This Row],['#_Non Cluster partner latrines]]))</f>
        <v>0.9285714285714286</v>
      </c>
      <c r="DM199" s="906">
        <f>IF(500*(WWWW[[#This Row],['#_male hygiene promoters]]+WWWW[[#This Row],['#_female hygiene promoters]])&gt;WWWW[[#This Row],[Total PoP ]],WWWW[[#This Row],[Total PoP ]],500*(WWWW[[#This Row],['#_male hygiene promoters]]+WWWW[[#This Row],['#_female hygiene promoters]]))</f>
        <v>298</v>
      </c>
      <c r="DN199"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199"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199" s="909">
        <f>IF(WWWW[[#This Row],['# People with access to soap]]&gt;WWWW[[#This Row],['# People with access to Sanity Pads]],WWWW[[#This Row],['# People with access to soap]],WWWW[[#This Row],['# People with access to Sanity Pads]])</f>
        <v>0</v>
      </c>
      <c r="DQ199" s="909">
        <f>IF(WWWW[[#This Row],['# people reached by regular dedicated hygiene promotion_5]]&gt;WWWW[[#This Row],['# People received regular supply of hygiene items_6]],WWWW[[#This Row],['# people reached by regular dedicated hygiene promotion_5]],WWWW[[#This Row],['# People received regular supply of hygiene items_6]])</f>
        <v>298</v>
      </c>
      <c r="DR199" s="911">
        <f>IF(WWWW[[#This Row],[HRP3]]/WWWW[[#This Row],[Total PoP ]]&gt;1,1,WWWW[[#This Row],[HRP3]]/WWWW[[#This Row],[Total PoP ]])</f>
        <v>1</v>
      </c>
      <c r="DS199" s="910">
        <f>1-WWWW[[#This Row],[Hygiene Coverage%]]</f>
        <v>0</v>
      </c>
      <c r="DT199" s="908">
        <f>WWWW[[#This Row],['# people reached by regular dedicated hygiene promotion_5]]/WWWW[[#This Row],[Total PoP ]]</f>
        <v>1</v>
      </c>
      <c r="DU199"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199"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199" s="909">
        <f>WWWW[[#This Row],['#_Constructed/Existing hand washing stations]]-WWWW[[#This Row],['#_Non-Functional_hand_washing_stations]]</f>
        <v>2</v>
      </c>
      <c r="DX199" s="906">
        <f>IF(WWWW[[#This Row],['# Functional hand washing stations during reporting period]]*20&gt;WWWW[[#This Row],[Total HH]],WWWW[[#This Row],[Total HH]],WWWW[[#This Row],['# Functional hand washing stations during reporting period]]*20)</f>
        <v>40</v>
      </c>
      <c r="DY199" s="906">
        <f>IF(WWWW[[#This Row],[Is sufficient soap available for TLS? (Yes/No)]]="yes",WWWW[[#This Row],['#_Constructed/Existing hand washing stations at TLS/CFS/THF]],0)</f>
        <v>0</v>
      </c>
      <c r="DZ199" s="421">
        <f>IF(WWWW[[#This Row],['# Functional hand washing stations during reporting period]]*100&gt;WWWW[[#This Row],[Total PoP ]],WWWW[[#This Row],[Total PoP ]],WWWW[[#This Row],['# Functional hand washing stations during reporting period]]*100)</f>
        <v>200</v>
      </c>
      <c r="EA199" s="421" t="str">
        <f>IF(OR(WWWW[[#This Row],['#_students at TLS_CFS]]="",WWWW[[#This Row],['#_students at TLS_CFS]]=0),"No","Yes")</f>
        <v>No</v>
      </c>
      <c r="EB19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199" s="566">
        <f>WWWW[[#This Row],[%_of_affected_people_surveyed_who_report_feeling_satistfied_with_the_latrine_design_and_sanitation_service]]*WWWW[[#This Row],[Total PoP ]]</f>
        <v>298</v>
      </c>
      <c r="ED199" s="566">
        <f>WWWW[[#This Row],[%_of_affected_people_surveyed_who_report_feeling_satistfied_with_the_water_point_design_and_water_service]]*WWWW[[#This Row],[Total PoP ]]</f>
        <v>268.2</v>
      </c>
      <c r="EE199" s="566">
        <f>WWWW[[#This Row],[%_of_complaints_received_that_result_in_timely_corrective_action_and_feedback_to_the_community]]*WWWW[[#This Row],[Total PoP ]]</f>
        <v>298</v>
      </c>
      <c r="EF19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298</v>
      </c>
      <c r="EG19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19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199" s="902" t="str">
        <f>VLOOKUP(WWWW[[#This Row],[Site Name]],SiteDB6[[Site Name]:[CCCM Management]],6,FALSE)</f>
        <v>Yes</v>
      </c>
      <c r="EJ199" s="902" t="str">
        <f>VLOOKUP(WWWW[[#This Row],[Site Name]],SiteDB6[[Site Name]:[CCCM Focal Agency]],7,FALSE)</f>
        <v>Shalom</v>
      </c>
      <c r="EK199" s="902" t="str">
        <f>VLOOKUP(WWWW[[#This Row],[Site Name]],SiteDB6[[Site Name]:[Location Type 1]],9,FALSE)</f>
        <v>Camp</v>
      </c>
      <c r="EL199" s="902" t="str">
        <f>VLOOKUP(WWWW[[#This Row],[Site Name]],SiteDB6[[Site Name]:[Type of Accommodation]],10,FALSE)</f>
        <v>Camp</v>
      </c>
      <c r="EM199" s="902" t="str">
        <f>VLOOKUP(WWWW[[#This Row],[Site Name]],SiteDB6[[Site Name]:[Ethnic or GCA/NGCA]],11,FALSE)</f>
        <v>GCA</v>
      </c>
      <c r="EN199" s="902">
        <f>VLOOKUP(WWWW[[#This Row],[Site Name]],SiteDB6[[Site Name]:[Lat]],12,FALSE)</f>
        <v>25.321710740740698</v>
      </c>
      <c r="EO199" s="902">
        <f>VLOOKUP(WWWW[[#This Row],[Site Name]],SiteDB6[[Site Name]:[Long]],13,FALSE)</f>
        <v>97.404195925926004</v>
      </c>
      <c r="EP199" s="902" t="str">
        <f>VLOOKUP(WWWW[[#This Row],[Site Name]],SiteDB6[[Site Name]:[Pcode]],3,FALSE)</f>
        <v>MMR001CMP028</v>
      </c>
      <c r="EQ199" s="907" t="str">
        <f t="shared" ref="EQ199:EQ219" si="3">IF(C199="none","Notcovered","Covered")</f>
        <v>Covered</v>
      </c>
      <c r="ER199" s="907" t="s">
        <v>3126</v>
      </c>
      <c r="ES199" s="907" t="s">
        <v>3126</v>
      </c>
      <c r="ET199" s="902">
        <f>VLOOKUP(WWWW[[#This Row],[Site Name]],SiteDB6[[Site Name]:[Pop
(Kachin/Shan-CCCM as of May 2023)]],16,FALSE)</f>
        <v>59</v>
      </c>
      <c r="EU199" s="902">
        <f>VLOOKUP(WWWW[[#This Row],[Site Name]],SiteDB6[[Site Name]:[Pop
(Kachin/Shan-CCCM as of May 2023)]],17,FALSE)</f>
        <v>292</v>
      </c>
    </row>
    <row r="200" spans="1:151" hidden="1">
      <c r="A200" s="900" t="s">
        <v>2961</v>
      </c>
      <c r="B200" s="900" t="s">
        <v>242</v>
      </c>
      <c r="C200" s="901" t="s">
        <v>242</v>
      </c>
      <c r="D200" s="901" t="s">
        <v>3184</v>
      </c>
      <c r="E200" s="901" t="s">
        <v>37</v>
      </c>
      <c r="F200" s="901" t="s">
        <v>142</v>
      </c>
      <c r="G200" s="902" t="str">
        <f>VLOOKUP(WWWW[[#This Row],[Site Name]],SiteDB6[[Site Name]:[Location Type]],8,FALSE)</f>
        <v>Camp</v>
      </c>
      <c r="H200" s="901" t="s">
        <v>269</v>
      </c>
      <c r="I200" s="903">
        <v>353</v>
      </c>
      <c r="J200" s="903">
        <v>2139</v>
      </c>
      <c r="K200" s="904">
        <v>44927</v>
      </c>
      <c r="L200" s="905">
        <v>45291</v>
      </c>
      <c r="M200" s="903"/>
      <c r="N200" s="903"/>
      <c r="O200" s="903">
        <v>1</v>
      </c>
      <c r="P200" s="903"/>
      <c r="Q200" s="906" t="s">
        <v>41</v>
      </c>
      <c r="R200" s="903">
        <v>1</v>
      </c>
      <c r="S200" s="903">
        <v>8</v>
      </c>
      <c r="T200" s="441">
        <v>2</v>
      </c>
      <c r="U200" s="903">
        <v>1</v>
      </c>
      <c r="V200" s="903"/>
      <c r="W200" s="903">
        <v>3</v>
      </c>
      <c r="X200" s="903"/>
      <c r="Y200" s="903"/>
      <c r="Z200" s="903"/>
      <c r="AA200" s="903"/>
      <c r="AB200" s="903"/>
      <c r="AC200" s="903"/>
      <c r="AD200" s="903"/>
      <c r="AE200" s="903"/>
      <c r="AF200" s="903"/>
      <c r="AG200" s="903"/>
      <c r="AH200" s="903"/>
      <c r="AI200" s="903"/>
      <c r="AJ200" s="903"/>
      <c r="AK200" s="903"/>
      <c r="AL200" s="903"/>
      <c r="AM200" s="903"/>
      <c r="AN200" s="903">
        <v>23</v>
      </c>
      <c r="AO200" s="441"/>
      <c r="AP200" s="907"/>
      <c r="AQ200" s="903">
        <v>28</v>
      </c>
      <c r="AR200" s="903"/>
      <c r="AS200" s="908" t="s">
        <v>3193</v>
      </c>
      <c r="AT200" s="903"/>
      <c r="AU200" s="903"/>
      <c r="AV200" s="903">
        <v>6</v>
      </c>
      <c r="AW200" s="903"/>
      <c r="AX200" s="903"/>
      <c r="AY200" s="902" t="s">
        <v>41</v>
      </c>
      <c r="AZ200" s="907" t="s">
        <v>137</v>
      </c>
      <c r="BA200" s="903"/>
      <c r="BB200" s="903">
        <v>16</v>
      </c>
      <c r="BC200" s="903">
        <v>16</v>
      </c>
      <c r="BD200" s="441"/>
      <c r="BE200" s="441"/>
      <c r="BF200" s="902" t="s">
        <v>3194</v>
      </c>
      <c r="BG200" s="903">
        <v>13</v>
      </c>
      <c r="BH200" s="903">
        <v>3</v>
      </c>
      <c r="BI200" s="903"/>
      <c r="BJ200" s="903">
        <v>7</v>
      </c>
      <c r="BK200" s="903"/>
      <c r="BL200" s="903"/>
      <c r="BM200" s="903">
        <v>1</v>
      </c>
      <c r="BN200" s="903"/>
      <c r="BO200" s="903"/>
      <c r="BP200" s="902"/>
      <c r="BQ200" s="909">
        <v>1</v>
      </c>
      <c r="BR200" s="908">
        <v>0.7</v>
      </c>
      <c r="BS200" s="902"/>
      <c r="BT200" s="416">
        <v>1</v>
      </c>
      <c r="BU200" s="416">
        <v>1</v>
      </c>
      <c r="BV200" s="418">
        <v>5</v>
      </c>
      <c r="BW200" s="416">
        <v>0.9</v>
      </c>
      <c r="BX200" s="441"/>
      <c r="BY200" s="441"/>
      <c r="BZ200" s="441"/>
      <c r="CA200" s="441"/>
      <c r="CB200" s="441"/>
      <c r="CC200" s="693"/>
      <c r="CD200" s="441"/>
      <c r="CE200" s="910" t="str">
        <f>IFERROR(WWWW[[#This Row],['#_Water sources passed]]/WWWW[[#This Row],['#_Water sources tested for fecal coliform ]],"no test")</f>
        <v>no test</v>
      </c>
      <c r="CF200" s="908" t="str">
        <f>IFERROR(WWWW[[#This Row],['#_Household passed]]/WWWW[[#This Row],['#_Household water samples tested for fecal coliform]],"no test")</f>
        <v>no test</v>
      </c>
      <c r="CG200" s="909" t="str">
        <f>IF(AND(WWWW[[#This Row],[% of water sources passed]]="no test",WWWW[[#This Row],[% Household passed]]="no test"),"No Test","Tested")</f>
        <v>No Test</v>
      </c>
      <c r="CH200" s="909">
        <f>WWWW[[#This Row],['#_Constructed/existing protected hand dug well]]-WWWW[[#This Row],['#_Non-functional protected hand dug well]]</f>
        <v>1</v>
      </c>
      <c r="CI200" s="909">
        <f>(WWWW[[#This Row],['#_Constructed/Existing tube wells/boreholes/handpumps_WASH_agency]]+WWWW[[#This Row],['#_Non-Cluster partner water tube-wells/boreholes/handpumps]])-WWWW[[#This Row],['#_Non-functional tube wells/boreholes/handpumps]]</f>
        <v>3</v>
      </c>
      <c r="CJ200" s="909">
        <f>WWWW[[#This Row],['#_Constructed/Existingwater storage tank with gravity fed reticulation system]]-WWWW[[#This Row],['#_Non-functional storage tank gravity fed reticulation system]]</f>
        <v>0</v>
      </c>
      <c r="CK200" s="909">
        <f>(WWWW[[#This Row],['#_Water_Liters_supplied_by_Water boating or water trucking]]/90)/15</f>
        <v>0</v>
      </c>
      <c r="CL200" s="909">
        <f>WWWW[[#This Row],['#_Water_Liters_from_Constructed/Existing water distribution system from river or natural spring]]/90/15</f>
        <v>0</v>
      </c>
      <c r="CM200" s="417">
        <f>IF(WWWW[[#This Row],['#_of water points in TLS/CFS]]*500&gt;WWWW[[#This Row],[Total PoP ]],WWWW[[#This Row],[Total PoP ]],WWWW[[#This Row],['#_of water points in TLS/CFS]]*500)</f>
        <v>2139</v>
      </c>
      <c r="CN200" s="417">
        <f>IF(WWWW[[#This Row],['#_of water points in THF]]*500&gt;WWWW[[#This Row],[Total PoP ]],WWWW[[#This Row],[Total PoP ]],WWWW[[#This Row],['#_of water points in THF]]*500)</f>
        <v>0</v>
      </c>
      <c r="CO200" s="417"/>
      <c r="CP200"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0.88826554464703134</v>
      </c>
      <c r="CQ200"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0.4675081813931744</v>
      </c>
      <c r="CR200" s="908">
        <f>IF(WWWW[[#This Row],[Location Type 1]]="Village",WWWW[[#This Row],[Access to safe drinking water for Village]],WWWW[[#This Row],[Access to safe drinking water for Camp]])</f>
        <v>0.88826554464703134</v>
      </c>
      <c r="CS200" s="906">
        <f>WWWW[[#This Row],[%Equitable and continuous access to sufficient quantity of safe drinking water]]*WWWW[[#This Row],[Total PoP ]]</f>
        <v>1900</v>
      </c>
      <c r="CT200" s="908">
        <f>IF((WWWW[[#This Row],['#_Constructed/Existing protected/fenced ponds]]*250)/WWWW[[#This Row],[Total PoP ]]&gt;1,1,(WWWW[[#This Row],['#_Constructed/Existing protected/fenced ponds]]*250)/WWWW[[#This Row],[Total PoP ]])</f>
        <v>0</v>
      </c>
      <c r="CU200" s="906">
        <f>WWWW[[#This Row],[% Access to unimproved water points]]*WWWW[[#This Row],[Total PoP ]]</f>
        <v>0</v>
      </c>
      <c r="CV200"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0.88826554464703134</v>
      </c>
      <c r="CW200"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1900</v>
      </c>
      <c r="CX200" s="906">
        <f>WWWW[[#This Row],[HRP1]]/500</f>
        <v>3.8</v>
      </c>
      <c r="CY200" s="911">
        <f>1-WWWW[[#This Row],[% Equitable and continuous access to sufficient quantity of domestic water]]</f>
        <v>0.11173445535296866</v>
      </c>
      <c r="CZ200" s="906">
        <f>WWWW[[#This Row],[%equitable and continuous access to sufficient quantity of safe drinking and domestic water''s GAP]]*WWWW[[#This Row],[Total PoP ]]</f>
        <v>238.99999999999997</v>
      </c>
      <c r="DA200" s="909">
        <f>IF(WWWW[[#This Row],[Total required water points]]-WWWW[[#This Row],['#Water points coverage]]&lt;0,0,WWWW[[#This Row],[Total required water points]]-WWWW[[#This Row],['#Water points coverage]])</f>
        <v>0.20000000000000018</v>
      </c>
      <c r="DB200" s="909">
        <f>ROUND(IF(WWWW[[#This Row],[Total PoP ]]&lt;500,1,WWWW[[#This Row],[Total PoP ]]/500),0)</f>
        <v>4</v>
      </c>
      <c r="DC200" s="909">
        <f>(WWWW[[#This Row],['#_Constructed latrines_by_WASHAgencies]]+WWWW[[#This Row],['#_Non Cluster partner latrines]])-WWWW[[#This Row],['#_Non-functional latrines]]</f>
        <v>28</v>
      </c>
      <c r="DD200" s="615">
        <f>WWWW[[#This Row],[HRP2]]/WWWW[[#This Row],[Total PoP ]]</f>
        <v>0.26180458158017766</v>
      </c>
      <c r="DE200"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560</v>
      </c>
      <c r="DF200"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G200"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0" s="417">
        <f>IF(WWWW[[#This Row],['# of functional latrines in THF supported by WASH partners during the reporting period2]]="",0,WWWW[[#This Row],['# of functional latrines in THF supported by WASH partners during the reporting period2]]*50)</f>
        <v>0</v>
      </c>
      <c r="DI200" s="909">
        <f>ROUND(IF(WWWW[[#This Row],[Location Type 1]]="camp",WWWW[[#This Row],[Total PoP ]]/20,IF(WWWW[[#This Row],[Location Type 1]]="Temporary Location",WWWW[[#This Row],[Total PoP ]]/50,(WWWW[[#This Row],[Total PoP ]]/6))),0)</f>
        <v>107</v>
      </c>
      <c r="DJ200" s="909">
        <f>IF(WWWW[[#This Row],[Total required Latrines]]-(WWWW[[#This Row],['#_Constructed latrines_by_WASHAgencies]]+WWWW[[#This Row],['#_Non Cluster partner latrines]])&lt;0,0,WWWW[[#This Row],[Total required Latrines]]-(WWWW[[#This Row],['#_Constructed latrines_by_WASHAgencies]]+WWWW[[#This Row],['#_Non Cluster partner latrines]]))</f>
        <v>79</v>
      </c>
      <c r="DK200" s="911">
        <f>1-WWWW[[#This Row],[% people access to functioning Latrine]]</f>
        <v>0.73819541841982228</v>
      </c>
      <c r="DL200" s="910">
        <f>IF(OR(WWWW[[#This Row],['#_Non-functional latrines]]="",WWWW[[#This Row],['#_Non-functional latrines]]=0),0,WWWW[[#This Row],['#_Non-functional latrines]]/(WWWW[[#This Row],['#_Constructed latrines_by_WASHAgencies]]+WWWW[[#This Row],['#_Non Cluster partner latrines]]))</f>
        <v>0</v>
      </c>
      <c r="DM200" s="906">
        <f>IF(500*(WWWW[[#This Row],['#_male hygiene promoters]]+WWWW[[#This Row],['#_female hygiene promoters]])&gt;WWWW[[#This Row],[Total PoP ]],WWWW[[#This Row],[Total PoP ]],500*(WWWW[[#This Row],['#_male hygiene promoters]]+WWWW[[#This Row],['#_female hygiene promoters]]))</f>
        <v>500</v>
      </c>
      <c r="DN200"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00"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00" s="909">
        <f>IF(WWWW[[#This Row],['# People with access to soap]]&gt;WWWW[[#This Row],['# People with access to Sanity Pads]],WWWW[[#This Row],['# People with access to soap]],WWWW[[#This Row],['# People with access to Sanity Pads]])</f>
        <v>0</v>
      </c>
      <c r="DQ200" s="909">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200" s="911">
        <f>IF(WWWW[[#This Row],[HRP3]]/WWWW[[#This Row],[Total PoP ]]&gt;1,1,WWWW[[#This Row],[HRP3]]/WWWW[[#This Row],[Total PoP ]])</f>
        <v>0.2337540906965872</v>
      </c>
      <c r="DS200" s="910">
        <f>1-WWWW[[#This Row],[Hygiene Coverage%]]</f>
        <v>0.76624590930341285</v>
      </c>
      <c r="DT200" s="908">
        <f>WWWW[[#This Row],['# people reached by regular dedicated hygiene promotion_5]]/WWWW[[#This Row],[Total PoP ]]</f>
        <v>0.2337540906965872</v>
      </c>
      <c r="DU200"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00"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00" s="909">
        <f>WWWW[[#This Row],['#_Constructed/Existing hand washing stations]]-WWWW[[#This Row],['#_Non-Functional_hand_washing_stations]]</f>
        <v>10</v>
      </c>
      <c r="DX200" s="906">
        <f>IF(WWWW[[#This Row],['# Functional hand washing stations during reporting period]]*20&gt;WWWW[[#This Row],[Total HH]],WWWW[[#This Row],[Total HH]],WWWW[[#This Row],['# Functional hand washing stations during reporting period]]*20)</f>
        <v>200</v>
      </c>
      <c r="DY200" s="906">
        <f>IF(WWWW[[#This Row],[Is sufficient soap available for TLS? (Yes/No)]]="yes",WWWW[[#This Row],['#_Constructed/Existing hand washing stations at TLS/CFS/THF]],0)</f>
        <v>0</v>
      </c>
      <c r="DZ200" s="421">
        <f>IF(WWWW[[#This Row],['# Functional hand washing stations during reporting period]]*100&gt;WWWW[[#This Row],[Total PoP ]],WWWW[[#This Row],[Total PoP ]],WWWW[[#This Row],['# Functional hand washing stations during reporting period]]*100)</f>
        <v>1000</v>
      </c>
      <c r="EA200" s="421" t="str">
        <f>IF(OR(WWWW[[#This Row],['#_students at TLS_CFS]]="",WWWW[[#This Row],['#_students at TLS_CFS]]=0),"No","Yes")</f>
        <v>No</v>
      </c>
      <c r="EB200" s="615">
        <f>IF(WWWW[[#This Row],['#_of_affected_people_surveyed_who_report_feeling_informed_about_the_different_WASH_services_available_to_them]]="","",WWWW[[#This Row],['#_of_affected_people_surveyed_who_report_feeling_informed_about_the_different_WASH_services_available_to_them]]/WWWW[[#This Row],[Total PoP ]])</f>
        <v>2.3375409069658717E-3</v>
      </c>
      <c r="EC200" s="566">
        <f>WWWW[[#This Row],[%_of_affected_people_surveyed_who_report_feeling_satistfied_with_the_latrine_design_and_sanitation_service]]*WWWW[[#This Row],[Total PoP ]]</f>
        <v>2139</v>
      </c>
      <c r="ED200" s="566">
        <f>WWWW[[#This Row],[%_of_affected_people_surveyed_who_report_feeling_satistfied_with_the_water_point_design_and_water_service]]*WWWW[[#This Row],[Total PoP ]]</f>
        <v>2139</v>
      </c>
      <c r="EE200" s="566">
        <f>WWWW[[#This Row],[%_of_complaints_received_that_result_in_timely_corrective_action_and_feedback_to_the_community]]*WWWW[[#This Row],[Total PoP ]]</f>
        <v>1925.1000000000001</v>
      </c>
      <c r="EF20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2139</v>
      </c>
      <c r="EG20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2139</v>
      </c>
      <c r="EH20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00" s="902" t="str">
        <f>VLOOKUP(WWWW[[#This Row],[Site Name]],SiteDB6[[Site Name]:[CCCM Management]],6,FALSE)</f>
        <v>Yes</v>
      </c>
      <c r="EJ200" s="902" t="str">
        <f>VLOOKUP(WWWW[[#This Row],[Site Name]],SiteDB6[[Site Name]:[CCCM Focal Agency]],7,FALSE)</f>
        <v>Shalom</v>
      </c>
      <c r="EK200" s="902" t="str">
        <f>VLOOKUP(WWWW[[#This Row],[Site Name]],SiteDB6[[Site Name]:[Location Type 1]],9,FALSE)</f>
        <v>Camp</v>
      </c>
      <c r="EL200" s="902" t="str">
        <f>VLOOKUP(WWWW[[#This Row],[Site Name]],SiteDB6[[Site Name]:[Type of Accommodation]],10,FALSE)</f>
        <v>Camp</v>
      </c>
      <c r="EM200" s="902" t="str">
        <f>VLOOKUP(WWWW[[#This Row],[Site Name]],SiteDB6[[Site Name]:[Ethnic or GCA/NGCA]],11,FALSE)</f>
        <v>GCA</v>
      </c>
      <c r="EN200" s="902">
        <f>VLOOKUP(WWWW[[#This Row],[Site Name]],SiteDB6[[Site Name]:[Lat]],12,FALSE)</f>
        <v>25.424529444444399</v>
      </c>
      <c r="EO200" s="902">
        <f>VLOOKUP(WWWW[[#This Row],[Site Name]],SiteDB6[[Site Name]:[Long]],13,FALSE)</f>
        <v>97.433419259259296</v>
      </c>
      <c r="EP200" s="902" t="str">
        <f>VLOOKUP(WWWW[[#This Row],[Site Name]],SiteDB6[[Site Name]:[Pcode]],3,FALSE)</f>
        <v>MMR001CMP031</v>
      </c>
      <c r="EQ200" s="907" t="str">
        <f t="shared" si="3"/>
        <v>Covered</v>
      </c>
      <c r="ER200" s="907" t="s">
        <v>3126</v>
      </c>
      <c r="ES200" s="907" t="s">
        <v>3126</v>
      </c>
      <c r="ET200" s="902">
        <f>VLOOKUP(WWWW[[#This Row],[Site Name]],SiteDB6[[Site Name]:[Pop
(Kachin/Shan-CCCM as of May 2023)]],16,FALSE)</f>
        <v>353</v>
      </c>
      <c r="EU200" s="902">
        <f>VLOOKUP(WWWW[[#This Row],[Site Name]],SiteDB6[[Site Name]:[Pop
(Kachin/Shan-CCCM as of May 2023)]],17,FALSE)</f>
        <v>2139</v>
      </c>
    </row>
    <row r="201" spans="1:151" ht="12" hidden="1" customHeight="1">
      <c r="A201" s="900" t="s">
        <v>2961</v>
      </c>
      <c r="B201" s="900" t="s">
        <v>242</v>
      </c>
      <c r="C201" s="901" t="s">
        <v>242</v>
      </c>
      <c r="D201" s="901" t="s">
        <v>3184</v>
      </c>
      <c r="E201" s="901" t="s">
        <v>37</v>
      </c>
      <c r="F201" s="901" t="s">
        <v>142</v>
      </c>
      <c r="G201" s="902" t="str">
        <f>VLOOKUP(WWWW[[#This Row],[Site Name]],SiteDB6[[Site Name]:[Location Type]],8,FALSE)</f>
        <v>Camp</v>
      </c>
      <c r="H201" s="901" t="s">
        <v>2861</v>
      </c>
      <c r="I201" s="903">
        <v>45</v>
      </c>
      <c r="J201" s="903">
        <v>221</v>
      </c>
      <c r="K201" s="904">
        <v>44927</v>
      </c>
      <c r="L201" s="905">
        <v>45291</v>
      </c>
      <c r="M201" s="903"/>
      <c r="N201" s="903"/>
      <c r="O201" s="903">
        <v>1</v>
      </c>
      <c r="P201" s="903"/>
      <c r="Q201" s="906" t="s">
        <v>41</v>
      </c>
      <c r="R201" s="903">
        <v>2</v>
      </c>
      <c r="S201" s="903">
        <v>5</v>
      </c>
      <c r="T201" s="441">
        <v>1</v>
      </c>
      <c r="U201" s="903"/>
      <c r="V201" s="903"/>
      <c r="W201" s="903">
        <v>1</v>
      </c>
      <c r="X201" s="903"/>
      <c r="Y201" s="903"/>
      <c r="Z201" s="903"/>
      <c r="AA201" s="903"/>
      <c r="AB201" s="903"/>
      <c r="AC201" s="903"/>
      <c r="AD201" s="903"/>
      <c r="AE201" s="903"/>
      <c r="AF201" s="903"/>
      <c r="AG201" s="903"/>
      <c r="AH201" s="903"/>
      <c r="AI201" s="903"/>
      <c r="AJ201" s="903"/>
      <c r="AK201" s="903"/>
      <c r="AL201" s="903"/>
      <c r="AM201" s="903"/>
      <c r="AN201" s="903"/>
      <c r="AO201" s="441"/>
      <c r="AP201" s="907" t="s">
        <v>3197</v>
      </c>
      <c r="AQ201" s="903">
        <v>10</v>
      </c>
      <c r="AR201" s="903"/>
      <c r="AS201" s="908"/>
      <c r="AT201" s="903">
        <v>2</v>
      </c>
      <c r="AU201" s="903"/>
      <c r="AV201" s="903"/>
      <c r="AW201" s="903"/>
      <c r="AX201" s="903"/>
      <c r="AY201" s="902" t="s">
        <v>41</v>
      </c>
      <c r="AZ201" s="907" t="s">
        <v>137</v>
      </c>
      <c r="BA201" s="903"/>
      <c r="BB201" s="903"/>
      <c r="BC201" s="903"/>
      <c r="BD201" s="441"/>
      <c r="BE201" s="441"/>
      <c r="BF201" s="902"/>
      <c r="BG201" s="903">
        <v>10</v>
      </c>
      <c r="BH201" s="903"/>
      <c r="BI201" s="903"/>
      <c r="BJ201" s="903">
        <v>2</v>
      </c>
      <c r="BK201" s="903"/>
      <c r="BL201" s="903"/>
      <c r="BM201" s="903">
        <v>1</v>
      </c>
      <c r="BN201" s="903">
        <v>45</v>
      </c>
      <c r="BO201" s="903"/>
      <c r="BP201" s="902"/>
      <c r="BQ201" s="909">
        <v>1</v>
      </c>
      <c r="BR201" s="908">
        <v>0.5</v>
      </c>
      <c r="BS201" s="902"/>
      <c r="BT201" s="416">
        <v>0.98</v>
      </c>
      <c r="BU201" s="416">
        <v>0.9</v>
      </c>
      <c r="BV201" s="418"/>
      <c r="BW201" s="416">
        <v>0.99</v>
      </c>
      <c r="BX201" s="441"/>
      <c r="BY201" s="441"/>
      <c r="BZ201" s="441"/>
      <c r="CA201" s="441"/>
      <c r="CB201" s="441"/>
      <c r="CC201" s="693"/>
      <c r="CD201" s="441"/>
      <c r="CE201" s="910" t="str">
        <f>IFERROR(WWWW[[#This Row],['#_Water sources passed]]/WWWW[[#This Row],['#_Water sources tested for fecal coliform ]],"no test")</f>
        <v>no test</v>
      </c>
      <c r="CF201" s="908" t="str">
        <f>IFERROR(WWWW[[#This Row],['#_Household passed]]/WWWW[[#This Row],['#_Household water samples tested for fecal coliform]],"no test")</f>
        <v>no test</v>
      </c>
      <c r="CG201" s="909" t="str">
        <f>IF(AND(WWWW[[#This Row],[% of water sources passed]]="no test",WWWW[[#This Row],[% Household passed]]="no test"),"No Test","Tested")</f>
        <v>No Test</v>
      </c>
      <c r="CH201" s="909">
        <f>WWWW[[#This Row],['#_Constructed/existing protected hand dug well]]-WWWW[[#This Row],['#_Non-functional protected hand dug well]]</f>
        <v>1</v>
      </c>
      <c r="CI201" s="909">
        <f>(WWWW[[#This Row],['#_Constructed/Existing tube wells/boreholes/handpumps_WASH_agency]]+WWWW[[#This Row],['#_Non-Cluster partner water tube-wells/boreholes/handpumps]])-WWWW[[#This Row],['#_Non-functional tube wells/boreholes/handpumps]]</f>
        <v>1</v>
      </c>
      <c r="CJ201" s="909">
        <f>WWWW[[#This Row],['#_Constructed/Existingwater storage tank with gravity fed reticulation system]]-WWWW[[#This Row],['#_Non-functional storage tank gravity fed reticulation system]]</f>
        <v>0</v>
      </c>
      <c r="CK201" s="909">
        <f>(WWWW[[#This Row],['#_Water_Liters_supplied_by_Water boating or water trucking]]/90)/15</f>
        <v>0</v>
      </c>
      <c r="CL201" s="909">
        <f>WWWW[[#This Row],['#_Water_Liters_from_Constructed/Existing water distribution system from river or natural spring]]/90/15</f>
        <v>0</v>
      </c>
      <c r="CM201" s="417">
        <f>IF(WWWW[[#This Row],['#_of water points in TLS/CFS]]*500&gt;WWWW[[#This Row],[Total PoP ]],WWWW[[#This Row],[Total PoP ]],WWWW[[#This Row],['#_of water points in TLS/CFS]]*500)</f>
        <v>0</v>
      </c>
      <c r="CN201" s="417">
        <f>IF(WWWW[[#This Row],['#_of water points in THF]]*500&gt;WWWW[[#This Row],[Total PoP ]],WWWW[[#This Row],[Total PoP ]],WWWW[[#This Row],['#_of water points in THF]]*500)</f>
        <v>0</v>
      </c>
      <c r="CO201" s="417"/>
      <c r="CP201"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01"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01" s="908">
        <f>IF(WWWW[[#This Row],[Location Type 1]]="Village",WWWW[[#This Row],[Access to safe drinking water for Village]],WWWW[[#This Row],[Access to safe drinking water for Camp]])</f>
        <v>1</v>
      </c>
      <c r="CS201" s="906">
        <f>WWWW[[#This Row],[%Equitable and continuous access to sufficient quantity of safe drinking water]]*WWWW[[#This Row],[Total PoP ]]</f>
        <v>221</v>
      </c>
      <c r="CT201" s="908">
        <f>IF((WWWW[[#This Row],['#_Constructed/Existing protected/fenced ponds]]*250)/WWWW[[#This Row],[Total PoP ]]&gt;1,1,(WWWW[[#This Row],['#_Constructed/Existing protected/fenced ponds]]*250)/WWWW[[#This Row],[Total PoP ]])</f>
        <v>0</v>
      </c>
      <c r="CU201" s="906">
        <f>WWWW[[#This Row],[% Access to unimproved water points]]*WWWW[[#This Row],[Total PoP ]]</f>
        <v>0</v>
      </c>
      <c r="CV201"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01"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221</v>
      </c>
      <c r="CX201" s="906">
        <f>WWWW[[#This Row],[HRP1]]/500</f>
        <v>0.442</v>
      </c>
      <c r="CY201" s="911">
        <f>1-WWWW[[#This Row],[% Equitable and continuous access to sufficient quantity of domestic water]]</f>
        <v>0</v>
      </c>
      <c r="CZ201" s="906">
        <f>WWWW[[#This Row],[%equitable and continuous access to sufficient quantity of safe drinking and domestic water''s GAP]]*WWWW[[#This Row],[Total PoP ]]</f>
        <v>0</v>
      </c>
      <c r="DA201" s="909">
        <f>IF(WWWW[[#This Row],[Total required water points]]-WWWW[[#This Row],['#Water points coverage]]&lt;0,0,WWWW[[#This Row],[Total required water points]]-WWWW[[#This Row],['#Water points coverage]])</f>
        <v>0.55800000000000005</v>
      </c>
      <c r="DB201" s="909">
        <f>ROUND(IF(WWWW[[#This Row],[Total PoP ]]&lt;500,1,WWWW[[#This Row],[Total PoP ]]/500),0)</f>
        <v>1</v>
      </c>
      <c r="DC201" s="909">
        <f>(WWWW[[#This Row],['#_Constructed latrines_by_WASHAgencies]]+WWWW[[#This Row],['#_Non Cluster partner latrines]])-WWWW[[#This Row],['#_Non-functional latrines]]</f>
        <v>8</v>
      </c>
      <c r="DD201" s="615">
        <f>WWWW[[#This Row],[HRP2]]/WWWW[[#This Row],[Total PoP ]]</f>
        <v>0.72398190045248867</v>
      </c>
      <c r="DE201"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160</v>
      </c>
      <c r="DF201"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01"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1" s="417">
        <f>IF(WWWW[[#This Row],['# of functional latrines in THF supported by WASH partners during the reporting period2]]="",0,WWWW[[#This Row],['# of functional latrines in THF supported by WASH partners during the reporting period2]]*50)</f>
        <v>0</v>
      </c>
      <c r="DI201" s="909">
        <f>ROUND(IF(WWWW[[#This Row],[Location Type 1]]="camp",WWWW[[#This Row],[Total PoP ]]/20,IF(WWWW[[#This Row],[Location Type 1]]="Temporary Location",WWWW[[#This Row],[Total PoP ]]/50,(WWWW[[#This Row],[Total PoP ]]/6))),0)</f>
        <v>11</v>
      </c>
      <c r="DJ201" s="909">
        <f>IF(WWWW[[#This Row],[Total required Latrines]]-(WWWW[[#This Row],['#_Constructed latrines_by_WASHAgencies]]+WWWW[[#This Row],['#_Non Cluster partner latrines]])&lt;0,0,WWWW[[#This Row],[Total required Latrines]]-(WWWW[[#This Row],['#_Constructed latrines_by_WASHAgencies]]+WWWW[[#This Row],['#_Non Cluster partner latrines]]))</f>
        <v>1</v>
      </c>
      <c r="DK201" s="911">
        <f>1-WWWW[[#This Row],[% people access to functioning Latrine]]</f>
        <v>0.27601809954751133</v>
      </c>
      <c r="DL201" s="910">
        <f>IF(OR(WWWW[[#This Row],['#_Non-functional latrines]]="",WWWW[[#This Row],['#_Non-functional latrines]]=0),0,WWWW[[#This Row],['#_Non-functional latrines]]/(WWWW[[#This Row],['#_Constructed latrines_by_WASHAgencies]]+WWWW[[#This Row],['#_Non Cluster partner latrines]]))</f>
        <v>0.2</v>
      </c>
      <c r="DM201" s="906">
        <f>IF(500*(WWWW[[#This Row],['#_male hygiene promoters]]+WWWW[[#This Row],['#_female hygiene promoters]])&gt;WWWW[[#This Row],[Total PoP ]],WWWW[[#This Row],[Total PoP ]],500*(WWWW[[#This Row],['#_male hygiene promoters]]+WWWW[[#This Row],['#_female hygiene promoters]]))</f>
        <v>221</v>
      </c>
      <c r="DN201"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221</v>
      </c>
      <c r="DO201"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01" s="909">
        <f>IF(WWWW[[#This Row],['# People with access to soap]]&gt;WWWW[[#This Row],['# People with access to Sanity Pads]],WWWW[[#This Row],['# People with access to soap]],WWWW[[#This Row],['# People with access to Sanity Pads]])</f>
        <v>221</v>
      </c>
      <c r="DQ201" s="909">
        <f>IF(WWWW[[#This Row],['# people reached by regular dedicated hygiene promotion_5]]&gt;WWWW[[#This Row],['# People received regular supply of hygiene items_6]],WWWW[[#This Row],['# people reached by regular dedicated hygiene promotion_5]],WWWW[[#This Row],['# People received regular supply of hygiene items_6]])</f>
        <v>221</v>
      </c>
      <c r="DR201" s="911">
        <f>IF(WWWW[[#This Row],[HRP3]]/WWWW[[#This Row],[Total PoP ]]&gt;1,1,WWWW[[#This Row],[HRP3]]/WWWW[[#This Row],[Total PoP ]])</f>
        <v>1</v>
      </c>
      <c r="DS201" s="910">
        <f>1-WWWW[[#This Row],[Hygiene Coverage%]]</f>
        <v>0</v>
      </c>
      <c r="DT201" s="908">
        <f>WWWW[[#This Row],['# people reached by regular dedicated hygiene promotion_5]]/WWWW[[#This Row],[Total PoP ]]</f>
        <v>1</v>
      </c>
      <c r="DU201"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01"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01" s="909">
        <f>WWWW[[#This Row],['#_Constructed/Existing hand washing stations]]-WWWW[[#This Row],['#_Non-Functional_hand_washing_stations]]</f>
        <v>10</v>
      </c>
      <c r="DX201" s="906">
        <f>IF(WWWW[[#This Row],['# Functional hand washing stations during reporting period]]*20&gt;WWWW[[#This Row],[Total HH]],WWWW[[#This Row],[Total HH]],WWWW[[#This Row],['# Functional hand washing stations during reporting period]]*20)</f>
        <v>45</v>
      </c>
      <c r="DY201" s="906">
        <f>IF(WWWW[[#This Row],[Is sufficient soap available for TLS? (Yes/No)]]="yes",WWWW[[#This Row],['#_Constructed/Existing hand washing stations at TLS/CFS/THF]],0)</f>
        <v>0</v>
      </c>
      <c r="DZ201" s="421">
        <f>IF(WWWW[[#This Row],['# Functional hand washing stations during reporting period]]*100&gt;WWWW[[#This Row],[Total PoP ]],WWWW[[#This Row],[Total PoP ]],WWWW[[#This Row],['# Functional hand washing stations during reporting period]]*100)</f>
        <v>221</v>
      </c>
      <c r="EA201" s="421" t="str">
        <f>IF(OR(WWWW[[#This Row],['#_students at TLS_CFS]]="",WWWW[[#This Row],['#_students at TLS_CFS]]=0),"No","Yes")</f>
        <v>No</v>
      </c>
      <c r="EB20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01" s="566">
        <f>WWWW[[#This Row],[%_of_affected_people_surveyed_who_report_feeling_satistfied_with_the_latrine_design_and_sanitation_service]]*WWWW[[#This Row],[Total PoP ]]</f>
        <v>216.57999999999998</v>
      </c>
      <c r="ED201" s="566">
        <f>WWWW[[#This Row],[%_of_affected_people_surveyed_who_report_feeling_satistfied_with_the_water_point_design_and_water_service]]*WWWW[[#This Row],[Total PoP ]]</f>
        <v>198.9</v>
      </c>
      <c r="EE201" s="566">
        <f>WWWW[[#This Row],[%_of_complaints_received_that_result_in_timely_corrective_action_and_feedback_to_the_community]]*WWWW[[#This Row],[Total PoP ]]</f>
        <v>218.79</v>
      </c>
      <c r="EF20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218.79</v>
      </c>
      <c r="EG20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0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01" s="902" t="str">
        <f>VLOOKUP(WWWW[[#This Row],[Site Name]],SiteDB6[[Site Name]:[CCCM Management]],6,FALSE)</f>
        <v>Yes</v>
      </c>
      <c r="EJ201" s="902" t="str">
        <f>VLOOKUP(WWWW[[#This Row],[Site Name]],SiteDB6[[Site Name]:[CCCM Focal Agency]],7,FALSE)</f>
        <v>Shalom</v>
      </c>
      <c r="EK201" s="902" t="str">
        <f>VLOOKUP(WWWW[[#This Row],[Site Name]],SiteDB6[[Site Name]:[Location Type 1]],9,FALSE)</f>
        <v>Camp</v>
      </c>
      <c r="EL201" s="902" t="str">
        <f>VLOOKUP(WWWW[[#This Row],[Site Name]],SiteDB6[[Site Name]:[Type of Accommodation]],10,FALSE)</f>
        <v>Camp</v>
      </c>
      <c r="EM201" s="902" t="str">
        <f>VLOOKUP(WWWW[[#This Row],[Site Name]],SiteDB6[[Site Name]:[Ethnic or GCA/NGCA]],11,FALSE)</f>
        <v>GCA</v>
      </c>
      <c r="EN201" s="902">
        <f>VLOOKUP(WWWW[[#This Row],[Site Name]],SiteDB6[[Site Name]:[Lat]],12,FALSE)</f>
        <v>25.345918166666699</v>
      </c>
      <c r="EO201" s="902">
        <f>VLOOKUP(WWWW[[#This Row],[Site Name]],SiteDB6[[Site Name]:[Long]],13,FALSE)</f>
        <v>97.437472666666693</v>
      </c>
      <c r="EP201" s="902" t="str">
        <f>VLOOKUP(WWWW[[#This Row],[Site Name]],SiteDB6[[Site Name]:[Pcode]],3,FALSE)</f>
        <v>MMR001CMP030</v>
      </c>
      <c r="EQ201" s="907" t="str">
        <f t="shared" si="3"/>
        <v>Covered</v>
      </c>
      <c r="ER201" s="907" t="s">
        <v>3126</v>
      </c>
      <c r="ES201" s="907" t="s">
        <v>3126</v>
      </c>
      <c r="ET201" s="902">
        <f>VLOOKUP(WWWW[[#This Row],[Site Name]],SiteDB6[[Site Name]:[Pop
(Kachin/Shan-CCCM as of May 2023)]],16,FALSE)</f>
        <v>45</v>
      </c>
      <c r="EU201" s="902">
        <f>VLOOKUP(WWWW[[#This Row],[Site Name]],SiteDB6[[Site Name]:[Pop
(Kachin/Shan-CCCM as of May 2023)]],17,FALSE)</f>
        <v>221</v>
      </c>
    </row>
    <row r="202" spans="1:151" hidden="1">
      <c r="A202" s="900" t="s">
        <v>2961</v>
      </c>
      <c r="B202" s="900" t="s">
        <v>242</v>
      </c>
      <c r="C202" s="901" t="s">
        <v>242</v>
      </c>
      <c r="D202" s="901" t="s">
        <v>3184</v>
      </c>
      <c r="E202" s="901" t="s">
        <v>37</v>
      </c>
      <c r="F202" s="901" t="s">
        <v>142</v>
      </c>
      <c r="G202" s="902" t="str">
        <f>VLOOKUP(WWWW[[#This Row],[Site Name]],SiteDB6[[Site Name]:[Location Type]],8,FALSE)</f>
        <v>Camp</v>
      </c>
      <c r="H202" s="901" t="s">
        <v>270</v>
      </c>
      <c r="I202" s="903">
        <v>19</v>
      </c>
      <c r="J202" s="903">
        <v>86</v>
      </c>
      <c r="K202" s="904">
        <v>44927</v>
      </c>
      <c r="L202" s="905">
        <v>45291</v>
      </c>
      <c r="M202" s="903">
        <v>13</v>
      </c>
      <c r="N202" s="903"/>
      <c r="O202" s="903">
        <v>1</v>
      </c>
      <c r="P202" s="903"/>
      <c r="Q202" s="906" t="s">
        <v>41</v>
      </c>
      <c r="R202" s="903"/>
      <c r="S202" s="903">
        <v>5</v>
      </c>
      <c r="T202" s="441">
        <v>1</v>
      </c>
      <c r="U202" s="903"/>
      <c r="V202" s="903"/>
      <c r="W202" s="903"/>
      <c r="X202" s="903"/>
      <c r="Y202" s="903"/>
      <c r="Z202" s="903"/>
      <c r="AA202" s="903"/>
      <c r="AB202" s="903"/>
      <c r="AC202" s="903"/>
      <c r="AD202" s="903"/>
      <c r="AE202" s="903"/>
      <c r="AF202" s="903"/>
      <c r="AG202" s="903"/>
      <c r="AH202" s="903"/>
      <c r="AI202" s="903"/>
      <c r="AJ202" s="903"/>
      <c r="AK202" s="903"/>
      <c r="AL202" s="903"/>
      <c r="AM202" s="903">
        <v>2</v>
      </c>
      <c r="AN202" s="903"/>
      <c r="AO202" s="441"/>
      <c r="AP202" s="907" t="s">
        <v>3197</v>
      </c>
      <c r="AQ202" s="903">
        <v>4</v>
      </c>
      <c r="AR202" s="903"/>
      <c r="AS202" s="908"/>
      <c r="AT202" s="903"/>
      <c r="AU202" s="903"/>
      <c r="AV202" s="903">
        <v>3</v>
      </c>
      <c r="AW202" s="903"/>
      <c r="AX202" s="903"/>
      <c r="AY202" s="902" t="s">
        <v>41</v>
      </c>
      <c r="AZ202" s="907" t="s">
        <v>137</v>
      </c>
      <c r="BA202" s="903"/>
      <c r="BB202" s="903"/>
      <c r="BC202" s="903"/>
      <c r="BD202" s="441"/>
      <c r="BE202" s="441">
        <v>1</v>
      </c>
      <c r="BF202" s="902"/>
      <c r="BG202" s="903">
        <v>2</v>
      </c>
      <c r="BH202" s="903"/>
      <c r="BI202" s="903"/>
      <c r="BJ202" s="903">
        <v>2</v>
      </c>
      <c r="BK202" s="903"/>
      <c r="BL202" s="903"/>
      <c r="BM202" s="903">
        <v>1</v>
      </c>
      <c r="BN202" s="903">
        <v>19</v>
      </c>
      <c r="BO202" s="903"/>
      <c r="BP202" s="902"/>
      <c r="BQ202" s="909">
        <v>1</v>
      </c>
      <c r="BR202" s="908">
        <v>0.7</v>
      </c>
      <c r="BS202" s="902"/>
      <c r="BT202" s="416">
        <v>0.9</v>
      </c>
      <c r="BU202" s="416">
        <v>0.9</v>
      </c>
      <c r="BV202" s="418"/>
      <c r="BW202" s="416">
        <v>0.9</v>
      </c>
      <c r="BX202" s="441"/>
      <c r="BY202" s="441"/>
      <c r="BZ202" s="441"/>
      <c r="CA202" s="441"/>
      <c r="CB202" s="441"/>
      <c r="CC202" s="693"/>
      <c r="CD202" s="441"/>
      <c r="CE202" s="910" t="str">
        <f>IFERROR(WWWW[[#This Row],['#_Water sources passed]]/WWWW[[#This Row],['#_Water sources tested for fecal coliform ]],"no test")</f>
        <v>no test</v>
      </c>
      <c r="CF202" s="908" t="str">
        <f>IFERROR(WWWW[[#This Row],['#_Household passed]]/WWWW[[#This Row],['#_Household water samples tested for fecal coliform]],"no test")</f>
        <v>no test</v>
      </c>
      <c r="CG202" s="909" t="str">
        <f>IF(AND(WWWW[[#This Row],[% of water sources passed]]="no test",WWWW[[#This Row],[% Household passed]]="no test"),"No Test","Tested")</f>
        <v>No Test</v>
      </c>
      <c r="CH202" s="909">
        <f>WWWW[[#This Row],['#_Constructed/existing protected hand dug well]]-WWWW[[#This Row],['#_Non-functional protected hand dug well]]</f>
        <v>1</v>
      </c>
      <c r="CI202" s="909">
        <f>(WWWW[[#This Row],['#_Constructed/Existing tube wells/boreholes/handpumps_WASH_agency]]+WWWW[[#This Row],['#_Non-Cluster partner water tube-wells/boreholes/handpumps]])-WWWW[[#This Row],['#_Non-functional tube wells/boreholes/handpumps]]</f>
        <v>0</v>
      </c>
      <c r="CJ202" s="909">
        <f>WWWW[[#This Row],['#_Constructed/Existingwater storage tank with gravity fed reticulation system]]-WWWW[[#This Row],['#_Non-functional storage tank gravity fed reticulation system]]</f>
        <v>0</v>
      </c>
      <c r="CK202" s="909">
        <f>(WWWW[[#This Row],['#_Water_Liters_supplied_by_Water boating or water trucking]]/90)/15</f>
        <v>0</v>
      </c>
      <c r="CL202" s="909">
        <f>WWWW[[#This Row],['#_Water_Liters_from_Constructed/Existing water distribution system from river or natural spring]]/90/15</f>
        <v>0</v>
      </c>
      <c r="CM202" s="417">
        <f>IF(WWWW[[#This Row],['#_of water points in TLS/CFS]]*500&gt;WWWW[[#This Row],[Total PoP ]],WWWW[[#This Row],[Total PoP ]],WWWW[[#This Row],['#_of water points in TLS/CFS]]*500)</f>
        <v>0</v>
      </c>
      <c r="CN202" s="417">
        <f>IF(WWWW[[#This Row],['#_of water points in THF]]*500&gt;WWWW[[#This Row],[Total PoP ]],WWWW[[#This Row],[Total PoP ]],WWWW[[#This Row],['#_of water points in THF]]*500)</f>
        <v>0</v>
      </c>
      <c r="CO202" s="417"/>
      <c r="CP202"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02"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02" s="908">
        <f>IF(WWWW[[#This Row],[Location Type 1]]="Village",WWWW[[#This Row],[Access to safe drinking water for Village]],WWWW[[#This Row],[Access to safe drinking water for Camp]])</f>
        <v>1</v>
      </c>
      <c r="CS202" s="906">
        <f>WWWW[[#This Row],[%Equitable and continuous access to sufficient quantity of safe drinking water]]*WWWW[[#This Row],[Total PoP ]]</f>
        <v>86</v>
      </c>
      <c r="CT202" s="908">
        <f>IF((WWWW[[#This Row],['#_Constructed/Existing protected/fenced ponds]]*250)/WWWW[[#This Row],[Total PoP ]]&gt;1,1,(WWWW[[#This Row],['#_Constructed/Existing protected/fenced ponds]]*250)/WWWW[[#This Row],[Total PoP ]])</f>
        <v>0</v>
      </c>
      <c r="CU202" s="906">
        <f>WWWW[[#This Row],[% Access to unimproved water points]]*WWWW[[#This Row],[Total PoP ]]</f>
        <v>0</v>
      </c>
      <c r="CV202"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02"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86</v>
      </c>
      <c r="CX202" s="906">
        <f>WWWW[[#This Row],[HRP1]]/500</f>
        <v>0.17199999999999999</v>
      </c>
      <c r="CY202" s="911">
        <f>1-WWWW[[#This Row],[% Equitable and continuous access to sufficient quantity of domestic water]]</f>
        <v>0</v>
      </c>
      <c r="CZ202" s="906">
        <f>WWWW[[#This Row],[%equitable and continuous access to sufficient quantity of safe drinking and domestic water''s GAP]]*WWWW[[#This Row],[Total PoP ]]</f>
        <v>0</v>
      </c>
      <c r="DA202" s="909">
        <f>IF(WWWW[[#This Row],[Total required water points]]-WWWW[[#This Row],['#Water points coverage]]&lt;0,0,WWWW[[#This Row],[Total required water points]]-WWWW[[#This Row],['#Water points coverage]])</f>
        <v>0.82800000000000007</v>
      </c>
      <c r="DB202" s="909">
        <f>ROUND(IF(WWWW[[#This Row],[Total PoP ]]&lt;500,1,WWWW[[#This Row],[Total PoP ]]/500),0)</f>
        <v>1</v>
      </c>
      <c r="DC202" s="909">
        <f>(WWWW[[#This Row],['#_Constructed latrines_by_WASHAgencies]]+WWWW[[#This Row],['#_Non Cluster partner latrines]])-WWWW[[#This Row],['#_Non-functional latrines]]</f>
        <v>4</v>
      </c>
      <c r="DD202" s="615">
        <f>WWWW[[#This Row],[HRP2]]/WWWW[[#This Row],[Total PoP ]]</f>
        <v>0.94186046511627908</v>
      </c>
      <c r="DE202"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81</v>
      </c>
      <c r="DF202"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DG202"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2" s="417">
        <f>IF(WWWW[[#This Row],['# of functional latrines in THF supported by WASH partners during the reporting period2]]="",0,WWWW[[#This Row],['# of functional latrines in THF supported by WASH partners during the reporting period2]]*50)</f>
        <v>0</v>
      </c>
      <c r="DI202" s="909">
        <f>ROUND(IF(WWWW[[#This Row],[Location Type 1]]="camp",WWWW[[#This Row],[Total PoP ]]/20,IF(WWWW[[#This Row],[Location Type 1]]="Temporary Location",WWWW[[#This Row],[Total PoP ]]/50,(WWWW[[#This Row],[Total PoP ]]/6))),0)</f>
        <v>4</v>
      </c>
      <c r="DJ202" s="909">
        <f>IF(WWWW[[#This Row],[Total required Latrines]]-(WWWW[[#This Row],['#_Constructed latrines_by_WASHAgencies]]+WWWW[[#This Row],['#_Non Cluster partner latrines]])&lt;0,0,WWWW[[#This Row],[Total required Latrines]]-(WWWW[[#This Row],['#_Constructed latrines_by_WASHAgencies]]+WWWW[[#This Row],['#_Non Cluster partner latrines]]))</f>
        <v>0</v>
      </c>
      <c r="DK202" s="911">
        <f>1-WWWW[[#This Row],[% people access to functioning Latrine]]</f>
        <v>5.8139534883720922E-2</v>
      </c>
      <c r="DL202" s="910">
        <f>IF(OR(WWWW[[#This Row],['#_Non-functional latrines]]="",WWWW[[#This Row],['#_Non-functional latrines]]=0),0,WWWW[[#This Row],['#_Non-functional latrines]]/(WWWW[[#This Row],['#_Constructed latrines_by_WASHAgencies]]+WWWW[[#This Row],['#_Non Cluster partner latrines]]))</f>
        <v>0</v>
      </c>
      <c r="DM202" s="906">
        <f>IF(500*(WWWW[[#This Row],['#_male hygiene promoters]]+WWWW[[#This Row],['#_female hygiene promoters]])&gt;WWWW[[#This Row],[Total PoP ]],WWWW[[#This Row],[Total PoP ]],500*(WWWW[[#This Row],['#_male hygiene promoters]]+WWWW[[#This Row],['#_female hygiene promoters]]))</f>
        <v>86</v>
      </c>
      <c r="DN202"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86</v>
      </c>
      <c r="DO202"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02" s="909">
        <f>IF(WWWW[[#This Row],['# People with access to soap]]&gt;WWWW[[#This Row],['# People with access to Sanity Pads]],WWWW[[#This Row],['# People with access to soap]],WWWW[[#This Row],['# People with access to Sanity Pads]])</f>
        <v>86</v>
      </c>
      <c r="DQ202" s="909">
        <f>IF(WWWW[[#This Row],['# people reached by regular dedicated hygiene promotion_5]]&gt;WWWW[[#This Row],['# People received regular supply of hygiene items_6]],WWWW[[#This Row],['# people reached by regular dedicated hygiene promotion_5]],WWWW[[#This Row],['# People received regular supply of hygiene items_6]])</f>
        <v>86</v>
      </c>
      <c r="DR202" s="911">
        <f>IF(WWWW[[#This Row],[HRP3]]/WWWW[[#This Row],[Total PoP ]]&gt;1,1,WWWW[[#This Row],[HRP3]]/WWWW[[#This Row],[Total PoP ]])</f>
        <v>1</v>
      </c>
      <c r="DS202" s="910">
        <f>1-WWWW[[#This Row],[Hygiene Coverage%]]</f>
        <v>0</v>
      </c>
      <c r="DT202" s="908">
        <f>WWWW[[#This Row],['# people reached by regular dedicated hygiene promotion_5]]/WWWW[[#This Row],[Total PoP ]]</f>
        <v>1</v>
      </c>
      <c r="DU202"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02"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02" s="909">
        <f>WWWW[[#This Row],['#_Constructed/Existing hand washing stations]]-WWWW[[#This Row],['#_Non-Functional_hand_washing_stations]]</f>
        <v>2</v>
      </c>
      <c r="DX202" s="906">
        <f>IF(WWWW[[#This Row],['# Functional hand washing stations during reporting period]]*20&gt;WWWW[[#This Row],[Total HH]],WWWW[[#This Row],[Total HH]],WWWW[[#This Row],['# Functional hand washing stations during reporting period]]*20)</f>
        <v>19</v>
      </c>
      <c r="DY202" s="906">
        <f>IF(WWWW[[#This Row],[Is sufficient soap available for TLS? (Yes/No)]]="yes",WWWW[[#This Row],['#_Constructed/Existing hand washing stations at TLS/CFS/THF]],0)</f>
        <v>0</v>
      </c>
      <c r="DZ202" s="421">
        <f>IF(WWWW[[#This Row],['# Functional hand washing stations during reporting period]]*100&gt;WWWW[[#This Row],[Total PoP ]],WWWW[[#This Row],[Total PoP ]],WWWW[[#This Row],['# Functional hand washing stations during reporting period]]*100)</f>
        <v>86</v>
      </c>
      <c r="EA202" s="421" t="str">
        <f>IF(OR(WWWW[[#This Row],['#_students at TLS_CFS]]="",WWWW[[#This Row],['#_students at TLS_CFS]]=0),"No","Yes")</f>
        <v>Yes</v>
      </c>
      <c r="EB20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02" s="566">
        <f>WWWW[[#This Row],[%_of_affected_people_surveyed_who_report_feeling_satistfied_with_the_latrine_design_and_sanitation_service]]*WWWW[[#This Row],[Total PoP ]]</f>
        <v>77.400000000000006</v>
      </c>
      <c r="ED202" s="566">
        <f>WWWW[[#This Row],[%_of_affected_people_surveyed_who_report_feeling_satistfied_with_the_water_point_design_and_water_service]]*WWWW[[#This Row],[Total PoP ]]</f>
        <v>77.400000000000006</v>
      </c>
      <c r="EE202" s="566">
        <f>WWWW[[#This Row],[%_of_complaints_received_that_result_in_timely_corrective_action_and_feedback_to_the_community]]*WWWW[[#This Row],[Total PoP ]]</f>
        <v>77.400000000000006</v>
      </c>
      <c r="EF20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77.400000000000006</v>
      </c>
      <c r="EG20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0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02" s="902" t="str">
        <f>VLOOKUP(WWWW[[#This Row],[Site Name]],SiteDB6[[Site Name]:[CCCM Management]],6,FALSE)</f>
        <v>Yes</v>
      </c>
      <c r="EJ202" s="902" t="str">
        <f>VLOOKUP(WWWW[[#This Row],[Site Name]],SiteDB6[[Site Name]:[CCCM Focal Agency]],7,FALSE)</f>
        <v>Shalom</v>
      </c>
      <c r="EK202" s="902" t="str">
        <f>VLOOKUP(WWWW[[#This Row],[Site Name]],SiteDB6[[Site Name]:[Location Type 1]],9,FALSE)</f>
        <v>Camp</v>
      </c>
      <c r="EL202" s="902" t="str">
        <f>VLOOKUP(WWWW[[#This Row],[Site Name]],SiteDB6[[Site Name]:[Type of Accommodation]],10,FALSE)</f>
        <v>Closed Camp</v>
      </c>
      <c r="EM202" s="902" t="str">
        <f>VLOOKUP(WWWW[[#This Row],[Site Name]],SiteDB6[[Site Name]:[Ethnic or GCA/NGCA]],11,FALSE)</f>
        <v>GCA</v>
      </c>
      <c r="EN202" s="902">
        <f>VLOOKUP(WWWW[[#This Row],[Site Name]],SiteDB6[[Site Name]:[Lat]],12,FALSE)</f>
        <v>25.351965</v>
      </c>
      <c r="EO202" s="902">
        <f>VLOOKUP(WWWW[[#This Row],[Site Name]],SiteDB6[[Site Name]:[Long]],13,FALSE)</f>
        <v>97.345039</v>
      </c>
      <c r="EP202" s="902" t="str">
        <f>VLOOKUP(WWWW[[#This Row],[Site Name]],SiteDB6[[Site Name]:[Pcode]],3,FALSE)</f>
        <v>MMR001CMP033</v>
      </c>
      <c r="EQ202" s="907" t="str">
        <f t="shared" si="3"/>
        <v>Covered</v>
      </c>
      <c r="ER202" s="907" t="s">
        <v>3126</v>
      </c>
      <c r="ES202" s="907" t="s">
        <v>3126</v>
      </c>
      <c r="ET202" s="902">
        <f>VLOOKUP(WWWW[[#This Row],[Site Name]],SiteDB6[[Site Name]:[Pop
(Kachin/Shan-CCCM as of May 2023)]],16,FALSE)</f>
        <v>19</v>
      </c>
      <c r="EU202" s="902">
        <f>VLOOKUP(WWWW[[#This Row],[Site Name]],SiteDB6[[Site Name]:[Pop
(Kachin/Shan-CCCM as of May 2023)]],17,FALSE)</f>
        <v>86</v>
      </c>
    </row>
    <row r="203" spans="1:151" hidden="1">
      <c r="A203" s="900" t="s">
        <v>2961</v>
      </c>
      <c r="B203" s="900" t="s">
        <v>242</v>
      </c>
      <c r="C203" s="901" t="s">
        <v>242</v>
      </c>
      <c r="D203" s="901" t="s">
        <v>3184</v>
      </c>
      <c r="E203" s="901" t="s">
        <v>37</v>
      </c>
      <c r="F203" s="901" t="s">
        <v>142</v>
      </c>
      <c r="G203" s="902" t="str">
        <f>VLOOKUP(WWWW[[#This Row],[Site Name]],SiteDB6[[Site Name]:[Location Type]],8,FALSE)</f>
        <v>Camp</v>
      </c>
      <c r="H203" s="901" t="s">
        <v>271</v>
      </c>
      <c r="I203" s="903">
        <v>71</v>
      </c>
      <c r="J203" s="903">
        <v>298</v>
      </c>
      <c r="K203" s="904">
        <v>44927</v>
      </c>
      <c r="L203" s="905">
        <v>45291</v>
      </c>
      <c r="M203" s="903"/>
      <c r="N203" s="903"/>
      <c r="O203" s="903">
        <v>1</v>
      </c>
      <c r="P203" s="903"/>
      <c r="Q203" s="906" t="s">
        <v>41</v>
      </c>
      <c r="R203" s="903">
        <v>2</v>
      </c>
      <c r="S203" s="903">
        <v>5</v>
      </c>
      <c r="T203" s="441">
        <v>1</v>
      </c>
      <c r="U203" s="903">
        <v>1</v>
      </c>
      <c r="V203" s="903"/>
      <c r="W203" s="903">
        <v>1</v>
      </c>
      <c r="X203" s="903"/>
      <c r="Y203" s="903"/>
      <c r="Z203" s="903"/>
      <c r="AA203" s="903"/>
      <c r="AB203" s="903"/>
      <c r="AC203" s="903"/>
      <c r="AD203" s="903"/>
      <c r="AE203" s="903"/>
      <c r="AF203" s="903"/>
      <c r="AG203" s="903"/>
      <c r="AH203" s="903"/>
      <c r="AI203" s="903"/>
      <c r="AJ203" s="903"/>
      <c r="AK203" s="903"/>
      <c r="AL203" s="903"/>
      <c r="AM203" s="903"/>
      <c r="AN203" s="903"/>
      <c r="AO203" s="441">
        <v>3</v>
      </c>
      <c r="AP203" s="907"/>
      <c r="AQ203" s="903">
        <v>16</v>
      </c>
      <c r="AR203" s="903"/>
      <c r="AS203" s="908" t="s">
        <v>3195</v>
      </c>
      <c r="AT203" s="903"/>
      <c r="AU203" s="903"/>
      <c r="AV203" s="903"/>
      <c r="AW203" s="903"/>
      <c r="AX203" s="903"/>
      <c r="AY203" s="902" t="s">
        <v>41</v>
      </c>
      <c r="AZ203" s="907" t="s">
        <v>137</v>
      </c>
      <c r="BA203" s="903">
        <v>1</v>
      </c>
      <c r="BB203" s="903"/>
      <c r="BC203" s="903"/>
      <c r="BD203" s="441"/>
      <c r="BE203" s="441"/>
      <c r="BF203" s="902" t="s">
        <v>3196</v>
      </c>
      <c r="BG203" s="903">
        <v>7</v>
      </c>
      <c r="BH203" s="903"/>
      <c r="BI203" s="903"/>
      <c r="BJ203" s="903">
        <v>5</v>
      </c>
      <c r="BK203" s="903"/>
      <c r="BL203" s="903"/>
      <c r="BM203" s="903">
        <v>1</v>
      </c>
      <c r="BN203" s="903">
        <v>71</v>
      </c>
      <c r="BO203" s="903"/>
      <c r="BP203" s="902"/>
      <c r="BQ203" s="909">
        <v>1</v>
      </c>
      <c r="BR203" s="908">
        <v>0.9</v>
      </c>
      <c r="BS203" s="902"/>
      <c r="BT203" s="416">
        <v>0.99</v>
      </c>
      <c r="BU203" s="416">
        <v>0.9</v>
      </c>
      <c r="BV203" s="418">
        <v>100</v>
      </c>
      <c r="BW203" s="416">
        <v>0.8</v>
      </c>
      <c r="BX203" s="441"/>
      <c r="BY203" s="441"/>
      <c r="BZ203" s="441"/>
      <c r="CA203" s="441"/>
      <c r="CB203" s="441"/>
      <c r="CC203" s="693"/>
      <c r="CD203" s="441"/>
      <c r="CE203" s="910" t="str">
        <f>IFERROR(WWWW[[#This Row],['#_Water sources passed]]/WWWW[[#This Row],['#_Water sources tested for fecal coliform ]],"no test")</f>
        <v>no test</v>
      </c>
      <c r="CF203" s="908" t="str">
        <f>IFERROR(WWWW[[#This Row],['#_Household passed]]/WWWW[[#This Row],['#_Household water samples tested for fecal coliform]],"no test")</f>
        <v>no test</v>
      </c>
      <c r="CG203" s="909" t="str">
        <f>IF(AND(WWWW[[#This Row],[% of water sources passed]]="no test",WWWW[[#This Row],[% Household passed]]="no test"),"No Test","Tested")</f>
        <v>No Test</v>
      </c>
      <c r="CH203" s="909">
        <f>WWWW[[#This Row],['#_Constructed/existing protected hand dug well]]-WWWW[[#This Row],['#_Non-functional protected hand dug well]]</f>
        <v>0</v>
      </c>
      <c r="CI203" s="909">
        <f>(WWWW[[#This Row],['#_Constructed/Existing tube wells/boreholes/handpumps_WASH_agency]]+WWWW[[#This Row],['#_Non-Cluster partner water tube-wells/boreholes/handpumps]])-WWWW[[#This Row],['#_Non-functional tube wells/boreholes/handpumps]]</f>
        <v>1</v>
      </c>
      <c r="CJ203" s="909">
        <f>WWWW[[#This Row],['#_Constructed/Existingwater storage tank with gravity fed reticulation system]]-WWWW[[#This Row],['#_Non-functional storage tank gravity fed reticulation system]]</f>
        <v>0</v>
      </c>
      <c r="CK203" s="909">
        <f>(WWWW[[#This Row],['#_Water_Liters_supplied_by_Water boating or water trucking]]/90)/15</f>
        <v>0</v>
      </c>
      <c r="CL203" s="909">
        <f>WWWW[[#This Row],['#_Water_Liters_from_Constructed/Existing water distribution system from river or natural spring]]/90/15</f>
        <v>0</v>
      </c>
      <c r="CM203" s="417">
        <f>IF(WWWW[[#This Row],['#_of water points in TLS/CFS]]*500&gt;WWWW[[#This Row],[Total PoP ]],WWWW[[#This Row],[Total PoP ]],WWWW[[#This Row],['#_of water points in TLS/CFS]]*500)</f>
        <v>0</v>
      </c>
      <c r="CN203" s="417">
        <f>IF(WWWW[[#This Row],['#_of water points in THF]]*500&gt;WWWW[[#This Row],[Total PoP ]],WWWW[[#This Row],[Total PoP ]],WWWW[[#This Row],['#_of water points in THF]]*500)</f>
        <v>298</v>
      </c>
      <c r="CO203" s="417"/>
      <c r="CP203"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03"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0.83892617449664431</v>
      </c>
      <c r="CR203" s="908">
        <f>IF(WWWW[[#This Row],[Location Type 1]]="Village",WWWW[[#This Row],[Access to safe drinking water for Village]],WWWW[[#This Row],[Access to safe drinking water for Camp]])</f>
        <v>1</v>
      </c>
      <c r="CS203" s="906">
        <f>WWWW[[#This Row],[%Equitable and continuous access to sufficient quantity of safe drinking water]]*WWWW[[#This Row],[Total PoP ]]</f>
        <v>298</v>
      </c>
      <c r="CT203" s="908">
        <f>IF((WWWW[[#This Row],['#_Constructed/Existing protected/fenced ponds]]*250)/WWWW[[#This Row],[Total PoP ]]&gt;1,1,(WWWW[[#This Row],['#_Constructed/Existing protected/fenced ponds]]*250)/WWWW[[#This Row],[Total PoP ]])</f>
        <v>0</v>
      </c>
      <c r="CU203" s="906">
        <f>WWWW[[#This Row],[% Access to unimproved water points]]*WWWW[[#This Row],[Total PoP ]]</f>
        <v>0</v>
      </c>
      <c r="CV203"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03"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298</v>
      </c>
      <c r="CX203" s="906">
        <f>WWWW[[#This Row],[HRP1]]/500</f>
        <v>0.59599999999999997</v>
      </c>
      <c r="CY203" s="911">
        <f>1-WWWW[[#This Row],[% Equitable and continuous access to sufficient quantity of domestic water]]</f>
        <v>0</v>
      </c>
      <c r="CZ203" s="906">
        <f>WWWW[[#This Row],[%equitable and continuous access to sufficient quantity of safe drinking and domestic water''s GAP]]*WWWW[[#This Row],[Total PoP ]]</f>
        <v>0</v>
      </c>
      <c r="DA203" s="909">
        <f>IF(WWWW[[#This Row],[Total required water points]]-WWWW[[#This Row],['#Water points coverage]]&lt;0,0,WWWW[[#This Row],[Total required water points]]-WWWW[[#This Row],['#Water points coverage]])</f>
        <v>0.40400000000000003</v>
      </c>
      <c r="DB203" s="909">
        <f>ROUND(IF(WWWW[[#This Row],[Total PoP ]]&lt;500,1,WWWW[[#This Row],[Total PoP ]]/500),0)</f>
        <v>1</v>
      </c>
      <c r="DC203" s="909">
        <f>(WWWW[[#This Row],['#_Constructed latrines_by_WASHAgencies]]+WWWW[[#This Row],['#_Non Cluster partner latrines]])-WWWW[[#This Row],['#_Non-functional latrines]]</f>
        <v>16</v>
      </c>
      <c r="DD203" s="615">
        <f>WWWW[[#This Row],[HRP2]]/WWWW[[#This Row],[Total PoP ]]</f>
        <v>1</v>
      </c>
      <c r="DE203"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298</v>
      </c>
      <c r="DF203"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03"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3" s="417">
        <f>IF(WWWW[[#This Row],['# of functional latrines in THF supported by WASH partners during the reporting period2]]="",0,WWWW[[#This Row],['# of functional latrines in THF supported by WASH partners during the reporting period2]]*50)</f>
        <v>0</v>
      </c>
      <c r="DI203" s="909">
        <f>ROUND(IF(WWWW[[#This Row],[Location Type 1]]="camp",WWWW[[#This Row],[Total PoP ]]/20,IF(WWWW[[#This Row],[Location Type 1]]="Temporary Location",WWWW[[#This Row],[Total PoP ]]/50,(WWWW[[#This Row],[Total PoP ]]/6))),0)</f>
        <v>15</v>
      </c>
      <c r="DJ203" s="909">
        <f>IF(WWWW[[#This Row],[Total required Latrines]]-(WWWW[[#This Row],['#_Constructed latrines_by_WASHAgencies]]+WWWW[[#This Row],['#_Non Cluster partner latrines]])&lt;0,0,WWWW[[#This Row],[Total required Latrines]]-(WWWW[[#This Row],['#_Constructed latrines_by_WASHAgencies]]+WWWW[[#This Row],['#_Non Cluster partner latrines]]))</f>
        <v>0</v>
      </c>
      <c r="DK203" s="911">
        <f>1-WWWW[[#This Row],[% people access to functioning Latrine]]</f>
        <v>0</v>
      </c>
      <c r="DL203" s="910">
        <f>IF(OR(WWWW[[#This Row],['#_Non-functional latrines]]="",WWWW[[#This Row],['#_Non-functional latrines]]=0),0,WWWW[[#This Row],['#_Non-functional latrines]]/(WWWW[[#This Row],['#_Constructed latrines_by_WASHAgencies]]+WWWW[[#This Row],['#_Non Cluster partner latrines]]))</f>
        <v>0</v>
      </c>
      <c r="DM203" s="906">
        <f>IF(500*(WWWW[[#This Row],['#_male hygiene promoters]]+WWWW[[#This Row],['#_female hygiene promoters]])&gt;WWWW[[#This Row],[Total PoP ]],WWWW[[#This Row],[Total PoP ]],500*(WWWW[[#This Row],['#_male hygiene promoters]]+WWWW[[#This Row],['#_female hygiene promoters]]))</f>
        <v>298</v>
      </c>
      <c r="DN203"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298</v>
      </c>
      <c r="DO203"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03" s="909">
        <f>IF(WWWW[[#This Row],['# People with access to soap]]&gt;WWWW[[#This Row],['# People with access to Sanity Pads]],WWWW[[#This Row],['# People with access to soap]],WWWW[[#This Row],['# People with access to Sanity Pads]])</f>
        <v>298</v>
      </c>
      <c r="DQ203" s="909">
        <f>IF(WWWW[[#This Row],['# people reached by regular dedicated hygiene promotion_5]]&gt;WWWW[[#This Row],['# People received regular supply of hygiene items_6]],WWWW[[#This Row],['# people reached by regular dedicated hygiene promotion_5]],WWWW[[#This Row],['# People received regular supply of hygiene items_6]])</f>
        <v>298</v>
      </c>
      <c r="DR203" s="911">
        <f>IF(WWWW[[#This Row],[HRP3]]/WWWW[[#This Row],[Total PoP ]]&gt;1,1,WWWW[[#This Row],[HRP3]]/WWWW[[#This Row],[Total PoP ]])</f>
        <v>1</v>
      </c>
      <c r="DS203" s="910">
        <f>1-WWWW[[#This Row],[Hygiene Coverage%]]</f>
        <v>0</v>
      </c>
      <c r="DT203" s="908">
        <f>WWWW[[#This Row],['# people reached by regular dedicated hygiene promotion_5]]/WWWW[[#This Row],[Total PoP ]]</f>
        <v>1</v>
      </c>
      <c r="DU203"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03"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03" s="909">
        <f>WWWW[[#This Row],['#_Constructed/Existing hand washing stations]]-WWWW[[#This Row],['#_Non-Functional_hand_washing_stations]]</f>
        <v>7</v>
      </c>
      <c r="DX203" s="906">
        <f>IF(WWWW[[#This Row],['# Functional hand washing stations during reporting period]]*20&gt;WWWW[[#This Row],[Total HH]],WWWW[[#This Row],[Total HH]],WWWW[[#This Row],['# Functional hand washing stations during reporting period]]*20)</f>
        <v>71</v>
      </c>
      <c r="DY203" s="906">
        <f>IF(WWWW[[#This Row],[Is sufficient soap available for TLS? (Yes/No)]]="yes",WWWW[[#This Row],['#_Constructed/Existing hand washing stations at TLS/CFS/THF]],0)</f>
        <v>0</v>
      </c>
      <c r="DZ203" s="421">
        <f>IF(WWWW[[#This Row],['# Functional hand washing stations during reporting period]]*100&gt;WWWW[[#This Row],[Total PoP ]],WWWW[[#This Row],[Total PoP ]],WWWW[[#This Row],['# Functional hand washing stations during reporting period]]*100)</f>
        <v>298</v>
      </c>
      <c r="EA203" s="421" t="str">
        <f>IF(OR(WWWW[[#This Row],['#_students at TLS_CFS]]="",WWWW[[#This Row],['#_students at TLS_CFS]]=0),"No","Yes")</f>
        <v>No</v>
      </c>
      <c r="EB203" s="615">
        <f>IF(WWWW[[#This Row],['#_of_affected_people_surveyed_who_report_feeling_informed_about_the_different_WASH_services_available_to_them]]="","",WWWW[[#This Row],['#_of_affected_people_surveyed_who_report_feeling_informed_about_the_different_WASH_services_available_to_them]]/WWWW[[#This Row],[Total PoP ]])</f>
        <v>0.33557046979865773</v>
      </c>
      <c r="EC203" s="566">
        <f>WWWW[[#This Row],[%_of_affected_people_surveyed_who_report_feeling_satistfied_with_the_latrine_design_and_sanitation_service]]*WWWW[[#This Row],[Total PoP ]]</f>
        <v>295.02</v>
      </c>
      <c r="ED203" s="566">
        <f>WWWW[[#This Row],[%_of_affected_people_surveyed_who_report_feeling_satistfied_with_the_water_point_design_and_water_service]]*WWWW[[#This Row],[Total PoP ]]</f>
        <v>268.2</v>
      </c>
      <c r="EE203" s="566">
        <f>WWWW[[#This Row],[%_of_complaints_received_that_result_in_timely_corrective_action_and_feedback_to_the_community]]*WWWW[[#This Row],[Total PoP ]]</f>
        <v>238.4</v>
      </c>
      <c r="EF20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295.02</v>
      </c>
      <c r="EG20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0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298</v>
      </c>
      <c r="EI203" s="902" t="str">
        <f>VLOOKUP(WWWW[[#This Row],[Site Name]],SiteDB6[[Site Name]:[CCCM Management]],6,FALSE)</f>
        <v>Yes</v>
      </c>
      <c r="EJ203" s="902" t="str">
        <f>VLOOKUP(WWWW[[#This Row],[Site Name]],SiteDB6[[Site Name]:[CCCM Focal Agency]],7,FALSE)</f>
        <v>Shalom</v>
      </c>
      <c r="EK203" s="902" t="str">
        <f>VLOOKUP(WWWW[[#This Row],[Site Name]],SiteDB6[[Site Name]:[Location Type 1]],9,FALSE)</f>
        <v>Camp</v>
      </c>
      <c r="EL203" s="902" t="str">
        <f>VLOOKUP(WWWW[[#This Row],[Site Name]],SiteDB6[[Site Name]:[Type of Accommodation]],10,FALSE)</f>
        <v>Camp</v>
      </c>
      <c r="EM203" s="902" t="str">
        <f>VLOOKUP(WWWW[[#This Row],[Site Name]],SiteDB6[[Site Name]:[Ethnic or GCA/NGCA]],11,FALSE)</f>
        <v>GCA</v>
      </c>
      <c r="EN203" s="902">
        <f>VLOOKUP(WWWW[[#This Row],[Site Name]],SiteDB6[[Site Name]:[Lat]],12,FALSE)</f>
        <v>25.3540362037037</v>
      </c>
      <c r="EO203" s="902">
        <f>VLOOKUP(WWWW[[#This Row],[Site Name]],SiteDB6[[Site Name]:[Long]],13,FALSE)</f>
        <v>97.441166388888902</v>
      </c>
      <c r="EP203" s="902" t="str">
        <f>VLOOKUP(WWWW[[#This Row],[Site Name]],SiteDB6[[Site Name]:[Pcode]],3,FALSE)</f>
        <v>MMR001CMP032</v>
      </c>
      <c r="EQ203" s="907" t="str">
        <f t="shared" si="3"/>
        <v>Covered</v>
      </c>
      <c r="ER203" s="907" t="s">
        <v>3126</v>
      </c>
      <c r="ES203" s="907" t="s">
        <v>3126</v>
      </c>
      <c r="ET203" s="902">
        <f>VLOOKUP(WWWW[[#This Row],[Site Name]],SiteDB6[[Site Name]:[Pop
(Kachin/Shan-CCCM as of May 2023)]],16,FALSE)</f>
        <v>115</v>
      </c>
      <c r="EU203" s="902">
        <f>VLOOKUP(WWWW[[#This Row],[Site Name]],SiteDB6[[Site Name]:[Pop
(Kachin/Shan-CCCM as of May 2023)]],17,FALSE)</f>
        <v>528</v>
      </c>
    </row>
    <row r="204" spans="1:151" hidden="1">
      <c r="A204" s="900" t="s">
        <v>2961</v>
      </c>
      <c r="B204" s="900" t="s">
        <v>242</v>
      </c>
      <c r="C204" s="901" t="s">
        <v>242</v>
      </c>
      <c r="D204" s="901" t="s">
        <v>3184</v>
      </c>
      <c r="E204" s="901" t="s">
        <v>37</v>
      </c>
      <c r="F204" s="901" t="s">
        <v>142</v>
      </c>
      <c r="G204" s="902" t="str">
        <f>VLOOKUP(WWWW[[#This Row],[Site Name]],SiteDB6[[Site Name]:[Location Type]],8,FALSE)</f>
        <v>Camp</v>
      </c>
      <c r="H204" s="901" t="s">
        <v>274</v>
      </c>
      <c r="I204" s="903">
        <v>43</v>
      </c>
      <c r="J204" s="903">
        <v>186</v>
      </c>
      <c r="K204" s="904">
        <v>44927</v>
      </c>
      <c r="L204" s="905">
        <v>45291</v>
      </c>
      <c r="M204" s="903"/>
      <c r="N204" s="903"/>
      <c r="O204" s="903">
        <v>1</v>
      </c>
      <c r="P204" s="903"/>
      <c r="Q204" s="906" t="s">
        <v>41</v>
      </c>
      <c r="R204" s="903">
        <v>2</v>
      </c>
      <c r="S204" s="903">
        <v>3</v>
      </c>
      <c r="T204" s="441">
        <v>1</v>
      </c>
      <c r="U204" s="903"/>
      <c r="V204" s="903"/>
      <c r="W204" s="903"/>
      <c r="X204" s="903"/>
      <c r="Y204" s="903"/>
      <c r="Z204" s="903"/>
      <c r="AA204" s="903"/>
      <c r="AB204" s="903"/>
      <c r="AC204" s="903"/>
      <c r="AD204" s="903"/>
      <c r="AE204" s="903"/>
      <c r="AF204" s="903"/>
      <c r="AG204" s="903"/>
      <c r="AH204" s="903"/>
      <c r="AI204" s="903"/>
      <c r="AJ204" s="903"/>
      <c r="AK204" s="903"/>
      <c r="AL204" s="903"/>
      <c r="AM204" s="903">
        <v>4</v>
      </c>
      <c r="AN204" s="903"/>
      <c r="AO204" s="441"/>
      <c r="AP204" s="907" t="s">
        <v>3197</v>
      </c>
      <c r="AQ204" s="903">
        <v>6</v>
      </c>
      <c r="AR204" s="903"/>
      <c r="AS204" s="908"/>
      <c r="AT204" s="903"/>
      <c r="AU204" s="903"/>
      <c r="AV204" s="903"/>
      <c r="AW204" s="903"/>
      <c r="AX204" s="903"/>
      <c r="AY204" s="902" t="s">
        <v>41</v>
      </c>
      <c r="AZ204" s="907" t="s">
        <v>137</v>
      </c>
      <c r="BA204" s="903"/>
      <c r="BB204" s="903"/>
      <c r="BC204" s="903"/>
      <c r="BD204" s="441"/>
      <c r="BE204" s="441"/>
      <c r="BF204" s="902"/>
      <c r="BG204" s="903">
        <v>4</v>
      </c>
      <c r="BH204" s="903"/>
      <c r="BI204" s="903"/>
      <c r="BJ204" s="903">
        <v>2</v>
      </c>
      <c r="BK204" s="903"/>
      <c r="BL204" s="903"/>
      <c r="BM204" s="903">
        <v>1</v>
      </c>
      <c r="BN204" s="903"/>
      <c r="BO204" s="903"/>
      <c r="BP204" s="902"/>
      <c r="BQ204" s="909">
        <v>1</v>
      </c>
      <c r="BR204" s="908">
        <v>0.5</v>
      </c>
      <c r="BS204" s="902"/>
      <c r="BT204" s="416">
        <v>0.9</v>
      </c>
      <c r="BU204" s="416">
        <v>0.95</v>
      </c>
      <c r="BV204" s="418"/>
      <c r="BW204" s="416">
        <v>0.99</v>
      </c>
      <c r="BX204" s="441"/>
      <c r="BY204" s="441"/>
      <c r="BZ204" s="441"/>
      <c r="CA204" s="441"/>
      <c r="CB204" s="441"/>
      <c r="CC204" s="693"/>
      <c r="CD204" s="441"/>
      <c r="CE204" s="910" t="str">
        <f>IFERROR(WWWW[[#This Row],['#_Water sources passed]]/WWWW[[#This Row],['#_Water sources tested for fecal coliform ]],"no test")</f>
        <v>no test</v>
      </c>
      <c r="CF204" s="908" t="str">
        <f>IFERROR(WWWW[[#This Row],['#_Household passed]]/WWWW[[#This Row],['#_Household water samples tested for fecal coliform]],"no test")</f>
        <v>no test</v>
      </c>
      <c r="CG204" s="909" t="str">
        <f>IF(AND(WWWW[[#This Row],[% of water sources passed]]="no test",WWWW[[#This Row],[% Household passed]]="no test"),"No Test","Tested")</f>
        <v>No Test</v>
      </c>
      <c r="CH204" s="909">
        <f>WWWW[[#This Row],['#_Constructed/existing protected hand dug well]]-WWWW[[#This Row],['#_Non-functional protected hand dug well]]</f>
        <v>1</v>
      </c>
      <c r="CI204" s="909">
        <f>(WWWW[[#This Row],['#_Constructed/Existing tube wells/boreholes/handpumps_WASH_agency]]+WWWW[[#This Row],['#_Non-Cluster partner water tube-wells/boreholes/handpumps]])-WWWW[[#This Row],['#_Non-functional tube wells/boreholes/handpumps]]</f>
        <v>0</v>
      </c>
      <c r="CJ204" s="909">
        <f>WWWW[[#This Row],['#_Constructed/Existingwater storage tank with gravity fed reticulation system]]-WWWW[[#This Row],['#_Non-functional storage tank gravity fed reticulation system]]</f>
        <v>0</v>
      </c>
      <c r="CK204" s="909">
        <f>(WWWW[[#This Row],['#_Water_Liters_supplied_by_Water boating or water trucking]]/90)/15</f>
        <v>0</v>
      </c>
      <c r="CL204" s="909">
        <f>WWWW[[#This Row],['#_Water_Liters_from_Constructed/Existing water distribution system from river or natural spring]]/90/15</f>
        <v>0</v>
      </c>
      <c r="CM204" s="417">
        <f>IF(WWWW[[#This Row],['#_of water points in TLS/CFS]]*500&gt;WWWW[[#This Row],[Total PoP ]],WWWW[[#This Row],[Total PoP ]],WWWW[[#This Row],['#_of water points in TLS/CFS]]*500)</f>
        <v>0</v>
      </c>
      <c r="CN204" s="417">
        <f>IF(WWWW[[#This Row],['#_of water points in THF]]*500&gt;WWWW[[#This Row],[Total PoP ]],WWWW[[#This Row],[Total PoP ]],WWWW[[#This Row],['#_of water points in THF]]*500)</f>
        <v>0</v>
      </c>
      <c r="CO204" s="417"/>
      <c r="CP204"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04"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04" s="908">
        <f>IF(WWWW[[#This Row],[Location Type 1]]="Village",WWWW[[#This Row],[Access to safe drinking water for Village]],WWWW[[#This Row],[Access to safe drinking water for Camp]])</f>
        <v>1</v>
      </c>
      <c r="CS204" s="906">
        <f>WWWW[[#This Row],[%Equitable and continuous access to sufficient quantity of safe drinking water]]*WWWW[[#This Row],[Total PoP ]]</f>
        <v>186</v>
      </c>
      <c r="CT204" s="908">
        <f>IF((WWWW[[#This Row],['#_Constructed/Existing protected/fenced ponds]]*250)/WWWW[[#This Row],[Total PoP ]]&gt;1,1,(WWWW[[#This Row],['#_Constructed/Existing protected/fenced ponds]]*250)/WWWW[[#This Row],[Total PoP ]])</f>
        <v>0</v>
      </c>
      <c r="CU204" s="906">
        <f>WWWW[[#This Row],[% Access to unimproved water points]]*WWWW[[#This Row],[Total PoP ]]</f>
        <v>0</v>
      </c>
      <c r="CV204"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04"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186</v>
      </c>
      <c r="CX204" s="906">
        <f>WWWW[[#This Row],[HRP1]]/500</f>
        <v>0.372</v>
      </c>
      <c r="CY204" s="911">
        <f>1-WWWW[[#This Row],[% Equitable and continuous access to sufficient quantity of domestic water]]</f>
        <v>0</v>
      </c>
      <c r="CZ204" s="906">
        <f>WWWW[[#This Row],[%equitable and continuous access to sufficient quantity of safe drinking and domestic water''s GAP]]*WWWW[[#This Row],[Total PoP ]]</f>
        <v>0</v>
      </c>
      <c r="DA204" s="909">
        <f>IF(WWWW[[#This Row],[Total required water points]]-WWWW[[#This Row],['#Water points coverage]]&lt;0,0,WWWW[[#This Row],[Total required water points]]-WWWW[[#This Row],['#Water points coverage]])</f>
        <v>0.628</v>
      </c>
      <c r="DB204" s="909">
        <f>ROUND(IF(WWWW[[#This Row],[Total PoP ]]&lt;500,1,WWWW[[#This Row],[Total PoP ]]/500),0)</f>
        <v>1</v>
      </c>
      <c r="DC204" s="909">
        <f>(WWWW[[#This Row],['#_Constructed latrines_by_WASHAgencies]]+WWWW[[#This Row],['#_Non Cluster partner latrines]])-WWWW[[#This Row],['#_Non-functional latrines]]</f>
        <v>6</v>
      </c>
      <c r="DD204" s="615">
        <f>WWWW[[#This Row],[HRP2]]/WWWW[[#This Row],[Total PoP ]]</f>
        <v>0.64516129032258063</v>
      </c>
      <c r="DE204"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120</v>
      </c>
      <c r="DF204"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04"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4" s="417">
        <f>IF(WWWW[[#This Row],['# of functional latrines in THF supported by WASH partners during the reporting period2]]="",0,WWWW[[#This Row],['# of functional latrines in THF supported by WASH partners during the reporting period2]]*50)</f>
        <v>0</v>
      </c>
      <c r="DI204" s="909">
        <f>ROUND(IF(WWWW[[#This Row],[Location Type 1]]="camp",WWWW[[#This Row],[Total PoP ]]/20,IF(WWWW[[#This Row],[Location Type 1]]="Temporary Location",WWWW[[#This Row],[Total PoP ]]/50,(WWWW[[#This Row],[Total PoP ]]/6))),0)</f>
        <v>9</v>
      </c>
      <c r="DJ204" s="909">
        <f>IF(WWWW[[#This Row],[Total required Latrines]]-(WWWW[[#This Row],['#_Constructed latrines_by_WASHAgencies]]+WWWW[[#This Row],['#_Non Cluster partner latrines]])&lt;0,0,WWWW[[#This Row],[Total required Latrines]]-(WWWW[[#This Row],['#_Constructed latrines_by_WASHAgencies]]+WWWW[[#This Row],['#_Non Cluster partner latrines]]))</f>
        <v>3</v>
      </c>
      <c r="DK204" s="911">
        <f>1-WWWW[[#This Row],[% people access to functioning Latrine]]</f>
        <v>0.35483870967741937</v>
      </c>
      <c r="DL204" s="910">
        <f>IF(OR(WWWW[[#This Row],['#_Non-functional latrines]]="",WWWW[[#This Row],['#_Non-functional latrines]]=0),0,WWWW[[#This Row],['#_Non-functional latrines]]/(WWWW[[#This Row],['#_Constructed latrines_by_WASHAgencies]]+WWWW[[#This Row],['#_Non Cluster partner latrines]]))</f>
        <v>0</v>
      </c>
      <c r="DM204" s="906">
        <f>IF(500*(WWWW[[#This Row],['#_male hygiene promoters]]+WWWW[[#This Row],['#_female hygiene promoters]])&gt;WWWW[[#This Row],[Total PoP ]],WWWW[[#This Row],[Total PoP ]],500*(WWWW[[#This Row],['#_male hygiene promoters]]+WWWW[[#This Row],['#_female hygiene promoters]]))</f>
        <v>186</v>
      </c>
      <c r="DN204"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04"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04" s="909">
        <f>IF(WWWW[[#This Row],['# People with access to soap]]&gt;WWWW[[#This Row],['# People with access to Sanity Pads]],WWWW[[#This Row],['# People with access to soap]],WWWW[[#This Row],['# People with access to Sanity Pads]])</f>
        <v>0</v>
      </c>
      <c r="DQ204" s="909">
        <f>IF(WWWW[[#This Row],['# people reached by regular dedicated hygiene promotion_5]]&gt;WWWW[[#This Row],['# People received regular supply of hygiene items_6]],WWWW[[#This Row],['# people reached by regular dedicated hygiene promotion_5]],WWWW[[#This Row],['# People received regular supply of hygiene items_6]])</f>
        <v>186</v>
      </c>
      <c r="DR204" s="911">
        <f>IF(WWWW[[#This Row],[HRP3]]/WWWW[[#This Row],[Total PoP ]]&gt;1,1,WWWW[[#This Row],[HRP3]]/WWWW[[#This Row],[Total PoP ]])</f>
        <v>1</v>
      </c>
      <c r="DS204" s="910">
        <f>1-WWWW[[#This Row],[Hygiene Coverage%]]</f>
        <v>0</v>
      </c>
      <c r="DT204" s="908">
        <f>WWWW[[#This Row],['# people reached by regular dedicated hygiene promotion_5]]/WWWW[[#This Row],[Total PoP ]]</f>
        <v>1</v>
      </c>
      <c r="DU204"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04"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04" s="909">
        <f>WWWW[[#This Row],['#_Constructed/Existing hand washing stations]]-WWWW[[#This Row],['#_Non-Functional_hand_washing_stations]]</f>
        <v>4</v>
      </c>
      <c r="DX204" s="906">
        <f>IF(WWWW[[#This Row],['# Functional hand washing stations during reporting period]]*20&gt;WWWW[[#This Row],[Total HH]],WWWW[[#This Row],[Total HH]],WWWW[[#This Row],['# Functional hand washing stations during reporting period]]*20)</f>
        <v>43</v>
      </c>
      <c r="DY204" s="906">
        <f>IF(WWWW[[#This Row],[Is sufficient soap available for TLS? (Yes/No)]]="yes",WWWW[[#This Row],['#_Constructed/Existing hand washing stations at TLS/CFS/THF]],0)</f>
        <v>0</v>
      </c>
      <c r="DZ204" s="421">
        <f>IF(WWWW[[#This Row],['# Functional hand washing stations during reporting period]]*100&gt;WWWW[[#This Row],[Total PoP ]],WWWW[[#This Row],[Total PoP ]],WWWW[[#This Row],['# Functional hand washing stations during reporting period]]*100)</f>
        <v>186</v>
      </c>
      <c r="EA204" s="421" t="str">
        <f>IF(OR(WWWW[[#This Row],['#_students at TLS_CFS]]="",WWWW[[#This Row],['#_students at TLS_CFS]]=0),"No","Yes")</f>
        <v>No</v>
      </c>
      <c r="EB20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04" s="566">
        <f>WWWW[[#This Row],[%_of_affected_people_surveyed_who_report_feeling_satistfied_with_the_latrine_design_and_sanitation_service]]*WWWW[[#This Row],[Total PoP ]]</f>
        <v>167.4</v>
      </c>
      <c r="ED204" s="566">
        <f>WWWW[[#This Row],[%_of_affected_people_surveyed_who_report_feeling_satistfied_with_the_water_point_design_and_water_service]]*WWWW[[#This Row],[Total PoP ]]</f>
        <v>176.7</v>
      </c>
      <c r="EE204" s="566">
        <f>WWWW[[#This Row],[%_of_complaints_received_that_result_in_timely_corrective_action_and_feedback_to_the_community]]*WWWW[[#This Row],[Total PoP ]]</f>
        <v>184.14</v>
      </c>
      <c r="EF20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184.14</v>
      </c>
      <c r="EG20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0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04" s="902" t="str">
        <f>VLOOKUP(WWWW[[#This Row],[Site Name]],SiteDB6[[Site Name]:[CCCM Management]],6,FALSE)</f>
        <v>Yes</v>
      </c>
      <c r="EJ204" s="902" t="str">
        <f>VLOOKUP(WWWW[[#This Row],[Site Name]],SiteDB6[[Site Name]:[CCCM Focal Agency]],7,FALSE)</f>
        <v>Shalom</v>
      </c>
      <c r="EK204" s="902" t="str">
        <f>VLOOKUP(WWWW[[#This Row],[Site Name]],SiteDB6[[Site Name]:[Location Type 1]],9,FALSE)</f>
        <v>Camp</v>
      </c>
      <c r="EL204" s="902" t="str">
        <f>VLOOKUP(WWWW[[#This Row],[Site Name]],SiteDB6[[Site Name]:[Type of Accommodation]],10,FALSE)</f>
        <v>Camp</v>
      </c>
      <c r="EM204" s="902" t="str">
        <f>VLOOKUP(WWWW[[#This Row],[Site Name]],SiteDB6[[Site Name]:[Ethnic or GCA/NGCA]],11,FALSE)</f>
        <v>GCA</v>
      </c>
      <c r="EN204" s="902">
        <f>VLOOKUP(WWWW[[#This Row],[Site Name]],SiteDB6[[Site Name]:[Lat]],12,FALSE)</f>
        <v>25.333683333333301</v>
      </c>
      <c r="EO204" s="902">
        <f>VLOOKUP(WWWW[[#This Row],[Site Name]],SiteDB6[[Site Name]:[Long]],13,FALSE)</f>
        <v>97.428251153846105</v>
      </c>
      <c r="EP204" s="902" t="str">
        <f>VLOOKUP(WWWW[[#This Row],[Site Name]],SiteDB6[[Site Name]:[Pcode]],3,FALSE)</f>
        <v>MMR001CMP037</v>
      </c>
      <c r="EQ204" s="907" t="str">
        <f t="shared" si="3"/>
        <v>Covered</v>
      </c>
      <c r="ER204" s="907" t="s">
        <v>3126</v>
      </c>
      <c r="ES204" s="907" t="s">
        <v>3126</v>
      </c>
      <c r="ET204" s="902">
        <f>VLOOKUP(WWWW[[#This Row],[Site Name]],SiteDB6[[Site Name]:[Pop
(Kachin/Shan-CCCM as of May 2023)]],16,FALSE)</f>
        <v>32</v>
      </c>
      <c r="EU204" s="902">
        <f>VLOOKUP(WWWW[[#This Row],[Site Name]],SiteDB6[[Site Name]:[Pop
(Kachin/Shan-CCCM as of May 2023)]],17,FALSE)</f>
        <v>129</v>
      </c>
    </row>
    <row r="205" spans="1:151" hidden="1">
      <c r="A205" s="900" t="s">
        <v>2961</v>
      </c>
      <c r="B205" s="900" t="s">
        <v>242</v>
      </c>
      <c r="C205" s="901" t="s">
        <v>242</v>
      </c>
      <c r="D205" s="901" t="s">
        <v>3184</v>
      </c>
      <c r="E205" s="901" t="s">
        <v>37</v>
      </c>
      <c r="F205" s="901" t="s">
        <v>142</v>
      </c>
      <c r="G205" s="902" t="str">
        <f>VLOOKUP(WWWW[[#This Row],[Site Name]],SiteDB6[[Site Name]:[Location Type]],8,FALSE)</f>
        <v>Camp</v>
      </c>
      <c r="H205" s="901" t="s">
        <v>275</v>
      </c>
      <c r="I205" s="903">
        <v>76</v>
      </c>
      <c r="J205" s="903">
        <v>319</v>
      </c>
      <c r="K205" s="904">
        <v>44927</v>
      </c>
      <c r="L205" s="905">
        <v>45291</v>
      </c>
      <c r="M205" s="903"/>
      <c r="N205" s="903"/>
      <c r="O205" s="903">
        <v>1</v>
      </c>
      <c r="P205" s="903"/>
      <c r="Q205" s="906" t="s">
        <v>41</v>
      </c>
      <c r="R205" s="903">
        <v>1</v>
      </c>
      <c r="S205" s="903">
        <v>4</v>
      </c>
      <c r="T205" s="441">
        <v>2</v>
      </c>
      <c r="U205" s="903">
        <v>1</v>
      </c>
      <c r="V205" s="903"/>
      <c r="W205" s="903">
        <v>1</v>
      </c>
      <c r="X205" s="903"/>
      <c r="Y205" s="903"/>
      <c r="Z205" s="903"/>
      <c r="AA205" s="903"/>
      <c r="AB205" s="903"/>
      <c r="AC205" s="903"/>
      <c r="AD205" s="903"/>
      <c r="AE205" s="903"/>
      <c r="AF205" s="903"/>
      <c r="AG205" s="903"/>
      <c r="AH205" s="903"/>
      <c r="AI205" s="903"/>
      <c r="AJ205" s="903"/>
      <c r="AK205" s="903"/>
      <c r="AL205" s="903"/>
      <c r="AM205" s="903">
        <v>1</v>
      </c>
      <c r="AN205" s="903">
        <v>1</v>
      </c>
      <c r="AO205" s="441"/>
      <c r="AP205" s="907" t="s">
        <v>3197</v>
      </c>
      <c r="AQ205" s="903">
        <v>9</v>
      </c>
      <c r="AR205" s="903"/>
      <c r="AS205" s="908" t="s">
        <v>3193</v>
      </c>
      <c r="AT205" s="903"/>
      <c r="AU205" s="903"/>
      <c r="AV205" s="903"/>
      <c r="AW205" s="903"/>
      <c r="AX205" s="903"/>
      <c r="AY205" s="902" t="s">
        <v>41</v>
      </c>
      <c r="AZ205" s="907" t="s">
        <v>137</v>
      </c>
      <c r="BA205" s="903"/>
      <c r="BB205" s="903"/>
      <c r="BC205" s="903"/>
      <c r="BD205" s="441"/>
      <c r="BE205" s="441"/>
      <c r="BF205" s="902"/>
      <c r="BG205" s="903">
        <v>5</v>
      </c>
      <c r="BH205" s="903"/>
      <c r="BI205" s="903"/>
      <c r="BJ205" s="903">
        <v>3</v>
      </c>
      <c r="BK205" s="903"/>
      <c r="BL205" s="903">
        <v>1</v>
      </c>
      <c r="BM205" s="903"/>
      <c r="BN205" s="903">
        <v>68</v>
      </c>
      <c r="BO205" s="903"/>
      <c r="BP205" s="902" t="s">
        <v>41</v>
      </c>
      <c r="BQ205" s="909">
        <v>1</v>
      </c>
      <c r="BR205" s="908">
        <v>0.5</v>
      </c>
      <c r="BS205" s="902"/>
      <c r="BT205" s="416">
        <v>0.96</v>
      </c>
      <c r="BU205" s="416">
        <v>0.9</v>
      </c>
      <c r="BV205" s="418">
        <v>100</v>
      </c>
      <c r="BW205" s="416">
        <v>0.99</v>
      </c>
      <c r="BX205" s="441"/>
      <c r="BY205" s="441"/>
      <c r="BZ205" s="441"/>
      <c r="CA205" s="441"/>
      <c r="CB205" s="441"/>
      <c r="CC205" s="693"/>
      <c r="CD205" s="441"/>
      <c r="CE205" s="910" t="str">
        <f>IFERROR(WWWW[[#This Row],['#_Water sources passed]]/WWWW[[#This Row],['#_Water sources tested for fecal coliform ]],"no test")</f>
        <v>no test</v>
      </c>
      <c r="CF205" s="908" t="str">
        <f>IFERROR(WWWW[[#This Row],['#_Household passed]]/WWWW[[#This Row],['#_Household water samples tested for fecal coliform]],"no test")</f>
        <v>no test</v>
      </c>
      <c r="CG205" s="909" t="str">
        <f>IF(AND(WWWW[[#This Row],[% of water sources passed]]="no test",WWWW[[#This Row],[% Household passed]]="no test"),"No Test","Tested")</f>
        <v>No Test</v>
      </c>
      <c r="CH205" s="909">
        <f>WWWW[[#This Row],['#_Constructed/existing protected hand dug well]]-WWWW[[#This Row],['#_Non-functional protected hand dug well]]</f>
        <v>1</v>
      </c>
      <c r="CI205" s="909">
        <f>(WWWW[[#This Row],['#_Constructed/Existing tube wells/boreholes/handpumps_WASH_agency]]+WWWW[[#This Row],['#_Non-Cluster partner water tube-wells/boreholes/handpumps]])-WWWW[[#This Row],['#_Non-functional tube wells/boreholes/handpumps]]</f>
        <v>1</v>
      </c>
      <c r="CJ205" s="909">
        <f>WWWW[[#This Row],['#_Constructed/Existingwater storage tank with gravity fed reticulation system]]-WWWW[[#This Row],['#_Non-functional storage tank gravity fed reticulation system]]</f>
        <v>0</v>
      </c>
      <c r="CK205" s="909">
        <f>(WWWW[[#This Row],['#_Water_Liters_supplied_by_Water boating or water trucking]]/90)/15</f>
        <v>0</v>
      </c>
      <c r="CL205" s="909">
        <f>WWWW[[#This Row],['#_Water_Liters_from_Constructed/Existing water distribution system from river or natural spring]]/90/15</f>
        <v>0</v>
      </c>
      <c r="CM205" s="417">
        <f>IF(WWWW[[#This Row],['#_of water points in TLS/CFS]]*500&gt;WWWW[[#This Row],[Total PoP ]],WWWW[[#This Row],[Total PoP ]],WWWW[[#This Row],['#_of water points in TLS/CFS]]*500)</f>
        <v>319</v>
      </c>
      <c r="CN205" s="417">
        <f>IF(WWWW[[#This Row],['#_of water points in THF]]*500&gt;WWWW[[#This Row],[Total PoP ]],WWWW[[#This Row],[Total PoP ]],WWWW[[#This Row],['#_of water points in THF]]*500)</f>
        <v>0</v>
      </c>
      <c r="CO205" s="417"/>
      <c r="CP205"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05"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05" s="908">
        <f>IF(WWWW[[#This Row],[Location Type 1]]="Village",WWWW[[#This Row],[Access to safe drinking water for Village]],WWWW[[#This Row],[Access to safe drinking water for Camp]])</f>
        <v>1</v>
      </c>
      <c r="CS205" s="906">
        <f>WWWW[[#This Row],[%Equitable and continuous access to sufficient quantity of safe drinking water]]*WWWW[[#This Row],[Total PoP ]]</f>
        <v>319</v>
      </c>
      <c r="CT205" s="908">
        <f>IF((WWWW[[#This Row],['#_Constructed/Existing protected/fenced ponds]]*250)/WWWW[[#This Row],[Total PoP ]]&gt;1,1,(WWWW[[#This Row],['#_Constructed/Existing protected/fenced ponds]]*250)/WWWW[[#This Row],[Total PoP ]])</f>
        <v>0</v>
      </c>
      <c r="CU205" s="906">
        <f>WWWW[[#This Row],[% Access to unimproved water points]]*WWWW[[#This Row],[Total PoP ]]</f>
        <v>0</v>
      </c>
      <c r="CV205"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05"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319</v>
      </c>
      <c r="CX205" s="906">
        <f>WWWW[[#This Row],[HRP1]]/500</f>
        <v>0.63800000000000001</v>
      </c>
      <c r="CY205" s="911">
        <f>1-WWWW[[#This Row],[% Equitable and continuous access to sufficient quantity of domestic water]]</f>
        <v>0</v>
      </c>
      <c r="CZ205" s="906">
        <f>WWWW[[#This Row],[%equitable and continuous access to sufficient quantity of safe drinking and domestic water''s GAP]]*WWWW[[#This Row],[Total PoP ]]</f>
        <v>0</v>
      </c>
      <c r="DA205" s="909">
        <f>IF(WWWW[[#This Row],[Total required water points]]-WWWW[[#This Row],['#Water points coverage]]&lt;0,0,WWWW[[#This Row],[Total required water points]]-WWWW[[#This Row],['#Water points coverage]])</f>
        <v>0.36199999999999999</v>
      </c>
      <c r="DB205" s="909">
        <f>ROUND(IF(WWWW[[#This Row],[Total PoP ]]&lt;500,1,WWWW[[#This Row],[Total PoP ]]/500),0)</f>
        <v>1</v>
      </c>
      <c r="DC205" s="909">
        <f>(WWWW[[#This Row],['#_Constructed latrines_by_WASHAgencies]]+WWWW[[#This Row],['#_Non Cluster partner latrines]])-WWWW[[#This Row],['#_Non-functional latrines]]</f>
        <v>9</v>
      </c>
      <c r="DD205" s="615">
        <f>WWWW[[#This Row],[HRP2]]/WWWW[[#This Row],[Total PoP ]]</f>
        <v>0.56426332288401249</v>
      </c>
      <c r="DE205"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180</v>
      </c>
      <c r="DF205"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05"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5" s="417">
        <f>IF(WWWW[[#This Row],['# of functional latrines in THF supported by WASH partners during the reporting period2]]="",0,WWWW[[#This Row],['# of functional latrines in THF supported by WASH partners during the reporting period2]]*50)</f>
        <v>0</v>
      </c>
      <c r="DI205" s="909">
        <f>ROUND(IF(WWWW[[#This Row],[Location Type 1]]="camp",WWWW[[#This Row],[Total PoP ]]/20,IF(WWWW[[#This Row],[Location Type 1]]="Temporary Location",WWWW[[#This Row],[Total PoP ]]/50,(WWWW[[#This Row],[Total PoP ]]/6))),0)</f>
        <v>16</v>
      </c>
      <c r="DJ205" s="909">
        <f>IF(WWWW[[#This Row],[Total required Latrines]]-(WWWW[[#This Row],['#_Constructed latrines_by_WASHAgencies]]+WWWW[[#This Row],['#_Non Cluster partner latrines]])&lt;0,0,WWWW[[#This Row],[Total required Latrines]]-(WWWW[[#This Row],['#_Constructed latrines_by_WASHAgencies]]+WWWW[[#This Row],['#_Non Cluster partner latrines]]))</f>
        <v>7</v>
      </c>
      <c r="DK205" s="911">
        <f>1-WWWW[[#This Row],[% people access to functioning Latrine]]</f>
        <v>0.43573667711598751</v>
      </c>
      <c r="DL205" s="910">
        <f>IF(OR(WWWW[[#This Row],['#_Non-functional latrines]]="",WWWW[[#This Row],['#_Non-functional latrines]]=0),0,WWWW[[#This Row],['#_Non-functional latrines]]/(WWWW[[#This Row],['#_Constructed latrines_by_WASHAgencies]]+WWWW[[#This Row],['#_Non Cluster partner latrines]]))</f>
        <v>0</v>
      </c>
      <c r="DM205" s="906">
        <f>IF(500*(WWWW[[#This Row],['#_male hygiene promoters]]+WWWW[[#This Row],['#_female hygiene promoters]])&gt;WWWW[[#This Row],[Total PoP ]],WWWW[[#This Row],[Total PoP ]],500*(WWWW[[#This Row],['#_male hygiene promoters]]+WWWW[[#This Row],['#_female hygiene promoters]]))</f>
        <v>319</v>
      </c>
      <c r="DN205"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319</v>
      </c>
      <c r="DO205"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05" s="909">
        <f>IF(WWWW[[#This Row],['# People with access to soap]]&gt;WWWW[[#This Row],['# People with access to Sanity Pads]],WWWW[[#This Row],['# People with access to soap]],WWWW[[#This Row],['# People with access to Sanity Pads]])</f>
        <v>319</v>
      </c>
      <c r="DQ205" s="909">
        <f>IF(WWWW[[#This Row],['# people reached by regular dedicated hygiene promotion_5]]&gt;WWWW[[#This Row],['# People received regular supply of hygiene items_6]],WWWW[[#This Row],['# people reached by regular dedicated hygiene promotion_5]],WWWW[[#This Row],['# People received regular supply of hygiene items_6]])</f>
        <v>319</v>
      </c>
      <c r="DR205" s="911">
        <f>IF(WWWW[[#This Row],[HRP3]]/WWWW[[#This Row],[Total PoP ]]&gt;1,1,WWWW[[#This Row],[HRP3]]/WWWW[[#This Row],[Total PoP ]])</f>
        <v>1</v>
      </c>
      <c r="DS205" s="910">
        <f>1-WWWW[[#This Row],[Hygiene Coverage%]]</f>
        <v>0</v>
      </c>
      <c r="DT205" s="908">
        <f>WWWW[[#This Row],['# people reached by regular dedicated hygiene promotion_5]]/WWWW[[#This Row],[Total PoP ]]</f>
        <v>1</v>
      </c>
      <c r="DU205"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05"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05" s="909">
        <f>WWWW[[#This Row],['#_Constructed/Existing hand washing stations]]-WWWW[[#This Row],['#_Non-Functional_hand_washing_stations]]</f>
        <v>5</v>
      </c>
      <c r="DX205" s="906">
        <f>IF(WWWW[[#This Row],['# Functional hand washing stations during reporting period]]*20&gt;WWWW[[#This Row],[Total HH]],WWWW[[#This Row],[Total HH]],WWWW[[#This Row],['# Functional hand washing stations during reporting period]]*20)</f>
        <v>76</v>
      </c>
      <c r="DY205" s="906">
        <f>IF(WWWW[[#This Row],[Is sufficient soap available for TLS? (Yes/No)]]="yes",WWWW[[#This Row],['#_Constructed/Existing hand washing stations at TLS/CFS/THF]],0)</f>
        <v>1</v>
      </c>
      <c r="DZ205" s="421">
        <f>IF(WWWW[[#This Row],['# Functional hand washing stations during reporting period]]*100&gt;WWWW[[#This Row],[Total PoP ]],WWWW[[#This Row],[Total PoP ]],WWWW[[#This Row],['# Functional hand washing stations during reporting period]]*100)</f>
        <v>319</v>
      </c>
      <c r="EA205" s="421" t="str">
        <f>IF(OR(WWWW[[#This Row],['#_students at TLS_CFS]]="",WWWW[[#This Row],['#_students at TLS_CFS]]=0),"No","Yes")</f>
        <v>No</v>
      </c>
      <c r="EB205" s="615">
        <f>IF(WWWW[[#This Row],['#_of_affected_people_surveyed_who_report_feeling_informed_about_the_different_WASH_services_available_to_them]]="","",WWWW[[#This Row],['#_of_affected_people_surveyed_who_report_feeling_informed_about_the_different_WASH_services_available_to_them]]/WWWW[[#This Row],[Total PoP ]])</f>
        <v>0.31347962382445144</v>
      </c>
      <c r="EC205" s="566">
        <f>WWWW[[#This Row],[%_of_affected_people_surveyed_who_report_feeling_satistfied_with_the_latrine_design_and_sanitation_service]]*WWWW[[#This Row],[Total PoP ]]</f>
        <v>306.24</v>
      </c>
      <c r="ED205" s="566">
        <f>WWWW[[#This Row],[%_of_affected_people_surveyed_who_report_feeling_satistfied_with_the_water_point_design_and_water_service]]*WWWW[[#This Row],[Total PoP ]]</f>
        <v>287.10000000000002</v>
      </c>
      <c r="EE205" s="566">
        <f>WWWW[[#This Row],[%_of_complaints_received_that_result_in_timely_corrective_action_and_feedback_to_the_community]]*WWWW[[#This Row],[Total PoP ]]</f>
        <v>315.81</v>
      </c>
      <c r="EF20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315.81</v>
      </c>
      <c r="EG20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319</v>
      </c>
      <c r="EH20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05" s="902" t="str">
        <f>VLOOKUP(WWWW[[#This Row],[Site Name]],SiteDB6[[Site Name]:[CCCM Management]],6,FALSE)</f>
        <v>Yes</v>
      </c>
      <c r="EJ205" s="902" t="str">
        <f>VLOOKUP(WWWW[[#This Row],[Site Name]],SiteDB6[[Site Name]:[CCCM Focal Agency]],7,FALSE)</f>
        <v>Shalom</v>
      </c>
      <c r="EK205" s="902" t="str">
        <f>VLOOKUP(WWWW[[#This Row],[Site Name]],SiteDB6[[Site Name]:[Location Type 1]],9,FALSE)</f>
        <v>Camp</v>
      </c>
      <c r="EL205" s="902" t="str">
        <f>VLOOKUP(WWWW[[#This Row],[Site Name]],SiteDB6[[Site Name]:[Type of Accommodation]],10,FALSE)</f>
        <v>Camp</v>
      </c>
      <c r="EM205" s="902" t="str">
        <f>VLOOKUP(WWWW[[#This Row],[Site Name]],SiteDB6[[Site Name]:[Ethnic or GCA/NGCA]],11,FALSE)</f>
        <v>GCA</v>
      </c>
      <c r="EN205" s="902">
        <f>VLOOKUP(WWWW[[#This Row],[Site Name]],SiteDB6[[Site Name]:[Lat]],12,FALSE)</f>
        <v>25.351250396825399</v>
      </c>
      <c r="EO205" s="902">
        <f>VLOOKUP(WWWW[[#This Row],[Site Name]],SiteDB6[[Site Name]:[Long]],13,FALSE)</f>
        <v>97.444283730158702</v>
      </c>
      <c r="EP205" s="902" t="str">
        <f>VLOOKUP(WWWW[[#This Row],[Site Name]],SiteDB6[[Site Name]:[Pcode]],3,FALSE)</f>
        <v>MMR001CMP038</v>
      </c>
      <c r="EQ205" s="907" t="str">
        <f t="shared" si="3"/>
        <v>Covered</v>
      </c>
      <c r="ER205" s="907" t="s">
        <v>3126</v>
      </c>
      <c r="ES205" s="907" t="s">
        <v>3126</v>
      </c>
      <c r="ET205" s="902">
        <f>VLOOKUP(WWWW[[#This Row],[Site Name]],SiteDB6[[Site Name]:[Pop
(Kachin/Shan-CCCM as of May 2023)]],16,FALSE)</f>
        <v>76</v>
      </c>
      <c r="EU205" s="902">
        <f>VLOOKUP(WWWW[[#This Row],[Site Name]],SiteDB6[[Site Name]:[Pop
(Kachin/Shan-CCCM as of May 2023)]],17,FALSE)</f>
        <v>321</v>
      </c>
    </row>
    <row r="206" spans="1:151" hidden="1">
      <c r="A206" s="900" t="s">
        <v>2961</v>
      </c>
      <c r="B206" s="900" t="s">
        <v>276</v>
      </c>
      <c r="C206" s="901" t="s">
        <v>276</v>
      </c>
      <c r="D206" s="901" t="s">
        <v>2883</v>
      </c>
      <c r="E206" s="901" t="s">
        <v>37</v>
      </c>
      <c r="F206" s="901" t="s">
        <v>195</v>
      </c>
      <c r="G206" s="902" t="str">
        <f>VLOOKUP(WWWW[[#This Row],[Site Name]],SiteDB6[[Site Name]:[Location Type]],8,FALSE)</f>
        <v>Camp</v>
      </c>
      <c r="H206" s="901" t="s">
        <v>277</v>
      </c>
      <c r="I206" s="903">
        <v>145</v>
      </c>
      <c r="J206" s="903">
        <v>715</v>
      </c>
      <c r="K206" s="904">
        <v>44652</v>
      </c>
      <c r="L206" s="905">
        <v>45016</v>
      </c>
      <c r="M206" s="903"/>
      <c r="N206" s="903"/>
      <c r="O206" s="903">
        <v>3</v>
      </c>
      <c r="P206" s="903"/>
      <c r="Q206" s="906" t="s">
        <v>41</v>
      </c>
      <c r="R206" s="903">
        <v>5</v>
      </c>
      <c r="S206" s="903">
        <v>6</v>
      </c>
      <c r="T206" s="441">
        <v>2</v>
      </c>
      <c r="U206" s="903"/>
      <c r="V206" s="903"/>
      <c r="W206" s="903">
        <v>8</v>
      </c>
      <c r="X206" s="903"/>
      <c r="Y206" s="903"/>
      <c r="Z206" s="903"/>
      <c r="AA206" s="903"/>
      <c r="AB206" s="903"/>
      <c r="AC206" s="903"/>
      <c r="AD206" s="903"/>
      <c r="AE206" s="903"/>
      <c r="AF206" s="903"/>
      <c r="AG206" s="903">
        <v>3</v>
      </c>
      <c r="AH206" s="903"/>
      <c r="AI206" s="903">
        <v>5</v>
      </c>
      <c r="AJ206" s="903">
        <v>5</v>
      </c>
      <c r="AK206" s="903">
        <v>21</v>
      </c>
      <c r="AL206" s="903">
        <v>21</v>
      </c>
      <c r="AM206" s="903"/>
      <c r="AN206" s="903"/>
      <c r="AO206" s="441"/>
      <c r="AP206" s="907"/>
      <c r="AQ206" s="903">
        <v>52</v>
      </c>
      <c r="AR206" s="903"/>
      <c r="AS206" s="908"/>
      <c r="AT206" s="903"/>
      <c r="AU206" s="903">
        <v>5</v>
      </c>
      <c r="AV206" s="903">
        <v>129</v>
      </c>
      <c r="AW206" s="903">
        <v>144</v>
      </c>
      <c r="AX206" s="903"/>
      <c r="AY206" s="902" t="s">
        <v>41</v>
      </c>
      <c r="AZ206" s="907" t="s">
        <v>137</v>
      </c>
      <c r="BA206" s="903"/>
      <c r="BB206" s="903">
        <v>2</v>
      </c>
      <c r="BC206" s="903"/>
      <c r="BD206" s="441"/>
      <c r="BE206" s="441">
        <v>9</v>
      </c>
      <c r="BF206" s="902"/>
      <c r="BG206" s="903">
        <v>12</v>
      </c>
      <c r="BH206" s="903"/>
      <c r="BI206" s="903">
        <v>1</v>
      </c>
      <c r="BJ206" s="903">
        <v>5</v>
      </c>
      <c r="BK206" s="903"/>
      <c r="BL206" s="903"/>
      <c r="BM206" s="903">
        <v>3</v>
      </c>
      <c r="BN206" s="903">
        <v>108</v>
      </c>
      <c r="BO206" s="903">
        <v>100</v>
      </c>
      <c r="BP206" s="902" t="s">
        <v>136</v>
      </c>
      <c r="BQ206" s="909">
        <v>1</v>
      </c>
      <c r="BR206" s="908">
        <v>0.8</v>
      </c>
      <c r="BS206" s="902"/>
      <c r="BT206" s="416">
        <v>1</v>
      </c>
      <c r="BU206" s="416">
        <v>1</v>
      </c>
      <c r="BV206" s="418">
        <v>1</v>
      </c>
      <c r="BW206" s="416">
        <v>1</v>
      </c>
      <c r="BX206" s="441"/>
      <c r="BY206" s="441"/>
      <c r="BZ206" s="441"/>
      <c r="CA206" s="441"/>
      <c r="CB206" s="441"/>
      <c r="CC206" s="693"/>
      <c r="CD206" s="441"/>
      <c r="CE206" s="910">
        <f>IFERROR(WWWW[[#This Row],['#_Water sources passed]]/WWWW[[#This Row],['#_Water sources tested for fecal coliform ]],"no test")</f>
        <v>1</v>
      </c>
      <c r="CF206" s="908">
        <f>IFERROR(WWWW[[#This Row],['#_Household passed]]/WWWW[[#This Row],['#_Household water samples tested for fecal coliform]],"no test")</f>
        <v>1</v>
      </c>
      <c r="CG206" s="909" t="str">
        <f>IF(AND(WWWW[[#This Row],[% of water sources passed]]="no test",WWWW[[#This Row],[% Household passed]]="no test"),"No Test","Tested")</f>
        <v>Tested</v>
      </c>
      <c r="CH206" s="909">
        <f>WWWW[[#This Row],['#_Constructed/existing protected hand dug well]]-WWWW[[#This Row],['#_Non-functional protected hand dug well]]</f>
        <v>2</v>
      </c>
      <c r="CI206" s="909">
        <f>(WWWW[[#This Row],['#_Constructed/Existing tube wells/boreholes/handpumps_WASH_agency]]+WWWW[[#This Row],['#_Non-Cluster partner water tube-wells/boreholes/handpumps]])-WWWW[[#This Row],['#_Non-functional tube wells/boreholes/handpumps]]</f>
        <v>8</v>
      </c>
      <c r="CJ206" s="909">
        <f>WWWW[[#This Row],['#_Constructed/Existingwater storage tank with gravity fed reticulation system]]-WWWW[[#This Row],['#_Non-functional storage tank gravity fed reticulation system]]</f>
        <v>0</v>
      </c>
      <c r="CK206" s="909">
        <f>(WWWW[[#This Row],['#_Water_Liters_supplied_by_Water boating or water trucking]]/90)/15</f>
        <v>0</v>
      </c>
      <c r="CL206" s="909">
        <f>WWWW[[#This Row],['#_Water_Liters_from_Constructed/Existing water distribution system from river or natural spring]]/90/15</f>
        <v>0</v>
      </c>
      <c r="CM206" s="417">
        <f>IF(WWWW[[#This Row],['#_of water points in TLS/CFS]]*500&gt;WWWW[[#This Row],[Total PoP ]],WWWW[[#This Row],[Total PoP ]],WWWW[[#This Row],['#_of water points in TLS/CFS]]*500)</f>
        <v>0</v>
      </c>
      <c r="CN206" s="417">
        <f>IF(WWWW[[#This Row],['#_of water points in THF]]*500&gt;WWWW[[#This Row],[Total PoP ]],WWWW[[#This Row],[Total PoP ]],WWWW[[#This Row],['#_of water points in THF]]*500)</f>
        <v>0</v>
      </c>
      <c r="CO206" s="417"/>
      <c r="CP206"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06"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06" s="908">
        <f>IF(WWWW[[#This Row],[Location Type 1]]="Village",WWWW[[#This Row],[Access to safe drinking water for Village]],WWWW[[#This Row],[Access to safe drinking water for Camp]])</f>
        <v>1</v>
      </c>
      <c r="CS206" s="906">
        <f>WWWW[[#This Row],[%Equitable and continuous access to sufficient quantity of safe drinking water]]*WWWW[[#This Row],[Total PoP ]]</f>
        <v>715</v>
      </c>
      <c r="CT206" s="908">
        <f>IF((WWWW[[#This Row],['#_Constructed/Existing protected/fenced ponds]]*250)/WWWW[[#This Row],[Total PoP ]]&gt;1,1,(WWWW[[#This Row],['#_Constructed/Existing protected/fenced ponds]]*250)/WWWW[[#This Row],[Total PoP ]])</f>
        <v>0</v>
      </c>
      <c r="CU206" s="906">
        <f>WWWW[[#This Row],[% Access to unimproved water points]]*WWWW[[#This Row],[Total PoP ]]</f>
        <v>0</v>
      </c>
      <c r="CV206"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06"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715</v>
      </c>
      <c r="CX206" s="906">
        <f>WWWW[[#This Row],[HRP1]]/500</f>
        <v>1.43</v>
      </c>
      <c r="CY206" s="911">
        <f>1-WWWW[[#This Row],[% Equitable and continuous access to sufficient quantity of domestic water]]</f>
        <v>0</v>
      </c>
      <c r="CZ206" s="906">
        <f>WWWW[[#This Row],[%equitable and continuous access to sufficient quantity of safe drinking and domestic water''s GAP]]*WWWW[[#This Row],[Total PoP ]]</f>
        <v>0</v>
      </c>
      <c r="DA206" s="909">
        <f>IF(WWWW[[#This Row],[Total required water points]]-WWWW[[#This Row],['#Water points coverage]]&lt;0,0,WWWW[[#This Row],[Total required water points]]-WWWW[[#This Row],['#Water points coverage]])</f>
        <v>0</v>
      </c>
      <c r="DB206" s="909">
        <f>ROUND(IF(WWWW[[#This Row],[Total PoP ]]&lt;500,1,WWWW[[#This Row],[Total PoP ]]/500),0)</f>
        <v>1</v>
      </c>
      <c r="DC206" s="909">
        <f>(WWWW[[#This Row],['#_Constructed latrines_by_WASHAgencies]]+WWWW[[#This Row],['#_Non Cluster partner latrines]])-WWWW[[#This Row],['#_Non-functional latrines]]</f>
        <v>52</v>
      </c>
      <c r="DD206" s="615">
        <f>WWWW[[#This Row],[HRP2]]/WWWW[[#This Row],[Total PoP ]]</f>
        <v>1</v>
      </c>
      <c r="DE206"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715</v>
      </c>
      <c r="DF206"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715</v>
      </c>
      <c r="DG206"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6" s="417">
        <f>IF(WWWW[[#This Row],['# of functional latrines in THF supported by WASH partners during the reporting period2]]="",0,WWWW[[#This Row],['# of functional latrines in THF supported by WASH partners during the reporting period2]]*50)</f>
        <v>0</v>
      </c>
      <c r="DI206" s="909">
        <f>ROUND(IF(WWWW[[#This Row],[Location Type 1]]="camp",WWWW[[#This Row],[Total PoP ]]/20,IF(WWWW[[#This Row],[Location Type 1]]="Temporary Location",WWWW[[#This Row],[Total PoP ]]/50,(WWWW[[#This Row],[Total PoP ]]/6))),0)</f>
        <v>36</v>
      </c>
      <c r="DJ206" s="909">
        <f>IF(WWWW[[#This Row],[Total required Latrines]]-(WWWW[[#This Row],['#_Constructed latrines_by_WASHAgencies]]+WWWW[[#This Row],['#_Non Cluster partner latrines]])&lt;0,0,WWWW[[#This Row],[Total required Latrines]]-(WWWW[[#This Row],['#_Constructed latrines_by_WASHAgencies]]+WWWW[[#This Row],['#_Non Cluster partner latrines]]))</f>
        <v>0</v>
      </c>
      <c r="DK206" s="911">
        <f>1-WWWW[[#This Row],[% people access to functioning Latrine]]</f>
        <v>0</v>
      </c>
      <c r="DL206" s="910">
        <f>IF(OR(WWWW[[#This Row],['#_Non-functional latrines]]="",WWWW[[#This Row],['#_Non-functional latrines]]=0),0,WWWW[[#This Row],['#_Non-functional latrines]]/(WWWW[[#This Row],['#_Constructed latrines_by_WASHAgencies]]+WWWW[[#This Row],['#_Non Cluster partner latrines]]))</f>
        <v>0</v>
      </c>
      <c r="DM206" s="906">
        <f>IF(500*(WWWW[[#This Row],['#_male hygiene promoters]]+WWWW[[#This Row],['#_female hygiene promoters]])&gt;WWWW[[#This Row],[Total PoP ]],WWWW[[#This Row],[Total PoP ]],500*(WWWW[[#This Row],['#_male hygiene promoters]]+WWWW[[#This Row],['#_female hygiene promoters]]))</f>
        <v>715</v>
      </c>
      <c r="DN206"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540</v>
      </c>
      <c r="DO206"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P206" s="909">
        <f>IF(WWWW[[#This Row],['# People with access to soap]]&gt;WWWW[[#This Row],['# People with access to Sanity Pads]],WWWW[[#This Row],['# People with access to soap]],WWWW[[#This Row],['# People with access to Sanity Pads]])</f>
        <v>540</v>
      </c>
      <c r="DQ206" s="909">
        <f>IF(WWWW[[#This Row],['# people reached by regular dedicated hygiene promotion_5]]&gt;WWWW[[#This Row],['# People received regular supply of hygiene items_6]],WWWW[[#This Row],['# people reached by regular dedicated hygiene promotion_5]],WWWW[[#This Row],['# People received regular supply of hygiene items_6]])</f>
        <v>715</v>
      </c>
      <c r="DR206" s="911">
        <f>IF(WWWW[[#This Row],[HRP3]]/WWWW[[#This Row],[Total PoP ]]&gt;1,1,WWWW[[#This Row],[HRP3]]/WWWW[[#This Row],[Total PoP ]])</f>
        <v>1</v>
      </c>
      <c r="DS206" s="910">
        <f>1-WWWW[[#This Row],[Hygiene Coverage%]]</f>
        <v>0</v>
      </c>
      <c r="DT206" s="908">
        <f>WWWW[[#This Row],['# people reached by regular dedicated hygiene promotion_5]]/WWWW[[#This Row],[Total PoP ]]</f>
        <v>1</v>
      </c>
      <c r="DU206"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06"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0.68965517241379315</v>
      </c>
      <c r="DW206" s="909">
        <f>WWWW[[#This Row],['#_Constructed/Existing hand washing stations]]-WWWW[[#This Row],['#_Non-Functional_hand_washing_stations]]</f>
        <v>12</v>
      </c>
      <c r="DX206" s="906">
        <f>IF(WWWW[[#This Row],['# Functional hand washing stations during reporting period]]*20&gt;WWWW[[#This Row],[Total HH]],WWWW[[#This Row],[Total HH]],WWWW[[#This Row],['# Functional hand washing stations during reporting period]]*20)</f>
        <v>145</v>
      </c>
      <c r="DY206" s="906">
        <f>IF(WWWW[[#This Row],[Is sufficient soap available for TLS? (Yes/No)]]="yes",WWWW[[#This Row],['#_Constructed/Existing hand washing stations at TLS/CFS/THF]],0)</f>
        <v>0</v>
      </c>
      <c r="DZ206" s="421">
        <f>IF(WWWW[[#This Row],['# Functional hand washing stations during reporting period]]*100&gt;WWWW[[#This Row],[Total PoP ]],WWWW[[#This Row],[Total PoP ]],WWWW[[#This Row],['# Functional hand washing stations during reporting period]]*100)</f>
        <v>715</v>
      </c>
      <c r="EA206" s="421" t="str">
        <f>IF(OR(WWWW[[#This Row],['#_students at TLS_CFS]]="",WWWW[[#This Row],['#_students at TLS_CFS]]=0),"No","Yes")</f>
        <v>No</v>
      </c>
      <c r="EB206" s="615">
        <f>IF(WWWW[[#This Row],['#_of_affected_people_surveyed_who_report_feeling_informed_about_the_different_WASH_services_available_to_them]]="","",WWWW[[#This Row],['#_of_affected_people_surveyed_who_report_feeling_informed_about_the_different_WASH_services_available_to_them]]/WWWW[[#This Row],[Total PoP ]])</f>
        <v>1.3986013986013986E-3</v>
      </c>
      <c r="EC206" s="566">
        <f>WWWW[[#This Row],[%_of_affected_people_surveyed_who_report_feeling_satistfied_with_the_latrine_design_and_sanitation_service]]*WWWW[[#This Row],[Total PoP ]]</f>
        <v>715</v>
      </c>
      <c r="ED206" s="566">
        <f>WWWW[[#This Row],[%_of_affected_people_surveyed_who_report_feeling_satistfied_with_the_water_point_design_and_water_service]]*WWWW[[#This Row],[Total PoP ]]</f>
        <v>715</v>
      </c>
      <c r="EE206" s="566">
        <f>WWWW[[#This Row],[%_of_complaints_received_that_result_in_timely_corrective_action_and_feedback_to_the_community]]*WWWW[[#This Row],[Total PoP ]]</f>
        <v>715</v>
      </c>
      <c r="EF20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715</v>
      </c>
      <c r="EG20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0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06" s="902" t="str">
        <f>VLOOKUP(WWWW[[#This Row],[Site Name]],SiteDB6[[Site Name]:[CCCM Management]],6,FALSE)</f>
        <v>Yes</v>
      </c>
      <c r="EJ206" s="902" t="str">
        <f>VLOOKUP(WWWW[[#This Row],[Site Name]],SiteDB6[[Site Name]:[CCCM Focal Agency]],7,FALSE)</f>
        <v>KMSS-BMO</v>
      </c>
      <c r="EK206" s="902" t="str">
        <f>VLOOKUP(WWWW[[#This Row],[Site Name]],SiteDB6[[Site Name]:[Location Type 1]],9,FALSE)</f>
        <v>Camp</v>
      </c>
      <c r="EL206" s="902" t="str">
        <f>VLOOKUP(WWWW[[#This Row],[Site Name]],SiteDB6[[Site Name]:[Type of Accommodation]],10,FALSE)</f>
        <v>Camp</v>
      </c>
      <c r="EM206" s="902" t="str">
        <f>VLOOKUP(WWWW[[#This Row],[Site Name]],SiteDB6[[Site Name]:[Ethnic or GCA/NGCA]],11,FALSE)</f>
        <v>GCA</v>
      </c>
      <c r="EN206" s="902">
        <f>VLOOKUP(WWWW[[#This Row],[Site Name]],SiteDB6[[Site Name]:[Lat]],12,FALSE)</f>
        <v>24.260719999999999</v>
      </c>
      <c r="EO206" s="902">
        <f>VLOOKUP(WWWW[[#This Row],[Site Name]],SiteDB6[[Site Name]:[Long]],13,FALSE)</f>
        <v>97.238829999999993</v>
      </c>
      <c r="EP206" s="902" t="str">
        <f>VLOOKUP(WWWW[[#This Row],[Site Name]],SiteDB6[[Site Name]:[Pcode]],3,FALSE)</f>
        <v>MMR001CMP050</v>
      </c>
      <c r="EQ206" s="907" t="str">
        <f t="shared" si="3"/>
        <v>Covered</v>
      </c>
      <c r="ER206" s="907" t="s">
        <v>3126</v>
      </c>
      <c r="ES206" s="907" t="s">
        <v>3126</v>
      </c>
      <c r="ET206" s="902">
        <f>VLOOKUP(WWWW[[#This Row],[Site Name]],SiteDB6[[Site Name]:[Pop
(Kachin/Shan-CCCM as of May 2023)]],16,FALSE)</f>
        <v>145</v>
      </c>
      <c r="EU206" s="902">
        <f>VLOOKUP(WWWW[[#This Row],[Site Name]],SiteDB6[[Site Name]:[Pop
(Kachin/Shan-CCCM as of May 2023)]],17,FALSE)</f>
        <v>671</v>
      </c>
    </row>
    <row r="207" spans="1:151" hidden="1">
      <c r="A207" s="900" t="s">
        <v>2961</v>
      </c>
      <c r="B207" s="900" t="s">
        <v>276</v>
      </c>
      <c r="C207" s="901" t="s">
        <v>276</v>
      </c>
      <c r="D207" s="901" t="s">
        <v>2883</v>
      </c>
      <c r="E207" s="901" t="s">
        <v>37</v>
      </c>
      <c r="F207" s="901" t="s">
        <v>195</v>
      </c>
      <c r="G207" s="902" t="str">
        <f>VLOOKUP(WWWW[[#This Row],[Site Name]],SiteDB6[[Site Name]:[Location Type]],8,FALSE)</f>
        <v>Camp</v>
      </c>
      <c r="H207" s="901" t="s">
        <v>2703</v>
      </c>
      <c r="I207" s="903">
        <v>32</v>
      </c>
      <c r="J207" s="903">
        <v>160</v>
      </c>
      <c r="K207" s="904">
        <v>44652</v>
      </c>
      <c r="L207" s="905">
        <v>45016</v>
      </c>
      <c r="M207" s="903"/>
      <c r="N207" s="903"/>
      <c r="O207" s="903"/>
      <c r="P207" s="903"/>
      <c r="Q207" s="906" t="s">
        <v>41</v>
      </c>
      <c r="R207" s="903">
        <v>3</v>
      </c>
      <c r="S207" s="903">
        <v>3</v>
      </c>
      <c r="T207" s="441">
        <v>1</v>
      </c>
      <c r="U207" s="903"/>
      <c r="V207" s="903"/>
      <c r="W207" s="903">
        <v>1</v>
      </c>
      <c r="X207" s="903"/>
      <c r="Y207" s="903"/>
      <c r="Z207" s="903"/>
      <c r="AA207" s="903"/>
      <c r="AB207" s="903"/>
      <c r="AC207" s="903"/>
      <c r="AD207" s="903"/>
      <c r="AE207" s="903"/>
      <c r="AF207" s="903"/>
      <c r="AG207" s="903">
        <v>1</v>
      </c>
      <c r="AH207" s="903"/>
      <c r="AI207" s="903">
        <v>2</v>
      </c>
      <c r="AJ207" s="903">
        <v>2</v>
      </c>
      <c r="AK207" s="903">
        <v>9</v>
      </c>
      <c r="AL207" s="903">
        <v>9</v>
      </c>
      <c r="AM207" s="903"/>
      <c r="AN207" s="903"/>
      <c r="AO207" s="441"/>
      <c r="AP207" s="907"/>
      <c r="AQ207" s="903">
        <v>9</v>
      </c>
      <c r="AR207" s="903"/>
      <c r="AS207" s="908"/>
      <c r="AT207" s="903"/>
      <c r="AU207" s="903"/>
      <c r="AV207" s="903"/>
      <c r="AW207" s="903"/>
      <c r="AX207" s="903"/>
      <c r="AY207" s="902" t="s">
        <v>41</v>
      </c>
      <c r="AZ207" s="907" t="s">
        <v>137</v>
      </c>
      <c r="BA207" s="903"/>
      <c r="BB207" s="903">
        <v>2</v>
      </c>
      <c r="BC207" s="903"/>
      <c r="BD207" s="441"/>
      <c r="BE207" s="441">
        <v>7</v>
      </c>
      <c r="BF207" s="902"/>
      <c r="BG207" s="903">
        <v>9</v>
      </c>
      <c r="BH207" s="903"/>
      <c r="BI207" s="903"/>
      <c r="BJ207" s="903">
        <v>2</v>
      </c>
      <c r="BK207" s="903"/>
      <c r="BL207" s="903"/>
      <c r="BM207" s="903"/>
      <c r="BN207" s="903">
        <v>37</v>
      </c>
      <c r="BO207" s="903"/>
      <c r="BP207" s="902" t="s">
        <v>136</v>
      </c>
      <c r="BQ207" s="909">
        <v>0</v>
      </c>
      <c r="BR207" s="908">
        <v>0.8</v>
      </c>
      <c r="BS207" s="902"/>
      <c r="BT207" s="416">
        <v>1</v>
      </c>
      <c r="BU207" s="416">
        <v>1</v>
      </c>
      <c r="BV207" s="418">
        <v>2</v>
      </c>
      <c r="BW207" s="416">
        <v>1</v>
      </c>
      <c r="BX207" s="441"/>
      <c r="BY207" s="441"/>
      <c r="BZ207" s="441"/>
      <c r="CA207" s="441"/>
      <c r="CB207" s="441"/>
      <c r="CC207" s="693"/>
      <c r="CD207" s="441"/>
      <c r="CE207" s="910">
        <f>IFERROR(WWWW[[#This Row],['#_Water sources passed]]/WWWW[[#This Row],['#_Water sources tested for fecal coliform ]],"no test")</f>
        <v>1</v>
      </c>
      <c r="CF207" s="908">
        <f>IFERROR(WWWW[[#This Row],['#_Household passed]]/WWWW[[#This Row],['#_Household water samples tested for fecal coliform]],"no test")</f>
        <v>1</v>
      </c>
      <c r="CG207" s="909" t="str">
        <f>IF(AND(WWWW[[#This Row],[% of water sources passed]]="no test",WWWW[[#This Row],[% Household passed]]="no test"),"No Test","Tested")</f>
        <v>Tested</v>
      </c>
      <c r="CH207" s="909">
        <f>WWWW[[#This Row],['#_Constructed/existing protected hand dug well]]-WWWW[[#This Row],['#_Non-functional protected hand dug well]]</f>
        <v>1</v>
      </c>
      <c r="CI207" s="909">
        <f>(WWWW[[#This Row],['#_Constructed/Existing tube wells/boreholes/handpumps_WASH_agency]]+WWWW[[#This Row],['#_Non-Cluster partner water tube-wells/boreholes/handpumps]])-WWWW[[#This Row],['#_Non-functional tube wells/boreholes/handpumps]]</f>
        <v>1</v>
      </c>
      <c r="CJ207" s="909">
        <f>WWWW[[#This Row],['#_Constructed/Existingwater storage tank with gravity fed reticulation system]]-WWWW[[#This Row],['#_Non-functional storage tank gravity fed reticulation system]]</f>
        <v>0</v>
      </c>
      <c r="CK207" s="909">
        <f>(WWWW[[#This Row],['#_Water_Liters_supplied_by_Water boating or water trucking]]/90)/15</f>
        <v>0</v>
      </c>
      <c r="CL207" s="909">
        <f>WWWW[[#This Row],['#_Water_Liters_from_Constructed/Existing water distribution system from river or natural spring]]/90/15</f>
        <v>0</v>
      </c>
      <c r="CM207" s="417">
        <f>IF(WWWW[[#This Row],['#_of water points in TLS/CFS]]*500&gt;WWWW[[#This Row],[Total PoP ]],WWWW[[#This Row],[Total PoP ]],WWWW[[#This Row],['#_of water points in TLS/CFS]]*500)</f>
        <v>0</v>
      </c>
      <c r="CN207" s="417">
        <f>IF(WWWW[[#This Row],['#_of water points in THF]]*500&gt;WWWW[[#This Row],[Total PoP ]],WWWW[[#This Row],[Total PoP ]],WWWW[[#This Row],['#_of water points in THF]]*500)</f>
        <v>0</v>
      </c>
      <c r="CO207" s="417"/>
      <c r="CP207"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07"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07" s="908">
        <f>IF(WWWW[[#This Row],[Location Type 1]]="Village",WWWW[[#This Row],[Access to safe drinking water for Village]],WWWW[[#This Row],[Access to safe drinking water for Camp]])</f>
        <v>1</v>
      </c>
      <c r="CS207" s="906">
        <f>WWWW[[#This Row],[%Equitable and continuous access to sufficient quantity of safe drinking water]]*WWWW[[#This Row],[Total PoP ]]</f>
        <v>160</v>
      </c>
      <c r="CT207" s="908">
        <f>IF((WWWW[[#This Row],['#_Constructed/Existing protected/fenced ponds]]*250)/WWWW[[#This Row],[Total PoP ]]&gt;1,1,(WWWW[[#This Row],['#_Constructed/Existing protected/fenced ponds]]*250)/WWWW[[#This Row],[Total PoP ]])</f>
        <v>0</v>
      </c>
      <c r="CU207" s="906">
        <f>WWWW[[#This Row],[% Access to unimproved water points]]*WWWW[[#This Row],[Total PoP ]]</f>
        <v>0</v>
      </c>
      <c r="CV207"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07"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160</v>
      </c>
      <c r="CX207" s="906">
        <f>WWWW[[#This Row],[HRP1]]/500</f>
        <v>0.32</v>
      </c>
      <c r="CY207" s="911">
        <f>1-WWWW[[#This Row],[% Equitable and continuous access to sufficient quantity of domestic water]]</f>
        <v>0</v>
      </c>
      <c r="CZ207" s="906">
        <f>WWWW[[#This Row],[%equitable and continuous access to sufficient quantity of safe drinking and domestic water''s GAP]]*WWWW[[#This Row],[Total PoP ]]</f>
        <v>0</v>
      </c>
      <c r="DA207" s="909">
        <f>IF(WWWW[[#This Row],[Total required water points]]-WWWW[[#This Row],['#Water points coverage]]&lt;0,0,WWWW[[#This Row],[Total required water points]]-WWWW[[#This Row],['#Water points coverage]])</f>
        <v>0.67999999999999994</v>
      </c>
      <c r="DB207" s="909">
        <f>ROUND(IF(WWWW[[#This Row],[Total PoP ]]&lt;500,1,WWWW[[#This Row],[Total PoP ]]/500),0)</f>
        <v>1</v>
      </c>
      <c r="DC207" s="909">
        <f>(WWWW[[#This Row],['#_Constructed latrines_by_WASHAgencies]]+WWWW[[#This Row],['#_Non Cluster partner latrines]])-WWWW[[#This Row],['#_Non-functional latrines]]</f>
        <v>9</v>
      </c>
      <c r="DD207" s="615">
        <f>WWWW[[#This Row],[HRP2]]/WWWW[[#This Row],[Total PoP ]]</f>
        <v>1</v>
      </c>
      <c r="DE207"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160</v>
      </c>
      <c r="DF207"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07"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7" s="417">
        <f>IF(WWWW[[#This Row],['# of functional latrines in THF supported by WASH partners during the reporting period2]]="",0,WWWW[[#This Row],['# of functional latrines in THF supported by WASH partners during the reporting period2]]*50)</f>
        <v>0</v>
      </c>
      <c r="DI207" s="909">
        <f>ROUND(IF(WWWW[[#This Row],[Location Type 1]]="camp",WWWW[[#This Row],[Total PoP ]]/20,IF(WWWW[[#This Row],[Location Type 1]]="Temporary Location",WWWW[[#This Row],[Total PoP ]]/50,(WWWW[[#This Row],[Total PoP ]]/6))),0)</f>
        <v>8</v>
      </c>
      <c r="DJ207" s="909">
        <f>IF(WWWW[[#This Row],[Total required Latrines]]-(WWWW[[#This Row],['#_Constructed latrines_by_WASHAgencies]]+WWWW[[#This Row],['#_Non Cluster partner latrines]])&lt;0,0,WWWW[[#This Row],[Total required Latrines]]-(WWWW[[#This Row],['#_Constructed latrines_by_WASHAgencies]]+WWWW[[#This Row],['#_Non Cluster partner latrines]]))</f>
        <v>0</v>
      </c>
      <c r="DK207" s="911">
        <f>1-WWWW[[#This Row],[% people access to functioning Latrine]]</f>
        <v>0</v>
      </c>
      <c r="DL207" s="910">
        <f>IF(OR(WWWW[[#This Row],['#_Non-functional latrines]]="",WWWW[[#This Row],['#_Non-functional latrines]]=0),0,WWWW[[#This Row],['#_Non-functional latrines]]/(WWWW[[#This Row],['#_Constructed latrines_by_WASHAgencies]]+WWWW[[#This Row],['#_Non Cluster partner latrines]]))</f>
        <v>0</v>
      </c>
      <c r="DM207" s="906">
        <f>IF(500*(WWWW[[#This Row],['#_male hygiene promoters]]+WWWW[[#This Row],['#_female hygiene promoters]])&gt;WWWW[[#This Row],[Total PoP ]],WWWW[[#This Row],[Total PoP ]],500*(WWWW[[#This Row],['#_male hygiene promoters]]+WWWW[[#This Row],['#_female hygiene promoters]]))</f>
        <v>0</v>
      </c>
      <c r="DN207"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160</v>
      </c>
      <c r="DO207"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07" s="909">
        <f>IF(WWWW[[#This Row],['# People with access to soap]]&gt;WWWW[[#This Row],['# People with access to Sanity Pads]],WWWW[[#This Row],['# People with access to soap]],WWWW[[#This Row],['# People with access to Sanity Pads]])</f>
        <v>160</v>
      </c>
      <c r="DQ207" s="909">
        <f>IF(WWWW[[#This Row],['# people reached by regular dedicated hygiene promotion_5]]&gt;WWWW[[#This Row],['# People received regular supply of hygiene items_6]],WWWW[[#This Row],['# people reached by regular dedicated hygiene promotion_5]],WWWW[[#This Row],['# People received regular supply of hygiene items_6]])</f>
        <v>160</v>
      </c>
      <c r="DR207" s="911">
        <f>IF(WWWW[[#This Row],[HRP3]]/WWWW[[#This Row],[Total PoP ]]&gt;1,1,WWWW[[#This Row],[HRP3]]/WWWW[[#This Row],[Total PoP ]])</f>
        <v>1</v>
      </c>
      <c r="DS207" s="910">
        <f>1-WWWW[[#This Row],[Hygiene Coverage%]]</f>
        <v>0</v>
      </c>
      <c r="DT207" s="908">
        <f>WWWW[[#This Row],['# people reached by regular dedicated hygiene promotion_5]]/WWWW[[#This Row],[Total PoP ]]</f>
        <v>0</v>
      </c>
      <c r="DU207"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07"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07" s="909">
        <f>WWWW[[#This Row],['#_Constructed/Existing hand washing stations]]-WWWW[[#This Row],['#_Non-Functional_hand_washing_stations]]</f>
        <v>9</v>
      </c>
      <c r="DX207" s="906">
        <f>IF(WWWW[[#This Row],['# Functional hand washing stations during reporting period]]*20&gt;WWWW[[#This Row],[Total HH]],WWWW[[#This Row],[Total HH]],WWWW[[#This Row],['# Functional hand washing stations during reporting period]]*20)</f>
        <v>32</v>
      </c>
      <c r="DY207" s="906">
        <f>IF(WWWW[[#This Row],[Is sufficient soap available for TLS? (Yes/No)]]="yes",WWWW[[#This Row],['#_Constructed/Existing hand washing stations at TLS/CFS/THF]],0)</f>
        <v>0</v>
      </c>
      <c r="DZ207" s="421">
        <f>IF(WWWW[[#This Row],['# Functional hand washing stations during reporting period]]*100&gt;WWWW[[#This Row],[Total PoP ]],WWWW[[#This Row],[Total PoP ]],WWWW[[#This Row],['# Functional hand washing stations during reporting period]]*100)</f>
        <v>160</v>
      </c>
      <c r="EA207" s="421" t="str">
        <f>IF(OR(WWWW[[#This Row],['#_students at TLS_CFS]]="",WWWW[[#This Row],['#_students at TLS_CFS]]=0),"No","Yes")</f>
        <v>No</v>
      </c>
      <c r="EB207" s="615">
        <f>IF(WWWW[[#This Row],['#_of_affected_people_surveyed_who_report_feeling_informed_about_the_different_WASH_services_available_to_them]]="","",WWWW[[#This Row],['#_of_affected_people_surveyed_who_report_feeling_informed_about_the_different_WASH_services_available_to_them]]/WWWW[[#This Row],[Total PoP ]])</f>
        <v>1.2500000000000001E-2</v>
      </c>
      <c r="EC207" s="566">
        <f>WWWW[[#This Row],[%_of_affected_people_surveyed_who_report_feeling_satistfied_with_the_latrine_design_and_sanitation_service]]*WWWW[[#This Row],[Total PoP ]]</f>
        <v>160</v>
      </c>
      <c r="ED207" s="566">
        <f>WWWW[[#This Row],[%_of_affected_people_surveyed_who_report_feeling_satistfied_with_the_water_point_design_and_water_service]]*WWWW[[#This Row],[Total PoP ]]</f>
        <v>160</v>
      </c>
      <c r="EE207" s="566">
        <f>WWWW[[#This Row],[%_of_complaints_received_that_result_in_timely_corrective_action_and_feedback_to_the_community]]*WWWW[[#This Row],[Total PoP ]]</f>
        <v>160</v>
      </c>
      <c r="EF20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160</v>
      </c>
      <c r="EG20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0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07" s="902">
        <f>VLOOKUP(WWWW[[#This Row],[Site Name]],SiteDB6[[Site Name]:[CCCM Management]],6,FALSE)</f>
        <v>0</v>
      </c>
      <c r="EJ207" s="902">
        <f>VLOOKUP(WWWW[[#This Row],[Site Name]],SiteDB6[[Site Name]:[CCCM Focal Agency]],7,FALSE)</f>
        <v>0</v>
      </c>
      <c r="EK207" s="902" t="str">
        <f>VLOOKUP(WWWW[[#This Row],[Site Name]],SiteDB6[[Site Name]:[Location Type 1]],9,FALSE)</f>
        <v>Camp</v>
      </c>
      <c r="EL207" s="902" t="str">
        <f>VLOOKUP(WWWW[[#This Row],[Site Name]],SiteDB6[[Site Name]:[Type of Accommodation]],10,FALSE)</f>
        <v>Camp</v>
      </c>
      <c r="EM207" s="902" t="str">
        <f>VLOOKUP(WWWW[[#This Row],[Site Name]],SiteDB6[[Site Name]:[Ethnic or GCA/NGCA]],11,FALSE)</f>
        <v>GCA</v>
      </c>
      <c r="EN207" s="902">
        <f>VLOOKUP(WWWW[[#This Row],[Site Name]],SiteDB6[[Site Name]:[Lat]],12,FALSE)</f>
        <v>24.314934000000001</v>
      </c>
      <c r="EO207" s="902">
        <f>VLOOKUP(WWWW[[#This Row],[Site Name]],SiteDB6[[Site Name]:[Long]],13,FALSE)</f>
        <v>97.305190999999994</v>
      </c>
      <c r="EP207" s="902" t="str">
        <f>VLOOKUP(WWWW[[#This Row],[Site Name]],SiteDB6[[Site Name]:[Pcode]],3,FALSE)</f>
        <v>MMR001CMP285</v>
      </c>
      <c r="EQ207" s="907" t="str">
        <f t="shared" si="3"/>
        <v>Covered</v>
      </c>
      <c r="ER207" s="907" t="s">
        <v>3126</v>
      </c>
      <c r="ES207" s="907" t="s">
        <v>3126</v>
      </c>
      <c r="ET207" s="902">
        <f>VLOOKUP(WWWW[[#This Row],[Site Name]],SiteDB6[[Site Name]:[Pop
(Kachin/Shan-CCCM as of May 2023)]],16,FALSE)</f>
        <v>50</v>
      </c>
      <c r="EU207" s="902">
        <f>VLOOKUP(WWWW[[#This Row],[Site Name]],SiteDB6[[Site Name]:[Pop
(Kachin/Shan-CCCM as of May 2023)]],17,FALSE)</f>
        <v>224</v>
      </c>
    </row>
    <row r="208" spans="1:151" hidden="1">
      <c r="A208" s="900" t="s">
        <v>2961</v>
      </c>
      <c r="B208" s="900" t="s">
        <v>276</v>
      </c>
      <c r="C208" s="901" t="s">
        <v>276</v>
      </c>
      <c r="D208" s="901" t="s">
        <v>2883</v>
      </c>
      <c r="E208" s="901" t="s">
        <v>37</v>
      </c>
      <c r="F208" s="901" t="s">
        <v>195</v>
      </c>
      <c r="G208" s="902" t="str">
        <f>VLOOKUP(WWWW[[#This Row],[Site Name]],SiteDB6[[Site Name]:[Location Type]],8,FALSE)</f>
        <v>Camp</v>
      </c>
      <c r="H208" s="901" t="s">
        <v>280</v>
      </c>
      <c r="I208" s="903">
        <v>565</v>
      </c>
      <c r="J208" s="903">
        <v>3451</v>
      </c>
      <c r="K208" s="904">
        <v>44652</v>
      </c>
      <c r="L208" s="905">
        <v>45016</v>
      </c>
      <c r="M208" s="903"/>
      <c r="N208" s="903"/>
      <c r="O208" s="903">
        <v>6</v>
      </c>
      <c r="P208" s="903"/>
      <c r="Q208" s="906" t="s">
        <v>41</v>
      </c>
      <c r="R208" s="903">
        <v>16</v>
      </c>
      <c r="S208" s="903">
        <v>13</v>
      </c>
      <c r="T208" s="441">
        <v>1</v>
      </c>
      <c r="U208" s="903">
        <v>1</v>
      </c>
      <c r="V208" s="903"/>
      <c r="W208" s="903">
        <v>24</v>
      </c>
      <c r="X208" s="903"/>
      <c r="Y208" s="903"/>
      <c r="Z208" s="903"/>
      <c r="AA208" s="903"/>
      <c r="AB208" s="903"/>
      <c r="AC208" s="903"/>
      <c r="AD208" s="903"/>
      <c r="AE208" s="903"/>
      <c r="AF208" s="903"/>
      <c r="AG208" s="903">
        <v>6</v>
      </c>
      <c r="AH208" s="903"/>
      <c r="AI208" s="903">
        <v>15</v>
      </c>
      <c r="AJ208" s="903">
        <v>15</v>
      </c>
      <c r="AK208" s="903">
        <v>27</v>
      </c>
      <c r="AL208" s="903">
        <v>27</v>
      </c>
      <c r="AM208" s="903"/>
      <c r="AN208" s="903"/>
      <c r="AO208" s="441"/>
      <c r="AP208" s="907"/>
      <c r="AQ208" s="903">
        <v>148</v>
      </c>
      <c r="AR208" s="903"/>
      <c r="AS208" s="908"/>
      <c r="AT208" s="903"/>
      <c r="AU208" s="903">
        <v>11</v>
      </c>
      <c r="AV208" s="903">
        <v>129</v>
      </c>
      <c r="AW208" s="903">
        <v>144</v>
      </c>
      <c r="AX208" s="903"/>
      <c r="AY208" s="902" t="s">
        <v>41</v>
      </c>
      <c r="AZ208" s="907" t="s">
        <v>137</v>
      </c>
      <c r="BA208" s="903"/>
      <c r="BB208" s="903">
        <v>10</v>
      </c>
      <c r="BC208" s="903"/>
      <c r="BD208" s="441"/>
      <c r="BE208" s="441">
        <v>23</v>
      </c>
      <c r="BF208" s="902"/>
      <c r="BG208" s="903">
        <v>32</v>
      </c>
      <c r="BH208" s="903"/>
      <c r="BI208" s="903">
        <v>1</v>
      </c>
      <c r="BJ208" s="903">
        <v>16</v>
      </c>
      <c r="BK208" s="903"/>
      <c r="BL208" s="903"/>
      <c r="BM208" s="903">
        <v>6</v>
      </c>
      <c r="BN208" s="903">
        <v>435</v>
      </c>
      <c r="BO208" s="903">
        <v>210</v>
      </c>
      <c r="BP208" s="902" t="s">
        <v>136</v>
      </c>
      <c r="BQ208" s="909">
        <v>1</v>
      </c>
      <c r="BR208" s="908">
        <v>0.8</v>
      </c>
      <c r="BS208" s="902"/>
      <c r="BT208" s="416">
        <v>0.98</v>
      </c>
      <c r="BU208" s="416">
        <v>1</v>
      </c>
      <c r="BV208" s="418">
        <v>23</v>
      </c>
      <c r="BW208" s="416">
        <v>1</v>
      </c>
      <c r="BX208" s="441"/>
      <c r="BY208" s="441"/>
      <c r="BZ208" s="441"/>
      <c r="CA208" s="441"/>
      <c r="CB208" s="441"/>
      <c r="CC208" s="693"/>
      <c r="CD208" s="441"/>
      <c r="CE208" s="910">
        <f>IFERROR(WWWW[[#This Row],['#_Water sources passed]]/WWWW[[#This Row],['#_Water sources tested for fecal coliform ]],"no test")</f>
        <v>1</v>
      </c>
      <c r="CF208" s="908">
        <f>IFERROR(WWWW[[#This Row],['#_Household passed]]/WWWW[[#This Row],['#_Household water samples tested for fecal coliform]],"no test")</f>
        <v>1</v>
      </c>
      <c r="CG208" s="909" t="str">
        <f>IF(AND(WWWW[[#This Row],[% of water sources passed]]="no test",WWWW[[#This Row],[% Household passed]]="no test"),"No Test","Tested")</f>
        <v>Tested</v>
      </c>
      <c r="CH208" s="909">
        <f>WWWW[[#This Row],['#_Constructed/existing protected hand dug well]]-WWWW[[#This Row],['#_Non-functional protected hand dug well]]</f>
        <v>0</v>
      </c>
      <c r="CI208" s="909">
        <f>(WWWW[[#This Row],['#_Constructed/Existing tube wells/boreholes/handpumps_WASH_agency]]+WWWW[[#This Row],['#_Non-Cluster partner water tube-wells/boreholes/handpumps]])-WWWW[[#This Row],['#_Non-functional tube wells/boreholes/handpumps]]</f>
        <v>24</v>
      </c>
      <c r="CJ208" s="909">
        <f>WWWW[[#This Row],['#_Constructed/Existingwater storage tank with gravity fed reticulation system]]-WWWW[[#This Row],['#_Non-functional storage tank gravity fed reticulation system]]</f>
        <v>0</v>
      </c>
      <c r="CK208" s="909">
        <f>(WWWW[[#This Row],['#_Water_Liters_supplied_by_Water boating or water trucking]]/90)/15</f>
        <v>0</v>
      </c>
      <c r="CL208" s="909">
        <f>WWWW[[#This Row],['#_Water_Liters_from_Constructed/Existing water distribution system from river or natural spring]]/90/15</f>
        <v>0</v>
      </c>
      <c r="CM208" s="417">
        <f>IF(WWWW[[#This Row],['#_of water points in TLS/CFS]]*500&gt;WWWW[[#This Row],[Total PoP ]],WWWW[[#This Row],[Total PoP ]],WWWW[[#This Row],['#_of water points in TLS/CFS]]*500)</f>
        <v>0</v>
      </c>
      <c r="CN208" s="417">
        <f>IF(WWWW[[#This Row],['#_of water points in THF]]*500&gt;WWWW[[#This Row],[Total PoP ]],WWWW[[#This Row],[Total PoP ]],WWWW[[#This Row],['#_of water points in THF]]*500)</f>
        <v>0</v>
      </c>
      <c r="CO208" s="417"/>
      <c r="CP208"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08"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08" s="908">
        <f>IF(WWWW[[#This Row],[Location Type 1]]="Village",WWWW[[#This Row],[Access to safe drinking water for Village]],WWWW[[#This Row],[Access to safe drinking water for Camp]])</f>
        <v>1</v>
      </c>
      <c r="CS208" s="906">
        <f>WWWW[[#This Row],[%Equitable and continuous access to sufficient quantity of safe drinking water]]*WWWW[[#This Row],[Total PoP ]]</f>
        <v>3451</v>
      </c>
      <c r="CT208" s="908">
        <f>IF((WWWW[[#This Row],['#_Constructed/Existing protected/fenced ponds]]*250)/WWWW[[#This Row],[Total PoP ]]&gt;1,1,(WWWW[[#This Row],['#_Constructed/Existing protected/fenced ponds]]*250)/WWWW[[#This Row],[Total PoP ]])</f>
        <v>0</v>
      </c>
      <c r="CU208" s="906">
        <f>WWWW[[#This Row],[% Access to unimproved water points]]*WWWW[[#This Row],[Total PoP ]]</f>
        <v>0</v>
      </c>
      <c r="CV208"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08"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3451</v>
      </c>
      <c r="CX208" s="906">
        <f>WWWW[[#This Row],[HRP1]]/500</f>
        <v>6.9020000000000001</v>
      </c>
      <c r="CY208" s="911">
        <f>1-WWWW[[#This Row],[% Equitable and continuous access to sufficient quantity of domestic water]]</f>
        <v>0</v>
      </c>
      <c r="CZ208" s="906">
        <f>WWWW[[#This Row],[%equitable and continuous access to sufficient quantity of safe drinking and domestic water''s GAP]]*WWWW[[#This Row],[Total PoP ]]</f>
        <v>0</v>
      </c>
      <c r="DA208" s="909">
        <f>IF(WWWW[[#This Row],[Total required water points]]-WWWW[[#This Row],['#Water points coverage]]&lt;0,0,WWWW[[#This Row],[Total required water points]]-WWWW[[#This Row],['#Water points coverage]])</f>
        <v>9.7999999999999865E-2</v>
      </c>
      <c r="DB208" s="909">
        <f>ROUND(IF(WWWW[[#This Row],[Total PoP ]]&lt;500,1,WWWW[[#This Row],[Total PoP ]]/500),0)</f>
        <v>7</v>
      </c>
      <c r="DC208" s="909">
        <f>(WWWW[[#This Row],['#_Constructed latrines_by_WASHAgencies]]+WWWW[[#This Row],['#_Non Cluster partner latrines]])-WWWW[[#This Row],['#_Non-functional latrines]]</f>
        <v>148</v>
      </c>
      <c r="DD208" s="615">
        <f>WWWW[[#This Row],[HRP2]]/WWWW[[#This Row],[Total PoP ]]</f>
        <v>0.86438713416401047</v>
      </c>
      <c r="DE208"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2983</v>
      </c>
      <c r="DF208"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2580</v>
      </c>
      <c r="DG208"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8" s="417">
        <f>IF(WWWW[[#This Row],['# of functional latrines in THF supported by WASH partners during the reporting period2]]="",0,WWWW[[#This Row],['# of functional latrines in THF supported by WASH partners during the reporting period2]]*50)</f>
        <v>0</v>
      </c>
      <c r="DI208" s="909">
        <f>ROUND(IF(WWWW[[#This Row],[Location Type 1]]="camp",WWWW[[#This Row],[Total PoP ]]/20,IF(WWWW[[#This Row],[Location Type 1]]="Temporary Location",WWWW[[#This Row],[Total PoP ]]/50,(WWWW[[#This Row],[Total PoP ]]/6))),0)</f>
        <v>173</v>
      </c>
      <c r="DJ208" s="909">
        <f>IF(WWWW[[#This Row],[Total required Latrines]]-(WWWW[[#This Row],['#_Constructed latrines_by_WASHAgencies]]+WWWW[[#This Row],['#_Non Cluster partner latrines]])&lt;0,0,WWWW[[#This Row],[Total required Latrines]]-(WWWW[[#This Row],['#_Constructed latrines_by_WASHAgencies]]+WWWW[[#This Row],['#_Non Cluster partner latrines]]))</f>
        <v>25</v>
      </c>
      <c r="DK208" s="911">
        <f>1-WWWW[[#This Row],[% people access to functioning Latrine]]</f>
        <v>0.13561286583598953</v>
      </c>
      <c r="DL208" s="910">
        <f>IF(OR(WWWW[[#This Row],['#_Non-functional latrines]]="",WWWW[[#This Row],['#_Non-functional latrines]]=0),0,WWWW[[#This Row],['#_Non-functional latrines]]/(WWWW[[#This Row],['#_Constructed latrines_by_WASHAgencies]]+WWWW[[#This Row],['#_Non Cluster partner latrines]]))</f>
        <v>0</v>
      </c>
      <c r="DM208" s="906">
        <f>IF(500*(WWWW[[#This Row],['#_male hygiene promoters]]+WWWW[[#This Row],['#_female hygiene promoters]])&gt;WWWW[[#This Row],[Total PoP ]],WWWW[[#This Row],[Total PoP ]],500*(WWWW[[#This Row],['#_male hygiene promoters]]+WWWW[[#This Row],['#_female hygiene promoters]]))</f>
        <v>3000</v>
      </c>
      <c r="DN208"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2175</v>
      </c>
      <c r="DO208"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210</v>
      </c>
      <c r="DP208" s="909">
        <f>IF(WWWW[[#This Row],['# People with access to soap]]&gt;WWWW[[#This Row],['# People with access to Sanity Pads]],WWWW[[#This Row],['# People with access to soap]],WWWW[[#This Row],['# People with access to Sanity Pads]])</f>
        <v>2175</v>
      </c>
      <c r="DQ208" s="909">
        <f>IF(WWWW[[#This Row],['# people reached by regular dedicated hygiene promotion_5]]&gt;WWWW[[#This Row],['# People received regular supply of hygiene items_6]],WWWW[[#This Row],['# people reached by regular dedicated hygiene promotion_5]],WWWW[[#This Row],['# People received regular supply of hygiene items_6]])</f>
        <v>3000</v>
      </c>
      <c r="DR208" s="911">
        <f>IF(WWWW[[#This Row],[HRP3]]/WWWW[[#This Row],[Total PoP ]]&gt;1,1,WWWW[[#This Row],[HRP3]]/WWWW[[#This Row],[Total PoP ]])</f>
        <v>0.8693132425383947</v>
      </c>
      <c r="DS208" s="910">
        <f>1-WWWW[[#This Row],[Hygiene Coverage%]]</f>
        <v>0.1306867574616053</v>
      </c>
      <c r="DT208" s="908">
        <f>WWWW[[#This Row],['# people reached by regular dedicated hygiene promotion_5]]/WWWW[[#This Row],[Total PoP ]]</f>
        <v>0.8693132425383947</v>
      </c>
      <c r="DU208"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08"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0.37168141592920356</v>
      </c>
      <c r="DW208" s="909">
        <f>WWWW[[#This Row],['#_Constructed/Existing hand washing stations]]-WWWW[[#This Row],['#_Non-Functional_hand_washing_stations]]</f>
        <v>32</v>
      </c>
      <c r="DX208" s="906">
        <f>IF(WWWW[[#This Row],['# Functional hand washing stations during reporting period]]*20&gt;WWWW[[#This Row],[Total HH]],WWWW[[#This Row],[Total HH]],WWWW[[#This Row],['# Functional hand washing stations during reporting period]]*20)</f>
        <v>565</v>
      </c>
      <c r="DY208" s="906">
        <f>IF(WWWW[[#This Row],[Is sufficient soap available for TLS? (Yes/No)]]="yes",WWWW[[#This Row],['#_Constructed/Existing hand washing stations at TLS/CFS/THF]],0)</f>
        <v>0</v>
      </c>
      <c r="DZ208" s="421">
        <f>IF(WWWW[[#This Row],['# Functional hand washing stations during reporting period]]*100&gt;WWWW[[#This Row],[Total PoP ]],WWWW[[#This Row],[Total PoP ]],WWWW[[#This Row],['# Functional hand washing stations during reporting period]]*100)</f>
        <v>3200</v>
      </c>
      <c r="EA208" s="421" t="str">
        <f>IF(OR(WWWW[[#This Row],['#_students at TLS_CFS]]="",WWWW[[#This Row],['#_students at TLS_CFS]]=0),"No","Yes")</f>
        <v>No</v>
      </c>
      <c r="EB208" s="615">
        <f>IF(WWWW[[#This Row],['#_of_affected_people_surveyed_who_report_feeling_informed_about_the_different_WASH_services_available_to_them]]="","",WWWW[[#This Row],['#_of_affected_people_surveyed_who_report_feeling_informed_about_the_different_WASH_services_available_to_them]]/WWWW[[#This Row],[Total PoP ]])</f>
        <v>6.6647348594610261E-3</v>
      </c>
      <c r="EC208" s="566">
        <f>WWWW[[#This Row],[%_of_affected_people_surveyed_who_report_feeling_satistfied_with_the_latrine_design_and_sanitation_service]]*WWWW[[#This Row],[Total PoP ]]</f>
        <v>3381.98</v>
      </c>
      <c r="ED208" s="566">
        <f>WWWW[[#This Row],[%_of_affected_people_surveyed_who_report_feeling_satistfied_with_the_water_point_design_and_water_service]]*WWWW[[#This Row],[Total PoP ]]</f>
        <v>3451</v>
      </c>
      <c r="EE208" s="566">
        <f>WWWW[[#This Row],[%_of_complaints_received_that_result_in_timely_corrective_action_and_feedback_to_the_community]]*WWWW[[#This Row],[Total PoP ]]</f>
        <v>3451</v>
      </c>
      <c r="EF20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3451</v>
      </c>
      <c r="EG20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0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08" s="902" t="str">
        <f>VLOOKUP(WWWW[[#This Row],[Site Name]],SiteDB6[[Site Name]:[CCCM Management]],6,FALSE)</f>
        <v>Yes</v>
      </c>
      <c r="EJ208" s="902" t="str">
        <f>VLOOKUP(WWWW[[#This Row],[Site Name]],SiteDB6[[Site Name]:[CCCM Focal Agency]],7,FALSE)</f>
        <v>KBC-BMO</v>
      </c>
      <c r="EK208" s="902" t="str">
        <f>VLOOKUP(WWWW[[#This Row],[Site Name]],SiteDB6[[Site Name]:[Location Type 1]],9,FALSE)</f>
        <v>Camp</v>
      </c>
      <c r="EL208" s="902" t="str">
        <f>VLOOKUP(WWWW[[#This Row],[Site Name]],SiteDB6[[Site Name]:[Type of Accommodation]],10,FALSE)</f>
        <v>Camp</v>
      </c>
      <c r="EM208" s="902" t="str">
        <f>VLOOKUP(WWWW[[#This Row],[Site Name]],SiteDB6[[Site Name]:[Ethnic or GCA/NGCA]],11,FALSE)</f>
        <v>GCA</v>
      </c>
      <c r="EN208" s="902">
        <f>VLOOKUP(WWWW[[#This Row],[Site Name]],SiteDB6[[Site Name]:[Lat]],12,FALSE)</f>
        <v>24.268292826086999</v>
      </c>
      <c r="EO208" s="902">
        <f>VLOOKUP(WWWW[[#This Row],[Site Name]],SiteDB6[[Site Name]:[Long]],13,FALSE)</f>
        <v>97.229116811594196</v>
      </c>
      <c r="EP208" s="902" t="str">
        <f>VLOOKUP(WWWW[[#This Row],[Site Name]],SiteDB6[[Site Name]:[Pcode]],3,FALSE)</f>
        <v>MMR001CMP047</v>
      </c>
      <c r="EQ208" s="907" t="str">
        <f t="shared" si="3"/>
        <v>Covered</v>
      </c>
      <c r="ER208" s="907" t="s">
        <v>3126</v>
      </c>
      <c r="ES208" s="907" t="s">
        <v>3126</v>
      </c>
      <c r="ET208" s="902">
        <f>VLOOKUP(WWWW[[#This Row],[Site Name]],SiteDB6[[Site Name]:[Pop
(Kachin/Shan-CCCM as of May 2023)]],16,FALSE)</f>
        <v>565</v>
      </c>
      <c r="EU208" s="902">
        <f>VLOOKUP(WWWW[[#This Row],[Site Name]],SiteDB6[[Site Name]:[Pop
(Kachin/Shan-CCCM as of May 2023)]],17,FALSE)</f>
        <v>3369</v>
      </c>
    </row>
    <row r="209" spans="1:151" hidden="1">
      <c r="A209" s="900" t="s">
        <v>2961</v>
      </c>
      <c r="B209" s="900" t="s">
        <v>276</v>
      </c>
      <c r="C209" s="901" t="s">
        <v>276</v>
      </c>
      <c r="D209" s="901" t="s">
        <v>2883</v>
      </c>
      <c r="E209" s="901" t="s">
        <v>37</v>
      </c>
      <c r="F209" s="901" t="s">
        <v>205</v>
      </c>
      <c r="G209" s="902" t="str">
        <f>VLOOKUP(WWWW[[#This Row],[Site Name]],SiteDB6[[Site Name]:[Location Type]],8,FALSE)</f>
        <v>Camp</v>
      </c>
      <c r="H209" s="901" t="s">
        <v>281</v>
      </c>
      <c r="I209" s="903">
        <v>85</v>
      </c>
      <c r="J209" s="903">
        <v>255</v>
      </c>
      <c r="K209" s="904">
        <v>44652</v>
      </c>
      <c r="L209" s="905">
        <v>45016</v>
      </c>
      <c r="M209" s="903"/>
      <c r="N209" s="903"/>
      <c r="O209" s="903">
        <v>1</v>
      </c>
      <c r="P209" s="903"/>
      <c r="Q209" s="906" t="s">
        <v>41</v>
      </c>
      <c r="R209" s="903">
        <v>3</v>
      </c>
      <c r="S209" s="903">
        <v>3</v>
      </c>
      <c r="T209" s="441">
        <v>1</v>
      </c>
      <c r="U209" s="903"/>
      <c r="V209" s="903"/>
      <c r="W209" s="903"/>
      <c r="X209" s="903"/>
      <c r="Y209" s="903"/>
      <c r="Z209" s="903"/>
      <c r="AA209" s="903">
        <v>1</v>
      </c>
      <c r="AB209" s="903"/>
      <c r="AC209" s="903"/>
      <c r="AD209" s="903"/>
      <c r="AE209" s="903"/>
      <c r="AF209" s="903"/>
      <c r="AG209" s="903">
        <v>2</v>
      </c>
      <c r="AH209" s="903"/>
      <c r="AI209" s="903">
        <v>1</v>
      </c>
      <c r="AJ209" s="903">
        <v>1</v>
      </c>
      <c r="AK209" s="903">
        <v>6</v>
      </c>
      <c r="AL209" s="903">
        <v>5</v>
      </c>
      <c r="AM209" s="903"/>
      <c r="AN209" s="903"/>
      <c r="AO209" s="441"/>
      <c r="AP209" s="907"/>
      <c r="AQ209" s="903">
        <v>9</v>
      </c>
      <c r="AR209" s="903"/>
      <c r="AS209" s="908"/>
      <c r="AT209" s="903"/>
      <c r="AU209" s="903">
        <v>2</v>
      </c>
      <c r="AV209" s="903">
        <v>12</v>
      </c>
      <c r="AW209" s="903">
        <v>16</v>
      </c>
      <c r="AX209" s="903"/>
      <c r="AY209" s="902" t="s">
        <v>41</v>
      </c>
      <c r="AZ209" s="907" t="s">
        <v>137</v>
      </c>
      <c r="BA209" s="903"/>
      <c r="BB209" s="903"/>
      <c r="BC209" s="903"/>
      <c r="BD209" s="441"/>
      <c r="BE209" s="441">
        <v>2</v>
      </c>
      <c r="BF209" s="902"/>
      <c r="BG209" s="903">
        <v>7</v>
      </c>
      <c r="BH209" s="903"/>
      <c r="BI209" s="903"/>
      <c r="BJ209" s="903">
        <v>1</v>
      </c>
      <c r="BK209" s="903"/>
      <c r="BL209" s="903">
        <v>1</v>
      </c>
      <c r="BM209" s="903">
        <v>1</v>
      </c>
      <c r="BN209" s="903"/>
      <c r="BO209" s="903"/>
      <c r="BP209" s="902" t="s">
        <v>136</v>
      </c>
      <c r="BQ209" s="909">
        <v>2</v>
      </c>
      <c r="BR209" s="908">
        <v>0.8</v>
      </c>
      <c r="BS209" s="902"/>
      <c r="BT209" s="416">
        <v>0.66</v>
      </c>
      <c r="BU209" s="416">
        <v>1</v>
      </c>
      <c r="BV209" s="418">
        <v>8</v>
      </c>
      <c r="BW209" s="416">
        <v>1</v>
      </c>
      <c r="BX209" s="441"/>
      <c r="BY209" s="441"/>
      <c r="BZ209" s="441"/>
      <c r="CA209" s="441"/>
      <c r="CB209" s="441"/>
      <c r="CC209" s="693"/>
      <c r="CD209" s="441"/>
      <c r="CE209" s="910">
        <f>IFERROR(WWWW[[#This Row],['#_Water sources passed]]/WWWW[[#This Row],['#_Water sources tested for fecal coliform ]],"no test")</f>
        <v>1</v>
      </c>
      <c r="CF209" s="908">
        <f>IFERROR(WWWW[[#This Row],['#_Household passed]]/WWWW[[#This Row],['#_Household water samples tested for fecal coliform]],"no test")</f>
        <v>0.83333333333333337</v>
      </c>
      <c r="CG209" s="909" t="str">
        <f>IF(AND(WWWW[[#This Row],[% of water sources passed]]="no test",WWWW[[#This Row],[% Household passed]]="no test"),"No Test","Tested")</f>
        <v>Tested</v>
      </c>
      <c r="CH209" s="909">
        <f>WWWW[[#This Row],['#_Constructed/existing protected hand dug well]]-WWWW[[#This Row],['#_Non-functional protected hand dug well]]</f>
        <v>1</v>
      </c>
      <c r="CI209" s="909">
        <f>(WWWW[[#This Row],['#_Constructed/Existing tube wells/boreholes/handpumps_WASH_agency]]+WWWW[[#This Row],['#_Non-Cluster partner water tube-wells/boreholes/handpumps]])-WWWW[[#This Row],['#_Non-functional tube wells/boreholes/handpumps]]</f>
        <v>0</v>
      </c>
      <c r="CJ209" s="909">
        <f>WWWW[[#This Row],['#_Constructed/Existingwater storage tank with gravity fed reticulation system]]-WWWW[[#This Row],['#_Non-functional storage tank gravity fed reticulation system]]</f>
        <v>1</v>
      </c>
      <c r="CK209" s="909">
        <f>(WWWW[[#This Row],['#_Water_Liters_supplied_by_Water boating or water trucking]]/90)/15</f>
        <v>0</v>
      </c>
      <c r="CL209" s="909">
        <f>WWWW[[#This Row],['#_Water_Liters_from_Constructed/Existing water distribution system from river or natural spring]]/90/15</f>
        <v>0</v>
      </c>
      <c r="CM209" s="417">
        <f>IF(WWWW[[#This Row],['#_of water points in TLS/CFS]]*500&gt;WWWW[[#This Row],[Total PoP ]],WWWW[[#This Row],[Total PoP ]],WWWW[[#This Row],['#_of water points in TLS/CFS]]*500)</f>
        <v>0</v>
      </c>
      <c r="CN209" s="417">
        <f>IF(WWWW[[#This Row],['#_of water points in THF]]*500&gt;WWWW[[#This Row],[Total PoP ]],WWWW[[#This Row],[Total PoP ]],WWWW[[#This Row],['#_of water points in THF]]*500)</f>
        <v>0</v>
      </c>
      <c r="CO209" s="417"/>
      <c r="CP209"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09"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09" s="908">
        <f>IF(WWWW[[#This Row],[Location Type 1]]="Village",WWWW[[#This Row],[Access to safe drinking water for Village]],WWWW[[#This Row],[Access to safe drinking water for Camp]])</f>
        <v>1</v>
      </c>
      <c r="CS209" s="906">
        <f>WWWW[[#This Row],[%Equitable and continuous access to sufficient quantity of safe drinking water]]*WWWW[[#This Row],[Total PoP ]]</f>
        <v>255</v>
      </c>
      <c r="CT209" s="908">
        <f>IF((WWWW[[#This Row],['#_Constructed/Existing protected/fenced ponds]]*250)/WWWW[[#This Row],[Total PoP ]]&gt;1,1,(WWWW[[#This Row],['#_Constructed/Existing protected/fenced ponds]]*250)/WWWW[[#This Row],[Total PoP ]])</f>
        <v>0</v>
      </c>
      <c r="CU209" s="906">
        <f>WWWW[[#This Row],[% Access to unimproved water points]]*WWWW[[#This Row],[Total PoP ]]</f>
        <v>0</v>
      </c>
      <c r="CV209"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09"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255</v>
      </c>
      <c r="CX209" s="906">
        <f>WWWW[[#This Row],[HRP1]]/500</f>
        <v>0.51</v>
      </c>
      <c r="CY209" s="911">
        <f>1-WWWW[[#This Row],[% Equitable and continuous access to sufficient quantity of domestic water]]</f>
        <v>0</v>
      </c>
      <c r="CZ209" s="906">
        <f>WWWW[[#This Row],[%equitable and continuous access to sufficient quantity of safe drinking and domestic water''s GAP]]*WWWW[[#This Row],[Total PoP ]]</f>
        <v>0</v>
      </c>
      <c r="DA209" s="909">
        <f>IF(WWWW[[#This Row],[Total required water points]]-WWWW[[#This Row],['#Water points coverage]]&lt;0,0,WWWW[[#This Row],[Total required water points]]-WWWW[[#This Row],['#Water points coverage]])</f>
        <v>0.49</v>
      </c>
      <c r="DB209" s="909">
        <f>ROUND(IF(WWWW[[#This Row],[Total PoP ]]&lt;500,1,WWWW[[#This Row],[Total PoP ]]/500),0)</f>
        <v>1</v>
      </c>
      <c r="DC209" s="909">
        <f>(WWWW[[#This Row],['#_Constructed latrines_by_WASHAgencies]]+WWWW[[#This Row],['#_Non Cluster partner latrines]])-WWWW[[#This Row],['#_Non-functional latrines]]</f>
        <v>9</v>
      </c>
      <c r="DD209" s="615">
        <f>WWWW[[#This Row],[HRP2]]/WWWW[[#This Row],[Total PoP ]]</f>
        <v>0.71372549019607845</v>
      </c>
      <c r="DE209"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182</v>
      </c>
      <c r="DF209"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240</v>
      </c>
      <c r="DG209"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09" s="417">
        <f>IF(WWWW[[#This Row],['# of functional latrines in THF supported by WASH partners during the reporting period2]]="",0,WWWW[[#This Row],['# of functional latrines in THF supported by WASH partners during the reporting period2]]*50)</f>
        <v>0</v>
      </c>
      <c r="DI209" s="909">
        <f>ROUND(IF(WWWW[[#This Row],[Location Type 1]]="camp",WWWW[[#This Row],[Total PoP ]]/20,IF(WWWW[[#This Row],[Location Type 1]]="Temporary Location",WWWW[[#This Row],[Total PoP ]]/50,(WWWW[[#This Row],[Total PoP ]]/6))),0)</f>
        <v>13</v>
      </c>
      <c r="DJ209" s="909">
        <f>IF(WWWW[[#This Row],[Total required Latrines]]-(WWWW[[#This Row],['#_Constructed latrines_by_WASHAgencies]]+WWWW[[#This Row],['#_Non Cluster partner latrines]])&lt;0,0,WWWW[[#This Row],[Total required Latrines]]-(WWWW[[#This Row],['#_Constructed latrines_by_WASHAgencies]]+WWWW[[#This Row],['#_Non Cluster partner latrines]]))</f>
        <v>4</v>
      </c>
      <c r="DK209" s="911">
        <f>1-WWWW[[#This Row],[% people access to functioning Latrine]]</f>
        <v>0.28627450980392155</v>
      </c>
      <c r="DL209" s="910">
        <f>IF(OR(WWWW[[#This Row],['#_Non-functional latrines]]="",WWWW[[#This Row],['#_Non-functional latrines]]=0),0,WWWW[[#This Row],['#_Non-functional latrines]]/(WWWW[[#This Row],['#_Constructed latrines_by_WASHAgencies]]+WWWW[[#This Row],['#_Non Cluster partner latrines]]))</f>
        <v>0</v>
      </c>
      <c r="DM209" s="906">
        <f>IF(500*(WWWW[[#This Row],['#_male hygiene promoters]]+WWWW[[#This Row],['#_female hygiene promoters]])&gt;WWWW[[#This Row],[Total PoP ]],WWWW[[#This Row],[Total PoP ]],500*(WWWW[[#This Row],['#_male hygiene promoters]]+WWWW[[#This Row],['#_female hygiene promoters]]))</f>
        <v>255</v>
      </c>
      <c r="DN209"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09"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09" s="909">
        <f>IF(WWWW[[#This Row],['# People with access to soap]]&gt;WWWW[[#This Row],['# People with access to Sanity Pads]],WWWW[[#This Row],['# People with access to soap]],WWWW[[#This Row],['# People with access to Sanity Pads]])</f>
        <v>0</v>
      </c>
      <c r="DQ209" s="909">
        <f>IF(WWWW[[#This Row],['# people reached by regular dedicated hygiene promotion_5]]&gt;WWWW[[#This Row],['# People received regular supply of hygiene items_6]],WWWW[[#This Row],['# people reached by regular dedicated hygiene promotion_5]],WWWW[[#This Row],['# People received regular supply of hygiene items_6]])</f>
        <v>255</v>
      </c>
      <c r="DR209" s="911">
        <f>IF(WWWW[[#This Row],[HRP3]]/WWWW[[#This Row],[Total PoP ]]&gt;1,1,WWWW[[#This Row],[HRP3]]/WWWW[[#This Row],[Total PoP ]])</f>
        <v>1</v>
      </c>
      <c r="DS209" s="910">
        <f>1-WWWW[[#This Row],[Hygiene Coverage%]]</f>
        <v>0</v>
      </c>
      <c r="DT209" s="908">
        <f>WWWW[[#This Row],['# people reached by regular dedicated hygiene promotion_5]]/WWWW[[#This Row],[Total PoP ]]</f>
        <v>1</v>
      </c>
      <c r="DU209"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09"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09" s="909">
        <f>WWWW[[#This Row],['#_Constructed/Existing hand washing stations]]-WWWW[[#This Row],['#_Non-Functional_hand_washing_stations]]</f>
        <v>7</v>
      </c>
      <c r="DX209" s="906">
        <f>IF(WWWW[[#This Row],['# Functional hand washing stations during reporting period]]*20&gt;WWWW[[#This Row],[Total HH]],WWWW[[#This Row],[Total HH]],WWWW[[#This Row],['# Functional hand washing stations during reporting period]]*20)</f>
        <v>85</v>
      </c>
      <c r="DY209" s="906">
        <f>IF(WWWW[[#This Row],[Is sufficient soap available for TLS? (Yes/No)]]="yes",WWWW[[#This Row],['#_Constructed/Existing hand washing stations at TLS/CFS/THF]],0)</f>
        <v>0</v>
      </c>
      <c r="DZ209" s="421">
        <f>IF(WWWW[[#This Row],['# Functional hand washing stations during reporting period]]*100&gt;WWWW[[#This Row],[Total PoP ]],WWWW[[#This Row],[Total PoP ]],WWWW[[#This Row],['# Functional hand washing stations during reporting period]]*100)</f>
        <v>255</v>
      </c>
      <c r="EA209" s="421" t="str">
        <f>IF(OR(WWWW[[#This Row],['#_students at TLS_CFS]]="",WWWW[[#This Row],['#_students at TLS_CFS]]=0),"No","Yes")</f>
        <v>No</v>
      </c>
      <c r="EB209" s="615">
        <f>IF(WWWW[[#This Row],['#_of_affected_people_surveyed_who_report_feeling_informed_about_the_different_WASH_services_available_to_them]]="","",WWWW[[#This Row],['#_of_affected_people_surveyed_who_report_feeling_informed_about_the_different_WASH_services_available_to_them]]/WWWW[[#This Row],[Total PoP ]])</f>
        <v>3.1372549019607843E-2</v>
      </c>
      <c r="EC209" s="566">
        <f>WWWW[[#This Row],[%_of_affected_people_surveyed_who_report_feeling_satistfied_with_the_latrine_design_and_sanitation_service]]*WWWW[[#This Row],[Total PoP ]]</f>
        <v>168.3</v>
      </c>
      <c r="ED209" s="566">
        <f>WWWW[[#This Row],[%_of_affected_people_surveyed_who_report_feeling_satistfied_with_the_water_point_design_and_water_service]]*WWWW[[#This Row],[Total PoP ]]</f>
        <v>255</v>
      </c>
      <c r="EE209" s="566">
        <f>WWWW[[#This Row],[%_of_complaints_received_that_result_in_timely_corrective_action_and_feedback_to_the_community]]*WWWW[[#This Row],[Total PoP ]]</f>
        <v>255</v>
      </c>
      <c r="EF20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255</v>
      </c>
      <c r="EG20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0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09" s="902" t="str">
        <f>VLOOKUP(WWWW[[#This Row],[Site Name]],SiteDB6[[Site Name]:[CCCM Management]],6,FALSE)</f>
        <v>Yes</v>
      </c>
      <c r="EJ209" s="902" t="str">
        <f>VLOOKUP(WWWW[[#This Row],[Site Name]],SiteDB6[[Site Name]:[CCCM Focal Agency]],7,FALSE)</f>
        <v>KBC-BMO</v>
      </c>
      <c r="EK209" s="902" t="str">
        <f>VLOOKUP(WWWW[[#This Row],[Site Name]],SiteDB6[[Site Name]:[Location Type 1]],9,FALSE)</f>
        <v>Camp</v>
      </c>
      <c r="EL209" s="902" t="str">
        <f>VLOOKUP(WWWW[[#This Row],[Site Name]],SiteDB6[[Site Name]:[Type of Accommodation]],10,FALSE)</f>
        <v>Camp</v>
      </c>
      <c r="EM209" s="902" t="str">
        <f>VLOOKUP(WWWW[[#This Row],[Site Name]],SiteDB6[[Site Name]:[Ethnic or GCA/NGCA]],11,FALSE)</f>
        <v>GCA</v>
      </c>
      <c r="EN209" s="902">
        <f>VLOOKUP(WWWW[[#This Row],[Site Name]],SiteDB6[[Site Name]:[Lat]],12,FALSE)</f>
        <v>24.200972</v>
      </c>
      <c r="EO209" s="902">
        <f>VLOOKUP(WWWW[[#This Row],[Site Name]],SiteDB6[[Site Name]:[Long]],13,FALSE)</f>
        <v>97.718582999999995</v>
      </c>
      <c r="EP209" s="902" t="str">
        <f>VLOOKUP(WWWW[[#This Row],[Site Name]],SiteDB6[[Site Name]:[Pcode]],3,FALSE)</f>
        <v>MMR001CMP071</v>
      </c>
      <c r="EQ209" s="907" t="str">
        <f t="shared" si="3"/>
        <v>Covered</v>
      </c>
      <c r="ER209" s="907" t="s">
        <v>3126</v>
      </c>
      <c r="ES209" s="907" t="s">
        <v>3126</v>
      </c>
      <c r="ET209" s="902">
        <f>VLOOKUP(WWWW[[#This Row],[Site Name]],SiteDB6[[Site Name]:[Pop
(Kachin/Shan-CCCM as of May 2023)]],16,FALSE)</f>
        <v>43</v>
      </c>
      <c r="EU209" s="902">
        <f>VLOOKUP(WWWW[[#This Row],[Site Name]],SiteDB6[[Site Name]:[Pop
(Kachin/Shan-CCCM as of May 2023)]],17,FALSE)</f>
        <v>255</v>
      </c>
    </row>
    <row r="210" spans="1:151" hidden="1">
      <c r="A210" s="900" t="s">
        <v>2961</v>
      </c>
      <c r="B210" s="900" t="s">
        <v>276</v>
      </c>
      <c r="C210" s="901" t="s">
        <v>276</v>
      </c>
      <c r="D210" s="901" t="s">
        <v>2883</v>
      </c>
      <c r="E210" s="901" t="s">
        <v>37</v>
      </c>
      <c r="F210" s="901" t="s">
        <v>205</v>
      </c>
      <c r="G210" s="902" t="str">
        <f>VLOOKUP(WWWW[[#This Row],[Site Name]],SiteDB6[[Site Name]:[Location Type]],8,FALSE)</f>
        <v>Camp</v>
      </c>
      <c r="H210" s="901" t="s">
        <v>283</v>
      </c>
      <c r="I210" s="903">
        <v>240</v>
      </c>
      <c r="J210" s="903">
        <v>1422</v>
      </c>
      <c r="K210" s="904">
        <v>44652</v>
      </c>
      <c r="L210" s="905">
        <v>45016</v>
      </c>
      <c r="M210" s="903"/>
      <c r="N210" s="903"/>
      <c r="O210" s="903">
        <v>4</v>
      </c>
      <c r="P210" s="903"/>
      <c r="Q210" s="906" t="s">
        <v>41</v>
      </c>
      <c r="R210" s="903">
        <v>12</v>
      </c>
      <c r="S210" s="903">
        <v>10</v>
      </c>
      <c r="T210" s="441">
        <v>5</v>
      </c>
      <c r="U210" s="903"/>
      <c r="V210" s="903"/>
      <c r="W210" s="903">
        <v>3</v>
      </c>
      <c r="X210" s="903"/>
      <c r="Y210" s="903"/>
      <c r="Z210" s="903"/>
      <c r="AA210" s="903">
        <v>4</v>
      </c>
      <c r="AB210" s="903"/>
      <c r="AC210" s="903"/>
      <c r="AD210" s="903"/>
      <c r="AE210" s="903"/>
      <c r="AF210" s="903"/>
      <c r="AG210" s="903">
        <v>4</v>
      </c>
      <c r="AH210" s="903"/>
      <c r="AI210" s="903">
        <v>7</v>
      </c>
      <c r="AJ210" s="903">
        <v>7</v>
      </c>
      <c r="AK210" s="903">
        <v>36</v>
      </c>
      <c r="AL210" s="903">
        <v>36</v>
      </c>
      <c r="AM210" s="903"/>
      <c r="AN210" s="903"/>
      <c r="AO210" s="441"/>
      <c r="AP210" s="907"/>
      <c r="AQ210" s="903">
        <v>40</v>
      </c>
      <c r="AR210" s="903"/>
      <c r="AS210" s="908"/>
      <c r="AT210" s="903"/>
      <c r="AU210" s="903">
        <v>7</v>
      </c>
      <c r="AV210" s="903">
        <v>43</v>
      </c>
      <c r="AW210" s="903">
        <v>82</v>
      </c>
      <c r="AX210" s="903"/>
      <c r="AY210" s="902" t="s">
        <v>41</v>
      </c>
      <c r="AZ210" s="907" t="s">
        <v>137</v>
      </c>
      <c r="BA210" s="903"/>
      <c r="BB210" s="903"/>
      <c r="BC210" s="903"/>
      <c r="BD210" s="441"/>
      <c r="BE210" s="441">
        <v>3</v>
      </c>
      <c r="BF210" s="902"/>
      <c r="BG210" s="903">
        <v>3</v>
      </c>
      <c r="BH210" s="903"/>
      <c r="BI210" s="903"/>
      <c r="BJ210" s="903">
        <v>6</v>
      </c>
      <c r="BK210" s="903"/>
      <c r="BL210" s="903"/>
      <c r="BM210" s="903">
        <v>4</v>
      </c>
      <c r="BN210" s="903"/>
      <c r="BO210" s="903"/>
      <c r="BP210" s="902" t="s">
        <v>136</v>
      </c>
      <c r="BQ210" s="909">
        <v>2</v>
      </c>
      <c r="BR210" s="908">
        <v>0.8</v>
      </c>
      <c r="BS210" s="902"/>
      <c r="BT210" s="416">
        <v>1</v>
      </c>
      <c r="BU210" s="416">
        <v>1</v>
      </c>
      <c r="BV210" s="418">
        <v>51</v>
      </c>
      <c r="BW210" s="416">
        <v>0.8</v>
      </c>
      <c r="BX210" s="441"/>
      <c r="BY210" s="441"/>
      <c r="BZ210" s="441"/>
      <c r="CA210" s="441"/>
      <c r="CB210" s="441"/>
      <c r="CC210" s="693"/>
      <c r="CD210" s="441"/>
      <c r="CE210" s="910">
        <f>IFERROR(WWWW[[#This Row],['#_Water sources passed]]/WWWW[[#This Row],['#_Water sources tested for fecal coliform ]],"no test")</f>
        <v>1</v>
      </c>
      <c r="CF210" s="908">
        <f>IFERROR(WWWW[[#This Row],['#_Household passed]]/WWWW[[#This Row],['#_Household water samples tested for fecal coliform]],"no test")</f>
        <v>1</v>
      </c>
      <c r="CG210" s="909" t="str">
        <f>IF(AND(WWWW[[#This Row],[% of water sources passed]]="no test",WWWW[[#This Row],[% Household passed]]="no test"),"No Test","Tested")</f>
        <v>Tested</v>
      </c>
      <c r="CH210" s="909">
        <f>WWWW[[#This Row],['#_Constructed/existing protected hand dug well]]-WWWW[[#This Row],['#_Non-functional protected hand dug well]]</f>
        <v>5</v>
      </c>
      <c r="CI210" s="909">
        <f>(WWWW[[#This Row],['#_Constructed/Existing tube wells/boreholes/handpumps_WASH_agency]]+WWWW[[#This Row],['#_Non-Cluster partner water tube-wells/boreholes/handpumps]])-WWWW[[#This Row],['#_Non-functional tube wells/boreholes/handpumps]]</f>
        <v>3</v>
      </c>
      <c r="CJ210" s="909">
        <f>WWWW[[#This Row],['#_Constructed/Existingwater storage tank with gravity fed reticulation system]]-WWWW[[#This Row],['#_Non-functional storage tank gravity fed reticulation system]]</f>
        <v>4</v>
      </c>
      <c r="CK210" s="909">
        <f>(WWWW[[#This Row],['#_Water_Liters_supplied_by_Water boating or water trucking]]/90)/15</f>
        <v>0</v>
      </c>
      <c r="CL210" s="909">
        <f>WWWW[[#This Row],['#_Water_Liters_from_Constructed/Existing water distribution system from river or natural spring]]/90/15</f>
        <v>0</v>
      </c>
      <c r="CM210" s="417">
        <f>IF(WWWW[[#This Row],['#_of water points in TLS/CFS]]*500&gt;WWWW[[#This Row],[Total PoP ]],WWWW[[#This Row],[Total PoP ]],WWWW[[#This Row],['#_of water points in TLS/CFS]]*500)</f>
        <v>0</v>
      </c>
      <c r="CN210" s="417">
        <f>IF(WWWW[[#This Row],['#_of water points in THF]]*500&gt;WWWW[[#This Row],[Total PoP ]],WWWW[[#This Row],[Total PoP ]],WWWW[[#This Row],['#_of water points in THF]]*500)</f>
        <v>0</v>
      </c>
      <c r="CO210" s="417"/>
      <c r="CP210"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10"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10" s="908">
        <f>IF(WWWW[[#This Row],[Location Type 1]]="Village",WWWW[[#This Row],[Access to safe drinking water for Village]],WWWW[[#This Row],[Access to safe drinking water for Camp]])</f>
        <v>1</v>
      </c>
      <c r="CS210" s="906">
        <f>WWWW[[#This Row],[%Equitable and continuous access to sufficient quantity of safe drinking water]]*WWWW[[#This Row],[Total PoP ]]</f>
        <v>1422</v>
      </c>
      <c r="CT210" s="908">
        <f>IF((WWWW[[#This Row],['#_Constructed/Existing protected/fenced ponds]]*250)/WWWW[[#This Row],[Total PoP ]]&gt;1,1,(WWWW[[#This Row],['#_Constructed/Existing protected/fenced ponds]]*250)/WWWW[[#This Row],[Total PoP ]])</f>
        <v>0</v>
      </c>
      <c r="CU210" s="906">
        <f>WWWW[[#This Row],[% Access to unimproved water points]]*WWWW[[#This Row],[Total PoP ]]</f>
        <v>0</v>
      </c>
      <c r="CV210"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10"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1422</v>
      </c>
      <c r="CX210" s="906">
        <f>WWWW[[#This Row],[HRP1]]/500</f>
        <v>2.8439999999999999</v>
      </c>
      <c r="CY210" s="911">
        <f>1-WWWW[[#This Row],[% Equitable and continuous access to sufficient quantity of domestic water]]</f>
        <v>0</v>
      </c>
      <c r="CZ210" s="906">
        <f>WWWW[[#This Row],[%equitable and continuous access to sufficient quantity of safe drinking and domestic water''s GAP]]*WWWW[[#This Row],[Total PoP ]]</f>
        <v>0</v>
      </c>
      <c r="DA210" s="909">
        <f>IF(WWWW[[#This Row],[Total required water points]]-WWWW[[#This Row],['#Water points coverage]]&lt;0,0,WWWW[[#This Row],[Total required water points]]-WWWW[[#This Row],['#Water points coverage]])</f>
        <v>0.15600000000000014</v>
      </c>
      <c r="DB210" s="909">
        <f>ROUND(IF(WWWW[[#This Row],[Total PoP ]]&lt;500,1,WWWW[[#This Row],[Total PoP ]]/500),0)</f>
        <v>3</v>
      </c>
      <c r="DC210" s="909">
        <f>(WWWW[[#This Row],['#_Constructed latrines_by_WASHAgencies]]+WWWW[[#This Row],['#_Non Cluster partner latrines]])-WWWW[[#This Row],['#_Non-functional latrines]]</f>
        <v>40</v>
      </c>
      <c r="DD210" s="615">
        <f>WWWW[[#This Row],[HRP2]]/WWWW[[#This Row],[Total PoP ]]</f>
        <v>0.56469760900140642</v>
      </c>
      <c r="DE210"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803</v>
      </c>
      <c r="DF210"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860</v>
      </c>
      <c r="DG210"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0" s="417">
        <f>IF(WWWW[[#This Row],['# of functional latrines in THF supported by WASH partners during the reporting period2]]="",0,WWWW[[#This Row],['# of functional latrines in THF supported by WASH partners during the reporting period2]]*50)</f>
        <v>0</v>
      </c>
      <c r="DI210" s="909">
        <f>ROUND(IF(WWWW[[#This Row],[Location Type 1]]="camp",WWWW[[#This Row],[Total PoP ]]/20,IF(WWWW[[#This Row],[Location Type 1]]="Temporary Location",WWWW[[#This Row],[Total PoP ]]/50,(WWWW[[#This Row],[Total PoP ]]/6))),0)</f>
        <v>71</v>
      </c>
      <c r="DJ210" s="909">
        <f>IF(WWWW[[#This Row],[Total required Latrines]]-(WWWW[[#This Row],['#_Constructed latrines_by_WASHAgencies]]+WWWW[[#This Row],['#_Non Cluster partner latrines]])&lt;0,0,WWWW[[#This Row],[Total required Latrines]]-(WWWW[[#This Row],['#_Constructed latrines_by_WASHAgencies]]+WWWW[[#This Row],['#_Non Cluster partner latrines]]))</f>
        <v>31</v>
      </c>
      <c r="DK210" s="911">
        <f>1-WWWW[[#This Row],[% people access to functioning Latrine]]</f>
        <v>0.43530239099859358</v>
      </c>
      <c r="DL210" s="910">
        <f>IF(OR(WWWW[[#This Row],['#_Non-functional latrines]]="",WWWW[[#This Row],['#_Non-functional latrines]]=0),0,WWWW[[#This Row],['#_Non-functional latrines]]/(WWWW[[#This Row],['#_Constructed latrines_by_WASHAgencies]]+WWWW[[#This Row],['#_Non Cluster partner latrines]]))</f>
        <v>0</v>
      </c>
      <c r="DM210" s="906">
        <f>IF(500*(WWWW[[#This Row],['#_male hygiene promoters]]+WWWW[[#This Row],['#_female hygiene promoters]])&gt;WWWW[[#This Row],[Total PoP ]],WWWW[[#This Row],[Total PoP ]],500*(WWWW[[#This Row],['#_male hygiene promoters]]+WWWW[[#This Row],['#_female hygiene promoters]]))</f>
        <v>1422</v>
      </c>
      <c r="DN210"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10"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10" s="909">
        <f>IF(WWWW[[#This Row],['# People with access to soap]]&gt;WWWW[[#This Row],['# People with access to Sanity Pads]],WWWW[[#This Row],['# People with access to soap]],WWWW[[#This Row],['# People with access to Sanity Pads]])</f>
        <v>0</v>
      </c>
      <c r="DQ210" s="909">
        <f>IF(WWWW[[#This Row],['# people reached by regular dedicated hygiene promotion_5]]&gt;WWWW[[#This Row],['# People received regular supply of hygiene items_6]],WWWW[[#This Row],['# people reached by regular dedicated hygiene promotion_5]],WWWW[[#This Row],['# People received regular supply of hygiene items_6]])</f>
        <v>1422</v>
      </c>
      <c r="DR210" s="911">
        <f>IF(WWWW[[#This Row],[HRP3]]/WWWW[[#This Row],[Total PoP ]]&gt;1,1,WWWW[[#This Row],[HRP3]]/WWWW[[#This Row],[Total PoP ]])</f>
        <v>1</v>
      </c>
      <c r="DS210" s="910">
        <f>1-WWWW[[#This Row],[Hygiene Coverage%]]</f>
        <v>0</v>
      </c>
      <c r="DT210" s="908">
        <f>WWWW[[#This Row],['# people reached by regular dedicated hygiene promotion_5]]/WWWW[[#This Row],[Total PoP ]]</f>
        <v>1</v>
      </c>
      <c r="DU210"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10"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10" s="909">
        <f>WWWW[[#This Row],['#_Constructed/Existing hand washing stations]]-WWWW[[#This Row],['#_Non-Functional_hand_washing_stations]]</f>
        <v>3</v>
      </c>
      <c r="DX210" s="906">
        <f>IF(WWWW[[#This Row],['# Functional hand washing stations during reporting period]]*20&gt;WWWW[[#This Row],[Total HH]],WWWW[[#This Row],[Total HH]],WWWW[[#This Row],['# Functional hand washing stations during reporting period]]*20)</f>
        <v>60</v>
      </c>
      <c r="DY210" s="906">
        <f>IF(WWWW[[#This Row],[Is sufficient soap available for TLS? (Yes/No)]]="yes",WWWW[[#This Row],['#_Constructed/Existing hand washing stations at TLS/CFS/THF]],0)</f>
        <v>0</v>
      </c>
      <c r="DZ210" s="421">
        <f>IF(WWWW[[#This Row],['# Functional hand washing stations during reporting period]]*100&gt;WWWW[[#This Row],[Total PoP ]],WWWW[[#This Row],[Total PoP ]],WWWW[[#This Row],['# Functional hand washing stations during reporting period]]*100)</f>
        <v>300</v>
      </c>
      <c r="EA210" s="421" t="str">
        <f>IF(OR(WWWW[[#This Row],['#_students at TLS_CFS]]="",WWWW[[#This Row],['#_students at TLS_CFS]]=0),"No","Yes")</f>
        <v>No</v>
      </c>
      <c r="EB210" s="615">
        <f>IF(WWWW[[#This Row],['#_of_affected_people_surveyed_who_report_feeling_informed_about_the_different_WASH_services_available_to_them]]="","",WWWW[[#This Row],['#_of_affected_people_surveyed_who_report_feeling_informed_about_the_different_WASH_services_available_to_them]]/WWWW[[#This Row],[Total PoP ]])</f>
        <v>3.5864978902953586E-2</v>
      </c>
      <c r="EC210" s="566">
        <f>WWWW[[#This Row],[%_of_affected_people_surveyed_who_report_feeling_satistfied_with_the_latrine_design_and_sanitation_service]]*WWWW[[#This Row],[Total PoP ]]</f>
        <v>1422</v>
      </c>
      <c r="ED210" s="566">
        <f>WWWW[[#This Row],[%_of_affected_people_surveyed_who_report_feeling_satistfied_with_the_water_point_design_and_water_service]]*WWWW[[#This Row],[Total PoP ]]</f>
        <v>1422</v>
      </c>
      <c r="EE210" s="566">
        <f>WWWW[[#This Row],[%_of_complaints_received_that_result_in_timely_corrective_action_and_feedback_to_the_community]]*WWWW[[#This Row],[Total PoP ]]</f>
        <v>1137.6000000000001</v>
      </c>
      <c r="EF21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1422</v>
      </c>
      <c r="EG21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1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10" s="902" t="str">
        <f>VLOOKUP(WWWW[[#This Row],[Site Name]],SiteDB6[[Site Name]:[CCCM Management]],6,FALSE)</f>
        <v>Yes</v>
      </c>
      <c r="EJ210" s="902" t="str">
        <f>VLOOKUP(WWWW[[#This Row],[Site Name]],SiteDB6[[Site Name]:[CCCM Focal Agency]],7,FALSE)</f>
        <v>KBC-BMO</v>
      </c>
      <c r="EK210" s="902" t="str">
        <f>VLOOKUP(WWWW[[#This Row],[Site Name]],SiteDB6[[Site Name]:[Location Type 1]],9,FALSE)</f>
        <v>Camp</v>
      </c>
      <c r="EL210" s="902" t="str">
        <f>VLOOKUP(WWWW[[#This Row],[Site Name]],SiteDB6[[Site Name]:[Type of Accommodation]],10,FALSE)</f>
        <v>Camp</v>
      </c>
      <c r="EM210" s="902" t="str">
        <f>VLOOKUP(WWWW[[#This Row],[Site Name]],SiteDB6[[Site Name]:[Ethnic or GCA/NGCA]],11,FALSE)</f>
        <v>GCA</v>
      </c>
      <c r="EN210" s="902">
        <f>VLOOKUP(WWWW[[#This Row],[Site Name]],SiteDB6[[Site Name]:[Lat]],12,FALSE)</f>
        <v>24.200433</v>
      </c>
      <c r="EO210" s="902">
        <f>VLOOKUP(WWWW[[#This Row],[Site Name]],SiteDB6[[Site Name]:[Long]],13,FALSE)</f>
        <v>97.717133000000004</v>
      </c>
      <c r="EP210" s="902" t="str">
        <f>VLOOKUP(WWWW[[#This Row],[Site Name]],SiteDB6[[Site Name]:[Pcode]],3,FALSE)</f>
        <v>MMR001CMP070</v>
      </c>
      <c r="EQ210" s="907" t="str">
        <f t="shared" si="3"/>
        <v>Covered</v>
      </c>
      <c r="ER210" s="907" t="s">
        <v>3126</v>
      </c>
      <c r="ES210" s="907" t="s">
        <v>3126</v>
      </c>
      <c r="ET210" s="902">
        <f>VLOOKUP(WWWW[[#This Row],[Site Name]],SiteDB6[[Site Name]:[Pop
(Kachin/Shan-CCCM as of May 2023)]],16,FALSE)</f>
        <v>243</v>
      </c>
      <c r="EU210" s="902">
        <f>VLOOKUP(WWWW[[#This Row],[Site Name]],SiteDB6[[Site Name]:[Pop
(Kachin/Shan-CCCM as of May 2023)]],17,FALSE)</f>
        <v>1420</v>
      </c>
    </row>
    <row r="211" spans="1:151" hidden="1">
      <c r="A211" s="900" t="s">
        <v>2961</v>
      </c>
      <c r="B211" s="900" t="s">
        <v>276</v>
      </c>
      <c r="C211" s="901" t="s">
        <v>276</v>
      </c>
      <c r="D211" s="901" t="s">
        <v>2883</v>
      </c>
      <c r="E211" s="901" t="s">
        <v>37</v>
      </c>
      <c r="F211" s="901" t="s">
        <v>205</v>
      </c>
      <c r="G211" s="902" t="s">
        <v>3064</v>
      </c>
      <c r="H211" s="901" t="s">
        <v>287</v>
      </c>
      <c r="I211" s="903">
        <v>96</v>
      </c>
      <c r="J211" s="903">
        <v>512</v>
      </c>
      <c r="K211" s="904">
        <v>44652</v>
      </c>
      <c r="L211" s="905">
        <v>45016</v>
      </c>
      <c r="M211" s="903"/>
      <c r="N211" s="903"/>
      <c r="O211" s="903">
        <v>2</v>
      </c>
      <c r="P211" s="903"/>
      <c r="Q211" s="906" t="s">
        <v>41</v>
      </c>
      <c r="R211" s="903">
        <v>5</v>
      </c>
      <c r="S211" s="903">
        <v>4</v>
      </c>
      <c r="T211" s="441">
        <v>1</v>
      </c>
      <c r="U211" s="903"/>
      <c r="V211" s="903"/>
      <c r="W211" s="903">
        <v>1</v>
      </c>
      <c r="X211" s="903"/>
      <c r="Y211" s="903"/>
      <c r="Z211" s="903"/>
      <c r="AA211" s="903"/>
      <c r="AB211" s="903"/>
      <c r="AC211" s="903"/>
      <c r="AD211" s="903"/>
      <c r="AE211" s="903"/>
      <c r="AF211" s="903"/>
      <c r="AG211" s="903">
        <v>2</v>
      </c>
      <c r="AH211" s="903"/>
      <c r="AI211" s="903">
        <v>2</v>
      </c>
      <c r="AJ211" s="903">
        <v>2</v>
      </c>
      <c r="AK211" s="903">
        <v>15</v>
      </c>
      <c r="AL211" s="903">
        <v>15</v>
      </c>
      <c r="AM211" s="903"/>
      <c r="AN211" s="903"/>
      <c r="AO211" s="441"/>
      <c r="AP211" s="907"/>
      <c r="AQ211" s="903">
        <v>28</v>
      </c>
      <c r="AR211" s="903"/>
      <c r="AS211" s="908"/>
      <c r="AT211" s="903"/>
      <c r="AU211" s="903">
        <v>4</v>
      </c>
      <c r="AV211" s="903">
        <v>42</v>
      </c>
      <c r="AW211" s="903">
        <v>43</v>
      </c>
      <c r="AX211" s="903"/>
      <c r="AY211" s="902" t="s">
        <v>41</v>
      </c>
      <c r="AZ211" s="907" t="s">
        <v>137</v>
      </c>
      <c r="BA211" s="903"/>
      <c r="BB211" s="903">
        <v>1</v>
      </c>
      <c r="BC211" s="903"/>
      <c r="BD211" s="441"/>
      <c r="BE211" s="441">
        <v>3</v>
      </c>
      <c r="BF211" s="902"/>
      <c r="BG211" s="903">
        <v>8</v>
      </c>
      <c r="BH211" s="903"/>
      <c r="BI211" s="903"/>
      <c r="BJ211" s="903">
        <v>4</v>
      </c>
      <c r="BK211" s="903"/>
      <c r="BL211" s="903">
        <v>1</v>
      </c>
      <c r="BM211" s="903">
        <v>1</v>
      </c>
      <c r="BN211" s="903">
        <v>96</v>
      </c>
      <c r="BO211" s="903">
        <v>100</v>
      </c>
      <c r="BP211" s="902" t="s">
        <v>136</v>
      </c>
      <c r="BQ211" s="909">
        <v>3</v>
      </c>
      <c r="BR211" s="908">
        <v>0.8</v>
      </c>
      <c r="BS211" s="902"/>
      <c r="BT211" s="416">
        <v>1</v>
      </c>
      <c r="BU211" s="416">
        <v>1</v>
      </c>
      <c r="BV211" s="418"/>
      <c r="BW211" s="416"/>
      <c r="BX211" s="441"/>
      <c r="BY211" s="441"/>
      <c r="BZ211" s="441"/>
      <c r="CA211" s="441"/>
      <c r="CB211" s="441"/>
      <c r="CC211" s="693"/>
      <c r="CD211" s="441"/>
      <c r="CE211" s="910">
        <f>IFERROR(WWWW[[#This Row],['#_Water sources passed]]/WWWW[[#This Row],['#_Water sources tested for fecal coliform ]],"no test")</f>
        <v>1</v>
      </c>
      <c r="CF211" s="908">
        <f>IFERROR(WWWW[[#This Row],['#_Household passed]]/WWWW[[#This Row],['#_Household water samples tested for fecal coliform]],"no test")</f>
        <v>1</v>
      </c>
      <c r="CG211" s="909" t="str">
        <f>IF(AND(WWWW[[#This Row],[% of water sources passed]]="no test",WWWW[[#This Row],[% Household passed]]="no test"),"No Test","Tested")</f>
        <v>Tested</v>
      </c>
      <c r="CH211" s="909">
        <f>WWWW[[#This Row],['#_Constructed/existing protected hand dug well]]-WWWW[[#This Row],['#_Non-functional protected hand dug well]]</f>
        <v>1</v>
      </c>
      <c r="CI211" s="909">
        <f>(WWWW[[#This Row],['#_Constructed/Existing tube wells/boreholes/handpumps_WASH_agency]]+WWWW[[#This Row],['#_Non-Cluster partner water tube-wells/boreholes/handpumps]])-WWWW[[#This Row],['#_Non-functional tube wells/boreholes/handpumps]]</f>
        <v>1</v>
      </c>
      <c r="CJ211" s="909">
        <f>WWWW[[#This Row],['#_Constructed/Existingwater storage tank with gravity fed reticulation system]]-WWWW[[#This Row],['#_Non-functional storage tank gravity fed reticulation system]]</f>
        <v>0</v>
      </c>
      <c r="CK211" s="909">
        <f>(WWWW[[#This Row],['#_Water_Liters_supplied_by_Water boating or water trucking]]/90)/15</f>
        <v>0</v>
      </c>
      <c r="CL211" s="909">
        <f>WWWW[[#This Row],['#_Water_Liters_from_Constructed/Existing water distribution system from river or natural spring]]/90/15</f>
        <v>0</v>
      </c>
      <c r="CM211" s="417">
        <f>IF(WWWW[[#This Row],['#_of water points in TLS/CFS]]*500&gt;WWWW[[#This Row],[Total PoP ]],WWWW[[#This Row],[Total PoP ]],WWWW[[#This Row],['#_of water points in TLS/CFS]]*500)</f>
        <v>0</v>
      </c>
      <c r="CN211" s="417">
        <f>IF(WWWW[[#This Row],['#_of water points in THF]]*500&gt;WWWW[[#This Row],[Total PoP ]],WWWW[[#This Row],[Total PoP ]],WWWW[[#This Row],['#_of water points in THF]]*500)</f>
        <v>0</v>
      </c>
      <c r="CO211" s="417"/>
      <c r="CP211"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11"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0.9765625</v>
      </c>
      <c r="CR211" s="908">
        <f>IF(WWWW[[#This Row],[Location Type 1]]="Village",WWWW[[#This Row],[Access to safe drinking water for Village]],WWWW[[#This Row],[Access to safe drinking water for Camp]])</f>
        <v>1</v>
      </c>
      <c r="CS211" s="906">
        <f>WWWW[[#This Row],[%Equitable and continuous access to sufficient quantity of safe drinking water]]*WWWW[[#This Row],[Total PoP ]]</f>
        <v>512</v>
      </c>
      <c r="CT211" s="908">
        <f>IF((WWWW[[#This Row],['#_Constructed/Existing protected/fenced ponds]]*250)/WWWW[[#This Row],[Total PoP ]]&gt;1,1,(WWWW[[#This Row],['#_Constructed/Existing protected/fenced ponds]]*250)/WWWW[[#This Row],[Total PoP ]])</f>
        <v>0</v>
      </c>
      <c r="CU211" s="906">
        <f>WWWW[[#This Row],[% Access to unimproved water points]]*WWWW[[#This Row],[Total PoP ]]</f>
        <v>0</v>
      </c>
      <c r="CV211"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11"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512</v>
      </c>
      <c r="CX211" s="906">
        <f>WWWW[[#This Row],[HRP1]]/500</f>
        <v>1.024</v>
      </c>
      <c r="CY211" s="911">
        <f>1-WWWW[[#This Row],[% Equitable and continuous access to sufficient quantity of domestic water]]</f>
        <v>0</v>
      </c>
      <c r="CZ211" s="906">
        <f>WWWW[[#This Row],[%equitable and continuous access to sufficient quantity of safe drinking and domestic water''s GAP]]*WWWW[[#This Row],[Total PoP ]]</f>
        <v>0</v>
      </c>
      <c r="DA211" s="909">
        <f>IF(WWWW[[#This Row],[Total required water points]]-WWWW[[#This Row],['#Water points coverage]]&lt;0,0,WWWW[[#This Row],[Total required water points]]-WWWW[[#This Row],['#Water points coverage]])</f>
        <v>0</v>
      </c>
      <c r="DB211" s="909">
        <f>ROUND(IF(WWWW[[#This Row],[Total PoP ]]&lt;500,1,WWWW[[#This Row],[Total PoP ]]/500),0)</f>
        <v>1</v>
      </c>
      <c r="DC211" s="909">
        <f>(WWWW[[#This Row],['#_Constructed latrines_by_WASHAgencies]]+WWWW[[#This Row],['#_Non Cluster partner latrines]])-WWWW[[#This Row],['#_Non-functional latrines]]</f>
        <v>28</v>
      </c>
      <c r="DD211" s="615">
        <f>WWWW[[#This Row],[HRP2]]/WWWW[[#This Row],[Total PoP ]]</f>
        <v>1</v>
      </c>
      <c r="DE211"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512</v>
      </c>
      <c r="DF211"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512</v>
      </c>
      <c r="DG211"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1" s="417">
        <f>IF(WWWW[[#This Row],['# of functional latrines in THF supported by WASH partners during the reporting period2]]="",0,WWWW[[#This Row],['# of functional latrines in THF supported by WASH partners during the reporting period2]]*50)</f>
        <v>0</v>
      </c>
      <c r="DI211" s="909">
        <f>ROUND(IF(WWWW[[#This Row],[Location Type 1]]="camp",WWWW[[#This Row],[Total PoP ]]/20,IF(WWWW[[#This Row],[Location Type 1]]="Temporary Location",WWWW[[#This Row],[Total PoP ]]/50,(WWWW[[#This Row],[Total PoP ]]/6))),0)</f>
        <v>26</v>
      </c>
      <c r="DJ211" s="909">
        <f>IF(WWWW[[#This Row],[Total required Latrines]]-(WWWW[[#This Row],['#_Constructed latrines_by_WASHAgencies]]+WWWW[[#This Row],['#_Non Cluster partner latrines]])&lt;0,0,WWWW[[#This Row],[Total required Latrines]]-(WWWW[[#This Row],['#_Constructed latrines_by_WASHAgencies]]+WWWW[[#This Row],['#_Non Cluster partner latrines]]))</f>
        <v>0</v>
      </c>
      <c r="DK211" s="911">
        <f>1-WWWW[[#This Row],[% people access to functioning Latrine]]</f>
        <v>0</v>
      </c>
      <c r="DL211" s="910">
        <f>IF(OR(WWWW[[#This Row],['#_Non-functional latrines]]="",WWWW[[#This Row],['#_Non-functional latrines]]=0),0,WWWW[[#This Row],['#_Non-functional latrines]]/(WWWW[[#This Row],['#_Constructed latrines_by_WASHAgencies]]+WWWW[[#This Row],['#_Non Cluster partner latrines]]))</f>
        <v>0</v>
      </c>
      <c r="DM211" s="906">
        <f>IF(500*(WWWW[[#This Row],['#_male hygiene promoters]]+WWWW[[#This Row],['#_female hygiene promoters]])&gt;WWWW[[#This Row],[Total PoP ]],WWWW[[#This Row],[Total PoP ]],500*(WWWW[[#This Row],['#_male hygiene promoters]]+WWWW[[#This Row],['#_female hygiene promoters]]))</f>
        <v>512</v>
      </c>
      <c r="DN211"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512</v>
      </c>
      <c r="DO211"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P211" s="909">
        <f>IF(WWWW[[#This Row],['# People with access to soap]]&gt;WWWW[[#This Row],['# People with access to Sanity Pads]],WWWW[[#This Row],['# People with access to soap]],WWWW[[#This Row],['# People with access to Sanity Pads]])</f>
        <v>512</v>
      </c>
      <c r="DQ211" s="909">
        <f>IF(WWWW[[#This Row],['# people reached by regular dedicated hygiene promotion_5]]&gt;WWWW[[#This Row],['# People received regular supply of hygiene items_6]],WWWW[[#This Row],['# people reached by regular dedicated hygiene promotion_5]],WWWW[[#This Row],['# People received regular supply of hygiene items_6]])</f>
        <v>512</v>
      </c>
      <c r="DR211" s="911">
        <f>IF(WWWW[[#This Row],[HRP3]]/WWWW[[#This Row],[Total PoP ]]&gt;1,1,WWWW[[#This Row],[HRP3]]/WWWW[[#This Row],[Total PoP ]])</f>
        <v>1</v>
      </c>
      <c r="DS211" s="910">
        <f>1-WWWW[[#This Row],[Hygiene Coverage%]]</f>
        <v>0</v>
      </c>
      <c r="DT211" s="908">
        <f>WWWW[[#This Row],['# people reached by regular dedicated hygiene promotion_5]]/WWWW[[#This Row],[Total PoP ]]</f>
        <v>1</v>
      </c>
      <c r="DU211"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11"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211" s="909">
        <f>WWWW[[#This Row],['#_Constructed/Existing hand washing stations]]-WWWW[[#This Row],['#_Non-Functional_hand_washing_stations]]</f>
        <v>8</v>
      </c>
      <c r="DX211" s="906">
        <f>IF(WWWW[[#This Row],['# Functional hand washing stations during reporting period]]*20&gt;WWWW[[#This Row],[Total HH]],WWWW[[#This Row],[Total HH]],WWWW[[#This Row],['# Functional hand washing stations during reporting period]]*20)</f>
        <v>96</v>
      </c>
      <c r="DY211" s="906">
        <f>IF(WWWW[[#This Row],[Is sufficient soap available for TLS? (Yes/No)]]="yes",WWWW[[#This Row],['#_Constructed/Existing hand washing stations at TLS/CFS/THF]],0)</f>
        <v>0</v>
      </c>
      <c r="DZ211" s="421">
        <f>IF(WWWW[[#This Row],['# Functional hand washing stations during reporting period]]*100&gt;WWWW[[#This Row],[Total PoP ]],WWWW[[#This Row],[Total PoP ]],WWWW[[#This Row],['# Functional hand washing stations during reporting period]]*100)</f>
        <v>512</v>
      </c>
      <c r="EA211" s="421" t="str">
        <f>IF(OR(WWWW[[#This Row],['#_students at TLS_CFS]]="",WWWW[[#This Row],['#_students at TLS_CFS]]=0),"No","Yes")</f>
        <v>No</v>
      </c>
      <c r="EB21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11" s="566">
        <f>WWWW[[#This Row],[%_of_affected_people_surveyed_who_report_feeling_satistfied_with_the_latrine_design_and_sanitation_service]]*WWWW[[#This Row],[Total PoP ]]</f>
        <v>512</v>
      </c>
      <c r="ED211" s="566">
        <f>WWWW[[#This Row],[%_of_affected_people_surveyed_who_report_feeling_satistfied_with_the_water_point_design_and_water_service]]*WWWW[[#This Row],[Total PoP ]]</f>
        <v>512</v>
      </c>
      <c r="EE211" s="566">
        <f>WWWW[[#This Row],[%_of_complaints_received_that_result_in_timely_corrective_action_and_feedback_to_the_community]]*WWWW[[#This Row],[Total PoP ]]</f>
        <v>0</v>
      </c>
      <c r="EF21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512</v>
      </c>
      <c r="EG21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1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11" s="902">
        <f>VLOOKUP(WWWW[[#This Row],[Site Name]],SiteDB6[[Site Name]:[CCCM Management]],6,FALSE)</f>
        <v>0</v>
      </c>
      <c r="EJ211" s="902">
        <f>VLOOKUP(WWWW[[#This Row],[Site Name]],SiteDB6[[Site Name]:[CCCM Focal Agency]],7,FALSE)</f>
        <v>0</v>
      </c>
      <c r="EK211" s="902" t="str">
        <f>VLOOKUP(WWWW[[#This Row],[Site Name]],SiteDB6[[Site Name]:[Location Type 1]],9,FALSE)</f>
        <v>Camp</v>
      </c>
      <c r="EL211" s="902" t="str">
        <f>VLOOKUP(WWWW[[#This Row],[Site Name]],SiteDB6[[Site Name]:[Type of Accommodation]],10,FALSE)</f>
        <v>Camp</v>
      </c>
      <c r="EM211" s="902" t="str">
        <f>VLOOKUP(WWWW[[#This Row],[Site Name]],SiteDB6[[Site Name]:[Ethnic or GCA/NGCA]],11,FALSE)</f>
        <v>GCA</v>
      </c>
      <c r="EN211" s="902">
        <f>VLOOKUP(WWWW[[#This Row],[Site Name]],SiteDB6[[Site Name]:[Lat]],12,FALSE)</f>
        <v>0</v>
      </c>
      <c r="EO211" s="902">
        <f>VLOOKUP(WWWW[[#This Row],[Site Name]],SiteDB6[[Site Name]:[Long]],13,FALSE)</f>
        <v>0</v>
      </c>
      <c r="EP211" s="902">
        <f>VLOOKUP(WWWW[[#This Row],[Site Name]],SiteDB6[[Site Name]:[Pcode]],3,FALSE)</f>
        <v>0</v>
      </c>
      <c r="EQ211" s="907" t="str">
        <f t="shared" si="3"/>
        <v>Covered</v>
      </c>
      <c r="ER211" s="907" t="s">
        <v>3126</v>
      </c>
      <c r="ES211" s="907" t="s">
        <v>3126</v>
      </c>
      <c r="ET211" s="902">
        <f>VLOOKUP(WWWW[[#This Row],[Site Name]],SiteDB6[[Site Name]:[Pop
(Kachin/Shan-CCCM as of May 2023)]],16,FALSE)</f>
        <v>0</v>
      </c>
      <c r="EU211" s="902">
        <f>VLOOKUP(WWWW[[#This Row],[Site Name]],SiteDB6[[Site Name]:[Pop
(Kachin/Shan-CCCM as of May 2023)]],17,FALSE)</f>
        <v>0</v>
      </c>
    </row>
    <row r="212" spans="1:151" hidden="1">
      <c r="A212" s="900" t="s">
        <v>2961</v>
      </c>
      <c r="B212" s="900" t="s">
        <v>276</v>
      </c>
      <c r="C212" s="901" t="s">
        <v>276</v>
      </c>
      <c r="D212" s="901" t="s">
        <v>2883</v>
      </c>
      <c r="E212" s="901" t="s">
        <v>37</v>
      </c>
      <c r="F212" s="901" t="s">
        <v>205</v>
      </c>
      <c r="G212" s="902" t="str">
        <f>VLOOKUP(WWWW[[#This Row],[Site Name]],SiteDB6[[Site Name]:[Location Type]],8,FALSE)</f>
        <v>Camp</v>
      </c>
      <c r="H212" s="901" t="s">
        <v>284</v>
      </c>
      <c r="I212" s="903">
        <v>44</v>
      </c>
      <c r="J212" s="903">
        <v>297</v>
      </c>
      <c r="K212" s="904">
        <v>44652</v>
      </c>
      <c r="L212" s="905">
        <v>45016</v>
      </c>
      <c r="M212" s="903"/>
      <c r="N212" s="903"/>
      <c r="O212" s="903">
        <v>1</v>
      </c>
      <c r="P212" s="903"/>
      <c r="Q212" s="906" t="s">
        <v>41</v>
      </c>
      <c r="R212" s="903">
        <v>3</v>
      </c>
      <c r="S212" s="903">
        <v>4</v>
      </c>
      <c r="T212" s="441">
        <v>3</v>
      </c>
      <c r="U212" s="903"/>
      <c r="V212" s="903"/>
      <c r="W212" s="903">
        <v>1</v>
      </c>
      <c r="X212" s="903"/>
      <c r="Y212" s="903"/>
      <c r="Z212" s="903"/>
      <c r="AA212" s="903"/>
      <c r="AB212" s="903"/>
      <c r="AC212" s="903"/>
      <c r="AD212" s="903"/>
      <c r="AE212" s="903"/>
      <c r="AF212" s="903"/>
      <c r="AG212" s="903">
        <v>1</v>
      </c>
      <c r="AH212" s="903"/>
      <c r="AI212" s="903">
        <v>1</v>
      </c>
      <c r="AJ212" s="903">
        <v>1</v>
      </c>
      <c r="AK212" s="903">
        <v>9</v>
      </c>
      <c r="AL212" s="903">
        <v>9</v>
      </c>
      <c r="AM212" s="903"/>
      <c r="AN212" s="903"/>
      <c r="AO212" s="441"/>
      <c r="AP212" s="907"/>
      <c r="AQ212" s="903">
        <v>13</v>
      </c>
      <c r="AR212" s="903"/>
      <c r="AS212" s="908"/>
      <c r="AT212" s="903"/>
      <c r="AU212" s="903">
        <v>3</v>
      </c>
      <c r="AV212" s="903">
        <v>12</v>
      </c>
      <c r="AW212" s="903">
        <v>16</v>
      </c>
      <c r="AX212" s="903"/>
      <c r="AY212" s="902" t="s">
        <v>41</v>
      </c>
      <c r="AZ212" s="907" t="s">
        <v>137</v>
      </c>
      <c r="BA212" s="903"/>
      <c r="BB212" s="903"/>
      <c r="BC212" s="903"/>
      <c r="BD212" s="441"/>
      <c r="BE212" s="441">
        <v>3</v>
      </c>
      <c r="BF212" s="902"/>
      <c r="BG212" s="903">
        <v>8</v>
      </c>
      <c r="BH212" s="903"/>
      <c r="BI212" s="903"/>
      <c r="BJ212" s="903">
        <v>3</v>
      </c>
      <c r="BK212" s="903"/>
      <c r="BL212" s="903"/>
      <c r="BM212" s="903">
        <v>1</v>
      </c>
      <c r="BN212" s="903"/>
      <c r="BO212" s="903"/>
      <c r="BP212" s="902" t="s">
        <v>136</v>
      </c>
      <c r="BQ212" s="909">
        <v>2</v>
      </c>
      <c r="BR212" s="908">
        <v>0.8</v>
      </c>
      <c r="BS212" s="902"/>
      <c r="BT212" s="416">
        <v>1</v>
      </c>
      <c r="BU212" s="416">
        <v>1</v>
      </c>
      <c r="BV212" s="418">
        <v>9</v>
      </c>
      <c r="BW212" s="416">
        <v>0.9</v>
      </c>
      <c r="BX212" s="441"/>
      <c r="BY212" s="441"/>
      <c r="BZ212" s="441"/>
      <c r="CA212" s="441"/>
      <c r="CB212" s="441"/>
      <c r="CC212" s="693"/>
      <c r="CD212" s="441"/>
      <c r="CE212" s="910">
        <f>IFERROR(WWWW[[#This Row],['#_Water sources passed]]/WWWW[[#This Row],['#_Water sources tested for fecal coliform ]],"no test")</f>
        <v>1</v>
      </c>
      <c r="CF212" s="908">
        <f>IFERROR(WWWW[[#This Row],['#_Household passed]]/WWWW[[#This Row],['#_Household water samples tested for fecal coliform]],"no test")</f>
        <v>1</v>
      </c>
      <c r="CG212" s="909" t="str">
        <f>IF(AND(WWWW[[#This Row],[% of water sources passed]]="no test",WWWW[[#This Row],[% Household passed]]="no test"),"No Test","Tested")</f>
        <v>Tested</v>
      </c>
      <c r="CH212" s="909">
        <f>WWWW[[#This Row],['#_Constructed/existing protected hand dug well]]-WWWW[[#This Row],['#_Non-functional protected hand dug well]]</f>
        <v>3</v>
      </c>
      <c r="CI212" s="909">
        <f>(WWWW[[#This Row],['#_Constructed/Existing tube wells/boreholes/handpumps_WASH_agency]]+WWWW[[#This Row],['#_Non-Cluster partner water tube-wells/boreholes/handpumps]])-WWWW[[#This Row],['#_Non-functional tube wells/boreholes/handpumps]]</f>
        <v>1</v>
      </c>
      <c r="CJ212" s="909">
        <f>WWWW[[#This Row],['#_Constructed/Existingwater storage tank with gravity fed reticulation system]]-WWWW[[#This Row],['#_Non-functional storage tank gravity fed reticulation system]]</f>
        <v>0</v>
      </c>
      <c r="CK212" s="909">
        <f>(WWWW[[#This Row],['#_Water_Liters_supplied_by_Water boating or water trucking]]/90)/15</f>
        <v>0</v>
      </c>
      <c r="CL212" s="909">
        <f>WWWW[[#This Row],['#_Water_Liters_from_Constructed/Existing water distribution system from river or natural spring]]/90/15</f>
        <v>0</v>
      </c>
      <c r="CM212" s="417">
        <f>IF(WWWW[[#This Row],['#_of water points in TLS/CFS]]*500&gt;WWWW[[#This Row],[Total PoP ]],WWWW[[#This Row],[Total PoP ]],WWWW[[#This Row],['#_of water points in TLS/CFS]]*500)</f>
        <v>0</v>
      </c>
      <c r="CN212" s="417">
        <f>IF(WWWW[[#This Row],['#_of water points in THF]]*500&gt;WWWW[[#This Row],[Total PoP ]],WWWW[[#This Row],[Total PoP ]],WWWW[[#This Row],['#_of water points in THF]]*500)</f>
        <v>0</v>
      </c>
      <c r="CO212" s="417"/>
      <c r="CP212"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12"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12" s="908">
        <f>IF(WWWW[[#This Row],[Location Type 1]]="Village",WWWW[[#This Row],[Access to safe drinking water for Village]],WWWW[[#This Row],[Access to safe drinking water for Camp]])</f>
        <v>1</v>
      </c>
      <c r="CS212" s="906">
        <f>WWWW[[#This Row],[%Equitable and continuous access to sufficient quantity of safe drinking water]]*WWWW[[#This Row],[Total PoP ]]</f>
        <v>297</v>
      </c>
      <c r="CT212" s="908">
        <f>IF((WWWW[[#This Row],['#_Constructed/Existing protected/fenced ponds]]*250)/WWWW[[#This Row],[Total PoP ]]&gt;1,1,(WWWW[[#This Row],['#_Constructed/Existing protected/fenced ponds]]*250)/WWWW[[#This Row],[Total PoP ]])</f>
        <v>0</v>
      </c>
      <c r="CU212" s="906">
        <f>WWWW[[#This Row],[% Access to unimproved water points]]*WWWW[[#This Row],[Total PoP ]]</f>
        <v>0</v>
      </c>
      <c r="CV212"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12"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297</v>
      </c>
      <c r="CX212" s="906">
        <f>WWWW[[#This Row],[HRP1]]/500</f>
        <v>0.59399999999999997</v>
      </c>
      <c r="CY212" s="911">
        <f>1-WWWW[[#This Row],[% Equitable and continuous access to sufficient quantity of domestic water]]</f>
        <v>0</v>
      </c>
      <c r="CZ212" s="906">
        <f>WWWW[[#This Row],[%equitable and continuous access to sufficient quantity of safe drinking and domestic water''s GAP]]*WWWW[[#This Row],[Total PoP ]]</f>
        <v>0</v>
      </c>
      <c r="DA212" s="909">
        <f>IF(WWWW[[#This Row],[Total required water points]]-WWWW[[#This Row],['#Water points coverage]]&lt;0,0,WWWW[[#This Row],[Total required water points]]-WWWW[[#This Row],['#Water points coverage]])</f>
        <v>0.40600000000000003</v>
      </c>
      <c r="DB212" s="909">
        <f>ROUND(IF(WWWW[[#This Row],[Total PoP ]]&lt;500,1,WWWW[[#This Row],[Total PoP ]]/500),0)</f>
        <v>1</v>
      </c>
      <c r="DC212" s="909">
        <f>(WWWW[[#This Row],['#_Constructed latrines_by_WASHAgencies]]+WWWW[[#This Row],['#_Non Cluster partner latrines]])-WWWW[[#This Row],['#_Non-functional latrines]]</f>
        <v>13</v>
      </c>
      <c r="DD212" s="615">
        <f>WWWW[[#This Row],[HRP2]]/WWWW[[#This Row],[Total PoP ]]</f>
        <v>0.88552188552188549</v>
      </c>
      <c r="DE212"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263</v>
      </c>
      <c r="DF212"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240</v>
      </c>
      <c r="DG212"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2" s="417">
        <f>IF(WWWW[[#This Row],['# of functional latrines in THF supported by WASH partners during the reporting period2]]="",0,WWWW[[#This Row],['# of functional latrines in THF supported by WASH partners during the reporting period2]]*50)</f>
        <v>0</v>
      </c>
      <c r="DI212" s="909">
        <f>ROUND(IF(WWWW[[#This Row],[Location Type 1]]="camp",WWWW[[#This Row],[Total PoP ]]/20,IF(WWWW[[#This Row],[Location Type 1]]="Temporary Location",WWWW[[#This Row],[Total PoP ]]/50,(WWWW[[#This Row],[Total PoP ]]/6))),0)</f>
        <v>15</v>
      </c>
      <c r="DJ212" s="909">
        <f>IF(WWWW[[#This Row],[Total required Latrines]]-(WWWW[[#This Row],['#_Constructed latrines_by_WASHAgencies]]+WWWW[[#This Row],['#_Non Cluster partner latrines]])&lt;0,0,WWWW[[#This Row],[Total required Latrines]]-(WWWW[[#This Row],['#_Constructed latrines_by_WASHAgencies]]+WWWW[[#This Row],['#_Non Cluster partner latrines]]))</f>
        <v>2</v>
      </c>
      <c r="DK212" s="911">
        <f>1-WWWW[[#This Row],[% people access to functioning Latrine]]</f>
        <v>0.11447811447811451</v>
      </c>
      <c r="DL212" s="910">
        <f>IF(OR(WWWW[[#This Row],['#_Non-functional latrines]]="",WWWW[[#This Row],['#_Non-functional latrines]]=0),0,WWWW[[#This Row],['#_Non-functional latrines]]/(WWWW[[#This Row],['#_Constructed latrines_by_WASHAgencies]]+WWWW[[#This Row],['#_Non Cluster partner latrines]]))</f>
        <v>0</v>
      </c>
      <c r="DM212" s="906">
        <f>IF(500*(WWWW[[#This Row],['#_male hygiene promoters]]+WWWW[[#This Row],['#_female hygiene promoters]])&gt;WWWW[[#This Row],[Total PoP ]],WWWW[[#This Row],[Total PoP ]],500*(WWWW[[#This Row],['#_male hygiene promoters]]+WWWW[[#This Row],['#_female hygiene promoters]]))</f>
        <v>297</v>
      </c>
      <c r="DN212"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12"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12" s="909">
        <f>IF(WWWW[[#This Row],['# People with access to soap]]&gt;WWWW[[#This Row],['# People with access to Sanity Pads]],WWWW[[#This Row],['# People with access to soap]],WWWW[[#This Row],['# People with access to Sanity Pads]])</f>
        <v>0</v>
      </c>
      <c r="DQ212" s="909">
        <f>IF(WWWW[[#This Row],['# people reached by regular dedicated hygiene promotion_5]]&gt;WWWW[[#This Row],['# People received regular supply of hygiene items_6]],WWWW[[#This Row],['# people reached by regular dedicated hygiene promotion_5]],WWWW[[#This Row],['# People received regular supply of hygiene items_6]])</f>
        <v>297</v>
      </c>
      <c r="DR212" s="911">
        <f>IF(WWWW[[#This Row],[HRP3]]/WWWW[[#This Row],[Total PoP ]]&gt;1,1,WWWW[[#This Row],[HRP3]]/WWWW[[#This Row],[Total PoP ]])</f>
        <v>1</v>
      </c>
      <c r="DS212" s="910">
        <f>1-WWWW[[#This Row],[Hygiene Coverage%]]</f>
        <v>0</v>
      </c>
      <c r="DT212" s="908">
        <f>WWWW[[#This Row],['# people reached by regular dedicated hygiene promotion_5]]/WWWW[[#This Row],[Total PoP ]]</f>
        <v>1</v>
      </c>
      <c r="DU212"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12"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12" s="909">
        <f>WWWW[[#This Row],['#_Constructed/Existing hand washing stations]]-WWWW[[#This Row],['#_Non-Functional_hand_washing_stations]]</f>
        <v>8</v>
      </c>
      <c r="DX212" s="906">
        <f>IF(WWWW[[#This Row],['# Functional hand washing stations during reporting period]]*20&gt;WWWW[[#This Row],[Total HH]],WWWW[[#This Row],[Total HH]],WWWW[[#This Row],['# Functional hand washing stations during reporting period]]*20)</f>
        <v>44</v>
      </c>
      <c r="DY212" s="906">
        <f>IF(WWWW[[#This Row],[Is sufficient soap available for TLS? (Yes/No)]]="yes",WWWW[[#This Row],['#_Constructed/Existing hand washing stations at TLS/CFS/THF]],0)</f>
        <v>0</v>
      </c>
      <c r="DZ212" s="421">
        <f>IF(WWWW[[#This Row],['# Functional hand washing stations during reporting period]]*100&gt;WWWW[[#This Row],[Total PoP ]],WWWW[[#This Row],[Total PoP ]],WWWW[[#This Row],['# Functional hand washing stations during reporting period]]*100)</f>
        <v>297</v>
      </c>
      <c r="EA212" s="421" t="str">
        <f>IF(OR(WWWW[[#This Row],['#_students at TLS_CFS]]="",WWWW[[#This Row],['#_students at TLS_CFS]]=0),"No","Yes")</f>
        <v>No</v>
      </c>
      <c r="EB212" s="615">
        <f>IF(WWWW[[#This Row],['#_of_affected_people_surveyed_who_report_feeling_informed_about_the_different_WASH_services_available_to_them]]="","",WWWW[[#This Row],['#_of_affected_people_surveyed_who_report_feeling_informed_about_the_different_WASH_services_available_to_them]]/WWWW[[#This Row],[Total PoP ]])</f>
        <v>3.0303030303030304E-2</v>
      </c>
      <c r="EC212" s="566">
        <f>WWWW[[#This Row],[%_of_affected_people_surveyed_who_report_feeling_satistfied_with_the_latrine_design_and_sanitation_service]]*WWWW[[#This Row],[Total PoP ]]</f>
        <v>297</v>
      </c>
      <c r="ED212" s="566">
        <f>WWWW[[#This Row],[%_of_affected_people_surveyed_who_report_feeling_satistfied_with_the_water_point_design_and_water_service]]*WWWW[[#This Row],[Total PoP ]]</f>
        <v>297</v>
      </c>
      <c r="EE212" s="566">
        <f>WWWW[[#This Row],[%_of_complaints_received_that_result_in_timely_corrective_action_and_feedback_to_the_community]]*WWWW[[#This Row],[Total PoP ]]</f>
        <v>267.3</v>
      </c>
      <c r="EF21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297</v>
      </c>
      <c r="EG21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1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12" s="902" t="str">
        <f>VLOOKUP(WWWW[[#This Row],[Site Name]],SiteDB6[[Site Name]:[CCCM Management]],6,FALSE)</f>
        <v>Yes</v>
      </c>
      <c r="EJ212" s="902" t="str">
        <f>VLOOKUP(WWWW[[#This Row],[Site Name]],SiteDB6[[Site Name]:[CCCM Focal Agency]],7,FALSE)</f>
        <v>KBC-BMO</v>
      </c>
      <c r="EK212" s="902" t="str">
        <f>VLOOKUP(WWWW[[#This Row],[Site Name]],SiteDB6[[Site Name]:[Location Type 1]],9,FALSE)</f>
        <v>Camp</v>
      </c>
      <c r="EL212" s="902" t="str">
        <f>VLOOKUP(WWWW[[#This Row],[Site Name]],SiteDB6[[Site Name]:[Type of Accommodation]],10,FALSE)</f>
        <v>Camp</v>
      </c>
      <c r="EM212" s="902" t="str">
        <f>VLOOKUP(WWWW[[#This Row],[Site Name]],SiteDB6[[Site Name]:[Ethnic or GCA/NGCA]],11,FALSE)</f>
        <v>GCA</v>
      </c>
      <c r="EN212" s="902">
        <f>VLOOKUP(WWWW[[#This Row],[Site Name]],SiteDB6[[Site Name]:[Lat]],12,FALSE)</f>
        <v>24.205417000000001</v>
      </c>
      <c r="EO212" s="902">
        <f>VLOOKUP(WWWW[[#This Row],[Site Name]],SiteDB6[[Site Name]:[Long]],13,FALSE)</f>
        <v>97.724483000000006</v>
      </c>
      <c r="EP212" s="902" t="str">
        <f>VLOOKUP(WWWW[[#This Row],[Site Name]],SiteDB6[[Site Name]:[Pcode]],3,FALSE)</f>
        <v>MMR001CMP072</v>
      </c>
      <c r="EQ212" s="907" t="str">
        <f t="shared" si="3"/>
        <v>Covered</v>
      </c>
      <c r="ER212" s="907" t="s">
        <v>3126</v>
      </c>
      <c r="ES212" s="907" t="s">
        <v>3126</v>
      </c>
      <c r="ET212" s="902">
        <f>VLOOKUP(WWWW[[#This Row],[Site Name]],SiteDB6[[Site Name]:[Pop
(Kachin/Shan-CCCM as of May 2023)]],16,FALSE)</f>
        <v>48</v>
      </c>
      <c r="EU212" s="902">
        <f>VLOOKUP(WWWW[[#This Row],[Site Name]],SiteDB6[[Site Name]:[Pop
(Kachin/Shan-CCCM as of May 2023)]],17,FALSE)</f>
        <v>293</v>
      </c>
    </row>
    <row r="213" spans="1:151" hidden="1">
      <c r="A213" s="900" t="s">
        <v>2961</v>
      </c>
      <c r="B213" s="900" t="s">
        <v>276</v>
      </c>
      <c r="C213" s="901" t="s">
        <v>276</v>
      </c>
      <c r="D213" s="901" t="s">
        <v>2883</v>
      </c>
      <c r="E213" s="901" t="s">
        <v>37</v>
      </c>
      <c r="F213" s="901" t="s">
        <v>205</v>
      </c>
      <c r="G213" s="902" t="str">
        <f>VLOOKUP(WWWW[[#This Row],[Site Name]],SiteDB6[[Site Name]:[Location Type]],8,FALSE)</f>
        <v>Camp</v>
      </c>
      <c r="H213" s="901" t="s">
        <v>286</v>
      </c>
      <c r="I213" s="903">
        <v>44</v>
      </c>
      <c r="J213" s="903">
        <v>266</v>
      </c>
      <c r="K213" s="904">
        <v>44652</v>
      </c>
      <c r="L213" s="905">
        <v>45016</v>
      </c>
      <c r="M213" s="903"/>
      <c r="N213" s="903"/>
      <c r="O213" s="903">
        <v>2</v>
      </c>
      <c r="P213" s="903"/>
      <c r="Q213" s="906" t="s">
        <v>41</v>
      </c>
      <c r="R213" s="903">
        <v>4</v>
      </c>
      <c r="S213" s="903">
        <v>6</v>
      </c>
      <c r="T213" s="441">
        <v>2</v>
      </c>
      <c r="U213" s="903"/>
      <c r="V213" s="903"/>
      <c r="W213" s="903">
        <v>1</v>
      </c>
      <c r="X213" s="903"/>
      <c r="Y213" s="903"/>
      <c r="Z213" s="903"/>
      <c r="AA213" s="903">
        <v>1</v>
      </c>
      <c r="AB213" s="903"/>
      <c r="AC213" s="903"/>
      <c r="AD213" s="903"/>
      <c r="AE213" s="903"/>
      <c r="AF213" s="903"/>
      <c r="AG213" s="903">
        <v>1</v>
      </c>
      <c r="AH213" s="903"/>
      <c r="AI213" s="903">
        <v>1</v>
      </c>
      <c r="AJ213" s="903">
        <v>1</v>
      </c>
      <c r="AK213" s="903">
        <v>6</v>
      </c>
      <c r="AL213" s="903">
        <v>6</v>
      </c>
      <c r="AM213" s="903"/>
      <c r="AN213" s="903"/>
      <c r="AO213" s="441"/>
      <c r="AP213" s="907"/>
      <c r="AQ213" s="903">
        <v>16</v>
      </c>
      <c r="AR213" s="903"/>
      <c r="AS213" s="908"/>
      <c r="AT213" s="903"/>
      <c r="AU213" s="903">
        <v>1</v>
      </c>
      <c r="AV213" s="903">
        <v>14</v>
      </c>
      <c r="AW213" s="903">
        <v>16</v>
      </c>
      <c r="AX213" s="903"/>
      <c r="AY213" s="902" t="s">
        <v>41</v>
      </c>
      <c r="AZ213" s="907" t="s">
        <v>137</v>
      </c>
      <c r="BA213" s="903"/>
      <c r="BB213" s="903"/>
      <c r="BC213" s="903"/>
      <c r="BD213" s="441"/>
      <c r="BE213" s="441"/>
      <c r="BF213" s="902"/>
      <c r="BG213" s="903">
        <v>3</v>
      </c>
      <c r="BH213" s="903"/>
      <c r="BI213" s="903"/>
      <c r="BJ213" s="903">
        <v>1</v>
      </c>
      <c r="BK213" s="903"/>
      <c r="BL213" s="903"/>
      <c r="BM213" s="903">
        <v>1</v>
      </c>
      <c r="BN213" s="903"/>
      <c r="BO213" s="903"/>
      <c r="BP213" s="902" t="s">
        <v>136</v>
      </c>
      <c r="BQ213" s="909">
        <v>2</v>
      </c>
      <c r="BR213" s="908">
        <v>0.8</v>
      </c>
      <c r="BS213" s="902"/>
      <c r="BT213" s="416">
        <v>1</v>
      </c>
      <c r="BU213" s="416">
        <v>1</v>
      </c>
      <c r="BV213" s="418">
        <v>8</v>
      </c>
      <c r="BW213" s="416">
        <v>1</v>
      </c>
      <c r="BX213" s="441"/>
      <c r="BY213" s="441"/>
      <c r="BZ213" s="441"/>
      <c r="CA213" s="441"/>
      <c r="CB213" s="441"/>
      <c r="CC213" s="693"/>
      <c r="CD213" s="441"/>
      <c r="CE213" s="910">
        <f>IFERROR(WWWW[[#This Row],['#_Water sources passed]]/WWWW[[#This Row],['#_Water sources tested for fecal coliform ]],"no test")</f>
        <v>1</v>
      </c>
      <c r="CF213" s="908">
        <f>IFERROR(WWWW[[#This Row],['#_Household passed]]/WWWW[[#This Row],['#_Household water samples tested for fecal coliform]],"no test")</f>
        <v>1</v>
      </c>
      <c r="CG213" s="909" t="str">
        <f>IF(AND(WWWW[[#This Row],[% of water sources passed]]="no test",WWWW[[#This Row],[% Household passed]]="no test"),"No Test","Tested")</f>
        <v>Tested</v>
      </c>
      <c r="CH213" s="909">
        <f>WWWW[[#This Row],['#_Constructed/existing protected hand dug well]]-WWWW[[#This Row],['#_Non-functional protected hand dug well]]</f>
        <v>2</v>
      </c>
      <c r="CI213" s="909">
        <f>(WWWW[[#This Row],['#_Constructed/Existing tube wells/boreholes/handpumps_WASH_agency]]+WWWW[[#This Row],['#_Non-Cluster partner water tube-wells/boreholes/handpumps]])-WWWW[[#This Row],['#_Non-functional tube wells/boreholes/handpumps]]</f>
        <v>1</v>
      </c>
      <c r="CJ213" s="909">
        <f>WWWW[[#This Row],['#_Constructed/Existingwater storage tank with gravity fed reticulation system]]-WWWW[[#This Row],['#_Non-functional storage tank gravity fed reticulation system]]</f>
        <v>1</v>
      </c>
      <c r="CK213" s="909">
        <f>(WWWW[[#This Row],['#_Water_Liters_supplied_by_Water boating or water trucking]]/90)/15</f>
        <v>0</v>
      </c>
      <c r="CL213" s="909">
        <f>WWWW[[#This Row],['#_Water_Liters_from_Constructed/Existing water distribution system from river or natural spring]]/90/15</f>
        <v>0</v>
      </c>
      <c r="CM213" s="417">
        <f>IF(WWWW[[#This Row],['#_of water points in TLS/CFS]]*500&gt;WWWW[[#This Row],[Total PoP ]],WWWW[[#This Row],[Total PoP ]],WWWW[[#This Row],['#_of water points in TLS/CFS]]*500)</f>
        <v>0</v>
      </c>
      <c r="CN213" s="417">
        <f>IF(WWWW[[#This Row],['#_of water points in THF]]*500&gt;WWWW[[#This Row],[Total PoP ]],WWWW[[#This Row],[Total PoP ]],WWWW[[#This Row],['#_of water points in THF]]*500)</f>
        <v>0</v>
      </c>
      <c r="CO213" s="417"/>
      <c r="CP213"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13"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13" s="908">
        <f>IF(WWWW[[#This Row],[Location Type 1]]="Village",WWWW[[#This Row],[Access to safe drinking water for Village]],WWWW[[#This Row],[Access to safe drinking water for Camp]])</f>
        <v>1</v>
      </c>
      <c r="CS213" s="906">
        <f>WWWW[[#This Row],[%Equitable and continuous access to sufficient quantity of safe drinking water]]*WWWW[[#This Row],[Total PoP ]]</f>
        <v>266</v>
      </c>
      <c r="CT213" s="908">
        <f>IF((WWWW[[#This Row],['#_Constructed/Existing protected/fenced ponds]]*250)/WWWW[[#This Row],[Total PoP ]]&gt;1,1,(WWWW[[#This Row],['#_Constructed/Existing protected/fenced ponds]]*250)/WWWW[[#This Row],[Total PoP ]])</f>
        <v>0</v>
      </c>
      <c r="CU213" s="906">
        <f>WWWW[[#This Row],[% Access to unimproved water points]]*WWWW[[#This Row],[Total PoP ]]</f>
        <v>0</v>
      </c>
      <c r="CV213"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13"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266</v>
      </c>
      <c r="CX213" s="906">
        <f>WWWW[[#This Row],[HRP1]]/500</f>
        <v>0.53200000000000003</v>
      </c>
      <c r="CY213" s="911">
        <f>1-WWWW[[#This Row],[% Equitable and continuous access to sufficient quantity of domestic water]]</f>
        <v>0</v>
      </c>
      <c r="CZ213" s="906">
        <f>WWWW[[#This Row],[%equitable and continuous access to sufficient quantity of safe drinking and domestic water''s GAP]]*WWWW[[#This Row],[Total PoP ]]</f>
        <v>0</v>
      </c>
      <c r="DA213" s="909">
        <f>IF(WWWW[[#This Row],[Total required water points]]-WWWW[[#This Row],['#Water points coverage]]&lt;0,0,WWWW[[#This Row],[Total required water points]]-WWWW[[#This Row],['#Water points coverage]])</f>
        <v>0.46799999999999997</v>
      </c>
      <c r="DB213" s="909">
        <f>ROUND(IF(WWWW[[#This Row],[Total PoP ]]&lt;500,1,WWWW[[#This Row],[Total PoP ]]/500),0)</f>
        <v>1</v>
      </c>
      <c r="DC213" s="909">
        <f>(WWWW[[#This Row],['#_Constructed latrines_by_WASHAgencies]]+WWWW[[#This Row],['#_Non Cluster partner latrines]])-WWWW[[#This Row],['#_Non-functional latrines]]</f>
        <v>16</v>
      </c>
      <c r="DD213" s="615">
        <f>WWWW[[#This Row],[HRP2]]/WWWW[[#This Row],[Total PoP ]]</f>
        <v>1</v>
      </c>
      <c r="DE213"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266</v>
      </c>
      <c r="DF213"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266</v>
      </c>
      <c r="DG213"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3" s="417">
        <f>IF(WWWW[[#This Row],['# of functional latrines in THF supported by WASH partners during the reporting period2]]="",0,WWWW[[#This Row],['# of functional latrines in THF supported by WASH partners during the reporting period2]]*50)</f>
        <v>0</v>
      </c>
      <c r="DI213" s="909">
        <f>ROUND(IF(WWWW[[#This Row],[Location Type 1]]="camp",WWWW[[#This Row],[Total PoP ]]/20,IF(WWWW[[#This Row],[Location Type 1]]="Temporary Location",WWWW[[#This Row],[Total PoP ]]/50,(WWWW[[#This Row],[Total PoP ]]/6))),0)</f>
        <v>13</v>
      </c>
      <c r="DJ213" s="909">
        <f>IF(WWWW[[#This Row],[Total required Latrines]]-(WWWW[[#This Row],['#_Constructed latrines_by_WASHAgencies]]+WWWW[[#This Row],['#_Non Cluster partner latrines]])&lt;0,0,WWWW[[#This Row],[Total required Latrines]]-(WWWW[[#This Row],['#_Constructed latrines_by_WASHAgencies]]+WWWW[[#This Row],['#_Non Cluster partner latrines]]))</f>
        <v>0</v>
      </c>
      <c r="DK213" s="911">
        <f>1-WWWW[[#This Row],[% people access to functioning Latrine]]</f>
        <v>0</v>
      </c>
      <c r="DL213" s="910">
        <f>IF(OR(WWWW[[#This Row],['#_Non-functional latrines]]="",WWWW[[#This Row],['#_Non-functional latrines]]=0),0,WWWW[[#This Row],['#_Non-functional latrines]]/(WWWW[[#This Row],['#_Constructed latrines_by_WASHAgencies]]+WWWW[[#This Row],['#_Non Cluster partner latrines]]))</f>
        <v>0</v>
      </c>
      <c r="DM213" s="906">
        <f>IF(500*(WWWW[[#This Row],['#_male hygiene promoters]]+WWWW[[#This Row],['#_female hygiene promoters]])&gt;WWWW[[#This Row],[Total PoP ]],WWWW[[#This Row],[Total PoP ]],500*(WWWW[[#This Row],['#_male hygiene promoters]]+WWWW[[#This Row],['#_female hygiene promoters]]))</f>
        <v>266</v>
      </c>
      <c r="DN213"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13"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13" s="909">
        <f>IF(WWWW[[#This Row],['# People with access to soap]]&gt;WWWW[[#This Row],['# People with access to Sanity Pads]],WWWW[[#This Row],['# People with access to soap]],WWWW[[#This Row],['# People with access to Sanity Pads]])</f>
        <v>0</v>
      </c>
      <c r="DQ213" s="909">
        <f>IF(WWWW[[#This Row],['# people reached by regular dedicated hygiene promotion_5]]&gt;WWWW[[#This Row],['# People received regular supply of hygiene items_6]],WWWW[[#This Row],['# people reached by regular dedicated hygiene promotion_5]],WWWW[[#This Row],['# People received regular supply of hygiene items_6]])</f>
        <v>266</v>
      </c>
      <c r="DR213" s="911">
        <f>IF(WWWW[[#This Row],[HRP3]]/WWWW[[#This Row],[Total PoP ]]&gt;1,1,WWWW[[#This Row],[HRP3]]/WWWW[[#This Row],[Total PoP ]])</f>
        <v>1</v>
      </c>
      <c r="DS213" s="910">
        <f>1-WWWW[[#This Row],[Hygiene Coverage%]]</f>
        <v>0</v>
      </c>
      <c r="DT213" s="908">
        <f>WWWW[[#This Row],['# people reached by regular dedicated hygiene promotion_5]]/WWWW[[#This Row],[Total PoP ]]</f>
        <v>1</v>
      </c>
      <c r="DU213"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13"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13" s="909">
        <f>WWWW[[#This Row],['#_Constructed/Existing hand washing stations]]-WWWW[[#This Row],['#_Non-Functional_hand_washing_stations]]</f>
        <v>3</v>
      </c>
      <c r="DX213" s="906">
        <f>IF(WWWW[[#This Row],['# Functional hand washing stations during reporting period]]*20&gt;WWWW[[#This Row],[Total HH]],WWWW[[#This Row],[Total HH]],WWWW[[#This Row],['# Functional hand washing stations during reporting period]]*20)</f>
        <v>44</v>
      </c>
      <c r="DY213" s="906">
        <f>IF(WWWW[[#This Row],[Is sufficient soap available for TLS? (Yes/No)]]="yes",WWWW[[#This Row],['#_Constructed/Existing hand washing stations at TLS/CFS/THF]],0)</f>
        <v>0</v>
      </c>
      <c r="DZ213" s="421">
        <f>IF(WWWW[[#This Row],['# Functional hand washing stations during reporting period]]*100&gt;WWWW[[#This Row],[Total PoP ]],WWWW[[#This Row],[Total PoP ]],WWWW[[#This Row],['# Functional hand washing stations during reporting period]]*100)</f>
        <v>266</v>
      </c>
      <c r="EA213" s="421" t="str">
        <f>IF(OR(WWWW[[#This Row],['#_students at TLS_CFS]]="",WWWW[[#This Row],['#_students at TLS_CFS]]=0),"No","Yes")</f>
        <v>No</v>
      </c>
      <c r="EB213" s="615">
        <f>IF(WWWW[[#This Row],['#_of_affected_people_surveyed_who_report_feeling_informed_about_the_different_WASH_services_available_to_them]]="","",WWWW[[#This Row],['#_of_affected_people_surveyed_who_report_feeling_informed_about_the_different_WASH_services_available_to_them]]/WWWW[[#This Row],[Total PoP ]])</f>
        <v>3.007518796992481E-2</v>
      </c>
      <c r="EC213" s="566">
        <f>WWWW[[#This Row],[%_of_affected_people_surveyed_who_report_feeling_satistfied_with_the_latrine_design_and_sanitation_service]]*WWWW[[#This Row],[Total PoP ]]</f>
        <v>266</v>
      </c>
      <c r="ED213" s="566">
        <f>WWWW[[#This Row],[%_of_affected_people_surveyed_who_report_feeling_satistfied_with_the_water_point_design_and_water_service]]*WWWW[[#This Row],[Total PoP ]]</f>
        <v>266</v>
      </c>
      <c r="EE213" s="566">
        <f>WWWW[[#This Row],[%_of_complaints_received_that_result_in_timely_corrective_action_and_feedback_to_the_community]]*WWWW[[#This Row],[Total PoP ]]</f>
        <v>266</v>
      </c>
      <c r="EF21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266</v>
      </c>
      <c r="EG21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1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13" s="902" t="str">
        <f>VLOOKUP(WWWW[[#This Row],[Site Name]],SiteDB6[[Site Name]:[CCCM Management]],6,FALSE)</f>
        <v>Yes</v>
      </c>
      <c r="EJ213" s="902" t="str">
        <f>VLOOKUP(WWWW[[#This Row],[Site Name]],SiteDB6[[Site Name]:[CCCM Focal Agency]],7,FALSE)</f>
        <v>KBC-BMO</v>
      </c>
      <c r="EK213" s="902" t="str">
        <f>VLOOKUP(WWWW[[#This Row],[Site Name]],SiteDB6[[Site Name]:[Location Type 1]],9,FALSE)</f>
        <v>Camp</v>
      </c>
      <c r="EL213" s="902" t="str">
        <f>VLOOKUP(WWWW[[#This Row],[Site Name]],SiteDB6[[Site Name]:[Type of Accommodation]],10,FALSE)</f>
        <v>Camp</v>
      </c>
      <c r="EM213" s="902" t="str">
        <f>VLOOKUP(WWWW[[#This Row],[Site Name]],SiteDB6[[Site Name]:[Ethnic or GCA/NGCA]],11,FALSE)</f>
        <v>GCA</v>
      </c>
      <c r="EN213" s="902">
        <f>VLOOKUP(WWWW[[#This Row],[Site Name]],SiteDB6[[Site Name]:[Lat]],12,FALSE)</f>
        <v>24.207332999999998</v>
      </c>
      <c r="EO213" s="902">
        <f>VLOOKUP(WWWW[[#This Row],[Site Name]],SiteDB6[[Site Name]:[Long]],13,FALSE)</f>
        <v>97.710864000000001</v>
      </c>
      <c r="EP213" s="902" t="str">
        <f>VLOOKUP(WWWW[[#This Row],[Site Name]],SiteDB6[[Site Name]:[Pcode]],3,FALSE)</f>
        <v>MMR001CMP073</v>
      </c>
      <c r="EQ213" s="907" t="str">
        <f t="shared" si="3"/>
        <v>Covered</v>
      </c>
      <c r="ER213" s="907" t="s">
        <v>3126</v>
      </c>
      <c r="ES213" s="907" t="s">
        <v>3126</v>
      </c>
      <c r="ET213" s="902">
        <f>VLOOKUP(WWWW[[#This Row],[Site Name]],SiteDB6[[Site Name]:[Pop
(Kachin/Shan-CCCM as of May 2023)]],16,FALSE)</f>
        <v>52</v>
      </c>
      <c r="EU213" s="902">
        <f>VLOOKUP(WWWW[[#This Row],[Site Name]],SiteDB6[[Site Name]:[Pop
(Kachin/Shan-CCCM as of May 2023)]],17,FALSE)</f>
        <v>299</v>
      </c>
    </row>
    <row r="214" spans="1:151" hidden="1">
      <c r="A214" s="900" t="s">
        <v>2961</v>
      </c>
      <c r="B214" s="900" t="s">
        <v>2634</v>
      </c>
      <c r="C214" s="901" t="s">
        <v>2634</v>
      </c>
      <c r="D214" s="901" t="s">
        <v>2668</v>
      </c>
      <c r="E214" s="901" t="s">
        <v>37</v>
      </c>
      <c r="F214" s="901" t="s">
        <v>586</v>
      </c>
      <c r="G214" s="902" t="str">
        <f>VLOOKUP(WWWW[[#This Row],[Site Name]],SiteDB6[[Site Name]:[Location Type]],8,FALSE)</f>
        <v>Camp</v>
      </c>
      <c r="H214" s="901" t="s">
        <v>2643</v>
      </c>
      <c r="I214" s="903">
        <v>126</v>
      </c>
      <c r="J214" s="903">
        <v>591</v>
      </c>
      <c r="K214" s="904">
        <v>44562</v>
      </c>
      <c r="L214" s="905">
        <v>44926</v>
      </c>
      <c r="M214" s="903"/>
      <c r="N214" s="903"/>
      <c r="O214" s="903"/>
      <c r="P214" s="903"/>
      <c r="Q214" s="906" t="s">
        <v>41</v>
      </c>
      <c r="R214" s="903">
        <v>4</v>
      </c>
      <c r="S214" s="903">
        <v>3</v>
      </c>
      <c r="T214" s="441">
        <v>1</v>
      </c>
      <c r="U214" s="903"/>
      <c r="V214" s="903"/>
      <c r="W214" s="903">
        <v>2</v>
      </c>
      <c r="X214" s="903"/>
      <c r="Y214" s="903"/>
      <c r="Z214" s="903"/>
      <c r="AA214" s="903">
        <v>1</v>
      </c>
      <c r="AB214" s="903"/>
      <c r="AC214" s="903"/>
      <c r="AD214" s="903"/>
      <c r="AE214" s="903"/>
      <c r="AF214" s="903"/>
      <c r="AG214" s="903">
        <v>1</v>
      </c>
      <c r="AH214" s="903"/>
      <c r="AI214" s="903"/>
      <c r="AJ214" s="903"/>
      <c r="AK214" s="903"/>
      <c r="AL214" s="903"/>
      <c r="AM214" s="903"/>
      <c r="AN214" s="903"/>
      <c r="AO214" s="441"/>
      <c r="AP214" s="907"/>
      <c r="AQ214" s="903">
        <v>48</v>
      </c>
      <c r="AR214" s="903">
        <v>12</v>
      </c>
      <c r="AS214" s="908"/>
      <c r="AT214" s="903"/>
      <c r="AU214" s="903"/>
      <c r="AV214" s="903"/>
      <c r="AW214" s="903"/>
      <c r="AX214" s="903"/>
      <c r="AY214" s="902" t="s">
        <v>41</v>
      </c>
      <c r="AZ214" s="907" t="s">
        <v>137</v>
      </c>
      <c r="BA214" s="903"/>
      <c r="BB214" s="903"/>
      <c r="BC214" s="903"/>
      <c r="BD214" s="441"/>
      <c r="BE214" s="441">
        <v>19</v>
      </c>
      <c r="BF214" s="902"/>
      <c r="BG214" s="903">
        <v>108</v>
      </c>
      <c r="BH214" s="903"/>
      <c r="BI214" s="903"/>
      <c r="BJ214" s="903">
        <v>108</v>
      </c>
      <c r="BK214" s="903"/>
      <c r="BL214" s="903">
        <v>1</v>
      </c>
      <c r="BM214" s="903">
        <v>1</v>
      </c>
      <c r="BN214" s="903"/>
      <c r="BO214" s="903"/>
      <c r="BP214" s="902" t="s">
        <v>136</v>
      </c>
      <c r="BQ214" s="909"/>
      <c r="BR214" s="908"/>
      <c r="BS214" s="902"/>
      <c r="BT214" s="416"/>
      <c r="BU214" s="416"/>
      <c r="BV214" s="418"/>
      <c r="BW214" s="416"/>
      <c r="BX214" s="441"/>
      <c r="BY214" s="441"/>
      <c r="BZ214" s="441"/>
      <c r="CA214" s="441"/>
      <c r="CB214" s="441"/>
      <c r="CC214" s="693"/>
      <c r="CD214" s="441"/>
      <c r="CE214" s="910" t="str">
        <f>IFERROR(WWWW[[#This Row],['#_Water sources passed]]/WWWW[[#This Row],['#_Water sources tested for fecal coliform ]],"no test")</f>
        <v>no test</v>
      </c>
      <c r="CF214" s="908" t="str">
        <f>IFERROR(WWWW[[#This Row],['#_Household passed]]/WWWW[[#This Row],['#_Household water samples tested for fecal coliform]],"no test")</f>
        <v>no test</v>
      </c>
      <c r="CG214" s="909" t="str">
        <f>IF(AND(WWWW[[#This Row],[% of water sources passed]]="no test",WWWW[[#This Row],[% Household passed]]="no test"),"No Test","Tested")</f>
        <v>No Test</v>
      </c>
      <c r="CH214" s="909">
        <f>WWWW[[#This Row],['#_Constructed/existing protected hand dug well]]-WWWW[[#This Row],['#_Non-functional protected hand dug well]]</f>
        <v>1</v>
      </c>
      <c r="CI214" s="909">
        <f>(WWWW[[#This Row],['#_Constructed/Existing tube wells/boreholes/handpumps_WASH_agency]]+WWWW[[#This Row],['#_Non-Cluster partner water tube-wells/boreholes/handpumps]])-WWWW[[#This Row],['#_Non-functional tube wells/boreholes/handpumps]]</f>
        <v>2</v>
      </c>
      <c r="CJ214" s="909">
        <f>WWWW[[#This Row],['#_Constructed/Existingwater storage tank with gravity fed reticulation system]]-WWWW[[#This Row],['#_Non-functional storage tank gravity fed reticulation system]]</f>
        <v>1</v>
      </c>
      <c r="CK214" s="909">
        <f>(WWWW[[#This Row],['#_Water_Liters_supplied_by_Water boating or water trucking]]/90)/15</f>
        <v>0</v>
      </c>
      <c r="CL214" s="909">
        <f>WWWW[[#This Row],['#_Water_Liters_from_Constructed/Existing water distribution system from river or natural spring]]/90/15</f>
        <v>0</v>
      </c>
      <c r="CM214" s="417">
        <f>IF(WWWW[[#This Row],['#_of water points in TLS/CFS]]*500&gt;WWWW[[#This Row],[Total PoP ]],WWWW[[#This Row],[Total PoP ]],WWWW[[#This Row],['#_of water points in TLS/CFS]]*500)</f>
        <v>0</v>
      </c>
      <c r="CN214" s="417">
        <f>IF(WWWW[[#This Row],['#_of water points in THF]]*500&gt;WWWW[[#This Row],[Total PoP ]],WWWW[[#This Row],[Total PoP ]],WWWW[[#This Row],['#_of water points in THF]]*500)</f>
        <v>0</v>
      </c>
      <c r="CO214" s="417"/>
      <c r="CP214"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14"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14" s="908">
        <f>IF(WWWW[[#This Row],[Location Type 1]]="Village",WWWW[[#This Row],[Access to safe drinking water for Village]],WWWW[[#This Row],[Access to safe drinking water for Camp]])</f>
        <v>1</v>
      </c>
      <c r="CS214" s="906">
        <f>WWWW[[#This Row],[%Equitable and continuous access to sufficient quantity of safe drinking water]]*WWWW[[#This Row],[Total PoP ]]</f>
        <v>591</v>
      </c>
      <c r="CT214" s="908">
        <f>IF((WWWW[[#This Row],['#_Constructed/Existing protected/fenced ponds]]*250)/WWWW[[#This Row],[Total PoP ]]&gt;1,1,(WWWW[[#This Row],['#_Constructed/Existing protected/fenced ponds]]*250)/WWWW[[#This Row],[Total PoP ]])</f>
        <v>0</v>
      </c>
      <c r="CU214" s="906">
        <f>WWWW[[#This Row],[% Access to unimproved water points]]*WWWW[[#This Row],[Total PoP ]]</f>
        <v>0</v>
      </c>
      <c r="CV214"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14"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591</v>
      </c>
      <c r="CX214" s="906">
        <f>WWWW[[#This Row],[HRP1]]/500</f>
        <v>1.1819999999999999</v>
      </c>
      <c r="CY214" s="911">
        <f>1-WWWW[[#This Row],[% Equitable and continuous access to sufficient quantity of domestic water]]</f>
        <v>0</v>
      </c>
      <c r="CZ214" s="906">
        <f>WWWW[[#This Row],[%equitable and continuous access to sufficient quantity of safe drinking and domestic water''s GAP]]*WWWW[[#This Row],[Total PoP ]]</f>
        <v>0</v>
      </c>
      <c r="DA214" s="909">
        <f>IF(WWWW[[#This Row],[Total required water points]]-WWWW[[#This Row],['#Water points coverage]]&lt;0,0,WWWW[[#This Row],[Total required water points]]-WWWW[[#This Row],['#Water points coverage]])</f>
        <v>0</v>
      </c>
      <c r="DB214" s="909">
        <f>ROUND(IF(WWWW[[#This Row],[Total PoP ]]&lt;500,1,WWWW[[#This Row],[Total PoP ]]/500),0)</f>
        <v>1</v>
      </c>
      <c r="DC214" s="909">
        <f>(WWWW[[#This Row],['#_Constructed latrines_by_WASHAgencies]]+WWWW[[#This Row],['#_Non Cluster partner latrines]])-WWWW[[#This Row],['#_Non-functional latrines]]</f>
        <v>60</v>
      </c>
      <c r="DD214" s="615">
        <f>WWWW[[#This Row],[HRP2]]/WWWW[[#This Row],[Total PoP ]]</f>
        <v>1</v>
      </c>
      <c r="DE214"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591</v>
      </c>
      <c r="DF214"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14"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4" s="417">
        <f>IF(WWWW[[#This Row],['# of functional latrines in THF supported by WASH partners during the reporting period2]]="",0,WWWW[[#This Row],['# of functional latrines in THF supported by WASH partners during the reporting period2]]*50)</f>
        <v>0</v>
      </c>
      <c r="DI214" s="909">
        <f>ROUND(IF(WWWW[[#This Row],[Location Type 1]]="camp",WWWW[[#This Row],[Total PoP ]]/20,IF(WWWW[[#This Row],[Location Type 1]]="Temporary Location",WWWW[[#This Row],[Total PoP ]]/50,(WWWW[[#This Row],[Total PoP ]]/6))),0)</f>
        <v>30</v>
      </c>
      <c r="DJ214" s="909">
        <f>IF(WWWW[[#This Row],[Total required Latrines]]-(WWWW[[#This Row],['#_Constructed latrines_by_WASHAgencies]]+WWWW[[#This Row],['#_Non Cluster partner latrines]])&lt;0,0,WWWW[[#This Row],[Total required Latrines]]-(WWWW[[#This Row],['#_Constructed latrines_by_WASHAgencies]]+WWWW[[#This Row],['#_Non Cluster partner latrines]]))</f>
        <v>0</v>
      </c>
      <c r="DK214" s="911">
        <f>1-WWWW[[#This Row],[% people access to functioning Latrine]]</f>
        <v>0</v>
      </c>
      <c r="DL214" s="910">
        <f>IF(OR(WWWW[[#This Row],['#_Non-functional latrines]]="",WWWW[[#This Row],['#_Non-functional latrines]]=0),0,WWWW[[#This Row],['#_Non-functional latrines]]/(WWWW[[#This Row],['#_Constructed latrines_by_WASHAgencies]]+WWWW[[#This Row],['#_Non Cluster partner latrines]]))</f>
        <v>0</v>
      </c>
      <c r="DM214" s="906">
        <f>IF(500*(WWWW[[#This Row],['#_male hygiene promoters]]+WWWW[[#This Row],['#_female hygiene promoters]])&gt;WWWW[[#This Row],[Total PoP ]],WWWW[[#This Row],[Total PoP ]],500*(WWWW[[#This Row],['#_male hygiene promoters]]+WWWW[[#This Row],['#_female hygiene promoters]]))</f>
        <v>591</v>
      </c>
      <c r="DN214"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14"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14" s="909">
        <f>IF(WWWW[[#This Row],['# People with access to soap]]&gt;WWWW[[#This Row],['# People with access to Sanity Pads]],WWWW[[#This Row],['# People with access to soap]],WWWW[[#This Row],['# People with access to Sanity Pads]])</f>
        <v>0</v>
      </c>
      <c r="DQ214" s="909">
        <f>IF(WWWW[[#This Row],['# people reached by regular dedicated hygiene promotion_5]]&gt;WWWW[[#This Row],['# People received regular supply of hygiene items_6]],WWWW[[#This Row],['# people reached by regular dedicated hygiene promotion_5]],WWWW[[#This Row],['# People received regular supply of hygiene items_6]])</f>
        <v>591</v>
      </c>
      <c r="DR214" s="911">
        <f>IF(WWWW[[#This Row],[HRP3]]/WWWW[[#This Row],[Total PoP ]]&gt;1,1,WWWW[[#This Row],[HRP3]]/WWWW[[#This Row],[Total PoP ]])</f>
        <v>1</v>
      </c>
      <c r="DS214" s="910">
        <f>1-WWWW[[#This Row],[Hygiene Coverage%]]</f>
        <v>0</v>
      </c>
      <c r="DT214" s="908">
        <f>WWWW[[#This Row],['# people reached by regular dedicated hygiene promotion_5]]/WWWW[[#This Row],[Total PoP ]]</f>
        <v>1</v>
      </c>
      <c r="DU214"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14"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14" s="909">
        <f>WWWW[[#This Row],['#_Constructed/Existing hand washing stations]]-WWWW[[#This Row],['#_Non-Functional_hand_washing_stations]]</f>
        <v>108</v>
      </c>
      <c r="DX214" s="906">
        <f>IF(WWWW[[#This Row],['# Functional hand washing stations during reporting period]]*20&gt;WWWW[[#This Row],[Total HH]],WWWW[[#This Row],[Total HH]],WWWW[[#This Row],['# Functional hand washing stations during reporting period]]*20)</f>
        <v>126</v>
      </c>
      <c r="DY214" s="906">
        <f>IF(WWWW[[#This Row],[Is sufficient soap available for TLS? (Yes/No)]]="yes",WWWW[[#This Row],['#_Constructed/Existing hand washing stations at TLS/CFS/THF]],0)</f>
        <v>0</v>
      </c>
      <c r="DZ214" s="421">
        <f>IF(WWWW[[#This Row],['# Functional hand washing stations during reporting period]]*100&gt;WWWW[[#This Row],[Total PoP ]],WWWW[[#This Row],[Total PoP ]],WWWW[[#This Row],['# Functional hand washing stations during reporting period]]*100)</f>
        <v>591</v>
      </c>
      <c r="EA214" s="421" t="str">
        <f>IF(OR(WWWW[[#This Row],['#_students at TLS_CFS]]="",WWWW[[#This Row],['#_students at TLS_CFS]]=0),"No","Yes")</f>
        <v>No</v>
      </c>
      <c r="EB21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14" s="566">
        <f>WWWW[[#This Row],[%_of_affected_people_surveyed_who_report_feeling_satistfied_with_the_latrine_design_and_sanitation_service]]*WWWW[[#This Row],[Total PoP ]]</f>
        <v>0</v>
      </c>
      <c r="ED214" s="566">
        <f>WWWW[[#This Row],[%_of_affected_people_surveyed_who_report_feeling_satistfied_with_the_water_point_design_and_water_service]]*WWWW[[#This Row],[Total PoP ]]</f>
        <v>0</v>
      </c>
      <c r="EE214" s="566">
        <f>WWWW[[#This Row],[%_of_complaints_received_that_result_in_timely_corrective_action_and_feedback_to_the_community]]*WWWW[[#This Row],[Total PoP ]]</f>
        <v>0</v>
      </c>
      <c r="EF21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1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1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14" s="902" t="str">
        <f>VLOOKUP(WWWW[[#This Row],[Site Name]],SiteDB6[[Site Name]:[CCCM Management]],6,FALSE)</f>
        <v>Yes</v>
      </c>
      <c r="EJ214" s="902" t="str">
        <f>VLOOKUP(WWWW[[#This Row],[Site Name]],SiteDB6[[Site Name]:[CCCM Focal Agency]],7,FALSE)</f>
        <v>STW/KMSS-MYT</v>
      </c>
      <c r="EK214" s="902" t="str">
        <f>VLOOKUP(WWWW[[#This Row],[Site Name]],SiteDB6[[Site Name]:[Location Type 1]],9,FALSE)</f>
        <v>Camp</v>
      </c>
      <c r="EL214" s="902" t="str">
        <f>VLOOKUP(WWWW[[#This Row],[Site Name]],SiteDB6[[Site Name]:[Type of Accommodation]],10,FALSE)</f>
        <v>Camp</v>
      </c>
      <c r="EM214" s="902" t="str">
        <f>VLOOKUP(WWWW[[#This Row],[Site Name]],SiteDB6[[Site Name]:[Ethnic or GCA/NGCA]],11,FALSE)</f>
        <v>NGCA</v>
      </c>
      <c r="EN214" s="902">
        <f>VLOOKUP(WWWW[[#This Row],[Site Name]],SiteDB6[[Site Name]:[Lat]],12,FALSE)</f>
        <v>26.007408000000002</v>
      </c>
      <c r="EO214" s="902">
        <f>VLOOKUP(WWWW[[#This Row],[Site Name]],SiteDB6[[Site Name]:[Long]],13,FALSE)</f>
        <v>97.823777000000007</v>
      </c>
      <c r="EP214" s="902" t="str">
        <f>VLOOKUP(WWWW[[#This Row],[Site Name]],SiteDB6[[Site Name]:[Pcode]],3,FALSE)</f>
        <v>MMR001CMP280</v>
      </c>
      <c r="EQ214" s="907" t="str">
        <f t="shared" si="3"/>
        <v>Covered</v>
      </c>
      <c r="ER214" s="907" t="s">
        <v>136</v>
      </c>
      <c r="ES214" s="907" t="s">
        <v>136</v>
      </c>
      <c r="ET214" s="902">
        <f>VLOOKUP(WWWW[[#This Row],[Site Name]],SiteDB6[[Site Name]:[Pop
(Kachin/Shan-CCCM as of May 2023)]],16,FALSE)</f>
        <v>120</v>
      </c>
      <c r="EU214" s="902">
        <f>VLOOKUP(WWWW[[#This Row],[Site Name]],SiteDB6[[Site Name]:[Pop
(Kachin/Shan-CCCM as of May 2023)]],17,FALSE)</f>
        <v>558</v>
      </c>
    </row>
    <row r="215" spans="1:151" hidden="1">
      <c r="A215" s="900" t="s">
        <v>2961</v>
      </c>
      <c r="B215" s="900" t="s">
        <v>2634</v>
      </c>
      <c r="C215" s="901" t="s">
        <v>2634</v>
      </c>
      <c r="D215" s="901" t="s">
        <v>2637</v>
      </c>
      <c r="E215" s="901" t="s">
        <v>37</v>
      </c>
      <c r="F215" s="901" t="s">
        <v>142</v>
      </c>
      <c r="G215" s="902" t="str">
        <f>VLOOKUP(WWWW[[#This Row],[Site Name]],SiteDB6[[Site Name]:[Location Type]],8,FALSE)</f>
        <v>Camp</v>
      </c>
      <c r="H215" s="901" t="s">
        <v>768</v>
      </c>
      <c r="I215" s="903">
        <v>64</v>
      </c>
      <c r="J215" s="903">
        <v>381</v>
      </c>
      <c r="K215" s="904">
        <v>44562</v>
      </c>
      <c r="L215" s="905">
        <v>44926</v>
      </c>
      <c r="M215" s="903"/>
      <c r="N215" s="903"/>
      <c r="O215" s="903"/>
      <c r="P215" s="903"/>
      <c r="Q215" s="906" t="s">
        <v>41</v>
      </c>
      <c r="R215" s="903">
        <v>3</v>
      </c>
      <c r="S215" s="903">
        <v>8</v>
      </c>
      <c r="T215" s="441">
        <v>1</v>
      </c>
      <c r="U215" s="903"/>
      <c r="V215" s="903"/>
      <c r="W215" s="903">
        <v>2</v>
      </c>
      <c r="X215" s="903"/>
      <c r="Y215" s="903"/>
      <c r="Z215" s="903"/>
      <c r="AA215" s="903">
        <v>1</v>
      </c>
      <c r="AB215" s="903"/>
      <c r="AC215" s="903"/>
      <c r="AD215" s="903"/>
      <c r="AE215" s="903"/>
      <c r="AF215" s="903"/>
      <c r="AG215" s="903">
        <v>1</v>
      </c>
      <c r="AH215" s="903">
        <v>10</v>
      </c>
      <c r="AI215" s="903"/>
      <c r="AJ215" s="903"/>
      <c r="AK215" s="903"/>
      <c r="AL215" s="903"/>
      <c r="AM215" s="903"/>
      <c r="AN215" s="903"/>
      <c r="AO215" s="441"/>
      <c r="AP215" s="907"/>
      <c r="AQ215" s="903">
        <v>8</v>
      </c>
      <c r="AR215" s="903"/>
      <c r="AS215" s="908"/>
      <c r="AT215" s="903"/>
      <c r="AU215" s="903"/>
      <c r="AV215" s="903"/>
      <c r="AW215" s="903"/>
      <c r="AX215" s="903"/>
      <c r="AY215" s="902" t="s">
        <v>41</v>
      </c>
      <c r="AZ215" s="907" t="s">
        <v>137</v>
      </c>
      <c r="BA215" s="903"/>
      <c r="BB215" s="903">
        <v>2</v>
      </c>
      <c r="BC215" s="903"/>
      <c r="BD215" s="441"/>
      <c r="BE215" s="441">
        <v>4</v>
      </c>
      <c r="BF215" s="902"/>
      <c r="BG215" s="903">
        <v>3</v>
      </c>
      <c r="BH215" s="903"/>
      <c r="BI215" s="903">
        <v>2</v>
      </c>
      <c r="BJ215" s="903">
        <v>2</v>
      </c>
      <c r="BK215" s="903"/>
      <c r="BL215" s="903"/>
      <c r="BM215" s="903">
        <v>1</v>
      </c>
      <c r="BN215" s="903"/>
      <c r="BO215" s="903"/>
      <c r="BP215" s="902" t="s">
        <v>136</v>
      </c>
      <c r="BQ215" s="909"/>
      <c r="BR215" s="908"/>
      <c r="BS215" s="902"/>
      <c r="BT215" s="416"/>
      <c r="BU215" s="416"/>
      <c r="BV215" s="418"/>
      <c r="BW215" s="416"/>
      <c r="BX215" s="441"/>
      <c r="BY215" s="441"/>
      <c r="BZ215" s="441"/>
      <c r="CA215" s="441"/>
      <c r="CB215" s="441"/>
      <c r="CC215" s="693"/>
      <c r="CD215" s="441"/>
      <c r="CE215" s="910" t="str">
        <f>IFERROR(WWWW[[#This Row],['#_Water sources passed]]/WWWW[[#This Row],['#_Water sources tested for fecal coliform ]],"no test")</f>
        <v>no test</v>
      </c>
      <c r="CF215" s="908" t="str">
        <f>IFERROR(WWWW[[#This Row],['#_Household passed]]/WWWW[[#This Row],['#_Household water samples tested for fecal coliform]],"no test")</f>
        <v>no test</v>
      </c>
      <c r="CG215" s="909" t="str">
        <f>IF(AND(WWWW[[#This Row],[% of water sources passed]]="no test",WWWW[[#This Row],[% Household passed]]="no test"),"No Test","Tested")</f>
        <v>No Test</v>
      </c>
      <c r="CH215" s="909">
        <f>WWWW[[#This Row],['#_Constructed/existing protected hand dug well]]-WWWW[[#This Row],['#_Non-functional protected hand dug well]]</f>
        <v>1</v>
      </c>
      <c r="CI215" s="909">
        <f>(WWWW[[#This Row],['#_Constructed/Existing tube wells/boreholes/handpumps_WASH_agency]]+WWWW[[#This Row],['#_Non-Cluster partner water tube-wells/boreholes/handpumps]])-WWWW[[#This Row],['#_Non-functional tube wells/boreholes/handpumps]]</f>
        <v>2</v>
      </c>
      <c r="CJ215" s="909">
        <f>WWWW[[#This Row],['#_Constructed/Existingwater storage tank with gravity fed reticulation system]]-WWWW[[#This Row],['#_Non-functional storage tank gravity fed reticulation system]]</f>
        <v>1</v>
      </c>
      <c r="CK215" s="909">
        <f>(WWWW[[#This Row],['#_Water_Liters_supplied_by_Water boating or water trucking]]/90)/15</f>
        <v>0</v>
      </c>
      <c r="CL215" s="909">
        <f>WWWW[[#This Row],['#_Water_Liters_from_Constructed/Existing water distribution system from river or natural spring]]/90/15</f>
        <v>0</v>
      </c>
      <c r="CM215" s="417">
        <f>IF(WWWW[[#This Row],['#_of water points in TLS/CFS]]*500&gt;WWWW[[#This Row],[Total PoP ]],WWWW[[#This Row],[Total PoP ]],WWWW[[#This Row],['#_of water points in TLS/CFS]]*500)</f>
        <v>0</v>
      </c>
      <c r="CN215" s="417">
        <f>IF(WWWW[[#This Row],['#_of water points in THF]]*500&gt;WWWW[[#This Row],[Total PoP ]],WWWW[[#This Row],[Total PoP ]],WWWW[[#This Row],['#_of water points in THF]]*500)</f>
        <v>0</v>
      </c>
      <c r="CO215" s="417"/>
      <c r="CP215"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15"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15" s="908">
        <f>IF(WWWW[[#This Row],[Location Type 1]]="Village",WWWW[[#This Row],[Access to safe drinking water for Village]],WWWW[[#This Row],[Access to safe drinking water for Camp]])</f>
        <v>1</v>
      </c>
      <c r="CS215" s="906">
        <f>WWWW[[#This Row],[%Equitable and continuous access to sufficient quantity of safe drinking water]]*WWWW[[#This Row],[Total PoP ]]</f>
        <v>381</v>
      </c>
      <c r="CT215" s="908">
        <f>IF((WWWW[[#This Row],['#_Constructed/Existing protected/fenced ponds]]*250)/WWWW[[#This Row],[Total PoP ]]&gt;1,1,(WWWW[[#This Row],['#_Constructed/Existing protected/fenced ponds]]*250)/WWWW[[#This Row],[Total PoP ]])</f>
        <v>0</v>
      </c>
      <c r="CU215" s="906">
        <f>WWWW[[#This Row],[% Access to unimproved water points]]*WWWW[[#This Row],[Total PoP ]]</f>
        <v>0</v>
      </c>
      <c r="CV215"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15"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381</v>
      </c>
      <c r="CX215" s="906">
        <f>WWWW[[#This Row],[HRP1]]/500</f>
        <v>0.76200000000000001</v>
      </c>
      <c r="CY215" s="911">
        <f>1-WWWW[[#This Row],[% Equitable and continuous access to sufficient quantity of domestic water]]</f>
        <v>0</v>
      </c>
      <c r="CZ215" s="906">
        <f>WWWW[[#This Row],[%equitable and continuous access to sufficient quantity of safe drinking and domestic water''s GAP]]*WWWW[[#This Row],[Total PoP ]]</f>
        <v>0</v>
      </c>
      <c r="DA215" s="909">
        <f>IF(WWWW[[#This Row],[Total required water points]]-WWWW[[#This Row],['#Water points coverage]]&lt;0,0,WWWW[[#This Row],[Total required water points]]-WWWW[[#This Row],['#Water points coverage]])</f>
        <v>0.23799999999999999</v>
      </c>
      <c r="DB215" s="909">
        <f>ROUND(IF(WWWW[[#This Row],[Total PoP ]]&lt;500,1,WWWW[[#This Row],[Total PoP ]]/500),0)</f>
        <v>1</v>
      </c>
      <c r="DC215" s="909">
        <f>(WWWW[[#This Row],['#_Constructed latrines_by_WASHAgencies]]+WWWW[[#This Row],['#_Non Cluster partner latrines]])-WWWW[[#This Row],['#_Non-functional latrines]]</f>
        <v>8</v>
      </c>
      <c r="DD215" s="615">
        <f>WWWW[[#This Row],[HRP2]]/WWWW[[#This Row],[Total PoP ]]</f>
        <v>0.43044619422572178</v>
      </c>
      <c r="DE215"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164</v>
      </c>
      <c r="DF215"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15"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5" s="417">
        <f>IF(WWWW[[#This Row],['# of functional latrines in THF supported by WASH partners during the reporting period2]]="",0,WWWW[[#This Row],['# of functional latrines in THF supported by WASH partners during the reporting period2]]*50)</f>
        <v>0</v>
      </c>
      <c r="DI215" s="909">
        <f>ROUND(IF(WWWW[[#This Row],[Location Type 1]]="camp",WWWW[[#This Row],[Total PoP ]]/20,IF(WWWW[[#This Row],[Location Type 1]]="Temporary Location",WWWW[[#This Row],[Total PoP ]]/50,(WWWW[[#This Row],[Total PoP ]]/6))),0)</f>
        <v>19</v>
      </c>
      <c r="DJ215" s="909">
        <f>IF(WWWW[[#This Row],[Total required Latrines]]-(WWWW[[#This Row],['#_Constructed latrines_by_WASHAgencies]]+WWWW[[#This Row],['#_Non Cluster partner latrines]])&lt;0,0,WWWW[[#This Row],[Total required Latrines]]-(WWWW[[#This Row],['#_Constructed latrines_by_WASHAgencies]]+WWWW[[#This Row],['#_Non Cluster partner latrines]]))</f>
        <v>11</v>
      </c>
      <c r="DK215" s="911">
        <f>1-WWWW[[#This Row],[% people access to functioning Latrine]]</f>
        <v>0.56955380577427817</v>
      </c>
      <c r="DL215" s="910">
        <f>IF(OR(WWWW[[#This Row],['#_Non-functional latrines]]="",WWWW[[#This Row],['#_Non-functional latrines]]=0),0,WWWW[[#This Row],['#_Non-functional latrines]]/(WWWW[[#This Row],['#_Constructed latrines_by_WASHAgencies]]+WWWW[[#This Row],['#_Non Cluster partner latrines]]))</f>
        <v>0</v>
      </c>
      <c r="DM215" s="906">
        <f>IF(500*(WWWW[[#This Row],['#_male hygiene promoters]]+WWWW[[#This Row],['#_female hygiene promoters]])&gt;WWWW[[#This Row],[Total PoP ]],WWWW[[#This Row],[Total PoP ]],500*(WWWW[[#This Row],['#_male hygiene promoters]]+WWWW[[#This Row],['#_female hygiene promoters]]))</f>
        <v>381</v>
      </c>
      <c r="DN215"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15"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15" s="909">
        <f>IF(WWWW[[#This Row],['# People with access to soap]]&gt;WWWW[[#This Row],['# People with access to Sanity Pads]],WWWW[[#This Row],['# People with access to soap]],WWWW[[#This Row],['# People with access to Sanity Pads]])</f>
        <v>0</v>
      </c>
      <c r="DQ215" s="909">
        <f>IF(WWWW[[#This Row],['# people reached by regular dedicated hygiene promotion_5]]&gt;WWWW[[#This Row],['# People received regular supply of hygiene items_6]],WWWW[[#This Row],['# people reached by regular dedicated hygiene promotion_5]],WWWW[[#This Row],['# People received regular supply of hygiene items_6]])</f>
        <v>381</v>
      </c>
      <c r="DR215" s="911">
        <f>IF(WWWW[[#This Row],[HRP3]]/WWWW[[#This Row],[Total PoP ]]&gt;1,1,WWWW[[#This Row],[HRP3]]/WWWW[[#This Row],[Total PoP ]])</f>
        <v>1</v>
      </c>
      <c r="DS215" s="910">
        <f>1-WWWW[[#This Row],[Hygiene Coverage%]]</f>
        <v>0</v>
      </c>
      <c r="DT215" s="908">
        <f>WWWW[[#This Row],['# people reached by regular dedicated hygiene promotion_5]]/WWWW[[#This Row],[Total PoP ]]</f>
        <v>1</v>
      </c>
      <c r="DU215"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15"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15" s="909">
        <f>WWWW[[#This Row],['#_Constructed/Existing hand washing stations]]-WWWW[[#This Row],['#_Non-Functional_hand_washing_stations]]</f>
        <v>3</v>
      </c>
      <c r="DX215" s="906">
        <f>IF(WWWW[[#This Row],['# Functional hand washing stations during reporting period]]*20&gt;WWWW[[#This Row],[Total HH]],WWWW[[#This Row],[Total HH]],WWWW[[#This Row],['# Functional hand washing stations during reporting period]]*20)</f>
        <v>60</v>
      </c>
      <c r="DY215" s="906">
        <f>IF(WWWW[[#This Row],[Is sufficient soap available for TLS? (Yes/No)]]="yes",WWWW[[#This Row],['#_Constructed/Existing hand washing stations at TLS/CFS/THF]],0)</f>
        <v>0</v>
      </c>
      <c r="DZ215" s="421">
        <f>IF(WWWW[[#This Row],['# Functional hand washing stations during reporting period]]*100&gt;WWWW[[#This Row],[Total PoP ]],WWWW[[#This Row],[Total PoP ]],WWWW[[#This Row],['# Functional hand washing stations during reporting period]]*100)</f>
        <v>300</v>
      </c>
      <c r="EA215" s="421" t="str">
        <f>IF(OR(WWWW[[#This Row],['#_students at TLS_CFS]]="",WWWW[[#This Row],['#_students at TLS_CFS]]=0),"No","Yes")</f>
        <v>No</v>
      </c>
      <c r="EB21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15" s="566">
        <f>WWWW[[#This Row],[%_of_affected_people_surveyed_who_report_feeling_satistfied_with_the_latrine_design_and_sanitation_service]]*WWWW[[#This Row],[Total PoP ]]</f>
        <v>0</v>
      </c>
      <c r="ED215" s="566">
        <f>WWWW[[#This Row],[%_of_affected_people_surveyed_who_report_feeling_satistfied_with_the_water_point_design_and_water_service]]*WWWW[[#This Row],[Total PoP ]]</f>
        <v>0</v>
      </c>
      <c r="EE215" s="566">
        <f>WWWW[[#This Row],[%_of_complaints_received_that_result_in_timely_corrective_action_and_feedback_to_the_community]]*WWWW[[#This Row],[Total PoP ]]</f>
        <v>0</v>
      </c>
      <c r="EF21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1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1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15" s="902">
        <f>VLOOKUP(WWWW[[#This Row],[Site Name]],SiteDB6[[Site Name]:[CCCM Management]],6,FALSE)</f>
        <v>0</v>
      </c>
      <c r="EJ215" s="902" t="str">
        <f>VLOOKUP(WWWW[[#This Row],[Site Name]],SiteDB6[[Site Name]:[CCCM Focal Agency]],7,FALSE)</f>
        <v>uncovered</v>
      </c>
      <c r="EK215" s="902" t="str">
        <f>VLOOKUP(WWWW[[#This Row],[Site Name]],SiteDB6[[Site Name]:[Location Type 1]],9,FALSE)</f>
        <v>Camp</v>
      </c>
      <c r="EL215" s="902" t="str">
        <f>VLOOKUP(WWWW[[#This Row],[Site Name]],SiteDB6[[Site Name]:[Type of Accommodation]],10,FALSE)</f>
        <v>Camp like setting</v>
      </c>
      <c r="EM215" s="902" t="str">
        <f>VLOOKUP(WWWW[[#This Row],[Site Name]],SiteDB6[[Site Name]:[Ethnic or GCA/NGCA]],11,FALSE)</f>
        <v>GCA</v>
      </c>
      <c r="EN215" s="902">
        <f>VLOOKUP(WWWW[[#This Row],[Site Name]],SiteDB6[[Site Name]:[Lat]],12,FALSE)</f>
        <v>25.305008999999998</v>
      </c>
      <c r="EO215" s="902">
        <f>VLOOKUP(WWWW[[#This Row],[Site Name]],SiteDB6[[Site Name]:[Long]],13,FALSE)</f>
        <v>97.430321000000006</v>
      </c>
      <c r="EP215" s="902" t="str">
        <f>VLOOKUP(WWWW[[#This Row],[Site Name]],SiteDB6[[Site Name]:[Pcode]],3,FALSE)</f>
        <v>MMR001CMP248</v>
      </c>
      <c r="EQ215" s="907" t="str">
        <f t="shared" si="3"/>
        <v>Covered</v>
      </c>
      <c r="ER215" s="907" t="s">
        <v>136</v>
      </c>
      <c r="ES215" s="907" t="s">
        <v>136</v>
      </c>
      <c r="ET215" s="902">
        <f>VLOOKUP(WWWW[[#This Row],[Site Name]],SiteDB6[[Site Name]:[Pop
(Kachin/Shan-CCCM as of May 2023)]],16,FALSE)</f>
        <v>65</v>
      </c>
      <c r="EU215" s="902">
        <f>VLOOKUP(WWWW[[#This Row],[Site Name]],SiteDB6[[Site Name]:[Pop
(Kachin/Shan-CCCM as of May 2023)]],17,FALSE)</f>
        <v>382</v>
      </c>
    </row>
    <row r="216" spans="1:151" hidden="1">
      <c r="A216" s="900" t="s">
        <v>2961</v>
      </c>
      <c r="B216" s="900" t="s">
        <v>291</v>
      </c>
      <c r="C216" s="901" t="s">
        <v>291</v>
      </c>
      <c r="D216" s="901" t="s">
        <v>2594</v>
      </c>
      <c r="E216" s="901" t="s">
        <v>37</v>
      </c>
      <c r="F216" s="901" t="s">
        <v>38</v>
      </c>
      <c r="G216" s="902" t="str">
        <f>VLOOKUP(WWWW[[#This Row],[Site Name]],SiteDB6[[Site Name]:[Location Type]],8,FALSE)</f>
        <v>Camp</v>
      </c>
      <c r="H216" s="901" t="s">
        <v>1485</v>
      </c>
      <c r="I216" s="903">
        <v>388</v>
      </c>
      <c r="J216" s="903">
        <v>1900</v>
      </c>
      <c r="K216" s="904">
        <v>44652</v>
      </c>
      <c r="L216" s="905">
        <v>44926</v>
      </c>
      <c r="M216" s="903"/>
      <c r="N216" s="903"/>
      <c r="O216" s="903"/>
      <c r="P216" s="903"/>
      <c r="Q216" s="906" t="s">
        <v>41</v>
      </c>
      <c r="R216" s="903">
        <v>5</v>
      </c>
      <c r="S216" s="903">
        <v>6</v>
      </c>
      <c r="T216" s="441">
        <v>4</v>
      </c>
      <c r="U216" s="903"/>
      <c r="V216" s="903"/>
      <c r="W216" s="903">
        <v>1</v>
      </c>
      <c r="X216" s="903"/>
      <c r="Y216" s="903"/>
      <c r="Z216" s="903"/>
      <c r="AA216" s="903">
        <v>1</v>
      </c>
      <c r="AB216" s="903"/>
      <c r="AC216" s="903"/>
      <c r="AD216" s="903"/>
      <c r="AE216" s="903">
        <v>5</v>
      </c>
      <c r="AF216" s="903"/>
      <c r="AG216" s="903"/>
      <c r="AH216" s="903">
        <v>5</v>
      </c>
      <c r="AI216" s="903"/>
      <c r="AJ216" s="903"/>
      <c r="AK216" s="903"/>
      <c r="AL216" s="903"/>
      <c r="AM216" s="903"/>
      <c r="AN216" s="903">
        <v>5</v>
      </c>
      <c r="AO216" s="441"/>
      <c r="AP216" s="907"/>
      <c r="AQ216" s="903">
        <v>185</v>
      </c>
      <c r="AR216" s="903"/>
      <c r="AS216" s="908"/>
      <c r="AT216" s="903"/>
      <c r="AU216" s="903"/>
      <c r="AV216" s="903"/>
      <c r="AW216" s="903"/>
      <c r="AX216" s="903">
        <v>73</v>
      </c>
      <c r="AY216" s="902" t="s">
        <v>136</v>
      </c>
      <c r="AZ216" s="907" t="s">
        <v>137</v>
      </c>
      <c r="BA216" s="903">
        <v>4</v>
      </c>
      <c r="BB216" s="903">
        <v>60</v>
      </c>
      <c r="BC216" s="903">
        <v>15</v>
      </c>
      <c r="BD216" s="441">
        <v>2</v>
      </c>
      <c r="BE216" s="441">
        <v>6</v>
      </c>
      <c r="BF216" s="902"/>
      <c r="BG216" s="903">
        <v>3</v>
      </c>
      <c r="BH216" s="903"/>
      <c r="BI216" s="903">
        <v>60</v>
      </c>
      <c r="BJ216" s="903">
        <v>2</v>
      </c>
      <c r="BK216" s="903"/>
      <c r="BL216" s="903"/>
      <c r="BM216" s="903">
        <v>6</v>
      </c>
      <c r="BN216" s="903"/>
      <c r="BO216" s="903"/>
      <c r="BP216" s="902"/>
      <c r="BQ216" s="909"/>
      <c r="BR216" s="908"/>
      <c r="BS216" s="902"/>
      <c r="BT216" s="416"/>
      <c r="BU216" s="416"/>
      <c r="BV216" s="418"/>
      <c r="BW216" s="416"/>
      <c r="BX216" s="441"/>
      <c r="BY216" s="441"/>
      <c r="BZ216" s="441"/>
      <c r="CA216" s="441"/>
      <c r="CB216" s="441"/>
      <c r="CC216" s="693"/>
      <c r="CD216" s="441"/>
      <c r="CE216" s="910" t="str">
        <f>IFERROR(WWWW[[#This Row],['#_Water sources passed]]/WWWW[[#This Row],['#_Water sources tested for fecal coliform ]],"no test")</f>
        <v>no test</v>
      </c>
      <c r="CF216" s="908" t="str">
        <f>IFERROR(WWWW[[#This Row],['#_Household passed]]/WWWW[[#This Row],['#_Household water samples tested for fecal coliform]],"no test")</f>
        <v>no test</v>
      </c>
      <c r="CG216" s="909" t="str">
        <f>IF(AND(WWWW[[#This Row],[% of water sources passed]]="no test",WWWW[[#This Row],[% Household passed]]="no test"),"No Test","Tested")</f>
        <v>No Test</v>
      </c>
      <c r="CH216" s="909">
        <f>WWWW[[#This Row],['#_Constructed/existing protected hand dug well]]-WWWW[[#This Row],['#_Non-functional protected hand dug well]]</f>
        <v>4</v>
      </c>
      <c r="CI216" s="909">
        <f>(WWWW[[#This Row],['#_Constructed/Existing tube wells/boreholes/handpumps_WASH_agency]]+WWWW[[#This Row],['#_Non-Cluster partner water tube-wells/boreholes/handpumps]])-WWWW[[#This Row],['#_Non-functional tube wells/boreholes/handpumps]]</f>
        <v>1</v>
      </c>
      <c r="CJ216" s="909">
        <f>WWWW[[#This Row],['#_Constructed/Existingwater storage tank with gravity fed reticulation system]]-WWWW[[#This Row],['#_Non-functional storage tank gravity fed reticulation system]]</f>
        <v>1</v>
      </c>
      <c r="CK216" s="909">
        <f>(WWWW[[#This Row],['#_Water_Liters_supplied_by_Water boating or water trucking]]/90)/15</f>
        <v>0</v>
      </c>
      <c r="CL216" s="909">
        <f>WWWW[[#This Row],['#_Water_Liters_from_Constructed/Existing water distribution system from river or natural spring]]/90/15</f>
        <v>0</v>
      </c>
      <c r="CM216" s="417">
        <f>IF(WWWW[[#This Row],['#_of water points in TLS/CFS]]*500&gt;WWWW[[#This Row],[Total PoP ]],WWWW[[#This Row],[Total PoP ]],WWWW[[#This Row],['#_of water points in TLS/CFS]]*500)</f>
        <v>1900</v>
      </c>
      <c r="CN216" s="417">
        <f>IF(WWWW[[#This Row],['#_of water points in THF]]*500&gt;WWWW[[#This Row],[Total PoP ]],WWWW[[#This Row],[Total PoP ]],WWWW[[#This Row],['#_of water points in THF]]*500)</f>
        <v>0</v>
      </c>
      <c r="CO216" s="417"/>
      <c r="CP216"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16"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0.69298245614035092</v>
      </c>
      <c r="CR216" s="908">
        <f>IF(WWWW[[#This Row],[Location Type 1]]="Village",WWWW[[#This Row],[Access to safe drinking water for Village]],WWWW[[#This Row],[Access to safe drinking water for Camp]])</f>
        <v>1</v>
      </c>
      <c r="CS216" s="906">
        <f>WWWW[[#This Row],[%Equitable and continuous access to sufficient quantity of safe drinking water]]*WWWW[[#This Row],[Total PoP ]]</f>
        <v>1900</v>
      </c>
      <c r="CT216" s="908">
        <f>IF((WWWW[[#This Row],['#_Constructed/Existing protected/fenced ponds]]*250)/WWWW[[#This Row],[Total PoP ]]&gt;1,1,(WWWW[[#This Row],['#_Constructed/Existing protected/fenced ponds]]*250)/WWWW[[#This Row],[Total PoP ]])</f>
        <v>0.65789473684210531</v>
      </c>
      <c r="CU216" s="906">
        <f>WWWW[[#This Row],[% Access to unimproved water points]]*WWWW[[#This Row],[Total PoP ]]</f>
        <v>1250</v>
      </c>
      <c r="CV216"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16"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1900</v>
      </c>
      <c r="CX216" s="906">
        <f>WWWW[[#This Row],[HRP1]]/500</f>
        <v>3.8</v>
      </c>
      <c r="CY216" s="911">
        <f>1-WWWW[[#This Row],[% Equitable and continuous access to sufficient quantity of domestic water]]</f>
        <v>0</v>
      </c>
      <c r="CZ216" s="906">
        <f>WWWW[[#This Row],[%equitable and continuous access to sufficient quantity of safe drinking and domestic water''s GAP]]*WWWW[[#This Row],[Total PoP ]]</f>
        <v>0</v>
      </c>
      <c r="DA216" s="909">
        <f>IF(WWWW[[#This Row],[Total required water points]]-WWWW[[#This Row],['#Water points coverage]]&lt;0,0,WWWW[[#This Row],[Total required water points]]-WWWW[[#This Row],['#Water points coverage]])</f>
        <v>0.20000000000000018</v>
      </c>
      <c r="DB216" s="909">
        <f>ROUND(IF(WWWW[[#This Row],[Total PoP ]]&lt;500,1,WWWW[[#This Row],[Total PoP ]]/500),0)</f>
        <v>4</v>
      </c>
      <c r="DC216" s="909">
        <f>(WWWW[[#This Row],['#_Constructed latrines_by_WASHAgencies]]+WWWW[[#This Row],['#_Non Cluster partner latrines]])-WWWW[[#This Row],['#_Non-functional latrines]]</f>
        <v>185</v>
      </c>
      <c r="DD216" s="615">
        <f>WWWW[[#This Row],[HRP2]]/WWWW[[#This Row],[Total PoP ]]</f>
        <v>1</v>
      </c>
      <c r="DE216"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1900</v>
      </c>
      <c r="DF216"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16"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6" s="417">
        <f>IF(WWWW[[#This Row],['# of functional latrines in THF supported by WASH partners during the reporting period2]]="",0,WWWW[[#This Row],['# of functional latrines in THF supported by WASH partners during the reporting period2]]*50)</f>
        <v>100</v>
      </c>
      <c r="DI216" s="909">
        <f>ROUND(IF(WWWW[[#This Row],[Location Type 1]]="camp",WWWW[[#This Row],[Total PoP ]]/20,IF(WWWW[[#This Row],[Location Type 1]]="Temporary Location",WWWW[[#This Row],[Total PoP ]]/50,(WWWW[[#This Row],[Total PoP ]]/6))),0)</f>
        <v>95</v>
      </c>
      <c r="DJ216" s="909">
        <f>IF(WWWW[[#This Row],[Total required Latrines]]-(WWWW[[#This Row],['#_Constructed latrines_by_WASHAgencies]]+WWWW[[#This Row],['#_Non Cluster partner latrines]])&lt;0,0,WWWW[[#This Row],[Total required Latrines]]-(WWWW[[#This Row],['#_Constructed latrines_by_WASHAgencies]]+WWWW[[#This Row],['#_Non Cluster partner latrines]]))</f>
        <v>0</v>
      </c>
      <c r="DK216" s="911">
        <f>1-WWWW[[#This Row],[% people access to functioning Latrine]]</f>
        <v>0</v>
      </c>
      <c r="DL216" s="910">
        <f>IF(OR(WWWW[[#This Row],['#_Non-functional latrines]]="",WWWW[[#This Row],['#_Non-functional latrines]]=0),0,WWWW[[#This Row],['#_Non-functional latrines]]/(WWWW[[#This Row],['#_Constructed latrines_by_WASHAgencies]]+WWWW[[#This Row],['#_Non Cluster partner latrines]]))</f>
        <v>0</v>
      </c>
      <c r="DM216" s="906">
        <f>IF(500*(WWWW[[#This Row],['#_male hygiene promoters]]+WWWW[[#This Row],['#_female hygiene promoters]])&gt;WWWW[[#This Row],[Total PoP ]],WWWW[[#This Row],[Total PoP ]],500*(WWWW[[#This Row],['#_male hygiene promoters]]+WWWW[[#This Row],['#_female hygiene promoters]]))</f>
        <v>1900</v>
      </c>
      <c r="DN216"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16"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16" s="909">
        <f>IF(WWWW[[#This Row],['# People with access to soap]]&gt;WWWW[[#This Row],['# People with access to Sanity Pads]],WWWW[[#This Row],['# People with access to soap]],WWWW[[#This Row],['# People with access to Sanity Pads]])</f>
        <v>0</v>
      </c>
      <c r="DQ216" s="909">
        <f>IF(WWWW[[#This Row],['# people reached by regular dedicated hygiene promotion_5]]&gt;WWWW[[#This Row],['# People received regular supply of hygiene items_6]],WWWW[[#This Row],['# people reached by regular dedicated hygiene promotion_5]],WWWW[[#This Row],['# People received regular supply of hygiene items_6]])</f>
        <v>1900</v>
      </c>
      <c r="DR216" s="911">
        <f>IF(WWWW[[#This Row],[HRP3]]/WWWW[[#This Row],[Total PoP ]]&gt;1,1,WWWW[[#This Row],[HRP3]]/WWWW[[#This Row],[Total PoP ]])</f>
        <v>1</v>
      </c>
      <c r="DS216" s="910">
        <f>1-WWWW[[#This Row],[Hygiene Coverage%]]</f>
        <v>0</v>
      </c>
      <c r="DT216" s="908">
        <f>WWWW[[#This Row],['# people reached by regular dedicated hygiene promotion_5]]/WWWW[[#This Row],[Total PoP ]]</f>
        <v>1</v>
      </c>
      <c r="DU216"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16"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16" s="909">
        <f>WWWW[[#This Row],['#_Constructed/Existing hand washing stations]]-WWWW[[#This Row],['#_Non-Functional_hand_washing_stations]]</f>
        <v>3</v>
      </c>
      <c r="DX216" s="906">
        <f>IF(WWWW[[#This Row],['# Functional hand washing stations during reporting period]]*20&gt;WWWW[[#This Row],[Total HH]],WWWW[[#This Row],[Total HH]],WWWW[[#This Row],['# Functional hand washing stations during reporting period]]*20)</f>
        <v>60</v>
      </c>
      <c r="DY216" s="906">
        <f>IF(WWWW[[#This Row],[Is sufficient soap available for TLS? (Yes/No)]]="yes",WWWW[[#This Row],['#_Constructed/Existing hand washing stations at TLS/CFS/THF]],0)</f>
        <v>0</v>
      </c>
      <c r="DZ216" s="421">
        <f>IF(WWWW[[#This Row],['# Functional hand washing stations during reporting period]]*100&gt;WWWW[[#This Row],[Total PoP ]],WWWW[[#This Row],[Total PoP ]],WWWW[[#This Row],['# Functional hand washing stations during reporting period]]*100)</f>
        <v>300</v>
      </c>
      <c r="EA216" s="421" t="str">
        <f>IF(OR(WWWW[[#This Row],['#_students at TLS_CFS]]="",WWWW[[#This Row],['#_students at TLS_CFS]]=0),"No","Yes")</f>
        <v>No</v>
      </c>
      <c r="EB21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16" s="566">
        <f>WWWW[[#This Row],[%_of_affected_people_surveyed_who_report_feeling_satistfied_with_the_latrine_design_and_sanitation_service]]*WWWW[[#This Row],[Total PoP ]]</f>
        <v>0</v>
      </c>
      <c r="ED216" s="566">
        <f>WWWW[[#This Row],[%_of_affected_people_surveyed_who_report_feeling_satistfied_with_the_water_point_design_and_water_service]]*WWWW[[#This Row],[Total PoP ]]</f>
        <v>0</v>
      </c>
      <c r="EE216" s="566">
        <f>WWWW[[#This Row],[%_of_complaints_received_that_result_in_timely_corrective_action_and_feedback_to_the_community]]*WWWW[[#This Row],[Total PoP ]]</f>
        <v>0</v>
      </c>
      <c r="EF21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1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1900</v>
      </c>
      <c r="EH21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I216" s="902" t="str">
        <f>VLOOKUP(WWWW[[#This Row],[Site Name]],SiteDB6[[Site Name]:[CCCM Management]],6,FALSE)</f>
        <v>Yes</v>
      </c>
      <c r="EJ216" s="902" t="str">
        <f>VLOOKUP(WWWW[[#This Row],[Site Name]],SiteDB6[[Site Name]:[CCCM Focal Agency]],7,FALSE)</f>
        <v>KMSS-BMO</v>
      </c>
      <c r="EK216" s="902" t="str">
        <f>VLOOKUP(WWWW[[#This Row],[Site Name]],SiteDB6[[Site Name]:[Location Type 1]],9,FALSE)</f>
        <v>Camp</v>
      </c>
      <c r="EL216" s="902" t="str">
        <f>VLOOKUP(WWWW[[#This Row],[Site Name]],SiteDB6[[Site Name]:[Type of Accommodation]],10,FALSE)</f>
        <v>Camp</v>
      </c>
      <c r="EM216" s="902" t="str">
        <f>VLOOKUP(WWWW[[#This Row],[Site Name]],SiteDB6[[Site Name]:[Ethnic or GCA/NGCA]],11,FALSE)</f>
        <v>NGCA</v>
      </c>
      <c r="EN216" s="902">
        <f>VLOOKUP(WWWW[[#This Row],[Site Name]],SiteDB6[[Site Name]:[Lat]],12,FALSE)</f>
        <v>24.002433</v>
      </c>
      <c r="EO216" s="902">
        <f>VLOOKUP(WWWW[[#This Row],[Site Name]],SiteDB6[[Site Name]:[Long]],13,FALSE)</f>
        <v>97.609832999999995</v>
      </c>
      <c r="EP216" s="902" t="str">
        <f>VLOOKUP(WWWW[[#This Row],[Site Name]],SiteDB6[[Site Name]:[Pcode]],3,FALSE)</f>
        <v>MMR001CMP129</v>
      </c>
      <c r="EQ216" s="907" t="str">
        <f t="shared" si="3"/>
        <v>Covered</v>
      </c>
      <c r="ER216" s="907" t="s">
        <v>136</v>
      </c>
      <c r="ES216" s="907" t="s">
        <v>136</v>
      </c>
      <c r="ET216" s="902">
        <f>VLOOKUP(WWWW[[#This Row],[Site Name]],SiteDB6[[Site Name]:[Pop
(Kachin/Shan-CCCM as of May 2023)]],16,FALSE)</f>
        <v>393</v>
      </c>
      <c r="EU216" s="902">
        <f>VLOOKUP(WWWW[[#This Row],[Site Name]],SiteDB6[[Site Name]:[Pop
(Kachin/Shan-CCCM as of May 2023)]],17,FALSE)</f>
        <v>1919</v>
      </c>
    </row>
    <row r="217" spans="1:151" hidden="1">
      <c r="A217" s="900" t="s">
        <v>2961</v>
      </c>
      <c r="B217" s="900" t="s">
        <v>291</v>
      </c>
      <c r="C217" s="901" t="s">
        <v>291</v>
      </c>
      <c r="D217" s="901" t="s">
        <v>2594</v>
      </c>
      <c r="E217" s="901" t="s">
        <v>37</v>
      </c>
      <c r="F217" s="901" t="s">
        <v>38</v>
      </c>
      <c r="G217" s="902" t="str">
        <f>VLOOKUP(WWWW[[#This Row],[Site Name]],SiteDB6[[Site Name]:[Location Type]],8,FALSE)</f>
        <v>Camp</v>
      </c>
      <c r="H217" s="901" t="s">
        <v>294</v>
      </c>
      <c r="I217" s="903">
        <v>542</v>
      </c>
      <c r="J217" s="903">
        <v>2503</v>
      </c>
      <c r="K217" s="904">
        <v>44652</v>
      </c>
      <c r="L217" s="905">
        <v>44926</v>
      </c>
      <c r="M217" s="903"/>
      <c r="N217" s="903"/>
      <c r="O217" s="903"/>
      <c r="P217" s="903"/>
      <c r="Q217" s="906" t="s">
        <v>41</v>
      </c>
      <c r="R217" s="903"/>
      <c r="S217" s="903"/>
      <c r="T217" s="441">
        <v>4</v>
      </c>
      <c r="U217" s="903"/>
      <c r="V217" s="903"/>
      <c r="W217" s="903"/>
      <c r="X217" s="903"/>
      <c r="Y217" s="903"/>
      <c r="Z217" s="903"/>
      <c r="AA217" s="903"/>
      <c r="AB217" s="903"/>
      <c r="AC217" s="903"/>
      <c r="AD217" s="903"/>
      <c r="AE217" s="903">
        <v>1</v>
      </c>
      <c r="AF217" s="903"/>
      <c r="AG217" s="903"/>
      <c r="AH217" s="903">
        <v>1</v>
      </c>
      <c r="AI217" s="903"/>
      <c r="AJ217" s="903"/>
      <c r="AK217" s="903"/>
      <c r="AL217" s="903"/>
      <c r="AM217" s="903">
        <v>5</v>
      </c>
      <c r="AN217" s="903">
        <v>2</v>
      </c>
      <c r="AO217" s="441"/>
      <c r="AP217" s="907"/>
      <c r="AQ217" s="903">
        <v>438</v>
      </c>
      <c r="AR217" s="903"/>
      <c r="AS217" s="908"/>
      <c r="AT217" s="903"/>
      <c r="AU217" s="903"/>
      <c r="AV217" s="903"/>
      <c r="AW217" s="903"/>
      <c r="AX217" s="903">
        <v>266</v>
      </c>
      <c r="AY217" s="902" t="s">
        <v>136</v>
      </c>
      <c r="AZ217" s="907" t="s">
        <v>137</v>
      </c>
      <c r="BA217" s="903">
        <v>6</v>
      </c>
      <c r="BB217" s="903">
        <v>274</v>
      </c>
      <c r="BC217" s="903">
        <v>62</v>
      </c>
      <c r="BD217" s="441">
        <v>2</v>
      </c>
      <c r="BE217" s="441"/>
      <c r="BF217" s="902"/>
      <c r="BG217" s="903">
        <v>7</v>
      </c>
      <c r="BH217" s="903"/>
      <c r="BI217" s="903">
        <v>266</v>
      </c>
      <c r="BJ217" s="903">
        <v>4</v>
      </c>
      <c r="BK217" s="903"/>
      <c r="BL217" s="903"/>
      <c r="BM217" s="903">
        <v>7</v>
      </c>
      <c r="BN217" s="903"/>
      <c r="BO217" s="903"/>
      <c r="BP217" s="902"/>
      <c r="BQ217" s="909"/>
      <c r="BR217" s="908"/>
      <c r="BS217" s="902"/>
      <c r="BT217" s="416"/>
      <c r="BU217" s="416"/>
      <c r="BV217" s="418"/>
      <c r="BW217" s="416"/>
      <c r="BX217" s="441"/>
      <c r="BY217" s="441"/>
      <c r="BZ217" s="441"/>
      <c r="CA217" s="441"/>
      <c r="CB217" s="441"/>
      <c r="CC217" s="693"/>
      <c r="CD217" s="441"/>
      <c r="CE217" s="910" t="str">
        <f>IFERROR(WWWW[[#This Row],['#_Water sources passed]]/WWWW[[#This Row],['#_Water sources tested for fecal coliform ]],"no test")</f>
        <v>no test</v>
      </c>
      <c r="CF217" s="908" t="str">
        <f>IFERROR(WWWW[[#This Row],['#_Household passed]]/WWWW[[#This Row],['#_Household water samples tested for fecal coliform]],"no test")</f>
        <v>no test</v>
      </c>
      <c r="CG217" s="909" t="str">
        <f>IF(AND(WWWW[[#This Row],[% of water sources passed]]="no test",WWWW[[#This Row],[% Household passed]]="no test"),"No Test","Tested")</f>
        <v>No Test</v>
      </c>
      <c r="CH217" s="909">
        <f>WWWW[[#This Row],['#_Constructed/existing protected hand dug well]]-WWWW[[#This Row],['#_Non-functional protected hand dug well]]</f>
        <v>4</v>
      </c>
      <c r="CI217" s="909">
        <f>(WWWW[[#This Row],['#_Constructed/Existing tube wells/boreholes/handpumps_WASH_agency]]+WWWW[[#This Row],['#_Non-Cluster partner water tube-wells/boreholes/handpumps]])-WWWW[[#This Row],['#_Non-functional tube wells/boreholes/handpumps]]</f>
        <v>0</v>
      </c>
      <c r="CJ217" s="909">
        <f>WWWW[[#This Row],['#_Constructed/Existingwater storage tank with gravity fed reticulation system]]-WWWW[[#This Row],['#_Non-functional storage tank gravity fed reticulation system]]</f>
        <v>0</v>
      </c>
      <c r="CK217" s="909">
        <f>(WWWW[[#This Row],['#_Water_Liters_supplied_by_Water boating or water trucking]]/90)/15</f>
        <v>0</v>
      </c>
      <c r="CL217" s="909">
        <f>WWWW[[#This Row],['#_Water_Liters_from_Constructed/Existing water distribution system from river or natural spring]]/90/15</f>
        <v>0</v>
      </c>
      <c r="CM217" s="417">
        <f>IF(WWWW[[#This Row],['#_of water points in TLS/CFS]]*500&gt;WWWW[[#This Row],[Total PoP ]],WWWW[[#This Row],[Total PoP ]],WWWW[[#This Row],['#_of water points in TLS/CFS]]*500)</f>
        <v>1000</v>
      </c>
      <c r="CN217" s="417">
        <f>IF(WWWW[[#This Row],['#_of water points in THF]]*500&gt;WWWW[[#This Row],[Total PoP ]],WWWW[[#This Row],[Total PoP ]],WWWW[[#This Row],['#_of water points in THF]]*500)</f>
        <v>0</v>
      </c>
      <c r="CO217" s="417"/>
      <c r="CP217"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0.63923292049540548</v>
      </c>
      <c r="CQ217"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0.39952057530962842</v>
      </c>
      <c r="CR217" s="908">
        <f>IF(WWWW[[#This Row],[Location Type 1]]="Village",WWWW[[#This Row],[Access to safe drinking water for Village]],WWWW[[#This Row],[Access to safe drinking water for Camp]])</f>
        <v>0.63923292049540548</v>
      </c>
      <c r="CS217" s="906">
        <f>WWWW[[#This Row],[%Equitable and continuous access to sufficient quantity of safe drinking water]]*WWWW[[#This Row],[Total PoP ]]</f>
        <v>1600</v>
      </c>
      <c r="CT217" s="908">
        <f>IF((WWWW[[#This Row],['#_Constructed/Existing protected/fenced ponds]]*250)/WWWW[[#This Row],[Total PoP ]]&gt;1,1,(WWWW[[#This Row],['#_Constructed/Existing protected/fenced ponds]]*250)/WWWW[[#This Row],[Total PoP ]])</f>
        <v>9.9880143827407106E-2</v>
      </c>
      <c r="CU217" s="906">
        <f>WWWW[[#This Row],[% Access to unimproved water points]]*WWWW[[#This Row],[Total PoP ]]</f>
        <v>249.99999999999997</v>
      </c>
      <c r="CV217"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0.73911306432281254</v>
      </c>
      <c r="CW217"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1850</v>
      </c>
      <c r="CX217" s="906">
        <f>WWWW[[#This Row],[HRP1]]/500</f>
        <v>3.7</v>
      </c>
      <c r="CY217" s="911">
        <f>1-WWWW[[#This Row],[% Equitable and continuous access to sufficient quantity of domestic water]]</f>
        <v>0.26088693567718746</v>
      </c>
      <c r="CZ217" s="906">
        <f>WWWW[[#This Row],[%equitable and continuous access to sufficient quantity of safe drinking and domestic water''s GAP]]*WWWW[[#This Row],[Total PoP ]]</f>
        <v>653.00000000000023</v>
      </c>
      <c r="DA217" s="909">
        <f>IF(WWWW[[#This Row],[Total required water points]]-WWWW[[#This Row],['#Water points coverage]]&lt;0,0,WWWW[[#This Row],[Total required water points]]-WWWW[[#This Row],['#Water points coverage]])</f>
        <v>1.2999999999999998</v>
      </c>
      <c r="DB217" s="909">
        <f>ROUND(IF(WWWW[[#This Row],[Total PoP ]]&lt;500,1,WWWW[[#This Row],[Total PoP ]]/500),0)</f>
        <v>5</v>
      </c>
      <c r="DC217" s="909">
        <f>(WWWW[[#This Row],['#_Constructed latrines_by_WASHAgencies]]+WWWW[[#This Row],['#_Non Cluster partner latrines]])-WWWW[[#This Row],['#_Non-functional latrines]]</f>
        <v>438</v>
      </c>
      <c r="DD217" s="615">
        <f>WWWW[[#This Row],[HRP2]]/WWWW[[#This Row],[Total PoP ]]</f>
        <v>1</v>
      </c>
      <c r="DE217"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2503</v>
      </c>
      <c r="DF217"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17"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7" s="417">
        <f>IF(WWWW[[#This Row],['# of functional latrines in THF supported by WASH partners during the reporting period2]]="",0,WWWW[[#This Row],['# of functional latrines in THF supported by WASH partners during the reporting period2]]*50)</f>
        <v>100</v>
      </c>
      <c r="DI217" s="909">
        <f>ROUND(IF(WWWW[[#This Row],[Location Type 1]]="camp",WWWW[[#This Row],[Total PoP ]]/20,IF(WWWW[[#This Row],[Location Type 1]]="Temporary Location",WWWW[[#This Row],[Total PoP ]]/50,(WWWW[[#This Row],[Total PoP ]]/6))),0)</f>
        <v>125</v>
      </c>
      <c r="DJ217" s="909">
        <f>IF(WWWW[[#This Row],[Total required Latrines]]-(WWWW[[#This Row],['#_Constructed latrines_by_WASHAgencies]]+WWWW[[#This Row],['#_Non Cluster partner latrines]])&lt;0,0,WWWW[[#This Row],[Total required Latrines]]-(WWWW[[#This Row],['#_Constructed latrines_by_WASHAgencies]]+WWWW[[#This Row],['#_Non Cluster partner latrines]]))</f>
        <v>0</v>
      </c>
      <c r="DK217" s="911">
        <f>1-WWWW[[#This Row],[% people access to functioning Latrine]]</f>
        <v>0</v>
      </c>
      <c r="DL217" s="910">
        <f>IF(OR(WWWW[[#This Row],['#_Non-functional latrines]]="",WWWW[[#This Row],['#_Non-functional latrines]]=0),0,WWWW[[#This Row],['#_Non-functional latrines]]/(WWWW[[#This Row],['#_Constructed latrines_by_WASHAgencies]]+WWWW[[#This Row],['#_Non Cluster partner latrines]]))</f>
        <v>0</v>
      </c>
      <c r="DM217" s="906">
        <f>IF(500*(WWWW[[#This Row],['#_male hygiene promoters]]+WWWW[[#This Row],['#_female hygiene promoters]])&gt;WWWW[[#This Row],[Total PoP ]],WWWW[[#This Row],[Total PoP ]],500*(WWWW[[#This Row],['#_male hygiene promoters]]+WWWW[[#This Row],['#_female hygiene promoters]]))</f>
        <v>2503</v>
      </c>
      <c r="DN217"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17"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17" s="909">
        <f>IF(WWWW[[#This Row],['# People with access to soap]]&gt;WWWW[[#This Row],['# People with access to Sanity Pads]],WWWW[[#This Row],['# People with access to soap]],WWWW[[#This Row],['# People with access to Sanity Pads]])</f>
        <v>0</v>
      </c>
      <c r="DQ217" s="909">
        <f>IF(WWWW[[#This Row],['# people reached by regular dedicated hygiene promotion_5]]&gt;WWWW[[#This Row],['# People received regular supply of hygiene items_6]],WWWW[[#This Row],['# people reached by regular dedicated hygiene promotion_5]],WWWW[[#This Row],['# People received regular supply of hygiene items_6]])</f>
        <v>2503</v>
      </c>
      <c r="DR217" s="911">
        <f>IF(WWWW[[#This Row],[HRP3]]/WWWW[[#This Row],[Total PoP ]]&gt;1,1,WWWW[[#This Row],[HRP3]]/WWWW[[#This Row],[Total PoP ]])</f>
        <v>1</v>
      </c>
      <c r="DS217" s="910">
        <f>1-WWWW[[#This Row],[Hygiene Coverage%]]</f>
        <v>0</v>
      </c>
      <c r="DT217" s="908">
        <f>WWWW[[#This Row],['# people reached by regular dedicated hygiene promotion_5]]/WWWW[[#This Row],[Total PoP ]]</f>
        <v>1</v>
      </c>
      <c r="DU217"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17"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17" s="909">
        <f>WWWW[[#This Row],['#_Constructed/Existing hand washing stations]]-WWWW[[#This Row],['#_Non-Functional_hand_washing_stations]]</f>
        <v>7</v>
      </c>
      <c r="DX217" s="906">
        <f>IF(WWWW[[#This Row],['# Functional hand washing stations during reporting period]]*20&gt;WWWW[[#This Row],[Total HH]],WWWW[[#This Row],[Total HH]],WWWW[[#This Row],['# Functional hand washing stations during reporting period]]*20)</f>
        <v>140</v>
      </c>
      <c r="DY217" s="906">
        <f>IF(WWWW[[#This Row],[Is sufficient soap available for TLS? (Yes/No)]]="yes",WWWW[[#This Row],['#_Constructed/Existing hand washing stations at TLS/CFS/THF]],0)</f>
        <v>0</v>
      </c>
      <c r="DZ217" s="421">
        <f>IF(WWWW[[#This Row],['# Functional hand washing stations during reporting period]]*100&gt;WWWW[[#This Row],[Total PoP ]],WWWW[[#This Row],[Total PoP ]],WWWW[[#This Row],['# Functional hand washing stations during reporting period]]*100)</f>
        <v>700</v>
      </c>
      <c r="EA217" s="421" t="str">
        <f>IF(OR(WWWW[[#This Row],['#_students at TLS_CFS]]="",WWWW[[#This Row],['#_students at TLS_CFS]]=0),"No","Yes")</f>
        <v>No</v>
      </c>
      <c r="EB21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17" s="566">
        <f>WWWW[[#This Row],[%_of_affected_people_surveyed_who_report_feeling_satistfied_with_the_latrine_design_and_sanitation_service]]*WWWW[[#This Row],[Total PoP ]]</f>
        <v>0</v>
      </c>
      <c r="ED217" s="566">
        <f>WWWW[[#This Row],[%_of_affected_people_surveyed_who_report_feeling_satistfied_with_the_water_point_design_and_water_service]]*WWWW[[#This Row],[Total PoP ]]</f>
        <v>0</v>
      </c>
      <c r="EE217" s="566">
        <f>WWWW[[#This Row],[%_of_complaints_received_that_result_in_timely_corrective_action_and_feedback_to_the_community]]*WWWW[[#This Row],[Total PoP ]]</f>
        <v>0</v>
      </c>
      <c r="EF21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1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H21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I217" s="902" t="str">
        <f>VLOOKUP(WWWW[[#This Row],[Site Name]],SiteDB6[[Site Name]:[CCCM Management]],6,FALSE)</f>
        <v>Yes</v>
      </c>
      <c r="EJ217" s="902" t="str">
        <f>VLOOKUP(WWWW[[#This Row],[Site Name]],SiteDB6[[Site Name]:[CCCM Focal Agency]],7,FALSE)</f>
        <v>KMSS-BMO</v>
      </c>
      <c r="EK217" s="902" t="str">
        <f>VLOOKUP(WWWW[[#This Row],[Site Name]],SiteDB6[[Site Name]:[Location Type 1]],9,FALSE)</f>
        <v>Camp</v>
      </c>
      <c r="EL217" s="902" t="str">
        <f>VLOOKUP(WWWW[[#This Row],[Site Name]],SiteDB6[[Site Name]:[Type of Accommodation]],10,FALSE)</f>
        <v>Camp</v>
      </c>
      <c r="EM217" s="902" t="str">
        <f>VLOOKUP(WWWW[[#This Row],[Site Name]],SiteDB6[[Site Name]:[Ethnic or GCA/NGCA]],11,FALSE)</f>
        <v>NGCA</v>
      </c>
      <c r="EN217" s="902">
        <f>VLOOKUP(WWWW[[#This Row],[Site Name]],SiteDB6[[Site Name]:[Lat]],12,FALSE)</f>
        <v>24.056132999999999</v>
      </c>
      <c r="EO217" s="902">
        <f>VLOOKUP(WWWW[[#This Row],[Site Name]],SiteDB6[[Site Name]:[Long]],13,FALSE)</f>
        <v>97.625617000000005</v>
      </c>
      <c r="EP217" s="902" t="str">
        <f>VLOOKUP(WWWW[[#This Row],[Site Name]],SiteDB6[[Site Name]:[Pcode]],3,FALSE)</f>
        <v>MMR001CMP128</v>
      </c>
      <c r="EQ217" s="907" t="str">
        <f t="shared" si="3"/>
        <v>Covered</v>
      </c>
      <c r="ER217" s="907" t="s">
        <v>136</v>
      </c>
      <c r="ES217" s="907" t="s">
        <v>136</v>
      </c>
      <c r="ET217" s="902">
        <f>VLOOKUP(WWWW[[#This Row],[Site Name]],SiteDB6[[Site Name]:[Pop
(Kachin/Shan-CCCM as of May 2023)]],16,FALSE)</f>
        <v>541</v>
      </c>
      <c r="EU217" s="902">
        <f>VLOOKUP(WWWW[[#This Row],[Site Name]],SiteDB6[[Site Name]:[Pop
(Kachin/Shan-CCCM as of May 2023)]],17,FALSE)</f>
        <v>2507</v>
      </c>
    </row>
    <row r="218" spans="1:151" hidden="1">
      <c r="A218" s="900" t="s">
        <v>2961</v>
      </c>
      <c r="B218" s="900" t="s">
        <v>291</v>
      </c>
      <c r="C218" s="901" t="s">
        <v>291</v>
      </c>
      <c r="D218" s="901" t="s">
        <v>2594</v>
      </c>
      <c r="E218" s="901" t="s">
        <v>37</v>
      </c>
      <c r="F218" s="901" t="s">
        <v>205</v>
      </c>
      <c r="G218" s="902" t="str">
        <f>VLOOKUP(WWWW[[#This Row],[Site Name]],SiteDB6[[Site Name]:[Location Type]],8,FALSE)</f>
        <v>Camp</v>
      </c>
      <c r="H218" s="901" t="s">
        <v>295</v>
      </c>
      <c r="I218" s="903">
        <v>349</v>
      </c>
      <c r="J218" s="903">
        <v>1570</v>
      </c>
      <c r="K218" s="904">
        <v>44652</v>
      </c>
      <c r="L218" s="905">
        <v>44926</v>
      </c>
      <c r="M218" s="903"/>
      <c r="N218" s="903"/>
      <c r="O218" s="903"/>
      <c r="P218" s="903"/>
      <c r="Q218" s="906" t="s">
        <v>41</v>
      </c>
      <c r="R218" s="903"/>
      <c r="S218" s="903"/>
      <c r="T218" s="441"/>
      <c r="U218" s="903"/>
      <c r="V218" s="903"/>
      <c r="W218" s="903"/>
      <c r="X218" s="903"/>
      <c r="Y218" s="903"/>
      <c r="Z218" s="903"/>
      <c r="AA218" s="903"/>
      <c r="AB218" s="903"/>
      <c r="AC218" s="903"/>
      <c r="AD218" s="903"/>
      <c r="AE218" s="903">
        <v>6</v>
      </c>
      <c r="AF218" s="903"/>
      <c r="AG218" s="903"/>
      <c r="AH218" s="903">
        <v>6</v>
      </c>
      <c r="AI218" s="903"/>
      <c r="AJ218" s="903"/>
      <c r="AK218" s="903"/>
      <c r="AL218" s="903"/>
      <c r="AM218" s="903">
        <v>4</v>
      </c>
      <c r="AN218" s="903">
        <v>2</v>
      </c>
      <c r="AO218" s="441"/>
      <c r="AP218" s="907"/>
      <c r="AQ218" s="903">
        <v>181</v>
      </c>
      <c r="AR218" s="903"/>
      <c r="AS218" s="908"/>
      <c r="AT218" s="903"/>
      <c r="AU218" s="903"/>
      <c r="AV218" s="903"/>
      <c r="AW218" s="903"/>
      <c r="AX218" s="903">
        <v>71</v>
      </c>
      <c r="AY218" s="902" t="s">
        <v>136</v>
      </c>
      <c r="AZ218" s="907" t="s">
        <v>137</v>
      </c>
      <c r="BA218" s="903">
        <v>2</v>
      </c>
      <c r="BB218" s="903"/>
      <c r="BC218" s="903">
        <v>16</v>
      </c>
      <c r="BD218" s="441">
        <v>2</v>
      </c>
      <c r="BE218" s="441"/>
      <c r="BF218" s="902"/>
      <c r="BG218" s="903">
        <v>8</v>
      </c>
      <c r="BH218" s="903"/>
      <c r="BI218" s="903">
        <v>30</v>
      </c>
      <c r="BJ218" s="903">
        <v>3</v>
      </c>
      <c r="BK218" s="903"/>
      <c r="BL218" s="903"/>
      <c r="BM218" s="903">
        <v>6</v>
      </c>
      <c r="BN218" s="903"/>
      <c r="BO218" s="903"/>
      <c r="BP218" s="902"/>
      <c r="BQ218" s="909"/>
      <c r="BR218" s="908"/>
      <c r="BS218" s="902"/>
      <c r="BT218" s="416"/>
      <c r="BU218" s="416"/>
      <c r="BV218" s="418"/>
      <c r="BW218" s="416"/>
      <c r="BX218" s="441"/>
      <c r="BY218" s="441"/>
      <c r="BZ218" s="441"/>
      <c r="CA218" s="441"/>
      <c r="CB218" s="441"/>
      <c r="CC218" s="693"/>
      <c r="CD218" s="441"/>
      <c r="CE218" s="910" t="str">
        <f>IFERROR(WWWW[[#This Row],['#_Water sources passed]]/WWWW[[#This Row],['#_Water sources tested for fecal coliform ]],"no test")</f>
        <v>no test</v>
      </c>
      <c r="CF218" s="908" t="str">
        <f>IFERROR(WWWW[[#This Row],['#_Household passed]]/WWWW[[#This Row],['#_Household water samples tested for fecal coliform]],"no test")</f>
        <v>no test</v>
      </c>
      <c r="CG218" s="909" t="str">
        <f>IF(AND(WWWW[[#This Row],[% of water sources passed]]="no test",WWWW[[#This Row],[% Household passed]]="no test"),"No Test","Tested")</f>
        <v>No Test</v>
      </c>
      <c r="CH218" s="909">
        <f>WWWW[[#This Row],['#_Constructed/existing protected hand dug well]]-WWWW[[#This Row],['#_Non-functional protected hand dug well]]</f>
        <v>0</v>
      </c>
      <c r="CI218" s="909">
        <f>(WWWW[[#This Row],['#_Constructed/Existing tube wells/boreholes/handpumps_WASH_agency]]+WWWW[[#This Row],['#_Non-Cluster partner water tube-wells/boreholes/handpumps]])-WWWW[[#This Row],['#_Non-functional tube wells/boreholes/handpumps]]</f>
        <v>0</v>
      </c>
      <c r="CJ218" s="909">
        <f>WWWW[[#This Row],['#_Constructed/Existingwater storage tank with gravity fed reticulation system]]-WWWW[[#This Row],['#_Non-functional storage tank gravity fed reticulation system]]</f>
        <v>0</v>
      </c>
      <c r="CK218" s="909">
        <f>(WWWW[[#This Row],['#_Water_Liters_supplied_by_Water boating or water trucking]]/90)/15</f>
        <v>0</v>
      </c>
      <c r="CL218" s="909">
        <f>WWWW[[#This Row],['#_Water_Liters_from_Constructed/Existing water distribution system from river or natural spring]]/90/15</f>
        <v>0</v>
      </c>
      <c r="CM218" s="417">
        <f>IF(WWWW[[#This Row],['#_of water points in TLS/CFS]]*500&gt;WWWW[[#This Row],[Total PoP ]],WWWW[[#This Row],[Total PoP ]],WWWW[[#This Row],['#_of water points in TLS/CFS]]*500)</f>
        <v>1000</v>
      </c>
      <c r="CN218" s="417">
        <f>IF(WWWW[[#This Row],['#_of water points in THF]]*500&gt;WWWW[[#This Row],[Total PoP ]],WWWW[[#This Row],[Total PoP ]],WWWW[[#This Row],['#_of water points in THF]]*500)</f>
        <v>0</v>
      </c>
      <c r="CO218" s="417"/>
      <c r="CP218"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18"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18" s="908">
        <f>IF(WWWW[[#This Row],[Location Type 1]]="Village",WWWW[[#This Row],[Access to safe drinking water for Village]],WWWW[[#This Row],[Access to safe drinking water for Camp]])</f>
        <v>0</v>
      </c>
      <c r="CS218" s="906">
        <f>WWWW[[#This Row],[%Equitable and continuous access to sufficient quantity of safe drinking water]]*WWWW[[#This Row],[Total PoP ]]</f>
        <v>0</v>
      </c>
      <c r="CT218" s="908">
        <f>IF((WWWW[[#This Row],['#_Constructed/Existing protected/fenced ponds]]*250)/WWWW[[#This Row],[Total PoP ]]&gt;1,1,(WWWW[[#This Row],['#_Constructed/Existing protected/fenced ponds]]*250)/WWWW[[#This Row],[Total PoP ]])</f>
        <v>0.95541401273885351</v>
      </c>
      <c r="CU218" s="906">
        <f>WWWW[[#This Row],[% Access to unimproved water points]]*WWWW[[#This Row],[Total PoP ]]</f>
        <v>1500</v>
      </c>
      <c r="CV218"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0.95541401273885351</v>
      </c>
      <c r="CW218"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1500</v>
      </c>
      <c r="CX218" s="906">
        <f>WWWW[[#This Row],[HRP1]]/500</f>
        <v>3</v>
      </c>
      <c r="CY218" s="911">
        <f>1-WWWW[[#This Row],[% Equitable and continuous access to sufficient quantity of domestic water]]</f>
        <v>4.4585987261146487E-2</v>
      </c>
      <c r="CZ218" s="906">
        <f>WWWW[[#This Row],[%equitable and continuous access to sufficient quantity of safe drinking and domestic water''s GAP]]*WWWW[[#This Row],[Total PoP ]]</f>
        <v>69.999999999999986</v>
      </c>
      <c r="DA218" s="909">
        <f>IF(WWWW[[#This Row],[Total required water points]]-WWWW[[#This Row],['#Water points coverage]]&lt;0,0,WWWW[[#This Row],[Total required water points]]-WWWW[[#This Row],['#Water points coverage]])</f>
        <v>0</v>
      </c>
      <c r="DB218" s="909">
        <f>ROUND(IF(WWWW[[#This Row],[Total PoP ]]&lt;500,1,WWWW[[#This Row],[Total PoP ]]/500),0)</f>
        <v>3</v>
      </c>
      <c r="DC218" s="909">
        <f>(WWWW[[#This Row],['#_Constructed latrines_by_WASHAgencies]]+WWWW[[#This Row],['#_Non Cluster partner latrines]])-WWWW[[#This Row],['#_Non-functional latrines]]</f>
        <v>181</v>
      </c>
      <c r="DD218" s="615">
        <f>WWWW[[#This Row],[HRP2]]/WWWW[[#This Row],[Total PoP ]]</f>
        <v>1</v>
      </c>
      <c r="DE218"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1570</v>
      </c>
      <c r="DF218"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18"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8" s="417">
        <f>IF(WWWW[[#This Row],['# of functional latrines in THF supported by WASH partners during the reporting period2]]="",0,WWWW[[#This Row],['# of functional latrines in THF supported by WASH partners during the reporting period2]]*50)</f>
        <v>100</v>
      </c>
      <c r="DI218" s="909">
        <f>ROUND(IF(WWWW[[#This Row],[Location Type 1]]="camp",WWWW[[#This Row],[Total PoP ]]/20,IF(WWWW[[#This Row],[Location Type 1]]="Temporary Location",WWWW[[#This Row],[Total PoP ]]/50,(WWWW[[#This Row],[Total PoP ]]/6))),0)</f>
        <v>79</v>
      </c>
      <c r="DJ218" s="909">
        <f>IF(WWWW[[#This Row],[Total required Latrines]]-(WWWW[[#This Row],['#_Constructed latrines_by_WASHAgencies]]+WWWW[[#This Row],['#_Non Cluster partner latrines]])&lt;0,0,WWWW[[#This Row],[Total required Latrines]]-(WWWW[[#This Row],['#_Constructed latrines_by_WASHAgencies]]+WWWW[[#This Row],['#_Non Cluster partner latrines]]))</f>
        <v>0</v>
      </c>
      <c r="DK218" s="911">
        <f>1-WWWW[[#This Row],[% people access to functioning Latrine]]</f>
        <v>0</v>
      </c>
      <c r="DL218" s="910">
        <f>IF(OR(WWWW[[#This Row],['#_Non-functional latrines]]="",WWWW[[#This Row],['#_Non-functional latrines]]=0),0,WWWW[[#This Row],['#_Non-functional latrines]]/(WWWW[[#This Row],['#_Constructed latrines_by_WASHAgencies]]+WWWW[[#This Row],['#_Non Cluster partner latrines]]))</f>
        <v>0</v>
      </c>
      <c r="DM218" s="906">
        <f>IF(500*(WWWW[[#This Row],['#_male hygiene promoters]]+WWWW[[#This Row],['#_female hygiene promoters]])&gt;WWWW[[#This Row],[Total PoP ]],WWWW[[#This Row],[Total PoP ]],500*(WWWW[[#This Row],['#_male hygiene promoters]]+WWWW[[#This Row],['#_female hygiene promoters]]))</f>
        <v>1570</v>
      </c>
      <c r="DN218"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18"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18" s="909">
        <f>IF(WWWW[[#This Row],['# People with access to soap]]&gt;WWWW[[#This Row],['# People with access to Sanity Pads]],WWWW[[#This Row],['# People with access to soap]],WWWW[[#This Row],['# People with access to Sanity Pads]])</f>
        <v>0</v>
      </c>
      <c r="DQ218" s="909">
        <f>IF(WWWW[[#This Row],['# people reached by regular dedicated hygiene promotion_5]]&gt;WWWW[[#This Row],['# People received regular supply of hygiene items_6]],WWWW[[#This Row],['# people reached by regular dedicated hygiene promotion_5]],WWWW[[#This Row],['# People received regular supply of hygiene items_6]])</f>
        <v>1570</v>
      </c>
      <c r="DR218" s="911">
        <f>IF(WWWW[[#This Row],[HRP3]]/WWWW[[#This Row],[Total PoP ]]&gt;1,1,WWWW[[#This Row],[HRP3]]/WWWW[[#This Row],[Total PoP ]])</f>
        <v>1</v>
      </c>
      <c r="DS218" s="910">
        <f>1-WWWW[[#This Row],[Hygiene Coverage%]]</f>
        <v>0</v>
      </c>
      <c r="DT218" s="908">
        <f>WWWW[[#This Row],['# people reached by regular dedicated hygiene promotion_5]]/WWWW[[#This Row],[Total PoP ]]</f>
        <v>1</v>
      </c>
      <c r="DU218"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18"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18" s="909">
        <f>WWWW[[#This Row],['#_Constructed/Existing hand washing stations]]-WWWW[[#This Row],['#_Non-Functional_hand_washing_stations]]</f>
        <v>8</v>
      </c>
      <c r="DX218" s="906">
        <f>IF(WWWW[[#This Row],['# Functional hand washing stations during reporting period]]*20&gt;WWWW[[#This Row],[Total HH]],WWWW[[#This Row],[Total HH]],WWWW[[#This Row],['# Functional hand washing stations during reporting period]]*20)</f>
        <v>160</v>
      </c>
      <c r="DY218" s="906">
        <f>IF(WWWW[[#This Row],[Is sufficient soap available for TLS? (Yes/No)]]="yes",WWWW[[#This Row],['#_Constructed/Existing hand washing stations at TLS/CFS/THF]],0)</f>
        <v>0</v>
      </c>
      <c r="DZ218" s="421">
        <f>IF(WWWW[[#This Row],['# Functional hand washing stations during reporting period]]*100&gt;WWWW[[#This Row],[Total PoP ]],WWWW[[#This Row],[Total PoP ]],WWWW[[#This Row],['# Functional hand washing stations during reporting period]]*100)</f>
        <v>800</v>
      </c>
      <c r="EA218" s="421" t="str">
        <f>IF(OR(WWWW[[#This Row],['#_students at TLS_CFS]]="",WWWW[[#This Row],['#_students at TLS_CFS]]=0),"No","Yes")</f>
        <v>No</v>
      </c>
      <c r="EB21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18" s="566">
        <f>WWWW[[#This Row],[%_of_affected_people_surveyed_who_report_feeling_satistfied_with_the_latrine_design_and_sanitation_service]]*WWWW[[#This Row],[Total PoP ]]</f>
        <v>0</v>
      </c>
      <c r="ED218" s="566">
        <f>WWWW[[#This Row],[%_of_affected_people_surveyed_who_report_feeling_satistfied_with_the_water_point_design_and_water_service]]*WWWW[[#This Row],[Total PoP ]]</f>
        <v>0</v>
      </c>
      <c r="EE218" s="566">
        <f>WWWW[[#This Row],[%_of_complaints_received_that_result_in_timely_corrective_action_and_feedback_to_the_community]]*WWWW[[#This Row],[Total PoP ]]</f>
        <v>0</v>
      </c>
      <c r="EF21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1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H21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I218" s="902" t="str">
        <f>VLOOKUP(WWWW[[#This Row],[Site Name]],SiteDB6[[Site Name]:[CCCM Management]],6,FALSE)</f>
        <v>Yes</v>
      </c>
      <c r="EJ218" s="902" t="str">
        <f>VLOOKUP(WWWW[[#This Row],[Site Name]],SiteDB6[[Site Name]:[CCCM Focal Agency]],7,FALSE)</f>
        <v>KMSS-BMO</v>
      </c>
      <c r="EK218" s="902" t="str">
        <f>VLOOKUP(WWWW[[#This Row],[Site Name]],SiteDB6[[Site Name]:[Location Type 1]],9,FALSE)</f>
        <v>Camp</v>
      </c>
      <c r="EL218" s="902" t="str">
        <f>VLOOKUP(WWWW[[#This Row],[Site Name]],SiteDB6[[Site Name]:[Type of Accommodation]],10,FALSE)</f>
        <v>Camp</v>
      </c>
      <c r="EM218" s="902" t="str">
        <f>VLOOKUP(WWWW[[#This Row],[Site Name]],SiteDB6[[Site Name]:[Ethnic or GCA/NGCA]],11,FALSE)</f>
        <v>NGCA</v>
      </c>
      <c r="EN218" s="902">
        <f>VLOOKUP(WWWW[[#This Row],[Site Name]],SiteDB6[[Site Name]:[Lat]],12,FALSE)</f>
        <v>24.378167000000001</v>
      </c>
      <c r="EO218" s="902">
        <f>VLOOKUP(WWWW[[#This Row],[Site Name]],SiteDB6[[Site Name]:[Long]],13,FALSE)</f>
        <v>97.669366999999994</v>
      </c>
      <c r="EP218" s="902" t="str">
        <f>VLOOKUP(WWWW[[#This Row],[Site Name]],SiteDB6[[Site Name]:[Pcode]],3,FALSE)</f>
        <v>MMR001CMP131</v>
      </c>
      <c r="EQ218" s="907" t="str">
        <f t="shared" si="3"/>
        <v>Covered</v>
      </c>
      <c r="ER218" s="907" t="s">
        <v>136</v>
      </c>
      <c r="ES218" s="907" t="s">
        <v>136</v>
      </c>
      <c r="ET218" s="902">
        <f>VLOOKUP(WWWW[[#This Row],[Site Name]],SiteDB6[[Site Name]:[Pop
(Kachin/Shan-CCCM as of May 2023)]],16,FALSE)</f>
        <v>350</v>
      </c>
      <c r="EU218" s="902">
        <f>VLOOKUP(WWWW[[#This Row],[Site Name]],SiteDB6[[Site Name]:[Pop
(Kachin/Shan-CCCM as of May 2023)]],17,FALSE)</f>
        <v>1593</v>
      </c>
    </row>
    <row r="219" spans="1:151" hidden="1">
      <c r="A219" s="900" t="s">
        <v>2961</v>
      </c>
      <c r="B219" s="900" t="s">
        <v>291</v>
      </c>
      <c r="C219" s="901" t="s">
        <v>291</v>
      </c>
      <c r="D219" s="901" t="s">
        <v>2594</v>
      </c>
      <c r="E219" s="901" t="s">
        <v>37</v>
      </c>
      <c r="F219" s="901" t="s">
        <v>205</v>
      </c>
      <c r="G219" s="902" t="str">
        <f>VLOOKUP(WWWW[[#This Row],[Site Name]],SiteDB6[[Site Name]:[Location Type]],8,FALSE)</f>
        <v>Camp</v>
      </c>
      <c r="H219" s="901" t="s">
        <v>296</v>
      </c>
      <c r="I219" s="903">
        <v>616</v>
      </c>
      <c r="J219" s="903">
        <v>3682</v>
      </c>
      <c r="K219" s="904">
        <v>44652</v>
      </c>
      <c r="L219" s="905">
        <v>44926</v>
      </c>
      <c r="M219" s="903"/>
      <c r="N219" s="903"/>
      <c r="O219" s="903"/>
      <c r="P219" s="903"/>
      <c r="Q219" s="906" t="s">
        <v>41</v>
      </c>
      <c r="R219" s="903"/>
      <c r="S219" s="903"/>
      <c r="T219" s="441"/>
      <c r="U219" s="903"/>
      <c r="V219" s="903"/>
      <c r="W219" s="903"/>
      <c r="X219" s="903"/>
      <c r="Y219" s="903"/>
      <c r="Z219" s="903"/>
      <c r="AA219" s="903"/>
      <c r="AB219" s="903"/>
      <c r="AC219" s="903"/>
      <c r="AD219" s="903"/>
      <c r="AE219" s="903">
        <v>1</v>
      </c>
      <c r="AF219" s="903"/>
      <c r="AG219" s="903"/>
      <c r="AH219" s="903">
        <v>1</v>
      </c>
      <c r="AI219" s="903"/>
      <c r="AJ219" s="903"/>
      <c r="AK219" s="903"/>
      <c r="AL219" s="903"/>
      <c r="AM219" s="903">
        <v>21</v>
      </c>
      <c r="AN219" s="903">
        <v>6</v>
      </c>
      <c r="AO219" s="441"/>
      <c r="AP219" s="907"/>
      <c r="AQ219" s="903">
        <v>152</v>
      </c>
      <c r="AR219" s="903"/>
      <c r="AS219" s="908"/>
      <c r="AT219" s="903"/>
      <c r="AU219" s="903"/>
      <c r="AV219" s="903"/>
      <c r="AW219" s="903"/>
      <c r="AX219" s="903"/>
      <c r="AY219" s="902" t="s">
        <v>136</v>
      </c>
      <c r="AZ219" s="907" t="s">
        <v>137</v>
      </c>
      <c r="BA219" s="903">
        <v>4</v>
      </c>
      <c r="BB219" s="903"/>
      <c r="BC219" s="903">
        <v>16</v>
      </c>
      <c r="BD219" s="441">
        <v>2</v>
      </c>
      <c r="BE219" s="441"/>
      <c r="BF219" s="902"/>
      <c r="BG219" s="903">
        <v>7</v>
      </c>
      <c r="BH219" s="903"/>
      <c r="BI219" s="903"/>
      <c r="BJ219" s="903">
        <v>7</v>
      </c>
      <c r="BK219" s="903"/>
      <c r="BL219" s="903"/>
      <c r="BM219" s="903">
        <v>6</v>
      </c>
      <c r="BN219" s="903"/>
      <c r="BO219" s="903"/>
      <c r="BP219" s="902"/>
      <c r="BQ219" s="909"/>
      <c r="BR219" s="908"/>
      <c r="BS219" s="902"/>
      <c r="BT219" s="416"/>
      <c r="BU219" s="416"/>
      <c r="BV219" s="418"/>
      <c r="BW219" s="416"/>
      <c r="BX219" s="441"/>
      <c r="BY219" s="441"/>
      <c r="BZ219" s="441"/>
      <c r="CA219" s="441"/>
      <c r="CB219" s="441"/>
      <c r="CC219" s="693"/>
      <c r="CD219" s="441"/>
      <c r="CE219" s="910" t="str">
        <f>IFERROR(WWWW[[#This Row],['#_Water sources passed]]/WWWW[[#This Row],['#_Water sources tested for fecal coliform ]],"no test")</f>
        <v>no test</v>
      </c>
      <c r="CF219" s="908" t="str">
        <f>IFERROR(WWWW[[#This Row],['#_Household passed]]/WWWW[[#This Row],['#_Household water samples tested for fecal coliform]],"no test")</f>
        <v>no test</v>
      </c>
      <c r="CG219" s="909" t="str">
        <f>IF(AND(WWWW[[#This Row],[% of water sources passed]]="no test",WWWW[[#This Row],[% Household passed]]="no test"),"No Test","Tested")</f>
        <v>No Test</v>
      </c>
      <c r="CH219" s="909">
        <f>WWWW[[#This Row],['#_Constructed/existing protected hand dug well]]-WWWW[[#This Row],['#_Non-functional protected hand dug well]]</f>
        <v>0</v>
      </c>
      <c r="CI219" s="909">
        <f>(WWWW[[#This Row],['#_Constructed/Existing tube wells/boreholes/handpumps_WASH_agency]]+WWWW[[#This Row],['#_Non-Cluster partner water tube-wells/boreholes/handpumps]])-WWWW[[#This Row],['#_Non-functional tube wells/boreholes/handpumps]]</f>
        <v>0</v>
      </c>
      <c r="CJ219" s="909">
        <f>WWWW[[#This Row],['#_Constructed/Existingwater storage tank with gravity fed reticulation system]]-WWWW[[#This Row],['#_Non-functional storage tank gravity fed reticulation system]]</f>
        <v>0</v>
      </c>
      <c r="CK219" s="909">
        <f>(WWWW[[#This Row],['#_Water_Liters_supplied_by_Water boating or water trucking]]/90)/15</f>
        <v>0</v>
      </c>
      <c r="CL219" s="909">
        <f>WWWW[[#This Row],['#_Water_Liters_from_Constructed/Existing water distribution system from river or natural spring]]/90/15</f>
        <v>0</v>
      </c>
      <c r="CM219" s="417">
        <f>IF(WWWW[[#This Row],['#_of water points in TLS/CFS]]*500&gt;WWWW[[#This Row],[Total PoP ]],WWWW[[#This Row],[Total PoP ]],WWWW[[#This Row],['#_of water points in TLS/CFS]]*500)</f>
        <v>3000</v>
      </c>
      <c r="CN219" s="417">
        <f>IF(WWWW[[#This Row],['#_of water points in THF]]*500&gt;WWWW[[#This Row],[Total PoP ]],WWWW[[#This Row],[Total PoP ]],WWWW[[#This Row],['#_of water points in THF]]*500)</f>
        <v>0</v>
      </c>
      <c r="CO219" s="417"/>
      <c r="CP219" s="910">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19" s="910">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19" s="908">
        <f>IF(WWWW[[#This Row],[Location Type 1]]="Village",WWWW[[#This Row],[Access to safe drinking water for Village]],WWWW[[#This Row],[Access to safe drinking water for Camp]])</f>
        <v>0</v>
      </c>
      <c r="CS219" s="906">
        <f>WWWW[[#This Row],[%Equitable and continuous access to sufficient quantity of safe drinking water]]*WWWW[[#This Row],[Total PoP ]]</f>
        <v>0</v>
      </c>
      <c r="CT219" s="908">
        <f>IF((WWWW[[#This Row],['#_Constructed/Existing protected/fenced ponds]]*250)/WWWW[[#This Row],[Total PoP ]]&gt;1,1,(WWWW[[#This Row],['#_Constructed/Existing protected/fenced ponds]]*250)/WWWW[[#This Row],[Total PoP ]])</f>
        <v>6.7897881586094513E-2</v>
      </c>
      <c r="CU219" s="906">
        <f>WWWW[[#This Row],[% Access to unimproved water points]]*WWWW[[#This Row],[Total PoP ]]</f>
        <v>250</v>
      </c>
      <c r="CV219" s="908">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6.7897881586094513E-2</v>
      </c>
      <c r="CW219" s="906">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X219" s="906">
        <f>WWWW[[#This Row],[HRP1]]/500</f>
        <v>0.5</v>
      </c>
      <c r="CY219" s="911">
        <f>1-WWWW[[#This Row],[% Equitable and continuous access to sufficient quantity of domestic water]]</f>
        <v>0.93210211841390544</v>
      </c>
      <c r="CZ219" s="906">
        <f>WWWW[[#This Row],[%equitable and continuous access to sufficient quantity of safe drinking and domestic water''s GAP]]*WWWW[[#This Row],[Total PoP ]]</f>
        <v>3432</v>
      </c>
      <c r="DA219" s="909">
        <f>IF(WWWW[[#This Row],[Total required water points]]-WWWW[[#This Row],['#Water points coverage]]&lt;0,0,WWWW[[#This Row],[Total required water points]]-WWWW[[#This Row],['#Water points coverage]])</f>
        <v>6.5</v>
      </c>
      <c r="DB219" s="909">
        <f>ROUND(IF(WWWW[[#This Row],[Total PoP ]]&lt;500,1,WWWW[[#This Row],[Total PoP ]]/500),0)</f>
        <v>7</v>
      </c>
      <c r="DC219" s="909">
        <f>(WWWW[[#This Row],['#_Constructed latrines_by_WASHAgencies]]+WWWW[[#This Row],['#_Non Cluster partner latrines]])-WWWW[[#This Row],['#_Non-functional latrines]]</f>
        <v>152</v>
      </c>
      <c r="DD219" s="615">
        <f>WWWW[[#This Row],[HRP2]]/WWWW[[#This Row],[Total PoP ]]</f>
        <v>0.84736556219445958</v>
      </c>
      <c r="DE219" s="906">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3120</v>
      </c>
      <c r="DF219" s="91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19" s="909">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19" s="417">
        <f>IF(WWWW[[#This Row],['# of functional latrines in THF supported by WASH partners during the reporting period2]]="",0,WWWW[[#This Row],['# of functional latrines in THF supported by WASH partners during the reporting period2]]*50)</f>
        <v>100</v>
      </c>
      <c r="DI219" s="909">
        <f>ROUND(IF(WWWW[[#This Row],[Location Type 1]]="camp",WWWW[[#This Row],[Total PoP ]]/20,IF(WWWW[[#This Row],[Location Type 1]]="Temporary Location",WWWW[[#This Row],[Total PoP ]]/50,(WWWW[[#This Row],[Total PoP ]]/6))),0)</f>
        <v>184</v>
      </c>
      <c r="DJ219" s="909">
        <f>IF(WWWW[[#This Row],[Total required Latrines]]-(WWWW[[#This Row],['#_Constructed latrines_by_WASHAgencies]]+WWWW[[#This Row],['#_Non Cluster partner latrines]])&lt;0,0,WWWW[[#This Row],[Total required Latrines]]-(WWWW[[#This Row],['#_Constructed latrines_by_WASHAgencies]]+WWWW[[#This Row],['#_Non Cluster partner latrines]]))</f>
        <v>32</v>
      </c>
      <c r="DK219" s="911">
        <f>1-WWWW[[#This Row],[% people access to functioning Latrine]]</f>
        <v>0.15263443780554042</v>
      </c>
      <c r="DL219" s="910">
        <f>IF(OR(WWWW[[#This Row],['#_Non-functional latrines]]="",WWWW[[#This Row],['#_Non-functional latrines]]=0),0,WWWW[[#This Row],['#_Non-functional latrines]]/(WWWW[[#This Row],['#_Constructed latrines_by_WASHAgencies]]+WWWW[[#This Row],['#_Non Cluster partner latrines]]))</f>
        <v>0</v>
      </c>
      <c r="DM219" s="906">
        <f>IF(500*(WWWW[[#This Row],['#_male hygiene promoters]]+WWWW[[#This Row],['#_female hygiene promoters]])&gt;WWWW[[#This Row],[Total PoP ]],WWWW[[#This Row],[Total PoP ]],500*(WWWW[[#This Row],['#_male hygiene promoters]]+WWWW[[#This Row],['#_female hygiene promoters]]))</f>
        <v>3000</v>
      </c>
      <c r="DN219" s="909">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19" s="909">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19" s="909">
        <f>IF(WWWW[[#This Row],['# People with access to soap]]&gt;WWWW[[#This Row],['# People with access to Sanity Pads]],WWWW[[#This Row],['# People with access to soap]],WWWW[[#This Row],['# People with access to Sanity Pads]])</f>
        <v>0</v>
      </c>
      <c r="DQ219" s="909">
        <f>IF(WWWW[[#This Row],['# people reached by regular dedicated hygiene promotion_5]]&gt;WWWW[[#This Row],['# People received regular supply of hygiene items_6]],WWWW[[#This Row],['# people reached by regular dedicated hygiene promotion_5]],WWWW[[#This Row],['# People received regular supply of hygiene items_6]])</f>
        <v>3000</v>
      </c>
      <c r="DR219" s="911">
        <f>IF(WWWW[[#This Row],[HRP3]]/WWWW[[#This Row],[Total PoP ]]&gt;1,1,WWWW[[#This Row],[HRP3]]/WWWW[[#This Row],[Total PoP ]])</f>
        <v>0.81477457903313422</v>
      </c>
      <c r="DS219" s="910">
        <f>1-WWWW[[#This Row],[Hygiene Coverage%]]</f>
        <v>0.18522542096686578</v>
      </c>
      <c r="DT219" s="908">
        <f>WWWW[[#This Row],['# people reached by regular dedicated hygiene promotion_5]]/WWWW[[#This Row],[Total PoP ]]</f>
        <v>0.81477457903313422</v>
      </c>
      <c r="DU219" s="910">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19" s="908">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19" s="909">
        <f>WWWW[[#This Row],['#_Constructed/Existing hand washing stations]]-WWWW[[#This Row],['#_Non-Functional_hand_washing_stations]]</f>
        <v>7</v>
      </c>
      <c r="DX219" s="906">
        <f>IF(WWWW[[#This Row],['# Functional hand washing stations during reporting period]]*20&gt;WWWW[[#This Row],[Total HH]],WWWW[[#This Row],[Total HH]],WWWW[[#This Row],['# Functional hand washing stations during reporting period]]*20)</f>
        <v>140</v>
      </c>
      <c r="DY219" s="906">
        <f>IF(WWWW[[#This Row],[Is sufficient soap available for TLS? (Yes/No)]]="yes",WWWW[[#This Row],['#_Constructed/Existing hand washing stations at TLS/CFS/THF]],0)</f>
        <v>0</v>
      </c>
      <c r="DZ219" s="421">
        <f>IF(WWWW[[#This Row],['# Functional hand washing stations during reporting period]]*100&gt;WWWW[[#This Row],[Total PoP ]],WWWW[[#This Row],[Total PoP ]],WWWW[[#This Row],['# Functional hand washing stations during reporting period]]*100)</f>
        <v>700</v>
      </c>
      <c r="EA219" s="421" t="str">
        <f>IF(OR(WWWW[[#This Row],['#_students at TLS_CFS]]="",WWWW[[#This Row],['#_students at TLS_CFS]]=0),"No","Yes")</f>
        <v>No</v>
      </c>
      <c r="EB21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19" s="566">
        <f>WWWW[[#This Row],[%_of_affected_people_surveyed_who_report_feeling_satistfied_with_the_latrine_design_and_sanitation_service]]*WWWW[[#This Row],[Total PoP ]]</f>
        <v>0</v>
      </c>
      <c r="ED219" s="566">
        <f>WWWW[[#This Row],[%_of_affected_people_surveyed_who_report_feeling_satistfied_with_the_water_point_design_and_water_service]]*WWWW[[#This Row],[Total PoP ]]</f>
        <v>0</v>
      </c>
      <c r="EE219" s="566">
        <f>WWWW[[#This Row],[%_of_complaints_received_that_result_in_timely_corrective_action_and_feedback_to_the_community]]*WWWW[[#This Row],[Total PoP ]]</f>
        <v>0</v>
      </c>
      <c r="EF21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1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3000</v>
      </c>
      <c r="EH21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I219" s="902" t="str">
        <f>VLOOKUP(WWWW[[#This Row],[Site Name]],SiteDB6[[Site Name]:[CCCM Management]],6,FALSE)</f>
        <v>Yes</v>
      </c>
      <c r="EJ219" s="902" t="str">
        <f>VLOOKUP(WWWW[[#This Row],[Site Name]],SiteDB6[[Site Name]:[CCCM Focal Agency]],7,FALSE)</f>
        <v>KMSS-BMO</v>
      </c>
      <c r="EK219" s="902" t="str">
        <f>VLOOKUP(WWWW[[#This Row],[Site Name]],SiteDB6[[Site Name]:[Location Type 1]],9,FALSE)</f>
        <v>Camp</v>
      </c>
      <c r="EL219" s="902" t="str">
        <f>VLOOKUP(WWWW[[#This Row],[Site Name]],SiteDB6[[Site Name]:[Type of Accommodation]],10,FALSE)</f>
        <v>Camp</v>
      </c>
      <c r="EM219" s="902" t="str">
        <f>VLOOKUP(WWWW[[#This Row],[Site Name]],SiteDB6[[Site Name]:[Ethnic or GCA/NGCA]],11,FALSE)</f>
        <v>NGCA</v>
      </c>
      <c r="EN219" s="902">
        <f>VLOOKUP(WWWW[[#This Row],[Site Name]],SiteDB6[[Site Name]:[Lat]],12,FALSE)</f>
        <v>24.2744</v>
      </c>
      <c r="EO219" s="902">
        <f>VLOOKUP(WWWW[[#This Row],[Site Name]],SiteDB6[[Site Name]:[Long]],13,FALSE)</f>
        <v>97.752667000000002</v>
      </c>
      <c r="EP219" s="902" t="str">
        <f>VLOOKUP(WWWW[[#This Row],[Site Name]],SiteDB6[[Site Name]:[Pcode]],3,FALSE)</f>
        <v>MMR001CMP126</v>
      </c>
      <c r="EQ219" s="907" t="str">
        <f t="shared" si="3"/>
        <v>Covered</v>
      </c>
      <c r="ER219" s="907" t="s">
        <v>136</v>
      </c>
      <c r="ES219" s="907" t="s">
        <v>136</v>
      </c>
      <c r="ET219" s="902">
        <f>VLOOKUP(WWWW[[#This Row],[Site Name]],SiteDB6[[Site Name]:[Pop
(Kachin/Shan-CCCM as of May 2023)]],16,FALSE)</f>
        <v>614</v>
      </c>
      <c r="EU219" s="902">
        <f>VLOOKUP(WWWW[[#This Row],[Site Name]],SiteDB6[[Site Name]:[Pop
(Kachin/Shan-CCCM as of May 2023)]],17,FALSE)</f>
        <v>3654</v>
      </c>
    </row>
    <row r="220" spans="1:151">
      <c r="A220" s="946" t="s">
        <v>2962</v>
      </c>
      <c r="B220" s="946" t="s">
        <v>242</v>
      </c>
      <c r="C220" s="938" t="s">
        <v>3309</v>
      </c>
      <c r="D220" s="938" t="s">
        <v>3184</v>
      </c>
      <c r="E220" s="938" t="s">
        <v>37</v>
      </c>
      <c r="F220" s="938" t="s">
        <v>195</v>
      </c>
      <c r="G220" s="938" t="str">
        <f>VLOOKUP(WWWW[[#This Row],[Site Name]],SiteDB6[[Site Name]:[Location Type]],8,FALSE)</f>
        <v>Camp</v>
      </c>
      <c r="H220" s="938" t="s">
        <v>2880</v>
      </c>
      <c r="I220" s="441">
        <v>67</v>
      </c>
      <c r="J220" s="441">
        <v>324</v>
      </c>
      <c r="K220" s="948">
        <v>44927</v>
      </c>
      <c r="L220" s="949">
        <v>45382</v>
      </c>
      <c r="M220" s="441"/>
      <c r="N220" s="441"/>
      <c r="O220" s="441">
        <v>1</v>
      </c>
      <c r="P220" s="441"/>
      <c r="Q220" s="421" t="s">
        <v>41</v>
      </c>
      <c r="R220" s="441">
        <v>2</v>
      </c>
      <c r="S220" s="441">
        <v>3</v>
      </c>
      <c r="T220" s="441"/>
      <c r="U220" s="441"/>
      <c r="V220" s="441"/>
      <c r="W220" s="441"/>
      <c r="X220" s="441"/>
      <c r="Y220" s="441"/>
      <c r="Z220" s="441"/>
      <c r="AA220" s="441"/>
      <c r="AB220" s="441"/>
      <c r="AC220" s="441"/>
      <c r="AD220" s="441"/>
      <c r="AE220" s="441"/>
      <c r="AF220" s="441"/>
      <c r="AG220" s="441"/>
      <c r="AH220" s="441"/>
      <c r="AI220" s="441"/>
      <c r="AJ220" s="441"/>
      <c r="AK220" s="441"/>
      <c r="AL220" s="441"/>
      <c r="AM220" s="441">
        <v>1</v>
      </c>
      <c r="AN220" s="441"/>
      <c r="AO220" s="441"/>
      <c r="AP220" s="950"/>
      <c r="AQ220" s="441">
        <v>7</v>
      </c>
      <c r="AR220" s="441"/>
      <c r="AS220" s="416"/>
      <c r="AT220" s="441"/>
      <c r="AU220" s="441"/>
      <c r="AV220" s="441"/>
      <c r="AW220" s="441"/>
      <c r="AX220" s="441">
        <v>6</v>
      </c>
      <c r="AY220" s="418" t="s">
        <v>41</v>
      </c>
      <c r="AZ220" s="950" t="s">
        <v>137</v>
      </c>
      <c r="BA220" s="441"/>
      <c r="BB220" s="441"/>
      <c r="BC220" s="441"/>
      <c r="BD220" s="441"/>
      <c r="BE220" s="441">
        <v>4</v>
      </c>
      <c r="BF220" s="418"/>
      <c r="BG220" s="441">
        <v>1</v>
      </c>
      <c r="BH220" s="441"/>
      <c r="BI220" s="441"/>
      <c r="BJ220" s="441">
        <v>8</v>
      </c>
      <c r="BK220" s="441"/>
      <c r="BL220" s="441"/>
      <c r="BM220" s="441">
        <v>1</v>
      </c>
      <c r="BN220" s="441"/>
      <c r="BO220" s="441"/>
      <c r="BP220" s="418"/>
      <c r="BQ220" s="417"/>
      <c r="BR220" s="416">
        <v>0.65</v>
      </c>
      <c r="BS220" s="418"/>
      <c r="BT220" s="416">
        <v>0.75</v>
      </c>
      <c r="BU220" s="416">
        <v>0.5</v>
      </c>
      <c r="BV220" s="418"/>
      <c r="BW220" s="416">
        <v>0.95</v>
      </c>
      <c r="BX220" s="441"/>
      <c r="BY220" s="441"/>
      <c r="BZ220" s="441"/>
      <c r="CA220" s="441"/>
      <c r="CB220" s="441"/>
      <c r="CC220" s="693"/>
      <c r="CD220" s="441"/>
      <c r="CE220" s="615" t="str">
        <f>IFERROR(WWWW[[#This Row],['#_Water sources passed]]/WWWW[[#This Row],['#_Water sources tested for fecal coliform ]],"no test")</f>
        <v>no test</v>
      </c>
      <c r="CF220" s="416" t="str">
        <f>IFERROR(WWWW[[#This Row],['#_Household passed]]/WWWW[[#This Row],['#_Household water samples tested for fecal coliform]],"no test")</f>
        <v>no test</v>
      </c>
      <c r="CG220" s="417" t="str">
        <f>IF(AND(WWWW[[#This Row],[% of water sources passed]]="no test",WWWW[[#This Row],[% Household passed]]="no test"),"No Test","Tested")</f>
        <v>No Test</v>
      </c>
      <c r="CH220" s="417">
        <f>WWWW[[#This Row],['#_Constructed/existing protected hand dug well]]-WWWW[[#This Row],['#_Non-functional protected hand dug well]]</f>
        <v>0</v>
      </c>
      <c r="CI220" s="417">
        <f>(WWWW[[#This Row],['#_Constructed/Existing tube wells/boreholes/handpumps_WASH_agency]]+WWWW[[#This Row],['#_Non-Cluster partner water tube-wells/boreholes/handpumps]])-WWWW[[#This Row],['#_Non-functional tube wells/boreholes/handpumps]]</f>
        <v>0</v>
      </c>
      <c r="CJ220" s="417">
        <f>WWWW[[#This Row],['#_Constructed/Existingwater storage tank with gravity fed reticulation system]]-WWWW[[#This Row],['#_Non-functional storage tank gravity fed reticulation system]]</f>
        <v>0</v>
      </c>
      <c r="CK220" s="417">
        <f>(WWWW[[#This Row],['#_Water_Liters_supplied_by_Water boating or water trucking]]/90)/15</f>
        <v>0</v>
      </c>
      <c r="CL220" s="417">
        <f>WWWW[[#This Row],['#_Water_Liters_from_Constructed/Existing water distribution system from river or natural spring]]/90/15</f>
        <v>0</v>
      </c>
      <c r="CM220" s="417">
        <f>IF(WWWW[[#This Row],['#_of water points in TLS/CFS]]*500&gt;WWWW[[#This Row],[Total PoP ]],WWWW[[#This Row],[Total PoP ]],WWWW[[#This Row],['#_of water points in TLS/CFS]]*500)</f>
        <v>0</v>
      </c>
      <c r="CN220" s="417">
        <f>IF(WWWW[[#This Row],['#_of water points in THF]]*500&gt;WWWW[[#This Row],[Total PoP ]],WWWW[[#This Row],[Total PoP ]],WWWW[[#This Row],['#_of water points in THF]]*500)</f>
        <v>0</v>
      </c>
      <c r="CO220" s="417"/>
      <c r="CP220"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20"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20" s="416">
        <f>IF(WWWW[[#This Row],[Location Type 1]]="Village",WWWW[[#This Row],[Access to safe drinking water for Village]],WWWW[[#This Row],[Access to safe drinking water for Camp]])</f>
        <v>0</v>
      </c>
      <c r="CS220" s="421">
        <f>WWWW[[#This Row],[%Equitable and continuous access to sufficient quantity of safe drinking water]]*WWWW[[#This Row],[Total PoP ]]</f>
        <v>0</v>
      </c>
      <c r="CT220" s="416">
        <f>IF((WWWW[[#This Row],['#_Constructed/Existing protected/fenced ponds]]*250)/WWWW[[#This Row],[Total PoP ]]&gt;1,1,(WWWW[[#This Row],['#_Constructed/Existing protected/fenced ponds]]*250)/WWWW[[#This Row],[Total PoP ]])</f>
        <v>0</v>
      </c>
      <c r="CU220" s="421">
        <f>WWWW[[#This Row],[% Access to unimproved water points]]*WWWW[[#This Row],[Total PoP ]]</f>
        <v>0</v>
      </c>
      <c r="CV220"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220"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220" s="421">
        <f>WWWW[[#This Row],[HRP1]]/500</f>
        <v>0</v>
      </c>
      <c r="CY220" s="951">
        <f>1-WWWW[[#This Row],[% Equitable and continuous access to sufficient quantity of domestic water]]</f>
        <v>1</v>
      </c>
      <c r="CZ220" s="421">
        <f>WWWW[[#This Row],[%equitable and continuous access to sufficient quantity of safe drinking and domestic water''s GAP]]*WWWW[[#This Row],[Total PoP ]]</f>
        <v>324</v>
      </c>
      <c r="DA220" s="417">
        <f>IF(WWWW[[#This Row],[Total required water points]]-WWWW[[#This Row],['#Water points coverage]]&lt;0,0,WWWW[[#This Row],[Total required water points]]-WWWW[[#This Row],['#Water points coverage]])</f>
        <v>1</v>
      </c>
      <c r="DB220" s="417">
        <f>ROUND(IF(WWWW[[#This Row],[Total PoP ]]&lt;500,1,WWWW[[#This Row],[Total PoP ]]/500),0)</f>
        <v>1</v>
      </c>
      <c r="DC220" s="417">
        <f>(WWWW[[#This Row],['#_Constructed latrines_by_WASHAgencies]]+WWWW[[#This Row],['#_Non Cluster partner latrines]])-WWWW[[#This Row],['#_Non-functional latrines]]</f>
        <v>7</v>
      </c>
      <c r="DD220" s="615">
        <f>WWWW[[#This Row],[HRP2]]/WWWW[[#This Row],[Total PoP ]]</f>
        <v>0.44444444444444442</v>
      </c>
      <c r="DE220"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144</v>
      </c>
      <c r="DF220"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20"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20" s="417">
        <f>IF(WWWW[[#This Row],['# of functional latrines in THF supported by WASH partners during the reporting period2]]="",0,WWWW[[#This Row],['# of functional latrines in THF supported by WASH partners during the reporting period2]]*50)</f>
        <v>0</v>
      </c>
      <c r="DI220" s="417">
        <f>ROUND(IF(WWWW[[#This Row],[Location Type 1]]="camp",WWWW[[#This Row],[Total PoP ]]/20,IF(WWWW[[#This Row],[Location Type 1]]="Temporary Location",WWWW[[#This Row],[Total PoP ]]/50,(WWWW[[#This Row],[Total PoP ]]/6))),0)</f>
        <v>16</v>
      </c>
      <c r="DJ220" s="417">
        <f>IF(WWWW[[#This Row],[Total required Latrines]]-(WWWW[[#This Row],['#_Constructed latrines_by_WASHAgencies]]+WWWW[[#This Row],['#_Non Cluster partner latrines]])&lt;0,0,WWWW[[#This Row],[Total required Latrines]]-(WWWW[[#This Row],['#_Constructed latrines_by_WASHAgencies]]+WWWW[[#This Row],['#_Non Cluster partner latrines]]))</f>
        <v>9</v>
      </c>
      <c r="DK220" s="951">
        <f>1-WWWW[[#This Row],[% people access to functioning Latrine]]</f>
        <v>0.55555555555555558</v>
      </c>
      <c r="DL220" s="615">
        <f>IF(OR(WWWW[[#This Row],['#_Non-functional latrines]]="",WWWW[[#This Row],['#_Non-functional latrines]]=0),0,WWWW[[#This Row],['#_Non-functional latrines]]/(WWWW[[#This Row],['#_Constructed latrines_by_WASHAgencies]]+WWWW[[#This Row],['#_Non Cluster partner latrines]]))</f>
        <v>0</v>
      </c>
      <c r="DM220" s="421">
        <f>IF(500*(WWWW[[#This Row],['#_male hygiene promoters]]+WWWW[[#This Row],['#_female hygiene promoters]])&gt;WWWW[[#This Row],[Total PoP ]],WWWW[[#This Row],[Total PoP ]],500*(WWWW[[#This Row],['#_male hygiene promoters]]+WWWW[[#This Row],['#_female hygiene promoters]]))</f>
        <v>324</v>
      </c>
      <c r="DN220"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20"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20" s="417">
        <f>IF(WWWW[[#This Row],['# People with access to soap]]&gt;WWWW[[#This Row],['# People with access to Sanity Pads]],WWWW[[#This Row],['# People with access to soap]],WWWW[[#This Row],['# People with access to Sanity Pads]])</f>
        <v>0</v>
      </c>
      <c r="DQ220" s="417">
        <f>IF(WWWW[[#This Row],['# people reached by regular dedicated hygiene promotion_5]]&gt;WWWW[[#This Row],['# People received regular supply of hygiene items_6]],WWWW[[#This Row],['# people reached by regular dedicated hygiene promotion_5]],WWWW[[#This Row],['# People received regular supply of hygiene items_6]])</f>
        <v>324</v>
      </c>
      <c r="DR220" s="951">
        <f>IF(WWWW[[#This Row],[HRP3]]/WWWW[[#This Row],[Total PoP ]]&gt;1,1,WWWW[[#This Row],[HRP3]]/WWWW[[#This Row],[Total PoP ]])</f>
        <v>1</v>
      </c>
      <c r="DS220" s="615">
        <f>1-WWWW[[#This Row],[Hygiene Coverage%]]</f>
        <v>0</v>
      </c>
      <c r="DT220" s="416">
        <f>WWWW[[#This Row],['# people reached by regular dedicated hygiene promotion_5]]/WWWW[[#This Row],[Total PoP ]]</f>
        <v>1</v>
      </c>
      <c r="DU220"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20"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20" s="417">
        <f>WWWW[[#This Row],['#_Constructed/Existing hand washing stations]]-WWWW[[#This Row],['#_Non-Functional_hand_washing_stations]]</f>
        <v>1</v>
      </c>
      <c r="DX220" s="421">
        <f>IF(WWWW[[#This Row],['# Functional hand washing stations during reporting period]]*20&gt;WWWW[[#This Row],[Total HH]],WWWW[[#This Row],[Total HH]],WWWW[[#This Row],['# Functional hand washing stations during reporting period]]*20)</f>
        <v>20</v>
      </c>
      <c r="DY220" s="421">
        <f>IF(WWWW[[#This Row],[Is sufficient soap available for TLS? (Yes/No)]]="yes",WWWW[[#This Row],['#_Constructed/Existing hand washing stations at TLS/CFS/THF]],0)</f>
        <v>0</v>
      </c>
      <c r="DZ220" s="421">
        <f>IF(WWWW[[#This Row],['# Functional hand washing stations during reporting period]]*100&gt;WWWW[[#This Row],[Total PoP ]],WWWW[[#This Row],[Total PoP ]],WWWW[[#This Row],['# Functional hand washing stations during reporting period]]*100)</f>
        <v>100</v>
      </c>
      <c r="EA220" s="421" t="str">
        <f>IF(OR(WWWW[[#This Row],['#_students at TLS_CFS]]="",WWWW[[#This Row],['#_students at TLS_CFS]]=0),"No","Yes")</f>
        <v>No</v>
      </c>
      <c r="EB22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20" s="566">
        <f>WWWW[[#This Row],[%_of_affected_people_surveyed_who_report_feeling_satistfied_with_the_latrine_design_and_sanitation_service]]*WWWW[[#This Row],[Total PoP ]]</f>
        <v>243</v>
      </c>
      <c r="ED220" s="566">
        <f>WWWW[[#This Row],[%_of_affected_people_surveyed_who_report_feeling_satistfied_with_the_water_point_design_and_water_service]]*WWWW[[#This Row],[Total PoP ]]</f>
        <v>162</v>
      </c>
      <c r="EE220" s="566">
        <f>WWWW[[#This Row],[%_of_complaints_received_that_result_in_timely_corrective_action_and_feedback_to_the_community]]*WWWW[[#This Row],[Total PoP ]]</f>
        <v>307.8</v>
      </c>
      <c r="EF22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307.8</v>
      </c>
      <c r="EG22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2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20" s="418" t="str">
        <f>VLOOKUP(WWWW[[#This Row],[Site Name]],SiteDB6[[Site Name]:[CCCM Management]],6,FALSE)</f>
        <v>Yes</v>
      </c>
      <c r="EJ220" s="418" t="str">
        <f>VLOOKUP(WWWW[[#This Row],[Site Name]],SiteDB6[[Site Name]:[CCCM Focal Agency]],7,FALSE)</f>
        <v>Shalom</v>
      </c>
      <c r="EK220" s="418" t="str">
        <f>VLOOKUP(WWWW[[#This Row],[Site Name]],SiteDB6[[Site Name]:[Location Type 1]],9,FALSE)</f>
        <v>Camp</v>
      </c>
      <c r="EL220" s="418" t="str">
        <f>VLOOKUP(WWWW[[#This Row],[Site Name]],SiteDB6[[Site Name]:[Type of Accommodation]],10,FALSE)</f>
        <v>Camp</v>
      </c>
      <c r="EM220" s="418" t="str">
        <f>VLOOKUP(WWWW[[#This Row],[Site Name]],SiteDB6[[Site Name]:[Ethnic or GCA/NGCA]],11,FALSE)</f>
        <v>GCA</v>
      </c>
      <c r="EN220" s="418">
        <f>VLOOKUP(WWWW[[#This Row],[Site Name]],SiteDB6[[Site Name]:[Lat]],12,FALSE)</f>
        <v>24.154199999999999</v>
      </c>
      <c r="EO220" s="418">
        <f>VLOOKUP(WWWW[[#This Row],[Site Name]],SiteDB6[[Site Name]:[Long]],13,FALSE)</f>
        <v>97.160600000000002</v>
      </c>
      <c r="EP220" s="418" t="str">
        <f>VLOOKUP(WWWW[[#This Row],[Site Name]],SiteDB6[[Site Name]:[Pcode]],3,FALSE)</f>
        <v>MMR001CMP281</v>
      </c>
      <c r="EQ220" s="950" t="str">
        <f t="shared" ref="EQ220:EQ251" si="4">IF(C220="none","Notcovered","Covered")</f>
        <v>Covered</v>
      </c>
      <c r="ER220" s="950" t="s">
        <v>136</v>
      </c>
      <c r="ES220" s="950" t="s">
        <v>3261</v>
      </c>
      <c r="ET220" s="418">
        <f>VLOOKUP(WWWW[[#This Row],[Site Name]],SiteDB6[[Site Name]:[Pop
(Kachin/Shan-CCCM as of May 2023)]],16,FALSE)</f>
        <v>67</v>
      </c>
      <c r="EU220" s="418">
        <f>VLOOKUP(WWWW[[#This Row],[Site Name]],SiteDB6[[Site Name]:[Pop
(Kachin/Shan-CCCM as of May 2023)]],17,FALSE)</f>
        <v>324</v>
      </c>
    </row>
    <row r="221" spans="1:151">
      <c r="A221" s="946" t="s">
        <v>2962</v>
      </c>
      <c r="B221" s="1065" t="s">
        <v>276</v>
      </c>
      <c r="C221" s="1066" t="s">
        <v>276</v>
      </c>
      <c r="D221" s="1066" t="s">
        <v>3352</v>
      </c>
      <c r="E221" s="1066" t="s">
        <v>37</v>
      </c>
      <c r="F221" s="1066" t="s">
        <v>195</v>
      </c>
      <c r="G221" s="902" t="str">
        <f>VLOOKUP(WWWW[[#This Row],[Site Name]],SiteDB6[[Site Name]:[Location Type]],8,FALSE)</f>
        <v>Camp</v>
      </c>
      <c r="H221" s="1066" t="s">
        <v>277</v>
      </c>
      <c r="I221" s="976">
        <v>145</v>
      </c>
      <c r="J221" s="976">
        <v>715</v>
      </c>
      <c r="K221" s="977">
        <v>45017</v>
      </c>
      <c r="L221" s="978">
        <v>45382</v>
      </c>
      <c r="M221" s="976"/>
      <c r="N221" s="976"/>
      <c r="O221" s="976">
        <v>3</v>
      </c>
      <c r="P221" s="976"/>
      <c r="Q221" s="979" t="s">
        <v>41</v>
      </c>
      <c r="R221" s="976">
        <v>5</v>
      </c>
      <c r="S221" s="976">
        <v>6</v>
      </c>
      <c r="T221" s="441">
        <v>2</v>
      </c>
      <c r="U221" s="976"/>
      <c r="V221" s="976"/>
      <c r="W221" s="976">
        <v>8</v>
      </c>
      <c r="X221" s="976"/>
      <c r="Y221" s="976"/>
      <c r="Z221" s="976"/>
      <c r="AA221" s="976"/>
      <c r="AB221" s="976"/>
      <c r="AC221" s="976"/>
      <c r="AD221" s="976"/>
      <c r="AE221" s="976"/>
      <c r="AF221" s="976"/>
      <c r="AG221" s="976">
        <v>3</v>
      </c>
      <c r="AH221" s="976"/>
      <c r="AI221" s="976">
        <v>12</v>
      </c>
      <c r="AJ221" s="976">
        <v>12</v>
      </c>
      <c r="AK221" s="976">
        <v>18</v>
      </c>
      <c r="AL221" s="976">
        <v>18</v>
      </c>
      <c r="AM221" s="976"/>
      <c r="AN221" s="976"/>
      <c r="AO221" s="441"/>
      <c r="AP221" s="980"/>
      <c r="AQ221" s="976">
        <v>52</v>
      </c>
      <c r="AR221" s="976"/>
      <c r="AS221" s="981"/>
      <c r="AT221" s="976"/>
      <c r="AU221" s="976"/>
      <c r="AV221" s="976">
        <v>64</v>
      </c>
      <c r="AW221" s="976">
        <v>80</v>
      </c>
      <c r="AX221" s="976"/>
      <c r="AY221" s="975" t="s">
        <v>41</v>
      </c>
      <c r="AZ221" s="980" t="s">
        <v>137</v>
      </c>
      <c r="BA221" s="976"/>
      <c r="BB221" s="976"/>
      <c r="BC221" s="976"/>
      <c r="BD221" s="441"/>
      <c r="BE221" s="441">
        <v>9</v>
      </c>
      <c r="BF221" s="975"/>
      <c r="BG221" s="976">
        <v>12</v>
      </c>
      <c r="BH221" s="976"/>
      <c r="BI221" s="976">
        <v>1</v>
      </c>
      <c r="BJ221" s="976">
        <v>5</v>
      </c>
      <c r="BK221" s="976"/>
      <c r="BL221" s="976">
        <v>1</v>
      </c>
      <c r="BM221" s="976">
        <v>2</v>
      </c>
      <c r="BN221" s="976"/>
      <c r="BO221" s="976" t="s">
        <v>3353</v>
      </c>
      <c r="BP221" s="975" t="s">
        <v>136</v>
      </c>
      <c r="BQ221" s="982">
        <v>3</v>
      </c>
      <c r="BR221" s="981">
        <v>0.6</v>
      </c>
      <c r="BS221" s="975" t="s">
        <v>3354</v>
      </c>
      <c r="BT221" s="416">
        <v>1</v>
      </c>
      <c r="BU221" s="416">
        <v>1</v>
      </c>
      <c r="BV221" s="418">
        <v>6</v>
      </c>
      <c r="BW221" s="416">
        <v>1</v>
      </c>
      <c r="BX221" s="441"/>
      <c r="BY221" s="441"/>
      <c r="BZ221" s="441"/>
      <c r="CA221" s="441"/>
      <c r="CB221" s="441"/>
      <c r="CC221" s="693"/>
      <c r="CD221" s="441"/>
      <c r="CE221" s="983">
        <f>IFERROR(WWWW[[#This Row],['#_Water sources passed]]/WWWW[[#This Row],['#_Water sources tested for fecal coliform ]],"no test")</f>
        <v>1</v>
      </c>
      <c r="CF221" s="981">
        <f>IFERROR(WWWW[[#This Row],['#_Household passed]]/WWWW[[#This Row],['#_Household water samples tested for fecal coliform]],"no test")</f>
        <v>1</v>
      </c>
      <c r="CG221" s="982" t="str">
        <f>IF(AND(WWWW[[#This Row],[% of water sources passed]]="no test",WWWW[[#This Row],[% Household passed]]="no test"),"No Test","Tested")</f>
        <v>Tested</v>
      </c>
      <c r="CH221" s="982">
        <f>WWWW[[#This Row],['#_Constructed/existing protected hand dug well]]-WWWW[[#This Row],['#_Non-functional protected hand dug well]]</f>
        <v>2</v>
      </c>
      <c r="CI221" s="982">
        <f>(WWWW[[#This Row],['#_Constructed/Existing tube wells/boreholes/handpumps_WASH_agency]]+WWWW[[#This Row],['#_Non-Cluster partner water tube-wells/boreholes/handpumps]])-WWWW[[#This Row],['#_Non-functional tube wells/boreholes/handpumps]]</f>
        <v>8</v>
      </c>
      <c r="CJ221" s="982">
        <f>WWWW[[#This Row],['#_Constructed/Existingwater storage tank with gravity fed reticulation system]]-WWWW[[#This Row],['#_Non-functional storage tank gravity fed reticulation system]]</f>
        <v>0</v>
      </c>
      <c r="CK221" s="982">
        <f>(WWWW[[#This Row],['#_Water_Liters_supplied_by_Water boating or water trucking]]/90)/15</f>
        <v>0</v>
      </c>
      <c r="CL221" s="982">
        <f>WWWW[[#This Row],['#_Water_Liters_from_Constructed/Existing water distribution system from river or natural spring]]/90/15</f>
        <v>0</v>
      </c>
      <c r="CM221" s="417">
        <f>IF(WWWW[[#This Row],['#_of water points in TLS/CFS]]*500&gt;WWWW[[#This Row],[Total PoP ]],WWWW[[#This Row],[Total PoP ]],WWWW[[#This Row],['#_of water points in TLS/CFS]]*500)</f>
        <v>0</v>
      </c>
      <c r="CN221" s="417">
        <f>IF(WWWW[[#This Row],['#_of water points in THF]]*500&gt;WWWW[[#This Row],[Total PoP ]],WWWW[[#This Row],[Total PoP ]],WWWW[[#This Row],['#_of water points in THF]]*500)</f>
        <v>0</v>
      </c>
      <c r="CO221" s="417"/>
      <c r="CP221" s="983">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21" s="983">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21" s="981">
        <f>IF(WWWW[[#This Row],[Location Type 1]]="Village",WWWW[[#This Row],[Access to safe drinking water for Village]],WWWW[[#This Row],[Access to safe drinking water for Camp]])</f>
        <v>1</v>
      </c>
      <c r="CS221" s="979">
        <f>WWWW[[#This Row],[%Equitable and continuous access to sufficient quantity of safe drinking water]]*WWWW[[#This Row],[Total PoP ]]</f>
        <v>715</v>
      </c>
      <c r="CT221" s="981">
        <f>IF((WWWW[[#This Row],['#_Constructed/Existing protected/fenced ponds]]*250)/WWWW[[#This Row],[Total PoP ]]&gt;1,1,(WWWW[[#This Row],['#_Constructed/Existing protected/fenced ponds]]*250)/WWWW[[#This Row],[Total PoP ]])</f>
        <v>0</v>
      </c>
      <c r="CU221" s="979">
        <f>WWWW[[#This Row],[% Access to unimproved water points]]*WWWW[[#This Row],[Total PoP ]]</f>
        <v>0</v>
      </c>
      <c r="CV221" s="9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21" s="9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715</v>
      </c>
      <c r="CX221" s="979">
        <f>WWWW[[#This Row],[HRP1]]/500</f>
        <v>1.43</v>
      </c>
      <c r="CY221" s="984">
        <f>1-WWWW[[#This Row],[% Equitable and continuous access to sufficient quantity of domestic water]]</f>
        <v>0</v>
      </c>
      <c r="CZ221" s="979">
        <f>WWWW[[#This Row],[%equitable and continuous access to sufficient quantity of safe drinking and domestic water''s GAP]]*WWWW[[#This Row],[Total PoP ]]</f>
        <v>0</v>
      </c>
      <c r="DA221" s="982">
        <f>IF(WWWW[[#This Row],[Total required water points]]-WWWW[[#This Row],['#Water points coverage]]&lt;0,0,WWWW[[#This Row],[Total required water points]]-WWWW[[#This Row],['#Water points coverage]])</f>
        <v>0</v>
      </c>
      <c r="DB221" s="982">
        <f>ROUND(IF(WWWW[[#This Row],[Total PoP ]]&lt;500,1,WWWW[[#This Row],[Total PoP ]]/500),0)</f>
        <v>1</v>
      </c>
      <c r="DC221" s="982">
        <f>(WWWW[[#This Row],['#_Constructed latrines_by_WASHAgencies]]+WWWW[[#This Row],['#_Non Cluster partner latrines]])-WWWW[[#This Row],['#_Non-functional latrines]]</f>
        <v>52</v>
      </c>
      <c r="DD221" s="615">
        <f>WWWW[[#This Row],[HRP2]]/WWWW[[#This Row],[Total PoP ]]</f>
        <v>1</v>
      </c>
      <c r="DE221" s="979">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715</v>
      </c>
      <c r="DF221" s="98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715</v>
      </c>
      <c r="DG221" s="982">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21" s="417">
        <f>IF(WWWW[[#This Row],['# of functional latrines in THF supported by WASH partners during the reporting period2]]="",0,WWWW[[#This Row],['# of functional latrines in THF supported by WASH partners during the reporting period2]]*50)</f>
        <v>0</v>
      </c>
      <c r="DI221" s="982">
        <f>ROUND(IF(WWWW[[#This Row],[Location Type 1]]="camp",WWWW[[#This Row],[Total PoP ]]/20,IF(WWWW[[#This Row],[Location Type 1]]="Temporary Location",WWWW[[#This Row],[Total PoP ]]/50,(WWWW[[#This Row],[Total PoP ]]/6))),0)</f>
        <v>36</v>
      </c>
      <c r="DJ221" s="982">
        <f>IF(WWWW[[#This Row],[Total required Latrines]]-(WWWW[[#This Row],['#_Constructed latrines_by_WASHAgencies]]+WWWW[[#This Row],['#_Non Cluster partner latrines]])&lt;0,0,WWWW[[#This Row],[Total required Latrines]]-(WWWW[[#This Row],['#_Constructed latrines_by_WASHAgencies]]+WWWW[[#This Row],['#_Non Cluster partner latrines]]))</f>
        <v>0</v>
      </c>
      <c r="DK221" s="984">
        <f>1-WWWW[[#This Row],[% people access to functioning Latrine]]</f>
        <v>0</v>
      </c>
      <c r="DL221" s="983">
        <f>IF(OR(WWWW[[#This Row],['#_Non-functional latrines]]="",WWWW[[#This Row],['#_Non-functional latrines]]=0),0,WWWW[[#This Row],['#_Non-functional latrines]]/(WWWW[[#This Row],['#_Constructed latrines_by_WASHAgencies]]+WWWW[[#This Row],['#_Non Cluster partner latrines]]))</f>
        <v>0</v>
      </c>
      <c r="DM221" s="979">
        <f>IF(500*(WWWW[[#This Row],['#_male hygiene promoters]]+WWWW[[#This Row],['#_female hygiene promoters]])&gt;WWWW[[#This Row],[Total PoP ]],WWWW[[#This Row],[Total PoP ]],500*(WWWW[[#This Row],['#_male hygiene promoters]]+WWWW[[#This Row],['#_female hygiene promoters]]))</f>
        <v>715</v>
      </c>
      <c r="DN221" s="982">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21" s="982">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715</v>
      </c>
      <c r="DP221" s="982">
        <f>IF(WWWW[[#This Row],['# People with access to soap]]&gt;WWWW[[#This Row],['# People with access to Sanity Pads]],WWWW[[#This Row],['# People with access to soap]],WWWW[[#This Row],['# People with access to Sanity Pads]])</f>
        <v>715</v>
      </c>
      <c r="DQ221" s="982">
        <f>IF(WWWW[[#This Row],['# people reached by regular dedicated hygiene promotion_5]]&gt;WWWW[[#This Row],['# People received regular supply of hygiene items_6]],WWWW[[#This Row],['# people reached by regular dedicated hygiene promotion_5]],WWWW[[#This Row],['# People received regular supply of hygiene items_6]])</f>
        <v>715</v>
      </c>
      <c r="DR221" s="984">
        <f>IF(WWWW[[#This Row],[HRP3]]/WWWW[[#This Row],[Total PoP ]]&gt;1,1,WWWW[[#This Row],[HRP3]]/WWWW[[#This Row],[Total PoP ]])</f>
        <v>1</v>
      </c>
      <c r="DS221" s="983">
        <f>1-WWWW[[#This Row],[Hygiene Coverage%]]</f>
        <v>0</v>
      </c>
      <c r="DT221" s="981">
        <f>WWWW[[#This Row],['# people reached by regular dedicated hygiene promotion_5]]/WWWW[[#This Row],[Total PoP ]]</f>
        <v>1</v>
      </c>
      <c r="DU221" s="98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21" s="981" t="e">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#VALUE!</v>
      </c>
      <c r="DW221" s="982">
        <f>WWWW[[#This Row],['#_Constructed/Existing hand washing stations]]-WWWW[[#This Row],['#_Non-Functional_hand_washing_stations]]</f>
        <v>12</v>
      </c>
      <c r="DX221" s="979">
        <f>IF(WWWW[[#This Row],['# Functional hand washing stations during reporting period]]*20&gt;WWWW[[#This Row],[Total HH]],WWWW[[#This Row],[Total HH]],WWWW[[#This Row],['# Functional hand washing stations during reporting period]]*20)</f>
        <v>145</v>
      </c>
      <c r="DY221" s="979">
        <f>IF(WWWW[[#This Row],[Is sufficient soap available for TLS? (Yes/No)]]="yes",WWWW[[#This Row],['#_Constructed/Existing hand washing stations at TLS/CFS/THF]],0)</f>
        <v>0</v>
      </c>
      <c r="DZ221" s="421">
        <f>IF(WWWW[[#This Row],['# Functional hand washing stations during reporting period]]*100&gt;WWWW[[#This Row],[Total PoP ]],WWWW[[#This Row],[Total PoP ]],WWWW[[#This Row],['# Functional hand washing stations during reporting period]]*100)</f>
        <v>715</v>
      </c>
      <c r="EA221" s="421" t="str">
        <f>IF(OR(WWWW[[#This Row],['#_students at TLS_CFS]]="",WWWW[[#This Row],['#_students at TLS_CFS]]=0),"No","Yes")</f>
        <v>No</v>
      </c>
      <c r="EB221" s="615">
        <f>IF(WWWW[[#This Row],['#_of_affected_people_surveyed_who_report_feeling_informed_about_the_different_WASH_services_available_to_them]]="","",WWWW[[#This Row],['#_of_affected_people_surveyed_who_report_feeling_informed_about_the_different_WASH_services_available_to_them]]/WWWW[[#This Row],[Total PoP ]])</f>
        <v>8.3916083916083916E-3</v>
      </c>
      <c r="EC221" s="566">
        <f>WWWW[[#This Row],[%_of_affected_people_surveyed_who_report_feeling_satistfied_with_the_latrine_design_and_sanitation_service]]*WWWW[[#This Row],[Total PoP ]]</f>
        <v>715</v>
      </c>
      <c r="ED221" s="566">
        <f>WWWW[[#This Row],[%_of_affected_people_surveyed_who_report_feeling_satistfied_with_the_water_point_design_and_water_service]]*WWWW[[#This Row],[Total PoP ]]</f>
        <v>715</v>
      </c>
      <c r="EE221" s="566">
        <f>WWWW[[#This Row],[%_of_complaints_received_that_result_in_timely_corrective_action_and_feedback_to_the_community]]*WWWW[[#This Row],[Total PoP ]]</f>
        <v>715</v>
      </c>
      <c r="EF22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715</v>
      </c>
      <c r="EG22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2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21" s="975" t="str">
        <f>VLOOKUP(WWWW[[#This Row],[Site Name]],SiteDB6[[Site Name]:[CCCM Management]],6,FALSE)</f>
        <v>Yes</v>
      </c>
      <c r="EJ221" s="975" t="str">
        <f>VLOOKUP(WWWW[[#This Row],[Site Name]],SiteDB6[[Site Name]:[CCCM Focal Agency]],7,FALSE)</f>
        <v>KMSS-BMO</v>
      </c>
      <c r="EK221" s="975" t="str">
        <f>VLOOKUP(WWWW[[#This Row],[Site Name]],SiteDB6[[Site Name]:[Location Type 1]],9,FALSE)</f>
        <v>Camp</v>
      </c>
      <c r="EL221" s="975" t="str">
        <f>VLOOKUP(WWWW[[#This Row],[Site Name]],SiteDB6[[Site Name]:[Type of Accommodation]],10,FALSE)</f>
        <v>Camp</v>
      </c>
      <c r="EM221" s="975" t="str">
        <f>VLOOKUP(WWWW[[#This Row],[Site Name]],SiteDB6[[Site Name]:[Ethnic or GCA/NGCA]],11,FALSE)</f>
        <v>GCA</v>
      </c>
      <c r="EN221" s="975">
        <f>VLOOKUP(WWWW[[#This Row],[Site Name]],SiteDB6[[Site Name]:[Lat]],12,FALSE)</f>
        <v>24.260719999999999</v>
      </c>
      <c r="EO221" s="975">
        <f>VLOOKUP(WWWW[[#This Row],[Site Name]],SiteDB6[[Site Name]:[Long]],13,FALSE)</f>
        <v>97.238829999999993</v>
      </c>
      <c r="EP221" s="975" t="str">
        <f>VLOOKUP(WWWW[[#This Row],[Site Name]],SiteDB6[[Site Name]:[Pcode]],3,FALSE)</f>
        <v>MMR001CMP050</v>
      </c>
      <c r="EQ221" s="980" t="str">
        <f t="shared" si="4"/>
        <v>Covered</v>
      </c>
      <c r="ER221" s="950" t="s">
        <v>3126</v>
      </c>
      <c r="ES221" s="980"/>
      <c r="ET221" s="975">
        <f>VLOOKUP(WWWW[[#This Row],[Site Name]],SiteDB6[[Site Name]:[Pop
(Kachin/Shan-CCCM as of May 2023)]],16,FALSE)</f>
        <v>145</v>
      </c>
      <c r="EU221" s="975">
        <f>VLOOKUP(WWWW[[#This Row],[Site Name]],SiteDB6[[Site Name]:[Pop
(Kachin/Shan-CCCM as of May 2023)]],17,FALSE)</f>
        <v>671</v>
      </c>
    </row>
    <row r="222" spans="1:151">
      <c r="A222" s="1004" t="s">
        <v>2962</v>
      </c>
      <c r="B222" s="1004" t="s">
        <v>192</v>
      </c>
      <c r="C222" s="1005" t="s">
        <v>192</v>
      </c>
      <c r="D222" s="1005" t="s">
        <v>3317</v>
      </c>
      <c r="E222" s="1005" t="s">
        <v>37</v>
      </c>
      <c r="F222" s="1005" t="s">
        <v>195</v>
      </c>
      <c r="G222" s="902" t="str">
        <f>VLOOKUP(WWWW[[#This Row],[Site Name]],SiteDB6[[Site Name]:[Location Type]],8,FALSE)</f>
        <v>Camp</v>
      </c>
      <c r="H222" s="1005" t="s">
        <v>196</v>
      </c>
      <c r="I222" s="954">
        <v>36</v>
      </c>
      <c r="J222" s="954">
        <v>222</v>
      </c>
      <c r="K222" s="955" t="s">
        <v>3318</v>
      </c>
      <c r="L222" s="956" t="s">
        <v>3319</v>
      </c>
      <c r="M222" s="954"/>
      <c r="N222" s="954"/>
      <c r="O222" s="954"/>
      <c r="P222" s="954"/>
      <c r="Q222" s="957" t="s">
        <v>41</v>
      </c>
      <c r="R222" s="954">
        <v>1</v>
      </c>
      <c r="S222" s="954">
        <v>1</v>
      </c>
      <c r="T222" s="441">
        <v>1</v>
      </c>
      <c r="U222" s="954"/>
      <c r="V222" s="954"/>
      <c r="W222" s="954">
        <v>1</v>
      </c>
      <c r="X222" s="954"/>
      <c r="Y222" s="954"/>
      <c r="Z222" s="954"/>
      <c r="AA222" s="954"/>
      <c r="AB222" s="954"/>
      <c r="AC222" s="954"/>
      <c r="AD222" s="954"/>
      <c r="AE222" s="954"/>
      <c r="AF222" s="954"/>
      <c r="AG222" s="954"/>
      <c r="AH222" s="954"/>
      <c r="AI222" s="954"/>
      <c r="AJ222" s="954"/>
      <c r="AK222" s="954"/>
      <c r="AL222" s="954"/>
      <c r="AM222" s="954"/>
      <c r="AN222" s="954"/>
      <c r="AO222" s="441"/>
      <c r="AP222" s="958"/>
      <c r="AQ222" s="954">
        <v>2</v>
      </c>
      <c r="AR222" s="954"/>
      <c r="AS222" s="959"/>
      <c r="AT222" s="954"/>
      <c r="AU222" s="954"/>
      <c r="AV222" s="954"/>
      <c r="AW222" s="954"/>
      <c r="AX222" s="954"/>
      <c r="AY222" s="953" t="s">
        <v>41</v>
      </c>
      <c r="AZ222" s="958" t="s">
        <v>137</v>
      </c>
      <c r="BA222" s="954"/>
      <c r="BB222" s="954"/>
      <c r="BC222" s="954"/>
      <c r="BD222" s="441"/>
      <c r="BE222" s="441"/>
      <c r="BF222" s="953"/>
      <c r="BG222" s="954"/>
      <c r="BH222" s="954"/>
      <c r="BI222" s="954">
        <v>3</v>
      </c>
      <c r="BJ222" s="954"/>
      <c r="BK222" s="954"/>
      <c r="BL222" s="954"/>
      <c r="BM222" s="954"/>
      <c r="BN222" s="954"/>
      <c r="BO222" s="954"/>
      <c r="BP222" s="953"/>
      <c r="BQ222" s="960"/>
      <c r="BR222" s="959"/>
      <c r="BS222" s="953"/>
      <c r="BT222" s="416"/>
      <c r="BU222" s="416"/>
      <c r="BV222" s="418"/>
      <c r="BW222" s="416"/>
      <c r="BX222" s="441"/>
      <c r="BY222" s="441"/>
      <c r="BZ222" s="441"/>
      <c r="CA222" s="441"/>
      <c r="CB222" s="441"/>
      <c r="CC222" s="693"/>
      <c r="CD222" s="441"/>
      <c r="CE222" s="961" t="str">
        <f>IFERROR(WWWW[[#This Row],['#_Water sources passed]]/WWWW[[#This Row],['#_Water sources tested for fecal coliform ]],"no test")</f>
        <v>no test</v>
      </c>
      <c r="CF222" s="959" t="str">
        <f>IFERROR(WWWW[[#This Row],['#_Household passed]]/WWWW[[#This Row],['#_Household water samples tested for fecal coliform]],"no test")</f>
        <v>no test</v>
      </c>
      <c r="CG222" s="960" t="str">
        <f>IF(AND(WWWW[[#This Row],[% of water sources passed]]="no test",WWWW[[#This Row],[% Household passed]]="no test"),"No Test","Tested")</f>
        <v>No Test</v>
      </c>
      <c r="CH222" s="960">
        <f>WWWW[[#This Row],['#_Constructed/existing protected hand dug well]]-WWWW[[#This Row],['#_Non-functional protected hand dug well]]</f>
        <v>1</v>
      </c>
      <c r="CI222" s="960">
        <f>(WWWW[[#This Row],['#_Constructed/Existing tube wells/boreholes/handpumps_WASH_agency]]+WWWW[[#This Row],['#_Non-Cluster partner water tube-wells/boreholes/handpumps]])-WWWW[[#This Row],['#_Non-functional tube wells/boreholes/handpumps]]</f>
        <v>1</v>
      </c>
      <c r="CJ222" s="960">
        <f>WWWW[[#This Row],['#_Constructed/Existingwater storage tank with gravity fed reticulation system]]-WWWW[[#This Row],['#_Non-functional storage tank gravity fed reticulation system]]</f>
        <v>0</v>
      </c>
      <c r="CK222" s="960">
        <f>(WWWW[[#This Row],['#_Water_Liters_supplied_by_Water boating or water trucking]]/90)/15</f>
        <v>0</v>
      </c>
      <c r="CL222" s="960">
        <f>WWWW[[#This Row],['#_Water_Liters_from_Constructed/Existing water distribution system from river or natural spring]]/90/15</f>
        <v>0</v>
      </c>
      <c r="CM222" s="417">
        <f>IF(WWWW[[#This Row],['#_of water points in TLS/CFS]]*500&gt;WWWW[[#This Row],[Total PoP ]],WWWW[[#This Row],[Total PoP ]],WWWW[[#This Row],['#_of water points in TLS/CFS]]*500)</f>
        <v>0</v>
      </c>
      <c r="CN222" s="417">
        <f>IF(WWWW[[#This Row],['#_of water points in THF]]*500&gt;WWWW[[#This Row],[Total PoP ]],WWWW[[#This Row],[Total PoP ]],WWWW[[#This Row],['#_of water points in THF]]*500)</f>
        <v>0</v>
      </c>
      <c r="CO222" s="417"/>
      <c r="CP222"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22"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22" s="959">
        <f>IF(WWWW[[#This Row],[Location Type 1]]="Village",WWWW[[#This Row],[Access to safe drinking water for Village]],WWWW[[#This Row],[Access to safe drinking water for Camp]])</f>
        <v>1</v>
      </c>
      <c r="CS222" s="957">
        <f>WWWW[[#This Row],[%Equitable and continuous access to sufficient quantity of safe drinking water]]*WWWW[[#This Row],[Total PoP ]]</f>
        <v>222</v>
      </c>
      <c r="CT222" s="959">
        <f>IF((WWWW[[#This Row],['#_Constructed/Existing protected/fenced ponds]]*250)/WWWW[[#This Row],[Total PoP ]]&gt;1,1,(WWWW[[#This Row],['#_Constructed/Existing protected/fenced ponds]]*250)/WWWW[[#This Row],[Total PoP ]])</f>
        <v>0</v>
      </c>
      <c r="CU222" s="957">
        <f>WWWW[[#This Row],[% Access to unimproved water points]]*WWWW[[#This Row],[Total PoP ]]</f>
        <v>0</v>
      </c>
      <c r="CV222"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22"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222</v>
      </c>
      <c r="CX222" s="957">
        <f>WWWW[[#This Row],[HRP1]]/500</f>
        <v>0.44400000000000001</v>
      </c>
      <c r="CY222" s="962">
        <f>1-WWWW[[#This Row],[% Equitable and continuous access to sufficient quantity of domestic water]]</f>
        <v>0</v>
      </c>
      <c r="CZ222" s="957">
        <f>WWWW[[#This Row],[%equitable and continuous access to sufficient quantity of safe drinking and domestic water''s GAP]]*WWWW[[#This Row],[Total PoP ]]</f>
        <v>0</v>
      </c>
      <c r="DA222" s="960">
        <f>IF(WWWW[[#This Row],[Total required water points]]-WWWW[[#This Row],['#Water points coverage]]&lt;0,0,WWWW[[#This Row],[Total required water points]]-WWWW[[#This Row],['#Water points coverage]])</f>
        <v>0.55600000000000005</v>
      </c>
      <c r="DB222" s="960">
        <f>ROUND(IF(WWWW[[#This Row],[Total PoP ]]&lt;500,1,WWWW[[#This Row],[Total PoP ]]/500),0)</f>
        <v>1</v>
      </c>
      <c r="DC222" s="960">
        <f>(WWWW[[#This Row],['#_Constructed latrines_by_WASHAgencies]]+WWWW[[#This Row],['#_Non Cluster partner latrines]])-WWWW[[#This Row],['#_Non-functional latrines]]</f>
        <v>2</v>
      </c>
      <c r="DD222" s="615">
        <f>WWWW[[#This Row],[HRP2]]/WWWW[[#This Row],[Total PoP ]]</f>
        <v>0.18018018018018017</v>
      </c>
      <c r="DE222"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222"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22"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22" s="417">
        <f>IF(WWWW[[#This Row],['# of functional latrines in THF supported by WASH partners during the reporting period2]]="",0,WWWW[[#This Row],['# of functional latrines in THF supported by WASH partners during the reporting period2]]*50)</f>
        <v>0</v>
      </c>
      <c r="DI222" s="960">
        <f>ROUND(IF(WWWW[[#This Row],[Location Type 1]]="camp",WWWW[[#This Row],[Total PoP ]]/20,IF(WWWW[[#This Row],[Location Type 1]]="Temporary Location",WWWW[[#This Row],[Total PoP ]]/50,(WWWW[[#This Row],[Total PoP ]]/6))),0)</f>
        <v>11</v>
      </c>
      <c r="DJ222" s="960">
        <f>IF(WWWW[[#This Row],[Total required Latrines]]-(WWWW[[#This Row],['#_Constructed latrines_by_WASHAgencies]]+WWWW[[#This Row],['#_Non Cluster partner latrines]])&lt;0,0,WWWW[[#This Row],[Total required Latrines]]-(WWWW[[#This Row],['#_Constructed latrines_by_WASHAgencies]]+WWWW[[#This Row],['#_Non Cluster partner latrines]]))</f>
        <v>9</v>
      </c>
      <c r="DK222" s="962">
        <f>1-WWWW[[#This Row],[% people access to functioning Latrine]]</f>
        <v>0.81981981981981988</v>
      </c>
      <c r="DL222" s="961">
        <f>IF(OR(WWWW[[#This Row],['#_Non-functional latrines]]="",WWWW[[#This Row],['#_Non-functional latrines]]=0),0,WWWW[[#This Row],['#_Non-functional latrines]]/(WWWW[[#This Row],['#_Constructed latrines_by_WASHAgencies]]+WWWW[[#This Row],['#_Non Cluster partner latrines]]))</f>
        <v>0</v>
      </c>
      <c r="DM222" s="957">
        <f>IF(500*(WWWW[[#This Row],['#_male hygiene promoters]]+WWWW[[#This Row],['#_female hygiene promoters]])&gt;WWWW[[#This Row],[Total PoP ]],WWWW[[#This Row],[Total PoP ]],500*(WWWW[[#This Row],['#_male hygiene promoters]]+WWWW[[#This Row],['#_female hygiene promoters]]))</f>
        <v>0</v>
      </c>
      <c r="DN222"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22"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22" s="960">
        <f>IF(WWWW[[#This Row],['# People with access to soap]]&gt;WWWW[[#This Row],['# People with access to Sanity Pads]],WWWW[[#This Row],['# People with access to soap]],WWWW[[#This Row],['# People with access to Sanity Pads]])</f>
        <v>0</v>
      </c>
      <c r="DQ222" s="960">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22" s="962">
        <f>IF(WWWW[[#This Row],[HRP3]]/WWWW[[#This Row],[Total PoP ]]&gt;1,1,WWWW[[#This Row],[HRP3]]/WWWW[[#This Row],[Total PoP ]])</f>
        <v>0</v>
      </c>
      <c r="DS222" s="961">
        <f>1-WWWW[[#This Row],[Hygiene Coverage%]]</f>
        <v>1</v>
      </c>
      <c r="DT222" s="959">
        <f>WWWW[[#This Row],['# people reached by regular dedicated hygiene promotion_5]]/WWWW[[#This Row],[Total PoP ]]</f>
        <v>0</v>
      </c>
      <c r="DU222"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22"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22" s="960">
        <f>WWWW[[#This Row],['#_Constructed/Existing hand washing stations]]-WWWW[[#This Row],['#_Non-Functional_hand_washing_stations]]</f>
        <v>0</v>
      </c>
      <c r="DX222" s="957">
        <f>IF(WWWW[[#This Row],['# Functional hand washing stations during reporting period]]*20&gt;WWWW[[#This Row],[Total HH]],WWWW[[#This Row],[Total HH]],WWWW[[#This Row],['# Functional hand washing stations during reporting period]]*20)</f>
        <v>0</v>
      </c>
      <c r="DY222" s="957">
        <f>IF(WWWW[[#This Row],[Is sufficient soap available for TLS? (Yes/No)]]="yes",WWWW[[#This Row],['#_Constructed/Existing hand washing stations at TLS/CFS/THF]],0)</f>
        <v>0</v>
      </c>
      <c r="DZ222" s="421">
        <f>IF(WWWW[[#This Row],['# Functional hand washing stations during reporting period]]*100&gt;WWWW[[#This Row],[Total PoP ]],WWWW[[#This Row],[Total PoP ]],WWWW[[#This Row],['# Functional hand washing stations during reporting period]]*100)</f>
        <v>0</v>
      </c>
      <c r="EA222" s="421" t="str">
        <f>IF(OR(WWWW[[#This Row],['#_students at TLS_CFS]]="",WWWW[[#This Row],['#_students at TLS_CFS]]=0),"No","Yes")</f>
        <v>No</v>
      </c>
      <c r="EB22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22" s="566">
        <f>WWWW[[#This Row],[%_of_affected_people_surveyed_who_report_feeling_satistfied_with_the_latrine_design_and_sanitation_service]]*WWWW[[#This Row],[Total PoP ]]</f>
        <v>0</v>
      </c>
      <c r="ED222" s="566">
        <f>WWWW[[#This Row],[%_of_affected_people_surveyed_who_report_feeling_satistfied_with_the_water_point_design_and_water_service]]*WWWW[[#This Row],[Total PoP ]]</f>
        <v>0</v>
      </c>
      <c r="EE222" s="566">
        <f>WWWW[[#This Row],[%_of_complaints_received_that_result_in_timely_corrective_action_and_feedback_to_the_community]]*WWWW[[#This Row],[Total PoP ]]</f>
        <v>0</v>
      </c>
      <c r="EF22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2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2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22" s="953" t="str">
        <f>VLOOKUP(WWWW[[#This Row],[Site Name]],SiteDB6[[Site Name]:[CCCM Management]],6,FALSE)</f>
        <v>Yes</v>
      </c>
      <c r="EJ222" s="953" t="str">
        <f>VLOOKUP(WWWW[[#This Row],[Site Name]],SiteDB6[[Site Name]:[CCCM Focal Agency]],7,FALSE)</f>
        <v>KBC-BMO</v>
      </c>
      <c r="EK222" s="953" t="str">
        <f>VLOOKUP(WWWW[[#This Row],[Site Name]],SiteDB6[[Site Name]:[Location Type 1]],9,FALSE)</f>
        <v>Camp</v>
      </c>
      <c r="EL222" s="953" t="str">
        <f>VLOOKUP(WWWW[[#This Row],[Site Name]],SiteDB6[[Site Name]:[Type of Accommodation]],10,FALSE)</f>
        <v>Camp</v>
      </c>
      <c r="EM222" s="953" t="str">
        <f>VLOOKUP(WWWW[[#This Row],[Site Name]],SiteDB6[[Site Name]:[Ethnic or GCA/NGCA]],11,FALSE)</f>
        <v>GCA</v>
      </c>
      <c r="EN222" s="953">
        <f>VLOOKUP(WWWW[[#This Row],[Site Name]],SiteDB6[[Site Name]:[Lat]],12,FALSE)</f>
        <v>24.260466999999998</v>
      </c>
      <c r="EO222" s="953">
        <f>VLOOKUP(WWWW[[#This Row],[Site Name]],SiteDB6[[Site Name]:[Long]],13,FALSE)</f>
        <v>97.252650000000003</v>
      </c>
      <c r="EP222" s="953" t="str">
        <f>VLOOKUP(WWWW[[#This Row],[Site Name]],SiteDB6[[Site Name]:[Pcode]],3,FALSE)</f>
        <v>MMR001CMP194</v>
      </c>
      <c r="EQ222" s="958" t="str">
        <f t="shared" si="4"/>
        <v>Covered</v>
      </c>
      <c r="ER222" s="950" t="s">
        <v>3126</v>
      </c>
      <c r="ES222" s="950" t="s">
        <v>3278</v>
      </c>
      <c r="ET222" s="953">
        <f>VLOOKUP(WWWW[[#This Row],[Site Name]],SiteDB6[[Site Name]:[Pop
(Kachin/Shan-CCCM as of May 2023)]],16,FALSE)</f>
        <v>5</v>
      </c>
      <c r="EU222" s="953">
        <f>VLOOKUP(WWWW[[#This Row],[Site Name]],SiteDB6[[Site Name]:[Pop
(Kachin/Shan-CCCM as of May 2023)]],17,FALSE)</f>
        <v>23</v>
      </c>
    </row>
    <row r="223" spans="1:151">
      <c r="A223" s="946" t="s">
        <v>2962</v>
      </c>
      <c r="B223" s="946" t="s">
        <v>309</v>
      </c>
      <c r="C223" s="938" t="s">
        <v>309</v>
      </c>
      <c r="D223" s="938"/>
      <c r="E223" s="938" t="s">
        <v>37</v>
      </c>
      <c r="F223" s="938" t="s">
        <v>195</v>
      </c>
      <c r="G223" s="902" t="str">
        <f>VLOOKUP(WWWW[[#This Row],[Site Name]],SiteDB6[[Site Name]:[Location Type]],8,FALSE)</f>
        <v>Camp</v>
      </c>
      <c r="H223" s="938" t="s">
        <v>2870</v>
      </c>
      <c r="I223" s="441">
        <v>181</v>
      </c>
      <c r="J223" s="441">
        <v>906</v>
      </c>
      <c r="K223" s="948"/>
      <c r="L223" s="949"/>
      <c r="M223" s="441"/>
      <c r="N223" s="441"/>
      <c r="O223" s="441"/>
      <c r="P223" s="441"/>
      <c r="Q223" s="421"/>
      <c r="R223" s="441"/>
      <c r="S223" s="441">
        <v>4</v>
      </c>
      <c r="T223" s="441"/>
      <c r="U223" s="441"/>
      <c r="V223" s="441"/>
      <c r="W223" s="441"/>
      <c r="X223" s="441"/>
      <c r="Y223" s="441"/>
      <c r="Z223" s="441"/>
      <c r="AA223" s="441"/>
      <c r="AB223" s="441"/>
      <c r="AC223" s="441"/>
      <c r="AD223" s="441"/>
      <c r="AE223" s="441"/>
      <c r="AF223" s="441"/>
      <c r="AG223" s="441"/>
      <c r="AH223" s="441"/>
      <c r="AI223" s="441"/>
      <c r="AJ223" s="441"/>
      <c r="AK223" s="441"/>
      <c r="AL223" s="441"/>
      <c r="AM223" s="441"/>
      <c r="AN223" s="441"/>
      <c r="AO223" s="441"/>
      <c r="AP223" s="950"/>
      <c r="AQ223" s="441"/>
      <c r="AR223" s="441"/>
      <c r="AS223" s="416"/>
      <c r="AT223" s="441"/>
      <c r="AU223" s="441"/>
      <c r="AV223" s="441"/>
      <c r="AW223" s="441"/>
      <c r="AX223" s="441"/>
      <c r="AY223" s="418" t="s">
        <v>140</v>
      </c>
      <c r="AZ223" s="950" t="s">
        <v>140</v>
      </c>
      <c r="BA223" s="441"/>
      <c r="BB223" s="441"/>
      <c r="BC223" s="441"/>
      <c r="BD223" s="441"/>
      <c r="BE223" s="441"/>
      <c r="BF223" s="418"/>
      <c r="BG223" s="441">
        <v>7</v>
      </c>
      <c r="BH223" s="441"/>
      <c r="BI223" s="441"/>
      <c r="BJ223" s="441">
        <v>7</v>
      </c>
      <c r="BK223" s="441"/>
      <c r="BL223" s="441"/>
      <c r="BM223" s="441"/>
      <c r="BN223" s="441"/>
      <c r="BO223" s="441"/>
      <c r="BP223" s="418"/>
      <c r="BQ223" s="417"/>
      <c r="BR223" s="416"/>
      <c r="BS223" s="418"/>
      <c r="BT223" s="416"/>
      <c r="BU223" s="416"/>
      <c r="BV223" s="418"/>
      <c r="BW223" s="416"/>
      <c r="BX223" s="441"/>
      <c r="BY223" s="441"/>
      <c r="BZ223" s="441"/>
      <c r="CA223" s="441"/>
      <c r="CB223" s="441"/>
      <c r="CC223" s="693"/>
      <c r="CD223" s="441"/>
      <c r="CE223" s="615" t="str">
        <f>IFERROR(WWWW[[#This Row],['#_Water sources passed]]/WWWW[[#This Row],['#_Water sources tested for fecal coliform ]],"no test")</f>
        <v>no test</v>
      </c>
      <c r="CF223" s="416" t="str">
        <f>IFERROR(WWWW[[#This Row],['#_Household passed]]/WWWW[[#This Row],['#_Household water samples tested for fecal coliform]],"no test")</f>
        <v>no test</v>
      </c>
      <c r="CG223" s="417" t="str">
        <f>IF(AND(WWWW[[#This Row],[% of water sources passed]]="no test",WWWW[[#This Row],[% Household passed]]="no test"),"No Test","Tested")</f>
        <v>No Test</v>
      </c>
      <c r="CH223" s="417">
        <f>WWWW[[#This Row],['#_Constructed/existing protected hand dug well]]-WWWW[[#This Row],['#_Non-functional protected hand dug well]]</f>
        <v>0</v>
      </c>
      <c r="CI223" s="417">
        <f>(WWWW[[#This Row],['#_Constructed/Existing tube wells/boreholes/handpumps_WASH_agency]]+WWWW[[#This Row],['#_Non-Cluster partner water tube-wells/boreholes/handpumps]])-WWWW[[#This Row],['#_Non-functional tube wells/boreholes/handpumps]]</f>
        <v>0</v>
      </c>
      <c r="CJ223" s="417">
        <f>WWWW[[#This Row],['#_Constructed/Existingwater storage tank with gravity fed reticulation system]]-WWWW[[#This Row],['#_Non-functional storage tank gravity fed reticulation system]]</f>
        <v>0</v>
      </c>
      <c r="CK223" s="417">
        <f>(WWWW[[#This Row],['#_Water_Liters_supplied_by_Water boating or water trucking]]/90)/15</f>
        <v>0</v>
      </c>
      <c r="CL223" s="417">
        <f>WWWW[[#This Row],['#_Water_Liters_from_Constructed/Existing water distribution system from river or natural spring]]/90/15</f>
        <v>0</v>
      </c>
      <c r="CM223" s="417">
        <f>IF(WWWW[[#This Row],['#_of water points in TLS/CFS]]*500&gt;WWWW[[#This Row],[Total PoP ]],WWWW[[#This Row],[Total PoP ]],WWWW[[#This Row],['#_of water points in TLS/CFS]]*500)</f>
        <v>0</v>
      </c>
      <c r="CN223" s="417">
        <f>IF(WWWW[[#This Row],['#_of water points in THF]]*500&gt;WWWW[[#This Row],[Total PoP ]],WWWW[[#This Row],[Total PoP ]],WWWW[[#This Row],['#_of water points in THF]]*500)</f>
        <v>0</v>
      </c>
      <c r="CO223" s="417"/>
      <c r="CP223"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23"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23" s="416">
        <f>IF(WWWW[[#This Row],[Location Type 1]]="Village",WWWW[[#This Row],[Access to safe drinking water for Village]],WWWW[[#This Row],[Access to safe drinking water for Camp]])</f>
        <v>0</v>
      </c>
      <c r="CS223" s="421">
        <f>WWWW[[#This Row],[%Equitable and continuous access to sufficient quantity of safe drinking water]]*WWWW[[#This Row],[Total PoP ]]</f>
        <v>0</v>
      </c>
      <c r="CT223" s="416">
        <f>IF((WWWW[[#This Row],['#_Constructed/Existing protected/fenced ponds]]*250)/WWWW[[#This Row],[Total PoP ]]&gt;1,1,(WWWW[[#This Row],['#_Constructed/Existing protected/fenced ponds]]*250)/WWWW[[#This Row],[Total PoP ]])</f>
        <v>0</v>
      </c>
      <c r="CU223" s="421">
        <f>WWWW[[#This Row],[% Access to unimproved water points]]*WWWW[[#This Row],[Total PoP ]]</f>
        <v>0</v>
      </c>
      <c r="CV223"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223"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223" s="421">
        <f>WWWW[[#This Row],[HRP1]]/500</f>
        <v>0</v>
      </c>
      <c r="CY223" s="951">
        <f>1-WWWW[[#This Row],[% Equitable and continuous access to sufficient quantity of domestic water]]</f>
        <v>1</v>
      </c>
      <c r="CZ223" s="421">
        <f>WWWW[[#This Row],[%equitable and continuous access to sufficient quantity of safe drinking and domestic water''s GAP]]*WWWW[[#This Row],[Total PoP ]]</f>
        <v>906</v>
      </c>
      <c r="DA223" s="417">
        <f>IF(WWWW[[#This Row],[Total required water points]]-WWWW[[#This Row],['#Water points coverage]]&lt;0,0,WWWW[[#This Row],[Total required water points]]-WWWW[[#This Row],['#Water points coverage]])</f>
        <v>2</v>
      </c>
      <c r="DB223" s="417">
        <f>ROUND(IF(WWWW[[#This Row],[Total PoP ]]&lt;500,1,WWWW[[#This Row],[Total PoP ]]/500),0)</f>
        <v>2</v>
      </c>
      <c r="DC223" s="417">
        <f>(WWWW[[#This Row],['#_Constructed latrines_by_WASHAgencies]]+WWWW[[#This Row],['#_Non Cluster partner latrines]])-WWWW[[#This Row],['#_Non-functional latrines]]</f>
        <v>0</v>
      </c>
      <c r="DD223" s="615">
        <f>WWWW[[#This Row],[HRP2]]/WWWW[[#This Row],[Total PoP ]]</f>
        <v>0</v>
      </c>
      <c r="DE223"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23"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23"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23" s="417">
        <f>IF(WWWW[[#This Row],['# of functional latrines in THF supported by WASH partners during the reporting period2]]="",0,WWWW[[#This Row],['# of functional latrines in THF supported by WASH partners during the reporting period2]]*50)</f>
        <v>0</v>
      </c>
      <c r="DI223" s="417">
        <f>ROUND(IF(WWWW[[#This Row],[Location Type 1]]="camp",WWWW[[#This Row],[Total PoP ]]/20,IF(WWWW[[#This Row],[Location Type 1]]="Temporary Location",WWWW[[#This Row],[Total PoP ]]/50,(WWWW[[#This Row],[Total PoP ]]/6))),0)</f>
        <v>45</v>
      </c>
      <c r="DJ223" s="417">
        <f>IF(WWWW[[#This Row],[Total required Latrines]]-(WWWW[[#This Row],['#_Constructed latrines_by_WASHAgencies]]+WWWW[[#This Row],['#_Non Cluster partner latrines]])&lt;0,0,WWWW[[#This Row],[Total required Latrines]]-(WWWW[[#This Row],['#_Constructed latrines_by_WASHAgencies]]+WWWW[[#This Row],['#_Non Cluster partner latrines]]))</f>
        <v>45</v>
      </c>
      <c r="DK223" s="951">
        <f>1-WWWW[[#This Row],[% people access to functioning Latrine]]</f>
        <v>1</v>
      </c>
      <c r="DL223" s="615">
        <f>IF(OR(WWWW[[#This Row],['#_Non-functional latrines]]="",WWWW[[#This Row],['#_Non-functional latrines]]=0),0,WWWW[[#This Row],['#_Non-functional latrines]]/(WWWW[[#This Row],['#_Constructed latrines_by_WASHAgencies]]+WWWW[[#This Row],['#_Non Cluster partner latrines]]))</f>
        <v>0</v>
      </c>
      <c r="DM223" s="421">
        <f>IF(500*(WWWW[[#This Row],['#_male hygiene promoters]]+WWWW[[#This Row],['#_female hygiene promoters]])&gt;WWWW[[#This Row],[Total PoP ]],WWWW[[#This Row],[Total PoP ]],500*(WWWW[[#This Row],['#_male hygiene promoters]]+WWWW[[#This Row],['#_female hygiene promoters]]))</f>
        <v>0</v>
      </c>
      <c r="DN223"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23"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23" s="417">
        <f>IF(WWWW[[#This Row],['# People with access to soap]]&gt;WWWW[[#This Row],['# People with access to Sanity Pads]],WWWW[[#This Row],['# People with access to soap]],WWWW[[#This Row],['# People with access to Sanity Pads]])</f>
        <v>0</v>
      </c>
      <c r="DQ223"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23" s="951">
        <f>IF(WWWW[[#This Row],[HRP3]]/WWWW[[#This Row],[Total PoP ]]&gt;1,1,WWWW[[#This Row],[HRP3]]/WWWW[[#This Row],[Total PoP ]])</f>
        <v>0</v>
      </c>
      <c r="DS223" s="615">
        <f>1-WWWW[[#This Row],[Hygiene Coverage%]]</f>
        <v>1</v>
      </c>
      <c r="DT223" s="416">
        <f>WWWW[[#This Row],['# people reached by regular dedicated hygiene promotion_5]]/WWWW[[#This Row],[Total PoP ]]</f>
        <v>0</v>
      </c>
      <c r="DU223"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23"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23" s="417">
        <f>WWWW[[#This Row],['#_Constructed/Existing hand washing stations]]-WWWW[[#This Row],['#_Non-Functional_hand_washing_stations]]</f>
        <v>7</v>
      </c>
      <c r="DX223" s="421">
        <f>IF(WWWW[[#This Row],['# Functional hand washing stations during reporting period]]*20&gt;WWWW[[#This Row],[Total HH]],WWWW[[#This Row],[Total HH]],WWWW[[#This Row],['# Functional hand washing stations during reporting period]]*20)</f>
        <v>140</v>
      </c>
      <c r="DY223" s="421">
        <f>IF(WWWW[[#This Row],[Is sufficient soap available for TLS? (Yes/No)]]="yes",WWWW[[#This Row],['#_Constructed/Existing hand washing stations at TLS/CFS/THF]],0)</f>
        <v>0</v>
      </c>
      <c r="DZ223" s="421">
        <f>IF(WWWW[[#This Row],['# Functional hand washing stations during reporting period]]*100&gt;WWWW[[#This Row],[Total PoP ]],WWWW[[#This Row],[Total PoP ]],WWWW[[#This Row],['# Functional hand washing stations during reporting period]]*100)</f>
        <v>700</v>
      </c>
      <c r="EA223" s="421" t="str">
        <f>IF(OR(WWWW[[#This Row],['#_students at TLS_CFS]]="",WWWW[[#This Row],['#_students at TLS_CFS]]=0),"No","Yes")</f>
        <v>No</v>
      </c>
      <c r="EB22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23" s="566">
        <f>WWWW[[#This Row],[%_of_affected_people_surveyed_who_report_feeling_satistfied_with_the_latrine_design_and_sanitation_service]]*WWWW[[#This Row],[Total PoP ]]</f>
        <v>0</v>
      </c>
      <c r="ED223" s="566">
        <f>WWWW[[#This Row],[%_of_affected_people_surveyed_who_report_feeling_satistfied_with_the_water_point_design_and_water_service]]*WWWW[[#This Row],[Total PoP ]]</f>
        <v>0</v>
      </c>
      <c r="EE223" s="566">
        <f>WWWW[[#This Row],[%_of_complaints_received_that_result_in_timely_corrective_action_and_feedback_to_the_community]]*WWWW[[#This Row],[Total PoP ]]</f>
        <v>0</v>
      </c>
      <c r="EF22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2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2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23" s="418">
        <f>VLOOKUP(WWWW[[#This Row],[Site Name]],SiteDB6[[Site Name]:[CCCM Management]],6,FALSE)</f>
        <v>0</v>
      </c>
      <c r="EJ223" s="418" t="str">
        <f>VLOOKUP(WWWW[[#This Row],[Site Name]],SiteDB6[[Site Name]:[CCCM Focal Agency]],7,FALSE)</f>
        <v>uncovered</v>
      </c>
      <c r="EK223" s="418" t="str">
        <f>VLOOKUP(WWWW[[#This Row],[Site Name]],SiteDB6[[Site Name]:[Location Type 1]],9,FALSE)</f>
        <v>Camp</v>
      </c>
      <c r="EL223" s="418" t="str">
        <f>VLOOKUP(WWWW[[#This Row],[Site Name]],SiteDB6[[Site Name]:[Type of Accommodation]],10,FALSE)</f>
        <v>IDPs in host</v>
      </c>
      <c r="EM223" s="418" t="str">
        <f>VLOOKUP(WWWW[[#This Row],[Site Name]],SiteDB6[[Site Name]:[Ethnic or GCA/NGCA]],11,FALSE)</f>
        <v>GCA</v>
      </c>
      <c r="EN223" s="418">
        <f>VLOOKUP(WWWW[[#This Row],[Site Name]],SiteDB6[[Site Name]:[Lat]],12,FALSE)</f>
        <v>24.263786</v>
      </c>
      <c r="EO223" s="418">
        <f>VLOOKUP(WWWW[[#This Row],[Site Name]],SiteDB6[[Site Name]:[Long]],13,FALSE)</f>
        <v>97.228835000000004</v>
      </c>
      <c r="EP223" s="418" t="str">
        <f>VLOOKUP(WWWW[[#This Row],[Site Name]],SiteDB6[[Site Name]:[Pcode]],3,FALSE)</f>
        <v>MMR001CMP163</v>
      </c>
      <c r="EQ223" s="950" t="str">
        <f t="shared" si="4"/>
        <v>Notcovered</v>
      </c>
      <c r="ER223" s="950"/>
      <c r="ES223" s="950" t="s">
        <v>41</v>
      </c>
      <c r="ET223" s="418">
        <f>VLOOKUP(WWWW[[#This Row],[Site Name]],SiteDB6[[Site Name]:[Pop
(Kachin/Shan-CCCM as of May 2023)]],16,FALSE)</f>
        <v>17</v>
      </c>
      <c r="EU223" s="418">
        <f>VLOOKUP(WWWW[[#This Row],[Site Name]],SiteDB6[[Site Name]:[Pop
(Kachin/Shan-CCCM as of May 2023)]],17,FALSE)</f>
        <v>87</v>
      </c>
    </row>
    <row r="224" spans="1:151">
      <c r="A224" s="1004" t="s">
        <v>2962</v>
      </c>
      <c r="B224" s="1004" t="s">
        <v>192</v>
      </c>
      <c r="C224" s="1005" t="s">
        <v>3285</v>
      </c>
      <c r="D224" s="1005" t="s">
        <v>3320</v>
      </c>
      <c r="E224" s="1005" t="s">
        <v>37</v>
      </c>
      <c r="F224" s="1005" t="s">
        <v>195</v>
      </c>
      <c r="G224" s="902" t="str">
        <f>VLOOKUP(WWWW[[#This Row],[Site Name]],SiteDB6[[Site Name]:[Location Type]],8,FALSE)</f>
        <v>Camp</v>
      </c>
      <c r="H224" s="1005" t="s">
        <v>198</v>
      </c>
      <c r="I224" s="954">
        <v>38</v>
      </c>
      <c r="J224" s="954">
        <v>226</v>
      </c>
      <c r="K224" s="955" t="s">
        <v>3321</v>
      </c>
      <c r="L224" s="956" t="s">
        <v>3322</v>
      </c>
      <c r="M224" s="954"/>
      <c r="N224" s="954">
        <v>1</v>
      </c>
      <c r="O224" s="954"/>
      <c r="P224" s="954"/>
      <c r="Q224" s="957" t="s">
        <v>41</v>
      </c>
      <c r="R224" s="954"/>
      <c r="S224" s="954">
        <v>5</v>
      </c>
      <c r="T224" s="441"/>
      <c r="U224" s="954"/>
      <c r="V224" s="954"/>
      <c r="W224" s="954">
        <v>2</v>
      </c>
      <c r="X224" s="954"/>
      <c r="Y224" s="954"/>
      <c r="Z224" s="954"/>
      <c r="AA224" s="954"/>
      <c r="AB224" s="954"/>
      <c r="AC224" s="954">
        <v>3</v>
      </c>
      <c r="AD224" s="954"/>
      <c r="AE224" s="954"/>
      <c r="AF224" s="954"/>
      <c r="AG224" s="954"/>
      <c r="AH224" s="954"/>
      <c r="AI224" s="954"/>
      <c r="AJ224" s="954"/>
      <c r="AK224" s="954"/>
      <c r="AL224" s="954"/>
      <c r="AM224" s="954"/>
      <c r="AN224" s="954"/>
      <c r="AO224" s="441"/>
      <c r="AP224" s="958"/>
      <c r="AQ224" s="954">
        <v>11</v>
      </c>
      <c r="AR224" s="954"/>
      <c r="AS224" s="959"/>
      <c r="AT224" s="954"/>
      <c r="AU224" s="954">
        <v>2</v>
      </c>
      <c r="AV224" s="954"/>
      <c r="AW224" s="954"/>
      <c r="AX224" s="954"/>
      <c r="AY224" s="953" t="s">
        <v>41</v>
      </c>
      <c r="AZ224" s="958" t="s">
        <v>137</v>
      </c>
      <c r="BA224" s="954"/>
      <c r="BB224" s="954"/>
      <c r="BC224" s="954"/>
      <c r="BD224" s="441"/>
      <c r="BE224" s="441"/>
      <c r="BF224" s="953"/>
      <c r="BG224" s="954"/>
      <c r="BH224" s="954"/>
      <c r="BI224" s="954"/>
      <c r="BJ224" s="954">
        <v>2</v>
      </c>
      <c r="BK224" s="954"/>
      <c r="BL224" s="954"/>
      <c r="BM224" s="954"/>
      <c r="BN224" s="954">
        <v>40</v>
      </c>
      <c r="BO224" s="954">
        <v>50</v>
      </c>
      <c r="BP224" s="953"/>
      <c r="BQ224" s="960"/>
      <c r="BR224" s="959"/>
      <c r="BS224" s="953"/>
      <c r="BT224" s="416"/>
      <c r="BU224" s="416"/>
      <c r="BV224" s="418"/>
      <c r="BW224" s="416"/>
      <c r="BX224" s="441"/>
      <c r="BY224" s="441"/>
      <c r="BZ224" s="441"/>
      <c r="CA224" s="441"/>
      <c r="CB224" s="441"/>
      <c r="CC224" s="693"/>
      <c r="CD224" s="441"/>
      <c r="CE224" s="961" t="str">
        <f>IFERROR(WWWW[[#This Row],['#_Water sources passed]]/WWWW[[#This Row],['#_Water sources tested for fecal coliform ]],"no test")</f>
        <v>no test</v>
      </c>
      <c r="CF224" s="959" t="str">
        <f>IFERROR(WWWW[[#This Row],['#_Household passed]]/WWWW[[#This Row],['#_Household water samples tested for fecal coliform]],"no test")</f>
        <v>no test</v>
      </c>
      <c r="CG224" s="960" t="str">
        <f>IF(AND(WWWW[[#This Row],[% of water sources passed]]="no test",WWWW[[#This Row],[% Household passed]]="no test"),"No Test","Tested")</f>
        <v>No Test</v>
      </c>
      <c r="CH224" s="960">
        <f>WWWW[[#This Row],['#_Constructed/existing protected hand dug well]]-WWWW[[#This Row],['#_Non-functional protected hand dug well]]</f>
        <v>0</v>
      </c>
      <c r="CI224" s="960">
        <f>(WWWW[[#This Row],['#_Constructed/Existing tube wells/boreholes/handpumps_WASH_agency]]+WWWW[[#This Row],['#_Non-Cluster partner water tube-wells/boreholes/handpumps]])-WWWW[[#This Row],['#_Non-functional tube wells/boreholes/handpumps]]</f>
        <v>2</v>
      </c>
      <c r="CJ224" s="960">
        <f>WWWW[[#This Row],['#_Constructed/Existingwater storage tank with gravity fed reticulation system]]-WWWW[[#This Row],['#_Non-functional storage tank gravity fed reticulation system]]</f>
        <v>0</v>
      </c>
      <c r="CK224" s="960">
        <f>(WWWW[[#This Row],['#_Water_Liters_supplied_by_Water boating or water trucking]]/90)/15</f>
        <v>0</v>
      </c>
      <c r="CL224" s="960">
        <f>WWWW[[#This Row],['#_Water_Liters_from_Constructed/Existing water distribution system from river or natural spring]]/90/15</f>
        <v>0</v>
      </c>
      <c r="CM224" s="417">
        <f>IF(WWWW[[#This Row],['#_of water points in TLS/CFS]]*500&gt;WWWW[[#This Row],[Total PoP ]],WWWW[[#This Row],[Total PoP ]],WWWW[[#This Row],['#_of water points in TLS/CFS]]*500)</f>
        <v>0</v>
      </c>
      <c r="CN224" s="417">
        <f>IF(WWWW[[#This Row],['#_of water points in THF]]*500&gt;WWWW[[#This Row],[Total PoP ]],WWWW[[#This Row],[Total PoP ]],WWWW[[#This Row],['#_of water points in THF]]*500)</f>
        <v>0</v>
      </c>
      <c r="CO224" s="417"/>
      <c r="CP224"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24"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24" s="959">
        <f>IF(WWWW[[#This Row],[Location Type 1]]="Village",WWWW[[#This Row],[Access to safe drinking water for Village]],WWWW[[#This Row],[Access to safe drinking water for Camp]])</f>
        <v>1</v>
      </c>
      <c r="CS224" s="957">
        <f>WWWW[[#This Row],[%Equitable and continuous access to sufficient quantity of safe drinking water]]*WWWW[[#This Row],[Total PoP ]]</f>
        <v>226</v>
      </c>
      <c r="CT224" s="959">
        <f>IF((WWWW[[#This Row],['#_Constructed/Existing protected/fenced ponds]]*250)/WWWW[[#This Row],[Total PoP ]]&gt;1,1,(WWWW[[#This Row],['#_Constructed/Existing protected/fenced ponds]]*250)/WWWW[[#This Row],[Total PoP ]])</f>
        <v>0</v>
      </c>
      <c r="CU224" s="957">
        <f>WWWW[[#This Row],[% Access to unimproved water points]]*WWWW[[#This Row],[Total PoP ]]</f>
        <v>0</v>
      </c>
      <c r="CV224"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24"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226</v>
      </c>
      <c r="CX224" s="957">
        <f>WWWW[[#This Row],[HRP1]]/500</f>
        <v>0.45200000000000001</v>
      </c>
      <c r="CY224" s="962">
        <f>1-WWWW[[#This Row],[% Equitable and continuous access to sufficient quantity of domestic water]]</f>
        <v>0</v>
      </c>
      <c r="CZ224" s="957">
        <f>WWWW[[#This Row],[%equitable and continuous access to sufficient quantity of safe drinking and domestic water''s GAP]]*WWWW[[#This Row],[Total PoP ]]</f>
        <v>0</v>
      </c>
      <c r="DA224" s="960">
        <f>IF(WWWW[[#This Row],[Total required water points]]-WWWW[[#This Row],['#Water points coverage]]&lt;0,0,WWWW[[#This Row],[Total required water points]]-WWWW[[#This Row],['#Water points coverage]])</f>
        <v>0.54800000000000004</v>
      </c>
      <c r="DB224" s="960">
        <f>ROUND(IF(WWWW[[#This Row],[Total PoP ]]&lt;500,1,WWWW[[#This Row],[Total PoP ]]/500),0)</f>
        <v>1</v>
      </c>
      <c r="DC224" s="960">
        <f>(WWWW[[#This Row],['#_Constructed latrines_by_WASHAgencies]]+WWWW[[#This Row],['#_Non Cluster partner latrines]])-WWWW[[#This Row],['#_Non-functional latrines]]</f>
        <v>11</v>
      </c>
      <c r="DD224" s="615">
        <f>WWWW[[#This Row],[HRP2]]/WWWW[[#This Row],[Total PoP ]]</f>
        <v>0.97345132743362828</v>
      </c>
      <c r="DE224"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220</v>
      </c>
      <c r="DF224"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24"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24" s="417">
        <f>IF(WWWW[[#This Row],['# of functional latrines in THF supported by WASH partners during the reporting period2]]="",0,WWWW[[#This Row],['# of functional latrines in THF supported by WASH partners during the reporting period2]]*50)</f>
        <v>0</v>
      </c>
      <c r="DI224" s="960">
        <f>ROUND(IF(WWWW[[#This Row],[Location Type 1]]="camp",WWWW[[#This Row],[Total PoP ]]/20,IF(WWWW[[#This Row],[Location Type 1]]="Temporary Location",WWWW[[#This Row],[Total PoP ]]/50,(WWWW[[#This Row],[Total PoP ]]/6))),0)</f>
        <v>11</v>
      </c>
      <c r="DJ224" s="960">
        <f>IF(WWWW[[#This Row],[Total required Latrines]]-(WWWW[[#This Row],['#_Constructed latrines_by_WASHAgencies]]+WWWW[[#This Row],['#_Non Cluster partner latrines]])&lt;0,0,WWWW[[#This Row],[Total required Latrines]]-(WWWW[[#This Row],['#_Constructed latrines_by_WASHAgencies]]+WWWW[[#This Row],['#_Non Cluster partner latrines]]))</f>
        <v>0</v>
      </c>
      <c r="DK224" s="962">
        <f>1-WWWW[[#This Row],[% people access to functioning Latrine]]</f>
        <v>2.6548672566371723E-2</v>
      </c>
      <c r="DL224" s="961">
        <f>IF(OR(WWWW[[#This Row],['#_Non-functional latrines]]="",WWWW[[#This Row],['#_Non-functional latrines]]=0),0,WWWW[[#This Row],['#_Non-functional latrines]]/(WWWW[[#This Row],['#_Constructed latrines_by_WASHAgencies]]+WWWW[[#This Row],['#_Non Cluster partner latrines]]))</f>
        <v>0</v>
      </c>
      <c r="DM224" s="957">
        <f>IF(500*(WWWW[[#This Row],['#_male hygiene promoters]]+WWWW[[#This Row],['#_female hygiene promoters]])&gt;WWWW[[#This Row],[Total PoP ]],WWWW[[#This Row],[Total PoP ]],500*(WWWW[[#This Row],['#_male hygiene promoters]]+WWWW[[#This Row],['#_female hygiene promoters]]))</f>
        <v>0</v>
      </c>
      <c r="DN224"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200</v>
      </c>
      <c r="DO224"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50</v>
      </c>
      <c r="DP224" s="960">
        <f>IF(WWWW[[#This Row],['# People with access to soap]]&gt;WWWW[[#This Row],['# People with access to Sanity Pads]],WWWW[[#This Row],['# People with access to soap]],WWWW[[#This Row],['# People with access to Sanity Pads]])</f>
        <v>200</v>
      </c>
      <c r="DQ224" s="960">
        <f>IF(WWWW[[#This Row],['# people reached by regular dedicated hygiene promotion_5]]&gt;WWWW[[#This Row],['# People received regular supply of hygiene items_6]],WWWW[[#This Row],['# people reached by regular dedicated hygiene promotion_5]],WWWW[[#This Row],['# People received regular supply of hygiene items_6]])</f>
        <v>200</v>
      </c>
      <c r="DR224" s="962">
        <f>IF(WWWW[[#This Row],[HRP3]]/WWWW[[#This Row],[Total PoP ]]&gt;1,1,WWWW[[#This Row],[HRP3]]/WWWW[[#This Row],[Total PoP ]])</f>
        <v>0.88495575221238942</v>
      </c>
      <c r="DS224" s="961">
        <f>1-WWWW[[#This Row],[Hygiene Coverage%]]</f>
        <v>0.11504424778761058</v>
      </c>
      <c r="DT224" s="959">
        <f>WWWW[[#This Row],['# people reached by regular dedicated hygiene promotion_5]]/WWWW[[#This Row],[Total PoP ]]</f>
        <v>0</v>
      </c>
      <c r="DU224"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24"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224" s="960">
        <f>WWWW[[#This Row],['#_Constructed/Existing hand washing stations]]-WWWW[[#This Row],['#_Non-Functional_hand_washing_stations]]</f>
        <v>0</v>
      </c>
      <c r="DX224" s="957">
        <f>IF(WWWW[[#This Row],['# Functional hand washing stations during reporting period]]*20&gt;WWWW[[#This Row],[Total HH]],WWWW[[#This Row],[Total HH]],WWWW[[#This Row],['# Functional hand washing stations during reporting period]]*20)</f>
        <v>0</v>
      </c>
      <c r="DY224" s="957">
        <f>IF(WWWW[[#This Row],[Is sufficient soap available for TLS? (Yes/No)]]="yes",WWWW[[#This Row],['#_Constructed/Existing hand washing stations at TLS/CFS/THF]],0)</f>
        <v>0</v>
      </c>
      <c r="DZ224" s="421">
        <f>IF(WWWW[[#This Row],['# Functional hand washing stations during reporting period]]*100&gt;WWWW[[#This Row],[Total PoP ]],WWWW[[#This Row],[Total PoP ]],WWWW[[#This Row],['# Functional hand washing stations during reporting period]]*100)</f>
        <v>0</v>
      </c>
      <c r="EA224" s="421" t="str">
        <f>IF(OR(WWWW[[#This Row],['#_students at TLS_CFS]]="",WWWW[[#This Row],['#_students at TLS_CFS]]=0),"No","Yes")</f>
        <v>No</v>
      </c>
      <c r="EB22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24" s="566">
        <f>WWWW[[#This Row],[%_of_affected_people_surveyed_who_report_feeling_satistfied_with_the_latrine_design_and_sanitation_service]]*WWWW[[#This Row],[Total PoP ]]</f>
        <v>0</v>
      </c>
      <c r="ED224" s="566">
        <f>WWWW[[#This Row],[%_of_affected_people_surveyed_who_report_feeling_satistfied_with_the_water_point_design_and_water_service]]*WWWW[[#This Row],[Total PoP ]]</f>
        <v>0</v>
      </c>
      <c r="EE224" s="566">
        <f>WWWW[[#This Row],[%_of_complaints_received_that_result_in_timely_corrective_action_and_feedback_to_the_community]]*WWWW[[#This Row],[Total PoP ]]</f>
        <v>0</v>
      </c>
      <c r="EF22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2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2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24" s="953" t="str">
        <f>VLOOKUP(WWWW[[#This Row],[Site Name]],SiteDB6[[Site Name]:[CCCM Management]],6,FALSE)</f>
        <v>Yes</v>
      </c>
      <c r="EJ224" s="953" t="str">
        <f>VLOOKUP(WWWW[[#This Row],[Site Name]],SiteDB6[[Site Name]:[CCCM Focal Agency]],7,FALSE)</f>
        <v>KBC-BMO</v>
      </c>
      <c r="EK224" s="953" t="str">
        <f>VLOOKUP(WWWW[[#This Row],[Site Name]],SiteDB6[[Site Name]:[Location Type 1]],9,FALSE)</f>
        <v>Camp</v>
      </c>
      <c r="EL224" s="953" t="str">
        <f>VLOOKUP(WWWW[[#This Row],[Site Name]],SiteDB6[[Site Name]:[Type of Accommodation]],10,FALSE)</f>
        <v>Camp</v>
      </c>
      <c r="EM224" s="953" t="str">
        <f>VLOOKUP(WWWW[[#This Row],[Site Name]],SiteDB6[[Site Name]:[Ethnic or GCA/NGCA]],11,FALSE)</f>
        <v>GCA</v>
      </c>
      <c r="EN224" s="953">
        <f>VLOOKUP(WWWW[[#This Row],[Site Name]],SiteDB6[[Site Name]:[Lat]],12,FALSE)</f>
        <v>24.24766</v>
      </c>
      <c r="EO224" s="953">
        <f>VLOOKUP(WWWW[[#This Row],[Site Name]],SiteDB6[[Site Name]:[Long]],13,FALSE)</f>
        <v>97.236919999999998</v>
      </c>
      <c r="EP224" s="953" t="str">
        <f>VLOOKUP(WWWW[[#This Row],[Site Name]],SiteDB6[[Site Name]:[Pcode]],3,FALSE)</f>
        <v>MMR001CMP052</v>
      </c>
      <c r="EQ224" s="958" t="str">
        <f t="shared" si="4"/>
        <v>Covered</v>
      </c>
      <c r="ER224" s="950" t="s">
        <v>3126</v>
      </c>
      <c r="ES224" s="950" t="s">
        <v>3278</v>
      </c>
      <c r="ET224" s="953">
        <f>VLOOKUP(WWWW[[#This Row],[Site Name]],SiteDB6[[Site Name]:[Pop
(Kachin/Shan-CCCM as of May 2023)]],16,FALSE)</f>
        <v>39</v>
      </c>
      <c r="EU224" s="953">
        <f>VLOOKUP(WWWW[[#This Row],[Site Name]],SiteDB6[[Site Name]:[Pop
(Kachin/Shan-CCCM as of May 2023)]],17,FALSE)</f>
        <v>229</v>
      </c>
    </row>
    <row r="225" spans="1:151">
      <c r="A225" s="1004" t="s">
        <v>2962</v>
      </c>
      <c r="B225" s="1004" t="s">
        <v>192</v>
      </c>
      <c r="C225" s="1005" t="s">
        <v>3326</v>
      </c>
      <c r="D225" s="1005" t="s">
        <v>3327</v>
      </c>
      <c r="E225" s="1005" t="s">
        <v>37</v>
      </c>
      <c r="F225" s="1005" t="s">
        <v>195</v>
      </c>
      <c r="G225" s="902" t="str">
        <f>VLOOKUP(WWWW[[#This Row],[Site Name]],SiteDB6[[Site Name]:[Location Type]],8,FALSE)</f>
        <v>Camp</v>
      </c>
      <c r="H225" s="1005" t="s">
        <v>200</v>
      </c>
      <c r="I225" s="954">
        <v>135</v>
      </c>
      <c r="J225" s="954">
        <v>774</v>
      </c>
      <c r="K225" s="955" t="s">
        <v>3328</v>
      </c>
      <c r="L225" s="956" t="s">
        <v>3329</v>
      </c>
      <c r="M225" s="954"/>
      <c r="N225" s="954"/>
      <c r="O225" s="954">
        <v>1</v>
      </c>
      <c r="P225" s="954"/>
      <c r="Q225" s="957" t="s">
        <v>41</v>
      </c>
      <c r="R225" s="954">
        <v>3</v>
      </c>
      <c r="S225" s="954">
        <v>7</v>
      </c>
      <c r="T225" s="441">
        <v>3</v>
      </c>
      <c r="U225" s="954"/>
      <c r="V225" s="954"/>
      <c r="W225" s="954">
        <v>2</v>
      </c>
      <c r="X225" s="954"/>
      <c r="Y225" s="954"/>
      <c r="Z225" s="954">
        <v>3</v>
      </c>
      <c r="AA225" s="954"/>
      <c r="AB225" s="954"/>
      <c r="AC225" s="954">
        <v>3</v>
      </c>
      <c r="AD225" s="954"/>
      <c r="AE225" s="954"/>
      <c r="AF225" s="954"/>
      <c r="AG225" s="954"/>
      <c r="AH225" s="954"/>
      <c r="AI225" s="954"/>
      <c r="AJ225" s="954"/>
      <c r="AK225" s="954"/>
      <c r="AL225" s="954"/>
      <c r="AM225" s="954">
        <v>4</v>
      </c>
      <c r="AN225" s="954">
        <v>1</v>
      </c>
      <c r="AO225" s="441"/>
      <c r="AP225" s="958"/>
      <c r="AQ225" s="954">
        <v>23</v>
      </c>
      <c r="AR225" s="954"/>
      <c r="AS225" s="959"/>
      <c r="AT225" s="954"/>
      <c r="AU225" s="954">
        <v>12</v>
      </c>
      <c r="AV225" s="954">
        <v>6</v>
      </c>
      <c r="AW225" s="954"/>
      <c r="AX225" s="954"/>
      <c r="AY225" s="953" t="s">
        <v>41</v>
      </c>
      <c r="AZ225" s="958" t="s">
        <v>137</v>
      </c>
      <c r="BA225" s="954"/>
      <c r="BB225" s="954"/>
      <c r="BC225" s="954"/>
      <c r="BD225" s="441"/>
      <c r="BE225" s="441"/>
      <c r="BF225" s="953"/>
      <c r="BG225" s="954">
        <v>6</v>
      </c>
      <c r="BH225" s="954"/>
      <c r="BI225" s="954"/>
      <c r="BJ225" s="954">
        <v>7</v>
      </c>
      <c r="BK225" s="954"/>
      <c r="BL225" s="954"/>
      <c r="BM225" s="954"/>
      <c r="BN225" s="954">
        <v>135</v>
      </c>
      <c r="BO225" s="954">
        <v>150</v>
      </c>
      <c r="BP225" s="953"/>
      <c r="BQ225" s="960"/>
      <c r="BR225" s="959"/>
      <c r="BS225" s="953"/>
      <c r="BT225" s="416"/>
      <c r="BU225" s="416"/>
      <c r="BV225" s="418"/>
      <c r="BW225" s="416"/>
      <c r="BX225" s="441"/>
      <c r="BY225" s="441"/>
      <c r="BZ225" s="441"/>
      <c r="CA225" s="441"/>
      <c r="CB225" s="441"/>
      <c r="CC225" s="693"/>
      <c r="CD225" s="441"/>
      <c r="CE225" s="961" t="str">
        <f>IFERROR(WWWW[[#This Row],['#_Water sources passed]]/WWWW[[#This Row],['#_Water sources tested for fecal coliform ]],"no test")</f>
        <v>no test</v>
      </c>
      <c r="CF225" s="959" t="str">
        <f>IFERROR(WWWW[[#This Row],['#_Household passed]]/WWWW[[#This Row],['#_Household water samples tested for fecal coliform]],"no test")</f>
        <v>no test</v>
      </c>
      <c r="CG225" s="960" t="str">
        <f>IF(AND(WWWW[[#This Row],[% of water sources passed]]="no test",WWWW[[#This Row],[% Household passed]]="no test"),"No Test","Tested")</f>
        <v>No Test</v>
      </c>
      <c r="CH225" s="960">
        <f>WWWW[[#This Row],['#_Constructed/existing protected hand dug well]]-WWWW[[#This Row],['#_Non-functional protected hand dug well]]</f>
        <v>3</v>
      </c>
      <c r="CI225" s="960">
        <f>(WWWW[[#This Row],['#_Constructed/Existing tube wells/boreholes/handpumps_WASH_agency]]+WWWW[[#This Row],['#_Non-Cluster partner water tube-wells/boreholes/handpumps]])-WWWW[[#This Row],['#_Non-functional tube wells/boreholes/handpumps]]</f>
        <v>2</v>
      </c>
      <c r="CJ225" s="960">
        <f>WWWW[[#This Row],['#_Constructed/Existingwater storage tank with gravity fed reticulation system]]-WWWW[[#This Row],['#_Non-functional storage tank gravity fed reticulation system]]</f>
        <v>0</v>
      </c>
      <c r="CK225" s="960">
        <f>(WWWW[[#This Row],['#_Water_Liters_supplied_by_Water boating or water trucking]]/90)/15</f>
        <v>0</v>
      </c>
      <c r="CL225" s="960">
        <f>WWWW[[#This Row],['#_Water_Liters_from_Constructed/Existing water distribution system from river or natural spring]]/90/15</f>
        <v>0</v>
      </c>
      <c r="CM225" s="417">
        <f>IF(WWWW[[#This Row],['#_of water points in TLS/CFS]]*500&gt;WWWW[[#This Row],[Total PoP ]],WWWW[[#This Row],[Total PoP ]],WWWW[[#This Row],['#_of water points in TLS/CFS]]*500)</f>
        <v>500</v>
      </c>
      <c r="CN225" s="417">
        <f>IF(WWWW[[#This Row],['#_of water points in THF]]*500&gt;WWWW[[#This Row],[Total PoP ]],WWWW[[#This Row],[Total PoP ]],WWWW[[#This Row],['#_of water points in THF]]*500)</f>
        <v>0</v>
      </c>
      <c r="CO225" s="417"/>
      <c r="CP225"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25"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25" s="959">
        <f>IF(WWWW[[#This Row],[Location Type 1]]="Village",WWWW[[#This Row],[Access to safe drinking water for Village]],WWWW[[#This Row],[Access to safe drinking water for Camp]])</f>
        <v>1</v>
      </c>
      <c r="CS225" s="957">
        <f>WWWW[[#This Row],[%Equitable and continuous access to sufficient quantity of safe drinking water]]*WWWW[[#This Row],[Total PoP ]]</f>
        <v>774</v>
      </c>
      <c r="CT225" s="959">
        <f>IF((WWWW[[#This Row],['#_Constructed/Existing protected/fenced ponds]]*250)/WWWW[[#This Row],[Total PoP ]]&gt;1,1,(WWWW[[#This Row],['#_Constructed/Existing protected/fenced ponds]]*250)/WWWW[[#This Row],[Total PoP ]])</f>
        <v>0</v>
      </c>
      <c r="CU225" s="957">
        <f>WWWW[[#This Row],[% Access to unimproved water points]]*WWWW[[#This Row],[Total PoP ]]</f>
        <v>0</v>
      </c>
      <c r="CV225"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25"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774</v>
      </c>
      <c r="CX225" s="957">
        <f>WWWW[[#This Row],[HRP1]]/500</f>
        <v>1.548</v>
      </c>
      <c r="CY225" s="962">
        <f>1-WWWW[[#This Row],[% Equitable and continuous access to sufficient quantity of domestic water]]</f>
        <v>0</v>
      </c>
      <c r="CZ225" s="957">
        <f>WWWW[[#This Row],[%equitable and continuous access to sufficient quantity of safe drinking and domestic water''s GAP]]*WWWW[[#This Row],[Total PoP ]]</f>
        <v>0</v>
      </c>
      <c r="DA225" s="960">
        <f>IF(WWWW[[#This Row],[Total required water points]]-WWWW[[#This Row],['#Water points coverage]]&lt;0,0,WWWW[[#This Row],[Total required water points]]-WWWW[[#This Row],['#Water points coverage]])</f>
        <v>0.45199999999999996</v>
      </c>
      <c r="DB225" s="960">
        <f>ROUND(IF(WWWW[[#This Row],[Total PoP ]]&lt;500,1,WWWW[[#This Row],[Total PoP ]]/500),0)</f>
        <v>2</v>
      </c>
      <c r="DC225" s="960">
        <f>(WWWW[[#This Row],['#_Constructed latrines_by_WASHAgencies]]+WWWW[[#This Row],['#_Non Cluster partner latrines]])-WWWW[[#This Row],['#_Non-functional latrines]]</f>
        <v>23</v>
      </c>
      <c r="DD225" s="615">
        <f>WWWW[[#This Row],[HRP2]]/WWWW[[#This Row],[Total PoP ]]</f>
        <v>0.59431524547803616</v>
      </c>
      <c r="DE225"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460</v>
      </c>
      <c r="DF225"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G225"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25" s="417">
        <f>IF(WWWW[[#This Row],['# of functional latrines in THF supported by WASH partners during the reporting period2]]="",0,WWWW[[#This Row],['# of functional latrines in THF supported by WASH partners during the reporting period2]]*50)</f>
        <v>0</v>
      </c>
      <c r="DI225" s="960">
        <f>ROUND(IF(WWWW[[#This Row],[Location Type 1]]="camp",WWWW[[#This Row],[Total PoP ]]/20,IF(WWWW[[#This Row],[Location Type 1]]="Temporary Location",WWWW[[#This Row],[Total PoP ]]/50,(WWWW[[#This Row],[Total PoP ]]/6))),0)</f>
        <v>39</v>
      </c>
      <c r="DJ225" s="960">
        <f>IF(WWWW[[#This Row],[Total required Latrines]]-(WWWW[[#This Row],['#_Constructed latrines_by_WASHAgencies]]+WWWW[[#This Row],['#_Non Cluster partner latrines]])&lt;0,0,WWWW[[#This Row],[Total required Latrines]]-(WWWW[[#This Row],['#_Constructed latrines_by_WASHAgencies]]+WWWW[[#This Row],['#_Non Cluster partner latrines]]))</f>
        <v>16</v>
      </c>
      <c r="DK225" s="962">
        <f>1-WWWW[[#This Row],[% people access to functioning Latrine]]</f>
        <v>0.40568475452196384</v>
      </c>
      <c r="DL225" s="961">
        <f>IF(OR(WWWW[[#This Row],['#_Non-functional latrines]]="",WWWW[[#This Row],['#_Non-functional latrines]]=0),0,WWWW[[#This Row],['#_Non-functional latrines]]/(WWWW[[#This Row],['#_Constructed latrines_by_WASHAgencies]]+WWWW[[#This Row],['#_Non Cluster partner latrines]]))</f>
        <v>0</v>
      </c>
      <c r="DM225" s="957">
        <f>IF(500*(WWWW[[#This Row],['#_male hygiene promoters]]+WWWW[[#This Row],['#_female hygiene promoters]])&gt;WWWW[[#This Row],[Total PoP ]],WWWW[[#This Row],[Total PoP ]],500*(WWWW[[#This Row],['#_male hygiene promoters]]+WWWW[[#This Row],['#_female hygiene promoters]]))</f>
        <v>0</v>
      </c>
      <c r="DN225"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774</v>
      </c>
      <c r="DO225"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150</v>
      </c>
      <c r="DP225" s="960">
        <f>IF(WWWW[[#This Row],['# People with access to soap]]&gt;WWWW[[#This Row],['# People with access to Sanity Pads]],WWWW[[#This Row],['# People with access to soap]],WWWW[[#This Row],['# People with access to Sanity Pads]])</f>
        <v>774</v>
      </c>
      <c r="DQ225" s="960">
        <f>IF(WWWW[[#This Row],['# people reached by regular dedicated hygiene promotion_5]]&gt;WWWW[[#This Row],['# People received regular supply of hygiene items_6]],WWWW[[#This Row],['# people reached by regular dedicated hygiene promotion_5]],WWWW[[#This Row],['# People received regular supply of hygiene items_6]])</f>
        <v>774</v>
      </c>
      <c r="DR225" s="962">
        <f>IF(WWWW[[#This Row],[HRP3]]/WWWW[[#This Row],[Total PoP ]]&gt;1,1,WWWW[[#This Row],[HRP3]]/WWWW[[#This Row],[Total PoP ]])</f>
        <v>1</v>
      </c>
      <c r="DS225" s="961">
        <f>1-WWWW[[#This Row],[Hygiene Coverage%]]</f>
        <v>0</v>
      </c>
      <c r="DT225" s="959">
        <f>WWWW[[#This Row],['# people reached by regular dedicated hygiene promotion_5]]/WWWW[[#This Row],[Total PoP ]]</f>
        <v>0</v>
      </c>
      <c r="DU225"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25"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225" s="960">
        <f>WWWW[[#This Row],['#_Constructed/Existing hand washing stations]]-WWWW[[#This Row],['#_Non-Functional_hand_washing_stations]]</f>
        <v>6</v>
      </c>
      <c r="DX225" s="957">
        <f>IF(WWWW[[#This Row],['# Functional hand washing stations during reporting period]]*20&gt;WWWW[[#This Row],[Total HH]],WWWW[[#This Row],[Total HH]],WWWW[[#This Row],['# Functional hand washing stations during reporting period]]*20)</f>
        <v>120</v>
      </c>
      <c r="DY225" s="957">
        <f>IF(WWWW[[#This Row],[Is sufficient soap available for TLS? (Yes/No)]]="yes",WWWW[[#This Row],['#_Constructed/Existing hand washing stations at TLS/CFS/THF]],0)</f>
        <v>0</v>
      </c>
      <c r="DZ225" s="421">
        <f>IF(WWWW[[#This Row],['# Functional hand washing stations during reporting period]]*100&gt;WWWW[[#This Row],[Total PoP ]],WWWW[[#This Row],[Total PoP ]],WWWW[[#This Row],['# Functional hand washing stations during reporting period]]*100)</f>
        <v>600</v>
      </c>
      <c r="EA225" s="421" t="str">
        <f>IF(OR(WWWW[[#This Row],['#_students at TLS_CFS]]="",WWWW[[#This Row],['#_students at TLS_CFS]]=0),"No","Yes")</f>
        <v>No</v>
      </c>
      <c r="EB22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25" s="566">
        <f>WWWW[[#This Row],[%_of_affected_people_surveyed_who_report_feeling_satistfied_with_the_latrine_design_and_sanitation_service]]*WWWW[[#This Row],[Total PoP ]]</f>
        <v>0</v>
      </c>
      <c r="ED225" s="566">
        <f>WWWW[[#This Row],[%_of_affected_people_surveyed_who_report_feeling_satistfied_with_the_water_point_design_and_water_service]]*WWWW[[#This Row],[Total PoP ]]</f>
        <v>0</v>
      </c>
      <c r="EE225" s="566">
        <f>WWWW[[#This Row],[%_of_complaints_received_that_result_in_timely_corrective_action_and_feedback_to_the_community]]*WWWW[[#This Row],[Total PoP ]]</f>
        <v>0</v>
      </c>
      <c r="EF22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2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500</v>
      </c>
      <c r="EH22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25" s="953" t="str">
        <f>VLOOKUP(WWWW[[#This Row],[Site Name]],SiteDB6[[Site Name]:[CCCM Management]],6,FALSE)</f>
        <v>Yes</v>
      </c>
      <c r="EJ225" s="953" t="str">
        <f>VLOOKUP(WWWW[[#This Row],[Site Name]],SiteDB6[[Site Name]:[CCCM Focal Agency]],7,FALSE)</f>
        <v>Shalom</v>
      </c>
      <c r="EK225" s="953" t="str">
        <f>VLOOKUP(WWWW[[#This Row],[Site Name]],SiteDB6[[Site Name]:[Location Type 1]],9,FALSE)</f>
        <v>Camp</v>
      </c>
      <c r="EL225" s="953" t="str">
        <f>VLOOKUP(WWWW[[#This Row],[Site Name]],SiteDB6[[Site Name]:[Type of Accommodation]],10,FALSE)</f>
        <v>Camp</v>
      </c>
      <c r="EM225" s="953" t="str">
        <f>VLOOKUP(WWWW[[#This Row],[Site Name]],SiteDB6[[Site Name]:[Ethnic or GCA/NGCA]],11,FALSE)</f>
        <v>GCA</v>
      </c>
      <c r="EN225" s="953">
        <f>VLOOKUP(WWWW[[#This Row],[Site Name]],SiteDB6[[Site Name]:[Lat]],12,FALSE)</f>
        <v>24.2631743589744</v>
      </c>
      <c r="EO225" s="953">
        <f>VLOOKUP(WWWW[[#This Row],[Site Name]],SiteDB6[[Site Name]:[Long]],13,FALSE)</f>
        <v>97.240183461538507</v>
      </c>
      <c r="EP225" s="953" t="str">
        <f>VLOOKUP(WWWW[[#This Row],[Site Name]],SiteDB6[[Site Name]:[Pcode]],3,FALSE)</f>
        <v>MMR001CMP049</v>
      </c>
      <c r="EQ225" s="958" t="str">
        <f t="shared" si="4"/>
        <v>Covered</v>
      </c>
      <c r="ER225" s="950" t="s">
        <v>3126</v>
      </c>
      <c r="ES225" s="950" t="s">
        <v>3280</v>
      </c>
      <c r="ET225" s="953">
        <f>VLOOKUP(WWWW[[#This Row],[Site Name]],SiteDB6[[Site Name]:[Pop
(Kachin/Shan-CCCM as of May 2023)]],16,FALSE)</f>
        <v>135</v>
      </c>
      <c r="EU225" s="953">
        <f>VLOOKUP(WWWW[[#This Row],[Site Name]],SiteDB6[[Site Name]:[Pop
(Kachin/Shan-CCCM as of May 2023)]],17,FALSE)</f>
        <v>780</v>
      </c>
    </row>
    <row r="226" spans="1:151">
      <c r="A226" s="946" t="s">
        <v>2962</v>
      </c>
      <c r="B226" s="1065" t="s">
        <v>276</v>
      </c>
      <c r="C226" s="946" t="s">
        <v>3299</v>
      </c>
      <c r="D226" s="938" t="s">
        <v>3260</v>
      </c>
      <c r="E226" s="1066" t="s">
        <v>37</v>
      </c>
      <c r="F226" s="1066" t="s">
        <v>195</v>
      </c>
      <c r="G226" s="902" t="str">
        <f>VLOOKUP(WWWW[[#This Row],[Site Name]],SiteDB6[[Site Name]:[Location Type]],8,FALSE)</f>
        <v>Camp</v>
      </c>
      <c r="H226" s="1066" t="s">
        <v>2703</v>
      </c>
      <c r="I226" s="976">
        <v>32</v>
      </c>
      <c r="J226" s="976">
        <v>160</v>
      </c>
      <c r="K226" s="977">
        <v>45017</v>
      </c>
      <c r="L226" s="978">
        <v>45382</v>
      </c>
      <c r="M226" s="976"/>
      <c r="N226" s="976"/>
      <c r="O226" s="976">
        <v>1</v>
      </c>
      <c r="P226" s="976"/>
      <c r="Q226" s="979" t="s">
        <v>41</v>
      </c>
      <c r="R226" s="976">
        <v>3</v>
      </c>
      <c r="S226" s="976">
        <v>3</v>
      </c>
      <c r="T226" s="441">
        <v>1</v>
      </c>
      <c r="U226" s="976"/>
      <c r="V226" s="976"/>
      <c r="W226" s="976">
        <v>1</v>
      </c>
      <c r="X226" s="976"/>
      <c r="Y226" s="976"/>
      <c r="Z226" s="976"/>
      <c r="AA226" s="976"/>
      <c r="AB226" s="976"/>
      <c r="AC226" s="976"/>
      <c r="AD226" s="976"/>
      <c r="AE226" s="976"/>
      <c r="AF226" s="976"/>
      <c r="AG226" s="976">
        <v>1</v>
      </c>
      <c r="AH226" s="976"/>
      <c r="AI226" s="976">
        <v>6</v>
      </c>
      <c r="AJ226" s="976">
        <v>6</v>
      </c>
      <c r="AK226" s="976">
        <v>9</v>
      </c>
      <c r="AL226" s="976">
        <v>9</v>
      </c>
      <c r="AM226" s="976"/>
      <c r="AN226" s="976"/>
      <c r="AO226" s="441"/>
      <c r="AP226" s="980"/>
      <c r="AQ226" s="976">
        <v>9</v>
      </c>
      <c r="AR226" s="976"/>
      <c r="AS226" s="981"/>
      <c r="AT226" s="976"/>
      <c r="AU226" s="976"/>
      <c r="AV226" s="976">
        <v>3</v>
      </c>
      <c r="AW226" s="976">
        <v>5</v>
      </c>
      <c r="AX226" s="976"/>
      <c r="AY226" s="975" t="s">
        <v>41</v>
      </c>
      <c r="AZ226" s="980" t="s">
        <v>137</v>
      </c>
      <c r="BA226" s="976"/>
      <c r="BB226" s="976"/>
      <c r="BC226" s="976"/>
      <c r="BD226" s="441"/>
      <c r="BE226" s="441">
        <v>7</v>
      </c>
      <c r="BF226" s="975"/>
      <c r="BG226" s="976">
        <v>4</v>
      </c>
      <c r="BH226" s="976"/>
      <c r="BI226" s="976"/>
      <c r="BJ226" s="976">
        <v>2</v>
      </c>
      <c r="BK226" s="976"/>
      <c r="BL226" s="976">
        <v>1</v>
      </c>
      <c r="BM226" s="976"/>
      <c r="BN226" s="976"/>
      <c r="BO226" s="976" t="s">
        <v>3353</v>
      </c>
      <c r="BP226" s="975" t="s">
        <v>136</v>
      </c>
      <c r="BQ226" s="982">
        <v>0</v>
      </c>
      <c r="BR226" s="981">
        <v>0.6</v>
      </c>
      <c r="BS226" s="975" t="s">
        <v>3358</v>
      </c>
      <c r="BT226" s="416">
        <v>1</v>
      </c>
      <c r="BU226" s="416">
        <v>1</v>
      </c>
      <c r="BV226" s="418">
        <v>2</v>
      </c>
      <c r="BW226" s="416">
        <v>1</v>
      </c>
      <c r="BX226" s="441"/>
      <c r="BY226" s="441"/>
      <c r="BZ226" s="441"/>
      <c r="CA226" s="441"/>
      <c r="CB226" s="441"/>
      <c r="CC226" s="693"/>
      <c r="CD226" s="441"/>
      <c r="CE226" s="983">
        <f>IFERROR(WWWW[[#This Row],['#_Water sources passed]]/WWWW[[#This Row],['#_Water sources tested for fecal coliform ]],"no test")</f>
        <v>1</v>
      </c>
      <c r="CF226" s="981">
        <f>IFERROR(WWWW[[#This Row],['#_Household passed]]/WWWW[[#This Row],['#_Household water samples tested for fecal coliform]],"no test")</f>
        <v>1</v>
      </c>
      <c r="CG226" s="982" t="str">
        <f>IF(AND(WWWW[[#This Row],[% of water sources passed]]="no test",WWWW[[#This Row],[% Household passed]]="no test"),"No Test","Tested")</f>
        <v>Tested</v>
      </c>
      <c r="CH226" s="982">
        <f>WWWW[[#This Row],['#_Constructed/existing protected hand dug well]]-WWWW[[#This Row],['#_Non-functional protected hand dug well]]</f>
        <v>1</v>
      </c>
      <c r="CI226" s="982">
        <f>(WWWW[[#This Row],['#_Constructed/Existing tube wells/boreholes/handpumps_WASH_agency]]+WWWW[[#This Row],['#_Non-Cluster partner water tube-wells/boreholes/handpumps]])-WWWW[[#This Row],['#_Non-functional tube wells/boreholes/handpumps]]</f>
        <v>1</v>
      </c>
      <c r="CJ226" s="982">
        <f>WWWW[[#This Row],['#_Constructed/Existingwater storage tank with gravity fed reticulation system]]-WWWW[[#This Row],['#_Non-functional storage tank gravity fed reticulation system]]</f>
        <v>0</v>
      </c>
      <c r="CK226" s="982">
        <f>(WWWW[[#This Row],['#_Water_Liters_supplied_by_Water boating or water trucking]]/90)/15</f>
        <v>0</v>
      </c>
      <c r="CL226" s="982">
        <f>WWWW[[#This Row],['#_Water_Liters_from_Constructed/Existing water distribution system from river or natural spring]]/90/15</f>
        <v>0</v>
      </c>
      <c r="CM226" s="417">
        <f>IF(WWWW[[#This Row],['#_of water points in TLS/CFS]]*500&gt;WWWW[[#This Row],[Total PoP ]],WWWW[[#This Row],[Total PoP ]],WWWW[[#This Row],['#_of water points in TLS/CFS]]*500)</f>
        <v>0</v>
      </c>
      <c r="CN226" s="417">
        <f>IF(WWWW[[#This Row],['#_of water points in THF]]*500&gt;WWWW[[#This Row],[Total PoP ]],WWWW[[#This Row],[Total PoP ]],WWWW[[#This Row],['#_of water points in THF]]*500)</f>
        <v>0</v>
      </c>
      <c r="CO226" s="417"/>
      <c r="CP226" s="983">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26" s="983">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26" s="981">
        <f>IF(WWWW[[#This Row],[Location Type 1]]="Village",WWWW[[#This Row],[Access to safe drinking water for Village]],WWWW[[#This Row],[Access to safe drinking water for Camp]])</f>
        <v>1</v>
      </c>
      <c r="CS226" s="979">
        <f>WWWW[[#This Row],[%Equitable and continuous access to sufficient quantity of safe drinking water]]*WWWW[[#This Row],[Total PoP ]]</f>
        <v>160</v>
      </c>
      <c r="CT226" s="981">
        <f>IF((WWWW[[#This Row],['#_Constructed/Existing protected/fenced ponds]]*250)/WWWW[[#This Row],[Total PoP ]]&gt;1,1,(WWWW[[#This Row],['#_Constructed/Existing protected/fenced ponds]]*250)/WWWW[[#This Row],[Total PoP ]])</f>
        <v>0</v>
      </c>
      <c r="CU226" s="979">
        <f>WWWW[[#This Row],[% Access to unimproved water points]]*WWWW[[#This Row],[Total PoP ]]</f>
        <v>0</v>
      </c>
      <c r="CV226" s="9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26" s="9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160</v>
      </c>
      <c r="CX226" s="979">
        <f>WWWW[[#This Row],[HRP1]]/500</f>
        <v>0.32</v>
      </c>
      <c r="CY226" s="984">
        <f>1-WWWW[[#This Row],[% Equitable and continuous access to sufficient quantity of domestic water]]</f>
        <v>0</v>
      </c>
      <c r="CZ226" s="979">
        <f>WWWW[[#This Row],[%equitable and continuous access to sufficient quantity of safe drinking and domestic water''s GAP]]*WWWW[[#This Row],[Total PoP ]]</f>
        <v>0</v>
      </c>
      <c r="DA226" s="982">
        <f>IF(WWWW[[#This Row],[Total required water points]]-WWWW[[#This Row],['#Water points coverage]]&lt;0,0,WWWW[[#This Row],[Total required water points]]-WWWW[[#This Row],['#Water points coverage]])</f>
        <v>0.67999999999999994</v>
      </c>
      <c r="DB226" s="982">
        <f>ROUND(IF(WWWW[[#This Row],[Total PoP ]]&lt;500,1,WWWW[[#This Row],[Total PoP ]]/500),0)</f>
        <v>1</v>
      </c>
      <c r="DC226" s="982">
        <f>(WWWW[[#This Row],['#_Constructed latrines_by_WASHAgencies]]+WWWW[[#This Row],['#_Non Cluster partner latrines]])-WWWW[[#This Row],['#_Non-functional latrines]]</f>
        <v>9</v>
      </c>
      <c r="DD226" s="615">
        <f>WWWW[[#This Row],[HRP2]]/WWWW[[#This Row],[Total PoP ]]</f>
        <v>1</v>
      </c>
      <c r="DE226" s="979">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160</v>
      </c>
      <c r="DF226" s="98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DG226" s="982">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26" s="417">
        <f>IF(WWWW[[#This Row],['# of functional latrines in THF supported by WASH partners during the reporting period2]]="",0,WWWW[[#This Row],['# of functional latrines in THF supported by WASH partners during the reporting period2]]*50)</f>
        <v>0</v>
      </c>
      <c r="DI226" s="982">
        <f>ROUND(IF(WWWW[[#This Row],[Location Type 1]]="camp",WWWW[[#This Row],[Total PoP ]]/20,IF(WWWW[[#This Row],[Location Type 1]]="Temporary Location",WWWW[[#This Row],[Total PoP ]]/50,(WWWW[[#This Row],[Total PoP ]]/6))),0)</f>
        <v>8</v>
      </c>
      <c r="DJ226" s="982">
        <f>IF(WWWW[[#This Row],[Total required Latrines]]-(WWWW[[#This Row],['#_Constructed latrines_by_WASHAgencies]]+WWWW[[#This Row],['#_Non Cluster partner latrines]])&lt;0,0,WWWW[[#This Row],[Total required Latrines]]-(WWWW[[#This Row],['#_Constructed latrines_by_WASHAgencies]]+WWWW[[#This Row],['#_Non Cluster partner latrines]]))</f>
        <v>0</v>
      </c>
      <c r="DK226" s="984">
        <f>1-WWWW[[#This Row],[% people access to functioning Latrine]]</f>
        <v>0</v>
      </c>
      <c r="DL226" s="983">
        <f>IF(OR(WWWW[[#This Row],['#_Non-functional latrines]]="",WWWW[[#This Row],['#_Non-functional latrines]]=0),0,WWWW[[#This Row],['#_Non-functional latrines]]/(WWWW[[#This Row],['#_Constructed latrines_by_WASHAgencies]]+WWWW[[#This Row],['#_Non Cluster partner latrines]]))</f>
        <v>0</v>
      </c>
      <c r="DM226" s="979">
        <f>IF(500*(WWWW[[#This Row],['#_male hygiene promoters]]+WWWW[[#This Row],['#_female hygiene promoters]])&gt;WWWW[[#This Row],[Total PoP ]],WWWW[[#This Row],[Total PoP ]],500*(WWWW[[#This Row],['#_male hygiene promoters]]+WWWW[[#This Row],['#_female hygiene promoters]]))</f>
        <v>160</v>
      </c>
      <c r="DN226" s="982">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26" s="982">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160</v>
      </c>
      <c r="DP226" s="982">
        <f>IF(WWWW[[#This Row],['# People with access to soap]]&gt;WWWW[[#This Row],['# People with access to Sanity Pads]],WWWW[[#This Row],['# People with access to soap]],WWWW[[#This Row],['# People with access to Sanity Pads]])</f>
        <v>160</v>
      </c>
      <c r="DQ226" s="982">
        <f>IF(WWWW[[#This Row],['# people reached by regular dedicated hygiene promotion_5]]&gt;WWWW[[#This Row],['# People received regular supply of hygiene items_6]],WWWW[[#This Row],['# people reached by regular dedicated hygiene promotion_5]],WWWW[[#This Row],['# People received regular supply of hygiene items_6]])</f>
        <v>160</v>
      </c>
      <c r="DR226" s="984">
        <f>IF(WWWW[[#This Row],[HRP3]]/WWWW[[#This Row],[Total PoP ]]&gt;1,1,WWWW[[#This Row],[HRP3]]/WWWW[[#This Row],[Total PoP ]])</f>
        <v>1</v>
      </c>
      <c r="DS226" s="983">
        <f>1-WWWW[[#This Row],[Hygiene Coverage%]]</f>
        <v>0</v>
      </c>
      <c r="DT226" s="981">
        <f>WWWW[[#This Row],['# people reached by regular dedicated hygiene promotion_5]]/WWWW[[#This Row],[Total PoP ]]</f>
        <v>1</v>
      </c>
      <c r="DU226" s="98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26" s="981" t="e">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#VALUE!</v>
      </c>
      <c r="DW226" s="982">
        <f>WWWW[[#This Row],['#_Constructed/Existing hand washing stations]]-WWWW[[#This Row],['#_Non-Functional_hand_washing_stations]]</f>
        <v>4</v>
      </c>
      <c r="DX226" s="979">
        <f>IF(WWWW[[#This Row],['# Functional hand washing stations during reporting period]]*20&gt;WWWW[[#This Row],[Total HH]],WWWW[[#This Row],[Total HH]],WWWW[[#This Row],['# Functional hand washing stations during reporting period]]*20)</f>
        <v>32</v>
      </c>
      <c r="DY226" s="979">
        <f>IF(WWWW[[#This Row],[Is sufficient soap available for TLS? (Yes/No)]]="yes",WWWW[[#This Row],['#_Constructed/Existing hand washing stations at TLS/CFS/THF]],0)</f>
        <v>0</v>
      </c>
      <c r="DZ226" s="421">
        <f>IF(WWWW[[#This Row],['# Functional hand washing stations during reporting period]]*100&gt;WWWW[[#This Row],[Total PoP ]],WWWW[[#This Row],[Total PoP ]],WWWW[[#This Row],['# Functional hand washing stations during reporting period]]*100)</f>
        <v>160</v>
      </c>
      <c r="EA226" s="421" t="str">
        <f>IF(OR(WWWW[[#This Row],['#_students at TLS_CFS]]="",WWWW[[#This Row],['#_students at TLS_CFS]]=0),"No","Yes")</f>
        <v>No</v>
      </c>
      <c r="EB226" s="615">
        <f>IF(WWWW[[#This Row],['#_of_affected_people_surveyed_who_report_feeling_informed_about_the_different_WASH_services_available_to_them]]="","",WWWW[[#This Row],['#_of_affected_people_surveyed_who_report_feeling_informed_about_the_different_WASH_services_available_to_them]]/WWWW[[#This Row],[Total PoP ]])</f>
        <v>1.2500000000000001E-2</v>
      </c>
      <c r="EC226" s="566">
        <f>WWWW[[#This Row],[%_of_affected_people_surveyed_who_report_feeling_satistfied_with_the_latrine_design_and_sanitation_service]]*WWWW[[#This Row],[Total PoP ]]</f>
        <v>160</v>
      </c>
      <c r="ED226" s="566">
        <f>WWWW[[#This Row],[%_of_affected_people_surveyed_who_report_feeling_satistfied_with_the_water_point_design_and_water_service]]*WWWW[[#This Row],[Total PoP ]]</f>
        <v>160</v>
      </c>
      <c r="EE226" s="566">
        <f>WWWW[[#This Row],[%_of_complaints_received_that_result_in_timely_corrective_action_and_feedback_to_the_community]]*WWWW[[#This Row],[Total PoP ]]</f>
        <v>160</v>
      </c>
      <c r="EF22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160</v>
      </c>
      <c r="EG22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2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26" s="975">
        <f>VLOOKUP(WWWW[[#This Row],[Site Name]],SiteDB6[[Site Name]:[CCCM Management]],6,FALSE)</f>
        <v>0</v>
      </c>
      <c r="EJ226" s="975">
        <f>VLOOKUP(WWWW[[#This Row],[Site Name]],SiteDB6[[Site Name]:[CCCM Focal Agency]],7,FALSE)</f>
        <v>0</v>
      </c>
      <c r="EK226" s="975" t="str">
        <f>VLOOKUP(WWWW[[#This Row],[Site Name]],SiteDB6[[Site Name]:[Location Type 1]],9,FALSE)</f>
        <v>Camp</v>
      </c>
      <c r="EL226" s="975" t="str">
        <f>VLOOKUP(WWWW[[#This Row],[Site Name]],SiteDB6[[Site Name]:[Type of Accommodation]],10,FALSE)</f>
        <v>Camp</v>
      </c>
      <c r="EM226" s="975" t="str">
        <f>VLOOKUP(WWWW[[#This Row],[Site Name]],SiteDB6[[Site Name]:[Ethnic or GCA/NGCA]],11,FALSE)</f>
        <v>GCA</v>
      </c>
      <c r="EN226" s="975">
        <f>VLOOKUP(WWWW[[#This Row],[Site Name]],SiteDB6[[Site Name]:[Lat]],12,FALSE)</f>
        <v>24.314934000000001</v>
      </c>
      <c r="EO226" s="975">
        <f>VLOOKUP(WWWW[[#This Row],[Site Name]],SiteDB6[[Site Name]:[Long]],13,FALSE)</f>
        <v>97.305190999999994</v>
      </c>
      <c r="EP226" s="975" t="str">
        <f>VLOOKUP(WWWW[[#This Row],[Site Name]],SiteDB6[[Site Name]:[Pcode]],3,FALSE)</f>
        <v>MMR001CMP285</v>
      </c>
      <c r="EQ226" s="980" t="str">
        <f t="shared" si="4"/>
        <v>Covered</v>
      </c>
      <c r="ER226" s="950" t="s">
        <v>3126</v>
      </c>
      <c r="ES226" s="980"/>
      <c r="ET226" s="975">
        <f>VLOOKUP(WWWW[[#This Row],[Site Name]],SiteDB6[[Site Name]:[Pop
(Kachin/Shan-CCCM as of May 2023)]],16,FALSE)</f>
        <v>50</v>
      </c>
      <c r="EU226" s="975">
        <f>VLOOKUP(WWWW[[#This Row],[Site Name]],SiteDB6[[Site Name]:[Pop
(Kachin/Shan-CCCM as of May 2023)]],17,FALSE)</f>
        <v>224</v>
      </c>
    </row>
    <row r="227" spans="1:151">
      <c r="A227" s="1004" t="s">
        <v>2962</v>
      </c>
      <c r="B227" s="1004" t="s">
        <v>192</v>
      </c>
      <c r="C227" s="1005" t="s">
        <v>3285</v>
      </c>
      <c r="D227" s="1005" t="s">
        <v>3323</v>
      </c>
      <c r="E227" s="1005" t="s">
        <v>37</v>
      </c>
      <c r="F227" s="1005" t="s">
        <v>195</v>
      </c>
      <c r="G227" s="902" t="str">
        <f>VLOOKUP(WWWW[[#This Row],[Site Name]],SiteDB6[[Site Name]:[Location Type]],8,FALSE)</f>
        <v>Camp</v>
      </c>
      <c r="H227" s="1005" t="s">
        <v>279</v>
      </c>
      <c r="I227" s="954">
        <v>65</v>
      </c>
      <c r="J227" s="954">
        <v>334</v>
      </c>
      <c r="K227" s="955" t="s">
        <v>3324</v>
      </c>
      <c r="L227" s="956" t="s">
        <v>3325</v>
      </c>
      <c r="M227" s="954"/>
      <c r="N227" s="954">
        <v>1</v>
      </c>
      <c r="O227" s="954"/>
      <c r="P227" s="954"/>
      <c r="Q227" s="957" t="s">
        <v>41</v>
      </c>
      <c r="R227" s="954">
        <v>2</v>
      </c>
      <c r="S227" s="954">
        <v>4</v>
      </c>
      <c r="T227" s="441">
        <v>1</v>
      </c>
      <c r="U227" s="954"/>
      <c r="V227" s="954"/>
      <c r="W227" s="954">
        <v>2</v>
      </c>
      <c r="X227" s="954"/>
      <c r="Y227" s="954"/>
      <c r="Z227" s="954"/>
      <c r="AA227" s="954"/>
      <c r="AB227" s="954"/>
      <c r="AC227" s="954">
        <v>1</v>
      </c>
      <c r="AD227" s="954"/>
      <c r="AE227" s="954"/>
      <c r="AF227" s="954"/>
      <c r="AG227" s="954"/>
      <c r="AH227" s="954"/>
      <c r="AI227" s="954"/>
      <c r="AJ227" s="954"/>
      <c r="AK227" s="954"/>
      <c r="AL227" s="954"/>
      <c r="AM227" s="954"/>
      <c r="AN227" s="954"/>
      <c r="AO227" s="441"/>
      <c r="AP227" s="958"/>
      <c r="AQ227" s="954">
        <v>33</v>
      </c>
      <c r="AR227" s="954"/>
      <c r="AS227" s="959"/>
      <c r="AT227" s="954"/>
      <c r="AU227" s="954">
        <v>24</v>
      </c>
      <c r="AV227" s="954">
        <v>2</v>
      </c>
      <c r="AW227" s="954"/>
      <c r="AX227" s="954"/>
      <c r="AY227" s="953" t="s">
        <v>41</v>
      </c>
      <c r="AZ227" s="958" t="s">
        <v>137</v>
      </c>
      <c r="BA227" s="954"/>
      <c r="BB227" s="954"/>
      <c r="BC227" s="954"/>
      <c r="BD227" s="441"/>
      <c r="BE227" s="441"/>
      <c r="BF227" s="953"/>
      <c r="BG227" s="954">
        <v>19</v>
      </c>
      <c r="BH227" s="954"/>
      <c r="BI227" s="954"/>
      <c r="BJ227" s="954">
        <v>7</v>
      </c>
      <c r="BK227" s="954"/>
      <c r="BL227" s="954"/>
      <c r="BM227" s="954"/>
      <c r="BN227" s="954">
        <v>58</v>
      </c>
      <c r="BO227" s="954">
        <v>65</v>
      </c>
      <c r="BP227" s="953"/>
      <c r="BQ227" s="960"/>
      <c r="BR227" s="959"/>
      <c r="BS227" s="953"/>
      <c r="BT227" s="416"/>
      <c r="BU227" s="416"/>
      <c r="BV227" s="418"/>
      <c r="BW227" s="416"/>
      <c r="BX227" s="441"/>
      <c r="BY227" s="441"/>
      <c r="BZ227" s="441"/>
      <c r="CA227" s="441"/>
      <c r="CB227" s="441"/>
      <c r="CC227" s="693"/>
      <c r="CD227" s="441"/>
      <c r="CE227" s="961" t="str">
        <f>IFERROR(WWWW[[#This Row],['#_Water sources passed]]/WWWW[[#This Row],['#_Water sources tested for fecal coliform ]],"no test")</f>
        <v>no test</v>
      </c>
      <c r="CF227" s="959" t="str">
        <f>IFERROR(WWWW[[#This Row],['#_Household passed]]/WWWW[[#This Row],['#_Household water samples tested for fecal coliform]],"no test")</f>
        <v>no test</v>
      </c>
      <c r="CG227" s="960" t="str">
        <f>IF(AND(WWWW[[#This Row],[% of water sources passed]]="no test",WWWW[[#This Row],[% Household passed]]="no test"),"No Test","Tested")</f>
        <v>No Test</v>
      </c>
      <c r="CH227" s="960">
        <f>WWWW[[#This Row],['#_Constructed/existing protected hand dug well]]-WWWW[[#This Row],['#_Non-functional protected hand dug well]]</f>
        <v>1</v>
      </c>
      <c r="CI227" s="960">
        <f>(WWWW[[#This Row],['#_Constructed/Existing tube wells/boreholes/handpumps_WASH_agency]]+WWWW[[#This Row],['#_Non-Cluster partner water tube-wells/boreholes/handpumps]])-WWWW[[#This Row],['#_Non-functional tube wells/boreholes/handpumps]]</f>
        <v>2</v>
      </c>
      <c r="CJ227" s="960">
        <f>WWWW[[#This Row],['#_Constructed/Existingwater storage tank with gravity fed reticulation system]]-WWWW[[#This Row],['#_Non-functional storage tank gravity fed reticulation system]]</f>
        <v>0</v>
      </c>
      <c r="CK227" s="960">
        <f>(WWWW[[#This Row],['#_Water_Liters_supplied_by_Water boating or water trucking]]/90)/15</f>
        <v>0</v>
      </c>
      <c r="CL227" s="960">
        <f>WWWW[[#This Row],['#_Water_Liters_from_Constructed/Existing water distribution system from river or natural spring]]/90/15</f>
        <v>0</v>
      </c>
      <c r="CM227" s="417">
        <f>IF(WWWW[[#This Row],['#_of water points in TLS/CFS]]*500&gt;WWWW[[#This Row],[Total PoP ]],WWWW[[#This Row],[Total PoP ]],WWWW[[#This Row],['#_of water points in TLS/CFS]]*500)</f>
        <v>0</v>
      </c>
      <c r="CN227" s="417">
        <f>IF(WWWW[[#This Row],['#_of water points in THF]]*500&gt;WWWW[[#This Row],[Total PoP ]],WWWW[[#This Row],[Total PoP ]],WWWW[[#This Row],['#_of water points in THF]]*500)</f>
        <v>0</v>
      </c>
      <c r="CO227" s="417"/>
      <c r="CP227"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27"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27" s="959">
        <f>IF(WWWW[[#This Row],[Location Type 1]]="Village",WWWW[[#This Row],[Access to safe drinking water for Village]],WWWW[[#This Row],[Access to safe drinking water for Camp]])</f>
        <v>1</v>
      </c>
      <c r="CS227" s="957">
        <f>WWWW[[#This Row],[%Equitable and continuous access to sufficient quantity of safe drinking water]]*WWWW[[#This Row],[Total PoP ]]</f>
        <v>334</v>
      </c>
      <c r="CT227" s="959">
        <f>IF((WWWW[[#This Row],['#_Constructed/Existing protected/fenced ponds]]*250)/WWWW[[#This Row],[Total PoP ]]&gt;1,1,(WWWW[[#This Row],['#_Constructed/Existing protected/fenced ponds]]*250)/WWWW[[#This Row],[Total PoP ]])</f>
        <v>0</v>
      </c>
      <c r="CU227" s="957">
        <f>WWWW[[#This Row],[% Access to unimproved water points]]*WWWW[[#This Row],[Total PoP ]]</f>
        <v>0</v>
      </c>
      <c r="CV227"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27"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334</v>
      </c>
      <c r="CX227" s="957">
        <f>WWWW[[#This Row],[HRP1]]/500</f>
        <v>0.66800000000000004</v>
      </c>
      <c r="CY227" s="962">
        <f>1-WWWW[[#This Row],[% Equitable and continuous access to sufficient quantity of domestic water]]</f>
        <v>0</v>
      </c>
      <c r="CZ227" s="957">
        <f>WWWW[[#This Row],[%equitable and continuous access to sufficient quantity of safe drinking and domestic water''s GAP]]*WWWW[[#This Row],[Total PoP ]]</f>
        <v>0</v>
      </c>
      <c r="DA227" s="960">
        <f>IF(WWWW[[#This Row],[Total required water points]]-WWWW[[#This Row],['#Water points coverage]]&lt;0,0,WWWW[[#This Row],[Total required water points]]-WWWW[[#This Row],['#Water points coverage]])</f>
        <v>0.33199999999999996</v>
      </c>
      <c r="DB227" s="960">
        <f>ROUND(IF(WWWW[[#This Row],[Total PoP ]]&lt;500,1,WWWW[[#This Row],[Total PoP ]]/500),0)</f>
        <v>1</v>
      </c>
      <c r="DC227" s="960">
        <f>(WWWW[[#This Row],['#_Constructed latrines_by_WASHAgencies]]+WWWW[[#This Row],['#_Non Cluster partner latrines]])-WWWW[[#This Row],['#_Non-functional latrines]]</f>
        <v>33</v>
      </c>
      <c r="DD227" s="615">
        <f>WWWW[[#This Row],[HRP2]]/WWWW[[#This Row],[Total PoP ]]</f>
        <v>1</v>
      </c>
      <c r="DE227"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334</v>
      </c>
      <c r="DF227"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DG227"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27" s="417">
        <f>IF(WWWW[[#This Row],['# of functional latrines in THF supported by WASH partners during the reporting period2]]="",0,WWWW[[#This Row],['# of functional latrines in THF supported by WASH partners during the reporting period2]]*50)</f>
        <v>0</v>
      </c>
      <c r="DI227" s="960">
        <f>ROUND(IF(WWWW[[#This Row],[Location Type 1]]="camp",WWWW[[#This Row],[Total PoP ]]/20,IF(WWWW[[#This Row],[Location Type 1]]="Temporary Location",WWWW[[#This Row],[Total PoP ]]/50,(WWWW[[#This Row],[Total PoP ]]/6))),0)</f>
        <v>17</v>
      </c>
      <c r="DJ227" s="960">
        <f>IF(WWWW[[#This Row],[Total required Latrines]]-(WWWW[[#This Row],['#_Constructed latrines_by_WASHAgencies]]+WWWW[[#This Row],['#_Non Cluster partner latrines]])&lt;0,0,WWWW[[#This Row],[Total required Latrines]]-(WWWW[[#This Row],['#_Constructed latrines_by_WASHAgencies]]+WWWW[[#This Row],['#_Non Cluster partner latrines]]))</f>
        <v>0</v>
      </c>
      <c r="DK227" s="962">
        <f>1-WWWW[[#This Row],[% people access to functioning Latrine]]</f>
        <v>0</v>
      </c>
      <c r="DL227" s="961">
        <f>IF(OR(WWWW[[#This Row],['#_Non-functional latrines]]="",WWWW[[#This Row],['#_Non-functional latrines]]=0),0,WWWW[[#This Row],['#_Non-functional latrines]]/(WWWW[[#This Row],['#_Constructed latrines_by_WASHAgencies]]+WWWW[[#This Row],['#_Non Cluster partner latrines]]))</f>
        <v>0</v>
      </c>
      <c r="DM227" s="957">
        <f>IF(500*(WWWW[[#This Row],['#_male hygiene promoters]]+WWWW[[#This Row],['#_female hygiene promoters]])&gt;WWWW[[#This Row],[Total PoP ]],WWWW[[#This Row],[Total PoP ]],500*(WWWW[[#This Row],['#_male hygiene promoters]]+WWWW[[#This Row],['#_female hygiene promoters]]))</f>
        <v>0</v>
      </c>
      <c r="DN227"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290</v>
      </c>
      <c r="DO227"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65</v>
      </c>
      <c r="DP227" s="960">
        <f>IF(WWWW[[#This Row],['# People with access to soap]]&gt;WWWW[[#This Row],['# People with access to Sanity Pads]],WWWW[[#This Row],['# People with access to soap]],WWWW[[#This Row],['# People with access to Sanity Pads]])</f>
        <v>290</v>
      </c>
      <c r="DQ227" s="960">
        <f>IF(WWWW[[#This Row],['# people reached by regular dedicated hygiene promotion_5]]&gt;WWWW[[#This Row],['# People received regular supply of hygiene items_6]],WWWW[[#This Row],['# people reached by regular dedicated hygiene promotion_5]],WWWW[[#This Row],['# People received regular supply of hygiene items_6]])</f>
        <v>290</v>
      </c>
      <c r="DR227" s="962">
        <f>IF(WWWW[[#This Row],[HRP3]]/WWWW[[#This Row],[Total PoP ]]&gt;1,1,WWWW[[#This Row],[HRP3]]/WWWW[[#This Row],[Total PoP ]])</f>
        <v>0.86826347305389218</v>
      </c>
      <c r="DS227" s="961">
        <f>1-WWWW[[#This Row],[Hygiene Coverage%]]</f>
        <v>0.13173652694610782</v>
      </c>
      <c r="DT227" s="959">
        <f>WWWW[[#This Row],['# people reached by regular dedicated hygiene promotion_5]]/WWWW[[#This Row],[Total PoP ]]</f>
        <v>0</v>
      </c>
      <c r="DU227"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27"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227" s="960">
        <f>WWWW[[#This Row],['#_Constructed/Existing hand washing stations]]-WWWW[[#This Row],['#_Non-Functional_hand_washing_stations]]</f>
        <v>19</v>
      </c>
      <c r="DX227" s="957">
        <f>IF(WWWW[[#This Row],['# Functional hand washing stations during reporting period]]*20&gt;WWWW[[#This Row],[Total HH]],WWWW[[#This Row],[Total HH]],WWWW[[#This Row],['# Functional hand washing stations during reporting period]]*20)</f>
        <v>65</v>
      </c>
      <c r="DY227" s="957">
        <f>IF(WWWW[[#This Row],[Is sufficient soap available for TLS? (Yes/No)]]="yes",WWWW[[#This Row],['#_Constructed/Existing hand washing stations at TLS/CFS/THF]],0)</f>
        <v>0</v>
      </c>
      <c r="DZ227" s="421">
        <f>IF(WWWW[[#This Row],['# Functional hand washing stations during reporting period]]*100&gt;WWWW[[#This Row],[Total PoP ]],WWWW[[#This Row],[Total PoP ]],WWWW[[#This Row],['# Functional hand washing stations during reporting period]]*100)</f>
        <v>334</v>
      </c>
      <c r="EA227" s="421" t="str">
        <f>IF(OR(WWWW[[#This Row],['#_students at TLS_CFS]]="",WWWW[[#This Row],['#_students at TLS_CFS]]=0),"No","Yes")</f>
        <v>No</v>
      </c>
      <c r="EB22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27" s="566">
        <f>WWWW[[#This Row],[%_of_affected_people_surveyed_who_report_feeling_satistfied_with_the_latrine_design_and_sanitation_service]]*WWWW[[#This Row],[Total PoP ]]</f>
        <v>0</v>
      </c>
      <c r="ED227" s="566">
        <f>WWWW[[#This Row],[%_of_affected_people_surveyed_who_report_feeling_satistfied_with_the_water_point_design_and_water_service]]*WWWW[[#This Row],[Total PoP ]]</f>
        <v>0</v>
      </c>
      <c r="EE227" s="566">
        <f>WWWW[[#This Row],[%_of_complaints_received_that_result_in_timely_corrective_action_and_feedback_to_the_community]]*WWWW[[#This Row],[Total PoP ]]</f>
        <v>0</v>
      </c>
      <c r="EF22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2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2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27" s="953" t="str">
        <f>VLOOKUP(WWWW[[#This Row],[Site Name]],SiteDB6[[Site Name]:[CCCM Management]],6,FALSE)</f>
        <v>Yes</v>
      </c>
      <c r="EJ227" s="953" t="str">
        <f>VLOOKUP(WWWW[[#This Row],[Site Name]],SiteDB6[[Site Name]:[CCCM Focal Agency]],7,FALSE)</f>
        <v>KBC-BMO</v>
      </c>
      <c r="EK227" s="953" t="str">
        <f>VLOOKUP(WWWW[[#This Row],[Site Name]],SiteDB6[[Site Name]:[Location Type 1]],9,FALSE)</f>
        <v>Camp</v>
      </c>
      <c r="EL227" s="953" t="str">
        <f>VLOOKUP(WWWW[[#This Row],[Site Name]],SiteDB6[[Site Name]:[Type of Accommodation]],10,FALSE)</f>
        <v>Camp</v>
      </c>
      <c r="EM227" s="953" t="str">
        <f>VLOOKUP(WWWW[[#This Row],[Site Name]],SiteDB6[[Site Name]:[Ethnic or GCA/NGCA]],11,FALSE)</f>
        <v>GCA</v>
      </c>
      <c r="EN227" s="953">
        <f>VLOOKUP(WWWW[[#This Row],[Site Name]],SiteDB6[[Site Name]:[Lat]],12,FALSE)</f>
        <v>24.222349999999999</v>
      </c>
      <c r="EO227" s="953">
        <f>VLOOKUP(WWWW[[#This Row],[Site Name]],SiteDB6[[Site Name]:[Long]],13,FALSE)</f>
        <v>97.252650000000003</v>
      </c>
      <c r="EP227" s="953" t="str">
        <f>VLOOKUP(WWWW[[#This Row],[Site Name]],SiteDB6[[Site Name]:[Pcode]],3,FALSE)</f>
        <v>MMR001CMP193</v>
      </c>
      <c r="EQ227" s="958" t="str">
        <f t="shared" si="4"/>
        <v>Covered</v>
      </c>
      <c r="ER227" s="950" t="s">
        <v>3126</v>
      </c>
      <c r="ES227" s="950" t="s">
        <v>3278</v>
      </c>
      <c r="ET227" s="953">
        <f>VLOOKUP(WWWW[[#This Row],[Site Name]],SiteDB6[[Site Name]:[Pop
(Kachin/Shan-CCCM as of May 2023)]],16,FALSE)</f>
        <v>58</v>
      </c>
      <c r="EU227" s="953">
        <f>VLOOKUP(WWWW[[#This Row],[Site Name]],SiteDB6[[Site Name]:[Pop
(Kachin/Shan-CCCM as of May 2023)]],17,FALSE)</f>
        <v>314</v>
      </c>
    </row>
    <row r="228" spans="1:151">
      <c r="A228" s="946" t="s">
        <v>2962</v>
      </c>
      <c r="B228" s="1065" t="s">
        <v>276</v>
      </c>
      <c r="C228" s="1066" t="s">
        <v>276</v>
      </c>
      <c r="D228" s="1066" t="s">
        <v>3352</v>
      </c>
      <c r="E228" s="1066" t="s">
        <v>37</v>
      </c>
      <c r="F228" s="1066" t="s">
        <v>195</v>
      </c>
      <c r="G228" s="902" t="str">
        <f>VLOOKUP(WWWW[[#This Row],[Site Name]],SiteDB6[[Site Name]:[Location Type]],8,FALSE)</f>
        <v>Camp</v>
      </c>
      <c r="H228" s="1066" t="s">
        <v>280</v>
      </c>
      <c r="I228" s="976">
        <v>565</v>
      </c>
      <c r="J228" s="976">
        <v>3451</v>
      </c>
      <c r="K228" s="977">
        <v>45017</v>
      </c>
      <c r="L228" s="978">
        <v>45382</v>
      </c>
      <c r="M228" s="976"/>
      <c r="N228" s="976"/>
      <c r="O228" s="976">
        <v>6</v>
      </c>
      <c r="P228" s="976"/>
      <c r="Q228" s="979" t="s">
        <v>41</v>
      </c>
      <c r="R228" s="976">
        <v>16</v>
      </c>
      <c r="S228" s="976">
        <v>13</v>
      </c>
      <c r="T228" s="441">
        <v>1</v>
      </c>
      <c r="U228" s="976">
        <v>1</v>
      </c>
      <c r="V228" s="976"/>
      <c r="W228" s="976">
        <v>23</v>
      </c>
      <c r="X228" s="976"/>
      <c r="Y228" s="976"/>
      <c r="Z228" s="976"/>
      <c r="AA228" s="976"/>
      <c r="AB228" s="976"/>
      <c r="AC228" s="976"/>
      <c r="AD228" s="976"/>
      <c r="AE228" s="976"/>
      <c r="AF228" s="976"/>
      <c r="AG228" s="976">
        <v>6</v>
      </c>
      <c r="AH228" s="976"/>
      <c r="AI228" s="976">
        <v>42</v>
      </c>
      <c r="AJ228" s="976">
        <v>42</v>
      </c>
      <c r="AK228" s="976">
        <v>27</v>
      </c>
      <c r="AL228" s="976">
        <v>27</v>
      </c>
      <c r="AM228" s="976"/>
      <c r="AN228" s="976"/>
      <c r="AO228" s="441"/>
      <c r="AP228" s="980"/>
      <c r="AQ228" s="976">
        <v>148</v>
      </c>
      <c r="AR228" s="976"/>
      <c r="AS228" s="981"/>
      <c r="AT228" s="976"/>
      <c r="AU228" s="976"/>
      <c r="AV228" s="976">
        <v>129</v>
      </c>
      <c r="AW228" s="976">
        <v>144</v>
      </c>
      <c r="AX228" s="976"/>
      <c r="AY228" s="975" t="s">
        <v>41</v>
      </c>
      <c r="AZ228" s="980" t="s">
        <v>137</v>
      </c>
      <c r="BA228" s="976"/>
      <c r="BB228" s="976"/>
      <c r="BC228" s="976"/>
      <c r="BD228" s="441"/>
      <c r="BE228" s="441">
        <v>23</v>
      </c>
      <c r="BF228" s="975"/>
      <c r="BG228" s="976">
        <v>32</v>
      </c>
      <c r="BH228" s="976"/>
      <c r="BI228" s="976">
        <v>1</v>
      </c>
      <c r="BJ228" s="976">
        <v>16</v>
      </c>
      <c r="BK228" s="976"/>
      <c r="BL228" s="976">
        <v>1</v>
      </c>
      <c r="BM228" s="976">
        <v>5</v>
      </c>
      <c r="BN228" s="976"/>
      <c r="BO228" s="976" t="s">
        <v>3353</v>
      </c>
      <c r="BP228" s="975" t="s">
        <v>136</v>
      </c>
      <c r="BQ228" s="982">
        <v>9</v>
      </c>
      <c r="BR228" s="981">
        <v>0.6</v>
      </c>
      <c r="BS228" s="975" t="s">
        <v>3360</v>
      </c>
      <c r="BT228" s="416">
        <v>1</v>
      </c>
      <c r="BU228" s="416">
        <v>1</v>
      </c>
      <c r="BV228" s="418">
        <v>6</v>
      </c>
      <c r="BW228" s="416">
        <v>1</v>
      </c>
      <c r="BX228" s="441"/>
      <c r="BY228" s="441"/>
      <c r="BZ228" s="441"/>
      <c r="CA228" s="441"/>
      <c r="CB228" s="441"/>
      <c r="CC228" s="693"/>
      <c r="CD228" s="441"/>
      <c r="CE228" s="983">
        <f>IFERROR(WWWW[[#This Row],['#_Water sources passed]]/WWWW[[#This Row],['#_Water sources tested for fecal coliform ]],"no test")</f>
        <v>1</v>
      </c>
      <c r="CF228" s="981">
        <f>IFERROR(WWWW[[#This Row],['#_Household passed]]/WWWW[[#This Row],['#_Household water samples tested for fecal coliform]],"no test")</f>
        <v>1</v>
      </c>
      <c r="CG228" s="982" t="str">
        <f>IF(AND(WWWW[[#This Row],[% of water sources passed]]="no test",WWWW[[#This Row],[% Household passed]]="no test"),"No Test","Tested")</f>
        <v>Tested</v>
      </c>
      <c r="CH228" s="982">
        <f>WWWW[[#This Row],['#_Constructed/existing protected hand dug well]]-WWWW[[#This Row],['#_Non-functional protected hand dug well]]</f>
        <v>0</v>
      </c>
      <c r="CI228" s="982">
        <f>(WWWW[[#This Row],['#_Constructed/Existing tube wells/boreholes/handpumps_WASH_agency]]+WWWW[[#This Row],['#_Non-Cluster partner water tube-wells/boreholes/handpumps]])-WWWW[[#This Row],['#_Non-functional tube wells/boreholes/handpumps]]</f>
        <v>23</v>
      </c>
      <c r="CJ228" s="982">
        <f>WWWW[[#This Row],['#_Constructed/Existingwater storage tank with gravity fed reticulation system]]-WWWW[[#This Row],['#_Non-functional storage tank gravity fed reticulation system]]</f>
        <v>0</v>
      </c>
      <c r="CK228" s="982">
        <f>(WWWW[[#This Row],['#_Water_Liters_supplied_by_Water boating or water trucking]]/90)/15</f>
        <v>0</v>
      </c>
      <c r="CL228" s="982">
        <f>WWWW[[#This Row],['#_Water_Liters_from_Constructed/Existing water distribution system from river or natural spring]]/90/15</f>
        <v>0</v>
      </c>
      <c r="CM228" s="417">
        <f>IF(WWWW[[#This Row],['#_of water points in TLS/CFS]]*500&gt;WWWW[[#This Row],[Total PoP ]],WWWW[[#This Row],[Total PoP ]],WWWW[[#This Row],['#_of water points in TLS/CFS]]*500)</f>
        <v>0</v>
      </c>
      <c r="CN228" s="417">
        <f>IF(WWWW[[#This Row],['#_of water points in THF]]*500&gt;WWWW[[#This Row],[Total PoP ]],WWWW[[#This Row],[Total PoP ]],WWWW[[#This Row],['#_of water points in THF]]*500)</f>
        <v>0</v>
      </c>
      <c r="CO228" s="417"/>
      <c r="CP228" s="983">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28" s="983">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28" s="981">
        <f>IF(WWWW[[#This Row],[Location Type 1]]="Village",WWWW[[#This Row],[Access to safe drinking water for Village]],WWWW[[#This Row],[Access to safe drinking water for Camp]])</f>
        <v>1</v>
      </c>
      <c r="CS228" s="979">
        <f>WWWW[[#This Row],[%Equitable and continuous access to sufficient quantity of safe drinking water]]*WWWW[[#This Row],[Total PoP ]]</f>
        <v>3451</v>
      </c>
      <c r="CT228" s="981">
        <f>IF((WWWW[[#This Row],['#_Constructed/Existing protected/fenced ponds]]*250)/WWWW[[#This Row],[Total PoP ]]&gt;1,1,(WWWW[[#This Row],['#_Constructed/Existing protected/fenced ponds]]*250)/WWWW[[#This Row],[Total PoP ]])</f>
        <v>0</v>
      </c>
      <c r="CU228" s="979">
        <f>WWWW[[#This Row],[% Access to unimproved water points]]*WWWW[[#This Row],[Total PoP ]]</f>
        <v>0</v>
      </c>
      <c r="CV228" s="9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28" s="9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3451</v>
      </c>
      <c r="CX228" s="979">
        <f>WWWW[[#This Row],[HRP1]]/500</f>
        <v>6.9020000000000001</v>
      </c>
      <c r="CY228" s="984">
        <f>1-WWWW[[#This Row],[% Equitable and continuous access to sufficient quantity of domestic water]]</f>
        <v>0</v>
      </c>
      <c r="CZ228" s="979">
        <f>WWWW[[#This Row],[%equitable and continuous access to sufficient quantity of safe drinking and domestic water''s GAP]]*WWWW[[#This Row],[Total PoP ]]</f>
        <v>0</v>
      </c>
      <c r="DA228" s="982">
        <f>IF(WWWW[[#This Row],[Total required water points]]-WWWW[[#This Row],['#Water points coverage]]&lt;0,0,WWWW[[#This Row],[Total required water points]]-WWWW[[#This Row],['#Water points coverage]])</f>
        <v>9.7999999999999865E-2</v>
      </c>
      <c r="DB228" s="982">
        <f>ROUND(IF(WWWW[[#This Row],[Total PoP ]]&lt;500,1,WWWW[[#This Row],[Total PoP ]]/500),0)</f>
        <v>7</v>
      </c>
      <c r="DC228" s="982">
        <f>(WWWW[[#This Row],['#_Constructed latrines_by_WASHAgencies]]+WWWW[[#This Row],['#_Non Cluster partner latrines]])-WWWW[[#This Row],['#_Non-functional latrines]]</f>
        <v>148</v>
      </c>
      <c r="DD228" s="615">
        <f>WWWW[[#This Row],[HRP2]]/WWWW[[#This Row],[Total PoP ]]</f>
        <v>0.86438713416401047</v>
      </c>
      <c r="DE228" s="979">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2983</v>
      </c>
      <c r="DF228" s="98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2580</v>
      </c>
      <c r="DG228" s="982">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28" s="417">
        <f>IF(WWWW[[#This Row],['# of functional latrines in THF supported by WASH partners during the reporting period2]]="",0,WWWW[[#This Row],['# of functional latrines in THF supported by WASH partners during the reporting period2]]*50)</f>
        <v>0</v>
      </c>
      <c r="DI228" s="982">
        <f>ROUND(IF(WWWW[[#This Row],[Location Type 1]]="camp",WWWW[[#This Row],[Total PoP ]]/20,IF(WWWW[[#This Row],[Location Type 1]]="Temporary Location",WWWW[[#This Row],[Total PoP ]]/50,(WWWW[[#This Row],[Total PoP ]]/6))),0)</f>
        <v>173</v>
      </c>
      <c r="DJ228" s="982">
        <f>IF(WWWW[[#This Row],[Total required Latrines]]-(WWWW[[#This Row],['#_Constructed latrines_by_WASHAgencies]]+WWWW[[#This Row],['#_Non Cluster partner latrines]])&lt;0,0,WWWW[[#This Row],[Total required Latrines]]-(WWWW[[#This Row],['#_Constructed latrines_by_WASHAgencies]]+WWWW[[#This Row],['#_Non Cluster partner latrines]]))</f>
        <v>25</v>
      </c>
      <c r="DK228" s="984">
        <f>1-WWWW[[#This Row],[% people access to functioning Latrine]]</f>
        <v>0.13561286583598953</v>
      </c>
      <c r="DL228" s="983">
        <f>IF(OR(WWWW[[#This Row],['#_Non-functional latrines]]="",WWWW[[#This Row],['#_Non-functional latrines]]=0),0,WWWW[[#This Row],['#_Non-functional latrines]]/(WWWW[[#This Row],['#_Constructed latrines_by_WASHAgencies]]+WWWW[[#This Row],['#_Non Cluster partner latrines]]))</f>
        <v>0</v>
      </c>
      <c r="DM228" s="979">
        <f>IF(500*(WWWW[[#This Row],['#_male hygiene promoters]]+WWWW[[#This Row],['#_female hygiene promoters]])&gt;WWWW[[#This Row],[Total PoP ]],WWWW[[#This Row],[Total PoP ]],500*(WWWW[[#This Row],['#_male hygiene promoters]]+WWWW[[#This Row],['#_female hygiene promoters]]))</f>
        <v>3000</v>
      </c>
      <c r="DN228" s="982">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28" s="982">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3451</v>
      </c>
      <c r="DP228" s="982">
        <f>IF(WWWW[[#This Row],['# People with access to soap]]&gt;WWWW[[#This Row],['# People with access to Sanity Pads]],WWWW[[#This Row],['# People with access to soap]],WWWW[[#This Row],['# People with access to Sanity Pads]])</f>
        <v>3451</v>
      </c>
      <c r="DQ228" s="982">
        <f>IF(WWWW[[#This Row],['# people reached by regular dedicated hygiene promotion_5]]&gt;WWWW[[#This Row],['# People received regular supply of hygiene items_6]],WWWW[[#This Row],['# people reached by regular dedicated hygiene promotion_5]],WWWW[[#This Row],['# People received regular supply of hygiene items_6]])</f>
        <v>3451</v>
      </c>
      <c r="DR228" s="984">
        <f>IF(WWWW[[#This Row],[HRP3]]/WWWW[[#This Row],[Total PoP ]]&gt;1,1,WWWW[[#This Row],[HRP3]]/WWWW[[#This Row],[Total PoP ]])</f>
        <v>1</v>
      </c>
      <c r="DS228" s="983">
        <f>1-WWWW[[#This Row],[Hygiene Coverage%]]</f>
        <v>0</v>
      </c>
      <c r="DT228" s="981">
        <f>WWWW[[#This Row],['# people reached by regular dedicated hygiene promotion_5]]/WWWW[[#This Row],[Total PoP ]]</f>
        <v>0.8693132425383947</v>
      </c>
      <c r="DU228" s="98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28" s="981" t="e">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#VALUE!</v>
      </c>
      <c r="DW228" s="982">
        <f>WWWW[[#This Row],['#_Constructed/Existing hand washing stations]]-WWWW[[#This Row],['#_Non-Functional_hand_washing_stations]]</f>
        <v>32</v>
      </c>
      <c r="DX228" s="979">
        <f>IF(WWWW[[#This Row],['# Functional hand washing stations during reporting period]]*20&gt;WWWW[[#This Row],[Total HH]],WWWW[[#This Row],[Total HH]],WWWW[[#This Row],['# Functional hand washing stations during reporting period]]*20)</f>
        <v>565</v>
      </c>
      <c r="DY228" s="979">
        <f>IF(WWWW[[#This Row],[Is sufficient soap available for TLS? (Yes/No)]]="yes",WWWW[[#This Row],['#_Constructed/Existing hand washing stations at TLS/CFS/THF]],0)</f>
        <v>0</v>
      </c>
      <c r="DZ228" s="421">
        <f>IF(WWWW[[#This Row],['# Functional hand washing stations during reporting period]]*100&gt;WWWW[[#This Row],[Total PoP ]],WWWW[[#This Row],[Total PoP ]],WWWW[[#This Row],['# Functional hand washing stations during reporting period]]*100)</f>
        <v>3200</v>
      </c>
      <c r="EA228" s="421" t="str">
        <f>IF(OR(WWWW[[#This Row],['#_students at TLS_CFS]]="",WWWW[[#This Row],['#_students at TLS_CFS]]=0),"No","Yes")</f>
        <v>No</v>
      </c>
      <c r="EB228" s="615">
        <f>IF(WWWW[[#This Row],['#_of_affected_people_surveyed_who_report_feeling_informed_about_the_different_WASH_services_available_to_them]]="","",WWWW[[#This Row],['#_of_affected_people_surveyed_who_report_feeling_informed_about_the_different_WASH_services_available_to_them]]/WWWW[[#This Row],[Total PoP ]])</f>
        <v>1.7386264850767893E-3</v>
      </c>
      <c r="EC228" s="566">
        <f>WWWW[[#This Row],[%_of_affected_people_surveyed_who_report_feeling_satistfied_with_the_latrine_design_and_sanitation_service]]*WWWW[[#This Row],[Total PoP ]]</f>
        <v>3451</v>
      </c>
      <c r="ED228" s="566">
        <f>WWWW[[#This Row],[%_of_affected_people_surveyed_who_report_feeling_satistfied_with_the_water_point_design_and_water_service]]*WWWW[[#This Row],[Total PoP ]]</f>
        <v>3451</v>
      </c>
      <c r="EE228" s="566">
        <f>WWWW[[#This Row],[%_of_complaints_received_that_result_in_timely_corrective_action_and_feedback_to_the_community]]*WWWW[[#This Row],[Total PoP ]]</f>
        <v>3451</v>
      </c>
      <c r="EF22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3451</v>
      </c>
      <c r="EG22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2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28" s="975" t="str">
        <f>VLOOKUP(WWWW[[#This Row],[Site Name]],SiteDB6[[Site Name]:[CCCM Management]],6,FALSE)</f>
        <v>Yes</v>
      </c>
      <c r="EJ228" s="975" t="str">
        <f>VLOOKUP(WWWW[[#This Row],[Site Name]],SiteDB6[[Site Name]:[CCCM Focal Agency]],7,FALSE)</f>
        <v>KBC-BMO</v>
      </c>
      <c r="EK228" s="975" t="str">
        <f>VLOOKUP(WWWW[[#This Row],[Site Name]],SiteDB6[[Site Name]:[Location Type 1]],9,FALSE)</f>
        <v>Camp</v>
      </c>
      <c r="EL228" s="975" t="str">
        <f>VLOOKUP(WWWW[[#This Row],[Site Name]],SiteDB6[[Site Name]:[Type of Accommodation]],10,FALSE)</f>
        <v>Camp</v>
      </c>
      <c r="EM228" s="975" t="str">
        <f>VLOOKUP(WWWW[[#This Row],[Site Name]],SiteDB6[[Site Name]:[Ethnic or GCA/NGCA]],11,FALSE)</f>
        <v>GCA</v>
      </c>
      <c r="EN228" s="975">
        <f>VLOOKUP(WWWW[[#This Row],[Site Name]],SiteDB6[[Site Name]:[Lat]],12,FALSE)</f>
        <v>24.268292826086999</v>
      </c>
      <c r="EO228" s="975">
        <f>VLOOKUP(WWWW[[#This Row],[Site Name]],SiteDB6[[Site Name]:[Long]],13,FALSE)</f>
        <v>97.229116811594196</v>
      </c>
      <c r="EP228" s="975" t="str">
        <f>VLOOKUP(WWWW[[#This Row],[Site Name]],SiteDB6[[Site Name]:[Pcode]],3,FALSE)</f>
        <v>MMR001CMP047</v>
      </c>
      <c r="EQ228" s="980" t="str">
        <f t="shared" si="4"/>
        <v>Covered</v>
      </c>
      <c r="ER228" s="950" t="s">
        <v>3126</v>
      </c>
      <c r="ES228" s="980"/>
      <c r="ET228" s="975">
        <f>VLOOKUP(WWWW[[#This Row],[Site Name]],SiteDB6[[Site Name]:[Pop
(Kachin/Shan-CCCM as of May 2023)]],16,FALSE)</f>
        <v>565</v>
      </c>
      <c r="EU228" s="975">
        <f>VLOOKUP(WWWW[[#This Row],[Site Name]],SiteDB6[[Site Name]:[Pop
(Kachin/Shan-CCCM as of May 2023)]],17,FALSE)</f>
        <v>3369</v>
      </c>
    </row>
    <row r="229" spans="1:151">
      <c r="A229" s="946" t="s">
        <v>2962</v>
      </c>
      <c r="B229" s="946" t="s">
        <v>242</v>
      </c>
      <c r="C229" s="938" t="s">
        <v>242</v>
      </c>
      <c r="D229" s="938" t="s">
        <v>3184</v>
      </c>
      <c r="E229" s="938" t="s">
        <v>37</v>
      </c>
      <c r="F229" s="938" t="s">
        <v>146</v>
      </c>
      <c r="G229" s="902" t="str">
        <f>VLOOKUP(WWWW[[#This Row],[Site Name]],SiteDB6[[Site Name]:[Location Type]],8,FALSE)</f>
        <v>Camp</v>
      </c>
      <c r="H229" s="938" t="s">
        <v>245</v>
      </c>
      <c r="I229" s="441">
        <v>136</v>
      </c>
      <c r="J229" s="441">
        <v>704</v>
      </c>
      <c r="K229" s="948">
        <v>44927</v>
      </c>
      <c r="L229" s="949">
        <v>45382</v>
      </c>
      <c r="M229" s="441"/>
      <c r="N229" s="441"/>
      <c r="O229" s="441">
        <v>1</v>
      </c>
      <c r="P229" s="441"/>
      <c r="Q229" s="421" t="s">
        <v>41</v>
      </c>
      <c r="R229" s="441">
        <v>2</v>
      </c>
      <c r="S229" s="441">
        <v>6</v>
      </c>
      <c r="T229" s="441"/>
      <c r="U229" s="441"/>
      <c r="V229" s="441"/>
      <c r="W229" s="441"/>
      <c r="X229" s="441"/>
      <c r="Y229" s="441"/>
      <c r="Z229" s="441"/>
      <c r="AA229" s="441">
        <v>12</v>
      </c>
      <c r="AB229" s="441"/>
      <c r="AC229" s="441">
        <v>1</v>
      </c>
      <c r="AD229" s="441"/>
      <c r="AE229" s="441">
        <v>3</v>
      </c>
      <c r="AF229" s="441"/>
      <c r="AG229" s="441">
        <v>1</v>
      </c>
      <c r="AH229" s="441"/>
      <c r="AI229" s="441"/>
      <c r="AJ229" s="441"/>
      <c r="AK229" s="441"/>
      <c r="AL229" s="441"/>
      <c r="AM229" s="441"/>
      <c r="AN229" s="441"/>
      <c r="AO229" s="441"/>
      <c r="AP229" s="950"/>
      <c r="AQ229" s="441">
        <v>15</v>
      </c>
      <c r="AR229" s="441"/>
      <c r="AS229" s="416" t="s">
        <v>3190</v>
      </c>
      <c r="AT229" s="441">
        <v>1</v>
      </c>
      <c r="AU229" s="441"/>
      <c r="AV229" s="441"/>
      <c r="AW229" s="441"/>
      <c r="AX229" s="441"/>
      <c r="AY229" s="418" t="s">
        <v>41</v>
      </c>
      <c r="AZ229" s="950" t="s">
        <v>137</v>
      </c>
      <c r="BA229" s="441"/>
      <c r="BB229" s="441"/>
      <c r="BC229" s="441"/>
      <c r="BD229" s="441">
        <v>0.5</v>
      </c>
      <c r="BE229" s="441"/>
      <c r="BF229" s="418"/>
      <c r="BG229" s="441">
        <v>2</v>
      </c>
      <c r="BH229" s="441"/>
      <c r="BI229" s="441"/>
      <c r="BJ229" s="441">
        <v>2</v>
      </c>
      <c r="BK229" s="441"/>
      <c r="BL229" s="441"/>
      <c r="BM229" s="441">
        <v>1</v>
      </c>
      <c r="BN229" s="441">
        <v>4</v>
      </c>
      <c r="BO229" s="441"/>
      <c r="BP229" s="418" t="s">
        <v>136</v>
      </c>
      <c r="BQ229" s="417">
        <v>1</v>
      </c>
      <c r="BR229" s="416">
        <v>0.7</v>
      </c>
      <c r="BS229" s="418"/>
      <c r="BT229" s="416">
        <v>0.8</v>
      </c>
      <c r="BU229" s="416">
        <v>0.8</v>
      </c>
      <c r="BV229" s="418">
        <v>30</v>
      </c>
      <c r="BW229" s="416">
        <v>0.9</v>
      </c>
      <c r="BX229" s="441"/>
      <c r="BY229" s="441"/>
      <c r="BZ229" s="441"/>
      <c r="CA229" s="441"/>
      <c r="CB229" s="441"/>
      <c r="CC229" s="693"/>
      <c r="CD229" s="441"/>
      <c r="CE229" s="615" t="str">
        <f>IFERROR(WWWW[[#This Row],['#_Water sources passed]]/WWWW[[#This Row],['#_Water sources tested for fecal coliform ]],"no test")</f>
        <v>no test</v>
      </c>
      <c r="CF229" s="416" t="str">
        <f>IFERROR(WWWW[[#This Row],['#_Household passed]]/WWWW[[#This Row],['#_Household water samples tested for fecal coliform]],"no test")</f>
        <v>no test</v>
      </c>
      <c r="CG229" s="417" t="str">
        <f>IF(AND(WWWW[[#This Row],[% of water sources passed]]="no test",WWWW[[#This Row],[% Household passed]]="no test"),"No Test","Tested")</f>
        <v>No Test</v>
      </c>
      <c r="CH229" s="417">
        <f>WWWW[[#This Row],['#_Constructed/existing protected hand dug well]]-WWWW[[#This Row],['#_Non-functional protected hand dug well]]</f>
        <v>0</v>
      </c>
      <c r="CI229" s="417">
        <f>(WWWW[[#This Row],['#_Constructed/Existing tube wells/boreholes/handpumps_WASH_agency]]+WWWW[[#This Row],['#_Non-Cluster partner water tube-wells/boreholes/handpumps]])-WWWW[[#This Row],['#_Non-functional tube wells/boreholes/handpumps]]</f>
        <v>0</v>
      </c>
      <c r="CJ229" s="417">
        <f>WWWW[[#This Row],['#_Constructed/Existingwater storage tank with gravity fed reticulation system]]-WWWW[[#This Row],['#_Non-functional storage tank gravity fed reticulation system]]</f>
        <v>12</v>
      </c>
      <c r="CK229" s="417">
        <f>(WWWW[[#This Row],['#_Water_Liters_supplied_by_Water boating or water trucking]]/90)/15</f>
        <v>0</v>
      </c>
      <c r="CL229" s="417">
        <f>WWWW[[#This Row],['#_Water_Liters_from_Constructed/Existing water distribution system from river or natural spring]]/90/15</f>
        <v>0</v>
      </c>
      <c r="CM229" s="417">
        <f>IF(WWWW[[#This Row],['#_of water points in TLS/CFS]]*500&gt;WWWW[[#This Row],[Total PoP ]],WWWW[[#This Row],[Total PoP ]],WWWW[[#This Row],['#_of water points in TLS/CFS]]*500)</f>
        <v>0</v>
      </c>
      <c r="CN229" s="417">
        <f>IF(WWWW[[#This Row],['#_of water points in THF]]*500&gt;WWWW[[#This Row],[Total PoP ]],WWWW[[#This Row],[Total PoP ]],WWWW[[#This Row],['#_of water points in THF]]*500)</f>
        <v>0</v>
      </c>
      <c r="CO229" s="417"/>
      <c r="CP229"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29"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29" s="416">
        <f>IF(WWWW[[#This Row],[Location Type 1]]="Village",WWWW[[#This Row],[Access to safe drinking water for Village]],WWWW[[#This Row],[Access to safe drinking water for Camp]])</f>
        <v>1</v>
      </c>
      <c r="CS229" s="421">
        <f>WWWW[[#This Row],[%Equitable and continuous access to sufficient quantity of safe drinking water]]*WWWW[[#This Row],[Total PoP ]]</f>
        <v>704</v>
      </c>
      <c r="CT229" s="416">
        <f>IF((WWWW[[#This Row],['#_Constructed/Existing protected/fenced ponds]]*250)/WWWW[[#This Row],[Total PoP ]]&gt;1,1,(WWWW[[#This Row],['#_Constructed/Existing protected/fenced ponds]]*250)/WWWW[[#This Row],[Total PoP ]])</f>
        <v>1</v>
      </c>
      <c r="CU229" s="421">
        <f>WWWW[[#This Row],[% Access to unimproved water points]]*WWWW[[#This Row],[Total PoP ]]</f>
        <v>704</v>
      </c>
      <c r="CV229"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29"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704</v>
      </c>
      <c r="CX229" s="421">
        <f>WWWW[[#This Row],[HRP1]]/500</f>
        <v>1.4079999999999999</v>
      </c>
      <c r="CY229" s="951">
        <f>1-WWWW[[#This Row],[% Equitable and continuous access to sufficient quantity of domestic water]]</f>
        <v>0</v>
      </c>
      <c r="CZ229" s="421">
        <f>WWWW[[#This Row],[%equitable and continuous access to sufficient quantity of safe drinking and domestic water''s GAP]]*WWWW[[#This Row],[Total PoP ]]</f>
        <v>0</v>
      </c>
      <c r="DA229" s="417">
        <f>IF(WWWW[[#This Row],[Total required water points]]-WWWW[[#This Row],['#Water points coverage]]&lt;0,0,WWWW[[#This Row],[Total required water points]]-WWWW[[#This Row],['#Water points coverage]])</f>
        <v>0</v>
      </c>
      <c r="DB229" s="417">
        <f>ROUND(IF(WWWW[[#This Row],[Total PoP ]]&lt;500,1,WWWW[[#This Row],[Total PoP ]]/500),0)</f>
        <v>1</v>
      </c>
      <c r="DC229" s="417">
        <f>(WWWW[[#This Row],['#_Constructed latrines_by_WASHAgencies]]+WWWW[[#This Row],['#_Non Cluster partner latrines]])-WWWW[[#This Row],['#_Non-functional latrines]]</f>
        <v>14</v>
      </c>
      <c r="DD229" s="615">
        <f>WWWW[[#This Row],[HRP2]]/WWWW[[#This Row],[Total PoP ]]</f>
        <v>0.39772727272727271</v>
      </c>
      <c r="DE229"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280</v>
      </c>
      <c r="DF229"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29"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29" s="417">
        <f>IF(WWWW[[#This Row],['# of functional latrines in THF supported by WASH partners during the reporting period2]]="",0,WWWW[[#This Row],['# of functional latrines in THF supported by WASH partners during the reporting period2]]*50)</f>
        <v>25</v>
      </c>
      <c r="DI229" s="417">
        <f>ROUND(IF(WWWW[[#This Row],[Location Type 1]]="camp",WWWW[[#This Row],[Total PoP ]]/20,IF(WWWW[[#This Row],[Location Type 1]]="Temporary Location",WWWW[[#This Row],[Total PoP ]]/50,(WWWW[[#This Row],[Total PoP ]]/6))),0)</f>
        <v>35</v>
      </c>
      <c r="DJ229" s="417">
        <f>IF(WWWW[[#This Row],[Total required Latrines]]-(WWWW[[#This Row],['#_Constructed latrines_by_WASHAgencies]]+WWWW[[#This Row],['#_Non Cluster partner latrines]])&lt;0,0,WWWW[[#This Row],[Total required Latrines]]-(WWWW[[#This Row],['#_Constructed latrines_by_WASHAgencies]]+WWWW[[#This Row],['#_Non Cluster partner latrines]]))</f>
        <v>20</v>
      </c>
      <c r="DK229" s="951">
        <f>1-WWWW[[#This Row],[% people access to functioning Latrine]]</f>
        <v>0.60227272727272729</v>
      </c>
      <c r="DL229" s="615">
        <f>IF(OR(WWWW[[#This Row],['#_Non-functional latrines]]="",WWWW[[#This Row],['#_Non-functional latrines]]=0),0,WWWW[[#This Row],['#_Non-functional latrines]]/(WWWW[[#This Row],['#_Constructed latrines_by_WASHAgencies]]+WWWW[[#This Row],['#_Non Cluster partner latrines]]))</f>
        <v>6.6666666666666666E-2</v>
      </c>
      <c r="DM229" s="421">
        <f>IF(500*(WWWW[[#This Row],['#_male hygiene promoters]]+WWWW[[#This Row],['#_female hygiene promoters]])&gt;WWWW[[#This Row],[Total PoP ]],WWWW[[#This Row],[Total PoP ]],500*(WWWW[[#This Row],['#_male hygiene promoters]]+WWWW[[#This Row],['#_female hygiene promoters]]))</f>
        <v>500</v>
      </c>
      <c r="DN229"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20</v>
      </c>
      <c r="DO229"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29" s="417">
        <f>IF(WWWW[[#This Row],['# People with access to soap]]&gt;WWWW[[#This Row],['# People with access to Sanity Pads]],WWWW[[#This Row],['# People with access to soap]],WWWW[[#This Row],['# People with access to Sanity Pads]])</f>
        <v>20</v>
      </c>
      <c r="DQ229" s="41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229" s="951">
        <f>IF(WWWW[[#This Row],[HRP3]]/WWWW[[#This Row],[Total PoP ]]&gt;1,1,WWWW[[#This Row],[HRP3]]/WWWW[[#This Row],[Total PoP ]])</f>
        <v>0.71022727272727271</v>
      </c>
      <c r="DS229" s="615">
        <f>1-WWWW[[#This Row],[Hygiene Coverage%]]</f>
        <v>0.28977272727272729</v>
      </c>
      <c r="DT229" s="416">
        <f>WWWW[[#This Row],['# people reached by regular dedicated hygiene promotion_5]]/WWWW[[#This Row],[Total PoP ]]</f>
        <v>0.71022727272727271</v>
      </c>
      <c r="DU229"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0.11764705882352941</v>
      </c>
      <c r="DV229"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29" s="417">
        <f>WWWW[[#This Row],['#_Constructed/Existing hand washing stations]]-WWWW[[#This Row],['#_Non-Functional_hand_washing_stations]]</f>
        <v>2</v>
      </c>
      <c r="DX229" s="421">
        <f>IF(WWWW[[#This Row],['# Functional hand washing stations during reporting period]]*20&gt;WWWW[[#This Row],[Total HH]],WWWW[[#This Row],[Total HH]],WWWW[[#This Row],['# Functional hand washing stations during reporting period]]*20)</f>
        <v>40</v>
      </c>
      <c r="DY229" s="421">
        <f>IF(WWWW[[#This Row],[Is sufficient soap available for TLS? (Yes/No)]]="yes",WWWW[[#This Row],['#_Constructed/Existing hand washing stations at TLS/CFS/THF]],0)</f>
        <v>0</v>
      </c>
      <c r="DZ229" s="421">
        <f>IF(WWWW[[#This Row],['# Functional hand washing stations during reporting period]]*100&gt;WWWW[[#This Row],[Total PoP ]],WWWW[[#This Row],[Total PoP ]],WWWW[[#This Row],['# Functional hand washing stations during reporting period]]*100)</f>
        <v>200</v>
      </c>
      <c r="EA229" s="421" t="str">
        <f>IF(OR(WWWW[[#This Row],['#_students at TLS_CFS]]="",WWWW[[#This Row],['#_students at TLS_CFS]]=0),"No","Yes")</f>
        <v>No</v>
      </c>
      <c r="EB229" s="615">
        <f>IF(WWWW[[#This Row],['#_of_affected_people_surveyed_who_report_feeling_informed_about_the_different_WASH_services_available_to_them]]="","",WWWW[[#This Row],['#_of_affected_people_surveyed_who_report_feeling_informed_about_the_different_WASH_services_available_to_them]]/WWWW[[#This Row],[Total PoP ]])</f>
        <v>4.261363636363636E-2</v>
      </c>
      <c r="EC229" s="566">
        <f>WWWW[[#This Row],[%_of_affected_people_surveyed_who_report_feeling_satistfied_with_the_latrine_design_and_sanitation_service]]*WWWW[[#This Row],[Total PoP ]]</f>
        <v>563.20000000000005</v>
      </c>
      <c r="ED229" s="566">
        <f>WWWW[[#This Row],[%_of_affected_people_surveyed_who_report_feeling_satistfied_with_the_water_point_design_and_water_service]]*WWWW[[#This Row],[Total PoP ]]</f>
        <v>563.20000000000005</v>
      </c>
      <c r="EE229" s="566">
        <f>WWWW[[#This Row],[%_of_complaints_received_that_result_in_timely_corrective_action_and_feedback_to_the_community]]*WWWW[[#This Row],[Total PoP ]]</f>
        <v>633.6</v>
      </c>
      <c r="EF22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633.6</v>
      </c>
      <c r="EG22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2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25</v>
      </c>
      <c r="EI229" s="418" t="str">
        <f>VLOOKUP(WWWW[[#This Row],[Site Name]],SiteDB6[[Site Name]:[CCCM Management]],6,FALSE)</f>
        <v>Yes</v>
      </c>
      <c r="EJ229" s="418" t="str">
        <f>VLOOKUP(WWWW[[#This Row],[Site Name]],SiteDB6[[Site Name]:[CCCM Focal Agency]],7,FALSE)</f>
        <v>Shalom</v>
      </c>
      <c r="EK229" s="418" t="str">
        <f>VLOOKUP(WWWW[[#This Row],[Site Name]],SiteDB6[[Site Name]:[Location Type 1]],9,FALSE)</f>
        <v>Camp</v>
      </c>
      <c r="EL229" s="418" t="str">
        <f>VLOOKUP(WWWW[[#This Row],[Site Name]],SiteDB6[[Site Name]:[Type of Accommodation]],10,FALSE)</f>
        <v>Camp</v>
      </c>
      <c r="EM229" s="418" t="str">
        <f>VLOOKUP(WWWW[[#This Row],[Site Name]],SiteDB6[[Site Name]:[Ethnic or GCA/NGCA]],11,FALSE)</f>
        <v>GCA</v>
      </c>
      <c r="EN229" s="418">
        <f>VLOOKUP(WWWW[[#This Row],[Site Name]],SiteDB6[[Site Name]:[Lat]],12,FALSE)</f>
        <v>25.889410000000002</v>
      </c>
      <c r="EO229" s="418">
        <f>VLOOKUP(WWWW[[#This Row],[Site Name]],SiteDB6[[Site Name]:[Long]],13,FALSE)</f>
        <v>98.131550000000004</v>
      </c>
      <c r="EP229" s="418" t="str">
        <f>VLOOKUP(WWWW[[#This Row],[Site Name]],SiteDB6[[Site Name]:[Pcode]],3,FALSE)</f>
        <v>MMR001CMP042</v>
      </c>
      <c r="EQ229" s="950" t="str">
        <f t="shared" si="4"/>
        <v>Covered</v>
      </c>
      <c r="ER229" s="950" t="s">
        <v>136</v>
      </c>
      <c r="ES229" s="950" t="s">
        <v>3262</v>
      </c>
      <c r="ET229" s="418">
        <f>VLOOKUP(WWWW[[#This Row],[Site Name]],SiteDB6[[Site Name]:[Pop
(Kachin/Shan-CCCM as of May 2023)]],16,FALSE)</f>
        <v>137</v>
      </c>
      <c r="EU229" s="418">
        <f>VLOOKUP(WWWW[[#This Row],[Site Name]],SiteDB6[[Site Name]:[Pop
(Kachin/Shan-CCCM as of May 2023)]],17,FALSE)</f>
        <v>713</v>
      </c>
    </row>
    <row r="230" spans="1:151">
      <c r="A230" s="946" t="s">
        <v>2962</v>
      </c>
      <c r="B230" s="938" t="s">
        <v>3347</v>
      </c>
      <c r="C230" s="1005" t="s">
        <v>3347</v>
      </c>
      <c r="D230" s="1005" t="s">
        <v>241</v>
      </c>
      <c r="E230" s="1005" t="s">
        <v>37</v>
      </c>
      <c r="F230" s="1005" t="s">
        <v>146</v>
      </c>
      <c r="G230" s="902" t="str">
        <f>VLOOKUP(WWWW[[#This Row],[Site Name]],SiteDB6[[Site Name]:[Location Type]],8,FALSE)</f>
        <v>Camp</v>
      </c>
      <c r="H230" s="1005" t="s">
        <v>147</v>
      </c>
      <c r="I230" s="954">
        <v>177</v>
      </c>
      <c r="J230" s="954">
        <v>1089</v>
      </c>
      <c r="K230" s="955">
        <v>44811</v>
      </c>
      <c r="L230" s="956">
        <v>45175</v>
      </c>
      <c r="M230" s="954"/>
      <c r="N230" s="954">
        <v>2</v>
      </c>
      <c r="O230" s="954"/>
      <c r="P230" s="954"/>
      <c r="Q230" s="957" t="s">
        <v>41</v>
      </c>
      <c r="R230" s="954">
        <v>3</v>
      </c>
      <c r="S230" s="954">
        <v>1</v>
      </c>
      <c r="T230" s="441"/>
      <c r="U230" s="954"/>
      <c r="V230" s="954"/>
      <c r="W230" s="954"/>
      <c r="X230" s="954"/>
      <c r="Y230" s="954"/>
      <c r="Z230" s="954"/>
      <c r="AA230" s="954">
        <v>2</v>
      </c>
      <c r="AB230" s="954"/>
      <c r="AC230" s="954"/>
      <c r="AD230" s="954"/>
      <c r="AE230" s="954"/>
      <c r="AF230" s="954"/>
      <c r="AG230" s="954"/>
      <c r="AH230" s="954">
        <v>2</v>
      </c>
      <c r="AI230" s="954"/>
      <c r="AJ230" s="954"/>
      <c r="AK230" s="954"/>
      <c r="AL230" s="954"/>
      <c r="AM230" s="954"/>
      <c r="AN230" s="954"/>
      <c r="AO230" s="441"/>
      <c r="AP230" s="958"/>
      <c r="AQ230" s="954">
        <v>98</v>
      </c>
      <c r="AR230" s="954"/>
      <c r="AS230" s="959"/>
      <c r="AT230" s="954"/>
      <c r="AU230" s="954"/>
      <c r="AV230" s="954"/>
      <c r="AW230" s="954"/>
      <c r="AX230" s="954">
        <v>98</v>
      </c>
      <c r="AY230" s="953" t="s">
        <v>41</v>
      </c>
      <c r="AZ230" s="958" t="s">
        <v>137</v>
      </c>
      <c r="BA230" s="954"/>
      <c r="BB230" s="954"/>
      <c r="BC230" s="954"/>
      <c r="BD230" s="441"/>
      <c r="BE230" s="441"/>
      <c r="BF230" s="953"/>
      <c r="BG230" s="954">
        <v>8</v>
      </c>
      <c r="BH230" s="954"/>
      <c r="BI230" s="954"/>
      <c r="BJ230" s="954">
        <v>4</v>
      </c>
      <c r="BK230" s="954">
        <v>1</v>
      </c>
      <c r="BL230" s="954">
        <v>1</v>
      </c>
      <c r="BM230" s="954"/>
      <c r="BN230" s="954"/>
      <c r="BO230" s="954"/>
      <c r="BP230" s="953"/>
      <c r="BQ230" s="960"/>
      <c r="BR230" s="959"/>
      <c r="BS230" s="953"/>
      <c r="BT230" s="416"/>
      <c r="BU230" s="416"/>
      <c r="BV230" s="418"/>
      <c r="BW230" s="416"/>
      <c r="BX230" s="441"/>
      <c r="BY230" s="441"/>
      <c r="BZ230" s="441"/>
      <c r="CA230" s="441"/>
      <c r="CB230" s="441"/>
      <c r="CC230" s="693"/>
      <c r="CD230" s="441"/>
      <c r="CE230" s="961" t="str">
        <f>IFERROR(WWWW[[#This Row],['#_Water sources passed]]/WWWW[[#This Row],['#_Water sources tested for fecal coliform ]],"no test")</f>
        <v>no test</v>
      </c>
      <c r="CF230" s="959" t="str">
        <f>IFERROR(WWWW[[#This Row],['#_Household passed]]/WWWW[[#This Row],['#_Household water samples tested for fecal coliform]],"no test")</f>
        <v>no test</v>
      </c>
      <c r="CG230" s="960" t="str">
        <f>IF(AND(WWWW[[#This Row],[% of water sources passed]]="no test",WWWW[[#This Row],[% Household passed]]="no test"),"No Test","Tested")</f>
        <v>No Test</v>
      </c>
      <c r="CH230" s="960">
        <f>WWWW[[#This Row],['#_Constructed/existing protected hand dug well]]-WWWW[[#This Row],['#_Non-functional protected hand dug well]]</f>
        <v>0</v>
      </c>
      <c r="CI230" s="960">
        <f>(WWWW[[#This Row],['#_Constructed/Existing tube wells/boreholes/handpumps_WASH_agency]]+WWWW[[#This Row],['#_Non-Cluster partner water tube-wells/boreholes/handpumps]])-WWWW[[#This Row],['#_Non-functional tube wells/boreholes/handpumps]]</f>
        <v>0</v>
      </c>
      <c r="CJ230" s="960">
        <f>WWWW[[#This Row],['#_Constructed/Existingwater storage tank with gravity fed reticulation system]]-WWWW[[#This Row],['#_Non-functional storage tank gravity fed reticulation system]]</f>
        <v>2</v>
      </c>
      <c r="CK230" s="960">
        <f>(WWWW[[#This Row],['#_Water_Liters_supplied_by_Water boating or water trucking]]/90)/15</f>
        <v>0</v>
      </c>
      <c r="CL230" s="960">
        <f>WWWW[[#This Row],['#_Water_Liters_from_Constructed/Existing water distribution system from river or natural spring]]/90/15</f>
        <v>0</v>
      </c>
      <c r="CM230" s="417">
        <f>IF(WWWW[[#This Row],['#_of water points in TLS/CFS]]*500&gt;WWWW[[#This Row],[Total PoP ]],WWWW[[#This Row],[Total PoP ]],WWWW[[#This Row],['#_of water points in TLS/CFS]]*500)</f>
        <v>0</v>
      </c>
      <c r="CN230" s="417">
        <f>IF(WWWW[[#This Row],['#_of water points in THF]]*500&gt;WWWW[[#This Row],[Total PoP ]],WWWW[[#This Row],[Total PoP ]],WWWW[[#This Row],['#_of water points in THF]]*500)</f>
        <v>0</v>
      </c>
      <c r="CO230" s="417"/>
      <c r="CP230"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0.12243648607284972</v>
      </c>
      <c r="CQ230"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0.12243648607284972</v>
      </c>
      <c r="CR230" s="959">
        <f>IF(WWWW[[#This Row],[Location Type 1]]="Village",WWWW[[#This Row],[Access to safe drinking water for Village]],WWWW[[#This Row],[Access to safe drinking water for Camp]])</f>
        <v>0.12243648607284972</v>
      </c>
      <c r="CS230" s="957">
        <f>WWWW[[#This Row],[%Equitable and continuous access to sufficient quantity of safe drinking water]]*WWWW[[#This Row],[Total PoP ]]</f>
        <v>133.33333333333334</v>
      </c>
      <c r="CT230" s="959">
        <f>IF((WWWW[[#This Row],['#_Constructed/Existing protected/fenced ponds]]*250)/WWWW[[#This Row],[Total PoP ]]&gt;1,1,(WWWW[[#This Row],['#_Constructed/Existing protected/fenced ponds]]*250)/WWWW[[#This Row],[Total PoP ]])</f>
        <v>0</v>
      </c>
      <c r="CU230" s="957">
        <f>WWWW[[#This Row],[% Access to unimproved water points]]*WWWW[[#This Row],[Total PoP ]]</f>
        <v>0</v>
      </c>
      <c r="CV230"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0.12243648607284972</v>
      </c>
      <c r="CW230"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133.33333333333334</v>
      </c>
      <c r="CX230" s="957">
        <f>WWWW[[#This Row],[HRP1]]/500</f>
        <v>0.26666666666666666</v>
      </c>
      <c r="CY230" s="962">
        <f>1-WWWW[[#This Row],[% Equitable and continuous access to sufficient quantity of domestic water]]</f>
        <v>0.87756351392715026</v>
      </c>
      <c r="CZ230" s="957">
        <f>WWWW[[#This Row],[%equitable and continuous access to sufficient quantity of safe drinking and domestic water''s GAP]]*WWWW[[#This Row],[Total PoP ]]</f>
        <v>955.66666666666663</v>
      </c>
      <c r="DA230" s="960">
        <f>IF(WWWW[[#This Row],[Total required water points]]-WWWW[[#This Row],['#Water points coverage]]&lt;0,0,WWWW[[#This Row],[Total required water points]]-WWWW[[#This Row],['#Water points coverage]])</f>
        <v>1.7333333333333334</v>
      </c>
      <c r="DB230" s="960">
        <f>ROUND(IF(WWWW[[#This Row],[Total PoP ]]&lt;500,1,WWWW[[#This Row],[Total PoP ]]/500),0)</f>
        <v>2</v>
      </c>
      <c r="DC230" s="960">
        <f>(WWWW[[#This Row],['#_Constructed latrines_by_WASHAgencies]]+WWWW[[#This Row],['#_Non Cluster partner latrines]])-WWWW[[#This Row],['#_Non-functional latrines]]</f>
        <v>98</v>
      </c>
      <c r="DD230" s="615">
        <f>WWWW[[#This Row],[HRP2]]/WWWW[[#This Row],[Total PoP ]]</f>
        <v>1</v>
      </c>
      <c r="DE230"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1089</v>
      </c>
      <c r="DF230"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30"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30" s="417">
        <f>IF(WWWW[[#This Row],['# of functional latrines in THF supported by WASH partners during the reporting period2]]="",0,WWWW[[#This Row],['# of functional latrines in THF supported by WASH partners during the reporting period2]]*50)</f>
        <v>0</v>
      </c>
      <c r="DI230" s="960">
        <f>ROUND(IF(WWWW[[#This Row],[Location Type 1]]="camp",WWWW[[#This Row],[Total PoP ]]/20,IF(WWWW[[#This Row],[Location Type 1]]="Temporary Location",WWWW[[#This Row],[Total PoP ]]/50,(WWWW[[#This Row],[Total PoP ]]/6))),0)</f>
        <v>54</v>
      </c>
      <c r="DJ230" s="960">
        <f>IF(WWWW[[#This Row],[Total required Latrines]]-(WWWW[[#This Row],['#_Constructed latrines_by_WASHAgencies]]+WWWW[[#This Row],['#_Non Cluster partner latrines]])&lt;0,0,WWWW[[#This Row],[Total required Latrines]]-(WWWW[[#This Row],['#_Constructed latrines_by_WASHAgencies]]+WWWW[[#This Row],['#_Non Cluster partner latrines]]))</f>
        <v>0</v>
      </c>
      <c r="DK230" s="962">
        <f>1-WWWW[[#This Row],[% people access to functioning Latrine]]</f>
        <v>0</v>
      </c>
      <c r="DL230" s="961">
        <f>IF(OR(WWWW[[#This Row],['#_Non-functional latrines]]="",WWWW[[#This Row],['#_Non-functional latrines]]=0),0,WWWW[[#This Row],['#_Non-functional latrines]]/(WWWW[[#This Row],['#_Constructed latrines_by_WASHAgencies]]+WWWW[[#This Row],['#_Non Cluster partner latrines]]))</f>
        <v>0</v>
      </c>
      <c r="DM230" s="957">
        <f>IF(500*(WWWW[[#This Row],['#_male hygiene promoters]]+WWWW[[#This Row],['#_female hygiene promoters]])&gt;WWWW[[#This Row],[Total PoP ]],WWWW[[#This Row],[Total PoP ]],500*(WWWW[[#This Row],['#_male hygiene promoters]]+WWWW[[#This Row],['#_female hygiene promoters]]))</f>
        <v>500</v>
      </c>
      <c r="DN230"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30"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30" s="960">
        <f>IF(WWWW[[#This Row],['# People with access to soap]]&gt;WWWW[[#This Row],['# People with access to Sanity Pads]],WWWW[[#This Row],['# People with access to soap]],WWWW[[#This Row],['# People with access to Sanity Pads]])</f>
        <v>0</v>
      </c>
      <c r="DQ230" s="960">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230" s="962">
        <f>IF(WWWW[[#This Row],[HRP3]]/WWWW[[#This Row],[Total PoP ]]&gt;1,1,WWWW[[#This Row],[HRP3]]/WWWW[[#This Row],[Total PoP ]])</f>
        <v>0.4591368227731864</v>
      </c>
      <c r="DS230" s="961">
        <f>1-WWWW[[#This Row],[Hygiene Coverage%]]</f>
        <v>0.54086317722681354</v>
      </c>
      <c r="DT230" s="959">
        <f>WWWW[[#This Row],['# people reached by regular dedicated hygiene promotion_5]]/WWWW[[#This Row],[Total PoP ]]</f>
        <v>0.4591368227731864</v>
      </c>
      <c r="DU230"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30"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30" s="960">
        <f>WWWW[[#This Row],['#_Constructed/Existing hand washing stations]]-WWWW[[#This Row],['#_Non-Functional_hand_washing_stations]]</f>
        <v>8</v>
      </c>
      <c r="DX230" s="957">
        <f>IF(WWWW[[#This Row],['# Functional hand washing stations during reporting period]]*20&gt;WWWW[[#This Row],[Total HH]],WWWW[[#This Row],[Total HH]],WWWW[[#This Row],['# Functional hand washing stations during reporting period]]*20)</f>
        <v>160</v>
      </c>
      <c r="DY230" s="957">
        <f>IF(WWWW[[#This Row],[Is sufficient soap available for TLS? (Yes/No)]]="yes",WWWW[[#This Row],['#_Constructed/Existing hand washing stations at TLS/CFS/THF]],0)</f>
        <v>0</v>
      </c>
      <c r="DZ230" s="421">
        <f>IF(WWWW[[#This Row],['# Functional hand washing stations during reporting period]]*100&gt;WWWW[[#This Row],[Total PoP ]],WWWW[[#This Row],[Total PoP ]],WWWW[[#This Row],['# Functional hand washing stations during reporting period]]*100)</f>
        <v>800</v>
      </c>
      <c r="EA230" s="421" t="str">
        <f>IF(OR(WWWW[[#This Row],['#_students at TLS_CFS]]="",WWWW[[#This Row],['#_students at TLS_CFS]]=0),"No","Yes")</f>
        <v>No</v>
      </c>
      <c r="EB23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30" s="566">
        <f>WWWW[[#This Row],[%_of_affected_people_surveyed_who_report_feeling_satistfied_with_the_latrine_design_and_sanitation_service]]*WWWW[[#This Row],[Total PoP ]]</f>
        <v>0</v>
      </c>
      <c r="ED230" s="566">
        <f>WWWW[[#This Row],[%_of_affected_people_surveyed_who_report_feeling_satistfied_with_the_water_point_design_and_water_service]]*WWWW[[#This Row],[Total PoP ]]</f>
        <v>0</v>
      </c>
      <c r="EE230" s="566">
        <f>WWWW[[#This Row],[%_of_complaints_received_that_result_in_timely_corrective_action_and_feedback_to_the_community]]*WWWW[[#This Row],[Total PoP ]]</f>
        <v>0</v>
      </c>
      <c r="EF23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3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3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30" s="953" t="str">
        <f>VLOOKUP(WWWW[[#This Row],[Site Name]],SiteDB6[[Site Name]:[CCCM Management]],6,FALSE)</f>
        <v>Yes</v>
      </c>
      <c r="EJ230" s="953" t="str">
        <f>VLOOKUP(WWWW[[#This Row],[Site Name]],SiteDB6[[Site Name]:[CCCM Focal Agency]],7,FALSE)</f>
        <v>KBC-MYT</v>
      </c>
      <c r="EK230" s="953" t="str">
        <f>VLOOKUP(WWWW[[#This Row],[Site Name]],SiteDB6[[Site Name]:[Location Type 1]],9,FALSE)</f>
        <v>Camp</v>
      </c>
      <c r="EL230" s="953" t="str">
        <f>VLOOKUP(WWWW[[#This Row],[Site Name]],SiteDB6[[Site Name]:[Type of Accommodation]],10,FALSE)</f>
        <v>Camp</v>
      </c>
      <c r="EM230" s="953" t="str">
        <f>VLOOKUP(WWWW[[#This Row],[Site Name]],SiteDB6[[Site Name]:[Ethnic or GCA/NGCA]],11,FALSE)</f>
        <v>NGCA</v>
      </c>
      <c r="EN230" s="953">
        <f>VLOOKUP(WWWW[[#This Row],[Site Name]],SiteDB6[[Site Name]:[Lat]],12,FALSE)</f>
        <v>25.754110000000001</v>
      </c>
      <c r="EO230" s="953">
        <f>VLOOKUP(WWWW[[#This Row],[Site Name]],SiteDB6[[Site Name]:[Long]],13,FALSE)</f>
        <v>98.475719999999995</v>
      </c>
      <c r="EP230" s="953" t="str">
        <f>VLOOKUP(WWWW[[#This Row],[Site Name]],SiteDB6[[Site Name]:[Pcode]],3,FALSE)</f>
        <v>MMR001CMP043</v>
      </c>
      <c r="EQ230" s="958" t="str">
        <f t="shared" si="4"/>
        <v>Covered</v>
      </c>
      <c r="ER230" s="950" t="s">
        <v>3126</v>
      </c>
      <c r="ES230" s="972" t="s">
        <v>3267</v>
      </c>
      <c r="ET230" s="953">
        <f>VLOOKUP(WWWW[[#This Row],[Site Name]],SiteDB6[[Site Name]:[Pop
(Kachin/Shan-CCCM as of May 2023)]],16,FALSE)</f>
        <v>178</v>
      </c>
      <c r="EU230" s="953">
        <f>VLOOKUP(WWWW[[#This Row],[Site Name]],SiteDB6[[Site Name]:[Pop
(Kachin/Shan-CCCM as of May 2023)]],17,FALSE)</f>
        <v>1089</v>
      </c>
    </row>
    <row r="231" spans="1:151">
      <c r="A231" s="946" t="s">
        <v>2962</v>
      </c>
      <c r="B231" s="946" t="s">
        <v>242</v>
      </c>
      <c r="C231" s="938" t="s">
        <v>242</v>
      </c>
      <c r="D231" s="938" t="s">
        <v>3184</v>
      </c>
      <c r="E231" s="938" t="s">
        <v>37</v>
      </c>
      <c r="F231" s="938" t="s">
        <v>146</v>
      </c>
      <c r="G231" s="902" t="str">
        <f>VLOOKUP(WWWW[[#This Row],[Site Name]],SiteDB6[[Site Name]:[Location Type]],8,FALSE)</f>
        <v>Camp</v>
      </c>
      <c r="H231" s="938" t="s">
        <v>247</v>
      </c>
      <c r="I231" s="441">
        <v>201</v>
      </c>
      <c r="J231" s="441">
        <v>885</v>
      </c>
      <c r="K231" s="948">
        <v>44927</v>
      </c>
      <c r="L231" s="949">
        <v>45382</v>
      </c>
      <c r="M231" s="441">
        <v>400</v>
      </c>
      <c r="N231" s="441"/>
      <c r="O231" s="441">
        <v>1</v>
      </c>
      <c r="P231" s="441"/>
      <c r="Q231" s="421" t="s">
        <v>41</v>
      </c>
      <c r="R231" s="441">
        <v>4</v>
      </c>
      <c r="S231" s="441">
        <v>2</v>
      </c>
      <c r="T231" s="441">
        <v>1</v>
      </c>
      <c r="U231" s="441"/>
      <c r="V231" s="441"/>
      <c r="W231" s="441"/>
      <c r="X231" s="441"/>
      <c r="Y231" s="441"/>
      <c r="Z231" s="441"/>
      <c r="AA231" s="441">
        <v>3</v>
      </c>
      <c r="AB231" s="441"/>
      <c r="AC231" s="441">
        <v>3</v>
      </c>
      <c r="AD231" s="441"/>
      <c r="AE231" s="441">
        <v>14</v>
      </c>
      <c r="AF231" s="441"/>
      <c r="AG231" s="441">
        <v>10</v>
      </c>
      <c r="AH231" s="441"/>
      <c r="AI231" s="441"/>
      <c r="AJ231" s="441"/>
      <c r="AK231" s="441"/>
      <c r="AL231" s="441"/>
      <c r="AM231" s="441">
        <v>2</v>
      </c>
      <c r="AN231" s="441">
        <v>2</v>
      </c>
      <c r="AO231" s="441"/>
      <c r="AP231" s="950"/>
      <c r="AQ231" s="441">
        <v>32</v>
      </c>
      <c r="AR231" s="441">
        <v>8</v>
      </c>
      <c r="AS231" s="416" t="s">
        <v>2885</v>
      </c>
      <c r="AT231" s="441">
        <v>10</v>
      </c>
      <c r="AU231" s="441">
        <v>3</v>
      </c>
      <c r="AV231" s="441">
        <v>2</v>
      </c>
      <c r="AW231" s="441">
        <v>11.35624</v>
      </c>
      <c r="AX231" s="441">
        <v>50</v>
      </c>
      <c r="AY231" s="418" t="s">
        <v>3126</v>
      </c>
      <c r="AZ231" s="950" t="s">
        <v>137</v>
      </c>
      <c r="BA231" s="441"/>
      <c r="BB231" s="441"/>
      <c r="BC231" s="441"/>
      <c r="BD231" s="441"/>
      <c r="BE231" s="441"/>
      <c r="BF231" s="418"/>
      <c r="BG231" s="441">
        <v>1</v>
      </c>
      <c r="BH231" s="441"/>
      <c r="BI231" s="441"/>
      <c r="BJ231" s="441">
        <v>1</v>
      </c>
      <c r="BK231" s="441"/>
      <c r="BL231" s="441">
        <v>1</v>
      </c>
      <c r="BM231" s="441">
        <v>1</v>
      </c>
      <c r="BN231" s="441">
        <v>50</v>
      </c>
      <c r="BO231" s="441">
        <v>295</v>
      </c>
      <c r="BP231" s="418" t="s">
        <v>41</v>
      </c>
      <c r="BQ231" s="417">
        <v>1</v>
      </c>
      <c r="BR231" s="416">
        <v>0.5</v>
      </c>
      <c r="BS231" s="418"/>
      <c r="BT231" s="416">
        <v>0.8</v>
      </c>
      <c r="BU231" s="416">
        <v>0.8</v>
      </c>
      <c r="BV231" s="418"/>
      <c r="BW231" s="416">
        <v>1</v>
      </c>
      <c r="BX231" s="441"/>
      <c r="BY231" s="441"/>
      <c r="BZ231" s="441"/>
      <c r="CA231" s="441"/>
      <c r="CB231" s="441"/>
      <c r="CC231" s="693"/>
      <c r="CD231" s="441"/>
      <c r="CE231" s="615" t="str">
        <f>IFERROR(WWWW[[#This Row],['#_Water sources passed]]/WWWW[[#This Row],['#_Water sources tested for fecal coliform ]],"no test")</f>
        <v>no test</v>
      </c>
      <c r="CF231" s="416" t="str">
        <f>IFERROR(WWWW[[#This Row],['#_Household passed]]/WWWW[[#This Row],['#_Household water samples tested for fecal coliform]],"no test")</f>
        <v>no test</v>
      </c>
      <c r="CG231" s="417" t="str">
        <f>IF(AND(WWWW[[#This Row],[% of water sources passed]]="no test",WWWW[[#This Row],[% Household passed]]="no test"),"No Test","Tested")</f>
        <v>No Test</v>
      </c>
      <c r="CH231" s="417">
        <f>WWWW[[#This Row],['#_Constructed/existing protected hand dug well]]-WWWW[[#This Row],['#_Non-functional protected hand dug well]]</f>
        <v>1</v>
      </c>
      <c r="CI231" s="417">
        <f>(WWWW[[#This Row],['#_Constructed/Existing tube wells/boreholes/handpumps_WASH_agency]]+WWWW[[#This Row],['#_Non-Cluster partner water tube-wells/boreholes/handpumps]])-WWWW[[#This Row],['#_Non-functional tube wells/boreholes/handpumps]]</f>
        <v>0</v>
      </c>
      <c r="CJ231" s="417">
        <f>WWWW[[#This Row],['#_Constructed/Existingwater storage tank with gravity fed reticulation system]]-WWWW[[#This Row],['#_Non-functional storage tank gravity fed reticulation system]]</f>
        <v>3</v>
      </c>
      <c r="CK231" s="417">
        <f>(WWWW[[#This Row],['#_Water_Liters_supplied_by_Water boating or water trucking]]/90)/15</f>
        <v>0</v>
      </c>
      <c r="CL231" s="417">
        <f>WWWW[[#This Row],['#_Water_Liters_from_Constructed/Existing water distribution system from river or natural spring]]/90/15</f>
        <v>0</v>
      </c>
      <c r="CM231" s="417">
        <f>IF(WWWW[[#This Row],['#_of water points in TLS/CFS]]*500&gt;WWWW[[#This Row],[Total PoP ]],WWWW[[#This Row],[Total PoP ]],WWWW[[#This Row],['#_of water points in TLS/CFS]]*500)</f>
        <v>885</v>
      </c>
      <c r="CN231" s="417">
        <f>IF(WWWW[[#This Row],['#_of water points in THF]]*500&gt;WWWW[[#This Row],[Total PoP ]],WWWW[[#This Row],[Total PoP ]],WWWW[[#This Row],['#_of water points in THF]]*500)</f>
        <v>0</v>
      </c>
      <c r="CO231" s="417"/>
      <c r="CP231"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0.67796610169491522</v>
      </c>
      <c r="CQ231"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0.50847457627118642</v>
      </c>
      <c r="CR231" s="416">
        <f>IF(WWWW[[#This Row],[Location Type 1]]="Village",WWWW[[#This Row],[Access to safe drinking water for Village]],WWWW[[#This Row],[Access to safe drinking water for Camp]])</f>
        <v>0.67796610169491522</v>
      </c>
      <c r="CS231" s="421">
        <f>WWWW[[#This Row],[%Equitable and continuous access to sufficient quantity of safe drinking water]]*WWWW[[#This Row],[Total PoP ]]</f>
        <v>600</v>
      </c>
      <c r="CT231" s="416">
        <f>IF((WWWW[[#This Row],['#_Constructed/Existing protected/fenced ponds]]*250)/WWWW[[#This Row],[Total PoP ]]&gt;1,1,(WWWW[[#This Row],['#_Constructed/Existing protected/fenced ponds]]*250)/WWWW[[#This Row],[Total PoP ]])</f>
        <v>1</v>
      </c>
      <c r="CU231" s="421">
        <f>WWWW[[#This Row],[% Access to unimproved water points]]*WWWW[[#This Row],[Total PoP ]]</f>
        <v>885</v>
      </c>
      <c r="CV231"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31"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885</v>
      </c>
      <c r="CX231" s="421">
        <f>WWWW[[#This Row],[HRP1]]/500</f>
        <v>1.77</v>
      </c>
      <c r="CY231" s="951">
        <f>1-WWWW[[#This Row],[% Equitable and continuous access to sufficient quantity of domestic water]]</f>
        <v>0</v>
      </c>
      <c r="CZ231" s="421">
        <f>WWWW[[#This Row],[%equitable and continuous access to sufficient quantity of safe drinking and domestic water''s GAP]]*WWWW[[#This Row],[Total PoP ]]</f>
        <v>0</v>
      </c>
      <c r="DA231" s="417">
        <f>IF(WWWW[[#This Row],[Total required water points]]-WWWW[[#This Row],['#Water points coverage]]&lt;0,0,WWWW[[#This Row],[Total required water points]]-WWWW[[#This Row],['#Water points coverage]])</f>
        <v>0.22999999999999998</v>
      </c>
      <c r="DB231" s="417">
        <f>ROUND(IF(WWWW[[#This Row],[Total PoP ]]&lt;500,1,WWWW[[#This Row],[Total PoP ]]/500),0)</f>
        <v>2</v>
      </c>
      <c r="DC231" s="417">
        <f>(WWWW[[#This Row],['#_Constructed latrines_by_WASHAgencies]]+WWWW[[#This Row],['#_Non Cluster partner latrines]])-WWWW[[#This Row],['#_Non-functional latrines]]</f>
        <v>30</v>
      </c>
      <c r="DD231" s="615">
        <f>WWWW[[#This Row],[HRP2]]/WWWW[[#This Row],[Total PoP ]]</f>
        <v>0.67796610169491522</v>
      </c>
      <c r="DE231"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600</v>
      </c>
      <c r="DF231"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DG231"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31" s="417">
        <f>IF(WWWW[[#This Row],['# of functional latrines in THF supported by WASH partners during the reporting period2]]="",0,WWWW[[#This Row],['# of functional latrines in THF supported by WASH partners during the reporting period2]]*50)</f>
        <v>0</v>
      </c>
      <c r="DI231" s="417">
        <f>ROUND(IF(WWWW[[#This Row],[Location Type 1]]="camp",WWWW[[#This Row],[Total PoP ]]/20,IF(WWWW[[#This Row],[Location Type 1]]="Temporary Location",WWWW[[#This Row],[Total PoP ]]/50,(WWWW[[#This Row],[Total PoP ]]/6))),0)</f>
        <v>44</v>
      </c>
      <c r="DJ231" s="417">
        <f>IF(WWWW[[#This Row],[Total required Latrines]]-(WWWW[[#This Row],['#_Constructed latrines_by_WASHAgencies]]+WWWW[[#This Row],['#_Non Cluster partner latrines]])&lt;0,0,WWWW[[#This Row],[Total required Latrines]]-(WWWW[[#This Row],['#_Constructed latrines_by_WASHAgencies]]+WWWW[[#This Row],['#_Non Cluster partner latrines]]))</f>
        <v>4</v>
      </c>
      <c r="DK231" s="951">
        <f>1-WWWW[[#This Row],[% people access to functioning Latrine]]</f>
        <v>0.32203389830508478</v>
      </c>
      <c r="DL231" s="615">
        <f>IF(OR(WWWW[[#This Row],['#_Non-functional latrines]]="",WWWW[[#This Row],['#_Non-functional latrines]]=0),0,WWWW[[#This Row],['#_Non-functional latrines]]/(WWWW[[#This Row],['#_Constructed latrines_by_WASHAgencies]]+WWWW[[#This Row],['#_Non Cluster partner latrines]]))</f>
        <v>0.25</v>
      </c>
      <c r="DM231" s="421">
        <f>IF(500*(WWWW[[#This Row],['#_male hygiene promoters]]+WWWW[[#This Row],['#_female hygiene promoters]])&gt;WWWW[[#This Row],[Total PoP ]],WWWW[[#This Row],[Total PoP ]],500*(WWWW[[#This Row],['#_male hygiene promoters]]+WWWW[[#This Row],['#_female hygiene promoters]]))</f>
        <v>885</v>
      </c>
      <c r="DN231"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250</v>
      </c>
      <c r="DO231"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295</v>
      </c>
      <c r="DP231" s="417">
        <f>IF(WWWW[[#This Row],['# People with access to soap]]&gt;WWWW[[#This Row],['# People with access to Sanity Pads]],WWWW[[#This Row],['# People with access to soap]],WWWW[[#This Row],['# People with access to Sanity Pads]])</f>
        <v>295</v>
      </c>
      <c r="DQ231" s="417">
        <f>IF(WWWW[[#This Row],['# people reached by regular dedicated hygiene promotion_5]]&gt;WWWW[[#This Row],['# People received regular supply of hygiene items_6]],WWWW[[#This Row],['# people reached by regular dedicated hygiene promotion_5]],WWWW[[#This Row],['# People received regular supply of hygiene items_6]])</f>
        <v>885</v>
      </c>
      <c r="DR231" s="951">
        <f>IF(WWWW[[#This Row],[HRP3]]/WWWW[[#This Row],[Total PoP ]]&gt;1,1,WWWW[[#This Row],[HRP3]]/WWWW[[#This Row],[Total PoP ]])</f>
        <v>1</v>
      </c>
      <c r="DS231" s="615">
        <f>1-WWWW[[#This Row],[Hygiene Coverage%]]</f>
        <v>0</v>
      </c>
      <c r="DT231" s="416">
        <f>WWWW[[#This Row],['# people reached by regular dedicated hygiene promotion_5]]/WWWW[[#This Row],[Total PoP ]]</f>
        <v>1</v>
      </c>
      <c r="DU231"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0.99502487562189057</v>
      </c>
      <c r="DV231"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231" s="417">
        <f>WWWW[[#This Row],['#_Constructed/Existing hand washing stations]]-WWWW[[#This Row],['#_Non-Functional_hand_washing_stations]]</f>
        <v>1</v>
      </c>
      <c r="DX231" s="421">
        <f>IF(WWWW[[#This Row],['# Functional hand washing stations during reporting period]]*20&gt;WWWW[[#This Row],[Total HH]],WWWW[[#This Row],[Total HH]],WWWW[[#This Row],['# Functional hand washing stations during reporting period]]*20)</f>
        <v>20</v>
      </c>
      <c r="DY231" s="421">
        <f>IF(WWWW[[#This Row],[Is sufficient soap available for TLS? (Yes/No)]]="yes",WWWW[[#This Row],['#_Constructed/Existing hand washing stations at TLS/CFS/THF]],0)</f>
        <v>2</v>
      </c>
      <c r="DZ231" s="421">
        <f>IF(WWWW[[#This Row],['# Functional hand washing stations during reporting period]]*100&gt;WWWW[[#This Row],[Total PoP ]],WWWW[[#This Row],[Total PoP ]],WWWW[[#This Row],['# Functional hand washing stations during reporting period]]*100)</f>
        <v>100</v>
      </c>
      <c r="EA231" s="421" t="str">
        <f>IF(OR(WWWW[[#This Row],['#_students at TLS_CFS]]="",WWWW[[#This Row],['#_students at TLS_CFS]]=0),"No","Yes")</f>
        <v>Yes</v>
      </c>
      <c r="EB23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31" s="566">
        <f>WWWW[[#This Row],[%_of_affected_people_surveyed_who_report_feeling_satistfied_with_the_latrine_design_and_sanitation_service]]*WWWW[[#This Row],[Total PoP ]]</f>
        <v>708</v>
      </c>
      <c r="ED231" s="566">
        <f>WWWW[[#This Row],[%_of_affected_people_surveyed_who_report_feeling_satistfied_with_the_water_point_design_and_water_service]]*WWWW[[#This Row],[Total PoP ]]</f>
        <v>708</v>
      </c>
      <c r="EE231" s="566">
        <f>WWWW[[#This Row],[%_of_complaints_received_that_result_in_timely_corrective_action_and_feedback_to_the_community]]*WWWW[[#This Row],[Total PoP ]]</f>
        <v>885</v>
      </c>
      <c r="EF23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885</v>
      </c>
      <c r="EG23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885</v>
      </c>
      <c r="EH23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31" s="418" t="str">
        <f>VLOOKUP(WWWW[[#This Row],[Site Name]],SiteDB6[[Site Name]:[CCCM Management]],6,FALSE)</f>
        <v>Yes</v>
      </c>
      <c r="EJ231" s="418" t="str">
        <f>VLOOKUP(WWWW[[#This Row],[Site Name]],SiteDB6[[Site Name]:[CCCM Focal Agency]],7,FALSE)</f>
        <v>Shalom</v>
      </c>
      <c r="EK231" s="418" t="str">
        <f>VLOOKUP(WWWW[[#This Row],[Site Name]],SiteDB6[[Site Name]:[Location Type 1]],9,FALSE)</f>
        <v>Camp</v>
      </c>
      <c r="EL231" s="418" t="str">
        <f>VLOOKUP(WWWW[[#This Row],[Site Name]],SiteDB6[[Site Name]:[Type of Accommodation]],10,FALSE)</f>
        <v>Camp</v>
      </c>
      <c r="EM231" s="418" t="str">
        <f>VLOOKUP(WWWW[[#This Row],[Site Name]],SiteDB6[[Site Name]:[Ethnic or GCA/NGCA]],11,FALSE)</f>
        <v>GCA</v>
      </c>
      <c r="EN231" s="418">
        <f>VLOOKUP(WWWW[[#This Row],[Site Name]],SiteDB6[[Site Name]:[Lat]],12,FALSE)</f>
        <v>25.887339999999998</v>
      </c>
      <c r="EO231" s="418">
        <f>VLOOKUP(WWWW[[#This Row],[Site Name]],SiteDB6[[Site Name]:[Long]],13,FALSE)</f>
        <v>98.129990000000006</v>
      </c>
      <c r="EP231" s="418" t="str">
        <f>VLOOKUP(WWWW[[#This Row],[Site Name]],SiteDB6[[Site Name]:[Pcode]],3,FALSE)</f>
        <v>MMR001CMP195</v>
      </c>
      <c r="EQ231" s="950" t="str">
        <f t="shared" si="4"/>
        <v>Covered</v>
      </c>
      <c r="ER231" s="950" t="s">
        <v>136</v>
      </c>
      <c r="ES231" s="950" t="s">
        <v>3262</v>
      </c>
      <c r="ET231" s="418">
        <f>VLOOKUP(WWWW[[#This Row],[Site Name]],SiteDB6[[Site Name]:[Pop
(Kachin/Shan-CCCM as of May 2023)]],16,FALSE)</f>
        <v>179</v>
      </c>
      <c r="EU231" s="418">
        <f>VLOOKUP(WWWW[[#This Row],[Site Name]],SiteDB6[[Site Name]:[Pop
(Kachin/Shan-CCCM as of May 2023)]],17,FALSE)</f>
        <v>860</v>
      </c>
    </row>
    <row r="232" spans="1:151">
      <c r="A232" s="946" t="s">
        <v>2962</v>
      </c>
      <c r="B232" s="946" t="s">
        <v>242</v>
      </c>
      <c r="C232" s="938" t="s">
        <v>242</v>
      </c>
      <c r="D232" s="938" t="s">
        <v>3184</v>
      </c>
      <c r="E232" s="938" t="s">
        <v>37</v>
      </c>
      <c r="F232" s="938" t="s">
        <v>148</v>
      </c>
      <c r="G232" s="902" t="str">
        <f>VLOOKUP(WWWW[[#This Row],[Site Name]],SiteDB6[[Site Name]:[Location Type]],8,FALSE)</f>
        <v>Camp</v>
      </c>
      <c r="H232" s="938" t="s">
        <v>248</v>
      </c>
      <c r="I232" s="441">
        <v>96</v>
      </c>
      <c r="J232" s="441">
        <v>446</v>
      </c>
      <c r="K232" s="948">
        <v>44927</v>
      </c>
      <c r="L232" s="949">
        <v>45382</v>
      </c>
      <c r="M232" s="441">
        <v>50</v>
      </c>
      <c r="N232" s="441"/>
      <c r="O232" s="441">
        <v>1</v>
      </c>
      <c r="P232" s="441">
        <v>1</v>
      </c>
      <c r="Q232" s="421" t="s">
        <v>136</v>
      </c>
      <c r="R232" s="441">
        <v>5</v>
      </c>
      <c r="S232" s="441">
        <v>5</v>
      </c>
      <c r="T232" s="441">
        <v>3</v>
      </c>
      <c r="U232" s="441"/>
      <c r="V232" s="441"/>
      <c r="W232" s="441"/>
      <c r="X232" s="441"/>
      <c r="Y232" s="441"/>
      <c r="Z232" s="441"/>
      <c r="AA232" s="441">
        <v>4</v>
      </c>
      <c r="AB232" s="441"/>
      <c r="AC232" s="441">
        <v>5.6781180000000004</v>
      </c>
      <c r="AD232" s="441"/>
      <c r="AE232" s="441"/>
      <c r="AF232" s="441"/>
      <c r="AG232" s="441"/>
      <c r="AH232" s="441">
        <v>1</v>
      </c>
      <c r="AI232" s="441"/>
      <c r="AJ232" s="441"/>
      <c r="AK232" s="441"/>
      <c r="AL232" s="441"/>
      <c r="AM232" s="441"/>
      <c r="AN232" s="441"/>
      <c r="AO232" s="441"/>
      <c r="AP232" s="950"/>
      <c r="AQ232" s="441">
        <v>4</v>
      </c>
      <c r="AR232" s="441">
        <v>14</v>
      </c>
      <c r="AS232" s="416" t="s">
        <v>3200</v>
      </c>
      <c r="AT232" s="441"/>
      <c r="AU232" s="441"/>
      <c r="AV232" s="441"/>
      <c r="AW232" s="441"/>
      <c r="AX232" s="441"/>
      <c r="AY232" s="418" t="s">
        <v>41</v>
      </c>
      <c r="AZ232" s="950" t="s">
        <v>136</v>
      </c>
      <c r="BA232" s="441"/>
      <c r="BB232" s="441"/>
      <c r="BC232" s="441"/>
      <c r="BD232" s="441"/>
      <c r="BE232" s="441">
        <v>8</v>
      </c>
      <c r="BF232" s="418" t="s">
        <v>3196</v>
      </c>
      <c r="BG232" s="441">
        <v>4</v>
      </c>
      <c r="BH232" s="441">
        <v>3</v>
      </c>
      <c r="BI232" s="441">
        <v>1</v>
      </c>
      <c r="BJ232" s="441">
        <v>1</v>
      </c>
      <c r="BK232" s="441">
        <v>1</v>
      </c>
      <c r="BL232" s="441">
        <v>1</v>
      </c>
      <c r="BM232" s="441"/>
      <c r="BN232" s="441">
        <v>96</v>
      </c>
      <c r="BO232" s="441">
        <v>99</v>
      </c>
      <c r="BP232" s="418"/>
      <c r="BQ232" s="417">
        <v>1</v>
      </c>
      <c r="BR232" s="416"/>
      <c r="BS232" s="418" t="s">
        <v>3201</v>
      </c>
      <c r="BT232" s="416">
        <v>1</v>
      </c>
      <c r="BU232" s="416">
        <v>1</v>
      </c>
      <c r="BV232" s="418">
        <v>30</v>
      </c>
      <c r="BW232" s="416">
        <v>0.7</v>
      </c>
      <c r="BX232" s="441"/>
      <c r="BY232" s="441"/>
      <c r="BZ232" s="441"/>
      <c r="CA232" s="441"/>
      <c r="CB232" s="441"/>
      <c r="CC232" s="693"/>
      <c r="CD232" s="441"/>
      <c r="CE232" s="615" t="str">
        <f>IFERROR(WWWW[[#This Row],['#_Water sources passed]]/WWWW[[#This Row],['#_Water sources tested for fecal coliform ]],"no test")</f>
        <v>no test</v>
      </c>
      <c r="CF232" s="416" t="str">
        <f>IFERROR(WWWW[[#This Row],['#_Household passed]]/WWWW[[#This Row],['#_Household water samples tested for fecal coliform]],"no test")</f>
        <v>no test</v>
      </c>
      <c r="CG232" s="417" t="str">
        <f>IF(AND(WWWW[[#This Row],[% of water sources passed]]="no test",WWWW[[#This Row],[% Household passed]]="no test"),"No Test","Tested")</f>
        <v>No Test</v>
      </c>
      <c r="CH232" s="417">
        <f>WWWW[[#This Row],['#_Constructed/existing protected hand dug well]]-WWWW[[#This Row],['#_Non-functional protected hand dug well]]</f>
        <v>3</v>
      </c>
      <c r="CI232" s="417">
        <f>(WWWW[[#This Row],['#_Constructed/Existing tube wells/boreholes/handpumps_WASH_agency]]+WWWW[[#This Row],['#_Non-Cluster partner water tube-wells/boreholes/handpumps]])-WWWW[[#This Row],['#_Non-functional tube wells/boreholes/handpumps]]</f>
        <v>0</v>
      </c>
      <c r="CJ232" s="417">
        <f>WWWW[[#This Row],['#_Constructed/Existingwater storage tank with gravity fed reticulation system]]-WWWW[[#This Row],['#_Non-functional storage tank gravity fed reticulation system]]</f>
        <v>4</v>
      </c>
      <c r="CK232" s="417">
        <f>(WWWW[[#This Row],['#_Water_Liters_supplied_by_Water boating or water trucking]]/90)/15</f>
        <v>0</v>
      </c>
      <c r="CL232" s="417">
        <f>WWWW[[#This Row],['#_Water_Liters_from_Constructed/Existing water distribution system from river or natural spring]]/90/15</f>
        <v>0</v>
      </c>
      <c r="CM232" s="417">
        <f>IF(WWWW[[#This Row],['#_of water points in TLS/CFS]]*500&gt;WWWW[[#This Row],[Total PoP ]],WWWW[[#This Row],[Total PoP ]],WWWW[[#This Row],['#_of water points in TLS/CFS]]*500)</f>
        <v>0</v>
      </c>
      <c r="CN232" s="417">
        <f>IF(WWWW[[#This Row],['#_of water points in THF]]*500&gt;WWWW[[#This Row],[Total PoP ]],WWWW[[#This Row],[Total PoP ]],WWWW[[#This Row],['#_of water points in THF]]*500)</f>
        <v>0</v>
      </c>
      <c r="CO232" s="417"/>
      <c r="CP232"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32"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32" s="416">
        <f>IF(WWWW[[#This Row],[Location Type 1]]="Village",WWWW[[#This Row],[Access to safe drinking water for Village]],WWWW[[#This Row],[Access to safe drinking water for Camp]])</f>
        <v>1</v>
      </c>
      <c r="CS232" s="421">
        <f>WWWW[[#This Row],[%Equitable and continuous access to sufficient quantity of safe drinking water]]*WWWW[[#This Row],[Total PoP ]]</f>
        <v>446</v>
      </c>
      <c r="CT232" s="416">
        <f>IF((WWWW[[#This Row],['#_Constructed/Existing protected/fenced ponds]]*250)/WWWW[[#This Row],[Total PoP ]]&gt;1,1,(WWWW[[#This Row],['#_Constructed/Existing protected/fenced ponds]]*250)/WWWW[[#This Row],[Total PoP ]])</f>
        <v>0</v>
      </c>
      <c r="CU232" s="421">
        <f>WWWW[[#This Row],[% Access to unimproved water points]]*WWWW[[#This Row],[Total PoP ]]</f>
        <v>0</v>
      </c>
      <c r="CV232"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32"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446</v>
      </c>
      <c r="CX232" s="421">
        <f>WWWW[[#This Row],[HRP1]]/500</f>
        <v>0.89200000000000002</v>
      </c>
      <c r="CY232" s="951">
        <f>1-WWWW[[#This Row],[% Equitable and continuous access to sufficient quantity of domestic water]]</f>
        <v>0</v>
      </c>
      <c r="CZ232" s="421">
        <f>WWWW[[#This Row],[%equitable and continuous access to sufficient quantity of safe drinking and domestic water''s GAP]]*WWWW[[#This Row],[Total PoP ]]</f>
        <v>0</v>
      </c>
      <c r="DA232" s="417">
        <f>IF(WWWW[[#This Row],[Total required water points]]-WWWW[[#This Row],['#Water points coverage]]&lt;0,0,WWWW[[#This Row],[Total required water points]]-WWWW[[#This Row],['#Water points coverage]])</f>
        <v>0.10799999999999998</v>
      </c>
      <c r="DB232" s="417">
        <f>ROUND(IF(WWWW[[#This Row],[Total PoP ]]&lt;500,1,WWWW[[#This Row],[Total PoP ]]/500),0)</f>
        <v>1</v>
      </c>
      <c r="DC232" s="417">
        <f>(WWWW[[#This Row],['#_Constructed latrines_by_WASHAgencies]]+WWWW[[#This Row],['#_Non Cluster partner latrines]])-WWWW[[#This Row],['#_Non-functional latrines]]</f>
        <v>18</v>
      </c>
      <c r="DD232" s="615">
        <f>WWWW[[#This Row],[HRP2]]/WWWW[[#This Row],[Total PoP ]]</f>
        <v>0.82511210762331844</v>
      </c>
      <c r="DE232"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368</v>
      </c>
      <c r="DF232"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32"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32" s="417">
        <f>IF(WWWW[[#This Row],['# of functional latrines in THF supported by WASH partners during the reporting period2]]="",0,WWWW[[#This Row],['# of functional latrines in THF supported by WASH partners during the reporting period2]]*50)</f>
        <v>0</v>
      </c>
      <c r="DI232" s="417">
        <f>ROUND(IF(WWWW[[#This Row],[Location Type 1]]="camp",WWWW[[#This Row],[Total PoP ]]/20,IF(WWWW[[#This Row],[Location Type 1]]="Temporary Location",WWWW[[#This Row],[Total PoP ]]/50,(WWWW[[#This Row],[Total PoP ]]/6))),0)</f>
        <v>22</v>
      </c>
      <c r="DJ232" s="417">
        <f>IF(WWWW[[#This Row],[Total required Latrines]]-(WWWW[[#This Row],['#_Constructed latrines_by_WASHAgencies]]+WWWW[[#This Row],['#_Non Cluster partner latrines]])&lt;0,0,WWWW[[#This Row],[Total required Latrines]]-(WWWW[[#This Row],['#_Constructed latrines_by_WASHAgencies]]+WWWW[[#This Row],['#_Non Cluster partner latrines]]))</f>
        <v>4</v>
      </c>
      <c r="DK232" s="951">
        <f>1-WWWW[[#This Row],[% people access to functioning Latrine]]</f>
        <v>0.17488789237668156</v>
      </c>
      <c r="DL232" s="615">
        <f>IF(OR(WWWW[[#This Row],['#_Non-functional latrines]]="",WWWW[[#This Row],['#_Non-functional latrines]]=0),0,WWWW[[#This Row],['#_Non-functional latrines]]/(WWWW[[#This Row],['#_Constructed latrines_by_WASHAgencies]]+WWWW[[#This Row],['#_Non Cluster partner latrines]]))</f>
        <v>0</v>
      </c>
      <c r="DM232" s="421">
        <f>IF(500*(WWWW[[#This Row],['#_male hygiene promoters]]+WWWW[[#This Row],['#_female hygiene promoters]])&gt;WWWW[[#This Row],[Total PoP ]],WWWW[[#This Row],[Total PoP ]],500*(WWWW[[#This Row],['#_male hygiene promoters]]+WWWW[[#This Row],['#_female hygiene promoters]]))</f>
        <v>446</v>
      </c>
      <c r="DN232"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446</v>
      </c>
      <c r="DO232"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99</v>
      </c>
      <c r="DP232" s="417">
        <f>IF(WWWW[[#This Row],['# People with access to soap]]&gt;WWWW[[#This Row],['# People with access to Sanity Pads]],WWWW[[#This Row],['# People with access to soap]],WWWW[[#This Row],['# People with access to Sanity Pads]])</f>
        <v>446</v>
      </c>
      <c r="DQ232" s="417">
        <f>IF(WWWW[[#This Row],['# people reached by regular dedicated hygiene promotion_5]]&gt;WWWW[[#This Row],['# People received regular supply of hygiene items_6]],WWWW[[#This Row],['# people reached by regular dedicated hygiene promotion_5]],WWWW[[#This Row],['# People received regular supply of hygiene items_6]])</f>
        <v>446</v>
      </c>
      <c r="DR232" s="951">
        <f>IF(WWWW[[#This Row],[HRP3]]/WWWW[[#This Row],[Total PoP ]]&gt;1,1,WWWW[[#This Row],[HRP3]]/WWWW[[#This Row],[Total PoP ]])</f>
        <v>1</v>
      </c>
      <c r="DS232" s="615">
        <f>1-WWWW[[#This Row],[Hygiene Coverage%]]</f>
        <v>0</v>
      </c>
      <c r="DT232" s="416">
        <f>WWWW[[#This Row],['# people reached by regular dedicated hygiene promotion_5]]/WWWW[[#This Row],[Total PoP ]]</f>
        <v>1</v>
      </c>
      <c r="DU232"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32"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232" s="417">
        <f>WWWW[[#This Row],['#_Constructed/Existing hand washing stations]]-WWWW[[#This Row],['#_Non-Functional_hand_washing_stations]]</f>
        <v>1</v>
      </c>
      <c r="DX232" s="421">
        <f>IF(WWWW[[#This Row],['# Functional hand washing stations during reporting period]]*20&gt;WWWW[[#This Row],[Total HH]],WWWW[[#This Row],[Total HH]],WWWW[[#This Row],['# Functional hand washing stations during reporting period]]*20)</f>
        <v>20</v>
      </c>
      <c r="DY232" s="421">
        <f>IF(WWWW[[#This Row],[Is sufficient soap available for TLS? (Yes/No)]]="yes",WWWW[[#This Row],['#_Constructed/Existing hand washing stations at TLS/CFS/THF]],0)</f>
        <v>0</v>
      </c>
      <c r="DZ232" s="421">
        <f>IF(WWWW[[#This Row],['# Functional hand washing stations during reporting period]]*100&gt;WWWW[[#This Row],[Total PoP ]],WWWW[[#This Row],[Total PoP ]],WWWW[[#This Row],['# Functional hand washing stations during reporting period]]*100)</f>
        <v>100</v>
      </c>
      <c r="EA232" s="421" t="str">
        <f>IF(OR(WWWW[[#This Row],['#_students at TLS_CFS]]="",WWWW[[#This Row],['#_students at TLS_CFS]]=0),"No","Yes")</f>
        <v>Yes</v>
      </c>
      <c r="EB232" s="615">
        <f>IF(WWWW[[#This Row],['#_of_affected_people_surveyed_who_report_feeling_informed_about_the_different_WASH_services_available_to_them]]="","",WWWW[[#This Row],['#_of_affected_people_surveyed_who_report_feeling_informed_about_the_different_WASH_services_available_to_them]]/WWWW[[#This Row],[Total PoP ]])</f>
        <v>6.726457399103139E-2</v>
      </c>
      <c r="EC232" s="566">
        <f>WWWW[[#This Row],[%_of_affected_people_surveyed_who_report_feeling_satistfied_with_the_latrine_design_and_sanitation_service]]*WWWW[[#This Row],[Total PoP ]]</f>
        <v>446</v>
      </c>
      <c r="ED232" s="566">
        <f>WWWW[[#This Row],[%_of_affected_people_surveyed_who_report_feeling_satistfied_with_the_water_point_design_and_water_service]]*WWWW[[#This Row],[Total PoP ]]</f>
        <v>446</v>
      </c>
      <c r="EE232" s="566">
        <f>WWWW[[#This Row],[%_of_complaints_received_that_result_in_timely_corrective_action_and_feedback_to_the_community]]*WWWW[[#This Row],[Total PoP ]]</f>
        <v>312.2</v>
      </c>
      <c r="EF23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446</v>
      </c>
      <c r="EG23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3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32" s="418" t="str">
        <f>VLOOKUP(WWWW[[#This Row],[Site Name]],SiteDB6[[Site Name]:[CCCM Management]],6,FALSE)</f>
        <v>Yes</v>
      </c>
      <c r="EJ232" s="418" t="str">
        <f>VLOOKUP(WWWW[[#This Row],[Site Name]],SiteDB6[[Site Name]:[CCCM Focal Agency]],7,FALSE)</f>
        <v>Shalom</v>
      </c>
      <c r="EK232" s="418" t="str">
        <f>VLOOKUP(WWWW[[#This Row],[Site Name]],SiteDB6[[Site Name]:[Location Type 1]],9,FALSE)</f>
        <v>Camp</v>
      </c>
      <c r="EL232" s="418" t="str">
        <f>VLOOKUP(WWWW[[#This Row],[Site Name]],SiteDB6[[Site Name]:[Type of Accommodation]],10,FALSE)</f>
        <v>Camp</v>
      </c>
      <c r="EM232" s="418" t="str">
        <f>VLOOKUP(WWWW[[#This Row],[Site Name]],SiteDB6[[Site Name]:[Ethnic or GCA/NGCA]],11,FALSE)</f>
        <v>GCA</v>
      </c>
      <c r="EN232" s="418">
        <f>VLOOKUP(WWWW[[#This Row],[Site Name]],SiteDB6[[Site Name]:[Lat]],12,FALSE)</f>
        <v>25.635300000000001</v>
      </c>
      <c r="EO232" s="418">
        <f>VLOOKUP(WWWW[[#This Row],[Site Name]],SiteDB6[[Site Name]:[Long]],13,FALSE)</f>
        <v>96.345569999999995</v>
      </c>
      <c r="EP232" s="418" t="str">
        <f>VLOOKUP(WWWW[[#This Row],[Site Name]],SiteDB6[[Site Name]:[Pcode]],3,FALSE)</f>
        <v>MMR001CMP176</v>
      </c>
      <c r="EQ232" s="950" t="str">
        <f t="shared" si="4"/>
        <v>Covered</v>
      </c>
      <c r="ER232" s="950" t="s">
        <v>136</v>
      </c>
      <c r="ES232" s="950" t="s">
        <v>3263</v>
      </c>
      <c r="ET232" s="418">
        <f>VLOOKUP(WWWW[[#This Row],[Site Name]],SiteDB6[[Site Name]:[Pop
(Kachin/Shan-CCCM as of May 2023)]],16,FALSE)</f>
        <v>96</v>
      </c>
      <c r="EU232" s="418">
        <f>VLOOKUP(WWWW[[#This Row],[Site Name]],SiteDB6[[Site Name]:[Pop
(Kachin/Shan-CCCM as of May 2023)]],17,FALSE)</f>
        <v>448</v>
      </c>
    </row>
    <row r="233" spans="1:151">
      <c r="A233" s="946" t="s">
        <v>2962</v>
      </c>
      <c r="B233" s="946" t="s">
        <v>242</v>
      </c>
      <c r="C233" s="938" t="s">
        <v>242</v>
      </c>
      <c r="D233" s="938" t="s">
        <v>3184</v>
      </c>
      <c r="E233" s="938" t="s">
        <v>37</v>
      </c>
      <c r="F233" s="938" t="s">
        <v>148</v>
      </c>
      <c r="G233" s="902" t="str">
        <f>VLOOKUP(WWWW[[#This Row],[Site Name]],SiteDB6[[Site Name]:[Location Type]],8,FALSE)</f>
        <v>Camp</v>
      </c>
      <c r="H233" s="938" t="s">
        <v>249</v>
      </c>
      <c r="I233" s="441">
        <v>13</v>
      </c>
      <c r="J233" s="441">
        <v>70</v>
      </c>
      <c r="K233" s="948">
        <v>44927</v>
      </c>
      <c r="L233" s="949">
        <v>45382</v>
      </c>
      <c r="M233" s="441">
        <v>25</v>
      </c>
      <c r="N233" s="441"/>
      <c r="O233" s="441">
        <v>1</v>
      </c>
      <c r="P233" s="441"/>
      <c r="Q233" s="421" t="s">
        <v>41</v>
      </c>
      <c r="R233" s="441">
        <v>1</v>
      </c>
      <c r="S233" s="441">
        <v>4</v>
      </c>
      <c r="T233" s="441">
        <v>1</v>
      </c>
      <c r="U233" s="441"/>
      <c r="V233" s="441"/>
      <c r="W233" s="441"/>
      <c r="X233" s="441"/>
      <c r="Y233" s="441"/>
      <c r="Z233" s="441"/>
      <c r="AA233" s="441">
        <v>2</v>
      </c>
      <c r="AB233" s="441"/>
      <c r="AC233" s="441">
        <v>2</v>
      </c>
      <c r="AD233" s="441"/>
      <c r="AE233" s="441">
        <v>1</v>
      </c>
      <c r="AF233" s="441"/>
      <c r="AG233" s="441"/>
      <c r="AH233" s="441"/>
      <c r="AI233" s="441"/>
      <c r="AJ233" s="441">
        <v>1</v>
      </c>
      <c r="AK233" s="441"/>
      <c r="AL233" s="441"/>
      <c r="AM233" s="441">
        <v>3</v>
      </c>
      <c r="AN233" s="441"/>
      <c r="AO233" s="441"/>
      <c r="AP233" s="950" t="s">
        <v>3202</v>
      </c>
      <c r="AQ233" s="441">
        <v>5</v>
      </c>
      <c r="AR233" s="441"/>
      <c r="AS233" s="416" t="s">
        <v>242</v>
      </c>
      <c r="AT233" s="441">
        <v>2</v>
      </c>
      <c r="AU233" s="441">
        <v>2</v>
      </c>
      <c r="AV233" s="441"/>
      <c r="AW233" s="441"/>
      <c r="AX233" s="441"/>
      <c r="AY233" s="418" t="s">
        <v>41</v>
      </c>
      <c r="AZ233" s="950" t="s">
        <v>136</v>
      </c>
      <c r="BA233" s="441"/>
      <c r="BB233" s="441"/>
      <c r="BC233" s="441"/>
      <c r="BD233" s="441"/>
      <c r="BE233" s="441"/>
      <c r="BF233" s="418"/>
      <c r="BG233" s="441">
        <v>3</v>
      </c>
      <c r="BH233" s="441"/>
      <c r="BI233" s="441"/>
      <c r="BJ233" s="441"/>
      <c r="BK233" s="441"/>
      <c r="BL233" s="441"/>
      <c r="BM233" s="441">
        <v>1</v>
      </c>
      <c r="BN233" s="441">
        <v>13</v>
      </c>
      <c r="BO233" s="441">
        <v>18</v>
      </c>
      <c r="BP233" s="418" t="s">
        <v>136</v>
      </c>
      <c r="BQ233" s="417">
        <v>1</v>
      </c>
      <c r="BR233" s="416">
        <v>0.4</v>
      </c>
      <c r="BS233" s="418"/>
      <c r="BT233" s="416">
        <v>0.5</v>
      </c>
      <c r="BU233" s="416">
        <v>0.5</v>
      </c>
      <c r="BV233" s="418"/>
      <c r="BW233" s="416">
        <v>0.5</v>
      </c>
      <c r="BX233" s="441"/>
      <c r="BY233" s="441"/>
      <c r="BZ233" s="441"/>
      <c r="CA233" s="441"/>
      <c r="CB233" s="441"/>
      <c r="CC233" s="693"/>
      <c r="CD233" s="441"/>
      <c r="CE233" s="615" t="str">
        <f>IFERROR(WWWW[[#This Row],['#_Water sources passed]]/WWWW[[#This Row],['#_Water sources tested for fecal coliform ]],"no test")</f>
        <v>no test</v>
      </c>
      <c r="CF233" s="416" t="str">
        <f>IFERROR(WWWW[[#This Row],['#_Household passed]]/WWWW[[#This Row],['#_Household water samples tested for fecal coliform]],"no test")</f>
        <v>no test</v>
      </c>
      <c r="CG233" s="417" t="str">
        <f>IF(AND(WWWW[[#This Row],[% of water sources passed]]="no test",WWWW[[#This Row],[% Household passed]]="no test"),"No Test","Tested")</f>
        <v>No Test</v>
      </c>
      <c r="CH233" s="417">
        <f>WWWW[[#This Row],['#_Constructed/existing protected hand dug well]]-WWWW[[#This Row],['#_Non-functional protected hand dug well]]</f>
        <v>1</v>
      </c>
      <c r="CI233" s="417">
        <f>(WWWW[[#This Row],['#_Constructed/Existing tube wells/boreholes/handpumps_WASH_agency]]+WWWW[[#This Row],['#_Non-Cluster partner water tube-wells/boreholes/handpumps]])-WWWW[[#This Row],['#_Non-functional tube wells/boreholes/handpumps]]</f>
        <v>0</v>
      </c>
      <c r="CJ233" s="417">
        <f>WWWW[[#This Row],['#_Constructed/Existingwater storage tank with gravity fed reticulation system]]-WWWW[[#This Row],['#_Non-functional storage tank gravity fed reticulation system]]</f>
        <v>2</v>
      </c>
      <c r="CK233" s="417">
        <f>(WWWW[[#This Row],['#_Water_Liters_supplied_by_Water boating or water trucking]]/90)/15</f>
        <v>0</v>
      </c>
      <c r="CL233" s="417">
        <f>WWWW[[#This Row],['#_Water_Liters_from_Constructed/Existing water distribution system from river or natural spring]]/90/15</f>
        <v>0</v>
      </c>
      <c r="CM233" s="417">
        <f>IF(WWWW[[#This Row],['#_of water points in TLS/CFS]]*500&gt;WWWW[[#This Row],[Total PoP ]],WWWW[[#This Row],[Total PoP ]],WWWW[[#This Row],['#_of water points in TLS/CFS]]*500)</f>
        <v>0</v>
      </c>
      <c r="CN233" s="417">
        <f>IF(WWWW[[#This Row],['#_of water points in THF]]*500&gt;WWWW[[#This Row],[Total PoP ]],WWWW[[#This Row],[Total PoP ]],WWWW[[#This Row],['#_of water points in THF]]*500)</f>
        <v>0</v>
      </c>
      <c r="CO233" s="417"/>
      <c r="CP233"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33"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33" s="416">
        <f>IF(WWWW[[#This Row],[Location Type 1]]="Village",WWWW[[#This Row],[Access to safe drinking water for Village]],WWWW[[#This Row],[Access to safe drinking water for Camp]])</f>
        <v>1</v>
      </c>
      <c r="CS233" s="421">
        <f>WWWW[[#This Row],[%Equitable and continuous access to sufficient quantity of safe drinking water]]*WWWW[[#This Row],[Total PoP ]]</f>
        <v>70</v>
      </c>
      <c r="CT233" s="416">
        <f>IF((WWWW[[#This Row],['#_Constructed/Existing protected/fenced ponds]]*250)/WWWW[[#This Row],[Total PoP ]]&gt;1,1,(WWWW[[#This Row],['#_Constructed/Existing protected/fenced ponds]]*250)/WWWW[[#This Row],[Total PoP ]])</f>
        <v>1</v>
      </c>
      <c r="CU233" s="421">
        <f>WWWW[[#This Row],[% Access to unimproved water points]]*WWWW[[#This Row],[Total PoP ]]</f>
        <v>70</v>
      </c>
      <c r="CV233"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33"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70</v>
      </c>
      <c r="CX233" s="421">
        <f>WWWW[[#This Row],[HRP1]]/500</f>
        <v>0.14000000000000001</v>
      </c>
      <c r="CY233" s="951">
        <f>1-WWWW[[#This Row],[% Equitable and continuous access to sufficient quantity of domestic water]]</f>
        <v>0</v>
      </c>
      <c r="CZ233" s="421">
        <f>WWWW[[#This Row],[%equitable and continuous access to sufficient quantity of safe drinking and domestic water''s GAP]]*WWWW[[#This Row],[Total PoP ]]</f>
        <v>0</v>
      </c>
      <c r="DA233" s="417">
        <f>IF(WWWW[[#This Row],[Total required water points]]-WWWW[[#This Row],['#Water points coverage]]&lt;0,0,WWWW[[#This Row],[Total required water points]]-WWWW[[#This Row],['#Water points coverage]])</f>
        <v>0.86</v>
      </c>
      <c r="DB233" s="417">
        <f>ROUND(IF(WWWW[[#This Row],[Total PoP ]]&lt;500,1,WWWW[[#This Row],[Total PoP ]]/500),0)</f>
        <v>1</v>
      </c>
      <c r="DC233" s="417">
        <f>(WWWW[[#This Row],['#_Constructed latrines_by_WASHAgencies]]+WWWW[[#This Row],['#_Non Cluster partner latrines]])-WWWW[[#This Row],['#_Non-functional latrines]]</f>
        <v>3</v>
      </c>
      <c r="DD233" s="615">
        <f>WWWW[[#This Row],[HRP2]]/WWWW[[#This Row],[Total PoP ]]</f>
        <v>0.8571428571428571</v>
      </c>
      <c r="DE233"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60</v>
      </c>
      <c r="DF233"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33"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33" s="417">
        <f>IF(WWWW[[#This Row],['# of functional latrines in THF supported by WASH partners during the reporting period2]]="",0,WWWW[[#This Row],['# of functional latrines in THF supported by WASH partners during the reporting period2]]*50)</f>
        <v>0</v>
      </c>
      <c r="DI233" s="417">
        <f>ROUND(IF(WWWW[[#This Row],[Location Type 1]]="camp",WWWW[[#This Row],[Total PoP ]]/20,IF(WWWW[[#This Row],[Location Type 1]]="Temporary Location",WWWW[[#This Row],[Total PoP ]]/50,(WWWW[[#This Row],[Total PoP ]]/6))),0)</f>
        <v>4</v>
      </c>
      <c r="DJ233" s="417">
        <f>IF(WWWW[[#This Row],[Total required Latrines]]-(WWWW[[#This Row],['#_Constructed latrines_by_WASHAgencies]]+WWWW[[#This Row],['#_Non Cluster partner latrines]])&lt;0,0,WWWW[[#This Row],[Total required Latrines]]-(WWWW[[#This Row],['#_Constructed latrines_by_WASHAgencies]]+WWWW[[#This Row],['#_Non Cluster partner latrines]]))</f>
        <v>0</v>
      </c>
      <c r="DK233" s="951">
        <f>1-WWWW[[#This Row],[% people access to functioning Latrine]]</f>
        <v>0.1428571428571429</v>
      </c>
      <c r="DL233" s="615">
        <f>IF(OR(WWWW[[#This Row],['#_Non-functional latrines]]="",WWWW[[#This Row],['#_Non-functional latrines]]=0),0,WWWW[[#This Row],['#_Non-functional latrines]]/(WWWW[[#This Row],['#_Constructed latrines_by_WASHAgencies]]+WWWW[[#This Row],['#_Non Cluster partner latrines]]))</f>
        <v>0.4</v>
      </c>
      <c r="DM233" s="421">
        <f>IF(500*(WWWW[[#This Row],['#_male hygiene promoters]]+WWWW[[#This Row],['#_female hygiene promoters]])&gt;WWWW[[#This Row],[Total PoP ]],WWWW[[#This Row],[Total PoP ]],500*(WWWW[[#This Row],['#_male hygiene promoters]]+WWWW[[#This Row],['#_female hygiene promoters]]))</f>
        <v>70</v>
      </c>
      <c r="DN233"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70</v>
      </c>
      <c r="DO233"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18</v>
      </c>
      <c r="DP233" s="417">
        <f>IF(WWWW[[#This Row],['# People with access to soap]]&gt;WWWW[[#This Row],['# People with access to Sanity Pads]],WWWW[[#This Row],['# People with access to soap]],WWWW[[#This Row],['# People with access to Sanity Pads]])</f>
        <v>70</v>
      </c>
      <c r="DQ233" s="417">
        <f>IF(WWWW[[#This Row],['# people reached by regular dedicated hygiene promotion_5]]&gt;WWWW[[#This Row],['# People received regular supply of hygiene items_6]],WWWW[[#This Row],['# people reached by regular dedicated hygiene promotion_5]],WWWW[[#This Row],['# People received regular supply of hygiene items_6]])</f>
        <v>70</v>
      </c>
      <c r="DR233" s="951">
        <f>IF(WWWW[[#This Row],[HRP3]]/WWWW[[#This Row],[Total PoP ]]&gt;1,1,WWWW[[#This Row],[HRP3]]/WWWW[[#This Row],[Total PoP ]])</f>
        <v>1</v>
      </c>
      <c r="DS233" s="615">
        <f>1-WWWW[[#This Row],[Hygiene Coverage%]]</f>
        <v>0</v>
      </c>
      <c r="DT233" s="416">
        <f>WWWW[[#This Row],['# people reached by regular dedicated hygiene promotion_5]]/WWWW[[#This Row],[Total PoP ]]</f>
        <v>1</v>
      </c>
      <c r="DU233"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33"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233" s="417">
        <f>WWWW[[#This Row],['#_Constructed/Existing hand washing stations]]-WWWW[[#This Row],['#_Non-Functional_hand_washing_stations]]</f>
        <v>3</v>
      </c>
      <c r="DX233" s="421">
        <f>IF(WWWW[[#This Row],['# Functional hand washing stations during reporting period]]*20&gt;WWWW[[#This Row],[Total HH]],WWWW[[#This Row],[Total HH]],WWWW[[#This Row],['# Functional hand washing stations during reporting period]]*20)</f>
        <v>13</v>
      </c>
      <c r="DY233" s="421">
        <f>IF(WWWW[[#This Row],[Is sufficient soap available for TLS? (Yes/No)]]="yes",WWWW[[#This Row],['#_Constructed/Existing hand washing stations at TLS/CFS/THF]],0)</f>
        <v>0</v>
      </c>
      <c r="DZ233" s="421">
        <f>IF(WWWW[[#This Row],['# Functional hand washing stations during reporting period]]*100&gt;WWWW[[#This Row],[Total PoP ]],WWWW[[#This Row],[Total PoP ]],WWWW[[#This Row],['# Functional hand washing stations during reporting period]]*100)</f>
        <v>70</v>
      </c>
      <c r="EA233" s="421" t="str">
        <f>IF(OR(WWWW[[#This Row],['#_students at TLS_CFS]]="",WWWW[[#This Row],['#_students at TLS_CFS]]=0),"No","Yes")</f>
        <v>Yes</v>
      </c>
      <c r="EB23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33" s="566">
        <f>WWWW[[#This Row],[%_of_affected_people_surveyed_who_report_feeling_satistfied_with_the_latrine_design_and_sanitation_service]]*WWWW[[#This Row],[Total PoP ]]</f>
        <v>35</v>
      </c>
      <c r="ED233" s="566">
        <f>WWWW[[#This Row],[%_of_affected_people_surveyed_who_report_feeling_satistfied_with_the_water_point_design_and_water_service]]*WWWW[[#This Row],[Total PoP ]]</f>
        <v>35</v>
      </c>
      <c r="EE233" s="566">
        <f>WWWW[[#This Row],[%_of_complaints_received_that_result_in_timely_corrective_action_and_feedback_to_the_community]]*WWWW[[#This Row],[Total PoP ]]</f>
        <v>35</v>
      </c>
      <c r="EF23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35</v>
      </c>
      <c r="EG23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3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33" s="418" t="str">
        <f>VLOOKUP(WWWW[[#This Row],[Site Name]],SiteDB6[[Site Name]:[CCCM Management]],6,FALSE)</f>
        <v>Yes</v>
      </c>
      <c r="EJ233" s="418" t="str">
        <f>VLOOKUP(WWWW[[#This Row],[Site Name]],SiteDB6[[Site Name]:[CCCM Focal Agency]],7,FALSE)</f>
        <v>Shalom</v>
      </c>
      <c r="EK233" s="418" t="str">
        <f>VLOOKUP(WWWW[[#This Row],[Site Name]],SiteDB6[[Site Name]:[Location Type 1]],9,FALSE)</f>
        <v>Camp</v>
      </c>
      <c r="EL233" s="418" t="str">
        <f>VLOOKUP(WWWW[[#This Row],[Site Name]],SiteDB6[[Site Name]:[Type of Accommodation]],10,FALSE)</f>
        <v>Camp</v>
      </c>
      <c r="EM233" s="418" t="str">
        <f>VLOOKUP(WWWW[[#This Row],[Site Name]],SiteDB6[[Site Name]:[Ethnic or GCA/NGCA]],11,FALSE)</f>
        <v>GCA</v>
      </c>
      <c r="EN233" s="418">
        <f>VLOOKUP(WWWW[[#This Row],[Site Name]],SiteDB6[[Site Name]:[Lat]],12,FALSE)</f>
        <v>25.616509000000001</v>
      </c>
      <c r="EO233" s="418">
        <f>VLOOKUP(WWWW[[#This Row],[Site Name]],SiteDB6[[Site Name]:[Long]],13,FALSE)</f>
        <v>96.317350000000005</v>
      </c>
      <c r="EP233" s="418" t="str">
        <f>VLOOKUP(WWWW[[#This Row],[Site Name]],SiteDB6[[Site Name]:[Pcode]],3,FALSE)</f>
        <v>MMR001CMP190</v>
      </c>
      <c r="EQ233" s="950" t="str">
        <f t="shared" si="4"/>
        <v>Covered</v>
      </c>
      <c r="ER233" s="950" t="s">
        <v>136</v>
      </c>
      <c r="ES233" s="950" t="s">
        <v>3263</v>
      </c>
      <c r="ET233" s="418">
        <f>VLOOKUP(WWWW[[#This Row],[Site Name]],SiteDB6[[Site Name]:[Pop
(Kachin/Shan-CCCM as of May 2023)]],16,FALSE)</f>
        <v>22</v>
      </c>
      <c r="EU233" s="418">
        <f>VLOOKUP(WWWW[[#This Row],[Site Name]],SiteDB6[[Site Name]:[Pop
(Kachin/Shan-CCCM as of May 2023)]],17,FALSE)</f>
        <v>115</v>
      </c>
    </row>
    <row r="234" spans="1:151">
      <c r="A234" s="946" t="s">
        <v>2962</v>
      </c>
      <c r="B234" s="946" t="s">
        <v>242</v>
      </c>
      <c r="C234" s="938" t="s">
        <v>242</v>
      </c>
      <c r="D234" s="938" t="s">
        <v>3184</v>
      </c>
      <c r="E234" s="938" t="s">
        <v>37</v>
      </c>
      <c r="F234" s="938" t="s">
        <v>148</v>
      </c>
      <c r="G234" s="902" t="str">
        <f>VLOOKUP(WWWW[[#This Row],[Site Name]],SiteDB6[[Site Name]:[Location Type]],8,FALSE)</f>
        <v>Camp</v>
      </c>
      <c r="H234" s="938" t="s">
        <v>250</v>
      </c>
      <c r="I234" s="441">
        <v>40</v>
      </c>
      <c r="J234" s="441">
        <v>249</v>
      </c>
      <c r="K234" s="948">
        <v>44927</v>
      </c>
      <c r="L234" s="949">
        <v>45382</v>
      </c>
      <c r="M234" s="441">
        <v>80</v>
      </c>
      <c r="N234" s="441"/>
      <c r="O234" s="441">
        <v>1</v>
      </c>
      <c r="P234" s="441"/>
      <c r="Q234" s="421" t="s">
        <v>41</v>
      </c>
      <c r="R234" s="441">
        <v>1</v>
      </c>
      <c r="S234" s="441">
        <v>5</v>
      </c>
      <c r="T234" s="441">
        <v>2</v>
      </c>
      <c r="U234" s="441"/>
      <c r="V234" s="441"/>
      <c r="W234" s="441"/>
      <c r="X234" s="441">
        <v>1</v>
      </c>
      <c r="Y234" s="441"/>
      <c r="Z234" s="441"/>
      <c r="AA234" s="441"/>
      <c r="AB234" s="441"/>
      <c r="AC234" s="441"/>
      <c r="AD234" s="441"/>
      <c r="AE234" s="441">
        <v>1</v>
      </c>
      <c r="AF234" s="441"/>
      <c r="AG234" s="441"/>
      <c r="AH234" s="441">
        <v>1</v>
      </c>
      <c r="AI234" s="441"/>
      <c r="AJ234" s="441"/>
      <c r="AK234" s="441"/>
      <c r="AL234" s="441"/>
      <c r="AM234" s="441"/>
      <c r="AN234" s="441"/>
      <c r="AO234" s="441"/>
      <c r="AP234" s="950"/>
      <c r="AQ234" s="441">
        <v>10</v>
      </c>
      <c r="AR234" s="441"/>
      <c r="AS234" s="416" t="s">
        <v>242</v>
      </c>
      <c r="AT234" s="441"/>
      <c r="AU234" s="441"/>
      <c r="AV234" s="441"/>
      <c r="AW234" s="441"/>
      <c r="AX234" s="441"/>
      <c r="AY234" s="418" t="s">
        <v>41</v>
      </c>
      <c r="AZ234" s="950" t="s">
        <v>137</v>
      </c>
      <c r="BA234" s="441"/>
      <c r="BB234" s="441"/>
      <c r="BC234" s="441"/>
      <c r="BD234" s="441"/>
      <c r="BE234" s="441"/>
      <c r="BF234" s="418" t="s">
        <v>3203</v>
      </c>
      <c r="BG234" s="441">
        <v>2</v>
      </c>
      <c r="BH234" s="441"/>
      <c r="BI234" s="441">
        <v>4</v>
      </c>
      <c r="BJ234" s="441">
        <v>3</v>
      </c>
      <c r="BK234" s="441"/>
      <c r="BL234" s="441"/>
      <c r="BM234" s="441">
        <v>1</v>
      </c>
      <c r="BN234" s="441">
        <v>40</v>
      </c>
      <c r="BO234" s="441">
        <v>55</v>
      </c>
      <c r="BP234" s="418" t="s">
        <v>41</v>
      </c>
      <c r="BQ234" s="417">
        <v>1</v>
      </c>
      <c r="BR234" s="416">
        <v>0.2</v>
      </c>
      <c r="BS234" s="418" t="s">
        <v>3204</v>
      </c>
      <c r="BT234" s="416">
        <v>0.8</v>
      </c>
      <c r="BU234" s="416">
        <v>0.7</v>
      </c>
      <c r="BV234" s="418">
        <v>10</v>
      </c>
      <c r="BW234" s="416">
        <v>0.7</v>
      </c>
      <c r="BX234" s="441"/>
      <c r="BY234" s="441"/>
      <c r="BZ234" s="441"/>
      <c r="CA234" s="441"/>
      <c r="CB234" s="441"/>
      <c r="CC234" s="693"/>
      <c r="CD234" s="441"/>
      <c r="CE234" s="615" t="str">
        <f>IFERROR(WWWW[[#This Row],['#_Water sources passed]]/WWWW[[#This Row],['#_Water sources tested for fecal coliform ]],"no test")</f>
        <v>no test</v>
      </c>
      <c r="CF234" s="416" t="str">
        <f>IFERROR(WWWW[[#This Row],['#_Household passed]]/WWWW[[#This Row],['#_Household water samples tested for fecal coliform]],"no test")</f>
        <v>no test</v>
      </c>
      <c r="CG234" s="417" t="str">
        <f>IF(AND(WWWW[[#This Row],[% of water sources passed]]="no test",WWWW[[#This Row],[% Household passed]]="no test"),"No Test","Tested")</f>
        <v>No Test</v>
      </c>
      <c r="CH234" s="417">
        <f>WWWW[[#This Row],['#_Constructed/existing protected hand dug well]]-WWWW[[#This Row],['#_Non-functional protected hand dug well]]</f>
        <v>2</v>
      </c>
      <c r="CI234" s="417">
        <f>(WWWW[[#This Row],['#_Constructed/Existing tube wells/boreholes/handpumps_WASH_agency]]+WWWW[[#This Row],['#_Non-Cluster partner water tube-wells/boreholes/handpumps]])-WWWW[[#This Row],['#_Non-functional tube wells/boreholes/handpumps]]</f>
        <v>1</v>
      </c>
      <c r="CJ234" s="417">
        <f>WWWW[[#This Row],['#_Constructed/Existingwater storage tank with gravity fed reticulation system]]-WWWW[[#This Row],['#_Non-functional storage tank gravity fed reticulation system]]</f>
        <v>0</v>
      </c>
      <c r="CK234" s="417">
        <f>(WWWW[[#This Row],['#_Water_Liters_supplied_by_Water boating or water trucking]]/90)/15</f>
        <v>0</v>
      </c>
      <c r="CL234" s="417">
        <f>WWWW[[#This Row],['#_Water_Liters_from_Constructed/Existing water distribution system from river or natural spring]]/90/15</f>
        <v>0</v>
      </c>
      <c r="CM234" s="417">
        <f>IF(WWWW[[#This Row],['#_of water points in TLS/CFS]]*500&gt;WWWW[[#This Row],[Total PoP ]],WWWW[[#This Row],[Total PoP ]],WWWW[[#This Row],['#_of water points in TLS/CFS]]*500)</f>
        <v>0</v>
      </c>
      <c r="CN234" s="417">
        <f>IF(WWWW[[#This Row],['#_of water points in THF]]*500&gt;WWWW[[#This Row],[Total PoP ]],WWWW[[#This Row],[Total PoP ]],WWWW[[#This Row],['#_of water points in THF]]*500)</f>
        <v>0</v>
      </c>
      <c r="CO234" s="417"/>
      <c r="CP234"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34"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34" s="416">
        <f>IF(WWWW[[#This Row],[Location Type 1]]="Village",WWWW[[#This Row],[Access to safe drinking water for Village]],WWWW[[#This Row],[Access to safe drinking water for Camp]])</f>
        <v>1</v>
      </c>
      <c r="CS234" s="421">
        <f>WWWW[[#This Row],[%Equitable and continuous access to sufficient quantity of safe drinking water]]*WWWW[[#This Row],[Total PoP ]]</f>
        <v>249</v>
      </c>
      <c r="CT234" s="416">
        <f>IF((WWWW[[#This Row],['#_Constructed/Existing protected/fenced ponds]]*250)/WWWW[[#This Row],[Total PoP ]]&gt;1,1,(WWWW[[#This Row],['#_Constructed/Existing protected/fenced ponds]]*250)/WWWW[[#This Row],[Total PoP ]])</f>
        <v>1</v>
      </c>
      <c r="CU234" s="421">
        <f>WWWW[[#This Row],[% Access to unimproved water points]]*WWWW[[#This Row],[Total PoP ]]</f>
        <v>249</v>
      </c>
      <c r="CV234"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34"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249</v>
      </c>
      <c r="CX234" s="421">
        <f>WWWW[[#This Row],[HRP1]]/500</f>
        <v>0.498</v>
      </c>
      <c r="CY234" s="951">
        <f>1-WWWW[[#This Row],[% Equitable and continuous access to sufficient quantity of domestic water]]</f>
        <v>0</v>
      </c>
      <c r="CZ234" s="421">
        <f>WWWW[[#This Row],[%equitable and continuous access to sufficient quantity of safe drinking and domestic water''s GAP]]*WWWW[[#This Row],[Total PoP ]]</f>
        <v>0</v>
      </c>
      <c r="DA234" s="417">
        <f>IF(WWWW[[#This Row],[Total required water points]]-WWWW[[#This Row],['#Water points coverage]]&lt;0,0,WWWW[[#This Row],[Total required water points]]-WWWW[[#This Row],['#Water points coverage]])</f>
        <v>0.502</v>
      </c>
      <c r="DB234" s="417">
        <f>ROUND(IF(WWWW[[#This Row],[Total PoP ]]&lt;500,1,WWWW[[#This Row],[Total PoP ]]/500),0)</f>
        <v>1</v>
      </c>
      <c r="DC234" s="417">
        <f>(WWWW[[#This Row],['#_Constructed latrines_by_WASHAgencies]]+WWWW[[#This Row],['#_Non Cluster partner latrines]])-WWWW[[#This Row],['#_Non-functional latrines]]</f>
        <v>10</v>
      </c>
      <c r="DD234" s="615">
        <f>WWWW[[#This Row],[HRP2]]/WWWW[[#This Row],[Total PoP ]]</f>
        <v>0.80321285140562249</v>
      </c>
      <c r="DE234"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200</v>
      </c>
      <c r="DF234"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34"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34" s="417">
        <f>IF(WWWW[[#This Row],['# of functional latrines in THF supported by WASH partners during the reporting period2]]="",0,WWWW[[#This Row],['# of functional latrines in THF supported by WASH partners during the reporting period2]]*50)</f>
        <v>0</v>
      </c>
      <c r="DI234" s="417">
        <f>ROUND(IF(WWWW[[#This Row],[Location Type 1]]="camp",WWWW[[#This Row],[Total PoP ]]/20,IF(WWWW[[#This Row],[Location Type 1]]="Temporary Location",WWWW[[#This Row],[Total PoP ]]/50,(WWWW[[#This Row],[Total PoP ]]/6))),0)</f>
        <v>12</v>
      </c>
      <c r="DJ234" s="417">
        <f>IF(WWWW[[#This Row],[Total required Latrines]]-(WWWW[[#This Row],['#_Constructed latrines_by_WASHAgencies]]+WWWW[[#This Row],['#_Non Cluster partner latrines]])&lt;0,0,WWWW[[#This Row],[Total required Latrines]]-(WWWW[[#This Row],['#_Constructed latrines_by_WASHAgencies]]+WWWW[[#This Row],['#_Non Cluster partner latrines]]))</f>
        <v>2</v>
      </c>
      <c r="DK234" s="951">
        <f>1-WWWW[[#This Row],[% people access to functioning Latrine]]</f>
        <v>0.19678714859437751</v>
      </c>
      <c r="DL234" s="615">
        <f>IF(OR(WWWW[[#This Row],['#_Non-functional latrines]]="",WWWW[[#This Row],['#_Non-functional latrines]]=0),0,WWWW[[#This Row],['#_Non-functional latrines]]/(WWWW[[#This Row],['#_Constructed latrines_by_WASHAgencies]]+WWWW[[#This Row],['#_Non Cluster partner latrines]]))</f>
        <v>0</v>
      </c>
      <c r="DM234" s="421">
        <f>IF(500*(WWWW[[#This Row],['#_male hygiene promoters]]+WWWW[[#This Row],['#_female hygiene promoters]])&gt;WWWW[[#This Row],[Total PoP ]],WWWW[[#This Row],[Total PoP ]],500*(WWWW[[#This Row],['#_male hygiene promoters]]+WWWW[[#This Row],['#_female hygiene promoters]]))</f>
        <v>249</v>
      </c>
      <c r="DN234"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249</v>
      </c>
      <c r="DO234"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55</v>
      </c>
      <c r="DP234" s="417">
        <f>IF(WWWW[[#This Row],['# People with access to soap]]&gt;WWWW[[#This Row],['# People with access to Sanity Pads]],WWWW[[#This Row],['# People with access to soap]],WWWW[[#This Row],['# People with access to Sanity Pads]])</f>
        <v>249</v>
      </c>
      <c r="DQ234" s="417">
        <f>IF(WWWW[[#This Row],['# people reached by regular dedicated hygiene promotion_5]]&gt;WWWW[[#This Row],['# People received regular supply of hygiene items_6]],WWWW[[#This Row],['# people reached by regular dedicated hygiene promotion_5]],WWWW[[#This Row],['# People received regular supply of hygiene items_6]])</f>
        <v>249</v>
      </c>
      <c r="DR234" s="951">
        <f>IF(WWWW[[#This Row],[HRP3]]/WWWW[[#This Row],[Total PoP ]]&gt;1,1,WWWW[[#This Row],[HRP3]]/WWWW[[#This Row],[Total PoP ]])</f>
        <v>1</v>
      </c>
      <c r="DS234" s="615">
        <f>1-WWWW[[#This Row],[Hygiene Coverage%]]</f>
        <v>0</v>
      </c>
      <c r="DT234" s="416">
        <f>WWWW[[#This Row],['# people reached by regular dedicated hygiene promotion_5]]/WWWW[[#This Row],[Total PoP ]]</f>
        <v>1</v>
      </c>
      <c r="DU234"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34"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234" s="417">
        <f>WWWW[[#This Row],['#_Constructed/Existing hand washing stations]]-WWWW[[#This Row],['#_Non-Functional_hand_washing_stations]]</f>
        <v>2</v>
      </c>
      <c r="DX234" s="421">
        <f>IF(WWWW[[#This Row],['# Functional hand washing stations during reporting period]]*20&gt;WWWW[[#This Row],[Total HH]],WWWW[[#This Row],[Total HH]],WWWW[[#This Row],['# Functional hand washing stations during reporting period]]*20)</f>
        <v>40</v>
      </c>
      <c r="DY234" s="421">
        <f>IF(WWWW[[#This Row],[Is sufficient soap available for TLS? (Yes/No)]]="yes",WWWW[[#This Row],['#_Constructed/Existing hand washing stations at TLS/CFS/THF]],0)</f>
        <v>0</v>
      </c>
      <c r="DZ234" s="421">
        <f>IF(WWWW[[#This Row],['# Functional hand washing stations during reporting period]]*100&gt;WWWW[[#This Row],[Total PoP ]],WWWW[[#This Row],[Total PoP ]],WWWW[[#This Row],['# Functional hand washing stations during reporting period]]*100)</f>
        <v>200</v>
      </c>
      <c r="EA234" s="421" t="str">
        <f>IF(OR(WWWW[[#This Row],['#_students at TLS_CFS]]="",WWWW[[#This Row],['#_students at TLS_CFS]]=0),"No","Yes")</f>
        <v>Yes</v>
      </c>
      <c r="EB234" s="615">
        <f>IF(WWWW[[#This Row],['#_of_affected_people_surveyed_who_report_feeling_informed_about_the_different_WASH_services_available_to_them]]="","",WWWW[[#This Row],['#_of_affected_people_surveyed_who_report_feeling_informed_about_the_different_WASH_services_available_to_them]]/WWWW[[#This Row],[Total PoP ]])</f>
        <v>4.0160642570281124E-2</v>
      </c>
      <c r="EC234" s="566">
        <f>WWWW[[#This Row],[%_of_affected_people_surveyed_who_report_feeling_satistfied_with_the_latrine_design_and_sanitation_service]]*WWWW[[#This Row],[Total PoP ]]</f>
        <v>199.20000000000002</v>
      </c>
      <c r="ED234" s="566">
        <f>WWWW[[#This Row],[%_of_affected_people_surveyed_who_report_feeling_satistfied_with_the_water_point_design_and_water_service]]*WWWW[[#This Row],[Total PoP ]]</f>
        <v>174.29999999999998</v>
      </c>
      <c r="EE234" s="566">
        <f>WWWW[[#This Row],[%_of_complaints_received_that_result_in_timely_corrective_action_and_feedback_to_the_community]]*WWWW[[#This Row],[Total PoP ]]</f>
        <v>174.29999999999998</v>
      </c>
      <c r="EF23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199.20000000000002</v>
      </c>
      <c r="EG23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3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34" s="418" t="str">
        <f>VLOOKUP(WWWW[[#This Row],[Site Name]],SiteDB6[[Site Name]:[CCCM Management]],6,FALSE)</f>
        <v>Yes</v>
      </c>
      <c r="EJ234" s="418" t="str">
        <f>VLOOKUP(WWWW[[#This Row],[Site Name]],SiteDB6[[Site Name]:[CCCM Focal Agency]],7,FALSE)</f>
        <v>KBC-MYT</v>
      </c>
      <c r="EK234" s="418" t="str">
        <f>VLOOKUP(WWWW[[#This Row],[Site Name]],SiteDB6[[Site Name]:[Location Type 1]],9,FALSE)</f>
        <v>Camp</v>
      </c>
      <c r="EL234" s="418" t="str">
        <f>VLOOKUP(WWWW[[#This Row],[Site Name]],SiteDB6[[Site Name]:[Type of Accommodation]],10,FALSE)</f>
        <v>Camp</v>
      </c>
      <c r="EM234" s="418" t="str">
        <f>VLOOKUP(WWWW[[#This Row],[Site Name]],SiteDB6[[Site Name]:[Ethnic or GCA/NGCA]],11,FALSE)</f>
        <v>GCA</v>
      </c>
      <c r="EN234" s="418">
        <f>VLOOKUP(WWWW[[#This Row],[Site Name]],SiteDB6[[Site Name]:[Lat]],12,FALSE)</f>
        <v>25.647649999999999</v>
      </c>
      <c r="EO234" s="418">
        <f>VLOOKUP(WWWW[[#This Row],[Site Name]],SiteDB6[[Site Name]:[Long]],13,FALSE)</f>
        <v>96.346469999999997</v>
      </c>
      <c r="EP234" s="418" t="str">
        <f>VLOOKUP(WWWW[[#This Row],[Site Name]],SiteDB6[[Site Name]:[Pcode]],3,FALSE)</f>
        <v>MMR001CMP169</v>
      </c>
      <c r="EQ234" s="950" t="str">
        <f t="shared" si="4"/>
        <v>Covered</v>
      </c>
      <c r="ER234" s="950" t="s">
        <v>136</v>
      </c>
      <c r="ES234" s="950" t="s">
        <v>3263</v>
      </c>
      <c r="ET234" s="418">
        <f>VLOOKUP(WWWW[[#This Row],[Site Name]],SiteDB6[[Site Name]:[Pop
(Kachin/Shan-CCCM as of May 2023)]],16,FALSE)</f>
        <v>40</v>
      </c>
      <c r="EU234" s="418">
        <f>VLOOKUP(WWWW[[#This Row],[Site Name]],SiteDB6[[Site Name]:[Pop
(Kachin/Shan-CCCM as of May 2023)]],17,FALSE)</f>
        <v>245</v>
      </c>
    </row>
    <row r="235" spans="1:151">
      <c r="A235" s="946" t="s">
        <v>2962</v>
      </c>
      <c r="B235" s="946" t="s">
        <v>242</v>
      </c>
      <c r="C235" s="938" t="s">
        <v>242</v>
      </c>
      <c r="D235" s="938" t="s">
        <v>3184</v>
      </c>
      <c r="E235" s="938" t="s">
        <v>37</v>
      </c>
      <c r="F235" s="938" t="s">
        <v>148</v>
      </c>
      <c r="G235" s="902" t="str">
        <f>VLOOKUP(WWWW[[#This Row],[Site Name]],SiteDB6[[Site Name]:[Location Type]],8,FALSE)</f>
        <v>Camp</v>
      </c>
      <c r="H235" s="938" t="s">
        <v>252</v>
      </c>
      <c r="I235" s="441">
        <v>91</v>
      </c>
      <c r="J235" s="441">
        <v>451</v>
      </c>
      <c r="K235" s="948">
        <v>44927</v>
      </c>
      <c r="L235" s="949">
        <v>45382</v>
      </c>
      <c r="M235" s="441">
        <v>199</v>
      </c>
      <c r="N235" s="441"/>
      <c r="O235" s="441">
        <v>1</v>
      </c>
      <c r="P235" s="441"/>
      <c r="Q235" s="421" t="s">
        <v>41</v>
      </c>
      <c r="R235" s="441">
        <v>3</v>
      </c>
      <c r="S235" s="441">
        <v>6</v>
      </c>
      <c r="T235" s="441">
        <v>1</v>
      </c>
      <c r="U235" s="441"/>
      <c r="V235" s="441"/>
      <c r="W235" s="441">
        <v>1</v>
      </c>
      <c r="X235" s="441"/>
      <c r="Y235" s="441"/>
      <c r="Z235" s="441"/>
      <c r="AA235" s="441"/>
      <c r="AB235" s="441"/>
      <c r="AC235" s="441"/>
      <c r="AD235" s="441"/>
      <c r="AE235" s="441">
        <v>1</v>
      </c>
      <c r="AF235" s="441"/>
      <c r="AG235" s="441"/>
      <c r="AH235" s="441">
        <v>1</v>
      </c>
      <c r="AI235" s="441"/>
      <c r="AJ235" s="441"/>
      <c r="AK235" s="441"/>
      <c r="AL235" s="441"/>
      <c r="AM235" s="441">
        <v>1</v>
      </c>
      <c r="AN235" s="441">
        <v>1</v>
      </c>
      <c r="AO235" s="441">
        <v>1</v>
      </c>
      <c r="AP235" s="950" t="s">
        <v>3205</v>
      </c>
      <c r="AQ235" s="441">
        <v>23</v>
      </c>
      <c r="AR235" s="441"/>
      <c r="AS235" s="416"/>
      <c r="AT235" s="441">
        <v>1</v>
      </c>
      <c r="AU235" s="441">
        <v>19</v>
      </c>
      <c r="AV235" s="441"/>
      <c r="AW235" s="441"/>
      <c r="AX235" s="441"/>
      <c r="AY235" s="418" t="s">
        <v>41</v>
      </c>
      <c r="AZ235" s="950" t="s">
        <v>137</v>
      </c>
      <c r="BA235" s="441"/>
      <c r="BB235" s="441"/>
      <c r="BC235" s="441"/>
      <c r="BD235" s="441"/>
      <c r="BE235" s="441">
        <v>3</v>
      </c>
      <c r="BF235" s="418" t="s">
        <v>3206</v>
      </c>
      <c r="BG235" s="441">
        <v>6</v>
      </c>
      <c r="BH235" s="441">
        <v>2</v>
      </c>
      <c r="BI235" s="441"/>
      <c r="BJ235" s="441">
        <v>3</v>
      </c>
      <c r="BK235" s="441"/>
      <c r="BL235" s="441"/>
      <c r="BM235" s="441">
        <v>1</v>
      </c>
      <c r="BN235" s="441">
        <v>91</v>
      </c>
      <c r="BO235" s="441">
        <v>131</v>
      </c>
      <c r="BP235" s="418" t="s">
        <v>136</v>
      </c>
      <c r="BQ235" s="417">
        <v>1</v>
      </c>
      <c r="BR235" s="416">
        <v>0.3</v>
      </c>
      <c r="BS235" s="418" t="s">
        <v>3207</v>
      </c>
      <c r="BT235" s="416">
        <v>0.4</v>
      </c>
      <c r="BU235" s="416">
        <v>0.4</v>
      </c>
      <c r="BV235" s="418">
        <v>20</v>
      </c>
      <c r="BW235" s="416">
        <v>0.5</v>
      </c>
      <c r="BX235" s="441"/>
      <c r="BY235" s="441"/>
      <c r="BZ235" s="441"/>
      <c r="CA235" s="441"/>
      <c r="CB235" s="441"/>
      <c r="CC235" s="693"/>
      <c r="CD235" s="441"/>
      <c r="CE235" s="615" t="str">
        <f>IFERROR(WWWW[[#This Row],['#_Water sources passed]]/WWWW[[#This Row],['#_Water sources tested for fecal coliform ]],"no test")</f>
        <v>no test</v>
      </c>
      <c r="CF235" s="416" t="str">
        <f>IFERROR(WWWW[[#This Row],['#_Household passed]]/WWWW[[#This Row],['#_Household water samples tested for fecal coliform]],"no test")</f>
        <v>no test</v>
      </c>
      <c r="CG235" s="417" t="str">
        <f>IF(AND(WWWW[[#This Row],[% of water sources passed]]="no test",WWWW[[#This Row],[% Household passed]]="no test"),"No Test","Tested")</f>
        <v>No Test</v>
      </c>
      <c r="CH235" s="417">
        <f>WWWW[[#This Row],['#_Constructed/existing protected hand dug well]]-WWWW[[#This Row],['#_Non-functional protected hand dug well]]</f>
        <v>1</v>
      </c>
      <c r="CI235" s="417">
        <f>(WWWW[[#This Row],['#_Constructed/Existing tube wells/boreholes/handpumps_WASH_agency]]+WWWW[[#This Row],['#_Non-Cluster partner water tube-wells/boreholes/handpumps]])-WWWW[[#This Row],['#_Non-functional tube wells/boreholes/handpumps]]</f>
        <v>1</v>
      </c>
      <c r="CJ235" s="417">
        <f>WWWW[[#This Row],['#_Constructed/Existingwater storage tank with gravity fed reticulation system]]-WWWW[[#This Row],['#_Non-functional storage tank gravity fed reticulation system]]</f>
        <v>0</v>
      </c>
      <c r="CK235" s="417">
        <f>(WWWW[[#This Row],['#_Water_Liters_supplied_by_Water boating or water trucking]]/90)/15</f>
        <v>0</v>
      </c>
      <c r="CL235" s="417">
        <f>WWWW[[#This Row],['#_Water_Liters_from_Constructed/Existing water distribution system from river or natural spring]]/90/15</f>
        <v>0</v>
      </c>
      <c r="CM235" s="417">
        <f>IF(WWWW[[#This Row],['#_of water points in TLS/CFS]]*500&gt;WWWW[[#This Row],[Total PoP ]],WWWW[[#This Row],[Total PoP ]],WWWW[[#This Row],['#_of water points in TLS/CFS]]*500)</f>
        <v>451</v>
      </c>
      <c r="CN235" s="417">
        <f>IF(WWWW[[#This Row],['#_of water points in THF]]*500&gt;WWWW[[#This Row],[Total PoP ]],WWWW[[#This Row],[Total PoP ]],WWWW[[#This Row],['#_of water points in THF]]*500)</f>
        <v>451</v>
      </c>
      <c r="CO235" s="417"/>
      <c r="CP235"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35"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35" s="416">
        <f>IF(WWWW[[#This Row],[Location Type 1]]="Village",WWWW[[#This Row],[Access to safe drinking water for Village]],WWWW[[#This Row],[Access to safe drinking water for Camp]])</f>
        <v>1</v>
      </c>
      <c r="CS235" s="421">
        <f>WWWW[[#This Row],[%Equitable and continuous access to sufficient quantity of safe drinking water]]*WWWW[[#This Row],[Total PoP ]]</f>
        <v>451</v>
      </c>
      <c r="CT235" s="416">
        <f>IF((WWWW[[#This Row],['#_Constructed/Existing protected/fenced ponds]]*250)/WWWW[[#This Row],[Total PoP ]]&gt;1,1,(WWWW[[#This Row],['#_Constructed/Existing protected/fenced ponds]]*250)/WWWW[[#This Row],[Total PoP ]])</f>
        <v>0.55432372505543237</v>
      </c>
      <c r="CU235" s="421">
        <f>WWWW[[#This Row],[% Access to unimproved water points]]*WWWW[[#This Row],[Total PoP ]]</f>
        <v>250</v>
      </c>
      <c r="CV235"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35"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451</v>
      </c>
      <c r="CX235" s="421">
        <f>WWWW[[#This Row],[HRP1]]/500</f>
        <v>0.90200000000000002</v>
      </c>
      <c r="CY235" s="951">
        <f>1-WWWW[[#This Row],[% Equitable and continuous access to sufficient quantity of domestic water]]</f>
        <v>0</v>
      </c>
      <c r="CZ235" s="421">
        <f>WWWW[[#This Row],[%equitable and continuous access to sufficient quantity of safe drinking and domestic water''s GAP]]*WWWW[[#This Row],[Total PoP ]]</f>
        <v>0</v>
      </c>
      <c r="DA235" s="417">
        <f>IF(WWWW[[#This Row],[Total required water points]]-WWWW[[#This Row],['#Water points coverage]]&lt;0,0,WWWW[[#This Row],[Total required water points]]-WWWW[[#This Row],['#Water points coverage]])</f>
        <v>9.7999999999999976E-2</v>
      </c>
      <c r="DB235" s="417">
        <f>ROUND(IF(WWWW[[#This Row],[Total PoP ]]&lt;500,1,WWWW[[#This Row],[Total PoP ]]/500),0)</f>
        <v>1</v>
      </c>
      <c r="DC235" s="417">
        <f>(WWWW[[#This Row],['#_Constructed latrines_by_WASHAgencies]]+WWWW[[#This Row],['#_Non Cluster partner latrines]])-WWWW[[#This Row],['#_Non-functional latrines]]</f>
        <v>22</v>
      </c>
      <c r="DD235" s="615">
        <f>WWWW[[#This Row],[HRP2]]/WWWW[[#This Row],[Total PoP ]]</f>
        <v>0.9822616407982262</v>
      </c>
      <c r="DE235"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443</v>
      </c>
      <c r="DF235"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35"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35" s="417">
        <f>IF(WWWW[[#This Row],['# of functional latrines in THF supported by WASH partners during the reporting period2]]="",0,WWWW[[#This Row],['# of functional latrines in THF supported by WASH partners during the reporting period2]]*50)</f>
        <v>0</v>
      </c>
      <c r="DI235" s="417">
        <f>ROUND(IF(WWWW[[#This Row],[Location Type 1]]="camp",WWWW[[#This Row],[Total PoP ]]/20,IF(WWWW[[#This Row],[Location Type 1]]="Temporary Location",WWWW[[#This Row],[Total PoP ]]/50,(WWWW[[#This Row],[Total PoP ]]/6))),0)</f>
        <v>23</v>
      </c>
      <c r="DJ235" s="417">
        <f>IF(WWWW[[#This Row],[Total required Latrines]]-(WWWW[[#This Row],['#_Constructed latrines_by_WASHAgencies]]+WWWW[[#This Row],['#_Non Cluster partner latrines]])&lt;0,0,WWWW[[#This Row],[Total required Latrines]]-(WWWW[[#This Row],['#_Constructed latrines_by_WASHAgencies]]+WWWW[[#This Row],['#_Non Cluster partner latrines]]))</f>
        <v>0</v>
      </c>
      <c r="DK235" s="951">
        <f>1-WWWW[[#This Row],[% people access to functioning Latrine]]</f>
        <v>1.7738359201773801E-2</v>
      </c>
      <c r="DL235" s="615">
        <f>IF(OR(WWWW[[#This Row],['#_Non-functional latrines]]="",WWWW[[#This Row],['#_Non-functional latrines]]=0),0,WWWW[[#This Row],['#_Non-functional latrines]]/(WWWW[[#This Row],['#_Constructed latrines_by_WASHAgencies]]+WWWW[[#This Row],['#_Non Cluster partner latrines]]))</f>
        <v>4.3478260869565216E-2</v>
      </c>
      <c r="DM235" s="421">
        <f>IF(500*(WWWW[[#This Row],['#_male hygiene promoters]]+WWWW[[#This Row],['#_female hygiene promoters]])&gt;WWWW[[#This Row],[Total PoP ]],WWWW[[#This Row],[Total PoP ]],500*(WWWW[[#This Row],['#_male hygiene promoters]]+WWWW[[#This Row],['#_female hygiene promoters]]))</f>
        <v>451</v>
      </c>
      <c r="DN235"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451</v>
      </c>
      <c r="DO235"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131</v>
      </c>
      <c r="DP235" s="417">
        <f>IF(WWWW[[#This Row],['# People with access to soap]]&gt;WWWW[[#This Row],['# People with access to Sanity Pads]],WWWW[[#This Row],['# People with access to soap]],WWWW[[#This Row],['# People with access to Sanity Pads]])</f>
        <v>451</v>
      </c>
      <c r="DQ235" s="417">
        <f>IF(WWWW[[#This Row],['# people reached by regular dedicated hygiene promotion_5]]&gt;WWWW[[#This Row],['# People received regular supply of hygiene items_6]],WWWW[[#This Row],['# people reached by regular dedicated hygiene promotion_5]],WWWW[[#This Row],['# People received regular supply of hygiene items_6]])</f>
        <v>451</v>
      </c>
      <c r="DR235" s="951">
        <f>IF(WWWW[[#This Row],[HRP3]]/WWWW[[#This Row],[Total PoP ]]&gt;1,1,WWWW[[#This Row],[HRP3]]/WWWW[[#This Row],[Total PoP ]])</f>
        <v>1</v>
      </c>
      <c r="DS235" s="615">
        <f>1-WWWW[[#This Row],[Hygiene Coverage%]]</f>
        <v>0</v>
      </c>
      <c r="DT235" s="416">
        <f>WWWW[[#This Row],['# people reached by regular dedicated hygiene promotion_5]]/WWWW[[#This Row],[Total PoP ]]</f>
        <v>1</v>
      </c>
      <c r="DU235"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35"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235" s="417">
        <f>WWWW[[#This Row],['#_Constructed/Existing hand washing stations]]-WWWW[[#This Row],['#_Non-Functional_hand_washing_stations]]</f>
        <v>4</v>
      </c>
      <c r="DX235" s="421">
        <f>IF(WWWW[[#This Row],['# Functional hand washing stations during reporting period]]*20&gt;WWWW[[#This Row],[Total HH]],WWWW[[#This Row],[Total HH]],WWWW[[#This Row],['# Functional hand washing stations during reporting period]]*20)</f>
        <v>80</v>
      </c>
      <c r="DY235" s="421">
        <f>IF(WWWW[[#This Row],[Is sufficient soap available for TLS? (Yes/No)]]="yes",WWWW[[#This Row],['#_Constructed/Existing hand washing stations at TLS/CFS/THF]],0)</f>
        <v>0</v>
      </c>
      <c r="DZ235" s="421">
        <f>IF(WWWW[[#This Row],['# Functional hand washing stations during reporting period]]*100&gt;WWWW[[#This Row],[Total PoP ]],WWWW[[#This Row],[Total PoP ]],WWWW[[#This Row],['# Functional hand washing stations during reporting period]]*100)</f>
        <v>400</v>
      </c>
      <c r="EA235" s="421" t="str">
        <f>IF(OR(WWWW[[#This Row],['#_students at TLS_CFS]]="",WWWW[[#This Row],['#_students at TLS_CFS]]=0),"No","Yes")</f>
        <v>Yes</v>
      </c>
      <c r="EB235" s="615">
        <f>IF(WWWW[[#This Row],['#_of_affected_people_surveyed_who_report_feeling_informed_about_the_different_WASH_services_available_to_them]]="","",WWWW[[#This Row],['#_of_affected_people_surveyed_who_report_feeling_informed_about_the_different_WASH_services_available_to_them]]/WWWW[[#This Row],[Total PoP ]])</f>
        <v>4.4345898004434593E-2</v>
      </c>
      <c r="EC235" s="566">
        <f>WWWW[[#This Row],[%_of_affected_people_surveyed_who_report_feeling_satistfied_with_the_latrine_design_and_sanitation_service]]*WWWW[[#This Row],[Total PoP ]]</f>
        <v>180.4</v>
      </c>
      <c r="ED235" s="566">
        <f>WWWW[[#This Row],[%_of_affected_people_surveyed_who_report_feeling_satistfied_with_the_water_point_design_and_water_service]]*WWWW[[#This Row],[Total PoP ]]</f>
        <v>180.4</v>
      </c>
      <c r="EE235" s="566">
        <f>WWWW[[#This Row],[%_of_complaints_received_that_result_in_timely_corrective_action_and_feedback_to_the_community]]*WWWW[[#This Row],[Total PoP ]]</f>
        <v>225.5</v>
      </c>
      <c r="EF23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225.5</v>
      </c>
      <c r="EG23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451</v>
      </c>
      <c r="EH23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451</v>
      </c>
      <c r="EI235" s="418" t="str">
        <f>VLOOKUP(WWWW[[#This Row],[Site Name]],SiteDB6[[Site Name]:[CCCM Management]],6,FALSE)</f>
        <v>Yes</v>
      </c>
      <c r="EJ235" s="418" t="str">
        <f>VLOOKUP(WWWW[[#This Row],[Site Name]],SiteDB6[[Site Name]:[CCCM Focal Agency]],7,FALSE)</f>
        <v>Shalom</v>
      </c>
      <c r="EK235" s="418" t="str">
        <f>VLOOKUP(WWWW[[#This Row],[Site Name]],SiteDB6[[Site Name]:[Location Type 1]],9,FALSE)</f>
        <v>Camp</v>
      </c>
      <c r="EL235" s="418" t="str">
        <f>VLOOKUP(WWWW[[#This Row],[Site Name]],SiteDB6[[Site Name]:[Type of Accommodation]],10,FALSE)</f>
        <v>Camp</v>
      </c>
      <c r="EM235" s="418" t="str">
        <f>VLOOKUP(WWWW[[#This Row],[Site Name]],SiteDB6[[Site Name]:[Ethnic or GCA/NGCA]],11,FALSE)</f>
        <v>GCA</v>
      </c>
      <c r="EN235" s="418">
        <f>VLOOKUP(WWWW[[#This Row],[Site Name]],SiteDB6[[Site Name]:[Lat]],12,FALSE)</f>
        <v>25.637309999999999</v>
      </c>
      <c r="EO235" s="418">
        <f>VLOOKUP(WWWW[[#This Row],[Site Name]],SiteDB6[[Site Name]:[Long]],13,FALSE)</f>
        <v>96.35257</v>
      </c>
      <c r="EP235" s="418" t="str">
        <f>VLOOKUP(WWWW[[#This Row],[Site Name]],SiteDB6[[Site Name]:[Pcode]],3,FALSE)</f>
        <v>MMR001CMP174</v>
      </c>
      <c r="EQ235" s="950" t="str">
        <f t="shared" si="4"/>
        <v>Covered</v>
      </c>
      <c r="ER235" s="950" t="s">
        <v>136</v>
      </c>
      <c r="ES235" s="950" t="s">
        <v>3263</v>
      </c>
      <c r="ET235" s="418">
        <f>VLOOKUP(WWWW[[#This Row],[Site Name]],SiteDB6[[Site Name]:[Pop
(Kachin/Shan-CCCM as of May 2023)]],16,FALSE)</f>
        <v>91</v>
      </c>
      <c r="EU235" s="418">
        <f>VLOOKUP(WWWW[[#This Row],[Site Name]],SiteDB6[[Site Name]:[Pop
(Kachin/Shan-CCCM as of May 2023)]],17,FALSE)</f>
        <v>454</v>
      </c>
    </row>
    <row r="236" spans="1:151" s="974" customFormat="1">
      <c r="A236" s="946" t="s">
        <v>2962</v>
      </c>
      <c r="B236" s="938" t="s">
        <v>3347</v>
      </c>
      <c r="C236" s="1005" t="s">
        <v>3347</v>
      </c>
      <c r="D236" s="1005" t="s">
        <v>241</v>
      </c>
      <c r="E236" s="1005" t="s">
        <v>37</v>
      </c>
      <c r="F236" s="1005" t="s">
        <v>148</v>
      </c>
      <c r="G236" s="902" t="str">
        <f>VLOOKUP(WWWW[[#This Row],[Site Name]],SiteDB6[[Site Name]:[Location Type]],8,FALSE)</f>
        <v>Camp</v>
      </c>
      <c r="H236" s="1005" t="s">
        <v>149</v>
      </c>
      <c r="I236" s="954">
        <v>26</v>
      </c>
      <c r="J236" s="954">
        <v>126</v>
      </c>
      <c r="K236" s="955">
        <v>44811</v>
      </c>
      <c r="L236" s="956">
        <v>45175</v>
      </c>
      <c r="M236" s="954"/>
      <c r="N236" s="954">
        <v>1</v>
      </c>
      <c r="O236" s="954"/>
      <c r="P236" s="954"/>
      <c r="Q236" s="957" t="s">
        <v>41</v>
      </c>
      <c r="R236" s="954">
        <v>3</v>
      </c>
      <c r="S236" s="954">
        <v>3</v>
      </c>
      <c r="T236" s="441">
        <v>1</v>
      </c>
      <c r="U236" s="954"/>
      <c r="V236" s="954"/>
      <c r="W236" s="954"/>
      <c r="X236" s="954"/>
      <c r="Y236" s="954"/>
      <c r="Z236" s="954"/>
      <c r="AA236" s="954"/>
      <c r="AB236" s="954"/>
      <c r="AC236" s="954"/>
      <c r="AD236" s="954"/>
      <c r="AE236" s="954"/>
      <c r="AF236" s="954"/>
      <c r="AG236" s="954"/>
      <c r="AH236" s="976">
        <v>1</v>
      </c>
      <c r="AI236" s="954"/>
      <c r="AJ236" s="954"/>
      <c r="AK236" s="954"/>
      <c r="AL236" s="954"/>
      <c r="AM236" s="954"/>
      <c r="AN236" s="954"/>
      <c r="AO236" s="441"/>
      <c r="AP236" s="958"/>
      <c r="AQ236" s="954">
        <v>4</v>
      </c>
      <c r="AR236" s="954"/>
      <c r="AS236" s="959"/>
      <c r="AT236" s="954"/>
      <c r="AU236" s="954"/>
      <c r="AV236" s="954"/>
      <c r="AW236" s="954"/>
      <c r="AX236" s="954">
        <v>4</v>
      </c>
      <c r="AY236" s="953" t="s">
        <v>41</v>
      </c>
      <c r="AZ236" s="958" t="s">
        <v>137</v>
      </c>
      <c r="BA236" s="954"/>
      <c r="BB236" s="954"/>
      <c r="BC236" s="954"/>
      <c r="BD236" s="441"/>
      <c r="BE236" s="441"/>
      <c r="BF236" s="953"/>
      <c r="BG236" s="954">
        <v>1</v>
      </c>
      <c r="BH236" s="954"/>
      <c r="BI236" s="954"/>
      <c r="BJ236" s="954">
        <v>1</v>
      </c>
      <c r="BK236" s="954"/>
      <c r="BL236" s="954"/>
      <c r="BM236" s="954">
        <v>1</v>
      </c>
      <c r="BN236" s="954"/>
      <c r="BO236" s="954"/>
      <c r="BP236" s="953"/>
      <c r="BQ236" s="960"/>
      <c r="BR236" s="959"/>
      <c r="BS236" s="953"/>
      <c r="BT236" s="416"/>
      <c r="BU236" s="416"/>
      <c r="BV236" s="418"/>
      <c r="BW236" s="416"/>
      <c r="BX236" s="441"/>
      <c r="BY236" s="441"/>
      <c r="BZ236" s="441"/>
      <c r="CA236" s="441"/>
      <c r="CB236" s="441"/>
      <c r="CC236" s="693"/>
      <c r="CD236" s="441"/>
      <c r="CE236" s="961" t="str">
        <f>IFERROR(WWWW[[#This Row],['#_Water sources passed]]/WWWW[[#This Row],['#_Water sources tested for fecal coliform ]],"no test")</f>
        <v>no test</v>
      </c>
      <c r="CF236" s="959" t="str">
        <f>IFERROR(WWWW[[#This Row],['#_Household passed]]/WWWW[[#This Row],['#_Household water samples tested for fecal coliform]],"no test")</f>
        <v>no test</v>
      </c>
      <c r="CG236" s="960" t="str">
        <f>IF(AND(WWWW[[#This Row],[% of water sources passed]]="no test",WWWW[[#This Row],[% Household passed]]="no test"),"No Test","Tested")</f>
        <v>No Test</v>
      </c>
      <c r="CH236" s="960">
        <f>WWWW[[#This Row],['#_Constructed/existing protected hand dug well]]-WWWW[[#This Row],['#_Non-functional protected hand dug well]]</f>
        <v>1</v>
      </c>
      <c r="CI236" s="960">
        <f>(WWWW[[#This Row],['#_Constructed/Existing tube wells/boreholes/handpumps_WASH_agency]]+WWWW[[#This Row],['#_Non-Cluster partner water tube-wells/boreholes/handpumps]])-WWWW[[#This Row],['#_Non-functional tube wells/boreholes/handpumps]]</f>
        <v>0</v>
      </c>
      <c r="CJ236" s="960">
        <f>WWWW[[#This Row],['#_Constructed/Existingwater storage tank with gravity fed reticulation system]]-WWWW[[#This Row],['#_Non-functional storage tank gravity fed reticulation system]]</f>
        <v>0</v>
      </c>
      <c r="CK236" s="960">
        <f>(WWWW[[#This Row],['#_Water_Liters_supplied_by_Water boating or water trucking]]/90)/15</f>
        <v>0</v>
      </c>
      <c r="CL236" s="960">
        <f>WWWW[[#This Row],['#_Water_Liters_from_Constructed/Existing water distribution system from river or natural spring]]/90/15</f>
        <v>0</v>
      </c>
      <c r="CM236" s="417">
        <f>IF(WWWW[[#This Row],['#_of water points in TLS/CFS]]*500&gt;WWWW[[#This Row],[Total PoP ]],WWWW[[#This Row],[Total PoP ]],WWWW[[#This Row],['#_of water points in TLS/CFS]]*500)</f>
        <v>0</v>
      </c>
      <c r="CN236" s="417">
        <f>IF(WWWW[[#This Row],['#_of water points in THF]]*500&gt;WWWW[[#This Row],[Total PoP ]],WWWW[[#This Row],[Total PoP ]],WWWW[[#This Row],['#_of water points in THF]]*500)</f>
        <v>0</v>
      </c>
      <c r="CO236" s="417"/>
      <c r="CP236"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36"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36" s="959">
        <f>IF(WWWW[[#This Row],[Location Type 1]]="Village",WWWW[[#This Row],[Access to safe drinking water for Village]],WWWW[[#This Row],[Access to safe drinking water for Camp]])</f>
        <v>1</v>
      </c>
      <c r="CS236" s="957">
        <f>WWWW[[#This Row],[%Equitable and continuous access to sufficient quantity of safe drinking water]]*WWWW[[#This Row],[Total PoP ]]</f>
        <v>126</v>
      </c>
      <c r="CT236" s="959">
        <f>IF((WWWW[[#This Row],['#_Constructed/Existing protected/fenced ponds]]*250)/WWWW[[#This Row],[Total PoP ]]&gt;1,1,(WWWW[[#This Row],['#_Constructed/Existing protected/fenced ponds]]*250)/WWWW[[#This Row],[Total PoP ]])</f>
        <v>0</v>
      </c>
      <c r="CU236" s="957">
        <f>WWWW[[#This Row],[% Access to unimproved water points]]*WWWW[[#This Row],[Total PoP ]]</f>
        <v>0</v>
      </c>
      <c r="CV236"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36"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126</v>
      </c>
      <c r="CX236" s="957">
        <f>WWWW[[#This Row],[HRP1]]/500</f>
        <v>0.252</v>
      </c>
      <c r="CY236" s="962">
        <f>1-WWWW[[#This Row],[% Equitable and continuous access to sufficient quantity of domestic water]]</f>
        <v>0</v>
      </c>
      <c r="CZ236" s="957">
        <f>WWWW[[#This Row],[%equitable and continuous access to sufficient quantity of safe drinking and domestic water''s GAP]]*WWWW[[#This Row],[Total PoP ]]</f>
        <v>0</v>
      </c>
      <c r="DA236" s="960">
        <f>IF(WWWW[[#This Row],[Total required water points]]-WWWW[[#This Row],['#Water points coverage]]&lt;0,0,WWWW[[#This Row],[Total required water points]]-WWWW[[#This Row],['#Water points coverage]])</f>
        <v>0.748</v>
      </c>
      <c r="DB236" s="960">
        <f>ROUND(IF(WWWW[[#This Row],[Total PoP ]]&lt;500,1,WWWW[[#This Row],[Total PoP ]]/500),0)</f>
        <v>1</v>
      </c>
      <c r="DC236" s="960">
        <f>(WWWW[[#This Row],['#_Constructed latrines_by_WASHAgencies]]+WWWW[[#This Row],['#_Non Cluster partner latrines]])-WWWW[[#This Row],['#_Non-functional latrines]]</f>
        <v>4</v>
      </c>
      <c r="DD236" s="615">
        <f>WWWW[[#This Row],[HRP2]]/WWWW[[#This Row],[Total PoP ]]</f>
        <v>0.63492063492063489</v>
      </c>
      <c r="DE236"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80</v>
      </c>
      <c r="DF236"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36"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36" s="417">
        <f>IF(WWWW[[#This Row],['# of functional latrines in THF supported by WASH partners during the reporting period2]]="",0,WWWW[[#This Row],['# of functional latrines in THF supported by WASH partners during the reporting period2]]*50)</f>
        <v>0</v>
      </c>
      <c r="DI236" s="960">
        <f>ROUND(IF(WWWW[[#This Row],[Location Type 1]]="camp",WWWW[[#This Row],[Total PoP ]]/20,IF(WWWW[[#This Row],[Location Type 1]]="Temporary Location",WWWW[[#This Row],[Total PoP ]]/50,(WWWW[[#This Row],[Total PoP ]]/6))),0)</f>
        <v>6</v>
      </c>
      <c r="DJ236" s="960">
        <f>IF(WWWW[[#This Row],[Total required Latrines]]-(WWWW[[#This Row],['#_Constructed latrines_by_WASHAgencies]]+WWWW[[#This Row],['#_Non Cluster partner latrines]])&lt;0,0,WWWW[[#This Row],[Total required Latrines]]-(WWWW[[#This Row],['#_Constructed latrines_by_WASHAgencies]]+WWWW[[#This Row],['#_Non Cluster partner latrines]]))</f>
        <v>2</v>
      </c>
      <c r="DK236" s="962">
        <f>1-WWWW[[#This Row],[% people access to functioning Latrine]]</f>
        <v>0.36507936507936511</v>
      </c>
      <c r="DL236" s="961">
        <f>IF(OR(WWWW[[#This Row],['#_Non-functional latrines]]="",WWWW[[#This Row],['#_Non-functional latrines]]=0),0,WWWW[[#This Row],['#_Non-functional latrines]]/(WWWW[[#This Row],['#_Constructed latrines_by_WASHAgencies]]+WWWW[[#This Row],['#_Non Cluster partner latrines]]))</f>
        <v>0</v>
      </c>
      <c r="DM236" s="957">
        <f>IF(500*(WWWW[[#This Row],['#_male hygiene promoters]]+WWWW[[#This Row],['#_female hygiene promoters]])&gt;WWWW[[#This Row],[Total PoP ]],WWWW[[#This Row],[Total PoP ]],500*(WWWW[[#This Row],['#_male hygiene promoters]]+WWWW[[#This Row],['#_female hygiene promoters]]))</f>
        <v>126</v>
      </c>
      <c r="DN236"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36"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36" s="960">
        <f>IF(WWWW[[#This Row],['# People with access to soap]]&gt;WWWW[[#This Row],['# People with access to Sanity Pads]],WWWW[[#This Row],['# People with access to soap]],WWWW[[#This Row],['# People with access to Sanity Pads]])</f>
        <v>0</v>
      </c>
      <c r="DQ236" s="960">
        <f>IF(WWWW[[#This Row],['# people reached by regular dedicated hygiene promotion_5]]&gt;WWWW[[#This Row],['# People received regular supply of hygiene items_6]],WWWW[[#This Row],['# people reached by regular dedicated hygiene promotion_5]],WWWW[[#This Row],['# People received regular supply of hygiene items_6]])</f>
        <v>126</v>
      </c>
      <c r="DR236" s="962">
        <f>IF(WWWW[[#This Row],[HRP3]]/WWWW[[#This Row],[Total PoP ]]&gt;1,1,WWWW[[#This Row],[HRP3]]/WWWW[[#This Row],[Total PoP ]])</f>
        <v>1</v>
      </c>
      <c r="DS236" s="961">
        <f>1-WWWW[[#This Row],[Hygiene Coverage%]]</f>
        <v>0</v>
      </c>
      <c r="DT236" s="959">
        <f>WWWW[[#This Row],['# people reached by regular dedicated hygiene promotion_5]]/WWWW[[#This Row],[Total PoP ]]</f>
        <v>1</v>
      </c>
      <c r="DU236"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36"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36" s="960">
        <f>WWWW[[#This Row],['#_Constructed/Existing hand washing stations]]-WWWW[[#This Row],['#_Non-Functional_hand_washing_stations]]</f>
        <v>1</v>
      </c>
      <c r="DX236" s="957">
        <f>IF(WWWW[[#This Row],['# Functional hand washing stations during reporting period]]*20&gt;WWWW[[#This Row],[Total HH]],WWWW[[#This Row],[Total HH]],WWWW[[#This Row],['# Functional hand washing stations during reporting period]]*20)</f>
        <v>20</v>
      </c>
      <c r="DY236" s="957">
        <f>IF(WWWW[[#This Row],[Is sufficient soap available for TLS? (Yes/No)]]="yes",WWWW[[#This Row],['#_Constructed/Existing hand washing stations at TLS/CFS/THF]],0)</f>
        <v>0</v>
      </c>
      <c r="DZ236" s="421">
        <f>IF(WWWW[[#This Row],['# Functional hand washing stations during reporting period]]*100&gt;WWWW[[#This Row],[Total PoP ]],WWWW[[#This Row],[Total PoP ]],WWWW[[#This Row],['# Functional hand washing stations during reporting period]]*100)</f>
        <v>100</v>
      </c>
      <c r="EA236" s="421" t="str">
        <f>IF(OR(WWWW[[#This Row],['#_students at TLS_CFS]]="",WWWW[[#This Row],['#_students at TLS_CFS]]=0),"No","Yes")</f>
        <v>No</v>
      </c>
      <c r="EB23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36" s="566">
        <f>WWWW[[#This Row],[%_of_affected_people_surveyed_who_report_feeling_satistfied_with_the_latrine_design_and_sanitation_service]]*WWWW[[#This Row],[Total PoP ]]</f>
        <v>0</v>
      </c>
      <c r="ED236" s="566">
        <f>WWWW[[#This Row],[%_of_affected_people_surveyed_who_report_feeling_satistfied_with_the_water_point_design_and_water_service]]*WWWW[[#This Row],[Total PoP ]]</f>
        <v>0</v>
      </c>
      <c r="EE236" s="566">
        <f>WWWW[[#This Row],[%_of_complaints_received_that_result_in_timely_corrective_action_and_feedback_to_the_community]]*WWWW[[#This Row],[Total PoP ]]</f>
        <v>0</v>
      </c>
      <c r="EF23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3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3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36" s="953" t="str">
        <f>VLOOKUP(WWWW[[#This Row],[Site Name]],SiteDB6[[Site Name]:[CCCM Management]],6,FALSE)</f>
        <v>Yes</v>
      </c>
      <c r="EJ236" s="953" t="str">
        <f>VLOOKUP(WWWW[[#This Row],[Site Name]],SiteDB6[[Site Name]:[CCCM Focal Agency]],7,FALSE)</f>
        <v>KBC-MYT</v>
      </c>
      <c r="EK236" s="953" t="str">
        <f>VLOOKUP(WWWW[[#This Row],[Site Name]],SiteDB6[[Site Name]:[Location Type 1]],9,FALSE)</f>
        <v>Camp</v>
      </c>
      <c r="EL236" s="953" t="str">
        <f>VLOOKUP(WWWW[[#This Row],[Site Name]],SiteDB6[[Site Name]:[Type of Accommodation]],10,FALSE)</f>
        <v>Camp</v>
      </c>
      <c r="EM236" s="953" t="str">
        <f>VLOOKUP(WWWW[[#This Row],[Site Name]],SiteDB6[[Site Name]:[Ethnic or GCA/NGCA]],11,FALSE)</f>
        <v>GCA</v>
      </c>
      <c r="EN236" s="953">
        <f>VLOOKUP(WWWW[[#This Row],[Site Name]],SiteDB6[[Site Name]:[Lat]],12,FALSE)</f>
        <v>25.51352</v>
      </c>
      <c r="EO236" s="953">
        <f>VLOOKUP(WWWW[[#This Row],[Site Name]],SiteDB6[[Site Name]:[Long]],13,FALSE)</f>
        <v>96.705960000000005</v>
      </c>
      <c r="EP236" s="953" t="str">
        <f>VLOOKUP(WWWW[[#This Row],[Site Name]],SiteDB6[[Site Name]:[Pcode]],3,FALSE)</f>
        <v>MMR001CMP148</v>
      </c>
      <c r="EQ236" s="958" t="str">
        <f t="shared" si="4"/>
        <v>Covered</v>
      </c>
      <c r="ER236" s="950" t="s">
        <v>3126</v>
      </c>
      <c r="ES236" s="972" t="s">
        <v>3268</v>
      </c>
      <c r="ET236" s="953">
        <f>VLOOKUP(WWWW[[#This Row],[Site Name]],SiteDB6[[Site Name]:[Pop
(Kachin/Shan-CCCM as of May 2023)]],16,FALSE)</f>
        <v>26</v>
      </c>
      <c r="EU236" s="953">
        <f>VLOOKUP(WWWW[[#This Row],[Site Name]],SiteDB6[[Site Name]:[Pop
(Kachin/Shan-CCCM as of May 2023)]],17,FALSE)</f>
        <v>128</v>
      </c>
    </row>
    <row r="237" spans="1:151">
      <c r="A237" s="946" t="s">
        <v>2962</v>
      </c>
      <c r="B237" s="946" t="s">
        <v>242</v>
      </c>
      <c r="C237" s="938" t="s">
        <v>242</v>
      </c>
      <c r="D237" s="938" t="s">
        <v>3184</v>
      </c>
      <c r="E237" s="938" t="s">
        <v>37</v>
      </c>
      <c r="F237" s="938" t="s">
        <v>148</v>
      </c>
      <c r="G237" s="902" t="str">
        <f>VLOOKUP(WWWW[[#This Row],[Site Name]],SiteDB6[[Site Name]:[Location Type]],8,FALSE)</f>
        <v>Camp</v>
      </c>
      <c r="H237" s="938" t="s">
        <v>254</v>
      </c>
      <c r="I237" s="441">
        <v>95</v>
      </c>
      <c r="J237" s="441">
        <v>471</v>
      </c>
      <c r="K237" s="948">
        <v>44927</v>
      </c>
      <c r="L237" s="949">
        <v>45382</v>
      </c>
      <c r="M237" s="441">
        <v>90</v>
      </c>
      <c r="N237" s="441"/>
      <c r="O237" s="441">
        <v>1</v>
      </c>
      <c r="P237" s="441"/>
      <c r="Q237" s="421" t="s">
        <v>136</v>
      </c>
      <c r="R237" s="441">
        <v>7</v>
      </c>
      <c r="S237" s="441">
        <v>3</v>
      </c>
      <c r="T237" s="441"/>
      <c r="U237" s="441"/>
      <c r="V237" s="441"/>
      <c r="W237" s="441"/>
      <c r="X237" s="441"/>
      <c r="Y237" s="441"/>
      <c r="Z237" s="441"/>
      <c r="AA237" s="441">
        <v>2</v>
      </c>
      <c r="AB237" s="441"/>
      <c r="AC237" s="441">
        <v>1</v>
      </c>
      <c r="AD237" s="441"/>
      <c r="AE237" s="441">
        <v>2</v>
      </c>
      <c r="AF237" s="441"/>
      <c r="AG237" s="441">
        <v>7</v>
      </c>
      <c r="AH237" s="441">
        <v>1</v>
      </c>
      <c r="AI237" s="441"/>
      <c r="AJ237" s="441"/>
      <c r="AK237" s="441"/>
      <c r="AL237" s="441"/>
      <c r="AM237" s="441">
        <v>1</v>
      </c>
      <c r="AN237" s="441"/>
      <c r="AO237" s="441"/>
      <c r="AP237" s="950" t="s">
        <v>3208</v>
      </c>
      <c r="AQ237" s="441">
        <v>14</v>
      </c>
      <c r="AR237" s="441"/>
      <c r="AS237" s="416" t="s">
        <v>242</v>
      </c>
      <c r="AT237" s="441"/>
      <c r="AU237" s="441"/>
      <c r="AV237" s="441">
        <v>3</v>
      </c>
      <c r="AW237" s="441"/>
      <c r="AX237" s="441"/>
      <c r="AY237" s="418" t="s">
        <v>41</v>
      </c>
      <c r="AZ237" s="950" t="s">
        <v>137</v>
      </c>
      <c r="BA237" s="441"/>
      <c r="BB237" s="441"/>
      <c r="BC237" s="441"/>
      <c r="BD237" s="441"/>
      <c r="BE237" s="441"/>
      <c r="BF237" s="418"/>
      <c r="BG237" s="441">
        <v>3</v>
      </c>
      <c r="BH237" s="441"/>
      <c r="BI237" s="441"/>
      <c r="BJ237" s="441">
        <v>2</v>
      </c>
      <c r="BK237" s="441"/>
      <c r="BL237" s="441">
        <v>1</v>
      </c>
      <c r="BM237" s="441"/>
      <c r="BN237" s="441">
        <v>100</v>
      </c>
      <c r="BO237" s="441">
        <v>138</v>
      </c>
      <c r="BP237" s="418" t="s">
        <v>136</v>
      </c>
      <c r="BQ237" s="417">
        <v>1</v>
      </c>
      <c r="BR237" s="416">
        <v>0.5</v>
      </c>
      <c r="BS237" s="418" t="s">
        <v>3209</v>
      </c>
      <c r="BT237" s="416">
        <v>1</v>
      </c>
      <c r="BU237" s="416">
        <v>1</v>
      </c>
      <c r="BV237" s="418">
        <v>10</v>
      </c>
      <c r="BW237" s="416">
        <v>1</v>
      </c>
      <c r="BX237" s="441"/>
      <c r="BY237" s="441"/>
      <c r="BZ237" s="441"/>
      <c r="CA237" s="441"/>
      <c r="CB237" s="441"/>
      <c r="CC237" s="693"/>
      <c r="CD237" s="441"/>
      <c r="CE237" s="615" t="str">
        <f>IFERROR(WWWW[[#This Row],['#_Water sources passed]]/WWWW[[#This Row],['#_Water sources tested for fecal coliform ]],"no test")</f>
        <v>no test</v>
      </c>
      <c r="CF237" s="416" t="str">
        <f>IFERROR(WWWW[[#This Row],['#_Household passed]]/WWWW[[#This Row],['#_Household water samples tested for fecal coliform]],"no test")</f>
        <v>no test</v>
      </c>
      <c r="CG237" s="417" t="str">
        <f>IF(AND(WWWW[[#This Row],[% of water sources passed]]="no test",WWWW[[#This Row],[% Household passed]]="no test"),"No Test","Tested")</f>
        <v>No Test</v>
      </c>
      <c r="CH237" s="417">
        <f>WWWW[[#This Row],['#_Constructed/existing protected hand dug well]]-WWWW[[#This Row],['#_Non-functional protected hand dug well]]</f>
        <v>0</v>
      </c>
      <c r="CI237" s="417">
        <f>(WWWW[[#This Row],['#_Constructed/Existing tube wells/boreholes/handpumps_WASH_agency]]+WWWW[[#This Row],['#_Non-Cluster partner water tube-wells/boreholes/handpumps]])-WWWW[[#This Row],['#_Non-functional tube wells/boreholes/handpumps]]</f>
        <v>0</v>
      </c>
      <c r="CJ237" s="417">
        <f>WWWW[[#This Row],['#_Constructed/Existingwater storage tank with gravity fed reticulation system]]-WWWW[[#This Row],['#_Non-functional storage tank gravity fed reticulation system]]</f>
        <v>2</v>
      </c>
      <c r="CK237" s="417">
        <f>(WWWW[[#This Row],['#_Water_Liters_supplied_by_Water boating or water trucking]]/90)/15</f>
        <v>0</v>
      </c>
      <c r="CL237" s="417">
        <f>WWWW[[#This Row],['#_Water_Liters_from_Constructed/Existing water distribution system from river or natural spring]]/90/15</f>
        <v>0</v>
      </c>
      <c r="CM237" s="417">
        <f>IF(WWWW[[#This Row],['#_of water points in TLS/CFS]]*500&gt;WWWW[[#This Row],[Total PoP ]],WWWW[[#This Row],[Total PoP ]],WWWW[[#This Row],['#_of water points in TLS/CFS]]*500)</f>
        <v>0</v>
      </c>
      <c r="CN237" s="417">
        <f>IF(WWWW[[#This Row],['#_of water points in THF]]*500&gt;WWWW[[#This Row],[Total PoP ]],WWWW[[#This Row],[Total PoP ]],WWWW[[#This Row],['#_of water points in THF]]*500)</f>
        <v>0</v>
      </c>
      <c r="CO237" s="417"/>
      <c r="CP237"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0.28308563340410475</v>
      </c>
      <c r="CQ237"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0.28308563340410475</v>
      </c>
      <c r="CR237" s="416">
        <f>IF(WWWW[[#This Row],[Location Type 1]]="Village",WWWW[[#This Row],[Access to safe drinking water for Village]],WWWW[[#This Row],[Access to safe drinking water for Camp]])</f>
        <v>0.28308563340410475</v>
      </c>
      <c r="CS237" s="421">
        <f>WWWW[[#This Row],[%Equitable and continuous access to sufficient quantity of safe drinking water]]*WWWW[[#This Row],[Total PoP ]]</f>
        <v>133.33333333333334</v>
      </c>
      <c r="CT237" s="416">
        <f>IF((WWWW[[#This Row],['#_Constructed/Existing protected/fenced ponds]]*250)/WWWW[[#This Row],[Total PoP ]]&gt;1,1,(WWWW[[#This Row],['#_Constructed/Existing protected/fenced ponds]]*250)/WWWW[[#This Row],[Total PoP ]])</f>
        <v>1</v>
      </c>
      <c r="CU237" s="421">
        <f>WWWW[[#This Row],[% Access to unimproved water points]]*WWWW[[#This Row],[Total PoP ]]</f>
        <v>471</v>
      </c>
      <c r="CV237"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37"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471</v>
      </c>
      <c r="CX237" s="421">
        <f>WWWW[[#This Row],[HRP1]]/500</f>
        <v>0.94199999999999995</v>
      </c>
      <c r="CY237" s="951">
        <f>1-WWWW[[#This Row],[% Equitable and continuous access to sufficient quantity of domestic water]]</f>
        <v>0</v>
      </c>
      <c r="CZ237" s="421">
        <f>WWWW[[#This Row],[%equitable and continuous access to sufficient quantity of safe drinking and domestic water''s GAP]]*WWWW[[#This Row],[Total PoP ]]</f>
        <v>0</v>
      </c>
      <c r="DA237" s="417">
        <f>IF(WWWW[[#This Row],[Total required water points]]-WWWW[[#This Row],['#Water points coverage]]&lt;0,0,WWWW[[#This Row],[Total required water points]]-WWWW[[#This Row],['#Water points coverage]])</f>
        <v>5.8000000000000052E-2</v>
      </c>
      <c r="DB237" s="417">
        <f>ROUND(IF(WWWW[[#This Row],[Total PoP ]]&lt;500,1,WWWW[[#This Row],[Total PoP ]]/500),0)</f>
        <v>1</v>
      </c>
      <c r="DC237" s="417">
        <f>(WWWW[[#This Row],['#_Constructed latrines_by_WASHAgencies]]+WWWW[[#This Row],['#_Non Cluster partner latrines]])-WWWW[[#This Row],['#_Non-functional latrines]]</f>
        <v>14</v>
      </c>
      <c r="DD237" s="615">
        <f>WWWW[[#This Row],[HRP2]]/WWWW[[#This Row],[Total PoP ]]</f>
        <v>0.59447983014861994</v>
      </c>
      <c r="DE237"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280</v>
      </c>
      <c r="DF237"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DG237"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37" s="417">
        <f>IF(WWWW[[#This Row],['# of functional latrines in THF supported by WASH partners during the reporting period2]]="",0,WWWW[[#This Row],['# of functional latrines in THF supported by WASH partners during the reporting period2]]*50)</f>
        <v>0</v>
      </c>
      <c r="DI237" s="417">
        <f>ROUND(IF(WWWW[[#This Row],[Location Type 1]]="camp",WWWW[[#This Row],[Total PoP ]]/20,IF(WWWW[[#This Row],[Location Type 1]]="Temporary Location",WWWW[[#This Row],[Total PoP ]]/50,(WWWW[[#This Row],[Total PoP ]]/6))),0)</f>
        <v>24</v>
      </c>
      <c r="DJ237" s="417">
        <f>IF(WWWW[[#This Row],[Total required Latrines]]-(WWWW[[#This Row],['#_Constructed latrines_by_WASHAgencies]]+WWWW[[#This Row],['#_Non Cluster partner latrines]])&lt;0,0,WWWW[[#This Row],[Total required Latrines]]-(WWWW[[#This Row],['#_Constructed latrines_by_WASHAgencies]]+WWWW[[#This Row],['#_Non Cluster partner latrines]]))</f>
        <v>10</v>
      </c>
      <c r="DK237" s="951">
        <f>1-WWWW[[#This Row],[% people access to functioning Latrine]]</f>
        <v>0.40552016985138006</v>
      </c>
      <c r="DL237" s="615">
        <f>IF(OR(WWWW[[#This Row],['#_Non-functional latrines]]="",WWWW[[#This Row],['#_Non-functional latrines]]=0),0,WWWW[[#This Row],['#_Non-functional latrines]]/(WWWW[[#This Row],['#_Constructed latrines_by_WASHAgencies]]+WWWW[[#This Row],['#_Non Cluster partner latrines]]))</f>
        <v>0</v>
      </c>
      <c r="DM237" s="421">
        <f>IF(500*(WWWW[[#This Row],['#_male hygiene promoters]]+WWWW[[#This Row],['#_female hygiene promoters]])&gt;WWWW[[#This Row],[Total PoP ]],WWWW[[#This Row],[Total PoP ]],500*(WWWW[[#This Row],['#_male hygiene promoters]]+WWWW[[#This Row],['#_female hygiene promoters]]))</f>
        <v>471</v>
      </c>
      <c r="DN237"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471</v>
      </c>
      <c r="DO237"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138</v>
      </c>
      <c r="DP237" s="417">
        <f>IF(WWWW[[#This Row],['# People with access to soap]]&gt;WWWW[[#This Row],['# People with access to Sanity Pads]],WWWW[[#This Row],['# People with access to soap]],WWWW[[#This Row],['# People with access to Sanity Pads]])</f>
        <v>471</v>
      </c>
      <c r="DQ237" s="417">
        <f>IF(WWWW[[#This Row],['# people reached by regular dedicated hygiene promotion_5]]&gt;WWWW[[#This Row],['# People received regular supply of hygiene items_6]],WWWW[[#This Row],['# people reached by regular dedicated hygiene promotion_5]],WWWW[[#This Row],['# People received regular supply of hygiene items_6]])</f>
        <v>471</v>
      </c>
      <c r="DR237" s="951">
        <f>IF(WWWW[[#This Row],[HRP3]]/WWWW[[#This Row],[Total PoP ]]&gt;1,1,WWWW[[#This Row],[HRP3]]/WWWW[[#This Row],[Total PoP ]])</f>
        <v>1</v>
      </c>
      <c r="DS237" s="615">
        <f>1-WWWW[[#This Row],[Hygiene Coverage%]]</f>
        <v>0</v>
      </c>
      <c r="DT237" s="416">
        <f>WWWW[[#This Row],['# people reached by regular dedicated hygiene promotion_5]]/WWWW[[#This Row],[Total PoP ]]</f>
        <v>1</v>
      </c>
      <c r="DU237"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37"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237" s="417">
        <f>WWWW[[#This Row],['#_Constructed/Existing hand washing stations]]-WWWW[[#This Row],['#_Non-Functional_hand_washing_stations]]</f>
        <v>3</v>
      </c>
      <c r="DX237" s="421">
        <f>IF(WWWW[[#This Row],['# Functional hand washing stations during reporting period]]*20&gt;WWWW[[#This Row],[Total HH]],WWWW[[#This Row],[Total HH]],WWWW[[#This Row],['# Functional hand washing stations during reporting period]]*20)</f>
        <v>60</v>
      </c>
      <c r="DY237" s="421">
        <f>IF(WWWW[[#This Row],[Is sufficient soap available for TLS? (Yes/No)]]="yes",WWWW[[#This Row],['#_Constructed/Existing hand washing stations at TLS/CFS/THF]],0)</f>
        <v>0</v>
      </c>
      <c r="DZ237" s="421">
        <f>IF(WWWW[[#This Row],['# Functional hand washing stations during reporting period]]*100&gt;WWWW[[#This Row],[Total PoP ]],WWWW[[#This Row],[Total PoP ]],WWWW[[#This Row],['# Functional hand washing stations during reporting period]]*100)</f>
        <v>300</v>
      </c>
      <c r="EA237" s="421" t="str">
        <f>IF(OR(WWWW[[#This Row],['#_students at TLS_CFS]]="",WWWW[[#This Row],['#_students at TLS_CFS]]=0),"No","Yes")</f>
        <v>Yes</v>
      </c>
      <c r="EB237" s="615">
        <f>IF(WWWW[[#This Row],['#_of_affected_people_surveyed_who_report_feeling_informed_about_the_different_WASH_services_available_to_them]]="","",WWWW[[#This Row],['#_of_affected_people_surveyed_who_report_feeling_informed_about_the_different_WASH_services_available_to_them]]/WWWW[[#This Row],[Total PoP ]])</f>
        <v>2.1231422505307854E-2</v>
      </c>
      <c r="EC237" s="566">
        <f>WWWW[[#This Row],[%_of_affected_people_surveyed_who_report_feeling_satistfied_with_the_latrine_design_and_sanitation_service]]*WWWW[[#This Row],[Total PoP ]]</f>
        <v>471</v>
      </c>
      <c r="ED237" s="566">
        <f>WWWW[[#This Row],[%_of_affected_people_surveyed_who_report_feeling_satistfied_with_the_water_point_design_and_water_service]]*WWWW[[#This Row],[Total PoP ]]</f>
        <v>471</v>
      </c>
      <c r="EE237" s="566">
        <f>WWWW[[#This Row],[%_of_complaints_received_that_result_in_timely_corrective_action_and_feedback_to_the_community]]*WWWW[[#This Row],[Total PoP ]]</f>
        <v>471</v>
      </c>
      <c r="EF23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471</v>
      </c>
      <c r="EG23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3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37" s="418" t="str">
        <f>VLOOKUP(WWWW[[#This Row],[Site Name]],SiteDB6[[Site Name]:[CCCM Management]],6,FALSE)</f>
        <v>Yes</v>
      </c>
      <c r="EJ237" s="418" t="str">
        <f>VLOOKUP(WWWW[[#This Row],[Site Name]],SiteDB6[[Site Name]:[CCCM Focal Agency]],7,FALSE)</f>
        <v>KBC-MYT</v>
      </c>
      <c r="EK237" s="418" t="str">
        <f>VLOOKUP(WWWW[[#This Row],[Site Name]],SiteDB6[[Site Name]:[Location Type 1]],9,FALSE)</f>
        <v>Camp</v>
      </c>
      <c r="EL237" s="418" t="str">
        <f>VLOOKUP(WWWW[[#This Row],[Site Name]],SiteDB6[[Site Name]:[Type of Accommodation]],10,FALSE)</f>
        <v>Camp</v>
      </c>
      <c r="EM237" s="418" t="str">
        <f>VLOOKUP(WWWW[[#This Row],[Site Name]],SiteDB6[[Site Name]:[Ethnic or GCA/NGCA]],11,FALSE)</f>
        <v>GCA</v>
      </c>
      <c r="EN237" s="418">
        <f>VLOOKUP(WWWW[[#This Row],[Site Name]],SiteDB6[[Site Name]:[Lat]],12,FALSE)</f>
        <v>25.611160000000002</v>
      </c>
      <c r="EO237" s="418">
        <f>VLOOKUP(WWWW[[#This Row],[Site Name]],SiteDB6[[Site Name]:[Long]],13,FALSE)</f>
        <v>96.312790000000007</v>
      </c>
      <c r="EP237" s="418" t="str">
        <f>VLOOKUP(WWWW[[#This Row],[Site Name]],SiteDB6[[Site Name]:[Pcode]],3,FALSE)</f>
        <v>MMR001CMP229</v>
      </c>
      <c r="EQ237" s="950" t="str">
        <f t="shared" si="4"/>
        <v>Covered</v>
      </c>
      <c r="ER237" s="950" t="s">
        <v>136</v>
      </c>
      <c r="ES237" s="950" t="s">
        <v>3263</v>
      </c>
      <c r="ET237" s="418">
        <f>VLOOKUP(WWWW[[#This Row],[Site Name]],SiteDB6[[Site Name]:[Pop
(Kachin/Shan-CCCM as of May 2023)]],16,FALSE)</f>
        <v>83</v>
      </c>
      <c r="EU237" s="418">
        <f>VLOOKUP(WWWW[[#This Row],[Site Name]],SiteDB6[[Site Name]:[Pop
(Kachin/Shan-CCCM as of May 2023)]],17,FALSE)</f>
        <v>413</v>
      </c>
    </row>
    <row r="238" spans="1:151">
      <c r="A238" s="946" t="s">
        <v>2962</v>
      </c>
      <c r="B238" s="946" t="s">
        <v>242</v>
      </c>
      <c r="C238" s="938" t="s">
        <v>242</v>
      </c>
      <c r="D238" s="938" t="s">
        <v>3184</v>
      </c>
      <c r="E238" s="938" t="s">
        <v>37</v>
      </c>
      <c r="F238" s="938" t="s">
        <v>148</v>
      </c>
      <c r="G238" s="902" t="str">
        <f>VLOOKUP(WWWW[[#This Row],[Site Name]],SiteDB6[[Site Name]:[Location Type]],8,FALSE)</f>
        <v>Camp</v>
      </c>
      <c r="H238" s="938" t="s">
        <v>243</v>
      </c>
      <c r="I238" s="441">
        <v>124</v>
      </c>
      <c r="J238" s="441">
        <v>634</v>
      </c>
      <c r="K238" s="948">
        <v>44927</v>
      </c>
      <c r="L238" s="949">
        <v>45382</v>
      </c>
      <c r="M238" s="441"/>
      <c r="N238" s="441"/>
      <c r="O238" s="441">
        <v>1</v>
      </c>
      <c r="P238" s="441"/>
      <c r="Q238" s="421" t="s">
        <v>41</v>
      </c>
      <c r="R238" s="441">
        <v>4</v>
      </c>
      <c r="S238" s="441">
        <v>6</v>
      </c>
      <c r="T238" s="441">
        <v>1</v>
      </c>
      <c r="U238" s="441"/>
      <c r="V238" s="441"/>
      <c r="W238" s="441">
        <v>1</v>
      </c>
      <c r="X238" s="441">
        <v>1</v>
      </c>
      <c r="Y238" s="441">
        <v>1</v>
      </c>
      <c r="Z238" s="441"/>
      <c r="AA238" s="441">
        <v>1</v>
      </c>
      <c r="AB238" s="441"/>
      <c r="AC238" s="441">
        <v>1</v>
      </c>
      <c r="AD238" s="441"/>
      <c r="AE238" s="441">
        <v>1</v>
      </c>
      <c r="AF238" s="441"/>
      <c r="AG238" s="441">
        <v>5</v>
      </c>
      <c r="AH238" s="441">
        <v>5</v>
      </c>
      <c r="AI238" s="441"/>
      <c r="AJ238" s="441"/>
      <c r="AK238" s="441"/>
      <c r="AL238" s="441"/>
      <c r="AM238" s="441">
        <v>2</v>
      </c>
      <c r="AN238" s="441"/>
      <c r="AO238" s="441"/>
      <c r="AP238" s="950"/>
      <c r="AQ238" s="441">
        <v>29</v>
      </c>
      <c r="AR238" s="441"/>
      <c r="AS238" s="416" t="s">
        <v>242</v>
      </c>
      <c r="AT238" s="441"/>
      <c r="AU238" s="441"/>
      <c r="AV238" s="441">
        <v>13</v>
      </c>
      <c r="AW238" s="441"/>
      <c r="AX238" s="441"/>
      <c r="AY238" s="418" t="s">
        <v>41</v>
      </c>
      <c r="AZ238" s="950" t="s">
        <v>137</v>
      </c>
      <c r="BA238" s="441"/>
      <c r="BB238" s="441"/>
      <c r="BC238" s="441"/>
      <c r="BD238" s="441"/>
      <c r="BE238" s="441">
        <v>6</v>
      </c>
      <c r="BF238" s="418"/>
      <c r="BG238" s="441">
        <v>7</v>
      </c>
      <c r="BH238" s="441">
        <v>4</v>
      </c>
      <c r="BI238" s="441"/>
      <c r="BJ238" s="441">
        <v>4</v>
      </c>
      <c r="BK238" s="441"/>
      <c r="BL238" s="441"/>
      <c r="BM238" s="441">
        <v>1</v>
      </c>
      <c r="BN238" s="441">
        <v>124</v>
      </c>
      <c r="BO238" s="441">
        <v>118</v>
      </c>
      <c r="BP238" s="418" t="s">
        <v>136</v>
      </c>
      <c r="BQ238" s="417">
        <v>1</v>
      </c>
      <c r="BR238" s="416">
        <v>0.8</v>
      </c>
      <c r="BS238" s="418" t="s">
        <v>3210</v>
      </c>
      <c r="BT238" s="416">
        <v>1</v>
      </c>
      <c r="BU238" s="416">
        <v>1</v>
      </c>
      <c r="BV238" s="418">
        <v>80</v>
      </c>
      <c r="BW238" s="416">
        <v>1</v>
      </c>
      <c r="BX238" s="441"/>
      <c r="BY238" s="441"/>
      <c r="BZ238" s="441"/>
      <c r="CA238" s="441"/>
      <c r="CB238" s="441"/>
      <c r="CC238" s="693"/>
      <c r="CD238" s="441"/>
      <c r="CE238" s="615" t="str">
        <f>IFERROR(WWWW[[#This Row],['#_Water sources passed]]/WWWW[[#This Row],['#_Water sources tested for fecal coliform ]],"no test")</f>
        <v>no test</v>
      </c>
      <c r="CF238" s="416" t="str">
        <f>IFERROR(WWWW[[#This Row],['#_Household passed]]/WWWW[[#This Row],['#_Household water samples tested for fecal coliform]],"no test")</f>
        <v>no test</v>
      </c>
      <c r="CG238" s="417" t="str">
        <f>IF(AND(WWWW[[#This Row],[% of water sources passed]]="no test",WWWW[[#This Row],[% Household passed]]="no test"),"No Test","Tested")</f>
        <v>No Test</v>
      </c>
      <c r="CH238" s="417">
        <f>WWWW[[#This Row],['#_Constructed/existing protected hand dug well]]-WWWW[[#This Row],['#_Non-functional protected hand dug well]]</f>
        <v>1</v>
      </c>
      <c r="CI238" s="417">
        <f>(WWWW[[#This Row],['#_Constructed/Existing tube wells/boreholes/handpumps_WASH_agency]]+WWWW[[#This Row],['#_Non-Cluster partner water tube-wells/boreholes/handpumps]])-WWWW[[#This Row],['#_Non-functional tube wells/boreholes/handpumps]]</f>
        <v>1</v>
      </c>
      <c r="CJ238" s="417">
        <f>WWWW[[#This Row],['#_Constructed/Existingwater storage tank with gravity fed reticulation system]]-WWWW[[#This Row],['#_Non-functional storage tank gravity fed reticulation system]]</f>
        <v>1</v>
      </c>
      <c r="CK238" s="417">
        <f>(WWWW[[#This Row],['#_Water_Liters_supplied_by_Water boating or water trucking]]/90)/15</f>
        <v>0</v>
      </c>
      <c r="CL238" s="417">
        <f>WWWW[[#This Row],['#_Water_Liters_from_Constructed/Existing water distribution system from river or natural spring]]/90/15</f>
        <v>0</v>
      </c>
      <c r="CM238" s="417">
        <f>IF(WWWW[[#This Row],['#_of water points in TLS/CFS]]*500&gt;WWWW[[#This Row],[Total PoP ]],WWWW[[#This Row],[Total PoP ]],WWWW[[#This Row],['#_of water points in TLS/CFS]]*500)</f>
        <v>0</v>
      </c>
      <c r="CN238" s="417">
        <f>IF(WWWW[[#This Row],['#_of water points in THF]]*500&gt;WWWW[[#This Row],[Total PoP ]],WWWW[[#This Row],[Total PoP ]],WWWW[[#This Row],['#_of water points in THF]]*500)</f>
        <v>0</v>
      </c>
      <c r="CO238" s="417"/>
      <c r="CP238"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38"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0.89379600420609884</v>
      </c>
      <c r="CR238" s="416">
        <f>IF(WWWW[[#This Row],[Location Type 1]]="Village",WWWW[[#This Row],[Access to safe drinking water for Village]],WWWW[[#This Row],[Access to safe drinking water for Camp]])</f>
        <v>1</v>
      </c>
      <c r="CS238" s="421">
        <f>WWWW[[#This Row],[%Equitable and continuous access to sufficient quantity of safe drinking water]]*WWWW[[#This Row],[Total PoP ]]</f>
        <v>634</v>
      </c>
      <c r="CT238" s="416">
        <f>IF((WWWW[[#This Row],['#_Constructed/Existing protected/fenced ponds]]*250)/WWWW[[#This Row],[Total PoP ]]&gt;1,1,(WWWW[[#This Row],['#_Constructed/Existing protected/fenced ponds]]*250)/WWWW[[#This Row],[Total PoP ]])</f>
        <v>0.39432176656151419</v>
      </c>
      <c r="CU238" s="421">
        <f>WWWW[[#This Row],[% Access to unimproved water points]]*WWWW[[#This Row],[Total PoP ]]</f>
        <v>250</v>
      </c>
      <c r="CV238"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38"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634</v>
      </c>
      <c r="CX238" s="421">
        <f>WWWW[[#This Row],[HRP1]]/500</f>
        <v>1.268</v>
      </c>
      <c r="CY238" s="951">
        <f>1-WWWW[[#This Row],[% Equitable and continuous access to sufficient quantity of domestic water]]</f>
        <v>0</v>
      </c>
      <c r="CZ238" s="421">
        <f>WWWW[[#This Row],[%equitable and continuous access to sufficient quantity of safe drinking and domestic water''s GAP]]*WWWW[[#This Row],[Total PoP ]]</f>
        <v>0</v>
      </c>
      <c r="DA238" s="417">
        <f>IF(WWWW[[#This Row],[Total required water points]]-WWWW[[#This Row],['#Water points coverage]]&lt;0,0,WWWW[[#This Row],[Total required water points]]-WWWW[[#This Row],['#Water points coverage]])</f>
        <v>0</v>
      </c>
      <c r="DB238" s="417">
        <f>ROUND(IF(WWWW[[#This Row],[Total PoP ]]&lt;500,1,WWWW[[#This Row],[Total PoP ]]/500),0)</f>
        <v>1</v>
      </c>
      <c r="DC238" s="417">
        <f>(WWWW[[#This Row],['#_Constructed latrines_by_WASHAgencies]]+WWWW[[#This Row],['#_Non Cluster partner latrines]])-WWWW[[#This Row],['#_Non-functional latrines]]</f>
        <v>29</v>
      </c>
      <c r="DD238" s="615">
        <f>WWWW[[#This Row],[HRP2]]/WWWW[[#This Row],[Total PoP ]]</f>
        <v>0.9242902208201893</v>
      </c>
      <c r="DE238"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586</v>
      </c>
      <c r="DF238"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260</v>
      </c>
      <c r="DG238"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38" s="417">
        <f>IF(WWWW[[#This Row],['# of functional latrines in THF supported by WASH partners during the reporting period2]]="",0,WWWW[[#This Row],['# of functional latrines in THF supported by WASH partners during the reporting period2]]*50)</f>
        <v>0</v>
      </c>
      <c r="DI238" s="417">
        <f>ROUND(IF(WWWW[[#This Row],[Location Type 1]]="camp",WWWW[[#This Row],[Total PoP ]]/20,IF(WWWW[[#This Row],[Location Type 1]]="Temporary Location",WWWW[[#This Row],[Total PoP ]]/50,(WWWW[[#This Row],[Total PoP ]]/6))),0)</f>
        <v>32</v>
      </c>
      <c r="DJ238" s="417">
        <f>IF(WWWW[[#This Row],[Total required Latrines]]-(WWWW[[#This Row],['#_Constructed latrines_by_WASHAgencies]]+WWWW[[#This Row],['#_Non Cluster partner latrines]])&lt;0,0,WWWW[[#This Row],[Total required Latrines]]-(WWWW[[#This Row],['#_Constructed latrines_by_WASHAgencies]]+WWWW[[#This Row],['#_Non Cluster partner latrines]]))</f>
        <v>3</v>
      </c>
      <c r="DK238" s="951">
        <f>1-WWWW[[#This Row],[% people access to functioning Latrine]]</f>
        <v>7.5709779179810699E-2</v>
      </c>
      <c r="DL238" s="615">
        <f>IF(OR(WWWW[[#This Row],['#_Non-functional latrines]]="",WWWW[[#This Row],['#_Non-functional latrines]]=0),0,WWWW[[#This Row],['#_Non-functional latrines]]/(WWWW[[#This Row],['#_Constructed latrines_by_WASHAgencies]]+WWWW[[#This Row],['#_Non Cluster partner latrines]]))</f>
        <v>0</v>
      </c>
      <c r="DM238" s="421">
        <f>IF(500*(WWWW[[#This Row],['#_male hygiene promoters]]+WWWW[[#This Row],['#_female hygiene promoters]])&gt;WWWW[[#This Row],[Total PoP ]],WWWW[[#This Row],[Total PoP ]],500*(WWWW[[#This Row],['#_male hygiene promoters]]+WWWW[[#This Row],['#_female hygiene promoters]]))</f>
        <v>500</v>
      </c>
      <c r="DN238"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634</v>
      </c>
      <c r="DO238"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118</v>
      </c>
      <c r="DP238" s="417">
        <f>IF(WWWW[[#This Row],['# People with access to soap]]&gt;WWWW[[#This Row],['# People with access to Sanity Pads]],WWWW[[#This Row],['# People with access to soap]],WWWW[[#This Row],['# People with access to Sanity Pads]])</f>
        <v>634</v>
      </c>
      <c r="DQ238" s="417">
        <f>IF(WWWW[[#This Row],['# people reached by regular dedicated hygiene promotion_5]]&gt;WWWW[[#This Row],['# People received regular supply of hygiene items_6]],WWWW[[#This Row],['# people reached by regular dedicated hygiene promotion_5]],WWWW[[#This Row],['# People received regular supply of hygiene items_6]])</f>
        <v>634</v>
      </c>
      <c r="DR238" s="951">
        <f>IF(WWWW[[#This Row],[HRP3]]/WWWW[[#This Row],[Total PoP ]]&gt;1,1,WWWW[[#This Row],[HRP3]]/WWWW[[#This Row],[Total PoP ]])</f>
        <v>1</v>
      </c>
      <c r="DS238" s="615">
        <f>1-WWWW[[#This Row],[Hygiene Coverage%]]</f>
        <v>0</v>
      </c>
      <c r="DT238" s="416">
        <f>WWWW[[#This Row],['# people reached by regular dedicated hygiene promotion_5]]/WWWW[[#This Row],[Total PoP ]]</f>
        <v>0.78864353312302837</v>
      </c>
      <c r="DU238"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38"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0.95161290322580649</v>
      </c>
      <c r="DW238" s="417">
        <f>WWWW[[#This Row],['#_Constructed/Existing hand washing stations]]-WWWW[[#This Row],['#_Non-Functional_hand_washing_stations]]</f>
        <v>3</v>
      </c>
      <c r="DX238" s="421">
        <f>IF(WWWW[[#This Row],['# Functional hand washing stations during reporting period]]*20&gt;WWWW[[#This Row],[Total HH]],WWWW[[#This Row],[Total HH]],WWWW[[#This Row],['# Functional hand washing stations during reporting period]]*20)</f>
        <v>60</v>
      </c>
      <c r="DY238" s="421">
        <f>IF(WWWW[[#This Row],[Is sufficient soap available for TLS? (Yes/No)]]="yes",WWWW[[#This Row],['#_Constructed/Existing hand washing stations at TLS/CFS/THF]],0)</f>
        <v>0</v>
      </c>
      <c r="DZ238" s="421">
        <f>IF(WWWW[[#This Row],['# Functional hand washing stations during reporting period]]*100&gt;WWWW[[#This Row],[Total PoP ]],WWWW[[#This Row],[Total PoP ]],WWWW[[#This Row],['# Functional hand washing stations during reporting period]]*100)</f>
        <v>300</v>
      </c>
      <c r="EA238" s="421" t="str">
        <f>IF(OR(WWWW[[#This Row],['#_students at TLS_CFS]]="",WWWW[[#This Row],['#_students at TLS_CFS]]=0),"No","Yes")</f>
        <v>No</v>
      </c>
      <c r="EB238" s="615">
        <f>IF(WWWW[[#This Row],['#_of_affected_people_surveyed_who_report_feeling_informed_about_the_different_WASH_services_available_to_them]]="","",WWWW[[#This Row],['#_of_affected_people_surveyed_who_report_feeling_informed_about_the_different_WASH_services_available_to_them]]/WWWW[[#This Row],[Total PoP ]])</f>
        <v>0.12618296529968454</v>
      </c>
      <c r="EC238" s="566">
        <f>WWWW[[#This Row],[%_of_affected_people_surveyed_who_report_feeling_satistfied_with_the_latrine_design_and_sanitation_service]]*WWWW[[#This Row],[Total PoP ]]</f>
        <v>634</v>
      </c>
      <c r="ED238" s="566">
        <f>WWWW[[#This Row],[%_of_affected_people_surveyed_who_report_feeling_satistfied_with_the_water_point_design_and_water_service]]*WWWW[[#This Row],[Total PoP ]]</f>
        <v>634</v>
      </c>
      <c r="EE238" s="566">
        <f>WWWW[[#This Row],[%_of_complaints_received_that_result_in_timely_corrective_action_and_feedback_to_the_community]]*WWWW[[#This Row],[Total PoP ]]</f>
        <v>634</v>
      </c>
      <c r="EF23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634</v>
      </c>
      <c r="EG23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3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38" s="418" t="str">
        <f>VLOOKUP(WWWW[[#This Row],[Site Name]],SiteDB6[[Site Name]:[CCCM Management]],6,FALSE)</f>
        <v>Yes</v>
      </c>
      <c r="EJ238" s="418" t="str">
        <f>VLOOKUP(WWWW[[#This Row],[Site Name]],SiteDB6[[Site Name]:[CCCM Focal Agency]],7,FALSE)</f>
        <v>KBC-MYT</v>
      </c>
      <c r="EK238" s="418" t="str">
        <f>VLOOKUP(WWWW[[#This Row],[Site Name]],SiteDB6[[Site Name]:[Location Type 1]],9,FALSE)</f>
        <v>Camp</v>
      </c>
      <c r="EL238" s="418" t="str">
        <f>VLOOKUP(WWWW[[#This Row],[Site Name]],SiteDB6[[Site Name]:[Type of Accommodation]],10,FALSE)</f>
        <v>camp</v>
      </c>
      <c r="EM238" s="418" t="str">
        <f>VLOOKUP(WWWW[[#This Row],[Site Name]],SiteDB6[[Site Name]:[Ethnic or GCA/NGCA]],11,FALSE)</f>
        <v>GCA</v>
      </c>
      <c r="EN238" s="418">
        <f>VLOOKUP(WWWW[[#This Row],[Site Name]],SiteDB6[[Site Name]:[Lat]],12,FALSE)</f>
        <v>25.664000000000001</v>
      </c>
      <c r="EO238" s="418">
        <f>VLOOKUP(WWWW[[#This Row],[Site Name]],SiteDB6[[Site Name]:[Long]],13,FALSE)</f>
        <v>96.34</v>
      </c>
      <c r="EP238" s="418" t="str">
        <f>VLOOKUP(WWWW[[#This Row],[Site Name]],SiteDB6[[Site Name]:[Pcode]],3,FALSE)</f>
        <v>MMR001CMP250</v>
      </c>
      <c r="EQ238" s="950" t="str">
        <f t="shared" si="4"/>
        <v>Covered</v>
      </c>
      <c r="ER238" s="950" t="s">
        <v>136</v>
      </c>
      <c r="ES238" s="950" t="s">
        <v>3263</v>
      </c>
      <c r="ET238" s="418">
        <f>VLOOKUP(WWWW[[#This Row],[Site Name]],SiteDB6[[Site Name]:[Pop
(Kachin/Shan-CCCM as of May 2023)]],16,FALSE)</f>
        <v>122</v>
      </c>
      <c r="EU238" s="418">
        <f>VLOOKUP(WWWW[[#This Row],[Site Name]],SiteDB6[[Site Name]:[Pop
(Kachin/Shan-CCCM as of May 2023)]],17,FALSE)</f>
        <v>630</v>
      </c>
    </row>
    <row r="239" spans="1:151">
      <c r="A239" s="946" t="s">
        <v>2962</v>
      </c>
      <c r="B239" s="946" t="s">
        <v>242</v>
      </c>
      <c r="C239" s="938" t="s">
        <v>242</v>
      </c>
      <c r="D239" s="938" t="s">
        <v>3184</v>
      </c>
      <c r="E239" s="938" t="s">
        <v>37</v>
      </c>
      <c r="F239" s="938" t="s">
        <v>148</v>
      </c>
      <c r="G239" s="902" t="str">
        <f>VLOOKUP(WWWW[[#This Row],[Site Name]],SiteDB6[[Site Name]:[Location Type]],8,FALSE)</f>
        <v>Camp</v>
      </c>
      <c r="H239" s="938" t="s">
        <v>255</v>
      </c>
      <c r="I239" s="441">
        <v>19</v>
      </c>
      <c r="J239" s="441">
        <v>107</v>
      </c>
      <c r="K239" s="948">
        <v>44927</v>
      </c>
      <c r="L239" s="949">
        <v>45382</v>
      </c>
      <c r="M239" s="441"/>
      <c r="N239" s="441"/>
      <c r="O239" s="441">
        <v>1</v>
      </c>
      <c r="P239" s="441"/>
      <c r="Q239" s="421" t="s">
        <v>136</v>
      </c>
      <c r="R239" s="441">
        <v>3</v>
      </c>
      <c r="S239" s="441">
        <v>2</v>
      </c>
      <c r="T239" s="441">
        <v>1</v>
      </c>
      <c r="U239" s="441"/>
      <c r="V239" s="441"/>
      <c r="W239" s="441"/>
      <c r="X239" s="441"/>
      <c r="Y239" s="441"/>
      <c r="Z239" s="441"/>
      <c r="AA239" s="441"/>
      <c r="AB239" s="441"/>
      <c r="AC239" s="441"/>
      <c r="AD239" s="441"/>
      <c r="AE239" s="441"/>
      <c r="AF239" s="441"/>
      <c r="AG239" s="441"/>
      <c r="AH239" s="441">
        <v>1</v>
      </c>
      <c r="AI239" s="441">
        <v>1</v>
      </c>
      <c r="AJ239" s="441">
        <v>1</v>
      </c>
      <c r="AK239" s="441">
        <v>1</v>
      </c>
      <c r="AL239" s="441"/>
      <c r="AM239" s="441"/>
      <c r="AN239" s="441"/>
      <c r="AO239" s="441"/>
      <c r="AP239" s="950"/>
      <c r="AQ239" s="441">
        <v>8</v>
      </c>
      <c r="AR239" s="441"/>
      <c r="AS239" s="416" t="s">
        <v>242</v>
      </c>
      <c r="AT239" s="441"/>
      <c r="AU239" s="441"/>
      <c r="AV239" s="441"/>
      <c r="AW239" s="441"/>
      <c r="AX239" s="441"/>
      <c r="AY239" s="418" t="s">
        <v>41</v>
      </c>
      <c r="AZ239" s="950" t="s">
        <v>137</v>
      </c>
      <c r="BA239" s="441"/>
      <c r="BB239" s="441"/>
      <c r="BC239" s="441"/>
      <c r="BD239" s="441"/>
      <c r="BE239" s="441"/>
      <c r="BF239" s="418"/>
      <c r="BG239" s="441">
        <v>2</v>
      </c>
      <c r="BH239" s="441">
        <v>2</v>
      </c>
      <c r="BI239" s="441"/>
      <c r="BJ239" s="441">
        <v>2</v>
      </c>
      <c r="BK239" s="441"/>
      <c r="BL239" s="441">
        <v>1</v>
      </c>
      <c r="BM239" s="441"/>
      <c r="BN239" s="441">
        <v>19</v>
      </c>
      <c r="BO239" s="441">
        <v>29</v>
      </c>
      <c r="BP239" s="418" t="s">
        <v>136</v>
      </c>
      <c r="BQ239" s="417"/>
      <c r="BR239" s="416">
        <v>0.65</v>
      </c>
      <c r="BS239" s="418"/>
      <c r="BT239" s="416">
        <v>0.8</v>
      </c>
      <c r="BU239" s="416">
        <v>0.85</v>
      </c>
      <c r="BV239" s="418"/>
      <c r="BW239" s="416">
        <v>1</v>
      </c>
      <c r="BX239" s="441"/>
      <c r="BY239" s="441"/>
      <c r="BZ239" s="441"/>
      <c r="CA239" s="441"/>
      <c r="CB239" s="441"/>
      <c r="CC239" s="693"/>
      <c r="CD239" s="441"/>
      <c r="CE239" s="615">
        <f>IFERROR(WWWW[[#This Row],['#_Water sources passed]]/WWWW[[#This Row],['#_Water sources tested for fecal coliform ]],"no test")</f>
        <v>1</v>
      </c>
      <c r="CF239" s="416">
        <f>IFERROR(WWWW[[#This Row],['#_Household passed]]/WWWW[[#This Row],['#_Household water samples tested for fecal coliform]],"no test")</f>
        <v>0</v>
      </c>
      <c r="CG239" s="417" t="str">
        <f>IF(AND(WWWW[[#This Row],[% of water sources passed]]="no test",WWWW[[#This Row],[% Household passed]]="no test"),"No Test","Tested")</f>
        <v>Tested</v>
      </c>
      <c r="CH239" s="417">
        <f>WWWW[[#This Row],['#_Constructed/existing protected hand dug well]]-WWWW[[#This Row],['#_Non-functional protected hand dug well]]</f>
        <v>1</v>
      </c>
      <c r="CI239" s="417">
        <f>(WWWW[[#This Row],['#_Constructed/Existing tube wells/boreholes/handpumps_WASH_agency]]+WWWW[[#This Row],['#_Non-Cluster partner water tube-wells/boreholes/handpumps]])-WWWW[[#This Row],['#_Non-functional tube wells/boreholes/handpumps]]</f>
        <v>0</v>
      </c>
      <c r="CJ239" s="417">
        <f>WWWW[[#This Row],['#_Constructed/Existingwater storage tank with gravity fed reticulation system]]-WWWW[[#This Row],['#_Non-functional storage tank gravity fed reticulation system]]</f>
        <v>0</v>
      </c>
      <c r="CK239" s="417">
        <f>(WWWW[[#This Row],['#_Water_Liters_supplied_by_Water boating or water trucking]]/90)/15</f>
        <v>0</v>
      </c>
      <c r="CL239" s="417">
        <f>WWWW[[#This Row],['#_Water_Liters_from_Constructed/Existing water distribution system from river or natural spring]]/90/15</f>
        <v>0</v>
      </c>
      <c r="CM239" s="417">
        <f>IF(WWWW[[#This Row],['#_of water points in TLS/CFS]]*500&gt;WWWW[[#This Row],[Total PoP ]],WWWW[[#This Row],[Total PoP ]],WWWW[[#This Row],['#_of water points in TLS/CFS]]*500)</f>
        <v>0</v>
      </c>
      <c r="CN239" s="417">
        <f>IF(WWWW[[#This Row],['#_of water points in THF]]*500&gt;WWWW[[#This Row],[Total PoP ]],WWWW[[#This Row],[Total PoP ]],WWWW[[#This Row],['#_of water points in THF]]*500)</f>
        <v>0</v>
      </c>
      <c r="CO239" s="417"/>
      <c r="CP239"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39"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39" s="416">
        <f>IF(WWWW[[#This Row],[Location Type 1]]="Village",WWWW[[#This Row],[Access to safe drinking water for Village]],WWWW[[#This Row],[Access to safe drinking water for Camp]])</f>
        <v>1</v>
      </c>
      <c r="CS239" s="421">
        <f>WWWW[[#This Row],[%Equitable and continuous access to sufficient quantity of safe drinking water]]*WWWW[[#This Row],[Total PoP ]]</f>
        <v>107</v>
      </c>
      <c r="CT239" s="416">
        <f>IF((WWWW[[#This Row],['#_Constructed/Existing protected/fenced ponds]]*250)/WWWW[[#This Row],[Total PoP ]]&gt;1,1,(WWWW[[#This Row],['#_Constructed/Existing protected/fenced ponds]]*250)/WWWW[[#This Row],[Total PoP ]])</f>
        <v>0</v>
      </c>
      <c r="CU239" s="421">
        <f>WWWW[[#This Row],[% Access to unimproved water points]]*WWWW[[#This Row],[Total PoP ]]</f>
        <v>0</v>
      </c>
      <c r="CV239"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39"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107</v>
      </c>
      <c r="CX239" s="421">
        <f>WWWW[[#This Row],[HRP1]]/500</f>
        <v>0.214</v>
      </c>
      <c r="CY239" s="951">
        <f>1-WWWW[[#This Row],[% Equitable and continuous access to sufficient quantity of domestic water]]</f>
        <v>0</v>
      </c>
      <c r="CZ239" s="421">
        <f>WWWW[[#This Row],[%equitable and continuous access to sufficient quantity of safe drinking and domestic water''s GAP]]*WWWW[[#This Row],[Total PoP ]]</f>
        <v>0</v>
      </c>
      <c r="DA239" s="417">
        <f>IF(WWWW[[#This Row],[Total required water points]]-WWWW[[#This Row],['#Water points coverage]]&lt;0,0,WWWW[[#This Row],[Total required water points]]-WWWW[[#This Row],['#Water points coverage]])</f>
        <v>0.78600000000000003</v>
      </c>
      <c r="DB239" s="417">
        <f>ROUND(IF(WWWW[[#This Row],[Total PoP ]]&lt;500,1,WWWW[[#This Row],[Total PoP ]]/500),0)</f>
        <v>1</v>
      </c>
      <c r="DC239" s="417">
        <f>(WWWW[[#This Row],['#_Constructed latrines_by_WASHAgencies]]+WWWW[[#This Row],['#_Non Cluster partner latrines]])-WWWW[[#This Row],['#_Non-functional latrines]]</f>
        <v>8</v>
      </c>
      <c r="DD239" s="615">
        <f>WWWW[[#This Row],[HRP2]]/WWWW[[#This Row],[Total PoP ]]</f>
        <v>1</v>
      </c>
      <c r="DE239"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107</v>
      </c>
      <c r="DF239"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39"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39" s="417">
        <f>IF(WWWW[[#This Row],['# of functional latrines in THF supported by WASH partners during the reporting period2]]="",0,WWWW[[#This Row],['# of functional latrines in THF supported by WASH partners during the reporting period2]]*50)</f>
        <v>0</v>
      </c>
      <c r="DI239" s="417">
        <f>ROUND(IF(WWWW[[#This Row],[Location Type 1]]="camp",WWWW[[#This Row],[Total PoP ]]/20,IF(WWWW[[#This Row],[Location Type 1]]="Temporary Location",WWWW[[#This Row],[Total PoP ]]/50,(WWWW[[#This Row],[Total PoP ]]/6))),0)</f>
        <v>5</v>
      </c>
      <c r="DJ239" s="417">
        <f>IF(WWWW[[#This Row],[Total required Latrines]]-(WWWW[[#This Row],['#_Constructed latrines_by_WASHAgencies]]+WWWW[[#This Row],['#_Non Cluster partner latrines]])&lt;0,0,WWWW[[#This Row],[Total required Latrines]]-(WWWW[[#This Row],['#_Constructed latrines_by_WASHAgencies]]+WWWW[[#This Row],['#_Non Cluster partner latrines]]))</f>
        <v>0</v>
      </c>
      <c r="DK239" s="951">
        <f>1-WWWW[[#This Row],[% people access to functioning Latrine]]</f>
        <v>0</v>
      </c>
      <c r="DL239" s="615">
        <f>IF(OR(WWWW[[#This Row],['#_Non-functional latrines]]="",WWWW[[#This Row],['#_Non-functional latrines]]=0),0,WWWW[[#This Row],['#_Non-functional latrines]]/(WWWW[[#This Row],['#_Constructed latrines_by_WASHAgencies]]+WWWW[[#This Row],['#_Non Cluster partner latrines]]))</f>
        <v>0</v>
      </c>
      <c r="DM239" s="421">
        <f>IF(500*(WWWW[[#This Row],['#_male hygiene promoters]]+WWWW[[#This Row],['#_female hygiene promoters]])&gt;WWWW[[#This Row],[Total PoP ]],WWWW[[#This Row],[Total PoP ]],500*(WWWW[[#This Row],['#_male hygiene promoters]]+WWWW[[#This Row],['#_female hygiene promoters]]))</f>
        <v>107</v>
      </c>
      <c r="DN239"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107</v>
      </c>
      <c r="DO239"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29</v>
      </c>
      <c r="DP239" s="417">
        <f>IF(WWWW[[#This Row],['# People with access to soap]]&gt;WWWW[[#This Row],['# People with access to Sanity Pads]],WWWW[[#This Row],['# People with access to soap]],WWWW[[#This Row],['# People with access to Sanity Pads]])</f>
        <v>107</v>
      </c>
      <c r="DQ239" s="417">
        <f>IF(WWWW[[#This Row],['# people reached by regular dedicated hygiene promotion_5]]&gt;WWWW[[#This Row],['# People received regular supply of hygiene items_6]],WWWW[[#This Row],['# people reached by regular dedicated hygiene promotion_5]],WWWW[[#This Row],['# People received regular supply of hygiene items_6]])</f>
        <v>107</v>
      </c>
      <c r="DR239" s="951">
        <f>IF(WWWW[[#This Row],[HRP3]]/WWWW[[#This Row],[Total PoP ]]&gt;1,1,WWWW[[#This Row],[HRP3]]/WWWW[[#This Row],[Total PoP ]])</f>
        <v>1</v>
      </c>
      <c r="DS239" s="615">
        <f>1-WWWW[[#This Row],[Hygiene Coverage%]]</f>
        <v>0</v>
      </c>
      <c r="DT239" s="416">
        <f>WWWW[[#This Row],['# people reached by regular dedicated hygiene promotion_5]]/WWWW[[#This Row],[Total PoP ]]</f>
        <v>1</v>
      </c>
      <c r="DU239"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39"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239" s="417">
        <f>WWWW[[#This Row],['#_Constructed/Existing hand washing stations]]-WWWW[[#This Row],['#_Non-Functional_hand_washing_stations]]</f>
        <v>0</v>
      </c>
      <c r="DX239" s="421">
        <f>IF(WWWW[[#This Row],['# Functional hand washing stations during reporting period]]*20&gt;WWWW[[#This Row],[Total HH]],WWWW[[#This Row],[Total HH]],WWWW[[#This Row],['# Functional hand washing stations during reporting period]]*20)</f>
        <v>0</v>
      </c>
      <c r="DY239" s="421">
        <f>IF(WWWW[[#This Row],[Is sufficient soap available for TLS? (Yes/No)]]="yes",WWWW[[#This Row],['#_Constructed/Existing hand washing stations at TLS/CFS/THF]],0)</f>
        <v>0</v>
      </c>
      <c r="DZ239" s="421">
        <f>IF(WWWW[[#This Row],['# Functional hand washing stations during reporting period]]*100&gt;WWWW[[#This Row],[Total PoP ]],WWWW[[#This Row],[Total PoP ]],WWWW[[#This Row],['# Functional hand washing stations during reporting period]]*100)</f>
        <v>0</v>
      </c>
      <c r="EA239" s="421" t="str">
        <f>IF(OR(WWWW[[#This Row],['#_students at TLS_CFS]]="",WWWW[[#This Row],['#_students at TLS_CFS]]=0),"No","Yes")</f>
        <v>No</v>
      </c>
      <c r="EB23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39" s="566">
        <f>WWWW[[#This Row],[%_of_affected_people_surveyed_who_report_feeling_satistfied_with_the_latrine_design_and_sanitation_service]]*WWWW[[#This Row],[Total PoP ]]</f>
        <v>85.600000000000009</v>
      </c>
      <c r="ED239" s="566">
        <f>WWWW[[#This Row],[%_of_affected_people_surveyed_who_report_feeling_satistfied_with_the_water_point_design_and_water_service]]*WWWW[[#This Row],[Total PoP ]]</f>
        <v>90.95</v>
      </c>
      <c r="EE239" s="566">
        <f>WWWW[[#This Row],[%_of_complaints_received_that_result_in_timely_corrective_action_and_feedback_to_the_community]]*WWWW[[#This Row],[Total PoP ]]</f>
        <v>107</v>
      </c>
      <c r="EF23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107</v>
      </c>
      <c r="EG23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3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39" s="418" t="str">
        <f>VLOOKUP(WWWW[[#This Row],[Site Name]],SiteDB6[[Site Name]:[CCCM Management]],6,FALSE)</f>
        <v>Yes</v>
      </c>
      <c r="EJ239" s="418" t="str">
        <f>VLOOKUP(WWWW[[#This Row],[Site Name]],SiteDB6[[Site Name]:[CCCM Focal Agency]],7,FALSE)</f>
        <v>Shalom</v>
      </c>
      <c r="EK239" s="418" t="str">
        <f>VLOOKUP(WWWW[[#This Row],[Site Name]],SiteDB6[[Site Name]:[Location Type 1]],9,FALSE)</f>
        <v>Camp</v>
      </c>
      <c r="EL239" s="418" t="str">
        <f>VLOOKUP(WWWW[[#This Row],[Site Name]],SiteDB6[[Site Name]:[Type of Accommodation]],10,FALSE)</f>
        <v>Camp</v>
      </c>
      <c r="EM239" s="418" t="str">
        <f>VLOOKUP(WWWW[[#This Row],[Site Name]],SiteDB6[[Site Name]:[Ethnic or GCA/NGCA]],11,FALSE)</f>
        <v>GCA</v>
      </c>
      <c r="EN239" s="418">
        <f>VLOOKUP(WWWW[[#This Row],[Site Name]],SiteDB6[[Site Name]:[Lat]],12,FALSE)</f>
        <v>25.566510000000001</v>
      </c>
      <c r="EO239" s="418">
        <f>VLOOKUP(WWWW[[#This Row],[Site Name]],SiteDB6[[Site Name]:[Long]],13,FALSE)</f>
        <v>96.269199999999998</v>
      </c>
      <c r="EP239" s="418" t="str">
        <f>VLOOKUP(WWWW[[#This Row],[Site Name]],SiteDB6[[Site Name]:[Pcode]],3,FALSE)</f>
        <v>MMR001CMP181</v>
      </c>
      <c r="EQ239" s="950" t="str">
        <f t="shared" si="4"/>
        <v>Covered</v>
      </c>
      <c r="ER239" s="950" t="s">
        <v>136</v>
      </c>
      <c r="ES239" s="950" t="s">
        <v>3263</v>
      </c>
      <c r="ET239" s="418">
        <f>VLOOKUP(WWWW[[#This Row],[Site Name]],SiteDB6[[Site Name]:[Pop
(Kachin/Shan-CCCM as of May 2023)]],16,FALSE)</f>
        <v>19</v>
      </c>
      <c r="EU239" s="418">
        <f>VLOOKUP(WWWW[[#This Row],[Site Name]],SiteDB6[[Site Name]:[Pop
(Kachin/Shan-CCCM as of May 2023)]],17,FALSE)</f>
        <v>108</v>
      </c>
    </row>
    <row r="240" spans="1:151">
      <c r="A240" s="946" t="s">
        <v>2962</v>
      </c>
      <c r="B240" s="946" t="s">
        <v>242</v>
      </c>
      <c r="C240" s="938" t="s">
        <v>242</v>
      </c>
      <c r="D240" s="938" t="s">
        <v>3184</v>
      </c>
      <c r="E240" s="938" t="s">
        <v>37</v>
      </c>
      <c r="F240" s="938" t="s">
        <v>148</v>
      </c>
      <c r="G240" s="902" t="str">
        <f>VLOOKUP(WWWW[[#This Row],[Site Name]],SiteDB6[[Site Name]:[Location Type]],8,FALSE)</f>
        <v>Camp</v>
      </c>
      <c r="H240" s="938" t="s">
        <v>256</v>
      </c>
      <c r="I240" s="441">
        <v>10</v>
      </c>
      <c r="J240" s="441">
        <v>56</v>
      </c>
      <c r="K240" s="948">
        <v>44927</v>
      </c>
      <c r="L240" s="949">
        <v>45382</v>
      </c>
      <c r="M240" s="441">
        <v>18</v>
      </c>
      <c r="N240" s="441"/>
      <c r="O240" s="441">
        <v>1</v>
      </c>
      <c r="P240" s="441"/>
      <c r="Q240" s="421" t="s">
        <v>41</v>
      </c>
      <c r="R240" s="441">
        <v>3</v>
      </c>
      <c r="S240" s="441">
        <v>4</v>
      </c>
      <c r="T240" s="441">
        <v>1</v>
      </c>
      <c r="U240" s="441"/>
      <c r="V240" s="441"/>
      <c r="W240" s="441">
        <v>1</v>
      </c>
      <c r="X240" s="441"/>
      <c r="Y240" s="441"/>
      <c r="Z240" s="441"/>
      <c r="AA240" s="441"/>
      <c r="AB240" s="441"/>
      <c r="AC240" s="441"/>
      <c r="AD240" s="441"/>
      <c r="AE240" s="441"/>
      <c r="AF240" s="441"/>
      <c r="AG240" s="441">
        <v>1</v>
      </c>
      <c r="AH240" s="441">
        <v>1</v>
      </c>
      <c r="AI240" s="441">
        <v>1</v>
      </c>
      <c r="AJ240" s="441">
        <v>1</v>
      </c>
      <c r="AK240" s="441"/>
      <c r="AL240" s="441"/>
      <c r="AM240" s="441"/>
      <c r="AN240" s="441"/>
      <c r="AO240" s="441"/>
      <c r="AP240" s="950" t="s">
        <v>3208</v>
      </c>
      <c r="AQ240" s="441">
        <v>2</v>
      </c>
      <c r="AR240" s="441"/>
      <c r="AS240" s="416" t="s">
        <v>242</v>
      </c>
      <c r="AT240" s="441"/>
      <c r="AU240" s="441"/>
      <c r="AV240" s="441"/>
      <c r="AW240" s="441"/>
      <c r="AX240" s="441"/>
      <c r="AY240" s="418" t="s">
        <v>41</v>
      </c>
      <c r="AZ240" s="950" t="s">
        <v>137</v>
      </c>
      <c r="BA240" s="441"/>
      <c r="BB240" s="441"/>
      <c r="BC240" s="441"/>
      <c r="BD240" s="441"/>
      <c r="BE240" s="441"/>
      <c r="BF240" s="418"/>
      <c r="BG240" s="441">
        <v>3</v>
      </c>
      <c r="BH240" s="441"/>
      <c r="BI240" s="441"/>
      <c r="BJ240" s="441">
        <v>2</v>
      </c>
      <c r="BK240" s="441">
        <v>2</v>
      </c>
      <c r="BL240" s="441"/>
      <c r="BM240" s="441">
        <v>1</v>
      </c>
      <c r="BN240" s="441">
        <v>10</v>
      </c>
      <c r="BO240" s="441">
        <v>11</v>
      </c>
      <c r="BP240" s="418"/>
      <c r="BQ240" s="417">
        <v>3</v>
      </c>
      <c r="BR240" s="416">
        <v>0.15</v>
      </c>
      <c r="BS240" s="418" t="s">
        <v>3211</v>
      </c>
      <c r="BT240" s="416">
        <v>0.75</v>
      </c>
      <c r="BU240" s="416">
        <v>0.89</v>
      </c>
      <c r="BV240" s="418"/>
      <c r="BW240" s="416">
        <v>0.75</v>
      </c>
      <c r="BX240" s="441"/>
      <c r="BY240" s="441"/>
      <c r="BZ240" s="441"/>
      <c r="CA240" s="441"/>
      <c r="CB240" s="441"/>
      <c r="CC240" s="693"/>
      <c r="CD240" s="441"/>
      <c r="CE240" s="615">
        <f>IFERROR(WWWW[[#This Row],['#_Water sources passed]]/WWWW[[#This Row],['#_Water sources tested for fecal coliform ]],"no test")</f>
        <v>1</v>
      </c>
      <c r="CF240" s="416" t="str">
        <f>IFERROR(WWWW[[#This Row],['#_Household passed]]/WWWW[[#This Row],['#_Household water samples tested for fecal coliform]],"no test")</f>
        <v>no test</v>
      </c>
      <c r="CG240" s="417" t="str">
        <f>IF(AND(WWWW[[#This Row],[% of water sources passed]]="no test",WWWW[[#This Row],[% Household passed]]="no test"),"No Test","Tested")</f>
        <v>Tested</v>
      </c>
      <c r="CH240" s="417">
        <f>WWWW[[#This Row],['#_Constructed/existing protected hand dug well]]-WWWW[[#This Row],['#_Non-functional protected hand dug well]]</f>
        <v>1</v>
      </c>
      <c r="CI240" s="417">
        <f>(WWWW[[#This Row],['#_Constructed/Existing tube wells/boreholes/handpumps_WASH_agency]]+WWWW[[#This Row],['#_Non-Cluster partner water tube-wells/boreholes/handpumps]])-WWWW[[#This Row],['#_Non-functional tube wells/boreholes/handpumps]]</f>
        <v>1</v>
      </c>
      <c r="CJ240" s="417">
        <f>WWWW[[#This Row],['#_Constructed/Existingwater storage tank with gravity fed reticulation system]]-WWWW[[#This Row],['#_Non-functional storage tank gravity fed reticulation system]]</f>
        <v>0</v>
      </c>
      <c r="CK240" s="417">
        <f>(WWWW[[#This Row],['#_Water_Liters_supplied_by_Water boating or water trucking]]/90)/15</f>
        <v>0</v>
      </c>
      <c r="CL240" s="417">
        <f>WWWW[[#This Row],['#_Water_Liters_from_Constructed/Existing water distribution system from river or natural spring]]/90/15</f>
        <v>0</v>
      </c>
      <c r="CM240" s="417">
        <f>IF(WWWW[[#This Row],['#_of water points in TLS/CFS]]*500&gt;WWWW[[#This Row],[Total PoP ]],WWWW[[#This Row],[Total PoP ]],WWWW[[#This Row],['#_of water points in TLS/CFS]]*500)</f>
        <v>0</v>
      </c>
      <c r="CN240" s="417">
        <f>IF(WWWW[[#This Row],['#_of water points in THF]]*500&gt;WWWW[[#This Row],[Total PoP ]],WWWW[[#This Row],[Total PoP ]],WWWW[[#This Row],['#_of water points in THF]]*500)</f>
        <v>0</v>
      </c>
      <c r="CO240" s="417"/>
      <c r="CP240"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40"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40" s="416">
        <f>IF(WWWW[[#This Row],[Location Type 1]]="Village",WWWW[[#This Row],[Access to safe drinking water for Village]],WWWW[[#This Row],[Access to safe drinking water for Camp]])</f>
        <v>1</v>
      </c>
      <c r="CS240" s="421">
        <f>WWWW[[#This Row],[%Equitable and continuous access to sufficient quantity of safe drinking water]]*WWWW[[#This Row],[Total PoP ]]</f>
        <v>56</v>
      </c>
      <c r="CT240" s="416">
        <f>IF((WWWW[[#This Row],['#_Constructed/Existing protected/fenced ponds]]*250)/WWWW[[#This Row],[Total PoP ]]&gt;1,1,(WWWW[[#This Row],['#_Constructed/Existing protected/fenced ponds]]*250)/WWWW[[#This Row],[Total PoP ]])</f>
        <v>0</v>
      </c>
      <c r="CU240" s="421">
        <f>WWWW[[#This Row],[% Access to unimproved water points]]*WWWW[[#This Row],[Total PoP ]]</f>
        <v>0</v>
      </c>
      <c r="CV240"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40"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56</v>
      </c>
      <c r="CX240" s="421">
        <f>WWWW[[#This Row],[HRP1]]/500</f>
        <v>0.112</v>
      </c>
      <c r="CY240" s="951">
        <f>1-WWWW[[#This Row],[% Equitable and continuous access to sufficient quantity of domestic water]]</f>
        <v>0</v>
      </c>
      <c r="CZ240" s="421">
        <f>WWWW[[#This Row],[%equitable and continuous access to sufficient quantity of safe drinking and domestic water''s GAP]]*WWWW[[#This Row],[Total PoP ]]</f>
        <v>0</v>
      </c>
      <c r="DA240" s="417">
        <f>IF(WWWW[[#This Row],[Total required water points]]-WWWW[[#This Row],['#Water points coverage]]&lt;0,0,WWWW[[#This Row],[Total required water points]]-WWWW[[#This Row],['#Water points coverage]])</f>
        <v>0.88800000000000001</v>
      </c>
      <c r="DB240" s="417">
        <f>ROUND(IF(WWWW[[#This Row],[Total PoP ]]&lt;500,1,WWWW[[#This Row],[Total PoP ]]/500),0)</f>
        <v>1</v>
      </c>
      <c r="DC240" s="417">
        <f>(WWWW[[#This Row],['#_Constructed latrines_by_WASHAgencies]]+WWWW[[#This Row],['#_Non Cluster partner latrines]])-WWWW[[#This Row],['#_Non-functional latrines]]</f>
        <v>2</v>
      </c>
      <c r="DD240" s="615">
        <f>WWWW[[#This Row],[HRP2]]/WWWW[[#This Row],[Total PoP ]]</f>
        <v>0.7142857142857143</v>
      </c>
      <c r="DE240"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240"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40"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40" s="417">
        <f>IF(WWWW[[#This Row],['# of functional latrines in THF supported by WASH partners during the reporting period2]]="",0,WWWW[[#This Row],['# of functional latrines in THF supported by WASH partners during the reporting period2]]*50)</f>
        <v>0</v>
      </c>
      <c r="DI240" s="417">
        <f>ROUND(IF(WWWW[[#This Row],[Location Type 1]]="camp",WWWW[[#This Row],[Total PoP ]]/20,IF(WWWW[[#This Row],[Location Type 1]]="Temporary Location",WWWW[[#This Row],[Total PoP ]]/50,(WWWW[[#This Row],[Total PoP ]]/6))),0)</f>
        <v>3</v>
      </c>
      <c r="DJ240" s="417">
        <f>IF(WWWW[[#This Row],[Total required Latrines]]-(WWWW[[#This Row],['#_Constructed latrines_by_WASHAgencies]]+WWWW[[#This Row],['#_Non Cluster partner latrines]])&lt;0,0,WWWW[[#This Row],[Total required Latrines]]-(WWWW[[#This Row],['#_Constructed latrines_by_WASHAgencies]]+WWWW[[#This Row],['#_Non Cluster partner latrines]]))</f>
        <v>1</v>
      </c>
      <c r="DK240" s="951">
        <f>1-WWWW[[#This Row],[% people access to functioning Latrine]]</f>
        <v>0.2857142857142857</v>
      </c>
      <c r="DL240" s="615">
        <f>IF(OR(WWWW[[#This Row],['#_Non-functional latrines]]="",WWWW[[#This Row],['#_Non-functional latrines]]=0),0,WWWW[[#This Row],['#_Non-functional latrines]]/(WWWW[[#This Row],['#_Constructed latrines_by_WASHAgencies]]+WWWW[[#This Row],['#_Non Cluster partner latrines]]))</f>
        <v>0</v>
      </c>
      <c r="DM240" s="421">
        <f>IF(500*(WWWW[[#This Row],['#_male hygiene promoters]]+WWWW[[#This Row],['#_female hygiene promoters]])&gt;WWWW[[#This Row],[Total PoP ]],WWWW[[#This Row],[Total PoP ]],500*(WWWW[[#This Row],['#_male hygiene promoters]]+WWWW[[#This Row],['#_female hygiene promoters]]))</f>
        <v>56</v>
      </c>
      <c r="DN240"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56</v>
      </c>
      <c r="DO240"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11</v>
      </c>
      <c r="DP240" s="417">
        <f>IF(WWWW[[#This Row],['# People with access to soap]]&gt;WWWW[[#This Row],['# People with access to Sanity Pads]],WWWW[[#This Row],['# People with access to soap]],WWWW[[#This Row],['# People with access to Sanity Pads]])</f>
        <v>56</v>
      </c>
      <c r="DQ240" s="417">
        <f>IF(WWWW[[#This Row],['# people reached by regular dedicated hygiene promotion_5]]&gt;WWWW[[#This Row],['# People received regular supply of hygiene items_6]],WWWW[[#This Row],['# people reached by regular dedicated hygiene promotion_5]],WWWW[[#This Row],['# People received regular supply of hygiene items_6]])</f>
        <v>56</v>
      </c>
      <c r="DR240" s="951">
        <f>IF(WWWW[[#This Row],[HRP3]]/WWWW[[#This Row],[Total PoP ]]&gt;1,1,WWWW[[#This Row],[HRP3]]/WWWW[[#This Row],[Total PoP ]])</f>
        <v>1</v>
      </c>
      <c r="DS240" s="615">
        <f>1-WWWW[[#This Row],[Hygiene Coverage%]]</f>
        <v>0</v>
      </c>
      <c r="DT240" s="416">
        <f>WWWW[[#This Row],['# people reached by regular dedicated hygiene promotion_5]]/WWWW[[#This Row],[Total PoP ]]</f>
        <v>1</v>
      </c>
      <c r="DU240"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40"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240" s="417">
        <f>WWWW[[#This Row],['#_Constructed/Existing hand washing stations]]-WWWW[[#This Row],['#_Non-Functional_hand_washing_stations]]</f>
        <v>3</v>
      </c>
      <c r="DX240" s="421">
        <f>IF(WWWW[[#This Row],['# Functional hand washing stations during reporting period]]*20&gt;WWWW[[#This Row],[Total HH]],WWWW[[#This Row],[Total HH]],WWWW[[#This Row],['# Functional hand washing stations during reporting period]]*20)</f>
        <v>10</v>
      </c>
      <c r="DY240" s="421">
        <f>IF(WWWW[[#This Row],[Is sufficient soap available for TLS? (Yes/No)]]="yes",WWWW[[#This Row],['#_Constructed/Existing hand washing stations at TLS/CFS/THF]],0)</f>
        <v>0</v>
      </c>
      <c r="DZ240" s="421">
        <f>IF(WWWW[[#This Row],['# Functional hand washing stations during reporting period]]*100&gt;WWWW[[#This Row],[Total PoP ]],WWWW[[#This Row],[Total PoP ]],WWWW[[#This Row],['# Functional hand washing stations during reporting period]]*100)</f>
        <v>56</v>
      </c>
      <c r="EA240" s="421" t="str">
        <f>IF(OR(WWWW[[#This Row],['#_students at TLS_CFS]]="",WWWW[[#This Row],['#_students at TLS_CFS]]=0),"No","Yes")</f>
        <v>Yes</v>
      </c>
      <c r="EB24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40" s="566">
        <f>WWWW[[#This Row],[%_of_affected_people_surveyed_who_report_feeling_satistfied_with_the_latrine_design_and_sanitation_service]]*WWWW[[#This Row],[Total PoP ]]</f>
        <v>42</v>
      </c>
      <c r="ED240" s="566">
        <f>WWWW[[#This Row],[%_of_affected_people_surveyed_who_report_feeling_satistfied_with_the_water_point_design_and_water_service]]*WWWW[[#This Row],[Total PoP ]]</f>
        <v>49.84</v>
      </c>
      <c r="EE240" s="566">
        <f>WWWW[[#This Row],[%_of_complaints_received_that_result_in_timely_corrective_action_and_feedback_to_the_community]]*WWWW[[#This Row],[Total PoP ]]</f>
        <v>42</v>
      </c>
      <c r="EF24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49.84</v>
      </c>
      <c r="EG24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4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40" s="418" t="str">
        <f>VLOOKUP(WWWW[[#This Row],[Site Name]],SiteDB6[[Site Name]:[CCCM Management]],6,FALSE)</f>
        <v>Yes</v>
      </c>
      <c r="EJ240" s="418" t="str">
        <f>VLOOKUP(WWWW[[#This Row],[Site Name]],SiteDB6[[Site Name]:[CCCM Focal Agency]],7,FALSE)</f>
        <v>Shalom</v>
      </c>
      <c r="EK240" s="418" t="str">
        <f>VLOOKUP(WWWW[[#This Row],[Site Name]],SiteDB6[[Site Name]:[Location Type 1]],9,FALSE)</f>
        <v>Camp</v>
      </c>
      <c r="EL240" s="418" t="str">
        <f>VLOOKUP(WWWW[[#This Row],[Site Name]],SiteDB6[[Site Name]:[Type of Accommodation]],10,FALSE)</f>
        <v>Camp</v>
      </c>
      <c r="EM240" s="418" t="str">
        <f>VLOOKUP(WWWW[[#This Row],[Site Name]],SiteDB6[[Site Name]:[Ethnic or GCA/NGCA]],11,FALSE)</f>
        <v>GCA</v>
      </c>
      <c r="EN240" s="418">
        <f>VLOOKUP(WWWW[[#This Row],[Site Name]],SiteDB6[[Site Name]:[Lat]],12,FALSE)</f>
        <v>25.61842</v>
      </c>
      <c r="EO240" s="418">
        <f>VLOOKUP(WWWW[[#This Row],[Site Name]],SiteDB6[[Site Name]:[Long]],13,FALSE)</f>
        <v>96.316400000000002</v>
      </c>
      <c r="EP240" s="418" t="str">
        <f>VLOOKUP(WWWW[[#This Row],[Site Name]],SiteDB6[[Site Name]:[Pcode]],3,FALSE)</f>
        <v>MMR001CMP167</v>
      </c>
      <c r="EQ240" s="950" t="str">
        <f t="shared" si="4"/>
        <v>Covered</v>
      </c>
      <c r="ER240" s="950" t="s">
        <v>136</v>
      </c>
      <c r="ES240" s="950" t="s">
        <v>3263</v>
      </c>
      <c r="ET240" s="418">
        <f>VLOOKUP(WWWW[[#This Row],[Site Name]],SiteDB6[[Site Name]:[Pop
(Kachin/Shan-CCCM as of May 2023)]],16,FALSE)</f>
        <v>10</v>
      </c>
      <c r="EU240" s="418">
        <f>VLOOKUP(WWWW[[#This Row],[Site Name]],SiteDB6[[Site Name]:[Pop
(Kachin/Shan-CCCM as of May 2023)]],17,FALSE)</f>
        <v>58</v>
      </c>
    </row>
    <row r="241" spans="1:151">
      <c r="A241" s="946" t="s">
        <v>2962</v>
      </c>
      <c r="B241" s="946" t="s">
        <v>309</v>
      </c>
      <c r="C241" s="938" t="s">
        <v>309</v>
      </c>
      <c r="D241" s="938"/>
      <c r="E241" s="938" t="s">
        <v>37</v>
      </c>
      <c r="F241" s="938" t="s">
        <v>148</v>
      </c>
      <c r="G241" s="902" t="str">
        <f>VLOOKUP(WWWW[[#This Row],[Site Name]],SiteDB6[[Site Name]:[Location Type]],8,FALSE)</f>
        <v>Camp</v>
      </c>
      <c r="H241" s="938" t="s">
        <v>257</v>
      </c>
      <c r="I241" s="441">
        <v>3</v>
      </c>
      <c r="J241" s="441">
        <v>15</v>
      </c>
      <c r="K241" s="948"/>
      <c r="L241" s="949"/>
      <c r="M241" s="441"/>
      <c r="N241" s="441"/>
      <c r="O241" s="441"/>
      <c r="P241" s="441"/>
      <c r="Q241" s="421" t="s">
        <v>41</v>
      </c>
      <c r="R241" s="441"/>
      <c r="S241" s="441">
        <v>5</v>
      </c>
      <c r="T241" s="441">
        <v>1</v>
      </c>
      <c r="U241" s="441"/>
      <c r="V241" s="441"/>
      <c r="W241" s="441">
        <v>1</v>
      </c>
      <c r="X241" s="441"/>
      <c r="Y241" s="441"/>
      <c r="Z241" s="441"/>
      <c r="AA241" s="441"/>
      <c r="AB241" s="441"/>
      <c r="AC241" s="441"/>
      <c r="AD241" s="441"/>
      <c r="AE241" s="441"/>
      <c r="AF241" s="441"/>
      <c r="AG241" s="441"/>
      <c r="AH241" s="441">
        <v>1</v>
      </c>
      <c r="AI241" s="441"/>
      <c r="AJ241" s="441"/>
      <c r="AK241" s="441"/>
      <c r="AL241" s="441"/>
      <c r="AM241" s="441"/>
      <c r="AN241" s="441"/>
      <c r="AO241" s="441"/>
      <c r="AP241" s="950"/>
      <c r="AQ241" s="441"/>
      <c r="AR241" s="441"/>
      <c r="AS241" s="416"/>
      <c r="AT241" s="441"/>
      <c r="AU241" s="441"/>
      <c r="AV241" s="441"/>
      <c r="AW241" s="441"/>
      <c r="AX241" s="441"/>
      <c r="AY241" s="418" t="s">
        <v>41</v>
      </c>
      <c r="AZ241" s="950" t="s">
        <v>899</v>
      </c>
      <c r="BA241" s="441"/>
      <c r="BB241" s="441"/>
      <c r="BC241" s="441"/>
      <c r="BD241" s="441"/>
      <c r="BE241" s="441"/>
      <c r="BF241" s="418"/>
      <c r="BG241" s="441">
        <v>7</v>
      </c>
      <c r="BH241" s="441"/>
      <c r="BI241" s="441"/>
      <c r="BJ241" s="441">
        <v>4</v>
      </c>
      <c r="BK241" s="441"/>
      <c r="BL241" s="441"/>
      <c r="BM241" s="441"/>
      <c r="BN241" s="441"/>
      <c r="BO241" s="441"/>
      <c r="BP241" s="418"/>
      <c r="BQ241" s="417"/>
      <c r="BR241" s="416"/>
      <c r="BS241" s="418"/>
      <c r="BT241" s="416"/>
      <c r="BU241" s="416"/>
      <c r="BV241" s="418"/>
      <c r="BW241" s="416"/>
      <c r="BX241" s="441"/>
      <c r="BY241" s="441"/>
      <c r="BZ241" s="441"/>
      <c r="CA241" s="441"/>
      <c r="CB241" s="441"/>
      <c r="CC241" s="693"/>
      <c r="CD241" s="441"/>
      <c r="CE241" s="615" t="str">
        <f>IFERROR(WWWW[[#This Row],['#_Water sources passed]]/WWWW[[#This Row],['#_Water sources tested for fecal coliform ]],"no test")</f>
        <v>no test</v>
      </c>
      <c r="CF241" s="416" t="str">
        <f>IFERROR(WWWW[[#This Row],['#_Household passed]]/WWWW[[#This Row],['#_Household water samples tested for fecal coliform]],"no test")</f>
        <v>no test</v>
      </c>
      <c r="CG241" s="417" t="str">
        <f>IF(AND(WWWW[[#This Row],[% of water sources passed]]="no test",WWWW[[#This Row],[% Household passed]]="no test"),"No Test","Tested")</f>
        <v>No Test</v>
      </c>
      <c r="CH241" s="417">
        <f>WWWW[[#This Row],['#_Constructed/existing protected hand dug well]]-WWWW[[#This Row],['#_Non-functional protected hand dug well]]</f>
        <v>1</v>
      </c>
      <c r="CI241" s="417">
        <f>(WWWW[[#This Row],['#_Constructed/Existing tube wells/boreholes/handpumps_WASH_agency]]+WWWW[[#This Row],['#_Non-Cluster partner water tube-wells/boreholes/handpumps]])-WWWW[[#This Row],['#_Non-functional tube wells/boreholes/handpumps]]</f>
        <v>1</v>
      </c>
      <c r="CJ241" s="417">
        <f>WWWW[[#This Row],['#_Constructed/Existingwater storage tank with gravity fed reticulation system]]-WWWW[[#This Row],['#_Non-functional storage tank gravity fed reticulation system]]</f>
        <v>0</v>
      </c>
      <c r="CK241" s="417">
        <f>(WWWW[[#This Row],['#_Water_Liters_supplied_by_Water boating or water trucking]]/90)/15</f>
        <v>0</v>
      </c>
      <c r="CL241" s="417">
        <f>WWWW[[#This Row],['#_Water_Liters_from_Constructed/Existing water distribution system from river or natural spring]]/90/15</f>
        <v>0</v>
      </c>
      <c r="CM241" s="417">
        <f>IF(WWWW[[#This Row],['#_of water points in TLS/CFS]]*500&gt;WWWW[[#This Row],[Total PoP ]],WWWW[[#This Row],[Total PoP ]],WWWW[[#This Row],['#_of water points in TLS/CFS]]*500)</f>
        <v>0</v>
      </c>
      <c r="CN241" s="417">
        <f>IF(WWWW[[#This Row],['#_of water points in THF]]*500&gt;WWWW[[#This Row],[Total PoP ]],WWWW[[#This Row],[Total PoP ]],WWWW[[#This Row],['#_of water points in THF]]*500)</f>
        <v>0</v>
      </c>
      <c r="CO241" s="417"/>
      <c r="CP241"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41"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41" s="416">
        <f>IF(WWWW[[#This Row],[Location Type 1]]="Village",WWWW[[#This Row],[Access to safe drinking water for Village]],WWWW[[#This Row],[Access to safe drinking water for Camp]])</f>
        <v>1</v>
      </c>
      <c r="CS241" s="421">
        <f>WWWW[[#This Row],[%Equitable and continuous access to sufficient quantity of safe drinking water]]*WWWW[[#This Row],[Total PoP ]]</f>
        <v>15</v>
      </c>
      <c r="CT241" s="416">
        <f>IF((WWWW[[#This Row],['#_Constructed/Existing protected/fenced ponds]]*250)/WWWW[[#This Row],[Total PoP ]]&gt;1,1,(WWWW[[#This Row],['#_Constructed/Existing protected/fenced ponds]]*250)/WWWW[[#This Row],[Total PoP ]])</f>
        <v>0</v>
      </c>
      <c r="CU241" s="421">
        <f>WWWW[[#This Row],[% Access to unimproved water points]]*WWWW[[#This Row],[Total PoP ]]</f>
        <v>0</v>
      </c>
      <c r="CV241"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41"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v>
      </c>
      <c r="CX241" s="421">
        <f>WWWW[[#This Row],[HRP1]]/500</f>
        <v>0.03</v>
      </c>
      <c r="CY241" s="951">
        <f>1-WWWW[[#This Row],[% Equitable and continuous access to sufficient quantity of domestic water]]</f>
        <v>0</v>
      </c>
      <c r="CZ241" s="421">
        <f>WWWW[[#This Row],[%equitable and continuous access to sufficient quantity of safe drinking and domestic water''s GAP]]*WWWW[[#This Row],[Total PoP ]]</f>
        <v>0</v>
      </c>
      <c r="DA241" s="417">
        <f>IF(WWWW[[#This Row],[Total required water points]]-WWWW[[#This Row],['#Water points coverage]]&lt;0,0,WWWW[[#This Row],[Total required water points]]-WWWW[[#This Row],['#Water points coverage]])</f>
        <v>0.97</v>
      </c>
      <c r="DB241" s="417">
        <f>ROUND(IF(WWWW[[#This Row],[Total PoP ]]&lt;500,1,WWWW[[#This Row],[Total PoP ]]/500),0)</f>
        <v>1</v>
      </c>
      <c r="DC241" s="417">
        <f>(WWWW[[#This Row],['#_Constructed latrines_by_WASHAgencies]]+WWWW[[#This Row],['#_Non Cluster partner latrines]])-WWWW[[#This Row],['#_Non-functional latrines]]</f>
        <v>0</v>
      </c>
      <c r="DD241" s="615">
        <f>WWWW[[#This Row],[HRP2]]/WWWW[[#This Row],[Total PoP ]]</f>
        <v>0</v>
      </c>
      <c r="DE241"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41"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41"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41" s="417">
        <f>IF(WWWW[[#This Row],['# of functional latrines in THF supported by WASH partners during the reporting period2]]="",0,WWWW[[#This Row],['# of functional latrines in THF supported by WASH partners during the reporting period2]]*50)</f>
        <v>0</v>
      </c>
      <c r="DI241" s="417">
        <f>ROUND(IF(WWWW[[#This Row],[Location Type 1]]="camp",WWWW[[#This Row],[Total PoP ]]/20,IF(WWWW[[#This Row],[Location Type 1]]="Temporary Location",WWWW[[#This Row],[Total PoP ]]/50,(WWWW[[#This Row],[Total PoP ]]/6))),0)</f>
        <v>1</v>
      </c>
      <c r="DJ241" s="417">
        <f>IF(WWWW[[#This Row],[Total required Latrines]]-(WWWW[[#This Row],['#_Constructed latrines_by_WASHAgencies]]+WWWW[[#This Row],['#_Non Cluster partner latrines]])&lt;0,0,WWWW[[#This Row],[Total required Latrines]]-(WWWW[[#This Row],['#_Constructed latrines_by_WASHAgencies]]+WWWW[[#This Row],['#_Non Cluster partner latrines]]))</f>
        <v>1</v>
      </c>
      <c r="DK241" s="951">
        <f>1-WWWW[[#This Row],[% people access to functioning Latrine]]</f>
        <v>1</v>
      </c>
      <c r="DL241" s="615">
        <f>IF(OR(WWWW[[#This Row],['#_Non-functional latrines]]="",WWWW[[#This Row],['#_Non-functional latrines]]=0),0,WWWW[[#This Row],['#_Non-functional latrines]]/(WWWW[[#This Row],['#_Constructed latrines_by_WASHAgencies]]+WWWW[[#This Row],['#_Non Cluster partner latrines]]))</f>
        <v>0</v>
      </c>
      <c r="DM241" s="421">
        <f>IF(500*(WWWW[[#This Row],['#_male hygiene promoters]]+WWWW[[#This Row],['#_female hygiene promoters]])&gt;WWWW[[#This Row],[Total PoP ]],WWWW[[#This Row],[Total PoP ]],500*(WWWW[[#This Row],['#_male hygiene promoters]]+WWWW[[#This Row],['#_female hygiene promoters]]))</f>
        <v>0</v>
      </c>
      <c r="DN241"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41"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41" s="417">
        <f>IF(WWWW[[#This Row],['# People with access to soap]]&gt;WWWW[[#This Row],['# People with access to Sanity Pads]],WWWW[[#This Row],['# People with access to soap]],WWWW[[#This Row],['# People with access to Sanity Pads]])</f>
        <v>0</v>
      </c>
      <c r="DQ241"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41" s="951">
        <f>IF(WWWW[[#This Row],[HRP3]]/WWWW[[#This Row],[Total PoP ]]&gt;1,1,WWWW[[#This Row],[HRP3]]/WWWW[[#This Row],[Total PoP ]])</f>
        <v>0</v>
      </c>
      <c r="DS241" s="615">
        <f>1-WWWW[[#This Row],[Hygiene Coverage%]]</f>
        <v>1</v>
      </c>
      <c r="DT241" s="416">
        <f>WWWW[[#This Row],['# people reached by regular dedicated hygiene promotion_5]]/WWWW[[#This Row],[Total PoP ]]</f>
        <v>0</v>
      </c>
      <c r="DU241"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41"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41" s="417">
        <f>WWWW[[#This Row],['#_Constructed/Existing hand washing stations]]-WWWW[[#This Row],['#_Non-Functional_hand_washing_stations]]</f>
        <v>7</v>
      </c>
      <c r="DX241" s="421">
        <f>IF(WWWW[[#This Row],['# Functional hand washing stations during reporting period]]*20&gt;WWWW[[#This Row],[Total HH]],WWWW[[#This Row],[Total HH]],WWWW[[#This Row],['# Functional hand washing stations during reporting period]]*20)</f>
        <v>3</v>
      </c>
      <c r="DY241" s="421">
        <f>IF(WWWW[[#This Row],[Is sufficient soap available for TLS? (Yes/No)]]="yes",WWWW[[#This Row],['#_Constructed/Existing hand washing stations at TLS/CFS/THF]],0)</f>
        <v>0</v>
      </c>
      <c r="DZ241" s="421">
        <f>IF(WWWW[[#This Row],['# Functional hand washing stations during reporting period]]*100&gt;WWWW[[#This Row],[Total PoP ]],WWWW[[#This Row],[Total PoP ]],WWWW[[#This Row],['# Functional hand washing stations during reporting period]]*100)</f>
        <v>15</v>
      </c>
      <c r="EA241" s="421" t="str">
        <f>IF(OR(WWWW[[#This Row],['#_students at TLS_CFS]]="",WWWW[[#This Row],['#_students at TLS_CFS]]=0),"No","Yes")</f>
        <v>No</v>
      </c>
      <c r="EB24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41" s="566">
        <f>WWWW[[#This Row],[%_of_affected_people_surveyed_who_report_feeling_satistfied_with_the_latrine_design_and_sanitation_service]]*WWWW[[#This Row],[Total PoP ]]</f>
        <v>0</v>
      </c>
      <c r="ED241" s="566">
        <f>WWWW[[#This Row],[%_of_affected_people_surveyed_who_report_feeling_satistfied_with_the_water_point_design_and_water_service]]*WWWW[[#This Row],[Total PoP ]]</f>
        <v>0</v>
      </c>
      <c r="EE241" s="566">
        <f>WWWW[[#This Row],[%_of_complaints_received_that_result_in_timely_corrective_action_and_feedback_to_the_community]]*WWWW[[#This Row],[Total PoP ]]</f>
        <v>0</v>
      </c>
      <c r="EF24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4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4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41" s="418" t="str">
        <f>VLOOKUP(WWWW[[#This Row],[Site Name]],SiteDB6[[Site Name]:[CCCM Management]],6,FALSE)</f>
        <v>Yes</v>
      </c>
      <c r="EJ241" s="418" t="str">
        <f>VLOOKUP(WWWW[[#This Row],[Site Name]],SiteDB6[[Site Name]:[CCCM Focal Agency]],7,FALSE)</f>
        <v>Shalom</v>
      </c>
      <c r="EK241" s="418" t="str">
        <f>VLOOKUP(WWWW[[#This Row],[Site Name]],SiteDB6[[Site Name]:[Location Type 1]],9,FALSE)</f>
        <v>Camp</v>
      </c>
      <c r="EL241" s="418" t="str">
        <f>VLOOKUP(WWWW[[#This Row],[Site Name]],SiteDB6[[Site Name]:[Type of Accommodation]],10,FALSE)</f>
        <v>Camp like setting</v>
      </c>
      <c r="EM241" s="418" t="str">
        <f>VLOOKUP(WWWW[[#This Row],[Site Name]],SiteDB6[[Site Name]:[Ethnic or GCA/NGCA]],11,FALSE)</f>
        <v>GCA</v>
      </c>
      <c r="EN241" s="418">
        <f>VLOOKUP(WWWW[[#This Row],[Site Name]],SiteDB6[[Site Name]:[Lat]],12,FALSE)</f>
        <v>25.6145</v>
      </c>
      <c r="EO241" s="418">
        <f>VLOOKUP(WWWW[[#This Row],[Site Name]],SiteDB6[[Site Name]:[Long]],13,FALSE)</f>
        <v>96.319829999999996</v>
      </c>
      <c r="EP241" s="418" t="str">
        <f>VLOOKUP(WWWW[[#This Row],[Site Name]],SiteDB6[[Site Name]:[Pcode]],3,FALSE)</f>
        <v>MMR001CMP091</v>
      </c>
      <c r="EQ241" s="950" t="str">
        <f t="shared" si="4"/>
        <v>Notcovered</v>
      </c>
      <c r="ER241" s="950"/>
      <c r="ES241" s="950" t="s">
        <v>41</v>
      </c>
      <c r="ET241" s="418">
        <f>VLOOKUP(WWWW[[#This Row],[Site Name]],SiteDB6[[Site Name]:[Pop
(Kachin/Shan-CCCM as of May 2023)]],16,FALSE)</f>
        <v>3</v>
      </c>
      <c r="EU241" s="418">
        <f>VLOOKUP(WWWW[[#This Row],[Site Name]],SiteDB6[[Site Name]:[Pop
(Kachin/Shan-CCCM as of May 2023)]],17,FALSE)</f>
        <v>14</v>
      </c>
    </row>
    <row r="242" spans="1:151">
      <c r="A242" s="946" t="s">
        <v>2962</v>
      </c>
      <c r="B242" s="938" t="s">
        <v>3347</v>
      </c>
      <c r="C242" s="1005" t="s">
        <v>3347</v>
      </c>
      <c r="D242" s="1005" t="s">
        <v>241</v>
      </c>
      <c r="E242" s="1005" t="s">
        <v>37</v>
      </c>
      <c r="F242" s="1005" t="s">
        <v>148</v>
      </c>
      <c r="G242" s="902" t="str">
        <f>VLOOKUP(WWWW[[#This Row],[Site Name]],SiteDB6[[Site Name]:[Location Type]],8,FALSE)</f>
        <v>Camp</v>
      </c>
      <c r="H242" s="1005" t="s">
        <v>190</v>
      </c>
      <c r="I242" s="954">
        <v>24</v>
      </c>
      <c r="J242" s="954">
        <v>105</v>
      </c>
      <c r="K242" s="955">
        <v>44811</v>
      </c>
      <c r="L242" s="956">
        <v>45175</v>
      </c>
      <c r="M242" s="954"/>
      <c r="N242" s="954">
        <v>1</v>
      </c>
      <c r="O242" s="954"/>
      <c r="P242" s="954"/>
      <c r="Q242" s="957"/>
      <c r="R242" s="954">
        <v>2</v>
      </c>
      <c r="S242" s="954">
        <v>2</v>
      </c>
      <c r="T242" s="441">
        <v>2</v>
      </c>
      <c r="U242" s="954"/>
      <c r="V242" s="954"/>
      <c r="W242" s="954"/>
      <c r="X242" s="954"/>
      <c r="Y242" s="954"/>
      <c r="Z242" s="954"/>
      <c r="AA242" s="954"/>
      <c r="AB242" s="954"/>
      <c r="AC242" s="954"/>
      <c r="AD242" s="954"/>
      <c r="AE242" s="954"/>
      <c r="AF242" s="954"/>
      <c r="AG242" s="954"/>
      <c r="AH242" s="976">
        <v>2</v>
      </c>
      <c r="AI242" s="954"/>
      <c r="AJ242" s="954"/>
      <c r="AK242" s="954"/>
      <c r="AL242" s="954"/>
      <c r="AM242" s="954"/>
      <c r="AN242" s="954"/>
      <c r="AO242" s="441"/>
      <c r="AP242" s="958"/>
      <c r="AQ242" s="954"/>
      <c r="AR242" s="954"/>
      <c r="AS242" s="959"/>
      <c r="AT242" s="954"/>
      <c r="AU242" s="954"/>
      <c r="AV242" s="954"/>
      <c r="AW242" s="954"/>
      <c r="AX242" s="954"/>
      <c r="AY242" s="953" t="s">
        <v>140</v>
      </c>
      <c r="AZ242" s="958" t="s">
        <v>140</v>
      </c>
      <c r="BA242" s="954"/>
      <c r="BB242" s="954"/>
      <c r="BC242" s="954"/>
      <c r="BD242" s="441"/>
      <c r="BE242" s="441"/>
      <c r="BF242" s="953"/>
      <c r="BG242" s="954">
        <v>5</v>
      </c>
      <c r="BH242" s="954"/>
      <c r="BI242" s="954"/>
      <c r="BJ242" s="954">
        <v>3</v>
      </c>
      <c r="BK242" s="954"/>
      <c r="BL242" s="954"/>
      <c r="BM242" s="954"/>
      <c r="BN242" s="954"/>
      <c r="BO242" s="954"/>
      <c r="BP242" s="953"/>
      <c r="BQ242" s="960"/>
      <c r="BR242" s="959"/>
      <c r="BS242" s="953"/>
      <c r="BT242" s="416"/>
      <c r="BU242" s="416"/>
      <c r="BV242" s="418"/>
      <c r="BW242" s="416"/>
      <c r="BX242" s="441"/>
      <c r="BY242" s="441"/>
      <c r="BZ242" s="441"/>
      <c r="CA242" s="441"/>
      <c r="CB242" s="441"/>
      <c r="CC242" s="693"/>
      <c r="CD242" s="441"/>
      <c r="CE242" s="961" t="str">
        <f>IFERROR(WWWW[[#This Row],['#_Water sources passed]]/WWWW[[#This Row],['#_Water sources tested for fecal coliform ]],"no test")</f>
        <v>no test</v>
      </c>
      <c r="CF242" s="959" t="str">
        <f>IFERROR(WWWW[[#This Row],['#_Household passed]]/WWWW[[#This Row],['#_Household water samples tested for fecal coliform]],"no test")</f>
        <v>no test</v>
      </c>
      <c r="CG242" s="960" t="str">
        <f>IF(AND(WWWW[[#This Row],[% of water sources passed]]="no test",WWWW[[#This Row],[% Household passed]]="no test"),"No Test","Tested")</f>
        <v>No Test</v>
      </c>
      <c r="CH242" s="960">
        <f>WWWW[[#This Row],['#_Constructed/existing protected hand dug well]]-WWWW[[#This Row],['#_Non-functional protected hand dug well]]</f>
        <v>2</v>
      </c>
      <c r="CI242" s="960">
        <f>(WWWW[[#This Row],['#_Constructed/Existing tube wells/boreholes/handpumps_WASH_agency]]+WWWW[[#This Row],['#_Non-Cluster partner water tube-wells/boreholes/handpumps]])-WWWW[[#This Row],['#_Non-functional tube wells/boreholes/handpumps]]</f>
        <v>0</v>
      </c>
      <c r="CJ242" s="960">
        <f>WWWW[[#This Row],['#_Constructed/Existingwater storage tank with gravity fed reticulation system]]-WWWW[[#This Row],['#_Non-functional storage tank gravity fed reticulation system]]</f>
        <v>0</v>
      </c>
      <c r="CK242" s="960">
        <f>(WWWW[[#This Row],['#_Water_Liters_supplied_by_Water boating or water trucking]]/90)/15</f>
        <v>0</v>
      </c>
      <c r="CL242" s="960">
        <f>WWWW[[#This Row],['#_Water_Liters_from_Constructed/Existing water distribution system from river or natural spring]]/90/15</f>
        <v>0</v>
      </c>
      <c r="CM242" s="417">
        <f>IF(WWWW[[#This Row],['#_of water points in TLS/CFS]]*500&gt;WWWW[[#This Row],[Total PoP ]],WWWW[[#This Row],[Total PoP ]],WWWW[[#This Row],['#_of water points in TLS/CFS]]*500)</f>
        <v>0</v>
      </c>
      <c r="CN242" s="417">
        <f>IF(WWWW[[#This Row],['#_of water points in THF]]*500&gt;WWWW[[#This Row],[Total PoP ]],WWWW[[#This Row],[Total PoP ]],WWWW[[#This Row],['#_of water points in THF]]*500)</f>
        <v>0</v>
      </c>
      <c r="CO242" s="417"/>
      <c r="CP242"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42"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42" s="959">
        <f>IF(WWWW[[#This Row],[Location Type 1]]="Village",WWWW[[#This Row],[Access to safe drinking water for Village]],WWWW[[#This Row],[Access to safe drinking water for Camp]])</f>
        <v>1</v>
      </c>
      <c r="CS242" s="957">
        <f>WWWW[[#This Row],[%Equitable and continuous access to sufficient quantity of safe drinking water]]*WWWW[[#This Row],[Total PoP ]]</f>
        <v>105</v>
      </c>
      <c r="CT242" s="959">
        <f>IF((WWWW[[#This Row],['#_Constructed/Existing protected/fenced ponds]]*250)/WWWW[[#This Row],[Total PoP ]]&gt;1,1,(WWWW[[#This Row],['#_Constructed/Existing protected/fenced ponds]]*250)/WWWW[[#This Row],[Total PoP ]])</f>
        <v>0</v>
      </c>
      <c r="CU242" s="957">
        <f>WWWW[[#This Row],[% Access to unimproved water points]]*WWWW[[#This Row],[Total PoP ]]</f>
        <v>0</v>
      </c>
      <c r="CV242"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42"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105</v>
      </c>
      <c r="CX242" s="957">
        <f>WWWW[[#This Row],[HRP1]]/500</f>
        <v>0.21</v>
      </c>
      <c r="CY242" s="962">
        <f>1-WWWW[[#This Row],[% Equitable and continuous access to sufficient quantity of domestic water]]</f>
        <v>0</v>
      </c>
      <c r="CZ242" s="957">
        <f>WWWW[[#This Row],[%equitable and continuous access to sufficient quantity of safe drinking and domestic water''s GAP]]*WWWW[[#This Row],[Total PoP ]]</f>
        <v>0</v>
      </c>
      <c r="DA242" s="960">
        <f>IF(WWWW[[#This Row],[Total required water points]]-WWWW[[#This Row],['#Water points coverage]]&lt;0,0,WWWW[[#This Row],[Total required water points]]-WWWW[[#This Row],['#Water points coverage]])</f>
        <v>0.79</v>
      </c>
      <c r="DB242" s="960">
        <f>ROUND(IF(WWWW[[#This Row],[Total PoP ]]&lt;500,1,WWWW[[#This Row],[Total PoP ]]/500),0)</f>
        <v>1</v>
      </c>
      <c r="DC242" s="960">
        <f>(WWWW[[#This Row],['#_Constructed latrines_by_WASHAgencies]]+WWWW[[#This Row],['#_Non Cluster partner latrines]])-WWWW[[#This Row],['#_Non-functional latrines]]</f>
        <v>0</v>
      </c>
      <c r="DD242" s="615">
        <f>WWWW[[#This Row],[HRP2]]/WWWW[[#This Row],[Total PoP ]]</f>
        <v>0</v>
      </c>
      <c r="DE242"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42"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42"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42" s="417">
        <f>IF(WWWW[[#This Row],['# of functional latrines in THF supported by WASH partners during the reporting period2]]="",0,WWWW[[#This Row],['# of functional latrines in THF supported by WASH partners during the reporting period2]]*50)</f>
        <v>0</v>
      </c>
      <c r="DI242" s="960">
        <f>ROUND(IF(WWWW[[#This Row],[Location Type 1]]="camp",WWWW[[#This Row],[Total PoP ]]/20,IF(WWWW[[#This Row],[Location Type 1]]="Temporary Location",WWWW[[#This Row],[Total PoP ]]/50,(WWWW[[#This Row],[Total PoP ]]/6))),0)</f>
        <v>5</v>
      </c>
      <c r="DJ242" s="960">
        <f>IF(WWWW[[#This Row],[Total required Latrines]]-(WWWW[[#This Row],['#_Constructed latrines_by_WASHAgencies]]+WWWW[[#This Row],['#_Non Cluster partner latrines]])&lt;0,0,WWWW[[#This Row],[Total required Latrines]]-(WWWW[[#This Row],['#_Constructed latrines_by_WASHAgencies]]+WWWW[[#This Row],['#_Non Cluster partner latrines]]))</f>
        <v>5</v>
      </c>
      <c r="DK242" s="962">
        <f>1-WWWW[[#This Row],[% people access to functioning Latrine]]</f>
        <v>1</v>
      </c>
      <c r="DL242" s="961">
        <f>IF(OR(WWWW[[#This Row],['#_Non-functional latrines]]="",WWWW[[#This Row],['#_Non-functional latrines]]=0),0,WWWW[[#This Row],['#_Non-functional latrines]]/(WWWW[[#This Row],['#_Constructed latrines_by_WASHAgencies]]+WWWW[[#This Row],['#_Non Cluster partner latrines]]))</f>
        <v>0</v>
      </c>
      <c r="DM242" s="957">
        <f>IF(500*(WWWW[[#This Row],['#_male hygiene promoters]]+WWWW[[#This Row],['#_female hygiene promoters]])&gt;WWWW[[#This Row],[Total PoP ]],WWWW[[#This Row],[Total PoP ]],500*(WWWW[[#This Row],['#_male hygiene promoters]]+WWWW[[#This Row],['#_female hygiene promoters]]))</f>
        <v>0</v>
      </c>
      <c r="DN242"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42"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42" s="960">
        <f>IF(WWWW[[#This Row],['# People with access to soap]]&gt;WWWW[[#This Row],['# People with access to Sanity Pads]],WWWW[[#This Row],['# People with access to soap]],WWWW[[#This Row],['# People with access to Sanity Pads]])</f>
        <v>0</v>
      </c>
      <c r="DQ242" s="960">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42" s="962">
        <f>IF(WWWW[[#This Row],[HRP3]]/WWWW[[#This Row],[Total PoP ]]&gt;1,1,WWWW[[#This Row],[HRP3]]/WWWW[[#This Row],[Total PoP ]])</f>
        <v>0</v>
      </c>
      <c r="DS242" s="961">
        <f>1-WWWW[[#This Row],[Hygiene Coverage%]]</f>
        <v>1</v>
      </c>
      <c r="DT242" s="959">
        <f>WWWW[[#This Row],['# people reached by regular dedicated hygiene promotion_5]]/WWWW[[#This Row],[Total PoP ]]</f>
        <v>0</v>
      </c>
      <c r="DU242"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42"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42" s="960">
        <f>WWWW[[#This Row],['#_Constructed/Existing hand washing stations]]-WWWW[[#This Row],['#_Non-Functional_hand_washing_stations]]</f>
        <v>5</v>
      </c>
      <c r="DX242" s="957">
        <f>IF(WWWW[[#This Row],['# Functional hand washing stations during reporting period]]*20&gt;WWWW[[#This Row],[Total HH]],WWWW[[#This Row],[Total HH]],WWWW[[#This Row],['# Functional hand washing stations during reporting period]]*20)</f>
        <v>24</v>
      </c>
      <c r="DY242" s="957">
        <f>IF(WWWW[[#This Row],[Is sufficient soap available for TLS? (Yes/No)]]="yes",WWWW[[#This Row],['#_Constructed/Existing hand washing stations at TLS/CFS/THF]],0)</f>
        <v>0</v>
      </c>
      <c r="DZ242" s="421">
        <f>IF(WWWW[[#This Row],['# Functional hand washing stations during reporting period]]*100&gt;WWWW[[#This Row],[Total PoP ]],WWWW[[#This Row],[Total PoP ]],WWWW[[#This Row],['# Functional hand washing stations during reporting period]]*100)</f>
        <v>105</v>
      </c>
      <c r="EA242" s="421" t="str">
        <f>IF(OR(WWWW[[#This Row],['#_students at TLS_CFS]]="",WWWW[[#This Row],['#_students at TLS_CFS]]=0),"No","Yes")</f>
        <v>No</v>
      </c>
      <c r="EB24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42" s="566">
        <f>WWWW[[#This Row],[%_of_affected_people_surveyed_who_report_feeling_satistfied_with_the_latrine_design_and_sanitation_service]]*WWWW[[#This Row],[Total PoP ]]</f>
        <v>0</v>
      </c>
      <c r="ED242" s="566">
        <f>WWWW[[#This Row],[%_of_affected_people_surveyed_who_report_feeling_satistfied_with_the_water_point_design_and_water_service]]*WWWW[[#This Row],[Total PoP ]]</f>
        <v>0</v>
      </c>
      <c r="EE242" s="566">
        <f>WWWW[[#This Row],[%_of_complaints_received_that_result_in_timely_corrective_action_and_feedback_to_the_community]]*WWWW[[#This Row],[Total PoP ]]</f>
        <v>0</v>
      </c>
      <c r="EF24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4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4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42" s="953" t="str">
        <f>VLOOKUP(WWWW[[#This Row],[Site Name]],SiteDB6[[Site Name]:[CCCM Management]],6,FALSE)</f>
        <v>Yes</v>
      </c>
      <c r="EJ242" s="953" t="str">
        <f>VLOOKUP(WWWW[[#This Row],[Site Name]],SiteDB6[[Site Name]:[CCCM Focal Agency]],7,FALSE)</f>
        <v>KMSS-MYT</v>
      </c>
      <c r="EK242" s="953" t="str">
        <f>VLOOKUP(WWWW[[#This Row],[Site Name]],SiteDB6[[Site Name]:[Location Type 1]],9,FALSE)</f>
        <v>Camp</v>
      </c>
      <c r="EL242" s="953" t="str">
        <f>VLOOKUP(WWWW[[#This Row],[Site Name]],SiteDB6[[Site Name]:[Type of Accommodation]],10,FALSE)</f>
        <v>Camp</v>
      </c>
      <c r="EM242" s="953" t="str">
        <f>VLOOKUP(WWWW[[#This Row],[Site Name]],SiteDB6[[Site Name]:[Ethnic or GCA/NGCA]],11,FALSE)</f>
        <v>GCA</v>
      </c>
      <c r="EN242" s="953">
        <f>VLOOKUP(WWWW[[#This Row],[Site Name]],SiteDB6[[Site Name]:[Lat]],12,FALSE)</f>
        <v>25.920006000000001</v>
      </c>
      <c r="EO242" s="953">
        <f>VLOOKUP(WWWW[[#This Row],[Site Name]],SiteDB6[[Site Name]:[Long]],13,FALSE)</f>
        <v>96.662092000000001</v>
      </c>
      <c r="EP242" s="953" t="str">
        <f>VLOOKUP(WWWW[[#This Row],[Site Name]],SiteDB6[[Site Name]:[Pcode]],3,FALSE)</f>
        <v>MMR001CMP247</v>
      </c>
      <c r="EQ242" s="958" t="str">
        <f t="shared" si="4"/>
        <v>Covered</v>
      </c>
      <c r="ER242" s="950" t="s">
        <v>3126</v>
      </c>
      <c r="ES242" s="972" t="s">
        <v>3267</v>
      </c>
      <c r="ET242" s="953">
        <f>VLOOKUP(WWWW[[#This Row],[Site Name]],SiteDB6[[Site Name]:[Pop
(Kachin/Shan-CCCM as of May 2023)]],16,FALSE)</f>
        <v>24</v>
      </c>
      <c r="EU242" s="953">
        <f>VLOOKUP(WWWW[[#This Row],[Site Name]],SiteDB6[[Site Name]:[Pop
(Kachin/Shan-CCCM as of May 2023)]],17,FALSE)</f>
        <v>103</v>
      </c>
    </row>
    <row r="243" spans="1:151">
      <c r="A243" s="946" t="s">
        <v>2962</v>
      </c>
      <c r="B243" s="946" t="s">
        <v>242</v>
      </c>
      <c r="C243" s="938" t="s">
        <v>242</v>
      </c>
      <c r="D243" s="938" t="s">
        <v>3184</v>
      </c>
      <c r="E243" s="938" t="s">
        <v>37</v>
      </c>
      <c r="F243" s="938" t="s">
        <v>148</v>
      </c>
      <c r="G243" s="902" t="str">
        <f>VLOOKUP(WWWW[[#This Row],[Site Name]],SiteDB6[[Site Name]:[Location Type]],8,FALSE)</f>
        <v>Camp</v>
      </c>
      <c r="H243" s="938" t="s">
        <v>258</v>
      </c>
      <c r="I243" s="441">
        <v>7</v>
      </c>
      <c r="J243" s="441">
        <v>24</v>
      </c>
      <c r="K243" s="948">
        <v>44927</v>
      </c>
      <c r="L243" s="949">
        <v>45382</v>
      </c>
      <c r="M243" s="441"/>
      <c r="N243" s="441"/>
      <c r="O243" s="441">
        <v>1</v>
      </c>
      <c r="P243" s="441"/>
      <c r="Q243" s="421" t="s">
        <v>41</v>
      </c>
      <c r="R243" s="441">
        <v>3</v>
      </c>
      <c r="S243" s="441">
        <v>4</v>
      </c>
      <c r="T243" s="441">
        <v>1</v>
      </c>
      <c r="U243" s="441">
        <v>1</v>
      </c>
      <c r="V243" s="441"/>
      <c r="W243" s="441">
        <v>1</v>
      </c>
      <c r="X243" s="441"/>
      <c r="Y243" s="441">
        <v>1</v>
      </c>
      <c r="Z243" s="441"/>
      <c r="AA243" s="441">
        <v>1</v>
      </c>
      <c r="AB243" s="441"/>
      <c r="AC243" s="441">
        <v>1</v>
      </c>
      <c r="AD243" s="441">
        <v>1500</v>
      </c>
      <c r="AE243" s="441">
        <v>1</v>
      </c>
      <c r="AF243" s="441"/>
      <c r="AG243" s="441">
        <v>1</v>
      </c>
      <c r="AH243" s="441">
        <v>1</v>
      </c>
      <c r="AI243" s="441"/>
      <c r="AJ243" s="441"/>
      <c r="AK243" s="441"/>
      <c r="AL243" s="441"/>
      <c r="AM243" s="441"/>
      <c r="AN243" s="441"/>
      <c r="AO243" s="441"/>
      <c r="AP243" s="950"/>
      <c r="AQ243" s="441">
        <v>3</v>
      </c>
      <c r="AR243" s="441"/>
      <c r="AS243" s="416"/>
      <c r="AT243" s="441"/>
      <c r="AU243" s="441"/>
      <c r="AV243" s="441"/>
      <c r="AW243" s="441"/>
      <c r="AX243" s="441"/>
      <c r="AY243" s="418" t="s">
        <v>41</v>
      </c>
      <c r="AZ243" s="950" t="s">
        <v>136</v>
      </c>
      <c r="BA243" s="441"/>
      <c r="BB243" s="441"/>
      <c r="BC243" s="441"/>
      <c r="BD243" s="441"/>
      <c r="BE243" s="441"/>
      <c r="BF243" s="418"/>
      <c r="BG243" s="441">
        <v>2</v>
      </c>
      <c r="BH243" s="441">
        <v>2</v>
      </c>
      <c r="BI243" s="441"/>
      <c r="BJ243" s="441">
        <v>2</v>
      </c>
      <c r="BK243" s="441"/>
      <c r="BL243" s="441">
        <v>1</v>
      </c>
      <c r="BM243" s="441"/>
      <c r="BN243" s="441">
        <v>7</v>
      </c>
      <c r="BO243" s="441">
        <v>4</v>
      </c>
      <c r="BP243" s="418" t="s">
        <v>136</v>
      </c>
      <c r="BQ243" s="417"/>
      <c r="BR243" s="416"/>
      <c r="BS243" s="418"/>
      <c r="BT243" s="416">
        <v>0.75</v>
      </c>
      <c r="BU243" s="416">
        <v>0.75</v>
      </c>
      <c r="BV243" s="418">
        <v>3</v>
      </c>
      <c r="BW243" s="416">
        <v>0.9</v>
      </c>
      <c r="BX243" s="441"/>
      <c r="BY243" s="441"/>
      <c r="BZ243" s="441"/>
      <c r="CA243" s="441"/>
      <c r="CB243" s="441"/>
      <c r="CC243" s="693"/>
      <c r="CD243" s="441"/>
      <c r="CE243" s="615" t="str">
        <f>IFERROR(WWWW[[#This Row],['#_Water sources passed]]/WWWW[[#This Row],['#_Water sources tested for fecal coliform ]],"no test")</f>
        <v>no test</v>
      </c>
      <c r="CF243" s="416" t="str">
        <f>IFERROR(WWWW[[#This Row],['#_Household passed]]/WWWW[[#This Row],['#_Household water samples tested for fecal coliform]],"no test")</f>
        <v>no test</v>
      </c>
      <c r="CG243" s="417" t="str">
        <f>IF(AND(WWWW[[#This Row],[% of water sources passed]]="no test",WWWW[[#This Row],[% Household passed]]="no test"),"No Test","Tested")</f>
        <v>No Test</v>
      </c>
      <c r="CH243" s="417">
        <f>WWWW[[#This Row],['#_Constructed/existing protected hand dug well]]-WWWW[[#This Row],['#_Non-functional protected hand dug well]]</f>
        <v>0</v>
      </c>
      <c r="CI243" s="417">
        <f>(WWWW[[#This Row],['#_Constructed/Existing tube wells/boreholes/handpumps_WASH_agency]]+WWWW[[#This Row],['#_Non-Cluster partner water tube-wells/boreholes/handpumps]])-WWWW[[#This Row],['#_Non-functional tube wells/boreholes/handpumps]]</f>
        <v>0</v>
      </c>
      <c r="CJ243" s="417">
        <f>WWWW[[#This Row],['#_Constructed/Existingwater storage tank with gravity fed reticulation system]]-WWWW[[#This Row],['#_Non-functional storage tank gravity fed reticulation system]]</f>
        <v>1</v>
      </c>
      <c r="CK243" s="417">
        <f>(WWWW[[#This Row],['#_Water_Liters_supplied_by_Water boating or water trucking]]/90)/15</f>
        <v>1.1111111111111112</v>
      </c>
      <c r="CL243" s="417">
        <f>WWWW[[#This Row],['#_Water_Liters_from_Constructed/Existing water distribution system from river or natural spring]]/90/15</f>
        <v>0</v>
      </c>
      <c r="CM243" s="417">
        <f>IF(WWWW[[#This Row],['#_of water points in TLS/CFS]]*500&gt;WWWW[[#This Row],[Total PoP ]],WWWW[[#This Row],[Total PoP ]],WWWW[[#This Row],['#_of water points in TLS/CFS]]*500)</f>
        <v>0</v>
      </c>
      <c r="CN243" s="417">
        <f>IF(WWWW[[#This Row],['#_of water points in THF]]*500&gt;WWWW[[#This Row],[Total PoP ]],WWWW[[#This Row],[Total PoP ]],WWWW[[#This Row],['#_of water points in THF]]*500)</f>
        <v>0</v>
      </c>
      <c r="CO243" s="417"/>
      <c r="CP243"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43"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43" s="416">
        <f>IF(WWWW[[#This Row],[Location Type 1]]="Village",WWWW[[#This Row],[Access to safe drinking water for Village]],WWWW[[#This Row],[Access to safe drinking water for Camp]])</f>
        <v>1</v>
      </c>
      <c r="CS243" s="421">
        <f>WWWW[[#This Row],[%Equitable and continuous access to sufficient quantity of safe drinking water]]*WWWW[[#This Row],[Total PoP ]]</f>
        <v>24</v>
      </c>
      <c r="CT243" s="416">
        <f>IF((WWWW[[#This Row],['#_Constructed/Existing protected/fenced ponds]]*250)/WWWW[[#This Row],[Total PoP ]]&gt;1,1,(WWWW[[#This Row],['#_Constructed/Existing protected/fenced ponds]]*250)/WWWW[[#This Row],[Total PoP ]])</f>
        <v>1</v>
      </c>
      <c r="CU243" s="421">
        <f>WWWW[[#This Row],[% Access to unimproved water points]]*WWWW[[#This Row],[Total PoP ]]</f>
        <v>24</v>
      </c>
      <c r="CV243"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43"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v>
      </c>
      <c r="CX243" s="421">
        <f>WWWW[[#This Row],[HRP1]]/500</f>
        <v>4.8000000000000001E-2</v>
      </c>
      <c r="CY243" s="951">
        <f>1-WWWW[[#This Row],[% Equitable and continuous access to sufficient quantity of domestic water]]</f>
        <v>0</v>
      </c>
      <c r="CZ243" s="421">
        <f>WWWW[[#This Row],[%equitable and continuous access to sufficient quantity of safe drinking and domestic water''s GAP]]*WWWW[[#This Row],[Total PoP ]]</f>
        <v>0</v>
      </c>
      <c r="DA243" s="417">
        <f>IF(WWWW[[#This Row],[Total required water points]]-WWWW[[#This Row],['#Water points coverage]]&lt;0,0,WWWW[[#This Row],[Total required water points]]-WWWW[[#This Row],['#Water points coverage]])</f>
        <v>0.95199999999999996</v>
      </c>
      <c r="DB243" s="417">
        <f>ROUND(IF(WWWW[[#This Row],[Total PoP ]]&lt;500,1,WWWW[[#This Row],[Total PoP ]]/500),0)</f>
        <v>1</v>
      </c>
      <c r="DC243" s="417">
        <f>(WWWW[[#This Row],['#_Constructed latrines_by_WASHAgencies]]+WWWW[[#This Row],['#_Non Cluster partner latrines]])-WWWW[[#This Row],['#_Non-functional latrines]]</f>
        <v>3</v>
      </c>
      <c r="DD243" s="615">
        <f>WWWW[[#This Row],[HRP2]]/WWWW[[#This Row],[Total PoP ]]</f>
        <v>1</v>
      </c>
      <c r="DE243"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24</v>
      </c>
      <c r="DF243"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43"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43" s="417">
        <f>IF(WWWW[[#This Row],['# of functional latrines in THF supported by WASH partners during the reporting period2]]="",0,WWWW[[#This Row],['# of functional latrines in THF supported by WASH partners during the reporting period2]]*50)</f>
        <v>0</v>
      </c>
      <c r="DI243" s="417">
        <f>ROUND(IF(WWWW[[#This Row],[Location Type 1]]="camp",WWWW[[#This Row],[Total PoP ]]/20,IF(WWWW[[#This Row],[Location Type 1]]="Temporary Location",WWWW[[#This Row],[Total PoP ]]/50,(WWWW[[#This Row],[Total PoP ]]/6))),0)</f>
        <v>1</v>
      </c>
      <c r="DJ243" s="417">
        <f>IF(WWWW[[#This Row],[Total required Latrines]]-(WWWW[[#This Row],['#_Constructed latrines_by_WASHAgencies]]+WWWW[[#This Row],['#_Non Cluster partner latrines]])&lt;0,0,WWWW[[#This Row],[Total required Latrines]]-(WWWW[[#This Row],['#_Constructed latrines_by_WASHAgencies]]+WWWW[[#This Row],['#_Non Cluster partner latrines]]))</f>
        <v>0</v>
      </c>
      <c r="DK243" s="951">
        <f>1-WWWW[[#This Row],[% people access to functioning Latrine]]</f>
        <v>0</v>
      </c>
      <c r="DL243" s="615">
        <f>IF(OR(WWWW[[#This Row],['#_Non-functional latrines]]="",WWWW[[#This Row],['#_Non-functional latrines]]=0),0,WWWW[[#This Row],['#_Non-functional latrines]]/(WWWW[[#This Row],['#_Constructed latrines_by_WASHAgencies]]+WWWW[[#This Row],['#_Non Cluster partner latrines]]))</f>
        <v>0</v>
      </c>
      <c r="DM243" s="421">
        <f>IF(500*(WWWW[[#This Row],['#_male hygiene promoters]]+WWWW[[#This Row],['#_female hygiene promoters]])&gt;WWWW[[#This Row],[Total PoP ]],WWWW[[#This Row],[Total PoP ]],500*(WWWW[[#This Row],['#_male hygiene promoters]]+WWWW[[#This Row],['#_female hygiene promoters]]))</f>
        <v>24</v>
      </c>
      <c r="DN243"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24</v>
      </c>
      <c r="DO243"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4</v>
      </c>
      <c r="DP243" s="417">
        <f>IF(WWWW[[#This Row],['# People with access to soap]]&gt;WWWW[[#This Row],['# People with access to Sanity Pads]],WWWW[[#This Row],['# People with access to soap]],WWWW[[#This Row],['# People with access to Sanity Pads]])</f>
        <v>24</v>
      </c>
      <c r="DQ243" s="417">
        <f>IF(WWWW[[#This Row],['# people reached by regular dedicated hygiene promotion_5]]&gt;WWWW[[#This Row],['# People received regular supply of hygiene items_6]],WWWW[[#This Row],['# people reached by regular dedicated hygiene promotion_5]],WWWW[[#This Row],['# People received regular supply of hygiene items_6]])</f>
        <v>24</v>
      </c>
      <c r="DR243" s="951">
        <f>IF(WWWW[[#This Row],[HRP3]]/WWWW[[#This Row],[Total PoP ]]&gt;1,1,WWWW[[#This Row],[HRP3]]/WWWW[[#This Row],[Total PoP ]])</f>
        <v>1</v>
      </c>
      <c r="DS243" s="615">
        <f>1-WWWW[[#This Row],[Hygiene Coverage%]]</f>
        <v>0</v>
      </c>
      <c r="DT243" s="416">
        <f>WWWW[[#This Row],['# people reached by regular dedicated hygiene promotion_5]]/WWWW[[#This Row],[Total PoP ]]</f>
        <v>1</v>
      </c>
      <c r="DU243"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43"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0.5714285714285714</v>
      </c>
      <c r="DW243" s="417">
        <f>WWWW[[#This Row],['#_Constructed/Existing hand washing stations]]-WWWW[[#This Row],['#_Non-Functional_hand_washing_stations]]</f>
        <v>0</v>
      </c>
      <c r="DX243" s="421">
        <f>IF(WWWW[[#This Row],['# Functional hand washing stations during reporting period]]*20&gt;WWWW[[#This Row],[Total HH]],WWWW[[#This Row],[Total HH]],WWWW[[#This Row],['# Functional hand washing stations during reporting period]]*20)</f>
        <v>0</v>
      </c>
      <c r="DY243" s="421">
        <f>IF(WWWW[[#This Row],[Is sufficient soap available for TLS? (Yes/No)]]="yes",WWWW[[#This Row],['#_Constructed/Existing hand washing stations at TLS/CFS/THF]],0)</f>
        <v>0</v>
      </c>
      <c r="DZ243" s="421">
        <f>IF(WWWW[[#This Row],['# Functional hand washing stations during reporting period]]*100&gt;WWWW[[#This Row],[Total PoP ]],WWWW[[#This Row],[Total PoP ]],WWWW[[#This Row],['# Functional hand washing stations during reporting period]]*100)</f>
        <v>0</v>
      </c>
      <c r="EA243" s="421" t="str">
        <f>IF(OR(WWWW[[#This Row],['#_students at TLS_CFS]]="",WWWW[[#This Row],['#_students at TLS_CFS]]=0),"No","Yes")</f>
        <v>No</v>
      </c>
      <c r="EB243" s="615">
        <f>IF(WWWW[[#This Row],['#_of_affected_people_surveyed_who_report_feeling_informed_about_the_different_WASH_services_available_to_them]]="","",WWWW[[#This Row],['#_of_affected_people_surveyed_who_report_feeling_informed_about_the_different_WASH_services_available_to_them]]/WWWW[[#This Row],[Total PoP ]])</f>
        <v>0.125</v>
      </c>
      <c r="EC243" s="566">
        <f>WWWW[[#This Row],[%_of_affected_people_surveyed_who_report_feeling_satistfied_with_the_latrine_design_and_sanitation_service]]*WWWW[[#This Row],[Total PoP ]]</f>
        <v>18</v>
      </c>
      <c r="ED243" s="566">
        <f>WWWW[[#This Row],[%_of_affected_people_surveyed_who_report_feeling_satistfied_with_the_water_point_design_and_water_service]]*WWWW[[#This Row],[Total PoP ]]</f>
        <v>18</v>
      </c>
      <c r="EE243" s="566">
        <f>WWWW[[#This Row],[%_of_complaints_received_that_result_in_timely_corrective_action_and_feedback_to_the_community]]*WWWW[[#This Row],[Total PoP ]]</f>
        <v>21.6</v>
      </c>
      <c r="EF24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21.6</v>
      </c>
      <c r="EG24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4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43" s="418" t="str">
        <f>VLOOKUP(WWWW[[#This Row],[Site Name]],SiteDB6[[Site Name]:[CCCM Management]],6,FALSE)</f>
        <v>Yes</v>
      </c>
      <c r="EJ243" s="418" t="str">
        <f>VLOOKUP(WWWW[[#This Row],[Site Name]],SiteDB6[[Site Name]:[CCCM Focal Agency]],7,FALSE)</f>
        <v>Shalom</v>
      </c>
      <c r="EK243" s="418" t="str">
        <f>VLOOKUP(WWWW[[#This Row],[Site Name]],SiteDB6[[Site Name]:[Location Type 1]],9,FALSE)</f>
        <v>Camp</v>
      </c>
      <c r="EL243" s="418" t="str">
        <f>VLOOKUP(WWWW[[#This Row],[Site Name]],SiteDB6[[Site Name]:[Type of Accommodation]],10,FALSE)</f>
        <v>Camp like setting</v>
      </c>
      <c r="EM243" s="418" t="str">
        <f>VLOOKUP(WWWW[[#This Row],[Site Name]],SiteDB6[[Site Name]:[Ethnic or GCA/NGCA]],11,FALSE)</f>
        <v>GCA</v>
      </c>
      <c r="EN243" s="418">
        <f>VLOOKUP(WWWW[[#This Row],[Site Name]],SiteDB6[[Site Name]:[Lat]],12,FALSE)</f>
        <v>25.617998</v>
      </c>
      <c r="EO243" s="418">
        <f>VLOOKUP(WWWW[[#This Row],[Site Name]],SiteDB6[[Site Name]:[Long]],13,FALSE)</f>
        <v>96.339590000000001</v>
      </c>
      <c r="EP243" s="418" t="str">
        <f>VLOOKUP(WWWW[[#This Row],[Site Name]],SiteDB6[[Site Name]:[Pcode]],3,FALSE)</f>
        <v>MMR001CMP192</v>
      </c>
      <c r="EQ243" s="950" t="str">
        <f t="shared" si="4"/>
        <v>Covered</v>
      </c>
      <c r="ER243" s="950" t="s">
        <v>136</v>
      </c>
      <c r="ES243" s="950" t="s">
        <v>3263</v>
      </c>
      <c r="ET243" s="418">
        <f>VLOOKUP(WWWW[[#This Row],[Site Name]],SiteDB6[[Site Name]:[Pop
(Kachin/Shan-CCCM as of May 2023)]],16,FALSE)</f>
        <v>7</v>
      </c>
      <c r="EU243" s="418">
        <f>VLOOKUP(WWWW[[#This Row],[Site Name]],SiteDB6[[Site Name]:[Pop
(Kachin/Shan-CCCM as of May 2023)]],17,FALSE)</f>
        <v>24</v>
      </c>
    </row>
    <row r="244" spans="1:151">
      <c r="A244" s="946" t="s">
        <v>2962</v>
      </c>
      <c r="B244" s="1004" t="s">
        <v>36</v>
      </c>
      <c r="C244" s="1005" t="s">
        <v>36</v>
      </c>
      <c r="D244" s="1005" t="s">
        <v>241</v>
      </c>
      <c r="E244" s="1005" t="s">
        <v>37</v>
      </c>
      <c r="F244" s="1005" t="s">
        <v>148</v>
      </c>
      <c r="G244" s="902" t="str">
        <f>VLOOKUP(WWWW[[#This Row],[Site Name]],SiteDB6[[Site Name]:[Location Type]],8,FALSE)</f>
        <v>Camp</v>
      </c>
      <c r="H244" s="1005" t="s">
        <v>231</v>
      </c>
      <c r="I244" s="954">
        <v>46</v>
      </c>
      <c r="J244" s="954">
        <v>227</v>
      </c>
      <c r="K244" s="955">
        <v>44973</v>
      </c>
      <c r="L244" s="956">
        <v>45337</v>
      </c>
      <c r="M244" s="954"/>
      <c r="N244" s="954">
        <v>2</v>
      </c>
      <c r="O244" s="954"/>
      <c r="P244" s="954"/>
      <c r="Q244" s="957" t="s">
        <v>41</v>
      </c>
      <c r="R244" s="954">
        <v>3</v>
      </c>
      <c r="S244" s="954">
        <v>3</v>
      </c>
      <c r="T244" s="441">
        <v>2</v>
      </c>
      <c r="U244" s="954"/>
      <c r="V244" s="954"/>
      <c r="W244" s="954">
        <v>1</v>
      </c>
      <c r="X244" s="954"/>
      <c r="Y244" s="954"/>
      <c r="Z244" s="954"/>
      <c r="AA244" s="954"/>
      <c r="AB244" s="954"/>
      <c r="AC244" s="954"/>
      <c r="AD244" s="954"/>
      <c r="AE244" s="954"/>
      <c r="AF244" s="954"/>
      <c r="AG244" s="954"/>
      <c r="AH244" s="954">
        <v>5</v>
      </c>
      <c r="AI244" s="954"/>
      <c r="AJ244" s="954"/>
      <c r="AK244" s="954"/>
      <c r="AL244" s="954"/>
      <c r="AM244" s="954">
        <v>4</v>
      </c>
      <c r="AN244" s="954"/>
      <c r="AO244" s="441"/>
      <c r="AP244" s="958"/>
      <c r="AQ244" s="954">
        <v>16</v>
      </c>
      <c r="AR244" s="954"/>
      <c r="AS244" s="959"/>
      <c r="AT244" s="954"/>
      <c r="AU244" s="954"/>
      <c r="AV244" s="954"/>
      <c r="AW244" s="954"/>
      <c r="AX244" s="954"/>
      <c r="AY244" s="953" t="s">
        <v>41</v>
      </c>
      <c r="AZ244" s="958" t="s">
        <v>137</v>
      </c>
      <c r="BA244" s="954"/>
      <c r="BB244" s="954"/>
      <c r="BC244" s="954"/>
      <c r="BD244" s="441"/>
      <c r="BE244" s="441"/>
      <c r="BF244" s="953"/>
      <c r="BG244" s="954">
        <v>7</v>
      </c>
      <c r="BH244" s="954"/>
      <c r="BI244" s="954"/>
      <c r="BJ244" s="954">
        <v>2</v>
      </c>
      <c r="BK244" s="954"/>
      <c r="BL244" s="954"/>
      <c r="BM244" s="954">
        <v>1</v>
      </c>
      <c r="BN244" s="954"/>
      <c r="BO244" s="954"/>
      <c r="BP244" s="953" t="s">
        <v>41</v>
      </c>
      <c r="BQ244" s="960"/>
      <c r="BR244" s="959"/>
      <c r="BS244" s="953"/>
      <c r="BT244" s="416"/>
      <c r="BU244" s="416"/>
      <c r="BV244" s="418"/>
      <c r="BW244" s="416"/>
      <c r="BX244" s="441"/>
      <c r="BY244" s="441"/>
      <c r="BZ244" s="441"/>
      <c r="CA244" s="441"/>
      <c r="CB244" s="441"/>
      <c r="CC244" s="693"/>
      <c r="CD244" s="441"/>
      <c r="CE244" s="961" t="str">
        <f>IFERROR(WWWW[[#This Row],['#_Water sources passed]]/WWWW[[#This Row],['#_Water sources tested for fecal coliform ]],"no test")</f>
        <v>no test</v>
      </c>
      <c r="CF244" s="959" t="str">
        <f>IFERROR(WWWW[[#This Row],['#_Household passed]]/WWWW[[#This Row],['#_Household water samples tested for fecal coliform]],"no test")</f>
        <v>no test</v>
      </c>
      <c r="CG244" s="960" t="str">
        <f>IF(AND(WWWW[[#This Row],[% of water sources passed]]="no test",WWWW[[#This Row],[% Household passed]]="no test"),"No Test","Tested")</f>
        <v>No Test</v>
      </c>
      <c r="CH244" s="960">
        <f>WWWW[[#This Row],['#_Constructed/existing protected hand dug well]]-WWWW[[#This Row],['#_Non-functional protected hand dug well]]</f>
        <v>2</v>
      </c>
      <c r="CI244" s="960">
        <f>(WWWW[[#This Row],['#_Constructed/Existing tube wells/boreholes/handpumps_WASH_agency]]+WWWW[[#This Row],['#_Non-Cluster partner water tube-wells/boreholes/handpumps]])-WWWW[[#This Row],['#_Non-functional tube wells/boreholes/handpumps]]</f>
        <v>1</v>
      </c>
      <c r="CJ244" s="960">
        <f>WWWW[[#This Row],['#_Constructed/Existingwater storage tank with gravity fed reticulation system]]-WWWW[[#This Row],['#_Non-functional storage tank gravity fed reticulation system]]</f>
        <v>0</v>
      </c>
      <c r="CK244" s="960">
        <f>(WWWW[[#This Row],['#_Water_Liters_supplied_by_Water boating or water trucking]]/90)/15</f>
        <v>0</v>
      </c>
      <c r="CL244" s="960">
        <f>WWWW[[#This Row],['#_Water_Liters_from_Constructed/Existing water distribution system from river or natural spring]]/90/15</f>
        <v>0</v>
      </c>
      <c r="CM244" s="417">
        <f>IF(WWWW[[#This Row],['#_of water points in TLS/CFS]]*500&gt;WWWW[[#This Row],[Total PoP ]],WWWW[[#This Row],[Total PoP ]],WWWW[[#This Row],['#_of water points in TLS/CFS]]*500)</f>
        <v>0</v>
      </c>
      <c r="CN244" s="417">
        <f>IF(WWWW[[#This Row],['#_of water points in THF]]*500&gt;WWWW[[#This Row],[Total PoP ]],WWWW[[#This Row],[Total PoP ]],WWWW[[#This Row],['#_of water points in THF]]*500)</f>
        <v>0</v>
      </c>
      <c r="CO244" s="417"/>
      <c r="CP244"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44"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44" s="959">
        <f>IF(WWWW[[#This Row],[Location Type 1]]="Village",WWWW[[#This Row],[Access to safe drinking water for Village]],WWWW[[#This Row],[Access to safe drinking water for Camp]])</f>
        <v>1</v>
      </c>
      <c r="CS244" s="957">
        <f>WWWW[[#This Row],[%Equitable and continuous access to sufficient quantity of safe drinking water]]*WWWW[[#This Row],[Total PoP ]]</f>
        <v>227</v>
      </c>
      <c r="CT244" s="959">
        <f>IF((WWWW[[#This Row],['#_Constructed/Existing protected/fenced ponds]]*250)/WWWW[[#This Row],[Total PoP ]]&gt;1,1,(WWWW[[#This Row],['#_Constructed/Existing protected/fenced ponds]]*250)/WWWW[[#This Row],[Total PoP ]])</f>
        <v>0</v>
      </c>
      <c r="CU244" s="957">
        <f>WWWW[[#This Row],[% Access to unimproved water points]]*WWWW[[#This Row],[Total PoP ]]</f>
        <v>0</v>
      </c>
      <c r="CV244"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44"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227</v>
      </c>
      <c r="CX244" s="957">
        <f>WWWW[[#This Row],[HRP1]]/500</f>
        <v>0.45400000000000001</v>
      </c>
      <c r="CY244" s="962">
        <f>1-WWWW[[#This Row],[% Equitable and continuous access to sufficient quantity of domestic water]]</f>
        <v>0</v>
      </c>
      <c r="CZ244" s="957">
        <f>WWWW[[#This Row],[%equitable and continuous access to sufficient quantity of safe drinking and domestic water''s GAP]]*WWWW[[#This Row],[Total PoP ]]</f>
        <v>0</v>
      </c>
      <c r="DA244" s="960">
        <f>IF(WWWW[[#This Row],[Total required water points]]-WWWW[[#This Row],['#Water points coverage]]&lt;0,0,WWWW[[#This Row],[Total required water points]]-WWWW[[#This Row],['#Water points coverage]])</f>
        <v>0.54600000000000004</v>
      </c>
      <c r="DB244" s="960">
        <f>ROUND(IF(WWWW[[#This Row],[Total PoP ]]&lt;500,1,WWWW[[#This Row],[Total PoP ]]/500),0)</f>
        <v>1</v>
      </c>
      <c r="DC244" s="960">
        <f>(WWWW[[#This Row],['#_Constructed latrines_by_WASHAgencies]]+WWWW[[#This Row],['#_Non Cluster partner latrines]])-WWWW[[#This Row],['#_Non-functional latrines]]</f>
        <v>16</v>
      </c>
      <c r="DD244" s="615">
        <f>WWWW[[#This Row],[HRP2]]/WWWW[[#This Row],[Total PoP ]]</f>
        <v>1</v>
      </c>
      <c r="DE244"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227</v>
      </c>
      <c r="DF244"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44"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44" s="417">
        <f>IF(WWWW[[#This Row],['# of functional latrines in THF supported by WASH partners during the reporting period2]]="",0,WWWW[[#This Row],['# of functional latrines in THF supported by WASH partners during the reporting period2]]*50)</f>
        <v>0</v>
      </c>
      <c r="DI244" s="960">
        <f>ROUND(IF(WWWW[[#This Row],[Location Type 1]]="camp",WWWW[[#This Row],[Total PoP ]]/20,IF(WWWW[[#This Row],[Location Type 1]]="Temporary Location",WWWW[[#This Row],[Total PoP ]]/50,(WWWW[[#This Row],[Total PoP ]]/6))),0)</f>
        <v>11</v>
      </c>
      <c r="DJ244" s="960">
        <f>IF(WWWW[[#This Row],[Total required Latrines]]-(WWWW[[#This Row],['#_Constructed latrines_by_WASHAgencies]]+WWWW[[#This Row],['#_Non Cluster partner latrines]])&lt;0,0,WWWW[[#This Row],[Total required Latrines]]-(WWWW[[#This Row],['#_Constructed latrines_by_WASHAgencies]]+WWWW[[#This Row],['#_Non Cluster partner latrines]]))</f>
        <v>0</v>
      </c>
      <c r="DK244" s="962">
        <f>1-WWWW[[#This Row],[% people access to functioning Latrine]]</f>
        <v>0</v>
      </c>
      <c r="DL244" s="961">
        <f>IF(OR(WWWW[[#This Row],['#_Non-functional latrines]]="",WWWW[[#This Row],['#_Non-functional latrines]]=0),0,WWWW[[#This Row],['#_Non-functional latrines]]/(WWWW[[#This Row],['#_Constructed latrines_by_WASHAgencies]]+WWWW[[#This Row],['#_Non Cluster partner latrines]]))</f>
        <v>0</v>
      </c>
      <c r="DM244" s="957">
        <f>IF(500*(WWWW[[#This Row],['#_male hygiene promoters]]+WWWW[[#This Row],['#_female hygiene promoters]])&gt;WWWW[[#This Row],[Total PoP ]],WWWW[[#This Row],[Total PoP ]],500*(WWWW[[#This Row],['#_male hygiene promoters]]+WWWW[[#This Row],['#_female hygiene promoters]]))</f>
        <v>227</v>
      </c>
      <c r="DN244"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44"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44" s="960">
        <f>IF(WWWW[[#This Row],['# People with access to soap]]&gt;WWWW[[#This Row],['# People with access to Sanity Pads]],WWWW[[#This Row],['# People with access to soap]],WWWW[[#This Row],['# People with access to Sanity Pads]])</f>
        <v>0</v>
      </c>
      <c r="DQ244" s="960">
        <f>IF(WWWW[[#This Row],['# people reached by regular dedicated hygiene promotion_5]]&gt;WWWW[[#This Row],['# People received regular supply of hygiene items_6]],WWWW[[#This Row],['# people reached by regular dedicated hygiene promotion_5]],WWWW[[#This Row],['# People received regular supply of hygiene items_6]])</f>
        <v>227</v>
      </c>
      <c r="DR244" s="962">
        <f>IF(WWWW[[#This Row],[HRP3]]/WWWW[[#This Row],[Total PoP ]]&gt;1,1,WWWW[[#This Row],[HRP3]]/WWWW[[#This Row],[Total PoP ]])</f>
        <v>1</v>
      </c>
      <c r="DS244" s="961">
        <f>1-WWWW[[#This Row],[Hygiene Coverage%]]</f>
        <v>0</v>
      </c>
      <c r="DT244" s="959">
        <f>WWWW[[#This Row],['# people reached by regular dedicated hygiene promotion_5]]/WWWW[[#This Row],[Total PoP ]]</f>
        <v>1</v>
      </c>
      <c r="DU244"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44"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44" s="960">
        <f>WWWW[[#This Row],['#_Constructed/Existing hand washing stations]]-WWWW[[#This Row],['#_Non-Functional_hand_washing_stations]]</f>
        <v>7</v>
      </c>
      <c r="DX244" s="957">
        <f>IF(WWWW[[#This Row],['# Functional hand washing stations during reporting period]]*20&gt;WWWW[[#This Row],[Total HH]],WWWW[[#This Row],[Total HH]],WWWW[[#This Row],['# Functional hand washing stations during reporting period]]*20)</f>
        <v>46</v>
      </c>
      <c r="DY244" s="957">
        <f>IF(WWWW[[#This Row],[Is sufficient soap available for TLS? (Yes/No)]]="yes",WWWW[[#This Row],['#_Constructed/Existing hand washing stations at TLS/CFS/THF]],0)</f>
        <v>4</v>
      </c>
      <c r="DZ244" s="421">
        <f>IF(WWWW[[#This Row],['# Functional hand washing stations during reporting period]]*100&gt;WWWW[[#This Row],[Total PoP ]],WWWW[[#This Row],[Total PoP ]],WWWW[[#This Row],['# Functional hand washing stations during reporting period]]*100)</f>
        <v>227</v>
      </c>
      <c r="EA244" s="421" t="str">
        <f>IF(OR(WWWW[[#This Row],['#_students at TLS_CFS]]="",WWWW[[#This Row],['#_students at TLS_CFS]]=0),"No","Yes")</f>
        <v>No</v>
      </c>
      <c r="EB24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44" s="566">
        <f>WWWW[[#This Row],[%_of_affected_people_surveyed_who_report_feeling_satistfied_with_the_latrine_design_and_sanitation_service]]*WWWW[[#This Row],[Total PoP ]]</f>
        <v>0</v>
      </c>
      <c r="ED244" s="566">
        <f>WWWW[[#This Row],[%_of_affected_people_surveyed_who_report_feeling_satistfied_with_the_water_point_design_and_water_service]]*WWWW[[#This Row],[Total PoP ]]</f>
        <v>0</v>
      </c>
      <c r="EE244" s="566">
        <f>WWWW[[#This Row],[%_of_complaints_received_that_result_in_timely_corrective_action_and_feedback_to_the_community]]*WWWW[[#This Row],[Total PoP ]]</f>
        <v>0</v>
      </c>
      <c r="EF24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4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4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44" s="953" t="str">
        <f>VLOOKUP(WWWW[[#This Row],[Site Name]],SiteDB6[[Site Name]:[CCCM Management]],6,FALSE)</f>
        <v>Yes</v>
      </c>
      <c r="EJ244" s="953" t="str">
        <f>VLOOKUP(WWWW[[#This Row],[Site Name]],SiteDB6[[Site Name]:[CCCM Focal Agency]],7,FALSE)</f>
        <v>KMSS-MYT</v>
      </c>
      <c r="EK244" s="953" t="str">
        <f>VLOOKUP(WWWW[[#This Row],[Site Name]],SiteDB6[[Site Name]:[Location Type 1]],9,FALSE)</f>
        <v>Camp</v>
      </c>
      <c r="EL244" s="953" t="str">
        <f>VLOOKUP(WWWW[[#This Row],[Site Name]],SiteDB6[[Site Name]:[Type of Accommodation]],10,FALSE)</f>
        <v>Camp</v>
      </c>
      <c r="EM244" s="953" t="str">
        <f>VLOOKUP(WWWW[[#This Row],[Site Name]],SiteDB6[[Site Name]:[Ethnic or GCA/NGCA]],11,FALSE)</f>
        <v>GCA</v>
      </c>
      <c r="EN244" s="953">
        <f>VLOOKUP(WWWW[[#This Row],[Site Name]],SiteDB6[[Site Name]:[Lat]],12,FALSE)</f>
        <v>25.613894999999999</v>
      </c>
      <c r="EO244" s="953">
        <f>VLOOKUP(WWWW[[#This Row],[Site Name]],SiteDB6[[Site Name]:[Long]],13,FALSE)</f>
        <v>96.341352999999998</v>
      </c>
      <c r="EP244" s="953" t="str">
        <f>VLOOKUP(WWWW[[#This Row],[Site Name]],SiteDB6[[Site Name]:[Pcode]],3,FALSE)</f>
        <v>MMR001CMP103</v>
      </c>
      <c r="EQ244" s="958" t="str">
        <f t="shared" si="4"/>
        <v>Covered</v>
      </c>
      <c r="ER244" s="950" t="s">
        <v>3126</v>
      </c>
      <c r="ES244" s="958" t="s">
        <v>3288</v>
      </c>
      <c r="ET244" s="953">
        <f>VLOOKUP(WWWW[[#This Row],[Site Name]],SiteDB6[[Site Name]:[Pop
(Kachin/Shan-CCCM as of May 2023)]],16,FALSE)</f>
        <v>46</v>
      </c>
      <c r="EU244" s="953">
        <f>VLOOKUP(WWWW[[#This Row],[Site Name]],SiteDB6[[Site Name]:[Pop
(Kachin/Shan-CCCM as of May 2023)]],17,FALSE)</f>
        <v>227</v>
      </c>
    </row>
    <row r="245" spans="1:151">
      <c r="A245" s="946" t="s">
        <v>2962</v>
      </c>
      <c r="B245" s="946" t="s">
        <v>242</v>
      </c>
      <c r="C245" s="938" t="s">
        <v>242</v>
      </c>
      <c r="D245" s="938" t="s">
        <v>3184</v>
      </c>
      <c r="E245" s="938" t="s">
        <v>37</v>
      </c>
      <c r="F245" s="938" t="s">
        <v>148</v>
      </c>
      <c r="G245" s="902" t="str">
        <f>VLOOKUP(WWWW[[#This Row],[Site Name]],SiteDB6[[Site Name]:[Location Type]],8,FALSE)</f>
        <v>Camp</v>
      </c>
      <c r="H245" s="938" t="s">
        <v>259</v>
      </c>
      <c r="I245" s="441">
        <v>16</v>
      </c>
      <c r="J245" s="441">
        <v>72</v>
      </c>
      <c r="K245" s="948">
        <v>44927</v>
      </c>
      <c r="L245" s="949">
        <v>45382</v>
      </c>
      <c r="M245" s="441"/>
      <c r="N245" s="441"/>
      <c r="O245" s="441">
        <v>1</v>
      </c>
      <c r="P245" s="441"/>
      <c r="Q245" s="421" t="s">
        <v>41</v>
      </c>
      <c r="R245" s="441">
        <v>1</v>
      </c>
      <c r="S245" s="441">
        <v>2</v>
      </c>
      <c r="T245" s="441">
        <v>1</v>
      </c>
      <c r="U245" s="441"/>
      <c r="V245" s="441"/>
      <c r="W245" s="441">
        <v>1</v>
      </c>
      <c r="X245" s="441"/>
      <c r="Y245" s="441"/>
      <c r="Z245" s="441"/>
      <c r="AA245" s="441">
        <v>1</v>
      </c>
      <c r="AB245" s="441">
        <v>1</v>
      </c>
      <c r="AC245" s="441"/>
      <c r="AD245" s="441"/>
      <c r="AE245" s="441">
        <v>1</v>
      </c>
      <c r="AF245" s="441"/>
      <c r="AG245" s="441"/>
      <c r="AH245" s="441"/>
      <c r="AI245" s="441"/>
      <c r="AJ245" s="441"/>
      <c r="AK245" s="441"/>
      <c r="AL245" s="441"/>
      <c r="AM245" s="441">
        <v>1</v>
      </c>
      <c r="AN245" s="441"/>
      <c r="AO245" s="441"/>
      <c r="AP245" s="950" t="s">
        <v>3212</v>
      </c>
      <c r="AQ245" s="441">
        <v>2</v>
      </c>
      <c r="AR245" s="441"/>
      <c r="AS245" s="416"/>
      <c r="AT245" s="441"/>
      <c r="AU245" s="441"/>
      <c r="AV245" s="441"/>
      <c r="AW245" s="441"/>
      <c r="AX245" s="441">
        <v>2</v>
      </c>
      <c r="AY245" s="418" t="s">
        <v>41</v>
      </c>
      <c r="AZ245" s="950" t="s">
        <v>137</v>
      </c>
      <c r="BA245" s="441"/>
      <c r="BB245" s="441"/>
      <c r="BC245" s="441"/>
      <c r="BD245" s="441"/>
      <c r="BE245" s="441"/>
      <c r="BF245" s="418" t="s">
        <v>3213</v>
      </c>
      <c r="BG245" s="441">
        <v>3</v>
      </c>
      <c r="BH245" s="441">
        <v>1</v>
      </c>
      <c r="BI245" s="441"/>
      <c r="BJ245" s="441">
        <v>2</v>
      </c>
      <c r="BK245" s="441"/>
      <c r="BL245" s="441">
        <v>1</v>
      </c>
      <c r="BM245" s="441"/>
      <c r="BN245" s="441">
        <v>16</v>
      </c>
      <c r="BO245" s="441">
        <v>24</v>
      </c>
      <c r="BP245" s="418" t="s">
        <v>136</v>
      </c>
      <c r="BQ245" s="417"/>
      <c r="BR245" s="416">
        <v>1</v>
      </c>
      <c r="BS245" s="418"/>
      <c r="BT245" s="416">
        <v>1</v>
      </c>
      <c r="BU245" s="416">
        <v>0.2</v>
      </c>
      <c r="BV245" s="418"/>
      <c r="BW245" s="416">
        <v>0.2</v>
      </c>
      <c r="BX245" s="441"/>
      <c r="BY245" s="441"/>
      <c r="BZ245" s="441"/>
      <c r="CA245" s="441"/>
      <c r="CB245" s="441"/>
      <c r="CC245" s="693"/>
      <c r="CD245" s="441"/>
      <c r="CE245" s="615" t="str">
        <f>IFERROR(WWWW[[#This Row],['#_Water sources passed]]/WWWW[[#This Row],['#_Water sources tested for fecal coliform ]],"no test")</f>
        <v>no test</v>
      </c>
      <c r="CF245" s="416" t="str">
        <f>IFERROR(WWWW[[#This Row],['#_Household passed]]/WWWW[[#This Row],['#_Household water samples tested for fecal coliform]],"no test")</f>
        <v>no test</v>
      </c>
      <c r="CG245" s="417" t="str">
        <f>IF(AND(WWWW[[#This Row],[% of water sources passed]]="no test",WWWW[[#This Row],[% Household passed]]="no test"),"No Test","Tested")</f>
        <v>No Test</v>
      </c>
      <c r="CH245" s="417">
        <f>WWWW[[#This Row],['#_Constructed/existing protected hand dug well]]-WWWW[[#This Row],['#_Non-functional protected hand dug well]]</f>
        <v>1</v>
      </c>
      <c r="CI245" s="417">
        <f>(WWWW[[#This Row],['#_Constructed/Existing tube wells/boreholes/handpumps_WASH_agency]]+WWWW[[#This Row],['#_Non-Cluster partner water tube-wells/boreholes/handpumps]])-WWWW[[#This Row],['#_Non-functional tube wells/boreholes/handpumps]]</f>
        <v>1</v>
      </c>
      <c r="CJ245" s="417">
        <f>WWWW[[#This Row],['#_Constructed/Existingwater storage tank with gravity fed reticulation system]]-WWWW[[#This Row],['#_Non-functional storage tank gravity fed reticulation system]]</f>
        <v>0</v>
      </c>
      <c r="CK245" s="417">
        <f>(WWWW[[#This Row],['#_Water_Liters_supplied_by_Water boating or water trucking]]/90)/15</f>
        <v>0</v>
      </c>
      <c r="CL245" s="417">
        <f>WWWW[[#This Row],['#_Water_Liters_from_Constructed/Existing water distribution system from river or natural spring]]/90/15</f>
        <v>0</v>
      </c>
      <c r="CM245" s="417">
        <f>IF(WWWW[[#This Row],['#_of water points in TLS/CFS]]*500&gt;WWWW[[#This Row],[Total PoP ]],WWWW[[#This Row],[Total PoP ]],WWWW[[#This Row],['#_of water points in TLS/CFS]]*500)</f>
        <v>0</v>
      </c>
      <c r="CN245" s="417">
        <f>IF(WWWW[[#This Row],['#_of water points in THF]]*500&gt;WWWW[[#This Row],[Total PoP ]],WWWW[[#This Row],[Total PoP ]],WWWW[[#This Row],['#_of water points in THF]]*500)</f>
        <v>0</v>
      </c>
      <c r="CO245" s="417"/>
      <c r="CP245"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45"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45" s="416">
        <f>IF(WWWW[[#This Row],[Location Type 1]]="Village",WWWW[[#This Row],[Access to safe drinking water for Village]],WWWW[[#This Row],[Access to safe drinking water for Camp]])</f>
        <v>1</v>
      </c>
      <c r="CS245" s="421">
        <f>WWWW[[#This Row],[%Equitable and continuous access to sufficient quantity of safe drinking water]]*WWWW[[#This Row],[Total PoP ]]</f>
        <v>72</v>
      </c>
      <c r="CT245" s="416">
        <f>IF((WWWW[[#This Row],['#_Constructed/Existing protected/fenced ponds]]*250)/WWWW[[#This Row],[Total PoP ]]&gt;1,1,(WWWW[[#This Row],['#_Constructed/Existing protected/fenced ponds]]*250)/WWWW[[#This Row],[Total PoP ]])</f>
        <v>1</v>
      </c>
      <c r="CU245" s="421">
        <f>WWWW[[#This Row],[% Access to unimproved water points]]*WWWW[[#This Row],[Total PoP ]]</f>
        <v>72</v>
      </c>
      <c r="CV245"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45"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72</v>
      </c>
      <c r="CX245" s="421">
        <f>WWWW[[#This Row],[HRP1]]/500</f>
        <v>0.14399999999999999</v>
      </c>
      <c r="CY245" s="951">
        <f>1-WWWW[[#This Row],[% Equitable and continuous access to sufficient quantity of domestic water]]</f>
        <v>0</v>
      </c>
      <c r="CZ245" s="421">
        <f>WWWW[[#This Row],[%equitable and continuous access to sufficient quantity of safe drinking and domestic water''s GAP]]*WWWW[[#This Row],[Total PoP ]]</f>
        <v>0</v>
      </c>
      <c r="DA245" s="417">
        <f>IF(WWWW[[#This Row],[Total required water points]]-WWWW[[#This Row],['#Water points coverage]]&lt;0,0,WWWW[[#This Row],[Total required water points]]-WWWW[[#This Row],['#Water points coverage]])</f>
        <v>0.85599999999999998</v>
      </c>
      <c r="DB245" s="417">
        <f>ROUND(IF(WWWW[[#This Row],[Total PoP ]]&lt;500,1,WWWW[[#This Row],[Total PoP ]]/500),0)</f>
        <v>1</v>
      </c>
      <c r="DC245" s="417">
        <f>(WWWW[[#This Row],['#_Constructed latrines_by_WASHAgencies]]+WWWW[[#This Row],['#_Non Cluster partner latrines]])-WWWW[[#This Row],['#_Non-functional latrines]]</f>
        <v>2</v>
      </c>
      <c r="DD245" s="615">
        <f>WWWW[[#This Row],[HRP2]]/WWWW[[#This Row],[Total PoP ]]</f>
        <v>0.55555555555555558</v>
      </c>
      <c r="DE245"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245"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45"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45" s="417">
        <f>IF(WWWW[[#This Row],['# of functional latrines in THF supported by WASH partners during the reporting period2]]="",0,WWWW[[#This Row],['# of functional latrines in THF supported by WASH partners during the reporting period2]]*50)</f>
        <v>0</v>
      </c>
      <c r="DI245" s="417">
        <f>ROUND(IF(WWWW[[#This Row],[Location Type 1]]="camp",WWWW[[#This Row],[Total PoP ]]/20,IF(WWWW[[#This Row],[Location Type 1]]="Temporary Location",WWWW[[#This Row],[Total PoP ]]/50,(WWWW[[#This Row],[Total PoP ]]/6))),0)</f>
        <v>4</v>
      </c>
      <c r="DJ245" s="417">
        <f>IF(WWWW[[#This Row],[Total required Latrines]]-(WWWW[[#This Row],['#_Constructed latrines_by_WASHAgencies]]+WWWW[[#This Row],['#_Non Cluster partner latrines]])&lt;0,0,WWWW[[#This Row],[Total required Latrines]]-(WWWW[[#This Row],['#_Constructed latrines_by_WASHAgencies]]+WWWW[[#This Row],['#_Non Cluster partner latrines]]))</f>
        <v>2</v>
      </c>
      <c r="DK245" s="951">
        <f>1-WWWW[[#This Row],[% people access to functioning Latrine]]</f>
        <v>0.44444444444444442</v>
      </c>
      <c r="DL245" s="615">
        <f>IF(OR(WWWW[[#This Row],['#_Non-functional latrines]]="",WWWW[[#This Row],['#_Non-functional latrines]]=0),0,WWWW[[#This Row],['#_Non-functional latrines]]/(WWWW[[#This Row],['#_Constructed latrines_by_WASHAgencies]]+WWWW[[#This Row],['#_Non Cluster partner latrines]]))</f>
        <v>0</v>
      </c>
      <c r="DM245" s="421">
        <f>IF(500*(WWWW[[#This Row],['#_male hygiene promoters]]+WWWW[[#This Row],['#_female hygiene promoters]])&gt;WWWW[[#This Row],[Total PoP ]],WWWW[[#This Row],[Total PoP ]],500*(WWWW[[#This Row],['#_male hygiene promoters]]+WWWW[[#This Row],['#_female hygiene promoters]]))</f>
        <v>72</v>
      </c>
      <c r="DN245"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72</v>
      </c>
      <c r="DO245"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24</v>
      </c>
      <c r="DP245" s="417">
        <f>IF(WWWW[[#This Row],['# People with access to soap]]&gt;WWWW[[#This Row],['# People with access to Sanity Pads]],WWWW[[#This Row],['# People with access to soap]],WWWW[[#This Row],['# People with access to Sanity Pads]])</f>
        <v>72</v>
      </c>
      <c r="DQ245" s="417">
        <f>IF(WWWW[[#This Row],['# people reached by regular dedicated hygiene promotion_5]]&gt;WWWW[[#This Row],['# People received regular supply of hygiene items_6]],WWWW[[#This Row],['# people reached by regular dedicated hygiene promotion_5]],WWWW[[#This Row],['# People received regular supply of hygiene items_6]])</f>
        <v>72</v>
      </c>
      <c r="DR245" s="951">
        <f>IF(WWWW[[#This Row],[HRP3]]/WWWW[[#This Row],[Total PoP ]]&gt;1,1,WWWW[[#This Row],[HRP3]]/WWWW[[#This Row],[Total PoP ]])</f>
        <v>1</v>
      </c>
      <c r="DS245" s="615">
        <f>1-WWWW[[#This Row],[Hygiene Coverage%]]</f>
        <v>0</v>
      </c>
      <c r="DT245" s="416">
        <f>WWWW[[#This Row],['# people reached by regular dedicated hygiene promotion_5]]/WWWW[[#This Row],[Total PoP ]]</f>
        <v>1</v>
      </c>
      <c r="DU245"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45"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245" s="417">
        <f>WWWW[[#This Row],['#_Constructed/Existing hand washing stations]]-WWWW[[#This Row],['#_Non-Functional_hand_washing_stations]]</f>
        <v>2</v>
      </c>
      <c r="DX245" s="421">
        <f>IF(WWWW[[#This Row],['# Functional hand washing stations during reporting period]]*20&gt;WWWW[[#This Row],[Total HH]],WWWW[[#This Row],[Total HH]],WWWW[[#This Row],['# Functional hand washing stations during reporting period]]*20)</f>
        <v>16</v>
      </c>
      <c r="DY245" s="421">
        <f>IF(WWWW[[#This Row],[Is sufficient soap available for TLS? (Yes/No)]]="yes",WWWW[[#This Row],['#_Constructed/Existing hand washing stations at TLS/CFS/THF]],0)</f>
        <v>0</v>
      </c>
      <c r="DZ245" s="421">
        <f>IF(WWWW[[#This Row],['# Functional hand washing stations during reporting period]]*100&gt;WWWW[[#This Row],[Total PoP ]],WWWW[[#This Row],[Total PoP ]],WWWW[[#This Row],['# Functional hand washing stations during reporting period]]*100)</f>
        <v>72</v>
      </c>
      <c r="EA245" s="421" t="str">
        <f>IF(OR(WWWW[[#This Row],['#_students at TLS_CFS]]="",WWWW[[#This Row],['#_students at TLS_CFS]]=0),"No","Yes")</f>
        <v>No</v>
      </c>
      <c r="EB24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45" s="566">
        <f>WWWW[[#This Row],[%_of_affected_people_surveyed_who_report_feeling_satistfied_with_the_latrine_design_and_sanitation_service]]*WWWW[[#This Row],[Total PoP ]]</f>
        <v>72</v>
      </c>
      <c r="ED245" s="566">
        <f>WWWW[[#This Row],[%_of_affected_people_surveyed_who_report_feeling_satistfied_with_the_water_point_design_and_water_service]]*WWWW[[#This Row],[Total PoP ]]</f>
        <v>14.4</v>
      </c>
      <c r="EE245" s="566">
        <f>WWWW[[#This Row],[%_of_complaints_received_that_result_in_timely_corrective_action_and_feedback_to_the_community]]*WWWW[[#This Row],[Total PoP ]]</f>
        <v>14.4</v>
      </c>
      <c r="EF24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72</v>
      </c>
      <c r="EG24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4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45" s="418" t="str">
        <f>VLOOKUP(WWWW[[#This Row],[Site Name]],SiteDB6[[Site Name]:[CCCM Management]],6,FALSE)</f>
        <v>Yes</v>
      </c>
      <c r="EJ245" s="418" t="str">
        <f>VLOOKUP(WWWW[[#This Row],[Site Name]],SiteDB6[[Site Name]:[CCCM Focal Agency]],7,FALSE)</f>
        <v>Shalom</v>
      </c>
      <c r="EK245" s="418" t="str">
        <f>VLOOKUP(WWWW[[#This Row],[Site Name]],SiteDB6[[Site Name]:[Location Type 1]],9,FALSE)</f>
        <v>Camp</v>
      </c>
      <c r="EL245" s="418" t="str">
        <f>VLOOKUP(WWWW[[#This Row],[Site Name]],SiteDB6[[Site Name]:[Type of Accommodation]],10,FALSE)</f>
        <v>Camp like setting</v>
      </c>
      <c r="EM245" s="418" t="str">
        <f>VLOOKUP(WWWW[[#This Row],[Site Name]],SiteDB6[[Site Name]:[Ethnic or GCA/NGCA]],11,FALSE)</f>
        <v>GCA</v>
      </c>
      <c r="EN245" s="418">
        <f>VLOOKUP(WWWW[[#This Row],[Site Name]],SiteDB6[[Site Name]:[Lat]],12,FALSE)</f>
        <v>25.56551</v>
      </c>
      <c r="EO245" s="418">
        <f>VLOOKUP(WWWW[[#This Row],[Site Name]],SiteDB6[[Site Name]:[Long]],13,FALSE)</f>
        <v>96.279200000000003</v>
      </c>
      <c r="EP245" s="418" t="str">
        <f>VLOOKUP(WWWW[[#This Row],[Site Name]],SiteDB6[[Site Name]:[Pcode]],3,FALSE)</f>
        <v>MMR001CMP182</v>
      </c>
      <c r="EQ245" s="950" t="str">
        <f t="shared" si="4"/>
        <v>Covered</v>
      </c>
      <c r="ER245" s="950" t="s">
        <v>136</v>
      </c>
      <c r="ES245" s="950" t="s">
        <v>3263</v>
      </c>
      <c r="ET245" s="418">
        <f>VLOOKUP(WWWW[[#This Row],[Site Name]],SiteDB6[[Site Name]:[Pop
(Kachin/Shan-CCCM as of May 2023)]],16,FALSE)</f>
        <v>21</v>
      </c>
      <c r="EU245" s="418">
        <f>VLOOKUP(WWWW[[#This Row],[Site Name]],SiteDB6[[Site Name]:[Pop
(Kachin/Shan-CCCM as of May 2023)]],17,FALSE)</f>
        <v>96</v>
      </c>
    </row>
    <row r="246" spans="1:151">
      <c r="A246" s="946" t="s">
        <v>2962</v>
      </c>
      <c r="B246" s="946" t="s">
        <v>309</v>
      </c>
      <c r="C246" s="938" t="s">
        <v>309</v>
      </c>
      <c r="D246" s="938"/>
      <c r="E246" s="938" t="s">
        <v>37</v>
      </c>
      <c r="F246" s="938" t="s">
        <v>148</v>
      </c>
      <c r="G246" s="902" t="str">
        <f>VLOOKUP(WWWW[[#This Row],[Site Name]],SiteDB6[[Site Name]:[Location Type]],8,FALSE)</f>
        <v>Camp</v>
      </c>
      <c r="H246" s="938" t="s">
        <v>2986</v>
      </c>
      <c r="I246" s="441">
        <v>12</v>
      </c>
      <c r="J246" s="441">
        <v>54</v>
      </c>
      <c r="K246" s="948"/>
      <c r="L246" s="949"/>
      <c r="M246" s="441"/>
      <c r="N246" s="441"/>
      <c r="O246" s="441"/>
      <c r="P246" s="441"/>
      <c r="Q246" s="421"/>
      <c r="R246" s="441"/>
      <c r="S246" s="441"/>
      <c r="T246" s="441"/>
      <c r="U246" s="441"/>
      <c r="V246" s="441"/>
      <c r="W246" s="441"/>
      <c r="X246" s="441"/>
      <c r="Y246" s="441"/>
      <c r="Z246" s="441"/>
      <c r="AA246" s="441"/>
      <c r="AB246" s="441"/>
      <c r="AC246" s="441"/>
      <c r="AD246" s="441"/>
      <c r="AE246" s="441"/>
      <c r="AF246" s="441"/>
      <c r="AG246" s="441"/>
      <c r="AH246" s="441"/>
      <c r="AI246" s="441"/>
      <c r="AJ246" s="441"/>
      <c r="AK246" s="441"/>
      <c r="AL246" s="441"/>
      <c r="AM246" s="441"/>
      <c r="AN246" s="441"/>
      <c r="AO246" s="441"/>
      <c r="AP246" s="950"/>
      <c r="AQ246" s="441"/>
      <c r="AR246" s="441"/>
      <c r="AS246" s="416"/>
      <c r="AT246" s="441"/>
      <c r="AU246" s="441"/>
      <c r="AV246" s="441"/>
      <c r="AW246" s="441"/>
      <c r="AX246" s="441"/>
      <c r="AY246" s="418"/>
      <c r="AZ246" s="950"/>
      <c r="BA246" s="441"/>
      <c r="BB246" s="441"/>
      <c r="BC246" s="441"/>
      <c r="BD246" s="441"/>
      <c r="BE246" s="441"/>
      <c r="BF246" s="418"/>
      <c r="BG246" s="441"/>
      <c r="BH246" s="441"/>
      <c r="BI246" s="441"/>
      <c r="BJ246" s="441"/>
      <c r="BK246" s="441"/>
      <c r="BL246" s="441"/>
      <c r="BM246" s="441"/>
      <c r="BN246" s="441"/>
      <c r="BO246" s="441"/>
      <c r="BP246" s="418"/>
      <c r="BQ246" s="417"/>
      <c r="BR246" s="416"/>
      <c r="BS246" s="418"/>
      <c r="BT246" s="416"/>
      <c r="BU246" s="416"/>
      <c r="BV246" s="418"/>
      <c r="BW246" s="416"/>
      <c r="BX246" s="441"/>
      <c r="BY246" s="441"/>
      <c r="BZ246" s="441"/>
      <c r="CA246" s="441"/>
      <c r="CB246" s="441"/>
      <c r="CC246" s="693"/>
      <c r="CD246" s="441"/>
      <c r="CE246" s="615" t="str">
        <f>IFERROR(WWWW[[#This Row],['#_Water sources passed]]/WWWW[[#This Row],['#_Water sources tested for fecal coliform ]],"no test")</f>
        <v>no test</v>
      </c>
      <c r="CF246" s="416" t="str">
        <f>IFERROR(WWWW[[#This Row],['#_Household passed]]/WWWW[[#This Row],['#_Household water samples tested for fecal coliform]],"no test")</f>
        <v>no test</v>
      </c>
      <c r="CG246" s="417" t="str">
        <f>IF(AND(WWWW[[#This Row],[% of water sources passed]]="no test",WWWW[[#This Row],[% Household passed]]="no test"),"No Test","Tested")</f>
        <v>No Test</v>
      </c>
      <c r="CH246" s="417">
        <f>WWWW[[#This Row],['#_Constructed/existing protected hand dug well]]-WWWW[[#This Row],['#_Non-functional protected hand dug well]]</f>
        <v>0</v>
      </c>
      <c r="CI246" s="417">
        <f>(WWWW[[#This Row],['#_Constructed/Existing tube wells/boreholes/handpumps_WASH_agency]]+WWWW[[#This Row],['#_Non-Cluster partner water tube-wells/boreholes/handpumps]])-WWWW[[#This Row],['#_Non-functional tube wells/boreholes/handpumps]]</f>
        <v>0</v>
      </c>
      <c r="CJ246" s="417">
        <f>WWWW[[#This Row],['#_Constructed/Existingwater storage tank with gravity fed reticulation system]]-WWWW[[#This Row],['#_Non-functional storage tank gravity fed reticulation system]]</f>
        <v>0</v>
      </c>
      <c r="CK246" s="417">
        <f>(WWWW[[#This Row],['#_Water_Liters_supplied_by_Water boating or water trucking]]/90)/15</f>
        <v>0</v>
      </c>
      <c r="CL246" s="417">
        <f>WWWW[[#This Row],['#_Water_Liters_from_Constructed/Existing water distribution system from river or natural spring]]/90/15</f>
        <v>0</v>
      </c>
      <c r="CM246" s="417">
        <f>IF(WWWW[[#This Row],['#_of water points in TLS/CFS]]*500&gt;WWWW[[#This Row],[Total PoP ]],WWWW[[#This Row],[Total PoP ]],WWWW[[#This Row],['#_of water points in TLS/CFS]]*500)</f>
        <v>0</v>
      </c>
      <c r="CN246" s="417">
        <f>IF(WWWW[[#This Row],['#_of water points in THF]]*500&gt;WWWW[[#This Row],[Total PoP ]],WWWW[[#This Row],[Total PoP ]],WWWW[[#This Row],['#_of water points in THF]]*500)</f>
        <v>0</v>
      </c>
      <c r="CO246" s="417"/>
      <c r="CP246"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46"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46" s="416">
        <f>IF(WWWW[[#This Row],[Location Type 1]]="Village",WWWW[[#This Row],[Access to safe drinking water for Village]],WWWW[[#This Row],[Access to safe drinking water for Camp]])</f>
        <v>0</v>
      </c>
      <c r="CS246" s="421">
        <f>WWWW[[#This Row],[%Equitable and continuous access to sufficient quantity of safe drinking water]]*WWWW[[#This Row],[Total PoP ]]</f>
        <v>0</v>
      </c>
      <c r="CT246" s="416">
        <f>IF((WWWW[[#This Row],['#_Constructed/Existing protected/fenced ponds]]*250)/WWWW[[#This Row],[Total PoP ]]&gt;1,1,(WWWW[[#This Row],['#_Constructed/Existing protected/fenced ponds]]*250)/WWWW[[#This Row],[Total PoP ]])</f>
        <v>0</v>
      </c>
      <c r="CU246" s="421">
        <f>WWWW[[#This Row],[% Access to unimproved water points]]*WWWW[[#This Row],[Total PoP ]]</f>
        <v>0</v>
      </c>
      <c r="CV246"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246"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246" s="421">
        <f>WWWW[[#This Row],[HRP1]]/500</f>
        <v>0</v>
      </c>
      <c r="CY246" s="951">
        <f>1-WWWW[[#This Row],[% Equitable and continuous access to sufficient quantity of domestic water]]</f>
        <v>1</v>
      </c>
      <c r="CZ246" s="421">
        <f>WWWW[[#This Row],[%equitable and continuous access to sufficient quantity of safe drinking and domestic water''s GAP]]*WWWW[[#This Row],[Total PoP ]]</f>
        <v>54</v>
      </c>
      <c r="DA246" s="417">
        <f>IF(WWWW[[#This Row],[Total required water points]]-WWWW[[#This Row],['#Water points coverage]]&lt;0,0,WWWW[[#This Row],[Total required water points]]-WWWW[[#This Row],['#Water points coverage]])</f>
        <v>1</v>
      </c>
      <c r="DB246" s="417">
        <f>ROUND(IF(WWWW[[#This Row],[Total PoP ]]&lt;500,1,WWWW[[#This Row],[Total PoP ]]/500),0)</f>
        <v>1</v>
      </c>
      <c r="DC246" s="417">
        <f>(WWWW[[#This Row],['#_Constructed latrines_by_WASHAgencies]]+WWWW[[#This Row],['#_Non Cluster partner latrines]])-WWWW[[#This Row],['#_Non-functional latrines]]</f>
        <v>0</v>
      </c>
      <c r="DD246" s="615">
        <f>WWWW[[#This Row],[HRP2]]/WWWW[[#This Row],[Total PoP ]]</f>
        <v>0</v>
      </c>
      <c r="DE246"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46"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46"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46" s="417">
        <f>IF(WWWW[[#This Row],['# of functional latrines in THF supported by WASH partners during the reporting period2]]="",0,WWWW[[#This Row],['# of functional latrines in THF supported by WASH partners during the reporting period2]]*50)</f>
        <v>0</v>
      </c>
      <c r="DI246" s="417">
        <f>ROUND(IF(WWWW[[#This Row],[Location Type 1]]="camp",WWWW[[#This Row],[Total PoP ]]/20,IF(WWWW[[#This Row],[Location Type 1]]="Temporary Location",WWWW[[#This Row],[Total PoP ]]/50,(WWWW[[#This Row],[Total PoP ]]/6))),0)</f>
        <v>3</v>
      </c>
      <c r="DJ246" s="417">
        <f>IF(WWWW[[#This Row],[Total required Latrines]]-(WWWW[[#This Row],['#_Constructed latrines_by_WASHAgencies]]+WWWW[[#This Row],['#_Non Cluster partner latrines]])&lt;0,0,WWWW[[#This Row],[Total required Latrines]]-(WWWW[[#This Row],['#_Constructed latrines_by_WASHAgencies]]+WWWW[[#This Row],['#_Non Cluster partner latrines]]))</f>
        <v>3</v>
      </c>
      <c r="DK246" s="951">
        <f>1-WWWW[[#This Row],[% people access to functioning Latrine]]</f>
        <v>1</v>
      </c>
      <c r="DL246" s="615">
        <f>IF(OR(WWWW[[#This Row],['#_Non-functional latrines]]="",WWWW[[#This Row],['#_Non-functional latrines]]=0),0,WWWW[[#This Row],['#_Non-functional latrines]]/(WWWW[[#This Row],['#_Constructed latrines_by_WASHAgencies]]+WWWW[[#This Row],['#_Non Cluster partner latrines]]))</f>
        <v>0</v>
      </c>
      <c r="DM246" s="421">
        <f>IF(500*(WWWW[[#This Row],['#_male hygiene promoters]]+WWWW[[#This Row],['#_female hygiene promoters]])&gt;WWWW[[#This Row],[Total PoP ]],WWWW[[#This Row],[Total PoP ]],500*(WWWW[[#This Row],['#_male hygiene promoters]]+WWWW[[#This Row],['#_female hygiene promoters]]))</f>
        <v>0</v>
      </c>
      <c r="DN246"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46"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46" s="417">
        <f>IF(WWWW[[#This Row],['# People with access to soap]]&gt;WWWW[[#This Row],['# People with access to Sanity Pads]],WWWW[[#This Row],['# People with access to soap]],WWWW[[#This Row],['# People with access to Sanity Pads]])</f>
        <v>0</v>
      </c>
      <c r="DQ246"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46" s="951">
        <f>IF(WWWW[[#This Row],[HRP3]]/WWWW[[#This Row],[Total PoP ]]&gt;1,1,WWWW[[#This Row],[HRP3]]/WWWW[[#This Row],[Total PoP ]])</f>
        <v>0</v>
      </c>
      <c r="DS246" s="615">
        <f>1-WWWW[[#This Row],[Hygiene Coverage%]]</f>
        <v>1</v>
      </c>
      <c r="DT246" s="416">
        <f>WWWW[[#This Row],['# people reached by regular dedicated hygiene promotion_5]]/WWWW[[#This Row],[Total PoP ]]</f>
        <v>0</v>
      </c>
      <c r="DU246"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46"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46" s="417">
        <f>WWWW[[#This Row],['#_Constructed/Existing hand washing stations]]-WWWW[[#This Row],['#_Non-Functional_hand_washing_stations]]</f>
        <v>0</v>
      </c>
      <c r="DX246" s="421">
        <f>IF(WWWW[[#This Row],['# Functional hand washing stations during reporting period]]*20&gt;WWWW[[#This Row],[Total HH]],WWWW[[#This Row],[Total HH]],WWWW[[#This Row],['# Functional hand washing stations during reporting period]]*20)</f>
        <v>0</v>
      </c>
      <c r="DY246" s="421">
        <f>IF(WWWW[[#This Row],[Is sufficient soap available for TLS? (Yes/No)]]="yes",WWWW[[#This Row],['#_Constructed/Existing hand washing stations at TLS/CFS/THF]],0)</f>
        <v>0</v>
      </c>
      <c r="DZ246" s="421">
        <f>IF(WWWW[[#This Row],['# Functional hand washing stations during reporting period]]*100&gt;WWWW[[#This Row],[Total PoP ]],WWWW[[#This Row],[Total PoP ]],WWWW[[#This Row],['# Functional hand washing stations during reporting period]]*100)</f>
        <v>0</v>
      </c>
      <c r="EA246" s="421" t="str">
        <f>IF(OR(WWWW[[#This Row],['#_students at TLS_CFS]]="",WWWW[[#This Row],['#_students at TLS_CFS]]=0),"No","Yes")</f>
        <v>No</v>
      </c>
      <c r="EB24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46" s="566">
        <f>WWWW[[#This Row],[%_of_affected_people_surveyed_who_report_feeling_satistfied_with_the_latrine_design_and_sanitation_service]]*WWWW[[#This Row],[Total PoP ]]</f>
        <v>0</v>
      </c>
      <c r="ED246" s="566">
        <f>WWWW[[#This Row],[%_of_affected_people_surveyed_who_report_feeling_satistfied_with_the_water_point_design_and_water_service]]*WWWW[[#This Row],[Total PoP ]]</f>
        <v>0</v>
      </c>
      <c r="EE246" s="566">
        <f>WWWW[[#This Row],[%_of_complaints_received_that_result_in_timely_corrective_action_and_feedback_to_the_community]]*WWWW[[#This Row],[Total PoP ]]</f>
        <v>0</v>
      </c>
      <c r="EF24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4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4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46" s="418">
        <f>VLOOKUP(WWWW[[#This Row],[Site Name]],SiteDB6[[Site Name]:[CCCM Management]],6,FALSE)</f>
        <v>0</v>
      </c>
      <c r="EJ246" s="418" t="str">
        <f>VLOOKUP(WWWW[[#This Row],[Site Name]],SiteDB6[[Site Name]:[CCCM Focal Agency]],7,FALSE)</f>
        <v xml:space="preserve">Uncovered  </v>
      </c>
      <c r="EK246" s="418" t="str">
        <f>VLOOKUP(WWWW[[#This Row],[Site Name]],SiteDB6[[Site Name]:[Location Type 1]],9,FALSE)</f>
        <v>Camp</v>
      </c>
      <c r="EL246" s="418" t="str">
        <f>VLOOKUP(WWWW[[#This Row],[Site Name]],SiteDB6[[Site Name]:[Type of Accommodation]],10,FALSE)</f>
        <v>Camp like setting</v>
      </c>
      <c r="EM246" s="418" t="str">
        <f>VLOOKUP(WWWW[[#This Row],[Site Name]],SiteDB6[[Site Name]:[Ethnic or GCA/NGCA]],11,FALSE)</f>
        <v>GCA</v>
      </c>
      <c r="EN246" s="418">
        <f>VLOOKUP(WWWW[[#This Row],[Site Name]],SiteDB6[[Site Name]:[Lat]],12,FALSE)</f>
        <v>0</v>
      </c>
      <c r="EO246" s="418" t="str">
        <f>VLOOKUP(WWWW[[#This Row],[Site Name]],SiteDB6[[Site Name]:[Long]],13,FALSE)</f>
        <v>not available</v>
      </c>
      <c r="EP246" s="418" t="str">
        <f>VLOOKUP(WWWW[[#This Row],[Site Name]],SiteDB6[[Site Name]:[Pcode]],3,FALSE)</f>
        <v>MMR001CMP298</v>
      </c>
      <c r="EQ246" s="950" t="str">
        <f t="shared" si="4"/>
        <v>Notcovered</v>
      </c>
      <c r="ER246" s="950"/>
      <c r="ES246" s="950" t="s">
        <v>3257</v>
      </c>
      <c r="ET246" s="418">
        <f>VLOOKUP(WWWW[[#This Row],[Site Name]],SiteDB6[[Site Name]:[Pop
(Kachin/Shan-CCCM as of May 2023)]],16,FALSE)</f>
        <v>12</v>
      </c>
      <c r="EU246" s="418">
        <f>VLOOKUP(WWWW[[#This Row],[Site Name]],SiteDB6[[Site Name]:[Pop
(Kachin/Shan-CCCM as of May 2023)]],17,FALSE)</f>
        <v>54</v>
      </c>
    </row>
    <row r="247" spans="1:151">
      <c r="A247" s="946" t="s">
        <v>2962</v>
      </c>
      <c r="B247" s="1004" t="s">
        <v>36</v>
      </c>
      <c r="C247" s="1005" t="s">
        <v>36</v>
      </c>
      <c r="D247" s="1005" t="s">
        <v>241</v>
      </c>
      <c r="E247" s="1005" t="s">
        <v>37</v>
      </c>
      <c r="F247" s="1005" t="s">
        <v>148</v>
      </c>
      <c r="G247" s="902" t="str">
        <f>VLOOKUP(WWWW[[#This Row],[Site Name]],SiteDB6[[Site Name]:[Location Type]],8,FALSE)</f>
        <v>Camp</v>
      </c>
      <c r="H247" s="1005" t="s">
        <v>2871</v>
      </c>
      <c r="I247" s="954">
        <v>93</v>
      </c>
      <c r="J247" s="954">
        <v>466</v>
      </c>
      <c r="K247" s="955">
        <v>44973</v>
      </c>
      <c r="L247" s="956">
        <v>45337</v>
      </c>
      <c r="M247" s="954"/>
      <c r="N247" s="954">
        <v>5</v>
      </c>
      <c r="O247" s="954"/>
      <c r="P247" s="954"/>
      <c r="Q247" s="957" t="s">
        <v>41</v>
      </c>
      <c r="R247" s="954">
        <v>2</v>
      </c>
      <c r="S247" s="954">
        <v>5</v>
      </c>
      <c r="T247" s="441">
        <v>2</v>
      </c>
      <c r="U247" s="954"/>
      <c r="V247" s="954"/>
      <c r="W247" s="954">
        <v>1</v>
      </c>
      <c r="X247" s="954"/>
      <c r="Y247" s="954"/>
      <c r="Z247" s="954"/>
      <c r="AA247" s="954"/>
      <c r="AB247" s="954"/>
      <c r="AC247" s="954"/>
      <c r="AD247" s="954"/>
      <c r="AE247" s="954"/>
      <c r="AF247" s="954"/>
      <c r="AG247" s="954"/>
      <c r="AH247" s="954">
        <v>7</v>
      </c>
      <c r="AI247" s="954"/>
      <c r="AJ247" s="954"/>
      <c r="AK247" s="954"/>
      <c r="AL247" s="954"/>
      <c r="AM247" s="954">
        <v>1</v>
      </c>
      <c r="AN247" s="954"/>
      <c r="AO247" s="441"/>
      <c r="AP247" s="958"/>
      <c r="AQ247" s="954">
        <v>12</v>
      </c>
      <c r="AR247" s="954"/>
      <c r="AS247" s="959"/>
      <c r="AT247" s="954"/>
      <c r="AU247" s="954"/>
      <c r="AV247" s="954">
        <v>20</v>
      </c>
      <c r="AW247" s="954"/>
      <c r="AX247" s="954"/>
      <c r="AY247" s="953" t="s">
        <v>41</v>
      </c>
      <c r="AZ247" s="958" t="s">
        <v>137</v>
      </c>
      <c r="BA247" s="954"/>
      <c r="BB247" s="954"/>
      <c r="BC247" s="954"/>
      <c r="BD247" s="441"/>
      <c r="BE247" s="441"/>
      <c r="BF247" s="953"/>
      <c r="BG247" s="954">
        <v>1</v>
      </c>
      <c r="BH247" s="954"/>
      <c r="BI247" s="954"/>
      <c r="BJ247" s="954">
        <v>2</v>
      </c>
      <c r="BK247" s="954"/>
      <c r="BL247" s="954"/>
      <c r="BM247" s="954">
        <v>1</v>
      </c>
      <c r="BN247" s="954"/>
      <c r="BO247" s="954"/>
      <c r="BP247" s="953" t="s">
        <v>41</v>
      </c>
      <c r="BQ247" s="960"/>
      <c r="BR247" s="959"/>
      <c r="BS247" s="953"/>
      <c r="BT247" s="416"/>
      <c r="BU247" s="416"/>
      <c r="BV247" s="418"/>
      <c r="BW247" s="416"/>
      <c r="BX247" s="441"/>
      <c r="BY247" s="441"/>
      <c r="BZ247" s="441"/>
      <c r="CA247" s="441"/>
      <c r="CB247" s="441"/>
      <c r="CC247" s="693"/>
      <c r="CD247" s="441"/>
      <c r="CE247" s="961" t="str">
        <f>IFERROR(WWWW[[#This Row],['#_Water sources passed]]/WWWW[[#This Row],['#_Water sources tested for fecal coliform ]],"no test")</f>
        <v>no test</v>
      </c>
      <c r="CF247" s="959" t="str">
        <f>IFERROR(WWWW[[#This Row],['#_Household passed]]/WWWW[[#This Row],['#_Household water samples tested for fecal coliform]],"no test")</f>
        <v>no test</v>
      </c>
      <c r="CG247" s="960" t="str">
        <f>IF(AND(WWWW[[#This Row],[% of water sources passed]]="no test",WWWW[[#This Row],[% Household passed]]="no test"),"No Test","Tested")</f>
        <v>No Test</v>
      </c>
      <c r="CH247" s="960">
        <f>WWWW[[#This Row],['#_Constructed/existing protected hand dug well]]-WWWW[[#This Row],['#_Non-functional protected hand dug well]]</f>
        <v>2</v>
      </c>
      <c r="CI247" s="960">
        <f>(WWWW[[#This Row],['#_Constructed/Existing tube wells/boreholes/handpumps_WASH_agency]]+WWWW[[#This Row],['#_Non-Cluster partner water tube-wells/boreholes/handpumps]])-WWWW[[#This Row],['#_Non-functional tube wells/boreholes/handpumps]]</f>
        <v>1</v>
      </c>
      <c r="CJ247" s="960">
        <f>WWWW[[#This Row],['#_Constructed/Existingwater storage tank with gravity fed reticulation system]]-WWWW[[#This Row],['#_Non-functional storage tank gravity fed reticulation system]]</f>
        <v>0</v>
      </c>
      <c r="CK247" s="960">
        <f>(WWWW[[#This Row],['#_Water_Liters_supplied_by_Water boating or water trucking]]/90)/15</f>
        <v>0</v>
      </c>
      <c r="CL247" s="960">
        <f>WWWW[[#This Row],['#_Water_Liters_from_Constructed/Existing water distribution system from river or natural spring]]/90/15</f>
        <v>0</v>
      </c>
      <c r="CM247" s="417">
        <f>IF(WWWW[[#This Row],['#_of water points in TLS/CFS]]*500&gt;WWWW[[#This Row],[Total PoP ]],WWWW[[#This Row],[Total PoP ]],WWWW[[#This Row],['#_of water points in TLS/CFS]]*500)</f>
        <v>0</v>
      </c>
      <c r="CN247" s="417">
        <f>IF(WWWW[[#This Row],['#_of water points in THF]]*500&gt;WWWW[[#This Row],[Total PoP ]],WWWW[[#This Row],[Total PoP ]],WWWW[[#This Row],['#_of water points in THF]]*500)</f>
        <v>0</v>
      </c>
      <c r="CO247" s="417"/>
      <c r="CP247"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47"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47" s="959">
        <f>IF(WWWW[[#This Row],[Location Type 1]]="Village",WWWW[[#This Row],[Access to safe drinking water for Village]],WWWW[[#This Row],[Access to safe drinking water for Camp]])</f>
        <v>1</v>
      </c>
      <c r="CS247" s="957">
        <f>WWWW[[#This Row],[%Equitable and continuous access to sufficient quantity of safe drinking water]]*WWWW[[#This Row],[Total PoP ]]</f>
        <v>466</v>
      </c>
      <c r="CT247" s="959">
        <f>IF((WWWW[[#This Row],['#_Constructed/Existing protected/fenced ponds]]*250)/WWWW[[#This Row],[Total PoP ]]&gt;1,1,(WWWW[[#This Row],['#_Constructed/Existing protected/fenced ponds]]*250)/WWWW[[#This Row],[Total PoP ]])</f>
        <v>0</v>
      </c>
      <c r="CU247" s="957">
        <f>WWWW[[#This Row],[% Access to unimproved water points]]*WWWW[[#This Row],[Total PoP ]]</f>
        <v>0</v>
      </c>
      <c r="CV247"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47"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466</v>
      </c>
      <c r="CX247" s="957">
        <f>WWWW[[#This Row],[HRP1]]/500</f>
        <v>0.93200000000000005</v>
      </c>
      <c r="CY247" s="962">
        <f>1-WWWW[[#This Row],[% Equitable and continuous access to sufficient quantity of domestic water]]</f>
        <v>0</v>
      </c>
      <c r="CZ247" s="957">
        <f>WWWW[[#This Row],[%equitable and continuous access to sufficient quantity of safe drinking and domestic water''s GAP]]*WWWW[[#This Row],[Total PoP ]]</f>
        <v>0</v>
      </c>
      <c r="DA247" s="960">
        <f>IF(WWWW[[#This Row],[Total required water points]]-WWWW[[#This Row],['#Water points coverage]]&lt;0,0,WWWW[[#This Row],[Total required water points]]-WWWW[[#This Row],['#Water points coverage]])</f>
        <v>6.7999999999999949E-2</v>
      </c>
      <c r="DB247" s="960">
        <f>ROUND(IF(WWWW[[#This Row],[Total PoP ]]&lt;500,1,WWWW[[#This Row],[Total PoP ]]/500),0)</f>
        <v>1</v>
      </c>
      <c r="DC247" s="960">
        <f>(WWWW[[#This Row],['#_Constructed latrines_by_WASHAgencies]]+WWWW[[#This Row],['#_Non Cluster partner latrines]])-WWWW[[#This Row],['#_Non-functional latrines]]</f>
        <v>12</v>
      </c>
      <c r="DD247" s="615">
        <f>WWWW[[#This Row],[HRP2]]/WWWW[[#This Row],[Total PoP ]]</f>
        <v>0.51502145922746778</v>
      </c>
      <c r="DE247"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240</v>
      </c>
      <c r="DF247"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400</v>
      </c>
      <c r="DG247"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47" s="417">
        <f>IF(WWWW[[#This Row],['# of functional latrines in THF supported by WASH partners during the reporting period2]]="",0,WWWW[[#This Row],['# of functional latrines in THF supported by WASH partners during the reporting period2]]*50)</f>
        <v>0</v>
      </c>
      <c r="DI247" s="960">
        <f>ROUND(IF(WWWW[[#This Row],[Location Type 1]]="camp",WWWW[[#This Row],[Total PoP ]]/20,IF(WWWW[[#This Row],[Location Type 1]]="Temporary Location",WWWW[[#This Row],[Total PoP ]]/50,(WWWW[[#This Row],[Total PoP ]]/6))),0)</f>
        <v>23</v>
      </c>
      <c r="DJ247" s="960">
        <f>IF(WWWW[[#This Row],[Total required Latrines]]-(WWWW[[#This Row],['#_Constructed latrines_by_WASHAgencies]]+WWWW[[#This Row],['#_Non Cluster partner latrines]])&lt;0,0,WWWW[[#This Row],[Total required Latrines]]-(WWWW[[#This Row],['#_Constructed latrines_by_WASHAgencies]]+WWWW[[#This Row],['#_Non Cluster partner latrines]]))</f>
        <v>11</v>
      </c>
      <c r="DK247" s="962">
        <f>1-WWWW[[#This Row],[% people access to functioning Latrine]]</f>
        <v>0.48497854077253222</v>
      </c>
      <c r="DL247" s="961">
        <f>IF(OR(WWWW[[#This Row],['#_Non-functional latrines]]="",WWWW[[#This Row],['#_Non-functional latrines]]=0),0,WWWW[[#This Row],['#_Non-functional latrines]]/(WWWW[[#This Row],['#_Constructed latrines_by_WASHAgencies]]+WWWW[[#This Row],['#_Non Cluster partner latrines]]))</f>
        <v>0</v>
      </c>
      <c r="DM247" s="957">
        <f>IF(500*(WWWW[[#This Row],['#_male hygiene promoters]]+WWWW[[#This Row],['#_female hygiene promoters]])&gt;WWWW[[#This Row],[Total PoP ]],WWWW[[#This Row],[Total PoP ]],500*(WWWW[[#This Row],['#_male hygiene promoters]]+WWWW[[#This Row],['#_female hygiene promoters]]))</f>
        <v>466</v>
      </c>
      <c r="DN247"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47"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47" s="960">
        <f>IF(WWWW[[#This Row],['# People with access to soap]]&gt;WWWW[[#This Row],['# People with access to Sanity Pads]],WWWW[[#This Row],['# People with access to soap]],WWWW[[#This Row],['# People with access to Sanity Pads]])</f>
        <v>0</v>
      </c>
      <c r="DQ247" s="960">
        <f>IF(WWWW[[#This Row],['# people reached by regular dedicated hygiene promotion_5]]&gt;WWWW[[#This Row],['# People received regular supply of hygiene items_6]],WWWW[[#This Row],['# people reached by regular dedicated hygiene promotion_5]],WWWW[[#This Row],['# People received regular supply of hygiene items_6]])</f>
        <v>466</v>
      </c>
      <c r="DR247" s="962">
        <f>IF(WWWW[[#This Row],[HRP3]]/WWWW[[#This Row],[Total PoP ]]&gt;1,1,WWWW[[#This Row],[HRP3]]/WWWW[[#This Row],[Total PoP ]])</f>
        <v>1</v>
      </c>
      <c r="DS247" s="961">
        <f>1-WWWW[[#This Row],[Hygiene Coverage%]]</f>
        <v>0</v>
      </c>
      <c r="DT247" s="959">
        <f>WWWW[[#This Row],['# people reached by regular dedicated hygiene promotion_5]]/WWWW[[#This Row],[Total PoP ]]</f>
        <v>1</v>
      </c>
      <c r="DU247"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47"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47" s="960">
        <f>WWWW[[#This Row],['#_Constructed/Existing hand washing stations]]-WWWW[[#This Row],['#_Non-Functional_hand_washing_stations]]</f>
        <v>1</v>
      </c>
      <c r="DX247" s="957">
        <f>IF(WWWW[[#This Row],['# Functional hand washing stations during reporting period]]*20&gt;WWWW[[#This Row],[Total HH]],WWWW[[#This Row],[Total HH]],WWWW[[#This Row],['# Functional hand washing stations during reporting period]]*20)</f>
        <v>20</v>
      </c>
      <c r="DY247" s="957">
        <f>IF(WWWW[[#This Row],[Is sufficient soap available for TLS? (Yes/No)]]="yes",WWWW[[#This Row],['#_Constructed/Existing hand washing stations at TLS/CFS/THF]],0)</f>
        <v>1</v>
      </c>
      <c r="DZ247" s="421">
        <f>IF(WWWW[[#This Row],['# Functional hand washing stations during reporting period]]*100&gt;WWWW[[#This Row],[Total PoP ]],WWWW[[#This Row],[Total PoP ]],WWWW[[#This Row],['# Functional hand washing stations during reporting period]]*100)</f>
        <v>100</v>
      </c>
      <c r="EA247" s="421" t="str">
        <f>IF(OR(WWWW[[#This Row],['#_students at TLS_CFS]]="",WWWW[[#This Row],['#_students at TLS_CFS]]=0),"No","Yes")</f>
        <v>No</v>
      </c>
      <c r="EB24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47" s="566">
        <f>WWWW[[#This Row],[%_of_affected_people_surveyed_who_report_feeling_satistfied_with_the_latrine_design_and_sanitation_service]]*WWWW[[#This Row],[Total PoP ]]</f>
        <v>0</v>
      </c>
      <c r="ED247" s="566">
        <f>WWWW[[#This Row],[%_of_affected_people_surveyed_who_report_feeling_satistfied_with_the_water_point_design_and_water_service]]*WWWW[[#This Row],[Total PoP ]]</f>
        <v>0</v>
      </c>
      <c r="EE247" s="566">
        <f>WWWW[[#This Row],[%_of_complaints_received_that_result_in_timely_corrective_action_and_feedback_to_the_community]]*WWWW[[#This Row],[Total PoP ]]</f>
        <v>0</v>
      </c>
      <c r="EF24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4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4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47" s="953" t="str">
        <f>VLOOKUP(WWWW[[#This Row],[Site Name]],SiteDB6[[Site Name]:[CCCM Management]],6,FALSE)</f>
        <v>Yes</v>
      </c>
      <c r="EJ247" s="953" t="str">
        <f>VLOOKUP(WWWW[[#This Row],[Site Name]],SiteDB6[[Site Name]:[CCCM Focal Agency]],7,FALSE)</f>
        <v>KMSS-MYT</v>
      </c>
      <c r="EK247" s="953" t="str">
        <f>VLOOKUP(WWWW[[#This Row],[Site Name]],SiteDB6[[Site Name]:[Location Type 1]],9,FALSE)</f>
        <v>Camp</v>
      </c>
      <c r="EL247" s="953" t="str">
        <f>VLOOKUP(WWWW[[#This Row],[Site Name]],SiteDB6[[Site Name]:[Type of Accommodation]],10,FALSE)</f>
        <v>Camp</v>
      </c>
      <c r="EM247" s="953" t="str">
        <f>VLOOKUP(WWWW[[#This Row],[Site Name]],SiteDB6[[Site Name]:[Ethnic or GCA/NGCA]],11,FALSE)</f>
        <v>GCA</v>
      </c>
      <c r="EN247" s="953">
        <f>VLOOKUP(WWWW[[#This Row],[Site Name]],SiteDB6[[Site Name]:[Lat]],12,FALSE)</f>
        <v>25.656009999999998</v>
      </c>
      <c r="EO247" s="953">
        <f>VLOOKUP(WWWW[[#This Row],[Site Name]],SiteDB6[[Site Name]:[Long]],13,FALSE)</f>
        <v>96.361609999999999</v>
      </c>
      <c r="EP247" s="953" t="str">
        <f>VLOOKUP(WWWW[[#This Row],[Site Name]],SiteDB6[[Site Name]:[Pcode]],3,FALSE)</f>
        <v>MMR001CMP168</v>
      </c>
      <c r="EQ247" s="958" t="str">
        <f t="shared" si="4"/>
        <v>Covered</v>
      </c>
      <c r="ER247" s="950" t="s">
        <v>3126</v>
      </c>
      <c r="ES247" s="972" t="s">
        <v>3345</v>
      </c>
      <c r="ET247" s="953">
        <f>VLOOKUP(WWWW[[#This Row],[Site Name]],SiteDB6[[Site Name]:[Pop
(Kachin/Shan-CCCM as of May 2023)]],16,FALSE)</f>
        <v>93</v>
      </c>
      <c r="EU247" s="953">
        <f>VLOOKUP(WWWW[[#This Row],[Site Name]],SiteDB6[[Site Name]:[Pop
(Kachin/Shan-CCCM as of May 2023)]],17,FALSE)</f>
        <v>467</v>
      </c>
    </row>
    <row r="248" spans="1:151">
      <c r="A248" s="946" t="s">
        <v>2962</v>
      </c>
      <c r="B248" s="946" t="s">
        <v>2634</v>
      </c>
      <c r="C248" s="938" t="s">
        <v>2634</v>
      </c>
      <c r="D248" s="938" t="s">
        <v>2668</v>
      </c>
      <c r="E248" s="938" t="s">
        <v>37</v>
      </c>
      <c r="F248" s="938" t="s">
        <v>586</v>
      </c>
      <c r="G248" s="902" t="str">
        <f>VLOOKUP(WWWW[[#This Row],[Site Name]],SiteDB6[[Site Name]:[Location Type]],8,FALSE)</f>
        <v>Camp</v>
      </c>
      <c r="H248" s="938" t="s">
        <v>2643</v>
      </c>
      <c r="I248" s="441">
        <v>126</v>
      </c>
      <c r="J248" s="441">
        <v>591</v>
      </c>
      <c r="K248" s="948">
        <v>44562</v>
      </c>
      <c r="L248" s="949">
        <v>44926</v>
      </c>
      <c r="M248" s="441"/>
      <c r="N248" s="441"/>
      <c r="O248" s="441"/>
      <c r="P248" s="441"/>
      <c r="Q248" s="421" t="s">
        <v>41</v>
      </c>
      <c r="R248" s="441">
        <v>4</v>
      </c>
      <c r="S248" s="441">
        <v>3</v>
      </c>
      <c r="T248" s="441">
        <v>1</v>
      </c>
      <c r="U248" s="441"/>
      <c r="V248" s="441"/>
      <c r="W248" s="441">
        <v>2</v>
      </c>
      <c r="X248" s="441"/>
      <c r="Y248" s="441"/>
      <c r="Z248" s="441"/>
      <c r="AA248" s="441">
        <v>1</v>
      </c>
      <c r="AB248" s="441"/>
      <c r="AC248" s="441"/>
      <c r="AD248" s="441"/>
      <c r="AE248" s="441"/>
      <c r="AF248" s="441"/>
      <c r="AG248" s="441">
        <v>1</v>
      </c>
      <c r="AH248" s="441"/>
      <c r="AI248" s="441"/>
      <c r="AJ248" s="441"/>
      <c r="AK248" s="441"/>
      <c r="AL248" s="441"/>
      <c r="AM248" s="441"/>
      <c r="AN248" s="441"/>
      <c r="AO248" s="441"/>
      <c r="AP248" s="950"/>
      <c r="AQ248" s="441">
        <v>48</v>
      </c>
      <c r="AR248" s="441">
        <v>12</v>
      </c>
      <c r="AS248" s="416"/>
      <c r="AT248" s="441"/>
      <c r="AU248" s="441"/>
      <c r="AV248" s="441"/>
      <c r="AW248" s="441"/>
      <c r="AX248" s="441"/>
      <c r="AY248" s="418" t="s">
        <v>41</v>
      </c>
      <c r="AZ248" s="950" t="s">
        <v>137</v>
      </c>
      <c r="BA248" s="441"/>
      <c r="BB248" s="441"/>
      <c r="BC248" s="441"/>
      <c r="BD248" s="441"/>
      <c r="BE248" s="441">
        <v>19</v>
      </c>
      <c r="BF248" s="418"/>
      <c r="BG248" s="441">
        <v>108</v>
      </c>
      <c r="BH248" s="441"/>
      <c r="BI248" s="441"/>
      <c r="BJ248" s="441">
        <v>108</v>
      </c>
      <c r="BK248" s="441"/>
      <c r="BL248" s="441">
        <v>1</v>
      </c>
      <c r="BM248" s="441">
        <v>1</v>
      </c>
      <c r="BN248" s="441"/>
      <c r="BO248" s="441"/>
      <c r="BP248" s="418" t="s">
        <v>136</v>
      </c>
      <c r="BQ248" s="417"/>
      <c r="BR248" s="416"/>
      <c r="BS248" s="418"/>
      <c r="BT248" s="416"/>
      <c r="BU248" s="416"/>
      <c r="BV248" s="418"/>
      <c r="BW248" s="416"/>
      <c r="BX248" s="441"/>
      <c r="BY248" s="441"/>
      <c r="BZ248" s="441"/>
      <c r="CA248" s="441"/>
      <c r="CB248" s="441"/>
      <c r="CC248" s="693"/>
      <c r="CD248" s="441"/>
      <c r="CE248" s="615" t="str">
        <f>IFERROR(WWWW[[#This Row],['#_Water sources passed]]/WWWW[[#This Row],['#_Water sources tested for fecal coliform ]],"no test")</f>
        <v>no test</v>
      </c>
      <c r="CF248" s="416" t="str">
        <f>IFERROR(WWWW[[#This Row],['#_Household passed]]/WWWW[[#This Row],['#_Household water samples tested for fecal coliform]],"no test")</f>
        <v>no test</v>
      </c>
      <c r="CG248" s="417" t="str">
        <f>IF(AND(WWWW[[#This Row],[% of water sources passed]]="no test",WWWW[[#This Row],[% Household passed]]="no test"),"No Test","Tested")</f>
        <v>No Test</v>
      </c>
      <c r="CH248" s="417">
        <f>WWWW[[#This Row],['#_Constructed/existing protected hand dug well]]-WWWW[[#This Row],['#_Non-functional protected hand dug well]]</f>
        <v>1</v>
      </c>
      <c r="CI248" s="417">
        <f>(WWWW[[#This Row],['#_Constructed/Existing tube wells/boreholes/handpumps_WASH_agency]]+WWWW[[#This Row],['#_Non-Cluster partner water tube-wells/boreholes/handpumps]])-WWWW[[#This Row],['#_Non-functional tube wells/boreholes/handpumps]]</f>
        <v>2</v>
      </c>
      <c r="CJ248" s="417">
        <f>WWWW[[#This Row],['#_Constructed/Existingwater storage tank with gravity fed reticulation system]]-WWWW[[#This Row],['#_Non-functional storage tank gravity fed reticulation system]]</f>
        <v>1</v>
      </c>
      <c r="CK248" s="417">
        <f>(WWWW[[#This Row],['#_Water_Liters_supplied_by_Water boating or water trucking]]/90)/15</f>
        <v>0</v>
      </c>
      <c r="CL248" s="417">
        <f>WWWW[[#This Row],['#_Water_Liters_from_Constructed/Existing water distribution system from river or natural spring]]/90/15</f>
        <v>0</v>
      </c>
      <c r="CM248" s="417">
        <f>IF(WWWW[[#This Row],['#_of water points in TLS/CFS]]*500&gt;WWWW[[#This Row],[Total PoP ]],WWWW[[#This Row],[Total PoP ]],WWWW[[#This Row],['#_of water points in TLS/CFS]]*500)</f>
        <v>0</v>
      </c>
      <c r="CN248" s="417">
        <f>IF(WWWW[[#This Row],['#_of water points in THF]]*500&gt;WWWW[[#This Row],[Total PoP ]],WWWW[[#This Row],[Total PoP ]],WWWW[[#This Row],['#_of water points in THF]]*500)</f>
        <v>0</v>
      </c>
      <c r="CO248" s="417"/>
      <c r="CP248"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48"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48" s="416">
        <f>IF(WWWW[[#This Row],[Location Type 1]]="Village",WWWW[[#This Row],[Access to safe drinking water for Village]],WWWW[[#This Row],[Access to safe drinking water for Camp]])</f>
        <v>1</v>
      </c>
      <c r="CS248" s="421">
        <f>WWWW[[#This Row],[%Equitable and continuous access to sufficient quantity of safe drinking water]]*WWWW[[#This Row],[Total PoP ]]</f>
        <v>591</v>
      </c>
      <c r="CT248" s="416">
        <f>IF((WWWW[[#This Row],['#_Constructed/Existing protected/fenced ponds]]*250)/WWWW[[#This Row],[Total PoP ]]&gt;1,1,(WWWW[[#This Row],['#_Constructed/Existing protected/fenced ponds]]*250)/WWWW[[#This Row],[Total PoP ]])</f>
        <v>0</v>
      </c>
      <c r="CU248" s="421">
        <f>WWWW[[#This Row],[% Access to unimproved water points]]*WWWW[[#This Row],[Total PoP ]]</f>
        <v>0</v>
      </c>
      <c r="CV248"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48"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591</v>
      </c>
      <c r="CX248" s="421">
        <f>WWWW[[#This Row],[HRP1]]/500</f>
        <v>1.1819999999999999</v>
      </c>
      <c r="CY248" s="951">
        <f>1-WWWW[[#This Row],[% Equitable and continuous access to sufficient quantity of domestic water]]</f>
        <v>0</v>
      </c>
      <c r="CZ248" s="421">
        <f>WWWW[[#This Row],[%equitable and continuous access to sufficient quantity of safe drinking and domestic water''s GAP]]*WWWW[[#This Row],[Total PoP ]]</f>
        <v>0</v>
      </c>
      <c r="DA248" s="417">
        <f>IF(WWWW[[#This Row],[Total required water points]]-WWWW[[#This Row],['#Water points coverage]]&lt;0,0,WWWW[[#This Row],[Total required water points]]-WWWW[[#This Row],['#Water points coverage]])</f>
        <v>0</v>
      </c>
      <c r="DB248" s="417">
        <f>ROUND(IF(WWWW[[#This Row],[Total PoP ]]&lt;500,1,WWWW[[#This Row],[Total PoP ]]/500),0)</f>
        <v>1</v>
      </c>
      <c r="DC248" s="417">
        <f>(WWWW[[#This Row],['#_Constructed latrines_by_WASHAgencies]]+WWWW[[#This Row],['#_Non Cluster partner latrines]])-WWWW[[#This Row],['#_Non-functional latrines]]</f>
        <v>60</v>
      </c>
      <c r="DD248" s="615">
        <f>WWWW[[#This Row],[HRP2]]/WWWW[[#This Row],[Total PoP ]]</f>
        <v>1</v>
      </c>
      <c r="DE248"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591</v>
      </c>
      <c r="DF248"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48"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48" s="417">
        <f>IF(WWWW[[#This Row],['# of functional latrines in THF supported by WASH partners during the reporting period2]]="",0,WWWW[[#This Row],['# of functional latrines in THF supported by WASH partners during the reporting period2]]*50)</f>
        <v>0</v>
      </c>
      <c r="DI248" s="417">
        <f>ROUND(IF(WWWW[[#This Row],[Location Type 1]]="camp",WWWW[[#This Row],[Total PoP ]]/20,IF(WWWW[[#This Row],[Location Type 1]]="Temporary Location",WWWW[[#This Row],[Total PoP ]]/50,(WWWW[[#This Row],[Total PoP ]]/6))),0)</f>
        <v>30</v>
      </c>
      <c r="DJ248" s="417">
        <f>IF(WWWW[[#This Row],[Total required Latrines]]-(WWWW[[#This Row],['#_Constructed latrines_by_WASHAgencies]]+WWWW[[#This Row],['#_Non Cluster partner latrines]])&lt;0,0,WWWW[[#This Row],[Total required Latrines]]-(WWWW[[#This Row],['#_Constructed latrines_by_WASHAgencies]]+WWWW[[#This Row],['#_Non Cluster partner latrines]]))</f>
        <v>0</v>
      </c>
      <c r="DK248" s="951">
        <f>1-WWWW[[#This Row],[% people access to functioning Latrine]]</f>
        <v>0</v>
      </c>
      <c r="DL248" s="615">
        <f>IF(OR(WWWW[[#This Row],['#_Non-functional latrines]]="",WWWW[[#This Row],['#_Non-functional latrines]]=0),0,WWWW[[#This Row],['#_Non-functional latrines]]/(WWWW[[#This Row],['#_Constructed latrines_by_WASHAgencies]]+WWWW[[#This Row],['#_Non Cluster partner latrines]]))</f>
        <v>0</v>
      </c>
      <c r="DM248" s="421">
        <f>IF(500*(WWWW[[#This Row],['#_male hygiene promoters]]+WWWW[[#This Row],['#_female hygiene promoters]])&gt;WWWW[[#This Row],[Total PoP ]],WWWW[[#This Row],[Total PoP ]],500*(WWWW[[#This Row],['#_male hygiene promoters]]+WWWW[[#This Row],['#_female hygiene promoters]]))</f>
        <v>591</v>
      </c>
      <c r="DN248"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48"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48" s="417">
        <f>IF(WWWW[[#This Row],['# People with access to soap]]&gt;WWWW[[#This Row],['# People with access to Sanity Pads]],WWWW[[#This Row],['# People with access to soap]],WWWW[[#This Row],['# People with access to Sanity Pads]])</f>
        <v>0</v>
      </c>
      <c r="DQ248" s="417">
        <f>IF(WWWW[[#This Row],['# people reached by regular dedicated hygiene promotion_5]]&gt;WWWW[[#This Row],['# People received regular supply of hygiene items_6]],WWWW[[#This Row],['# people reached by regular dedicated hygiene promotion_5]],WWWW[[#This Row],['# People received regular supply of hygiene items_6]])</f>
        <v>591</v>
      </c>
      <c r="DR248" s="951">
        <f>IF(WWWW[[#This Row],[HRP3]]/WWWW[[#This Row],[Total PoP ]]&gt;1,1,WWWW[[#This Row],[HRP3]]/WWWW[[#This Row],[Total PoP ]])</f>
        <v>1</v>
      </c>
      <c r="DS248" s="615">
        <f>1-WWWW[[#This Row],[Hygiene Coverage%]]</f>
        <v>0</v>
      </c>
      <c r="DT248" s="416">
        <f>WWWW[[#This Row],['# people reached by regular dedicated hygiene promotion_5]]/WWWW[[#This Row],[Total PoP ]]</f>
        <v>1</v>
      </c>
      <c r="DU248"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48"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48" s="417">
        <f>WWWW[[#This Row],['#_Constructed/Existing hand washing stations]]-WWWW[[#This Row],['#_Non-Functional_hand_washing_stations]]</f>
        <v>108</v>
      </c>
      <c r="DX248" s="421">
        <f>IF(WWWW[[#This Row],['# Functional hand washing stations during reporting period]]*20&gt;WWWW[[#This Row],[Total HH]],WWWW[[#This Row],[Total HH]],WWWW[[#This Row],['# Functional hand washing stations during reporting period]]*20)</f>
        <v>126</v>
      </c>
      <c r="DY248" s="421">
        <f>IF(WWWW[[#This Row],[Is sufficient soap available for TLS? (Yes/No)]]="yes",WWWW[[#This Row],['#_Constructed/Existing hand washing stations at TLS/CFS/THF]],0)</f>
        <v>0</v>
      </c>
      <c r="DZ248" s="421">
        <f>IF(WWWW[[#This Row],['# Functional hand washing stations during reporting period]]*100&gt;WWWW[[#This Row],[Total PoP ]],WWWW[[#This Row],[Total PoP ]],WWWW[[#This Row],['# Functional hand washing stations during reporting period]]*100)</f>
        <v>591</v>
      </c>
      <c r="EA248" s="421" t="str">
        <f>IF(OR(WWWW[[#This Row],['#_students at TLS_CFS]]="",WWWW[[#This Row],['#_students at TLS_CFS]]=0),"No","Yes")</f>
        <v>No</v>
      </c>
      <c r="EB24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48" s="566">
        <f>WWWW[[#This Row],[%_of_affected_people_surveyed_who_report_feeling_satistfied_with_the_latrine_design_and_sanitation_service]]*WWWW[[#This Row],[Total PoP ]]</f>
        <v>0</v>
      </c>
      <c r="ED248" s="566">
        <f>WWWW[[#This Row],[%_of_affected_people_surveyed_who_report_feeling_satistfied_with_the_water_point_design_and_water_service]]*WWWW[[#This Row],[Total PoP ]]</f>
        <v>0</v>
      </c>
      <c r="EE248" s="566">
        <f>WWWW[[#This Row],[%_of_complaints_received_that_result_in_timely_corrective_action_and_feedback_to_the_community]]*WWWW[[#This Row],[Total PoP ]]</f>
        <v>0</v>
      </c>
      <c r="EF24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4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4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48" s="418" t="str">
        <f>VLOOKUP(WWWW[[#This Row],[Site Name]],SiteDB6[[Site Name]:[CCCM Management]],6,FALSE)</f>
        <v>Yes</v>
      </c>
      <c r="EJ248" s="418" t="str">
        <f>VLOOKUP(WWWW[[#This Row],[Site Name]],SiteDB6[[Site Name]:[CCCM Focal Agency]],7,FALSE)</f>
        <v>STW/KMSS-MYT</v>
      </c>
      <c r="EK248" s="418" t="str">
        <f>VLOOKUP(WWWW[[#This Row],[Site Name]],SiteDB6[[Site Name]:[Location Type 1]],9,FALSE)</f>
        <v>Camp</v>
      </c>
      <c r="EL248" s="418" t="str">
        <f>VLOOKUP(WWWW[[#This Row],[Site Name]],SiteDB6[[Site Name]:[Type of Accommodation]],10,FALSE)</f>
        <v>Camp</v>
      </c>
      <c r="EM248" s="418" t="str">
        <f>VLOOKUP(WWWW[[#This Row],[Site Name]],SiteDB6[[Site Name]:[Ethnic or GCA/NGCA]],11,FALSE)</f>
        <v>NGCA</v>
      </c>
      <c r="EN248" s="418">
        <f>VLOOKUP(WWWW[[#This Row],[Site Name]],SiteDB6[[Site Name]:[Lat]],12,FALSE)</f>
        <v>26.007408000000002</v>
      </c>
      <c r="EO248" s="418">
        <f>VLOOKUP(WWWW[[#This Row],[Site Name]],SiteDB6[[Site Name]:[Long]],13,FALSE)</f>
        <v>97.823777000000007</v>
      </c>
      <c r="EP248" s="418" t="str">
        <f>VLOOKUP(WWWW[[#This Row],[Site Name]],SiteDB6[[Site Name]:[Pcode]],3,FALSE)</f>
        <v>MMR001CMP280</v>
      </c>
      <c r="EQ248" s="950" t="str">
        <f t="shared" si="4"/>
        <v>Covered</v>
      </c>
      <c r="ER248" s="950" t="s">
        <v>136</v>
      </c>
      <c r="ES248" s="950" t="s">
        <v>41</v>
      </c>
      <c r="ET248" s="418">
        <f>VLOOKUP(WWWW[[#This Row],[Site Name]],SiteDB6[[Site Name]:[Pop
(Kachin/Shan-CCCM as of May 2023)]],16,FALSE)</f>
        <v>120</v>
      </c>
      <c r="EU248" s="418">
        <f>VLOOKUP(WWWW[[#This Row],[Site Name]],SiteDB6[[Site Name]:[Pop
(Kachin/Shan-CCCM as of May 2023)]],17,FALSE)</f>
        <v>558</v>
      </c>
    </row>
    <row r="249" spans="1:151">
      <c r="A249" s="946" t="s">
        <v>2962</v>
      </c>
      <c r="B249" s="946" t="s">
        <v>309</v>
      </c>
      <c r="C249" s="938" t="s">
        <v>309</v>
      </c>
      <c r="D249" s="938"/>
      <c r="E249" s="938" t="s">
        <v>37</v>
      </c>
      <c r="F249" s="938" t="s">
        <v>586</v>
      </c>
      <c r="G249" s="902" t="str">
        <f>VLOOKUP(WWWW[[#This Row],[Site Name]],SiteDB6[[Site Name]:[Location Type]],8,FALSE)</f>
        <v>Camp</v>
      </c>
      <c r="H249" s="938" t="s">
        <v>2979</v>
      </c>
      <c r="I249" s="441">
        <v>42</v>
      </c>
      <c r="J249" s="441">
        <v>112</v>
      </c>
      <c r="K249" s="948"/>
      <c r="L249" s="949"/>
      <c r="M249" s="441"/>
      <c r="N249" s="441"/>
      <c r="O249" s="441"/>
      <c r="P249" s="441"/>
      <c r="Q249" s="421"/>
      <c r="R249" s="441"/>
      <c r="S249" s="441"/>
      <c r="T249" s="441"/>
      <c r="U249" s="441"/>
      <c r="V249" s="441"/>
      <c r="W249" s="441"/>
      <c r="X249" s="441"/>
      <c r="Y249" s="441"/>
      <c r="Z249" s="441"/>
      <c r="AA249" s="441"/>
      <c r="AB249" s="441"/>
      <c r="AC249" s="441"/>
      <c r="AD249" s="441"/>
      <c r="AE249" s="441"/>
      <c r="AF249" s="441"/>
      <c r="AG249" s="441"/>
      <c r="AH249" s="441"/>
      <c r="AI249" s="441"/>
      <c r="AJ249" s="441"/>
      <c r="AK249" s="441"/>
      <c r="AL249" s="441"/>
      <c r="AM249" s="441"/>
      <c r="AN249" s="441"/>
      <c r="AO249" s="441"/>
      <c r="AP249" s="950"/>
      <c r="AQ249" s="441"/>
      <c r="AR249" s="441"/>
      <c r="AS249" s="416"/>
      <c r="AT249" s="441"/>
      <c r="AU249" s="441"/>
      <c r="AV249" s="441"/>
      <c r="AW249" s="441"/>
      <c r="AX249" s="441"/>
      <c r="AY249" s="418"/>
      <c r="AZ249" s="950"/>
      <c r="BA249" s="441"/>
      <c r="BB249" s="441"/>
      <c r="BC249" s="441"/>
      <c r="BD249" s="441"/>
      <c r="BE249" s="441"/>
      <c r="BF249" s="418"/>
      <c r="BG249" s="441"/>
      <c r="BH249" s="441"/>
      <c r="BI249" s="441"/>
      <c r="BJ249" s="441"/>
      <c r="BK249" s="441"/>
      <c r="BL249" s="441"/>
      <c r="BM249" s="441"/>
      <c r="BN249" s="441"/>
      <c r="BO249" s="441"/>
      <c r="BP249" s="418"/>
      <c r="BQ249" s="417"/>
      <c r="BR249" s="416"/>
      <c r="BS249" s="418"/>
      <c r="BT249" s="416"/>
      <c r="BU249" s="416"/>
      <c r="BV249" s="418"/>
      <c r="BW249" s="416"/>
      <c r="BX249" s="441"/>
      <c r="BY249" s="441"/>
      <c r="BZ249" s="441"/>
      <c r="CA249" s="441"/>
      <c r="CB249" s="441"/>
      <c r="CC249" s="693"/>
      <c r="CD249" s="441"/>
      <c r="CE249" s="615" t="str">
        <f>IFERROR(WWWW[[#This Row],['#_Water sources passed]]/WWWW[[#This Row],['#_Water sources tested for fecal coliform ]],"no test")</f>
        <v>no test</v>
      </c>
      <c r="CF249" s="416" t="str">
        <f>IFERROR(WWWW[[#This Row],['#_Household passed]]/WWWW[[#This Row],['#_Household water samples tested for fecal coliform]],"no test")</f>
        <v>no test</v>
      </c>
      <c r="CG249" s="417" t="str">
        <f>IF(AND(WWWW[[#This Row],[% of water sources passed]]="no test",WWWW[[#This Row],[% Household passed]]="no test"),"No Test","Tested")</f>
        <v>No Test</v>
      </c>
      <c r="CH249" s="417">
        <f>WWWW[[#This Row],['#_Constructed/existing protected hand dug well]]-WWWW[[#This Row],['#_Non-functional protected hand dug well]]</f>
        <v>0</v>
      </c>
      <c r="CI249" s="417">
        <f>(WWWW[[#This Row],['#_Constructed/Existing tube wells/boreholes/handpumps_WASH_agency]]+WWWW[[#This Row],['#_Non-Cluster partner water tube-wells/boreholes/handpumps]])-WWWW[[#This Row],['#_Non-functional tube wells/boreholes/handpumps]]</f>
        <v>0</v>
      </c>
      <c r="CJ249" s="417">
        <f>WWWW[[#This Row],['#_Constructed/Existingwater storage tank with gravity fed reticulation system]]-WWWW[[#This Row],['#_Non-functional storage tank gravity fed reticulation system]]</f>
        <v>0</v>
      </c>
      <c r="CK249" s="417">
        <f>(WWWW[[#This Row],['#_Water_Liters_supplied_by_Water boating or water trucking]]/90)/15</f>
        <v>0</v>
      </c>
      <c r="CL249" s="417">
        <f>WWWW[[#This Row],['#_Water_Liters_from_Constructed/Existing water distribution system from river or natural spring]]/90/15</f>
        <v>0</v>
      </c>
      <c r="CM249" s="417">
        <f>IF(WWWW[[#This Row],['#_of water points in TLS/CFS]]*500&gt;WWWW[[#This Row],[Total PoP ]],WWWW[[#This Row],[Total PoP ]],WWWW[[#This Row],['#_of water points in TLS/CFS]]*500)</f>
        <v>0</v>
      </c>
      <c r="CN249" s="417">
        <f>IF(WWWW[[#This Row],['#_of water points in THF]]*500&gt;WWWW[[#This Row],[Total PoP ]],WWWW[[#This Row],[Total PoP ]],WWWW[[#This Row],['#_of water points in THF]]*500)</f>
        <v>0</v>
      </c>
      <c r="CO249" s="417"/>
      <c r="CP249"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49"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49" s="416">
        <f>IF(WWWW[[#This Row],[Location Type 1]]="Village",WWWW[[#This Row],[Access to safe drinking water for Village]],WWWW[[#This Row],[Access to safe drinking water for Camp]])</f>
        <v>0</v>
      </c>
      <c r="CS249" s="421">
        <f>WWWW[[#This Row],[%Equitable and continuous access to sufficient quantity of safe drinking water]]*WWWW[[#This Row],[Total PoP ]]</f>
        <v>0</v>
      </c>
      <c r="CT249" s="416">
        <f>IF((WWWW[[#This Row],['#_Constructed/Existing protected/fenced ponds]]*250)/WWWW[[#This Row],[Total PoP ]]&gt;1,1,(WWWW[[#This Row],['#_Constructed/Existing protected/fenced ponds]]*250)/WWWW[[#This Row],[Total PoP ]])</f>
        <v>0</v>
      </c>
      <c r="CU249" s="421">
        <f>WWWW[[#This Row],[% Access to unimproved water points]]*WWWW[[#This Row],[Total PoP ]]</f>
        <v>0</v>
      </c>
      <c r="CV249"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249"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249" s="421">
        <f>WWWW[[#This Row],[HRP1]]/500</f>
        <v>0</v>
      </c>
      <c r="CY249" s="951">
        <f>1-WWWW[[#This Row],[% Equitable and continuous access to sufficient quantity of domestic water]]</f>
        <v>1</v>
      </c>
      <c r="CZ249" s="421">
        <f>WWWW[[#This Row],[%equitable and continuous access to sufficient quantity of safe drinking and domestic water''s GAP]]*WWWW[[#This Row],[Total PoP ]]</f>
        <v>112</v>
      </c>
      <c r="DA249" s="417">
        <f>IF(WWWW[[#This Row],[Total required water points]]-WWWW[[#This Row],['#Water points coverage]]&lt;0,0,WWWW[[#This Row],[Total required water points]]-WWWW[[#This Row],['#Water points coverage]])</f>
        <v>1</v>
      </c>
      <c r="DB249" s="417">
        <f>ROUND(IF(WWWW[[#This Row],[Total PoP ]]&lt;500,1,WWWW[[#This Row],[Total PoP ]]/500),0)</f>
        <v>1</v>
      </c>
      <c r="DC249" s="417">
        <f>(WWWW[[#This Row],['#_Constructed latrines_by_WASHAgencies]]+WWWW[[#This Row],['#_Non Cluster partner latrines]])-WWWW[[#This Row],['#_Non-functional latrines]]</f>
        <v>0</v>
      </c>
      <c r="DD249" s="615">
        <f>WWWW[[#This Row],[HRP2]]/WWWW[[#This Row],[Total PoP ]]</f>
        <v>0</v>
      </c>
      <c r="DE249"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49"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49"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49" s="417">
        <f>IF(WWWW[[#This Row],['# of functional latrines in THF supported by WASH partners during the reporting period2]]="",0,WWWW[[#This Row],['# of functional latrines in THF supported by WASH partners during the reporting period2]]*50)</f>
        <v>0</v>
      </c>
      <c r="DI249" s="417">
        <f>ROUND(IF(WWWW[[#This Row],[Location Type 1]]="camp",WWWW[[#This Row],[Total PoP ]]/20,IF(WWWW[[#This Row],[Location Type 1]]="Temporary Location",WWWW[[#This Row],[Total PoP ]]/50,(WWWW[[#This Row],[Total PoP ]]/6))),0)</f>
        <v>6</v>
      </c>
      <c r="DJ249" s="417">
        <f>IF(WWWW[[#This Row],[Total required Latrines]]-(WWWW[[#This Row],['#_Constructed latrines_by_WASHAgencies]]+WWWW[[#This Row],['#_Non Cluster partner latrines]])&lt;0,0,WWWW[[#This Row],[Total required Latrines]]-(WWWW[[#This Row],['#_Constructed latrines_by_WASHAgencies]]+WWWW[[#This Row],['#_Non Cluster partner latrines]]))</f>
        <v>6</v>
      </c>
      <c r="DK249" s="951">
        <f>1-WWWW[[#This Row],[% people access to functioning Latrine]]</f>
        <v>1</v>
      </c>
      <c r="DL249" s="615">
        <f>IF(OR(WWWW[[#This Row],['#_Non-functional latrines]]="",WWWW[[#This Row],['#_Non-functional latrines]]=0),0,WWWW[[#This Row],['#_Non-functional latrines]]/(WWWW[[#This Row],['#_Constructed latrines_by_WASHAgencies]]+WWWW[[#This Row],['#_Non Cluster partner latrines]]))</f>
        <v>0</v>
      </c>
      <c r="DM249" s="421">
        <f>IF(500*(WWWW[[#This Row],['#_male hygiene promoters]]+WWWW[[#This Row],['#_female hygiene promoters]])&gt;WWWW[[#This Row],[Total PoP ]],WWWW[[#This Row],[Total PoP ]],500*(WWWW[[#This Row],['#_male hygiene promoters]]+WWWW[[#This Row],['#_female hygiene promoters]]))</f>
        <v>0</v>
      </c>
      <c r="DN249"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49"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49" s="417">
        <f>IF(WWWW[[#This Row],['# People with access to soap]]&gt;WWWW[[#This Row],['# People with access to Sanity Pads]],WWWW[[#This Row],['# People with access to soap]],WWWW[[#This Row],['# People with access to Sanity Pads]])</f>
        <v>0</v>
      </c>
      <c r="DQ249"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49" s="951">
        <f>IF(WWWW[[#This Row],[HRP3]]/WWWW[[#This Row],[Total PoP ]]&gt;1,1,WWWW[[#This Row],[HRP3]]/WWWW[[#This Row],[Total PoP ]])</f>
        <v>0</v>
      </c>
      <c r="DS249" s="615">
        <f>1-WWWW[[#This Row],[Hygiene Coverage%]]</f>
        <v>1</v>
      </c>
      <c r="DT249" s="416">
        <f>WWWW[[#This Row],['# people reached by regular dedicated hygiene promotion_5]]/WWWW[[#This Row],[Total PoP ]]</f>
        <v>0</v>
      </c>
      <c r="DU249"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49"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49" s="417">
        <f>WWWW[[#This Row],['#_Constructed/Existing hand washing stations]]-WWWW[[#This Row],['#_Non-Functional_hand_washing_stations]]</f>
        <v>0</v>
      </c>
      <c r="DX249" s="421">
        <f>IF(WWWW[[#This Row],['# Functional hand washing stations during reporting period]]*20&gt;WWWW[[#This Row],[Total HH]],WWWW[[#This Row],[Total HH]],WWWW[[#This Row],['# Functional hand washing stations during reporting period]]*20)</f>
        <v>0</v>
      </c>
      <c r="DY249" s="421">
        <f>IF(WWWW[[#This Row],[Is sufficient soap available for TLS? (Yes/No)]]="yes",WWWW[[#This Row],['#_Constructed/Existing hand washing stations at TLS/CFS/THF]],0)</f>
        <v>0</v>
      </c>
      <c r="DZ249" s="421">
        <f>IF(WWWW[[#This Row],['# Functional hand washing stations during reporting period]]*100&gt;WWWW[[#This Row],[Total PoP ]],WWWW[[#This Row],[Total PoP ]],WWWW[[#This Row],['# Functional hand washing stations during reporting period]]*100)</f>
        <v>0</v>
      </c>
      <c r="EA249" s="421" t="str">
        <f>IF(OR(WWWW[[#This Row],['#_students at TLS_CFS]]="",WWWW[[#This Row],['#_students at TLS_CFS]]=0),"No","Yes")</f>
        <v>No</v>
      </c>
      <c r="EB24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49" s="566">
        <f>WWWW[[#This Row],[%_of_affected_people_surveyed_who_report_feeling_satistfied_with_the_latrine_design_and_sanitation_service]]*WWWW[[#This Row],[Total PoP ]]</f>
        <v>0</v>
      </c>
      <c r="ED249" s="566">
        <f>WWWW[[#This Row],[%_of_affected_people_surveyed_who_report_feeling_satistfied_with_the_water_point_design_and_water_service]]*WWWW[[#This Row],[Total PoP ]]</f>
        <v>0</v>
      </c>
      <c r="EE249" s="566">
        <f>WWWW[[#This Row],[%_of_complaints_received_that_result_in_timely_corrective_action_and_feedback_to_the_community]]*WWWW[[#This Row],[Total PoP ]]</f>
        <v>0</v>
      </c>
      <c r="EF24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4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4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49" s="418">
        <f>VLOOKUP(WWWW[[#This Row],[Site Name]],SiteDB6[[Site Name]:[CCCM Management]],6,FALSE)</f>
        <v>0</v>
      </c>
      <c r="EJ249" s="418" t="str">
        <f>VLOOKUP(WWWW[[#This Row],[Site Name]],SiteDB6[[Site Name]:[CCCM Focal Agency]],7,FALSE)</f>
        <v xml:space="preserve">Uncovered  </v>
      </c>
      <c r="EK249" s="418" t="str">
        <f>VLOOKUP(WWWW[[#This Row],[Site Name]],SiteDB6[[Site Name]:[Location Type 1]],9,FALSE)</f>
        <v>Camp</v>
      </c>
      <c r="EL249" s="418" t="str">
        <f>VLOOKUP(WWWW[[#This Row],[Site Name]],SiteDB6[[Site Name]:[Type of Accommodation]],10,FALSE)</f>
        <v>Camp like setting</v>
      </c>
      <c r="EM249" s="418" t="str">
        <f>VLOOKUP(WWWW[[#This Row],[Site Name]],SiteDB6[[Site Name]:[Ethnic or GCA/NGCA]],11,FALSE)</f>
        <v>NGCA</v>
      </c>
      <c r="EN249" s="418">
        <f>VLOOKUP(WWWW[[#This Row],[Site Name]],SiteDB6[[Site Name]:[Lat]],12,FALSE)</f>
        <v>0</v>
      </c>
      <c r="EO249" s="418" t="str">
        <f>VLOOKUP(WWWW[[#This Row],[Site Name]],SiteDB6[[Site Name]:[Long]],13,FALSE)</f>
        <v>not available</v>
      </c>
      <c r="EP249" s="418" t="str">
        <f>VLOOKUP(WWWW[[#This Row],[Site Name]],SiteDB6[[Site Name]:[Pcode]],3,FALSE)</f>
        <v>MMR001CMP297</v>
      </c>
      <c r="EQ249" s="950" t="str">
        <f t="shared" si="4"/>
        <v>Notcovered</v>
      </c>
      <c r="ER249" s="950"/>
      <c r="ES249" s="950" t="s">
        <v>41</v>
      </c>
      <c r="ET249" s="418">
        <f>VLOOKUP(WWWW[[#This Row],[Site Name]],SiteDB6[[Site Name]:[Pop
(Kachin/Shan-CCCM as of May 2023)]],16,FALSE)</f>
        <v>42</v>
      </c>
      <c r="EU249" s="418">
        <f>VLOOKUP(WWWW[[#This Row],[Site Name]],SiteDB6[[Site Name]:[Pop
(Kachin/Shan-CCCM as of May 2023)]],17,FALSE)</f>
        <v>112</v>
      </c>
    </row>
    <row r="250" spans="1:151">
      <c r="A250" s="946" t="s">
        <v>2962</v>
      </c>
      <c r="B250" s="946" t="s">
        <v>291</v>
      </c>
      <c r="C250" s="938" t="s">
        <v>291</v>
      </c>
      <c r="D250" s="938" t="s">
        <v>2594</v>
      </c>
      <c r="E250" s="938" t="s">
        <v>37</v>
      </c>
      <c r="F250" s="938" t="s">
        <v>38</v>
      </c>
      <c r="G250" s="902" t="str">
        <f>VLOOKUP(WWWW[[#This Row],[Site Name]],SiteDB6[[Site Name]:[Location Type]],8,FALSE)</f>
        <v>Camp</v>
      </c>
      <c r="H250" s="938" t="s">
        <v>1485</v>
      </c>
      <c r="I250" s="441">
        <v>388</v>
      </c>
      <c r="J250" s="441">
        <v>1900</v>
      </c>
      <c r="K250" s="948">
        <v>44652</v>
      </c>
      <c r="L250" s="949">
        <v>44926</v>
      </c>
      <c r="M250" s="441"/>
      <c r="N250" s="441"/>
      <c r="O250" s="441"/>
      <c r="P250" s="441"/>
      <c r="Q250" s="421" t="s">
        <v>41</v>
      </c>
      <c r="R250" s="441">
        <v>5</v>
      </c>
      <c r="S250" s="441">
        <v>6</v>
      </c>
      <c r="T250" s="441">
        <v>4</v>
      </c>
      <c r="U250" s="441"/>
      <c r="V250" s="441"/>
      <c r="W250" s="441">
        <v>1</v>
      </c>
      <c r="X250" s="441"/>
      <c r="Y250" s="441"/>
      <c r="Z250" s="441"/>
      <c r="AA250" s="441">
        <v>1</v>
      </c>
      <c r="AB250" s="441"/>
      <c r="AC250" s="441"/>
      <c r="AD250" s="441"/>
      <c r="AE250" s="441">
        <v>5</v>
      </c>
      <c r="AF250" s="441"/>
      <c r="AG250" s="441"/>
      <c r="AH250" s="441">
        <v>5</v>
      </c>
      <c r="AI250" s="441"/>
      <c r="AJ250" s="441"/>
      <c r="AK250" s="441"/>
      <c r="AL250" s="441"/>
      <c r="AM250" s="441"/>
      <c r="AN250" s="441">
        <v>5</v>
      </c>
      <c r="AO250" s="441"/>
      <c r="AP250" s="950"/>
      <c r="AQ250" s="441">
        <v>185</v>
      </c>
      <c r="AR250" s="441"/>
      <c r="AS250" s="416"/>
      <c r="AT250" s="441"/>
      <c r="AU250" s="441"/>
      <c r="AV250" s="441"/>
      <c r="AW250" s="441"/>
      <c r="AX250" s="441">
        <v>73</v>
      </c>
      <c r="AY250" s="418" t="s">
        <v>136</v>
      </c>
      <c r="AZ250" s="950" t="s">
        <v>137</v>
      </c>
      <c r="BA250" s="441"/>
      <c r="BB250" s="441"/>
      <c r="BC250" s="441"/>
      <c r="BD250" s="441">
        <v>2</v>
      </c>
      <c r="BE250" s="441">
        <v>6</v>
      </c>
      <c r="BF250" s="418"/>
      <c r="BG250" s="441">
        <v>3</v>
      </c>
      <c r="BH250" s="441"/>
      <c r="BI250" s="441">
        <v>60</v>
      </c>
      <c r="BJ250" s="441">
        <v>2</v>
      </c>
      <c r="BK250" s="441"/>
      <c r="BL250" s="441"/>
      <c r="BM250" s="441">
        <v>6</v>
      </c>
      <c r="BN250" s="441"/>
      <c r="BO250" s="441"/>
      <c r="BP250" s="418"/>
      <c r="BQ250" s="417"/>
      <c r="BR250" s="416"/>
      <c r="BS250" s="418"/>
      <c r="BT250" s="416"/>
      <c r="BU250" s="416"/>
      <c r="BV250" s="418"/>
      <c r="BW250" s="416"/>
      <c r="BX250" s="441"/>
      <c r="BY250" s="441"/>
      <c r="BZ250" s="441"/>
      <c r="CA250" s="441"/>
      <c r="CB250" s="441"/>
      <c r="CC250" s="693"/>
      <c r="CD250" s="441"/>
      <c r="CE250" s="615" t="str">
        <f>IFERROR(WWWW[[#This Row],['#_Water sources passed]]/WWWW[[#This Row],['#_Water sources tested for fecal coliform ]],"no test")</f>
        <v>no test</v>
      </c>
      <c r="CF250" s="416" t="str">
        <f>IFERROR(WWWW[[#This Row],['#_Household passed]]/WWWW[[#This Row],['#_Household water samples tested for fecal coliform]],"no test")</f>
        <v>no test</v>
      </c>
      <c r="CG250" s="417" t="str">
        <f>IF(AND(WWWW[[#This Row],[% of water sources passed]]="no test",WWWW[[#This Row],[% Household passed]]="no test"),"No Test","Tested")</f>
        <v>No Test</v>
      </c>
      <c r="CH250" s="417">
        <f>WWWW[[#This Row],['#_Constructed/existing protected hand dug well]]-WWWW[[#This Row],['#_Non-functional protected hand dug well]]</f>
        <v>4</v>
      </c>
      <c r="CI250" s="417">
        <f>(WWWW[[#This Row],['#_Constructed/Existing tube wells/boreholes/handpumps_WASH_agency]]+WWWW[[#This Row],['#_Non-Cluster partner water tube-wells/boreholes/handpumps]])-WWWW[[#This Row],['#_Non-functional tube wells/boreholes/handpumps]]</f>
        <v>1</v>
      </c>
      <c r="CJ250" s="417">
        <f>WWWW[[#This Row],['#_Constructed/Existingwater storage tank with gravity fed reticulation system]]-WWWW[[#This Row],['#_Non-functional storage tank gravity fed reticulation system]]</f>
        <v>1</v>
      </c>
      <c r="CK250" s="417">
        <f>(WWWW[[#This Row],['#_Water_Liters_supplied_by_Water boating or water trucking]]/90)/15</f>
        <v>0</v>
      </c>
      <c r="CL250" s="417">
        <f>WWWW[[#This Row],['#_Water_Liters_from_Constructed/Existing water distribution system from river or natural spring]]/90/15</f>
        <v>0</v>
      </c>
      <c r="CM250" s="417">
        <f>IF(WWWW[[#This Row],['#_of water points in TLS/CFS]]*500&gt;WWWW[[#This Row],[Total PoP ]],WWWW[[#This Row],[Total PoP ]],WWWW[[#This Row],['#_of water points in TLS/CFS]]*500)</f>
        <v>1900</v>
      </c>
      <c r="CN250" s="417">
        <f>IF(WWWW[[#This Row],['#_of water points in THF]]*500&gt;WWWW[[#This Row],[Total PoP ]],WWWW[[#This Row],[Total PoP ]],WWWW[[#This Row],['#_of water points in THF]]*500)</f>
        <v>0</v>
      </c>
      <c r="CO250" s="417"/>
      <c r="CP250"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50"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0.69298245614035092</v>
      </c>
      <c r="CR250" s="416">
        <f>IF(WWWW[[#This Row],[Location Type 1]]="Village",WWWW[[#This Row],[Access to safe drinking water for Village]],WWWW[[#This Row],[Access to safe drinking water for Camp]])</f>
        <v>1</v>
      </c>
      <c r="CS250" s="421">
        <f>WWWW[[#This Row],[%Equitable and continuous access to sufficient quantity of safe drinking water]]*WWWW[[#This Row],[Total PoP ]]</f>
        <v>1900</v>
      </c>
      <c r="CT250" s="416">
        <f>IF((WWWW[[#This Row],['#_Constructed/Existing protected/fenced ponds]]*250)/WWWW[[#This Row],[Total PoP ]]&gt;1,1,(WWWW[[#This Row],['#_Constructed/Existing protected/fenced ponds]]*250)/WWWW[[#This Row],[Total PoP ]])</f>
        <v>0.65789473684210531</v>
      </c>
      <c r="CU250" s="421">
        <f>WWWW[[#This Row],[% Access to unimproved water points]]*WWWW[[#This Row],[Total PoP ]]</f>
        <v>1250</v>
      </c>
      <c r="CV250"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50"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1900</v>
      </c>
      <c r="CX250" s="421">
        <f>WWWW[[#This Row],[HRP1]]/500</f>
        <v>3.8</v>
      </c>
      <c r="CY250" s="951">
        <f>1-WWWW[[#This Row],[% Equitable and continuous access to sufficient quantity of domestic water]]</f>
        <v>0</v>
      </c>
      <c r="CZ250" s="421">
        <f>WWWW[[#This Row],[%equitable and continuous access to sufficient quantity of safe drinking and domestic water''s GAP]]*WWWW[[#This Row],[Total PoP ]]</f>
        <v>0</v>
      </c>
      <c r="DA250" s="417">
        <f>IF(WWWW[[#This Row],[Total required water points]]-WWWW[[#This Row],['#Water points coverage]]&lt;0,0,WWWW[[#This Row],[Total required water points]]-WWWW[[#This Row],['#Water points coverage]])</f>
        <v>0.20000000000000018</v>
      </c>
      <c r="DB250" s="417">
        <f>ROUND(IF(WWWW[[#This Row],[Total PoP ]]&lt;500,1,WWWW[[#This Row],[Total PoP ]]/500),0)</f>
        <v>4</v>
      </c>
      <c r="DC250" s="417">
        <f>(WWWW[[#This Row],['#_Constructed latrines_by_WASHAgencies]]+WWWW[[#This Row],['#_Non Cluster partner latrines]])-WWWW[[#This Row],['#_Non-functional latrines]]</f>
        <v>185</v>
      </c>
      <c r="DD250" s="615">
        <f>WWWW[[#This Row],[HRP2]]/WWWW[[#This Row],[Total PoP ]]</f>
        <v>1</v>
      </c>
      <c r="DE250"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1900</v>
      </c>
      <c r="DF250"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50"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50" s="417">
        <f>IF(WWWW[[#This Row],['# of functional latrines in THF supported by WASH partners during the reporting period2]]="",0,WWWW[[#This Row],['# of functional latrines in THF supported by WASH partners during the reporting period2]]*50)</f>
        <v>100</v>
      </c>
      <c r="DI250" s="417">
        <f>ROUND(IF(WWWW[[#This Row],[Location Type 1]]="camp",WWWW[[#This Row],[Total PoP ]]/20,IF(WWWW[[#This Row],[Location Type 1]]="Temporary Location",WWWW[[#This Row],[Total PoP ]]/50,(WWWW[[#This Row],[Total PoP ]]/6))),0)</f>
        <v>95</v>
      </c>
      <c r="DJ250" s="417">
        <f>IF(WWWW[[#This Row],[Total required Latrines]]-(WWWW[[#This Row],['#_Constructed latrines_by_WASHAgencies]]+WWWW[[#This Row],['#_Non Cluster partner latrines]])&lt;0,0,WWWW[[#This Row],[Total required Latrines]]-(WWWW[[#This Row],['#_Constructed latrines_by_WASHAgencies]]+WWWW[[#This Row],['#_Non Cluster partner latrines]]))</f>
        <v>0</v>
      </c>
      <c r="DK250" s="951">
        <f>1-WWWW[[#This Row],[% people access to functioning Latrine]]</f>
        <v>0</v>
      </c>
      <c r="DL250" s="615">
        <f>IF(OR(WWWW[[#This Row],['#_Non-functional latrines]]="",WWWW[[#This Row],['#_Non-functional latrines]]=0),0,WWWW[[#This Row],['#_Non-functional latrines]]/(WWWW[[#This Row],['#_Constructed latrines_by_WASHAgencies]]+WWWW[[#This Row],['#_Non Cluster partner latrines]]))</f>
        <v>0</v>
      </c>
      <c r="DM250" s="421">
        <f>IF(500*(WWWW[[#This Row],['#_male hygiene promoters]]+WWWW[[#This Row],['#_female hygiene promoters]])&gt;WWWW[[#This Row],[Total PoP ]],WWWW[[#This Row],[Total PoP ]],500*(WWWW[[#This Row],['#_male hygiene promoters]]+WWWW[[#This Row],['#_female hygiene promoters]]))</f>
        <v>1900</v>
      </c>
      <c r="DN250"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50"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50" s="417">
        <f>IF(WWWW[[#This Row],['# People with access to soap]]&gt;WWWW[[#This Row],['# People with access to Sanity Pads]],WWWW[[#This Row],['# People with access to soap]],WWWW[[#This Row],['# People with access to Sanity Pads]])</f>
        <v>0</v>
      </c>
      <c r="DQ250" s="417">
        <f>IF(WWWW[[#This Row],['# people reached by regular dedicated hygiene promotion_5]]&gt;WWWW[[#This Row],['# People received regular supply of hygiene items_6]],WWWW[[#This Row],['# people reached by regular dedicated hygiene promotion_5]],WWWW[[#This Row],['# People received regular supply of hygiene items_6]])</f>
        <v>1900</v>
      </c>
      <c r="DR250" s="951">
        <f>IF(WWWW[[#This Row],[HRP3]]/WWWW[[#This Row],[Total PoP ]]&gt;1,1,WWWW[[#This Row],[HRP3]]/WWWW[[#This Row],[Total PoP ]])</f>
        <v>1</v>
      </c>
      <c r="DS250" s="615">
        <f>1-WWWW[[#This Row],[Hygiene Coverage%]]</f>
        <v>0</v>
      </c>
      <c r="DT250" s="416">
        <f>WWWW[[#This Row],['# people reached by regular dedicated hygiene promotion_5]]/WWWW[[#This Row],[Total PoP ]]</f>
        <v>1</v>
      </c>
      <c r="DU250"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50"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50" s="417">
        <f>WWWW[[#This Row],['#_Constructed/Existing hand washing stations]]-WWWW[[#This Row],['#_Non-Functional_hand_washing_stations]]</f>
        <v>3</v>
      </c>
      <c r="DX250" s="421">
        <f>IF(WWWW[[#This Row],['# Functional hand washing stations during reporting period]]*20&gt;WWWW[[#This Row],[Total HH]],WWWW[[#This Row],[Total HH]],WWWW[[#This Row],['# Functional hand washing stations during reporting period]]*20)</f>
        <v>60</v>
      </c>
      <c r="DY250" s="421">
        <f>IF(WWWW[[#This Row],[Is sufficient soap available for TLS? (Yes/No)]]="yes",WWWW[[#This Row],['#_Constructed/Existing hand washing stations at TLS/CFS/THF]],0)</f>
        <v>0</v>
      </c>
      <c r="DZ250" s="421">
        <f>IF(WWWW[[#This Row],['# Functional hand washing stations during reporting period]]*100&gt;WWWW[[#This Row],[Total PoP ]],WWWW[[#This Row],[Total PoP ]],WWWW[[#This Row],['# Functional hand washing stations during reporting period]]*100)</f>
        <v>300</v>
      </c>
      <c r="EA250" s="421" t="str">
        <f>IF(OR(WWWW[[#This Row],['#_students at TLS_CFS]]="",WWWW[[#This Row],['#_students at TLS_CFS]]=0),"No","Yes")</f>
        <v>No</v>
      </c>
      <c r="EB25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50" s="566">
        <f>WWWW[[#This Row],[%_of_affected_people_surveyed_who_report_feeling_satistfied_with_the_latrine_design_and_sanitation_service]]*WWWW[[#This Row],[Total PoP ]]</f>
        <v>0</v>
      </c>
      <c r="ED250" s="566">
        <f>WWWW[[#This Row],[%_of_affected_people_surveyed_who_report_feeling_satistfied_with_the_water_point_design_and_water_service]]*WWWW[[#This Row],[Total PoP ]]</f>
        <v>0</v>
      </c>
      <c r="EE250" s="566">
        <f>WWWW[[#This Row],[%_of_complaints_received_that_result_in_timely_corrective_action_and_feedback_to_the_community]]*WWWW[[#This Row],[Total PoP ]]</f>
        <v>0</v>
      </c>
      <c r="EF25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5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1900</v>
      </c>
      <c r="EH25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I250" s="418" t="str">
        <f>VLOOKUP(WWWW[[#This Row],[Site Name]],SiteDB6[[Site Name]:[CCCM Management]],6,FALSE)</f>
        <v>Yes</v>
      </c>
      <c r="EJ250" s="418" t="str">
        <f>VLOOKUP(WWWW[[#This Row],[Site Name]],SiteDB6[[Site Name]:[CCCM Focal Agency]],7,FALSE)</f>
        <v>KMSS-BMO</v>
      </c>
      <c r="EK250" s="418" t="str">
        <f>VLOOKUP(WWWW[[#This Row],[Site Name]],SiteDB6[[Site Name]:[Location Type 1]],9,FALSE)</f>
        <v>Camp</v>
      </c>
      <c r="EL250" s="418" t="str">
        <f>VLOOKUP(WWWW[[#This Row],[Site Name]],SiteDB6[[Site Name]:[Type of Accommodation]],10,FALSE)</f>
        <v>Camp</v>
      </c>
      <c r="EM250" s="418" t="str">
        <f>VLOOKUP(WWWW[[#This Row],[Site Name]],SiteDB6[[Site Name]:[Ethnic or GCA/NGCA]],11,FALSE)</f>
        <v>NGCA</v>
      </c>
      <c r="EN250" s="418">
        <f>VLOOKUP(WWWW[[#This Row],[Site Name]],SiteDB6[[Site Name]:[Lat]],12,FALSE)</f>
        <v>24.002433</v>
      </c>
      <c r="EO250" s="418">
        <f>VLOOKUP(WWWW[[#This Row],[Site Name]],SiteDB6[[Site Name]:[Long]],13,FALSE)</f>
        <v>97.609832999999995</v>
      </c>
      <c r="EP250" s="418" t="str">
        <f>VLOOKUP(WWWW[[#This Row],[Site Name]],SiteDB6[[Site Name]:[Pcode]],3,FALSE)</f>
        <v>MMR001CMP129</v>
      </c>
      <c r="EQ250" s="950" t="str">
        <f t="shared" si="4"/>
        <v>Covered</v>
      </c>
      <c r="ER250" s="950" t="s">
        <v>136</v>
      </c>
      <c r="ES250" s="950" t="s">
        <v>41</v>
      </c>
      <c r="ET250" s="418">
        <f>VLOOKUP(WWWW[[#This Row],[Site Name]],SiteDB6[[Site Name]:[Pop
(Kachin/Shan-CCCM as of May 2023)]],16,FALSE)</f>
        <v>393</v>
      </c>
      <c r="EU250" s="418">
        <f>VLOOKUP(WWWW[[#This Row],[Site Name]],SiteDB6[[Site Name]:[Pop
(Kachin/Shan-CCCM as of May 2023)]],17,FALSE)</f>
        <v>1919</v>
      </c>
    </row>
    <row r="251" spans="1:151">
      <c r="A251" s="946" t="s">
        <v>2962</v>
      </c>
      <c r="B251" s="946" t="s">
        <v>291</v>
      </c>
      <c r="C251" s="938" t="s">
        <v>291</v>
      </c>
      <c r="D251" s="938" t="s">
        <v>2594</v>
      </c>
      <c r="E251" s="938" t="s">
        <v>37</v>
      </c>
      <c r="F251" s="938" t="s">
        <v>38</v>
      </c>
      <c r="G251" s="902" t="str">
        <f>VLOOKUP(WWWW[[#This Row],[Site Name]],SiteDB6[[Site Name]:[Location Type]],8,FALSE)</f>
        <v>Camp</v>
      </c>
      <c r="H251" s="938" t="s">
        <v>294</v>
      </c>
      <c r="I251" s="441">
        <v>542</v>
      </c>
      <c r="J251" s="441">
        <v>2503</v>
      </c>
      <c r="K251" s="948">
        <v>44652</v>
      </c>
      <c r="L251" s="949">
        <v>44926</v>
      </c>
      <c r="M251" s="441"/>
      <c r="N251" s="441"/>
      <c r="O251" s="441"/>
      <c r="P251" s="441"/>
      <c r="Q251" s="421" t="s">
        <v>41</v>
      </c>
      <c r="R251" s="441"/>
      <c r="S251" s="441"/>
      <c r="T251" s="441">
        <v>4</v>
      </c>
      <c r="U251" s="441"/>
      <c r="V251" s="441"/>
      <c r="W251" s="441"/>
      <c r="X251" s="441"/>
      <c r="Y251" s="441"/>
      <c r="Z251" s="441"/>
      <c r="AA251" s="441"/>
      <c r="AB251" s="441"/>
      <c r="AC251" s="441"/>
      <c r="AD251" s="441"/>
      <c r="AE251" s="441">
        <v>1</v>
      </c>
      <c r="AF251" s="441"/>
      <c r="AG251" s="441"/>
      <c r="AH251" s="441">
        <v>1</v>
      </c>
      <c r="AI251" s="441"/>
      <c r="AJ251" s="441"/>
      <c r="AK251" s="441"/>
      <c r="AL251" s="441"/>
      <c r="AM251" s="441">
        <v>5</v>
      </c>
      <c r="AN251" s="441">
        <v>2</v>
      </c>
      <c r="AO251" s="441"/>
      <c r="AP251" s="950"/>
      <c r="AQ251" s="441">
        <v>438</v>
      </c>
      <c r="AR251" s="441"/>
      <c r="AS251" s="416"/>
      <c r="AT251" s="441"/>
      <c r="AU251" s="441"/>
      <c r="AV251" s="441"/>
      <c r="AW251" s="441"/>
      <c r="AX251" s="441">
        <v>266</v>
      </c>
      <c r="AY251" s="418" t="s">
        <v>136</v>
      </c>
      <c r="AZ251" s="950" t="s">
        <v>137</v>
      </c>
      <c r="BA251" s="441"/>
      <c r="BB251" s="441"/>
      <c r="BC251" s="441"/>
      <c r="BD251" s="441">
        <v>2</v>
      </c>
      <c r="BE251" s="441"/>
      <c r="BF251" s="418"/>
      <c r="BG251" s="441">
        <v>7</v>
      </c>
      <c r="BH251" s="441"/>
      <c r="BI251" s="441">
        <v>266</v>
      </c>
      <c r="BJ251" s="441">
        <v>4</v>
      </c>
      <c r="BK251" s="441"/>
      <c r="BL251" s="441"/>
      <c r="BM251" s="441">
        <v>7</v>
      </c>
      <c r="BN251" s="441"/>
      <c r="BO251" s="441"/>
      <c r="BP251" s="418"/>
      <c r="BQ251" s="417"/>
      <c r="BR251" s="416"/>
      <c r="BS251" s="418"/>
      <c r="BT251" s="416"/>
      <c r="BU251" s="416"/>
      <c r="BV251" s="418"/>
      <c r="BW251" s="416"/>
      <c r="BX251" s="441"/>
      <c r="BY251" s="441"/>
      <c r="BZ251" s="441"/>
      <c r="CA251" s="441"/>
      <c r="CB251" s="441"/>
      <c r="CC251" s="693"/>
      <c r="CD251" s="441"/>
      <c r="CE251" s="615" t="str">
        <f>IFERROR(WWWW[[#This Row],['#_Water sources passed]]/WWWW[[#This Row],['#_Water sources tested for fecal coliform ]],"no test")</f>
        <v>no test</v>
      </c>
      <c r="CF251" s="416" t="str">
        <f>IFERROR(WWWW[[#This Row],['#_Household passed]]/WWWW[[#This Row],['#_Household water samples tested for fecal coliform]],"no test")</f>
        <v>no test</v>
      </c>
      <c r="CG251" s="417" t="str">
        <f>IF(AND(WWWW[[#This Row],[% of water sources passed]]="no test",WWWW[[#This Row],[% Household passed]]="no test"),"No Test","Tested")</f>
        <v>No Test</v>
      </c>
      <c r="CH251" s="417">
        <f>WWWW[[#This Row],['#_Constructed/existing protected hand dug well]]-WWWW[[#This Row],['#_Non-functional protected hand dug well]]</f>
        <v>4</v>
      </c>
      <c r="CI251" s="417">
        <f>(WWWW[[#This Row],['#_Constructed/Existing tube wells/boreholes/handpumps_WASH_agency]]+WWWW[[#This Row],['#_Non-Cluster partner water tube-wells/boreholes/handpumps]])-WWWW[[#This Row],['#_Non-functional tube wells/boreholes/handpumps]]</f>
        <v>0</v>
      </c>
      <c r="CJ251" s="417">
        <f>WWWW[[#This Row],['#_Constructed/Existingwater storage tank with gravity fed reticulation system]]-WWWW[[#This Row],['#_Non-functional storage tank gravity fed reticulation system]]</f>
        <v>0</v>
      </c>
      <c r="CK251" s="417">
        <f>(WWWW[[#This Row],['#_Water_Liters_supplied_by_Water boating or water trucking]]/90)/15</f>
        <v>0</v>
      </c>
      <c r="CL251" s="417">
        <f>WWWW[[#This Row],['#_Water_Liters_from_Constructed/Existing water distribution system from river or natural spring]]/90/15</f>
        <v>0</v>
      </c>
      <c r="CM251" s="417">
        <f>IF(WWWW[[#This Row],['#_of water points in TLS/CFS]]*500&gt;WWWW[[#This Row],[Total PoP ]],WWWW[[#This Row],[Total PoP ]],WWWW[[#This Row],['#_of water points in TLS/CFS]]*500)</f>
        <v>1000</v>
      </c>
      <c r="CN251" s="417">
        <f>IF(WWWW[[#This Row],['#_of water points in THF]]*500&gt;WWWW[[#This Row],[Total PoP ]],WWWW[[#This Row],[Total PoP ]],WWWW[[#This Row],['#_of water points in THF]]*500)</f>
        <v>0</v>
      </c>
      <c r="CO251" s="417"/>
      <c r="CP251"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0.63923292049540548</v>
      </c>
      <c r="CQ251"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0.39952057530962842</v>
      </c>
      <c r="CR251" s="416">
        <f>IF(WWWW[[#This Row],[Location Type 1]]="Village",WWWW[[#This Row],[Access to safe drinking water for Village]],WWWW[[#This Row],[Access to safe drinking water for Camp]])</f>
        <v>0.63923292049540548</v>
      </c>
      <c r="CS251" s="421">
        <f>WWWW[[#This Row],[%Equitable and continuous access to sufficient quantity of safe drinking water]]*WWWW[[#This Row],[Total PoP ]]</f>
        <v>1600</v>
      </c>
      <c r="CT251" s="416">
        <f>IF((WWWW[[#This Row],['#_Constructed/Existing protected/fenced ponds]]*250)/WWWW[[#This Row],[Total PoP ]]&gt;1,1,(WWWW[[#This Row],['#_Constructed/Existing protected/fenced ponds]]*250)/WWWW[[#This Row],[Total PoP ]])</f>
        <v>9.9880143827407106E-2</v>
      </c>
      <c r="CU251" s="421">
        <f>WWWW[[#This Row],[% Access to unimproved water points]]*WWWW[[#This Row],[Total PoP ]]</f>
        <v>249.99999999999997</v>
      </c>
      <c r="CV251"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0.73911306432281254</v>
      </c>
      <c r="CW251"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1850</v>
      </c>
      <c r="CX251" s="421">
        <f>WWWW[[#This Row],[HRP1]]/500</f>
        <v>3.7</v>
      </c>
      <c r="CY251" s="951">
        <f>1-WWWW[[#This Row],[% Equitable and continuous access to sufficient quantity of domestic water]]</f>
        <v>0.26088693567718746</v>
      </c>
      <c r="CZ251" s="421">
        <f>WWWW[[#This Row],[%equitable and continuous access to sufficient quantity of safe drinking and domestic water''s GAP]]*WWWW[[#This Row],[Total PoP ]]</f>
        <v>653.00000000000023</v>
      </c>
      <c r="DA251" s="417">
        <f>IF(WWWW[[#This Row],[Total required water points]]-WWWW[[#This Row],['#Water points coverage]]&lt;0,0,WWWW[[#This Row],[Total required water points]]-WWWW[[#This Row],['#Water points coverage]])</f>
        <v>1.2999999999999998</v>
      </c>
      <c r="DB251" s="417">
        <f>ROUND(IF(WWWW[[#This Row],[Total PoP ]]&lt;500,1,WWWW[[#This Row],[Total PoP ]]/500),0)</f>
        <v>5</v>
      </c>
      <c r="DC251" s="417">
        <f>(WWWW[[#This Row],['#_Constructed latrines_by_WASHAgencies]]+WWWW[[#This Row],['#_Non Cluster partner latrines]])-WWWW[[#This Row],['#_Non-functional latrines]]</f>
        <v>438</v>
      </c>
      <c r="DD251" s="615">
        <f>WWWW[[#This Row],[HRP2]]/WWWW[[#This Row],[Total PoP ]]</f>
        <v>1</v>
      </c>
      <c r="DE251"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2503</v>
      </c>
      <c r="DF251"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51"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51" s="417">
        <f>IF(WWWW[[#This Row],['# of functional latrines in THF supported by WASH partners during the reporting period2]]="",0,WWWW[[#This Row],['# of functional latrines in THF supported by WASH partners during the reporting period2]]*50)</f>
        <v>100</v>
      </c>
      <c r="DI251" s="417">
        <f>ROUND(IF(WWWW[[#This Row],[Location Type 1]]="camp",WWWW[[#This Row],[Total PoP ]]/20,IF(WWWW[[#This Row],[Location Type 1]]="Temporary Location",WWWW[[#This Row],[Total PoP ]]/50,(WWWW[[#This Row],[Total PoP ]]/6))),0)</f>
        <v>125</v>
      </c>
      <c r="DJ251" s="417">
        <f>IF(WWWW[[#This Row],[Total required Latrines]]-(WWWW[[#This Row],['#_Constructed latrines_by_WASHAgencies]]+WWWW[[#This Row],['#_Non Cluster partner latrines]])&lt;0,0,WWWW[[#This Row],[Total required Latrines]]-(WWWW[[#This Row],['#_Constructed latrines_by_WASHAgencies]]+WWWW[[#This Row],['#_Non Cluster partner latrines]]))</f>
        <v>0</v>
      </c>
      <c r="DK251" s="951">
        <f>1-WWWW[[#This Row],[% people access to functioning Latrine]]</f>
        <v>0</v>
      </c>
      <c r="DL251" s="615">
        <f>IF(OR(WWWW[[#This Row],['#_Non-functional latrines]]="",WWWW[[#This Row],['#_Non-functional latrines]]=0),0,WWWW[[#This Row],['#_Non-functional latrines]]/(WWWW[[#This Row],['#_Constructed latrines_by_WASHAgencies]]+WWWW[[#This Row],['#_Non Cluster partner latrines]]))</f>
        <v>0</v>
      </c>
      <c r="DM251" s="421">
        <f>IF(500*(WWWW[[#This Row],['#_male hygiene promoters]]+WWWW[[#This Row],['#_female hygiene promoters]])&gt;WWWW[[#This Row],[Total PoP ]],WWWW[[#This Row],[Total PoP ]],500*(WWWW[[#This Row],['#_male hygiene promoters]]+WWWW[[#This Row],['#_female hygiene promoters]]))</f>
        <v>2503</v>
      </c>
      <c r="DN251"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51"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51" s="417">
        <f>IF(WWWW[[#This Row],['# People with access to soap]]&gt;WWWW[[#This Row],['# People with access to Sanity Pads]],WWWW[[#This Row],['# People with access to soap]],WWWW[[#This Row],['# People with access to Sanity Pads]])</f>
        <v>0</v>
      </c>
      <c r="DQ251" s="417">
        <f>IF(WWWW[[#This Row],['# people reached by regular dedicated hygiene promotion_5]]&gt;WWWW[[#This Row],['# People received regular supply of hygiene items_6]],WWWW[[#This Row],['# people reached by regular dedicated hygiene promotion_5]],WWWW[[#This Row],['# People received regular supply of hygiene items_6]])</f>
        <v>2503</v>
      </c>
      <c r="DR251" s="951">
        <f>IF(WWWW[[#This Row],[HRP3]]/WWWW[[#This Row],[Total PoP ]]&gt;1,1,WWWW[[#This Row],[HRP3]]/WWWW[[#This Row],[Total PoP ]])</f>
        <v>1</v>
      </c>
      <c r="DS251" s="615">
        <f>1-WWWW[[#This Row],[Hygiene Coverage%]]</f>
        <v>0</v>
      </c>
      <c r="DT251" s="416">
        <f>WWWW[[#This Row],['# people reached by regular dedicated hygiene promotion_5]]/WWWW[[#This Row],[Total PoP ]]</f>
        <v>1</v>
      </c>
      <c r="DU251"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51"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51" s="417">
        <f>WWWW[[#This Row],['#_Constructed/Existing hand washing stations]]-WWWW[[#This Row],['#_Non-Functional_hand_washing_stations]]</f>
        <v>7</v>
      </c>
      <c r="DX251" s="421">
        <f>IF(WWWW[[#This Row],['# Functional hand washing stations during reporting period]]*20&gt;WWWW[[#This Row],[Total HH]],WWWW[[#This Row],[Total HH]],WWWW[[#This Row],['# Functional hand washing stations during reporting period]]*20)</f>
        <v>140</v>
      </c>
      <c r="DY251" s="421">
        <f>IF(WWWW[[#This Row],[Is sufficient soap available for TLS? (Yes/No)]]="yes",WWWW[[#This Row],['#_Constructed/Existing hand washing stations at TLS/CFS/THF]],0)</f>
        <v>0</v>
      </c>
      <c r="DZ251" s="421">
        <f>IF(WWWW[[#This Row],['# Functional hand washing stations during reporting period]]*100&gt;WWWW[[#This Row],[Total PoP ]],WWWW[[#This Row],[Total PoP ]],WWWW[[#This Row],['# Functional hand washing stations during reporting period]]*100)</f>
        <v>700</v>
      </c>
      <c r="EA251" s="421" t="str">
        <f>IF(OR(WWWW[[#This Row],['#_students at TLS_CFS]]="",WWWW[[#This Row],['#_students at TLS_CFS]]=0),"No","Yes")</f>
        <v>No</v>
      </c>
      <c r="EB25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51" s="566">
        <f>WWWW[[#This Row],[%_of_affected_people_surveyed_who_report_feeling_satistfied_with_the_latrine_design_and_sanitation_service]]*WWWW[[#This Row],[Total PoP ]]</f>
        <v>0</v>
      </c>
      <c r="ED251" s="566">
        <f>WWWW[[#This Row],[%_of_affected_people_surveyed_who_report_feeling_satistfied_with_the_water_point_design_and_water_service]]*WWWW[[#This Row],[Total PoP ]]</f>
        <v>0</v>
      </c>
      <c r="EE251" s="566">
        <f>WWWW[[#This Row],[%_of_complaints_received_that_result_in_timely_corrective_action_and_feedback_to_the_community]]*WWWW[[#This Row],[Total PoP ]]</f>
        <v>0</v>
      </c>
      <c r="EF25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5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H25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I251" s="418" t="str">
        <f>VLOOKUP(WWWW[[#This Row],[Site Name]],SiteDB6[[Site Name]:[CCCM Management]],6,FALSE)</f>
        <v>Yes</v>
      </c>
      <c r="EJ251" s="418" t="str">
        <f>VLOOKUP(WWWW[[#This Row],[Site Name]],SiteDB6[[Site Name]:[CCCM Focal Agency]],7,FALSE)</f>
        <v>KMSS-BMO</v>
      </c>
      <c r="EK251" s="418" t="str">
        <f>VLOOKUP(WWWW[[#This Row],[Site Name]],SiteDB6[[Site Name]:[Location Type 1]],9,FALSE)</f>
        <v>Camp</v>
      </c>
      <c r="EL251" s="418" t="str">
        <f>VLOOKUP(WWWW[[#This Row],[Site Name]],SiteDB6[[Site Name]:[Type of Accommodation]],10,FALSE)</f>
        <v>Camp</v>
      </c>
      <c r="EM251" s="418" t="str">
        <f>VLOOKUP(WWWW[[#This Row],[Site Name]],SiteDB6[[Site Name]:[Ethnic or GCA/NGCA]],11,FALSE)</f>
        <v>NGCA</v>
      </c>
      <c r="EN251" s="418">
        <f>VLOOKUP(WWWW[[#This Row],[Site Name]],SiteDB6[[Site Name]:[Lat]],12,FALSE)</f>
        <v>24.056132999999999</v>
      </c>
      <c r="EO251" s="418">
        <f>VLOOKUP(WWWW[[#This Row],[Site Name]],SiteDB6[[Site Name]:[Long]],13,FALSE)</f>
        <v>97.625617000000005</v>
      </c>
      <c r="EP251" s="418" t="str">
        <f>VLOOKUP(WWWW[[#This Row],[Site Name]],SiteDB6[[Site Name]:[Pcode]],3,FALSE)</f>
        <v>MMR001CMP128</v>
      </c>
      <c r="EQ251" s="950" t="str">
        <f t="shared" si="4"/>
        <v>Covered</v>
      </c>
      <c r="ER251" s="950" t="s">
        <v>136</v>
      </c>
      <c r="ES251" s="950" t="s">
        <v>41</v>
      </c>
      <c r="ET251" s="418">
        <f>VLOOKUP(WWWW[[#This Row],[Site Name]],SiteDB6[[Site Name]:[Pop
(Kachin/Shan-CCCM as of May 2023)]],16,FALSE)</f>
        <v>541</v>
      </c>
      <c r="EU251" s="418">
        <f>VLOOKUP(WWWW[[#This Row],[Site Name]],SiteDB6[[Site Name]:[Pop
(Kachin/Shan-CCCM as of May 2023)]],17,FALSE)</f>
        <v>2507</v>
      </c>
    </row>
    <row r="252" spans="1:151">
      <c r="A252" s="946" t="s">
        <v>2962</v>
      </c>
      <c r="B252" s="946" t="s">
        <v>141</v>
      </c>
      <c r="C252" s="938" t="s">
        <v>141</v>
      </c>
      <c r="D252" s="938" t="s">
        <v>3097</v>
      </c>
      <c r="E252" s="938" t="s">
        <v>37</v>
      </c>
      <c r="F252" s="938" t="s">
        <v>38</v>
      </c>
      <c r="G252" s="902" t="str">
        <f>VLOOKUP(WWWW[[#This Row],[Site Name]],SiteDB6[[Site Name]:[Location Type]],8,FALSE)</f>
        <v>Camp</v>
      </c>
      <c r="H252" s="938" t="s">
        <v>183</v>
      </c>
      <c r="I252" s="441">
        <v>365</v>
      </c>
      <c r="J252" s="441">
        <v>1517</v>
      </c>
      <c r="K252" s="948">
        <v>44896</v>
      </c>
      <c r="L252" s="949">
        <v>45016</v>
      </c>
      <c r="M252" s="441"/>
      <c r="N252" s="441"/>
      <c r="O252" s="441"/>
      <c r="P252" s="441"/>
      <c r="Q252" s="421" t="s">
        <v>41</v>
      </c>
      <c r="R252" s="441">
        <v>4</v>
      </c>
      <c r="S252" s="441">
        <v>4</v>
      </c>
      <c r="T252" s="441">
        <v>1</v>
      </c>
      <c r="U252" s="441"/>
      <c r="V252" s="441">
        <v>1</v>
      </c>
      <c r="W252" s="441">
        <v>1</v>
      </c>
      <c r="X252" s="441"/>
      <c r="Y252" s="441"/>
      <c r="Z252" s="441"/>
      <c r="AA252" s="441"/>
      <c r="AB252" s="441"/>
      <c r="AC252" s="441"/>
      <c r="AD252" s="441"/>
      <c r="AE252" s="441"/>
      <c r="AF252" s="441"/>
      <c r="AG252" s="441"/>
      <c r="AH252" s="441"/>
      <c r="AI252" s="441"/>
      <c r="AJ252" s="441"/>
      <c r="AK252" s="441"/>
      <c r="AL252" s="441"/>
      <c r="AM252" s="441"/>
      <c r="AN252" s="441"/>
      <c r="AO252" s="441"/>
      <c r="AP252" s="950" t="s">
        <v>140</v>
      </c>
      <c r="AQ252" s="441">
        <v>90</v>
      </c>
      <c r="AR252" s="441"/>
      <c r="AS252" s="416"/>
      <c r="AT252" s="441">
        <v>1</v>
      </c>
      <c r="AU252" s="441"/>
      <c r="AV252" s="441">
        <v>79</v>
      </c>
      <c r="AW252" s="441">
        <v>169.43503000000001</v>
      </c>
      <c r="AX252" s="441"/>
      <c r="AY252" s="418" t="s">
        <v>41</v>
      </c>
      <c r="AZ252" s="950" t="s">
        <v>137</v>
      </c>
      <c r="BA252" s="441"/>
      <c r="BB252" s="441"/>
      <c r="BC252" s="441"/>
      <c r="BD252" s="441"/>
      <c r="BE252" s="441"/>
      <c r="BF252" s="418" t="s">
        <v>140</v>
      </c>
      <c r="BG252" s="441">
        <v>25</v>
      </c>
      <c r="BH252" s="441">
        <v>10</v>
      </c>
      <c r="BI252" s="441">
        <v>2</v>
      </c>
      <c r="BJ252" s="441">
        <v>2</v>
      </c>
      <c r="BK252" s="441"/>
      <c r="BL252" s="441"/>
      <c r="BM252" s="441">
        <v>4</v>
      </c>
      <c r="BN252" s="441"/>
      <c r="BO252" s="441"/>
      <c r="BP252" s="418" t="s">
        <v>136</v>
      </c>
      <c r="BQ252" s="417"/>
      <c r="BR252" s="416">
        <v>0.3</v>
      </c>
      <c r="BS252" s="418" t="s">
        <v>140</v>
      </c>
      <c r="BT252" s="416">
        <v>0.8</v>
      </c>
      <c r="BU252" s="416">
        <v>0.8</v>
      </c>
      <c r="BV252" s="418">
        <v>20</v>
      </c>
      <c r="BW252" s="416">
        <v>0.8</v>
      </c>
      <c r="BX252" s="441"/>
      <c r="BY252" s="441"/>
      <c r="BZ252" s="441"/>
      <c r="CA252" s="441"/>
      <c r="CB252" s="441"/>
      <c r="CC252" s="693"/>
      <c r="CD252" s="441"/>
      <c r="CE252" s="615" t="str">
        <f>IFERROR(WWWW[[#This Row],['#_Water sources passed]]/WWWW[[#This Row],['#_Water sources tested for fecal coliform ]],"no test")</f>
        <v>no test</v>
      </c>
      <c r="CF252" s="416" t="str">
        <f>IFERROR(WWWW[[#This Row],['#_Household passed]]/WWWW[[#This Row],['#_Household water samples tested for fecal coliform]],"no test")</f>
        <v>no test</v>
      </c>
      <c r="CG252" s="417" t="str">
        <f>IF(AND(WWWW[[#This Row],[% of water sources passed]]="no test",WWWW[[#This Row],[% Household passed]]="no test"),"No Test","Tested")</f>
        <v>No Test</v>
      </c>
      <c r="CH252" s="417">
        <f>WWWW[[#This Row],['#_Constructed/existing protected hand dug well]]-WWWW[[#This Row],['#_Non-functional protected hand dug well]]</f>
        <v>1</v>
      </c>
      <c r="CI252" s="417">
        <f>(WWWW[[#This Row],['#_Constructed/Existing tube wells/boreholes/handpumps_WASH_agency]]+WWWW[[#This Row],['#_Non-Cluster partner water tube-wells/boreholes/handpumps]])-WWWW[[#This Row],['#_Non-functional tube wells/boreholes/handpumps]]</f>
        <v>1</v>
      </c>
      <c r="CJ252" s="417">
        <f>WWWW[[#This Row],['#_Constructed/Existingwater storage tank with gravity fed reticulation system]]-WWWW[[#This Row],['#_Non-functional storage tank gravity fed reticulation system]]</f>
        <v>0</v>
      </c>
      <c r="CK252" s="417">
        <f>(WWWW[[#This Row],['#_Water_Liters_supplied_by_Water boating or water trucking]]/90)/15</f>
        <v>0</v>
      </c>
      <c r="CL252" s="417">
        <f>WWWW[[#This Row],['#_Water_Liters_from_Constructed/Existing water distribution system from river or natural spring]]/90/15</f>
        <v>0</v>
      </c>
      <c r="CM252" s="417">
        <f>IF(WWWW[[#This Row],['#_of water points in TLS/CFS]]*500&gt;WWWW[[#This Row],[Total PoP ]],WWWW[[#This Row],[Total PoP ]],WWWW[[#This Row],['#_of water points in TLS/CFS]]*500)</f>
        <v>0</v>
      </c>
      <c r="CN252" s="417">
        <f>IF(WWWW[[#This Row],['#_of water points in THF]]*500&gt;WWWW[[#This Row],[Total PoP ]],WWWW[[#This Row],[Total PoP ]],WWWW[[#This Row],['#_of water points in THF]]*500)</f>
        <v>0</v>
      </c>
      <c r="CO252" s="417"/>
      <c r="CP252"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0.59327620303230055</v>
      </c>
      <c r="CQ252"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0.32959789057350031</v>
      </c>
      <c r="CR252" s="416">
        <f>IF(WWWW[[#This Row],[Location Type 1]]="Village",WWWW[[#This Row],[Access to safe drinking water for Village]],WWWW[[#This Row],[Access to safe drinking water for Camp]])</f>
        <v>0.59327620303230055</v>
      </c>
      <c r="CS252" s="421">
        <f>WWWW[[#This Row],[%Equitable and continuous access to sufficient quantity of safe drinking water]]*WWWW[[#This Row],[Total PoP ]]</f>
        <v>899.99999999999989</v>
      </c>
      <c r="CT252" s="416">
        <f>IF((WWWW[[#This Row],['#_Constructed/Existing protected/fenced ponds]]*250)/WWWW[[#This Row],[Total PoP ]]&gt;1,1,(WWWW[[#This Row],['#_Constructed/Existing protected/fenced ponds]]*250)/WWWW[[#This Row],[Total PoP ]])</f>
        <v>0</v>
      </c>
      <c r="CU252" s="421">
        <f>WWWW[[#This Row],[% Access to unimproved water points]]*WWWW[[#This Row],[Total PoP ]]</f>
        <v>0</v>
      </c>
      <c r="CV252"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0.59327620303230055</v>
      </c>
      <c r="CW252"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899.99999999999989</v>
      </c>
      <c r="CX252" s="421">
        <f>WWWW[[#This Row],[HRP1]]/500</f>
        <v>1.7999999999999998</v>
      </c>
      <c r="CY252" s="951">
        <f>1-WWWW[[#This Row],[% Equitable and continuous access to sufficient quantity of domestic water]]</f>
        <v>0.40672379696769945</v>
      </c>
      <c r="CZ252" s="421">
        <f>WWWW[[#This Row],[%equitable and continuous access to sufficient quantity of safe drinking and domestic water''s GAP]]*WWWW[[#This Row],[Total PoP ]]</f>
        <v>617.00000000000011</v>
      </c>
      <c r="DA252" s="417">
        <f>IF(WWWW[[#This Row],[Total required water points]]-WWWW[[#This Row],['#Water points coverage]]&lt;0,0,WWWW[[#This Row],[Total required water points]]-WWWW[[#This Row],['#Water points coverage]])</f>
        <v>1.2000000000000002</v>
      </c>
      <c r="DB252" s="417">
        <f>ROUND(IF(WWWW[[#This Row],[Total PoP ]]&lt;500,1,WWWW[[#This Row],[Total PoP ]]/500),0)</f>
        <v>3</v>
      </c>
      <c r="DC252" s="417">
        <f>(WWWW[[#This Row],['#_Constructed latrines_by_WASHAgencies]]+WWWW[[#This Row],['#_Non Cluster partner latrines]])-WWWW[[#This Row],['#_Non-functional latrines]]</f>
        <v>89</v>
      </c>
      <c r="DD252" s="615">
        <f>WWWW[[#This Row],[HRP2]]/WWWW[[#This Row],[Total PoP ]]</f>
        <v>1</v>
      </c>
      <c r="DE252"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1517</v>
      </c>
      <c r="DF252"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1517</v>
      </c>
      <c r="DG252"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52" s="417">
        <f>IF(WWWW[[#This Row],['# of functional latrines in THF supported by WASH partners during the reporting period2]]="",0,WWWW[[#This Row],['# of functional latrines in THF supported by WASH partners during the reporting period2]]*50)</f>
        <v>0</v>
      </c>
      <c r="DI252" s="417">
        <f>ROUND(IF(WWWW[[#This Row],[Location Type 1]]="camp",WWWW[[#This Row],[Total PoP ]]/20,IF(WWWW[[#This Row],[Location Type 1]]="Temporary Location",WWWW[[#This Row],[Total PoP ]]/50,(WWWW[[#This Row],[Total PoP ]]/6))),0)</f>
        <v>76</v>
      </c>
      <c r="DJ252" s="417">
        <f>IF(WWWW[[#This Row],[Total required Latrines]]-(WWWW[[#This Row],['#_Constructed latrines_by_WASHAgencies]]+WWWW[[#This Row],['#_Non Cluster partner latrines]])&lt;0,0,WWWW[[#This Row],[Total required Latrines]]-(WWWW[[#This Row],['#_Constructed latrines_by_WASHAgencies]]+WWWW[[#This Row],['#_Non Cluster partner latrines]]))</f>
        <v>0</v>
      </c>
      <c r="DK252" s="951">
        <f>1-WWWW[[#This Row],[% people access to functioning Latrine]]</f>
        <v>0</v>
      </c>
      <c r="DL252" s="615">
        <f>IF(OR(WWWW[[#This Row],['#_Non-functional latrines]]="",WWWW[[#This Row],['#_Non-functional latrines]]=0),0,WWWW[[#This Row],['#_Non-functional latrines]]/(WWWW[[#This Row],['#_Constructed latrines_by_WASHAgencies]]+WWWW[[#This Row],['#_Non Cluster partner latrines]]))</f>
        <v>1.1111111111111112E-2</v>
      </c>
      <c r="DM252" s="421">
        <f>IF(500*(WWWW[[#This Row],['#_male hygiene promoters]]+WWWW[[#This Row],['#_female hygiene promoters]])&gt;WWWW[[#This Row],[Total PoP ]],WWWW[[#This Row],[Total PoP ]],500*(WWWW[[#This Row],['#_male hygiene promoters]]+WWWW[[#This Row],['#_female hygiene promoters]]))</f>
        <v>1517</v>
      </c>
      <c r="DN252"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52"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52" s="417">
        <f>IF(WWWW[[#This Row],['# People with access to soap]]&gt;WWWW[[#This Row],['# People with access to Sanity Pads]],WWWW[[#This Row],['# People with access to soap]],WWWW[[#This Row],['# People with access to Sanity Pads]])</f>
        <v>0</v>
      </c>
      <c r="DQ252" s="417">
        <f>IF(WWWW[[#This Row],['# people reached by regular dedicated hygiene promotion_5]]&gt;WWWW[[#This Row],['# People received regular supply of hygiene items_6]],WWWW[[#This Row],['# people reached by regular dedicated hygiene promotion_5]],WWWW[[#This Row],['# People received regular supply of hygiene items_6]])</f>
        <v>1517</v>
      </c>
      <c r="DR252" s="951">
        <f>IF(WWWW[[#This Row],[HRP3]]/WWWW[[#This Row],[Total PoP ]]&gt;1,1,WWWW[[#This Row],[HRP3]]/WWWW[[#This Row],[Total PoP ]])</f>
        <v>1</v>
      </c>
      <c r="DS252" s="615">
        <f>1-WWWW[[#This Row],[Hygiene Coverage%]]</f>
        <v>0</v>
      </c>
      <c r="DT252" s="416">
        <f>WWWW[[#This Row],['# people reached by regular dedicated hygiene promotion_5]]/WWWW[[#This Row],[Total PoP ]]</f>
        <v>1</v>
      </c>
      <c r="DU252"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52"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52" s="417">
        <f>WWWW[[#This Row],['#_Constructed/Existing hand washing stations]]-WWWW[[#This Row],['#_Non-Functional_hand_washing_stations]]</f>
        <v>15</v>
      </c>
      <c r="DX252" s="421">
        <f>IF(WWWW[[#This Row],['# Functional hand washing stations during reporting period]]*20&gt;WWWW[[#This Row],[Total HH]],WWWW[[#This Row],[Total HH]],WWWW[[#This Row],['# Functional hand washing stations during reporting period]]*20)</f>
        <v>300</v>
      </c>
      <c r="DY252" s="421">
        <f>IF(WWWW[[#This Row],[Is sufficient soap available for TLS? (Yes/No)]]="yes",WWWW[[#This Row],['#_Constructed/Existing hand washing stations at TLS/CFS/THF]],0)</f>
        <v>0</v>
      </c>
      <c r="DZ252" s="421">
        <f>IF(WWWW[[#This Row],['# Functional hand washing stations during reporting period]]*100&gt;WWWW[[#This Row],[Total PoP ]],WWWW[[#This Row],[Total PoP ]],WWWW[[#This Row],['# Functional hand washing stations during reporting period]]*100)</f>
        <v>1500</v>
      </c>
      <c r="EA252" s="421" t="str">
        <f>IF(OR(WWWW[[#This Row],['#_students at TLS_CFS]]="",WWWW[[#This Row],['#_students at TLS_CFS]]=0),"No","Yes")</f>
        <v>No</v>
      </c>
      <c r="EB252" s="615">
        <f>IF(WWWW[[#This Row],['#_of_affected_people_surveyed_who_report_feeling_informed_about_the_different_WASH_services_available_to_them]]="","",WWWW[[#This Row],['#_of_affected_people_surveyed_who_report_feeling_informed_about_the_different_WASH_services_available_to_them]]/WWWW[[#This Row],[Total PoP ]])</f>
        <v>1.3183915622940013E-2</v>
      </c>
      <c r="EC252" s="566">
        <f>WWWW[[#This Row],[%_of_affected_people_surveyed_who_report_feeling_satistfied_with_the_latrine_design_and_sanitation_service]]*WWWW[[#This Row],[Total PoP ]]</f>
        <v>1213.6000000000001</v>
      </c>
      <c r="ED252" s="566">
        <f>WWWW[[#This Row],[%_of_affected_people_surveyed_who_report_feeling_satistfied_with_the_water_point_design_and_water_service]]*WWWW[[#This Row],[Total PoP ]]</f>
        <v>1213.6000000000001</v>
      </c>
      <c r="EE252" s="566">
        <f>WWWW[[#This Row],[%_of_complaints_received_that_result_in_timely_corrective_action_and_feedback_to_the_community]]*WWWW[[#This Row],[Total PoP ]]</f>
        <v>1213.6000000000001</v>
      </c>
      <c r="EF25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1213.6000000000001</v>
      </c>
      <c r="EG25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5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52" s="418" t="str">
        <f>VLOOKUP(WWWW[[#This Row],[Site Name]],SiteDB6[[Site Name]:[CCCM Management]],6,FALSE)</f>
        <v>Yes</v>
      </c>
      <c r="EJ252" s="418" t="str">
        <f>VLOOKUP(WWWW[[#This Row],[Site Name]],SiteDB6[[Site Name]:[CCCM Focal Agency]],7,FALSE)</f>
        <v>KBC-BMO</v>
      </c>
      <c r="EK252" s="418" t="str">
        <f>VLOOKUP(WWWW[[#This Row],[Site Name]],SiteDB6[[Site Name]:[Location Type 1]],9,FALSE)</f>
        <v>Camp</v>
      </c>
      <c r="EL252" s="418" t="str">
        <f>VLOOKUP(WWWW[[#This Row],[Site Name]],SiteDB6[[Site Name]:[Type of Accommodation]],10,FALSE)</f>
        <v>Camp</v>
      </c>
      <c r="EM252" s="418" t="str">
        <f>VLOOKUP(WWWW[[#This Row],[Site Name]],SiteDB6[[Site Name]:[Ethnic or GCA/NGCA]],11,FALSE)</f>
        <v>GCA</v>
      </c>
      <c r="EN252" s="418">
        <f>VLOOKUP(WWWW[[#This Row],[Site Name]],SiteDB6[[Site Name]:[Lat]],12,FALSE)</f>
        <v>23.972453000000002</v>
      </c>
      <c r="EO252" s="418">
        <f>VLOOKUP(WWWW[[#This Row],[Site Name]],SiteDB6[[Site Name]:[Long]],13,FALSE)</f>
        <v>97.225881000000001</v>
      </c>
      <c r="EP252" s="418" t="str">
        <f>VLOOKUP(WWWW[[#This Row],[Site Name]],SiteDB6[[Site Name]:[Pcode]],3,FALSE)</f>
        <v>MMR001CMP218</v>
      </c>
      <c r="EQ252" s="950" t="str">
        <f t="shared" ref="EQ252:EQ283" si="5">IF(C252="none","Notcovered","Covered")</f>
        <v>Covered</v>
      </c>
      <c r="ER252" s="950" t="s">
        <v>3126</v>
      </c>
      <c r="ES252" s="950" t="s">
        <v>3277</v>
      </c>
      <c r="ET252" s="418">
        <f>VLOOKUP(WWWW[[#This Row],[Site Name]],SiteDB6[[Site Name]:[Pop
(Kachin/Shan-CCCM as of May 2023)]],16,FALSE)</f>
        <v>365</v>
      </c>
      <c r="EU252" s="418">
        <f>VLOOKUP(WWWW[[#This Row],[Site Name]],SiteDB6[[Site Name]:[Pop
(Kachin/Shan-CCCM as of May 2023)]],17,FALSE)</f>
        <v>1718</v>
      </c>
    </row>
    <row r="253" spans="1:151">
      <c r="A253" s="1004" t="s">
        <v>2962</v>
      </c>
      <c r="B253" s="1004" t="s">
        <v>36</v>
      </c>
      <c r="C253" s="1005" t="s">
        <v>36</v>
      </c>
      <c r="D253" s="1005" t="s">
        <v>241</v>
      </c>
      <c r="E253" s="1005" t="s">
        <v>37</v>
      </c>
      <c r="F253" s="1005" t="s">
        <v>38</v>
      </c>
      <c r="G253" s="953" t="str">
        <f>VLOOKUP(WWWW[[#This Row],[Site Name]],SiteDB6[[Site Name]:[Location Type]],8,FALSE)</f>
        <v>Camp</v>
      </c>
      <c r="H253" s="1005" t="s">
        <v>39</v>
      </c>
      <c r="I253" s="954">
        <v>143</v>
      </c>
      <c r="J253" s="954">
        <v>791</v>
      </c>
      <c r="K253" s="955">
        <v>44973</v>
      </c>
      <c r="L253" s="956">
        <v>45338</v>
      </c>
      <c r="M253" s="954"/>
      <c r="N253" s="954"/>
      <c r="O253" s="954"/>
      <c r="P253" s="954"/>
      <c r="Q253" s="957"/>
      <c r="R253" s="954"/>
      <c r="S253" s="954"/>
      <c r="T253" s="441"/>
      <c r="U253" s="954"/>
      <c r="V253" s="954"/>
      <c r="W253" s="954">
        <v>2</v>
      </c>
      <c r="X253" s="954"/>
      <c r="Y253" s="954"/>
      <c r="Z253" s="954"/>
      <c r="AA253" s="954"/>
      <c r="AB253" s="954"/>
      <c r="AC253" s="954"/>
      <c r="AD253" s="954"/>
      <c r="AE253" s="954"/>
      <c r="AF253" s="954"/>
      <c r="AG253" s="954"/>
      <c r="AH253" s="954"/>
      <c r="AI253" s="954"/>
      <c r="AJ253" s="954"/>
      <c r="AK253" s="954"/>
      <c r="AL253" s="954"/>
      <c r="AM253" s="954"/>
      <c r="AN253" s="954"/>
      <c r="AO253" s="441"/>
      <c r="AP253" s="958"/>
      <c r="AQ253" s="441">
        <v>61</v>
      </c>
      <c r="AR253" s="954"/>
      <c r="AS253" s="959"/>
      <c r="AT253" s="954"/>
      <c r="AU253" s="954"/>
      <c r="AV253" s="954"/>
      <c r="AW253" s="954"/>
      <c r="AX253" s="954"/>
      <c r="AY253" s="418" t="s">
        <v>41</v>
      </c>
      <c r="AZ253" s="950" t="s">
        <v>137</v>
      </c>
      <c r="BA253" s="954"/>
      <c r="BB253" s="954"/>
      <c r="BC253" s="954"/>
      <c r="BD253" s="441"/>
      <c r="BE253" s="441"/>
      <c r="BF253" s="953"/>
      <c r="BG253" s="954">
        <v>2</v>
      </c>
      <c r="BH253" s="954"/>
      <c r="BI253" s="954"/>
      <c r="BJ253" s="954"/>
      <c r="BK253" s="954"/>
      <c r="BL253" s="954"/>
      <c r="BM253" s="954"/>
      <c r="BN253" s="954"/>
      <c r="BO253" s="954"/>
      <c r="BP253" s="418" t="s">
        <v>41</v>
      </c>
      <c r="BQ253" s="960">
        <v>1</v>
      </c>
      <c r="BR253" s="959"/>
      <c r="BS253" s="953"/>
      <c r="BT253" s="416"/>
      <c r="BU253" s="416"/>
      <c r="BV253" s="418"/>
      <c r="BW253" s="416"/>
      <c r="BX253" s="441">
        <v>7</v>
      </c>
      <c r="BY253" s="441">
        <v>6</v>
      </c>
      <c r="BZ253" s="441">
        <v>5</v>
      </c>
      <c r="CA253" s="441"/>
      <c r="CB253" s="441"/>
      <c r="CC253" s="693"/>
      <c r="CD253" s="441"/>
      <c r="CE253" s="961" t="str">
        <f>IFERROR(WWWW[[#This Row],['#_Water sources passed]]/WWWW[[#This Row],['#_Water sources tested for fecal coliform ]],"no test")</f>
        <v>no test</v>
      </c>
      <c r="CF253" s="959" t="str">
        <f>IFERROR(WWWW[[#This Row],['#_Household passed]]/WWWW[[#This Row],['#_Household water samples tested for fecal coliform]],"no test")</f>
        <v>no test</v>
      </c>
      <c r="CG253" s="960" t="str">
        <f>IF(AND(WWWW[[#This Row],[% of water sources passed]]="no test",WWWW[[#This Row],[% Household passed]]="no test"),"No Test","Tested")</f>
        <v>No Test</v>
      </c>
      <c r="CH253" s="960">
        <f>WWWW[[#This Row],['#_Constructed/existing protected hand dug well]]-WWWW[[#This Row],['#_Non-functional protected hand dug well]]</f>
        <v>0</v>
      </c>
      <c r="CI253" s="960">
        <f>(WWWW[[#This Row],['#_Constructed/Existing tube wells/boreholes/handpumps_WASH_agency]]+WWWW[[#This Row],['#_Non-Cluster partner water tube-wells/boreholes/handpumps]])-WWWW[[#This Row],['#_Non-functional tube wells/boreholes/handpumps]]</f>
        <v>2</v>
      </c>
      <c r="CJ253" s="960">
        <f>WWWW[[#This Row],['#_Constructed/Existingwater storage tank with gravity fed reticulation system]]-WWWW[[#This Row],['#_Non-functional storage tank gravity fed reticulation system]]</f>
        <v>0</v>
      </c>
      <c r="CK253" s="960">
        <f>(WWWW[[#This Row],['#_Water_Liters_supplied_by_Water boating or water trucking]]/90)/15</f>
        <v>0</v>
      </c>
      <c r="CL253" s="960">
        <f>WWWW[[#This Row],['#_Water_Liters_from_Constructed/Existing water distribution system from river or natural spring]]/90/15</f>
        <v>0</v>
      </c>
      <c r="CM253" s="417">
        <f>IF(WWWW[[#This Row],['#_of water points in TLS/CFS]]*500&gt;WWWW[[#This Row],[Total PoP ]],WWWW[[#This Row],[Total PoP ]],WWWW[[#This Row],['#_of water points in TLS/CFS]]*500)</f>
        <v>0</v>
      </c>
      <c r="CN253" s="417">
        <f>IF(WWWW[[#This Row],['#_of water points in THF]]*500&gt;WWWW[[#This Row],[Total PoP ]],WWWW[[#This Row],[Total PoP ]],WWWW[[#This Row],['#_of water points in THF]]*500)</f>
        <v>0</v>
      </c>
      <c r="CO253" s="417"/>
      <c r="CP253"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53"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0.63211125158027814</v>
      </c>
      <c r="CR253" s="959">
        <f>IF(WWWW[[#This Row],[Location Type 1]]="Village",WWWW[[#This Row],[Access to safe drinking water for Village]],WWWW[[#This Row],[Access to safe drinking water for Camp]])</f>
        <v>1</v>
      </c>
      <c r="CS253" s="957">
        <f>WWWW[[#This Row],[%Equitable and continuous access to sufficient quantity of safe drinking water]]*WWWW[[#This Row],[Total PoP ]]</f>
        <v>791</v>
      </c>
      <c r="CT253" s="959">
        <f>IF((WWWW[[#This Row],['#_Constructed/Existing protected/fenced ponds]]*250)/WWWW[[#This Row],[Total PoP ]]&gt;1,1,(WWWW[[#This Row],['#_Constructed/Existing protected/fenced ponds]]*250)/WWWW[[#This Row],[Total PoP ]])</f>
        <v>0</v>
      </c>
      <c r="CU253" s="957">
        <f>WWWW[[#This Row],[% Access to unimproved water points]]*WWWW[[#This Row],[Total PoP ]]</f>
        <v>0</v>
      </c>
      <c r="CV253"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53"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791</v>
      </c>
      <c r="CX253" s="957">
        <f>WWWW[[#This Row],[HRP1]]/500</f>
        <v>1.5820000000000001</v>
      </c>
      <c r="CY253" s="962">
        <f>1-WWWW[[#This Row],[% Equitable and continuous access to sufficient quantity of domestic water]]</f>
        <v>0</v>
      </c>
      <c r="CZ253" s="957">
        <f>WWWW[[#This Row],[%equitable and continuous access to sufficient quantity of safe drinking and domestic water''s GAP]]*WWWW[[#This Row],[Total PoP ]]</f>
        <v>0</v>
      </c>
      <c r="DA253" s="960">
        <f>IF(WWWW[[#This Row],[Total required water points]]-WWWW[[#This Row],['#Water points coverage]]&lt;0,0,WWWW[[#This Row],[Total required water points]]-WWWW[[#This Row],['#Water points coverage]])</f>
        <v>0.41799999999999993</v>
      </c>
      <c r="DB253" s="960">
        <f>ROUND(IF(WWWW[[#This Row],[Total PoP ]]&lt;500,1,WWWW[[#This Row],[Total PoP ]]/500),0)</f>
        <v>2</v>
      </c>
      <c r="DC253" s="960">
        <f>(WWWW[[#This Row],['#_Constructed latrines_by_WASHAgencies]]+WWWW[[#This Row],['#_Non Cluster partner latrines]])-WWWW[[#This Row],['#_Non-functional latrines]]</f>
        <v>61</v>
      </c>
      <c r="DD253" s="615">
        <f>WWWW[[#This Row],[HRP2]]/WWWW[[#This Row],[Total PoP ]]</f>
        <v>1</v>
      </c>
      <c r="DE253"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791</v>
      </c>
      <c r="DF253"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53"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53" s="417">
        <f>IF(WWWW[[#This Row],['# of functional latrines in THF supported by WASH partners during the reporting period2]]="",0,WWWW[[#This Row],['# of functional latrines in THF supported by WASH partners during the reporting period2]]*50)</f>
        <v>0</v>
      </c>
      <c r="DI253" s="960">
        <f>ROUND(IF(WWWW[[#This Row],[Location Type 1]]="camp",WWWW[[#This Row],[Total PoP ]]/20,IF(WWWW[[#This Row],[Location Type 1]]="Temporary Location",WWWW[[#This Row],[Total PoP ]]/50,(WWWW[[#This Row],[Total PoP ]]/6))),0)</f>
        <v>40</v>
      </c>
      <c r="DJ253" s="960">
        <f>IF(WWWW[[#This Row],[Total required Latrines]]-(WWWW[[#This Row],['#_Constructed latrines_by_WASHAgencies]]+WWWW[[#This Row],['#_Non Cluster partner latrines]])&lt;0,0,WWWW[[#This Row],[Total required Latrines]]-(WWWW[[#This Row],['#_Constructed latrines_by_WASHAgencies]]+WWWW[[#This Row],['#_Non Cluster partner latrines]]))</f>
        <v>0</v>
      </c>
      <c r="DK253" s="962">
        <f>1-WWWW[[#This Row],[% people access to functioning Latrine]]</f>
        <v>0</v>
      </c>
      <c r="DL253" s="961">
        <f>IF(OR(WWWW[[#This Row],['#_Non-functional latrines]]="",WWWW[[#This Row],['#_Non-functional latrines]]=0),0,WWWW[[#This Row],['#_Non-functional latrines]]/(WWWW[[#This Row],['#_Constructed latrines_by_WASHAgencies]]+WWWW[[#This Row],['#_Non Cluster partner latrines]]))</f>
        <v>0</v>
      </c>
      <c r="DM253" s="957">
        <f>IF(500*(WWWW[[#This Row],['#_male hygiene promoters]]+WWWW[[#This Row],['#_female hygiene promoters]])&gt;WWWW[[#This Row],[Total PoP ]],WWWW[[#This Row],[Total PoP ]],500*(WWWW[[#This Row],['#_male hygiene promoters]]+WWWW[[#This Row],['#_female hygiene promoters]]))</f>
        <v>0</v>
      </c>
      <c r="DN253"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53"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53" s="960">
        <f>IF(WWWW[[#This Row],['# People with access to soap]]&gt;WWWW[[#This Row],['# People with access to Sanity Pads]],WWWW[[#This Row],['# People with access to soap]],WWWW[[#This Row],['# People with access to Sanity Pads]])</f>
        <v>0</v>
      </c>
      <c r="DQ253" s="960">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53" s="962">
        <f>IF(WWWW[[#This Row],[HRP3]]/WWWW[[#This Row],[Total PoP ]]&gt;1,1,WWWW[[#This Row],[HRP3]]/WWWW[[#This Row],[Total PoP ]])</f>
        <v>0</v>
      </c>
      <c r="DS253" s="961">
        <f>1-WWWW[[#This Row],[Hygiene Coverage%]]</f>
        <v>1</v>
      </c>
      <c r="DT253" s="959">
        <f>WWWW[[#This Row],['# people reached by regular dedicated hygiene promotion_5]]/WWWW[[#This Row],[Total PoP ]]</f>
        <v>0</v>
      </c>
      <c r="DU253"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53"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53" s="960">
        <f>WWWW[[#This Row],['#_Constructed/Existing hand washing stations]]-WWWW[[#This Row],['#_Non-Functional_hand_washing_stations]]</f>
        <v>2</v>
      </c>
      <c r="DX253" s="957">
        <f>IF(WWWW[[#This Row],['# Functional hand washing stations during reporting period]]*20&gt;WWWW[[#This Row],[Total HH]],WWWW[[#This Row],[Total HH]],WWWW[[#This Row],['# Functional hand washing stations during reporting period]]*20)</f>
        <v>40</v>
      </c>
      <c r="DY253" s="957">
        <f>IF(WWWW[[#This Row],[Is sufficient soap available for TLS? (Yes/No)]]="yes",WWWW[[#This Row],['#_Constructed/Existing hand washing stations at TLS/CFS/THF]],0)</f>
        <v>0</v>
      </c>
      <c r="DZ253" s="421">
        <f>IF(WWWW[[#This Row],['# Functional hand washing stations during reporting period]]*100&gt;WWWW[[#This Row],[Total PoP ]],WWWW[[#This Row],[Total PoP ]],WWWW[[#This Row],['# Functional hand washing stations during reporting period]]*100)</f>
        <v>200</v>
      </c>
      <c r="EA253" s="421" t="str">
        <f>IF(OR(WWWW[[#This Row],['#_students at TLS_CFS]]="",WWWW[[#This Row],['#_students at TLS_CFS]]=0),"No","Yes")</f>
        <v>No</v>
      </c>
      <c r="EB25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53" s="566">
        <f>WWWW[[#This Row],[%_of_affected_people_surveyed_who_report_feeling_satistfied_with_the_latrine_design_and_sanitation_service]]*WWWW[[#This Row],[Total PoP ]]</f>
        <v>0</v>
      </c>
      <c r="ED253" s="566">
        <f>WWWW[[#This Row],[%_of_affected_people_surveyed_who_report_feeling_satistfied_with_the_water_point_design_and_water_service]]*WWWW[[#This Row],[Total PoP ]]</f>
        <v>0</v>
      </c>
      <c r="EE253" s="566">
        <f>WWWW[[#This Row],[%_of_complaints_received_that_result_in_timely_corrective_action_and_feedback_to_the_community]]*WWWW[[#This Row],[Total PoP ]]</f>
        <v>0</v>
      </c>
      <c r="EF25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5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5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53" s="953" t="str">
        <f>VLOOKUP(WWWW[[#This Row],[Site Name]],SiteDB6[[Site Name]:[CCCM Management]],6,FALSE)</f>
        <v>Yes</v>
      </c>
      <c r="EJ253" s="953" t="str">
        <f>VLOOKUP(WWWW[[#This Row],[Site Name]],SiteDB6[[Site Name]:[CCCM Focal Agency]],7,FALSE)</f>
        <v>KMSS-BMO</v>
      </c>
      <c r="EK253" s="953" t="str">
        <f>VLOOKUP(WWWW[[#This Row],[Site Name]],SiteDB6[[Site Name]:[Location Type 1]],9,FALSE)</f>
        <v>Camp</v>
      </c>
      <c r="EL253" s="953" t="str">
        <f>VLOOKUP(WWWW[[#This Row],[Site Name]],SiteDB6[[Site Name]:[Type of Accommodation]],10,FALSE)</f>
        <v>Camp</v>
      </c>
      <c r="EM253" s="953" t="str">
        <f>VLOOKUP(WWWW[[#This Row],[Site Name]],SiteDB6[[Site Name]:[Ethnic or GCA/NGCA]],11,FALSE)</f>
        <v>GCA</v>
      </c>
      <c r="EN253" s="953">
        <f>VLOOKUP(WWWW[[#This Row],[Site Name]],SiteDB6[[Site Name]:[Lat]],12,FALSE)</f>
        <v>23.976571</v>
      </c>
      <c r="EO253" s="953">
        <f>VLOOKUP(WWWW[[#This Row],[Site Name]],SiteDB6[[Site Name]:[Long]],13,FALSE)</f>
        <v>97.227057000000002</v>
      </c>
      <c r="EP253" s="953" t="str">
        <f>VLOOKUP(WWWW[[#This Row],[Site Name]],SiteDB6[[Site Name]:[Pcode]],3,FALSE)</f>
        <v>MMR001CMP223</v>
      </c>
      <c r="EQ253" s="958" t="str">
        <f t="shared" si="5"/>
        <v>Covered</v>
      </c>
      <c r="ER253" s="950" t="s">
        <v>3126</v>
      </c>
      <c r="ES253" s="958" t="s">
        <v>3288</v>
      </c>
      <c r="ET253" s="953">
        <f>VLOOKUP(WWWW[[#This Row],[Site Name]],SiteDB6[[Site Name]:[Pop
(Kachin/Shan-CCCM as of May 2023)]],16,FALSE)</f>
        <v>143</v>
      </c>
      <c r="EU253" s="953">
        <f>VLOOKUP(WWWW[[#This Row],[Site Name]],SiteDB6[[Site Name]:[Pop
(Kachin/Shan-CCCM as of May 2023)]],17,FALSE)</f>
        <v>687</v>
      </c>
    </row>
    <row r="254" spans="1:151">
      <c r="A254" s="1004" t="s">
        <v>2962</v>
      </c>
      <c r="B254" s="1004" t="s">
        <v>36</v>
      </c>
      <c r="C254" s="1005" t="s">
        <v>36</v>
      </c>
      <c r="D254" s="1005" t="s">
        <v>241</v>
      </c>
      <c r="E254" s="1005" t="s">
        <v>37</v>
      </c>
      <c r="F254" s="1005" t="s">
        <v>38</v>
      </c>
      <c r="G254" s="953" t="str">
        <f>VLOOKUP(WWWW[[#This Row],[Site Name]],SiteDB6[[Site Name]:[Location Type]],8,FALSE)</f>
        <v>Camp</v>
      </c>
      <c r="H254" s="1005" t="s">
        <v>298</v>
      </c>
      <c r="I254" s="954">
        <v>138</v>
      </c>
      <c r="J254" s="954">
        <v>708</v>
      </c>
      <c r="K254" s="955">
        <v>44973</v>
      </c>
      <c r="L254" s="956">
        <v>45338</v>
      </c>
      <c r="M254" s="954">
        <v>37</v>
      </c>
      <c r="N254" s="954"/>
      <c r="O254" s="954"/>
      <c r="P254" s="954"/>
      <c r="Q254" s="957"/>
      <c r="R254" s="954"/>
      <c r="S254" s="954"/>
      <c r="T254" s="441"/>
      <c r="U254" s="954"/>
      <c r="V254" s="954"/>
      <c r="W254" s="954">
        <v>1</v>
      </c>
      <c r="X254" s="954"/>
      <c r="Y254" s="954"/>
      <c r="Z254" s="954"/>
      <c r="AA254" s="954"/>
      <c r="AB254" s="954"/>
      <c r="AC254" s="954"/>
      <c r="AD254" s="954"/>
      <c r="AE254" s="954"/>
      <c r="AF254" s="954"/>
      <c r="AG254" s="954"/>
      <c r="AH254" s="954"/>
      <c r="AI254" s="954"/>
      <c r="AJ254" s="954"/>
      <c r="AK254" s="954"/>
      <c r="AL254" s="954"/>
      <c r="AM254" s="954"/>
      <c r="AN254" s="954"/>
      <c r="AO254" s="441"/>
      <c r="AP254" s="958"/>
      <c r="AQ254" s="441">
        <v>18</v>
      </c>
      <c r="AR254" s="954"/>
      <c r="AS254" s="959"/>
      <c r="AT254" s="954"/>
      <c r="AU254" s="954"/>
      <c r="AV254" s="954"/>
      <c r="AW254" s="954"/>
      <c r="AX254" s="954"/>
      <c r="AY254" s="418" t="s">
        <v>140</v>
      </c>
      <c r="AZ254" s="950" t="s">
        <v>140</v>
      </c>
      <c r="BA254" s="954"/>
      <c r="BB254" s="954"/>
      <c r="BC254" s="954"/>
      <c r="BD254" s="441"/>
      <c r="BE254" s="441">
        <v>6</v>
      </c>
      <c r="BF254" s="953"/>
      <c r="BG254" s="954">
        <v>2</v>
      </c>
      <c r="BH254" s="954"/>
      <c r="BI254" s="954"/>
      <c r="BJ254" s="954"/>
      <c r="BK254" s="954"/>
      <c r="BL254" s="954"/>
      <c r="BM254" s="954"/>
      <c r="BN254" s="954"/>
      <c r="BO254" s="954"/>
      <c r="BP254" s="418" t="s">
        <v>41</v>
      </c>
      <c r="BQ254" s="960">
        <v>1</v>
      </c>
      <c r="BR254" s="959"/>
      <c r="BS254" s="953"/>
      <c r="BT254" s="416"/>
      <c r="BU254" s="416"/>
      <c r="BV254" s="418"/>
      <c r="BW254" s="416"/>
      <c r="BX254" s="441"/>
      <c r="BY254" s="441">
        <v>13</v>
      </c>
      <c r="BZ254" s="441"/>
      <c r="CA254" s="441"/>
      <c r="CB254" s="441"/>
      <c r="CC254" s="693"/>
      <c r="CD254" s="441"/>
      <c r="CE254" s="961" t="str">
        <f>IFERROR(WWWW[[#This Row],['#_Water sources passed]]/WWWW[[#This Row],['#_Water sources tested for fecal coliform ]],"no test")</f>
        <v>no test</v>
      </c>
      <c r="CF254" s="959" t="str">
        <f>IFERROR(WWWW[[#This Row],['#_Household passed]]/WWWW[[#This Row],['#_Household water samples tested for fecal coliform]],"no test")</f>
        <v>no test</v>
      </c>
      <c r="CG254" s="960" t="str">
        <f>IF(AND(WWWW[[#This Row],[% of water sources passed]]="no test",WWWW[[#This Row],[% Household passed]]="no test"),"No Test","Tested")</f>
        <v>No Test</v>
      </c>
      <c r="CH254" s="960">
        <f>WWWW[[#This Row],['#_Constructed/existing protected hand dug well]]-WWWW[[#This Row],['#_Non-functional protected hand dug well]]</f>
        <v>0</v>
      </c>
      <c r="CI254" s="960">
        <f>(WWWW[[#This Row],['#_Constructed/Existing tube wells/boreholes/handpumps_WASH_agency]]+WWWW[[#This Row],['#_Non-Cluster partner water tube-wells/boreholes/handpumps]])-WWWW[[#This Row],['#_Non-functional tube wells/boreholes/handpumps]]</f>
        <v>1</v>
      </c>
      <c r="CJ254" s="960">
        <f>WWWW[[#This Row],['#_Constructed/Existingwater storage tank with gravity fed reticulation system]]-WWWW[[#This Row],['#_Non-functional storage tank gravity fed reticulation system]]</f>
        <v>0</v>
      </c>
      <c r="CK254" s="960">
        <f>(WWWW[[#This Row],['#_Water_Liters_supplied_by_Water boating or water trucking]]/90)/15</f>
        <v>0</v>
      </c>
      <c r="CL254" s="960">
        <f>WWWW[[#This Row],['#_Water_Liters_from_Constructed/Existing water distribution system from river or natural spring]]/90/15</f>
        <v>0</v>
      </c>
      <c r="CM254" s="417">
        <f>IF(WWWW[[#This Row],['#_of water points in TLS/CFS]]*500&gt;WWWW[[#This Row],[Total PoP ]],WWWW[[#This Row],[Total PoP ]],WWWW[[#This Row],['#_of water points in TLS/CFS]]*500)</f>
        <v>0</v>
      </c>
      <c r="CN254" s="417">
        <f>IF(WWWW[[#This Row],['#_of water points in THF]]*500&gt;WWWW[[#This Row],[Total PoP ]],WWWW[[#This Row],[Total PoP ]],WWWW[[#This Row],['#_of water points in THF]]*500)</f>
        <v>0</v>
      </c>
      <c r="CO254" s="417"/>
      <c r="CP254"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0.70621468926553677</v>
      </c>
      <c r="CQ254"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0.35310734463276838</v>
      </c>
      <c r="CR254" s="959">
        <f>IF(WWWW[[#This Row],[Location Type 1]]="Village",WWWW[[#This Row],[Access to safe drinking water for Village]],WWWW[[#This Row],[Access to safe drinking water for Camp]])</f>
        <v>0.70621468926553677</v>
      </c>
      <c r="CS254" s="957">
        <f>WWWW[[#This Row],[%Equitable and continuous access to sufficient quantity of safe drinking water]]*WWWW[[#This Row],[Total PoP ]]</f>
        <v>500.00000000000006</v>
      </c>
      <c r="CT254" s="959">
        <f>IF((WWWW[[#This Row],['#_Constructed/Existing protected/fenced ponds]]*250)/WWWW[[#This Row],[Total PoP ]]&gt;1,1,(WWWW[[#This Row],['#_Constructed/Existing protected/fenced ponds]]*250)/WWWW[[#This Row],[Total PoP ]])</f>
        <v>0</v>
      </c>
      <c r="CU254" s="957">
        <f>WWWW[[#This Row],[% Access to unimproved water points]]*WWWW[[#This Row],[Total PoP ]]</f>
        <v>0</v>
      </c>
      <c r="CV254"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0.70621468926553677</v>
      </c>
      <c r="CW254"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500.00000000000006</v>
      </c>
      <c r="CX254" s="957">
        <f>WWWW[[#This Row],[HRP1]]/500</f>
        <v>1.0000000000000002</v>
      </c>
      <c r="CY254" s="962">
        <f>1-WWWW[[#This Row],[% Equitable and continuous access to sufficient quantity of domestic water]]</f>
        <v>0.29378531073446323</v>
      </c>
      <c r="CZ254" s="957">
        <f>WWWW[[#This Row],[%equitable and continuous access to sufficient quantity of safe drinking and domestic water''s GAP]]*WWWW[[#This Row],[Total PoP ]]</f>
        <v>207.99999999999997</v>
      </c>
      <c r="DA254" s="960">
        <f>IF(WWWW[[#This Row],[Total required water points]]-WWWW[[#This Row],['#Water points coverage]]&lt;0,0,WWWW[[#This Row],[Total required water points]]-WWWW[[#This Row],['#Water points coverage]])</f>
        <v>0</v>
      </c>
      <c r="DB254" s="960">
        <f>ROUND(IF(WWWW[[#This Row],[Total PoP ]]&lt;500,1,WWWW[[#This Row],[Total PoP ]]/500),0)</f>
        <v>1</v>
      </c>
      <c r="DC254" s="960">
        <f>(WWWW[[#This Row],['#_Constructed latrines_by_WASHAgencies]]+WWWW[[#This Row],['#_Non Cluster partner latrines]])-WWWW[[#This Row],['#_Non-functional latrines]]</f>
        <v>18</v>
      </c>
      <c r="DD254" s="615">
        <f>WWWW[[#This Row],[HRP2]]/WWWW[[#This Row],[Total PoP ]]</f>
        <v>0.51694915254237284</v>
      </c>
      <c r="DE254"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366</v>
      </c>
      <c r="DF254"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54"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54" s="417">
        <f>IF(WWWW[[#This Row],['# of functional latrines in THF supported by WASH partners during the reporting period2]]="",0,WWWW[[#This Row],['# of functional latrines in THF supported by WASH partners during the reporting period2]]*50)</f>
        <v>0</v>
      </c>
      <c r="DI254" s="960">
        <f>ROUND(IF(WWWW[[#This Row],[Location Type 1]]="camp",WWWW[[#This Row],[Total PoP ]]/20,IF(WWWW[[#This Row],[Location Type 1]]="Temporary Location",WWWW[[#This Row],[Total PoP ]]/50,(WWWW[[#This Row],[Total PoP ]]/6))),0)</f>
        <v>35</v>
      </c>
      <c r="DJ254" s="960">
        <f>IF(WWWW[[#This Row],[Total required Latrines]]-(WWWW[[#This Row],['#_Constructed latrines_by_WASHAgencies]]+WWWW[[#This Row],['#_Non Cluster partner latrines]])&lt;0,0,WWWW[[#This Row],[Total required Latrines]]-(WWWW[[#This Row],['#_Constructed latrines_by_WASHAgencies]]+WWWW[[#This Row],['#_Non Cluster partner latrines]]))</f>
        <v>17</v>
      </c>
      <c r="DK254" s="962">
        <f>1-WWWW[[#This Row],[% people access to functioning Latrine]]</f>
        <v>0.48305084745762716</v>
      </c>
      <c r="DL254" s="961">
        <f>IF(OR(WWWW[[#This Row],['#_Non-functional latrines]]="",WWWW[[#This Row],['#_Non-functional latrines]]=0),0,WWWW[[#This Row],['#_Non-functional latrines]]/(WWWW[[#This Row],['#_Constructed latrines_by_WASHAgencies]]+WWWW[[#This Row],['#_Non Cluster partner latrines]]))</f>
        <v>0</v>
      </c>
      <c r="DM254" s="957">
        <f>IF(500*(WWWW[[#This Row],['#_male hygiene promoters]]+WWWW[[#This Row],['#_female hygiene promoters]])&gt;WWWW[[#This Row],[Total PoP ]],WWWW[[#This Row],[Total PoP ]],500*(WWWW[[#This Row],['#_male hygiene promoters]]+WWWW[[#This Row],['#_female hygiene promoters]]))</f>
        <v>0</v>
      </c>
      <c r="DN254"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54"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54" s="960">
        <f>IF(WWWW[[#This Row],['# People with access to soap]]&gt;WWWW[[#This Row],['# People with access to Sanity Pads]],WWWW[[#This Row],['# People with access to soap]],WWWW[[#This Row],['# People with access to Sanity Pads]])</f>
        <v>0</v>
      </c>
      <c r="DQ254" s="960">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54" s="962">
        <f>IF(WWWW[[#This Row],[HRP3]]/WWWW[[#This Row],[Total PoP ]]&gt;1,1,WWWW[[#This Row],[HRP3]]/WWWW[[#This Row],[Total PoP ]])</f>
        <v>0</v>
      </c>
      <c r="DS254" s="961">
        <f>1-WWWW[[#This Row],[Hygiene Coverage%]]</f>
        <v>1</v>
      </c>
      <c r="DT254" s="959">
        <f>WWWW[[#This Row],['# people reached by regular dedicated hygiene promotion_5]]/WWWW[[#This Row],[Total PoP ]]</f>
        <v>0</v>
      </c>
      <c r="DU254"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54"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54" s="960">
        <f>WWWW[[#This Row],['#_Constructed/Existing hand washing stations]]-WWWW[[#This Row],['#_Non-Functional_hand_washing_stations]]</f>
        <v>2</v>
      </c>
      <c r="DX254" s="957">
        <f>IF(WWWW[[#This Row],['# Functional hand washing stations during reporting period]]*20&gt;WWWW[[#This Row],[Total HH]],WWWW[[#This Row],[Total HH]],WWWW[[#This Row],['# Functional hand washing stations during reporting period]]*20)</f>
        <v>40</v>
      </c>
      <c r="DY254" s="957">
        <f>IF(WWWW[[#This Row],[Is sufficient soap available for TLS? (Yes/No)]]="yes",WWWW[[#This Row],['#_Constructed/Existing hand washing stations at TLS/CFS/THF]],0)</f>
        <v>0</v>
      </c>
      <c r="DZ254" s="421">
        <f>IF(WWWW[[#This Row],['# Functional hand washing stations during reporting period]]*100&gt;WWWW[[#This Row],[Total PoP ]],WWWW[[#This Row],[Total PoP ]],WWWW[[#This Row],['# Functional hand washing stations during reporting period]]*100)</f>
        <v>200</v>
      </c>
      <c r="EA254" s="421" t="str">
        <f>IF(OR(WWWW[[#This Row],['#_students at TLS_CFS]]="",WWWW[[#This Row],['#_students at TLS_CFS]]=0),"No","Yes")</f>
        <v>Yes</v>
      </c>
      <c r="EB25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54" s="566">
        <f>WWWW[[#This Row],[%_of_affected_people_surveyed_who_report_feeling_satistfied_with_the_latrine_design_and_sanitation_service]]*WWWW[[#This Row],[Total PoP ]]</f>
        <v>0</v>
      </c>
      <c r="ED254" s="566">
        <f>WWWW[[#This Row],[%_of_affected_people_surveyed_who_report_feeling_satistfied_with_the_water_point_design_and_water_service]]*WWWW[[#This Row],[Total PoP ]]</f>
        <v>0</v>
      </c>
      <c r="EE254" s="566">
        <f>WWWW[[#This Row],[%_of_complaints_received_that_result_in_timely_corrective_action_and_feedback_to_the_community]]*WWWW[[#This Row],[Total PoP ]]</f>
        <v>0</v>
      </c>
      <c r="EF25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5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5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54" s="953" t="str">
        <f>VLOOKUP(WWWW[[#This Row],[Site Name]],SiteDB6[[Site Name]:[CCCM Management]],6,FALSE)</f>
        <v>Yes</v>
      </c>
      <c r="EJ254" s="953" t="str">
        <f>VLOOKUP(WWWW[[#This Row],[Site Name]],SiteDB6[[Site Name]:[CCCM Focal Agency]],7,FALSE)</f>
        <v>KBC-NSS</v>
      </c>
      <c r="EK254" s="953" t="str">
        <f>VLOOKUP(WWWW[[#This Row],[Site Name]],SiteDB6[[Site Name]:[Location Type 1]],9,FALSE)</f>
        <v>Camp</v>
      </c>
      <c r="EL254" s="953" t="str">
        <f>VLOOKUP(WWWW[[#This Row],[Site Name]],SiteDB6[[Site Name]:[Type of Accommodation]],10,FALSE)</f>
        <v>Camp</v>
      </c>
      <c r="EM254" s="953" t="str">
        <f>VLOOKUP(WWWW[[#This Row],[Site Name]],SiteDB6[[Site Name]:[Ethnic or GCA/NGCA]],11,FALSE)</f>
        <v>GCA</v>
      </c>
      <c r="EN254" s="953">
        <f>VLOOKUP(WWWW[[#This Row],[Site Name]],SiteDB6[[Site Name]:[Lat]],12,FALSE)</f>
        <v>23.83013</v>
      </c>
      <c r="EO254" s="953">
        <f>VLOOKUP(WWWW[[#This Row],[Site Name]],SiteDB6[[Site Name]:[Long]],13,FALSE)</f>
        <v>97.589979999999997</v>
      </c>
      <c r="EP254" s="953" t="str">
        <f>VLOOKUP(WWWW[[#This Row],[Site Name]],SiteDB6[[Site Name]:[Pcode]],3,FALSE)</f>
        <v>MMR001CMP133</v>
      </c>
      <c r="EQ254" s="958" t="str">
        <f t="shared" si="5"/>
        <v>Covered</v>
      </c>
      <c r="ER254" s="950" t="s">
        <v>3126</v>
      </c>
      <c r="ES254" s="958" t="s">
        <v>3288</v>
      </c>
      <c r="ET254" s="953">
        <f>VLOOKUP(WWWW[[#This Row],[Site Name]],SiteDB6[[Site Name]:[Pop
(Kachin/Shan-CCCM as of May 2023)]],16,FALSE)</f>
        <v>138</v>
      </c>
      <c r="EU254" s="953">
        <f>VLOOKUP(WWWW[[#This Row],[Site Name]],SiteDB6[[Site Name]:[Pop
(Kachin/Shan-CCCM as of May 2023)]],17,FALSE)</f>
        <v>633</v>
      </c>
    </row>
    <row r="255" spans="1:151">
      <c r="A255" s="1004" t="s">
        <v>2962</v>
      </c>
      <c r="B255" s="1004" t="s">
        <v>36</v>
      </c>
      <c r="C255" s="1005" t="s">
        <v>36</v>
      </c>
      <c r="D255" s="1005" t="s">
        <v>241</v>
      </c>
      <c r="E255" s="1005" t="s">
        <v>37</v>
      </c>
      <c r="F255" s="1005" t="s">
        <v>38</v>
      </c>
      <c r="G255" s="953" t="str">
        <f>VLOOKUP(WWWW[[#This Row],[Site Name]],SiteDB6[[Site Name]:[Location Type]],8,FALSE)</f>
        <v>Camp</v>
      </c>
      <c r="H255" s="1005" t="s">
        <v>300</v>
      </c>
      <c r="I255" s="954">
        <v>118</v>
      </c>
      <c r="J255" s="954">
        <v>618</v>
      </c>
      <c r="K255" s="955">
        <v>44973</v>
      </c>
      <c r="L255" s="956">
        <v>45338</v>
      </c>
      <c r="M255" s="954"/>
      <c r="N255" s="954"/>
      <c r="O255" s="954"/>
      <c r="P255" s="954"/>
      <c r="Q255" s="957"/>
      <c r="R255" s="954"/>
      <c r="S255" s="954"/>
      <c r="T255" s="441"/>
      <c r="U255" s="954"/>
      <c r="V255" s="954"/>
      <c r="W255" s="954">
        <v>3</v>
      </c>
      <c r="X255" s="954"/>
      <c r="Y255" s="954"/>
      <c r="Z255" s="954"/>
      <c r="AA255" s="954"/>
      <c r="AB255" s="954"/>
      <c r="AC255" s="954"/>
      <c r="AD255" s="954"/>
      <c r="AE255" s="954"/>
      <c r="AF255" s="954"/>
      <c r="AG255" s="954"/>
      <c r="AH255" s="954"/>
      <c r="AI255" s="954"/>
      <c r="AJ255" s="954"/>
      <c r="AK255" s="954"/>
      <c r="AL255" s="954"/>
      <c r="AM255" s="954"/>
      <c r="AN255" s="954">
        <v>1</v>
      </c>
      <c r="AO255" s="441"/>
      <c r="AP255" s="958"/>
      <c r="AQ255" s="441">
        <v>29</v>
      </c>
      <c r="AR255" s="954"/>
      <c r="AS255" s="959"/>
      <c r="AT255" s="954"/>
      <c r="AU255" s="954"/>
      <c r="AV255" s="954"/>
      <c r="AW255" s="954"/>
      <c r="AX255" s="954"/>
      <c r="AY255" s="418" t="s">
        <v>140</v>
      </c>
      <c r="AZ255" s="950" t="s">
        <v>140</v>
      </c>
      <c r="BA255" s="954"/>
      <c r="BB255" s="954"/>
      <c r="BC255" s="954"/>
      <c r="BD255" s="441"/>
      <c r="BE255" s="441">
        <v>6</v>
      </c>
      <c r="BF255" s="953"/>
      <c r="BG255" s="954">
        <v>3</v>
      </c>
      <c r="BH255" s="954"/>
      <c r="BI255" s="954"/>
      <c r="BJ255" s="954"/>
      <c r="BK255" s="954"/>
      <c r="BL255" s="954"/>
      <c r="BM255" s="954"/>
      <c r="BN255" s="954"/>
      <c r="BO255" s="954"/>
      <c r="BP255" s="418" t="s">
        <v>41</v>
      </c>
      <c r="BQ255" s="960">
        <v>1</v>
      </c>
      <c r="BR255" s="959"/>
      <c r="BS255" s="953"/>
      <c r="BT255" s="416"/>
      <c r="BU255" s="416"/>
      <c r="BV255" s="418"/>
      <c r="BW255" s="416">
        <v>0.03</v>
      </c>
      <c r="BX255" s="441"/>
      <c r="BY255" s="441">
        <v>13</v>
      </c>
      <c r="BZ255" s="441"/>
      <c r="CA255" s="441"/>
      <c r="CB255" s="441"/>
      <c r="CC255" s="693"/>
      <c r="CD255" s="441"/>
      <c r="CE255" s="961" t="str">
        <f>IFERROR(WWWW[[#This Row],['#_Water sources passed]]/WWWW[[#This Row],['#_Water sources tested for fecal coliform ]],"no test")</f>
        <v>no test</v>
      </c>
      <c r="CF255" s="959" t="str">
        <f>IFERROR(WWWW[[#This Row],['#_Household passed]]/WWWW[[#This Row],['#_Household water samples tested for fecal coliform]],"no test")</f>
        <v>no test</v>
      </c>
      <c r="CG255" s="960" t="str">
        <f>IF(AND(WWWW[[#This Row],[% of water sources passed]]="no test",WWWW[[#This Row],[% Household passed]]="no test"),"No Test","Tested")</f>
        <v>No Test</v>
      </c>
      <c r="CH255" s="960">
        <f>WWWW[[#This Row],['#_Constructed/existing protected hand dug well]]-WWWW[[#This Row],['#_Non-functional protected hand dug well]]</f>
        <v>0</v>
      </c>
      <c r="CI255" s="960">
        <f>(WWWW[[#This Row],['#_Constructed/Existing tube wells/boreholes/handpumps_WASH_agency]]+WWWW[[#This Row],['#_Non-Cluster partner water tube-wells/boreholes/handpumps]])-WWWW[[#This Row],['#_Non-functional tube wells/boreholes/handpumps]]</f>
        <v>3</v>
      </c>
      <c r="CJ255" s="960">
        <f>WWWW[[#This Row],['#_Constructed/Existingwater storage tank with gravity fed reticulation system]]-WWWW[[#This Row],['#_Non-functional storage tank gravity fed reticulation system]]</f>
        <v>0</v>
      </c>
      <c r="CK255" s="960">
        <f>(WWWW[[#This Row],['#_Water_Liters_supplied_by_Water boating or water trucking]]/90)/15</f>
        <v>0</v>
      </c>
      <c r="CL255" s="960">
        <f>WWWW[[#This Row],['#_Water_Liters_from_Constructed/Existing water distribution system from river or natural spring]]/90/15</f>
        <v>0</v>
      </c>
      <c r="CM255" s="417">
        <f>IF(WWWW[[#This Row],['#_of water points in TLS/CFS]]*500&gt;WWWW[[#This Row],[Total PoP ]],WWWW[[#This Row],[Total PoP ]],WWWW[[#This Row],['#_of water points in TLS/CFS]]*500)</f>
        <v>500</v>
      </c>
      <c r="CN255" s="417">
        <f>IF(WWWW[[#This Row],['#_of water points in THF]]*500&gt;WWWW[[#This Row],[Total PoP ]],WWWW[[#This Row],[Total PoP ]],WWWW[[#This Row],['#_of water points in THF]]*500)</f>
        <v>0</v>
      </c>
      <c r="CO255" s="417"/>
      <c r="CP255"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55"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55" s="959">
        <f>IF(WWWW[[#This Row],[Location Type 1]]="Village",WWWW[[#This Row],[Access to safe drinking water for Village]],WWWW[[#This Row],[Access to safe drinking water for Camp]])</f>
        <v>1</v>
      </c>
      <c r="CS255" s="957">
        <f>WWWW[[#This Row],[%Equitable and continuous access to sufficient quantity of safe drinking water]]*WWWW[[#This Row],[Total PoP ]]</f>
        <v>618</v>
      </c>
      <c r="CT255" s="959">
        <f>IF((WWWW[[#This Row],['#_Constructed/Existing protected/fenced ponds]]*250)/WWWW[[#This Row],[Total PoP ]]&gt;1,1,(WWWW[[#This Row],['#_Constructed/Existing protected/fenced ponds]]*250)/WWWW[[#This Row],[Total PoP ]])</f>
        <v>0</v>
      </c>
      <c r="CU255" s="957">
        <f>WWWW[[#This Row],[% Access to unimproved water points]]*WWWW[[#This Row],[Total PoP ]]</f>
        <v>0</v>
      </c>
      <c r="CV255"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55"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618</v>
      </c>
      <c r="CX255" s="957">
        <f>WWWW[[#This Row],[HRP1]]/500</f>
        <v>1.236</v>
      </c>
      <c r="CY255" s="962">
        <f>1-WWWW[[#This Row],[% Equitable and continuous access to sufficient quantity of domestic water]]</f>
        <v>0</v>
      </c>
      <c r="CZ255" s="957">
        <f>WWWW[[#This Row],[%equitable and continuous access to sufficient quantity of safe drinking and domestic water''s GAP]]*WWWW[[#This Row],[Total PoP ]]</f>
        <v>0</v>
      </c>
      <c r="DA255" s="960">
        <f>IF(WWWW[[#This Row],[Total required water points]]-WWWW[[#This Row],['#Water points coverage]]&lt;0,0,WWWW[[#This Row],[Total required water points]]-WWWW[[#This Row],['#Water points coverage]])</f>
        <v>0</v>
      </c>
      <c r="DB255" s="960">
        <f>ROUND(IF(WWWW[[#This Row],[Total PoP ]]&lt;500,1,WWWW[[#This Row],[Total PoP ]]/500),0)</f>
        <v>1</v>
      </c>
      <c r="DC255" s="960">
        <f>(WWWW[[#This Row],['#_Constructed latrines_by_WASHAgencies]]+WWWW[[#This Row],['#_Non Cluster partner latrines]])-WWWW[[#This Row],['#_Non-functional latrines]]</f>
        <v>29</v>
      </c>
      <c r="DD255" s="615">
        <f>WWWW[[#This Row],[HRP2]]/WWWW[[#This Row],[Total PoP ]]</f>
        <v>0.94822006472491904</v>
      </c>
      <c r="DE255"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586</v>
      </c>
      <c r="DF255"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55"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55" s="417">
        <f>IF(WWWW[[#This Row],['# of functional latrines in THF supported by WASH partners during the reporting period2]]="",0,WWWW[[#This Row],['# of functional latrines in THF supported by WASH partners during the reporting period2]]*50)</f>
        <v>0</v>
      </c>
      <c r="DI255" s="960">
        <f>ROUND(IF(WWWW[[#This Row],[Location Type 1]]="camp",WWWW[[#This Row],[Total PoP ]]/20,IF(WWWW[[#This Row],[Location Type 1]]="Temporary Location",WWWW[[#This Row],[Total PoP ]]/50,(WWWW[[#This Row],[Total PoP ]]/6))),0)</f>
        <v>31</v>
      </c>
      <c r="DJ255" s="960">
        <f>IF(WWWW[[#This Row],[Total required Latrines]]-(WWWW[[#This Row],['#_Constructed latrines_by_WASHAgencies]]+WWWW[[#This Row],['#_Non Cluster partner latrines]])&lt;0,0,WWWW[[#This Row],[Total required Latrines]]-(WWWW[[#This Row],['#_Constructed latrines_by_WASHAgencies]]+WWWW[[#This Row],['#_Non Cluster partner latrines]]))</f>
        <v>2</v>
      </c>
      <c r="DK255" s="962">
        <f>1-WWWW[[#This Row],[% people access to functioning Latrine]]</f>
        <v>5.1779935275080957E-2</v>
      </c>
      <c r="DL255" s="961">
        <f>IF(OR(WWWW[[#This Row],['#_Non-functional latrines]]="",WWWW[[#This Row],['#_Non-functional latrines]]=0),0,WWWW[[#This Row],['#_Non-functional latrines]]/(WWWW[[#This Row],['#_Constructed latrines_by_WASHAgencies]]+WWWW[[#This Row],['#_Non Cluster partner latrines]]))</f>
        <v>0</v>
      </c>
      <c r="DM255" s="957">
        <f>IF(500*(WWWW[[#This Row],['#_male hygiene promoters]]+WWWW[[#This Row],['#_female hygiene promoters]])&gt;WWWW[[#This Row],[Total PoP ]],WWWW[[#This Row],[Total PoP ]],500*(WWWW[[#This Row],['#_male hygiene promoters]]+WWWW[[#This Row],['#_female hygiene promoters]]))</f>
        <v>0</v>
      </c>
      <c r="DN255"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55"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55" s="960">
        <f>IF(WWWW[[#This Row],['# People with access to soap]]&gt;WWWW[[#This Row],['# People with access to Sanity Pads]],WWWW[[#This Row],['# People with access to soap]],WWWW[[#This Row],['# People with access to Sanity Pads]])</f>
        <v>0</v>
      </c>
      <c r="DQ255" s="960">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55" s="962">
        <f>IF(WWWW[[#This Row],[HRP3]]/WWWW[[#This Row],[Total PoP ]]&gt;1,1,WWWW[[#This Row],[HRP3]]/WWWW[[#This Row],[Total PoP ]])</f>
        <v>0</v>
      </c>
      <c r="DS255" s="961">
        <f>1-WWWW[[#This Row],[Hygiene Coverage%]]</f>
        <v>1</v>
      </c>
      <c r="DT255" s="959">
        <f>WWWW[[#This Row],['# people reached by regular dedicated hygiene promotion_5]]/WWWW[[#This Row],[Total PoP ]]</f>
        <v>0</v>
      </c>
      <c r="DU255"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55"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55" s="960">
        <f>WWWW[[#This Row],['#_Constructed/Existing hand washing stations]]-WWWW[[#This Row],['#_Non-Functional_hand_washing_stations]]</f>
        <v>3</v>
      </c>
      <c r="DX255" s="957">
        <f>IF(WWWW[[#This Row],['# Functional hand washing stations during reporting period]]*20&gt;WWWW[[#This Row],[Total HH]],WWWW[[#This Row],[Total HH]],WWWW[[#This Row],['# Functional hand washing stations during reporting period]]*20)</f>
        <v>60</v>
      </c>
      <c r="DY255" s="957">
        <f>IF(WWWW[[#This Row],[Is sufficient soap available for TLS? (Yes/No)]]="yes",WWWW[[#This Row],['#_Constructed/Existing hand washing stations at TLS/CFS/THF]],0)</f>
        <v>0</v>
      </c>
      <c r="DZ255" s="421">
        <f>IF(WWWW[[#This Row],['# Functional hand washing stations during reporting period]]*100&gt;WWWW[[#This Row],[Total PoP ]],WWWW[[#This Row],[Total PoP ]],WWWW[[#This Row],['# Functional hand washing stations during reporting period]]*100)</f>
        <v>300</v>
      </c>
      <c r="EA255" s="421" t="str">
        <f>IF(OR(WWWW[[#This Row],['#_students at TLS_CFS]]="",WWWW[[#This Row],['#_students at TLS_CFS]]=0),"No","Yes")</f>
        <v>No</v>
      </c>
      <c r="EB25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55" s="566">
        <f>WWWW[[#This Row],[%_of_affected_people_surveyed_who_report_feeling_satistfied_with_the_latrine_design_and_sanitation_service]]*WWWW[[#This Row],[Total PoP ]]</f>
        <v>0</v>
      </c>
      <c r="ED255" s="566">
        <f>WWWW[[#This Row],[%_of_affected_people_surveyed_who_report_feeling_satistfied_with_the_water_point_design_and_water_service]]*WWWW[[#This Row],[Total PoP ]]</f>
        <v>0</v>
      </c>
      <c r="EE255" s="566">
        <f>WWWW[[#This Row],[%_of_complaints_received_that_result_in_timely_corrective_action_and_feedback_to_the_community]]*WWWW[[#This Row],[Total PoP ]]</f>
        <v>18.54</v>
      </c>
      <c r="EF25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18.54</v>
      </c>
      <c r="EG25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500</v>
      </c>
      <c r="EH25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55" s="953" t="str">
        <f>VLOOKUP(WWWW[[#This Row],[Site Name]],SiteDB6[[Site Name]:[CCCM Management]],6,FALSE)</f>
        <v>Yes</v>
      </c>
      <c r="EJ255" s="953" t="str">
        <f>VLOOKUP(WWWW[[#This Row],[Site Name]],SiteDB6[[Site Name]:[CCCM Focal Agency]],7,FALSE)</f>
        <v>KBC-NSS</v>
      </c>
      <c r="EK255" s="953" t="str">
        <f>VLOOKUP(WWWW[[#This Row],[Site Name]],SiteDB6[[Site Name]:[Location Type 1]],9,FALSE)</f>
        <v>Camp</v>
      </c>
      <c r="EL255" s="953" t="str">
        <f>VLOOKUP(WWWW[[#This Row],[Site Name]],SiteDB6[[Site Name]:[Type of Accommodation]],10,FALSE)</f>
        <v>Camp</v>
      </c>
      <c r="EM255" s="953" t="str">
        <f>VLOOKUP(WWWW[[#This Row],[Site Name]],SiteDB6[[Site Name]:[Ethnic or GCA/NGCA]],11,FALSE)</f>
        <v>GCA</v>
      </c>
      <c r="EN255" s="953">
        <f>VLOOKUP(WWWW[[#This Row],[Site Name]],SiteDB6[[Site Name]:[Lat]],12,FALSE)</f>
        <v>23.829599000000002</v>
      </c>
      <c r="EO255" s="953">
        <f>VLOOKUP(WWWW[[#This Row],[Site Name]],SiteDB6[[Site Name]:[Long]],13,FALSE)</f>
        <v>97.590767</v>
      </c>
      <c r="EP255" s="953" t="str">
        <f>VLOOKUP(WWWW[[#This Row],[Site Name]],SiteDB6[[Site Name]:[Pcode]],3,FALSE)</f>
        <v>MMR001CMP230</v>
      </c>
      <c r="EQ255" s="958" t="str">
        <f t="shared" si="5"/>
        <v>Covered</v>
      </c>
      <c r="ER255" s="950" t="s">
        <v>3126</v>
      </c>
      <c r="ES255" s="958" t="s">
        <v>3288</v>
      </c>
      <c r="ET255" s="953">
        <f>VLOOKUP(WWWW[[#This Row],[Site Name]],SiteDB6[[Site Name]:[Pop
(Kachin/Shan-CCCM as of May 2023)]],16,FALSE)</f>
        <v>150</v>
      </c>
      <c r="EU255" s="953">
        <f>VLOOKUP(WWWW[[#This Row],[Site Name]],SiteDB6[[Site Name]:[Pop
(Kachin/Shan-CCCM as of May 2023)]],17,FALSE)</f>
        <v>655</v>
      </c>
    </row>
    <row r="256" spans="1:151">
      <c r="A256" s="1004" t="s">
        <v>2962</v>
      </c>
      <c r="B256" s="1004" t="s">
        <v>36</v>
      </c>
      <c r="C256" s="1005" t="s">
        <v>36</v>
      </c>
      <c r="D256" s="1005" t="s">
        <v>241</v>
      </c>
      <c r="E256" s="1005" t="s">
        <v>37</v>
      </c>
      <c r="F256" s="1005" t="s">
        <v>38</v>
      </c>
      <c r="G256" s="953" t="str">
        <f>VLOOKUP(WWWW[[#This Row],[Site Name]],SiteDB6[[Site Name]:[Location Type]],8,FALSE)</f>
        <v>Camp</v>
      </c>
      <c r="H256" s="1005" t="s">
        <v>301</v>
      </c>
      <c r="I256" s="954">
        <v>479</v>
      </c>
      <c r="J256" s="954">
        <v>2725</v>
      </c>
      <c r="K256" s="955">
        <v>44973</v>
      </c>
      <c r="L256" s="956">
        <v>45338</v>
      </c>
      <c r="M256" s="954">
        <v>50</v>
      </c>
      <c r="N256" s="954"/>
      <c r="O256" s="954"/>
      <c r="P256" s="954"/>
      <c r="Q256" s="957"/>
      <c r="R256" s="954"/>
      <c r="S256" s="954"/>
      <c r="T256" s="441">
        <v>4</v>
      </c>
      <c r="U256" s="954"/>
      <c r="V256" s="954"/>
      <c r="W256" s="954">
        <v>4</v>
      </c>
      <c r="X256" s="954"/>
      <c r="Y256" s="954"/>
      <c r="Z256" s="954"/>
      <c r="AA256" s="954"/>
      <c r="AB256" s="954"/>
      <c r="AC256" s="954"/>
      <c r="AD256" s="954"/>
      <c r="AE256" s="954"/>
      <c r="AF256" s="954"/>
      <c r="AG256" s="954"/>
      <c r="AH256" s="954"/>
      <c r="AI256" s="954"/>
      <c r="AJ256" s="954"/>
      <c r="AK256" s="954"/>
      <c r="AL256" s="954"/>
      <c r="AM256" s="954"/>
      <c r="AN256" s="954">
        <v>1</v>
      </c>
      <c r="AO256" s="441"/>
      <c r="AP256" s="958"/>
      <c r="AQ256" s="441">
        <v>147</v>
      </c>
      <c r="AR256" s="954"/>
      <c r="AS256" s="959"/>
      <c r="AT256" s="954"/>
      <c r="AU256" s="954"/>
      <c r="AV256" s="954"/>
      <c r="AW256" s="954"/>
      <c r="AX256" s="954"/>
      <c r="AY256" s="418" t="s">
        <v>140</v>
      </c>
      <c r="AZ256" s="950" t="s">
        <v>140</v>
      </c>
      <c r="BA256" s="954"/>
      <c r="BB256" s="954"/>
      <c r="BC256" s="954"/>
      <c r="BD256" s="441"/>
      <c r="BE256" s="441">
        <v>12</v>
      </c>
      <c r="BF256" s="953"/>
      <c r="BG256" s="954">
        <v>2</v>
      </c>
      <c r="BH256" s="954"/>
      <c r="BI256" s="954"/>
      <c r="BJ256" s="954"/>
      <c r="BK256" s="954"/>
      <c r="BL256" s="954"/>
      <c r="BM256" s="954"/>
      <c r="BN256" s="954"/>
      <c r="BO256" s="954"/>
      <c r="BP256" s="418" t="s">
        <v>41</v>
      </c>
      <c r="BQ256" s="960">
        <v>1</v>
      </c>
      <c r="BR256" s="959"/>
      <c r="BS256" s="953"/>
      <c r="BT256" s="416"/>
      <c r="BU256" s="416"/>
      <c r="BV256" s="416">
        <v>0.09</v>
      </c>
      <c r="BW256" s="416"/>
      <c r="BX256" s="441">
        <v>5</v>
      </c>
      <c r="BY256" s="441">
        <v>25</v>
      </c>
      <c r="BZ256" s="441"/>
      <c r="CA256" s="441"/>
      <c r="CB256" s="441"/>
      <c r="CC256" s="693"/>
      <c r="CD256" s="441"/>
      <c r="CE256" s="961" t="str">
        <f>IFERROR(WWWW[[#This Row],['#_Water sources passed]]/WWWW[[#This Row],['#_Water sources tested for fecal coliform ]],"no test")</f>
        <v>no test</v>
      </c>
      <c r="CF256" s="959" t="str">
        <f>IFERROR(WWWW[[#This Row],['#_Household passed]]/WWWW[[#This Row],['#_Household water samples tested for fecal coliform]],"no test")</f>
        <v>no test</v>
      </c>
      <c r="CG256" s="960" t="str">
        <f>IF(AND(WWWW[[#This Row],[% of water sources passed]]="no test",WWWW[[#This Row],[% Household passed]]="no test"),"No Test","Tested")</f>
        <v>No Test</v>
      </c>
      <c r="CH256" s="960">
        <f>WWWW[[#This Row],['#_Constructed/existing protected hand dug well]]-WWWW[[#This Row],['#_Non-functional protected hand dug well]]</f>
        <v>4</v>
      </c>
      <c r="CI256" s="960">
        <f>(WWWW[[#This Row],['#_Constructed/Existing tube wells/boreholes/handpumps_WASH_agency]]+WWWW[[#This Row],['#_Non-Cluster partner water tube-wells/boreholes/handpumps]])-WWWW[[#This Row],['#_Non-functional tube wells/boreholes/handpumps]]</f>
        <v>4</v>
      </c>
      <c r="CJ256" s="960">
        <f>WWWW[[#This Row],['#_Constructed/Existingwater storage tank with gravity fed reticulation system]]-WWWW[[#This Row],['#_Non-functional storage tank gravity fed reticulation system]]</f>
        <v>0</v>
      </c>
      <c r="CK256" s="960">
        <f>(WWWW[[#This Row],['#_Water_Liters_supplied_by_Water boating or water trucking]]/90)/15</f>
        <v>0</v>
      </c>
      <c r="CL256" s="960">
        <f>WWWW[[#This Row],['#_Water_Liters_from_Constructed/Existing water distribution system from river or natural spring]]/90/15</f>
        <v>0</v>
      </c>
      <c r="CM256" s="417">
        <f>IF(WWWW[[#This Row],['#_of water points in TLS/CFS]]*500&gt;WWWW[[#This Row],[Total PoP ]],WWWW[[#This Row],[Total PoP ]],WWWW[[#This Row],['#_of water points in TLS/CFS]]*500)</f>
        <v>500</v>
      </c>
      <c r="CN256" s="417">
        <f>IF(WWWW[[#This Row],['#_of water points in THF]]*500&gt;WWWW[[#This Row],[Total PoP ]],WWWW[[#This Row],[Total PoP ]],WWWW[[#This Row],['#_of water points in THF]]*500)</f>
        <v>0</v>
      </c>
      <c r="CO256" s="417"/>
      <c r="CP256"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56"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0.73394495412844041</v>
      </c>
      <c r="CR256" s="959">
        <f>IF(WWWW[[#This Row],[Location Type 1]]="Village",WWWW[[#This Row],[Access to safe drinking water for Village]],WWWW[[#This Row],[Access to safe drinking water for Camp]])</f>
        <v>1</v>
      </c>
      <c r="CS256" s="957">
        <f>WWWW[[#This Row],[%Equitable and continuous access to sufficient quantity of safe drinking water]]*WWWW[[#This Row],[Total PoP ]]</f>
        <v>2725</v>
      </c>
      <c r="CT256" s="959">
        <f>IF((WWWW[[#This Row],['#_Constructed/Existing protected/fenced ponds]]*250)/WWWW[[#This Row],[Total PoP ]]&gt;1,1,(WWWW[[#This Row],['#_Constructed/Existing protected/fenced ponds]]*250)/WWWW[[#This Row],[Total PoP ]])</f>
        <v>0</v>
      </c>
      <c r="CU256" s="957">
        <f>WWWW[[#This Row],[% Access to unimproved water points]]*WWWW[[#This Row],[Total PoP ]]</f>
        <v>0</v>
      </c>
      <c r="CV256"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56"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2725</v>
      </c>
      <c r="CX256" s="957">
        <f>WWWW[[#This Row],[HRP1]]/500</f>
        <v>5.45</v>
      </c>
      <c r="CY256" s="962">
        <f>1-WWWW[[#This Row],[% Equitable and continuous access to sufficient quantity of domestic water]]</f>
        <v>0</v>
      </c>
      <c r="CZ256" s="957">
        <f>WWWW[[#This Row],[%equitable and continuous access to sufficient quantity of safe drinking and domestic water''s GAP]]*WWWW[[#This Row],[Total PoP ]]</f>
        <v>0</v>
      </c>
      <c r="DA256" s="960">
        <f>IF(WWWW[[#This Row],[Total required water points]]-WWWW[[#This Row],['#Water points coverage]]&lt;0,0,WWWW[[#This Row],[Total required water points]]-WWWW[[#This Row],['#Water points coverage]])</f>
        <v>0</v>
      </c>
      <c r="DB256" s="960">
        <f>ROUND(IF(WWWW[[#This Row],[Total PoP ]]&lt;500,1,WWWW[[#This Row],[Total PoP ]]/500),0)</f>
        <v>5</v>
      </c>
      <c r="DC256" s="960">
        <f>(WWWW[[#This Row],['#_Constructed latrines_by_WASHAgencies]]+WWWW[[#This Row],['#_Non Cluster partner latrines]])-WWWW[[#This Row],['#_Non-functional latrines]]</f>
        <v>147</v>
      </c>
      <c r="DD256" s="615">
        <f>WWWW[[#This Row],[HRP2]]/WWWW[[#This Row],[Total PoP ]]</f>
        <v>1</v>
      </c>
      <c r="DE256"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2725</v>
      </c>
      <c r="DF256"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56"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56" s="417">
        <f>IF(WWWW[[#This Row],['# of functional latrines in THF supported by WASH partners during the reporting period2]]="",0,WWWW[[#This Row],['# of functional latrines in THF supported by WASH partners during the reporting period2]]*50)</f>
        <v>0</v>
      </c>
      <c r="DI256" s="960">
        <f>ROUND(IF(WWWW[[#This Row],[Location Type 1]]="camp",WWWW[[#This Row],[Total PoP ]]/20,IF(WWWW[[#This Row],[Location Type 1]]="Temporary Location",WWWW[[#This Row],[Total PoP ]]/50,(WWWW[[#This Row],[Total PoP ]]/6))),0)</f>
        <v>136</v>
      </c>
      <c r="DJ256" s="960">
        <f>IF(WWWW[[#This Row],[Total required Latrines]]-(WWWW[[#This Row],['#_Constructed latrines_by_WASHAgencies]]+WWWW[[#This Row],['#_Non Cluster partner latrines]])&lt;0,0,WWWW[[#This Row],[Total required Latrines]]-(WWWW[[#This Row],['#_Constructed latrines_by_WASHAgencies]]+WWWW[[#This Row],['#_Non Cluster partner latrines]]))</f>
        <v>0</v>
      </c>
      <c r="DK256" s="962">
        <f>1-WWWW[[#This Row],[% people access to functioning Latrine]]</f>
        <v>0</v>
      </c>
      <c r="DL256" s="961">
        <f>IF(OR(WWWW[[#This Row],['#_Non-functional latrines]]="",WWWW[[#This Row],['#_Non-functional latrines]]=0),0,WWWW[[#This Row],['#_Non-functional latrines]]/(WWWW[[#This Row],['#_Constructed latrines_by_WASHAgencies]]+WWWW[[#This Row],['#_Non Cluster partner latrines]]))</f>
        <v>0</v>
      </c>
      <c r="DM256" s="957">
        <f>IF(500*(WWWW[[#This Row],['#_male hygiene promoters]]+WWWW[[#This Row],['#_female hygiene promoters]])&gt;WWWW[[#This Row],[Total PoP ]],WWWW[[#This Row],[Total PoP ]],500*(WWWW[[#This Row],['#_male hygiene promoters]]+WWWW[[#This Row],['#_female hygiene promoters]]))</f>
        <v>0</v>
      </c>
      <c r="DN256"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56"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56" s="960">
        <f>IF(WWWW[[#This Row],['# People with access to soap]]&gt;WWWW[[#This Row],['# People with access to Sanity Pads]],WWWW[[#This Row],['# People with access to soap]],WWWW[[#This Row],['# People with access to Sanity Pads]])</f>
        <v>0</v>
      </c>
      <c r="DQ256" s="960">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56" s="962">
        <f>IF(WWWW[[#This Row],[HRP3]]/WWWW[[#This Row],[Total PoP ]]&gt;1,1,WWWW[[#This Row],[HRP3]]/WWWW[[#This Row],[Total PoP ]])</f>
        <v>0</v>
      </c>
      <c r="DS256" s="961">
        <f>1-WWWW[[#This Row],[Hygiene Coverage%]]</f>
        <v>1</v>
      </c>
      <c r="DT256" s="959">
        <f>WWWW[[#This Row],['# people reached by regular dedicated hygiene promotion_5]]/WWWW[[#This Row],[Total PoP ]]</f>
        <v>0</v>
      </c>
      <c r="DU256"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56"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56" s="960">
        <f>WWWW[[#This Row],['#_Constructed/Existing hand washing stations]]-WWWW[[#This Row],['#_Non-Functional_hand_washing_stations]]</f>
        <v>2</v>
      </c>
      <c r="DX256" s="957">
        <f>IF(WWWW[[#This Row],['# Functional hand washing stations during reporting period]]*20&gt;WWWW[[#This Row],[Total HH]],WWWW[[#This Row],[Total HH]],WWWW[[#This Row],['# Functional hand washing stations during reporting period]]*20)</f>
        <v>40</v>
      </c>
      <c r="DY256" s="957">
        <f>IF(WWWW[[#This Row],[Is sufficient soap available for TLS? (Yes/No)]]="yes",WWWW[[#This Row],['#_Constructed/Existing hand washing stations at TLS/CFS/THF]],0)</f>
        <v>0</v>
      </c>
      <c r="DZ256" s="421">
        <f>IF(WWWW[[#This Row],['# Functional hand washing stations during reporting period]]*100&gt;WWWW[[#This Row],[Total PoP ]],WWWW[[#This Row],[Total PoP ]],WWWW[[#This Row],['# Functional hand washing stations during reporting period]]*100)</f>
        <v>200</v>
      </c>
      <c r="EA256" s="421" t="str">
        <f>IF(OR(WWWW[[#This Row],['#_students at TLS_CFS]]="",WWWW[[#This Row],['#_students at TLS_CFS]]=0),"No","Yes")</f>
        <v>Yes</v>
      </c>
      <c r="EB256" s="615">
        <f>IF(WWWW[[#This Row],['#_of_affected_people_surveyed_who_report_feeling_informed_about_the_different_WASH_services_available_to_them]]="","",WWWW[[#This Row],['#_of_affected_people_surveyed_who_report_feeling_informed_about_the_different_WASH_services_available_to_them]]/WWWW[[#This Row],[Total PoP ]])</f>
        <v>3.3027522935779817E-5</v>
      </c>
      <c r="EC256" s="566">
        <f>WWWW[[#This Row],[%_of_affected_people_surveyed_who_report_feeling_satistfied_with_the_latrine_design_and_sanitation_service]]*WWWW[[#This Row],[Total PoP ]]</f>
        <v>0</v>
      </c>
      <c r="ED256" s="566">
        <f>WWWW[[#This Row],[%_of_affected_people_surveyed_who_report_feeling_satistfied_with_the_water_point_design_and_water_service]]*WWWW[[#This Row],[Total PoP ]]</f>
        <v>0</v>
      </c>
      <c r="EE256" s="566">
        <f>WWWW[[#This Row],[%_of_complaints_received_that_result_in_timely_corrective_action_and_feedback_to_the_community]]*WWWW[[#This Row],[Total PoP ]]</f>
        <v>0</v>
      </c>
      <c r="EF25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0.09</v>
      </c>
      <c r="EG25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500</v>
      </c>
      <c r="EH25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56" s="953" t="str">
        <f>VLOOKUP(WWWW[[#This Row],[Site Name]],SiteDB6[[Site Name]:[CCCM Management]],6,FALSE)</f>
        <v>Yes</v>
      </c>
      <c r="EJ256" s="953" t="str">
        <f>VLOOKUP(WWWW[[#This Row],[Site Name]],SiteDB6[[Site Name]:[CCCM Focal Agency]],7,FALSE)</f>
        <v>KMSS-BMO</v>
      </c>
      <c r="EK256" s="953" t="str">
        <f>VLOOKUP(WWWW[[#This Row],[Site Name]],SiteDB6[[Site Name]:[Location Type 1]],9,FALSE)</f>
        <v>Camp</v>
      </c>
      <c r="EL256" s="953" t="str">
        <f>VLOOKUP(WWWW[[#This Row],[Site Name]],SiteDB6[[Site Name]:[Type of Accommodation]],10,FALSE)</f>
        <v>Camp</v>
      </c>
      <c r="EM256" s="953" t="str">
        <f>VLOOKUP(WWWW[[#This Row],[Site Name]],SiteDB6[[Site Name]:[Ethnic or GCA/NGCA]],11,FALSE)</f>
        <v>GCA</v>
      </c>
      <c r="EN256" s="953">
        <f>VLOOKUP(WWWW[[#This Row],[Site Name]],SiteDB6[[Site Name]:[Lat]],12,FALSE)</f>
        <v>23.835319999999999</v>
      </c>
      <c r="EO256" s="953">
        <f>VLOOKUP(WWWW[[#This Row],[Site Name]],SiteDB6[[Site Name]:[Long]],13,FALSE)</f>
        <v>97.578490000000002</v>
      </c>
      <c r="EP256" s="953" t="str">
        <f>VLOOKUP(WWWW[[#This Row],[Site Name]],SiteDB6[[Site Name]:[Pcode]],3,FALSE)</f>
        <v>MMR001CMP132</v>
      </c>
      <c r="EQ256" s="958" t="str">
        <f t="shared" si="5"/>
        <v>Covered</v>
      </c>
      <c r="ER256" s="950" t="s">
        <v>3126</v>
      </c>
      <c r="ES256" s="958" t="s">
        <v>3288</v>
      </c>
      <c r="ET256" s="953">
        <f>VLOOKUP(WWWW[[#This Row],[Site Name]],SiteDB6[[Site Name]:[Pop
(Kachin/Shan-CCCM as of May 2023)]],16,FALSE)</f>
        <v>625</v>
      </c>
      <c r="EU256" s="953">
        <f>VLOOKUP(WWWW[[#This Row],[Site Name]],SiteDB6[[Site Name]:[Pop
(Kachin/Shan-CCCM as of May 2023)]],17,FALSE)</f>
        <v>3397</v>
      </c>
    </row>
    <row r="257" spans="1:151">
      <c r="A257" s="1004" t="s">
        <v>2962</v>
      </c>
      <c r="B257" s="1004" t="s">
        <v>36</v>
      </c>
      <c r="C257" s="1005" t="s">
        <v>36</v>
      </c>
      <c r="D257" s="1005" t="s">
        <v>241</v>
      </c>
      <c r="E257" s="1005" t="s">
        <v>37</v>
      </c>
      <c r="F257" s="1005" t="s">
        <v>38</v>
      </c>
      <c r="G257" s="953" t="str">
        <f>VLOOKUP(WWWW[[#This Row],[Site Name]],SiteDB6[[Site Name]:[Location Type]],8,FALSE)</f>
        <v>Camp</v>
      </c>
      <c r="H257" s="1005" t="s">
        <v>302</v>
      </c>
      <c r="I257" s="954">
        <v>140</v>
      </c>
      <c r="J257" s="954">
        <v>857</v>
      </c>
      <c r="K257" s="955">
        <v>44973</v>
      </c>
      <c r="L257" s="956">
        <v>45338</v>
      </c>
      <c r="M257" s="954">
        <v>16</v>
      </c>
      <c r="N257" s="954"/>
      <c r="O257" s="954"/>
      <c r="P257" s="954"/>
      <c r="Q257" s="957"/>
      <c r="R257" s="954"/>
      <c r="S257" s="954"/>
      <c r="T257" s="441"/>
      <c r="U257" s="954"/>
      <c r="V257" s="954"/>
      <c r="W257" s="954">
        <v>3</v>
      </c>
      <c r="X257" s="954"/>
      <c r="Y257" s="954"/>
      <c r="Z257" s="954"/>
      <c r="AA257" s="954"/>
      <c r="AB257" s="954"/>
      <c r="AC257" s="954"/>
      <c r="AD257" s="954"/>
      <c r="AE257" s="954"/>
      <c r="AF257" s="954"/>
      <c r="AG257" s="954"/>
      <c r="AH257" s="954"/>
      <c r="AI257" s="954"/>
      <c r="AJ257" s="954"/>
      <c r="AK257" s="954"/>
      <c r="AL257" s="954"/>
      <c r="AM257" s="954"/>
      <c r="AN257" s="954">
        <v>1</v>
      </c>
      <c r="AO257" s="441"/>
      <c r="AP257" s="958"/>
      <c r="AQ257" s="441">
        <v>48</v>
      </c>
      <c r="AR257" s="954"/>
      <c r="AS257" s="959"/>
      <c r="AT257" s="954"/>
      <c r="AU257" s="954"/>
      <c r="AV257" s="954"/>
      <c r="AW257" s="954"/>
      <c r="AX257" s="954"/>
      <c r="AY257" s="418" t="s">
        <v>140</v>
      </c>
      <c r="AZ257" s="950" t="s">
        <v>140</v>
      </c>
      <c r="BA257" s="954"/>
      <c r="BB257" s="954"/>
      <c r="BC257" s="954"/>
      <c r="BD257" s="441"/>
      <c r="BE257" s="441">
        <v>5</v>
      </c>
      <c r="BF257" s="953"/>
      <c r="BG257" s="954">
        <v>4</v>
      </c>
      <c r="BH257" s="954"/>
      <c r="BI257" s="954"/>
      <c r="BJ257" s="954"/>
      <c r="BK257" s="954"/>
      <c r="BL257" s="954"/>
      <c r="BM257" s="954"/>
      <c r="BN257" s="954"/>
      <c r="BO257" s="954"/>
      <c r="BP257" s="418" t="s">
        <v>41</v>
      </c>
      <c r="BQ257" s="960">
        <v>1</v>
      </c>
      <c r="BR257" s="959"/>
      <c r="BS257" s="953"/>
      <c r="BT257" s="416"/>
      <c r="BU257" s="416"/>
      <c r="BV257" s="418"/>
      <c r="BW257" s="416"/>
      <c r="BX257" s="441"/>
      <c r="BY257" s="441">
        <v>12</v>
      </c>
      <c r="BZ257" s="441"/>
      <c r="CA257" s="441"/>
      <c r="CB257" s="441"/>
      <c r="CC257" s="693"/>
      <c r="CD257" s="441"/>
      <c r="CE257" s="961" t="str">
        <f>IFERROR(WWWW[[#This Row],['#_Water sources passed]]/WWWW[[#This Row],['#_Water sources tested for fecal coliform ]],"no test")</f>
        <v>no test</v>
      </c>
      <c r="CF257" s="959" t="str">
        <f>IFERROR(WWWW[[#This Row],['#_Household passed]]/WWWW[[#This Row],['#_Household water samples tested for fecal coliform]],"no test")</f>
        <v>no test</v>
      </c>
      <c r="CG257" s="960" t="str">
        <f>IF(AND(WWWW[[#This Row],[% of water sources passed]]="no test",WWWW[[#This Row],[% Household passed]]="no test"),"No Test","Tested")</f>
        <v>No Test</v>
      </c>
      <c r="CH257" s="960">
        <f>WWWW[[#This Row],['#_Constructed/existing protected hand dug well]]-WWWW[[#This Row],['#_Non-functional protected hand dug well]]</f>
        <v>0</v>
      </c>
      <c r="CI257" s="960">
        <f>(WWWW[[#This Row],['#_Constructed/Existing tube wells/boreholes/handpumps_WASH_agency]]+WWWW[[#This Row],['#_Non-Cluster partner water tube-wells/boreholes/handpumps]])-WWWW[[#This Row],['#_Non-functional tube wells/boreholes/handpumps]]</f>
        <v>3</v>
      </c>
      <c r="CJ257" s="960">
        <f>WWWW[[#This Row],['#_Constructed/Existingwater storage tank with gravity fed reticulation system]]-WWWW[[#This Row],['#_Non-functional storage tank gravity fed reticulation system]]</f>
        <v>0</v>
      </c>
      <c r="CK257" s="960">
        <f>(WWWW[[#This Row],['#_Water_Liters_supplied_by_Water boating or water trucking]]/90)/15</f>
        <v>0</v>
      </c>
      <c r="CL257" s="960">
        <f>WWWW[[#This Row],['#_Water_Liters_from_Constructed/Existing water distribution system from river or natural spring]]/90/15</f>
        <v>0</v>
      </c>
      <c r="CM257" s="417">
        <f>IF(WWWW[[#This Row],['#_of water points in TLS/CFS]]*500&gt;WWWW[[#This Row],[Total PoP ]],WWWW[[#This Row],[Total PoP ]],WWWW[[#This Row],['#_of water points in TLS/CFS]]*500)</f>
        <v>500</v>
      </c>
      <c r="CN257" s="417">
        <f>IF(WWWW[[#This Row],['#_of water points in THF]]*500&gt;WWWW[[#This Row],[Total PoP ]],WWWW[[#This Row],[Total PoP ]],WWWW[[#This Row],['#_of water points in THF]]*500)</f>
        <v>0</v>
      </c>
      <c r="CO257" s="417"/>
      <c r="CP257"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57"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0.87514585764294051</v>
      </c>
      <c r="CR257" s="959">
        <f>IF(WWWW[[#This Row],[Location Type 1]]="Village",WWWW[[#This Row],[Access to safe drinking water for Village]],WWWW[[#This Row],[Access to safe drinking water for Camp]])</f>
        <v>1</v>
      </c>
      <c r="CS257" s="957">
        <f>WWWW[[#This Row],[%Equitable and continuous access to sufficient quantity of safe drinking water]]*WWWW[[#This Row],[Total PoP ]]</f>
        <v>857</v>
      </c>
      <c r="CT257" s="959">
        <f>IF((WWWW[[#This Row],['#_Constructed/Existing protected/fenced ponds]]*250)/WWWW[[#This Row],[Total PoP ]]&gt;1,1,(WWWW[[#This Row],['#_Constructed/Existing protected/fenced ponds]]*250)/WWWW[[#This Row],[Total PoP ]])</f>
        <v>0</v>
      </c>
      <c r="CU257" s="957">
        <f>WWWW[[#This Row],[% Access to unimproved water points]]*WWWW[[#This Row],[Total PoP ]]</f>
        <v>0</v>
      </c>
      <c r="CV257"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57"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857</v>
      </c>
      <c r="CX257" s="957">
        <f>WWWW[[#This Row],[HRP1]]/500</f>
        <v>1.714</v>
      </c>
      <c r="CY257" s="962">
        <f>1-WWWW[[#This Row],[% Equitable and continuous access to sufficient quantity of domestic water]]</f>
        <v>0</v>
      </c>
      <c r="CZ257" s="957">
        <f>WWWW[[#This Row],[%equitable and continuous access to sufficient quantity of safe drinking and domestic water''s GAP]]*WWWW[[#This Row],[Total PoP ]]</f>
        <v>0</v>
      </c>
      <c r="DA257" s="960">
        <f>IF(WWWW[[#This Row],[Total required water points]]-WWWW[[#This Row],['#Water points coverage]]&lt;0,0,WWWW[[#This Row],[Total required water points]]-WWWW[[#This Row],['#Water points coverage]])</f>
        <v>0.28600000000000003</v>
      </c>
      <c r="DB257" s="960">
        <f>ROUND(IF(WWWW[[#This Row],[Total PoP ]]&lt;500,1,WWWW[[#This Row],[Total PoP ]]/500),0)</f>
        <v>2</v>
      </c>
      <c r="DC257" s="960">
        <f>(WWWW[[#This Row],['#_Constructed latrines_by_WASHAgencies]]+WWWW[[#This Row],['#_Non Cluster partner latrines]])-WWWW[[#This Row],['#_Non-functional latrines]]</f>
        <v>48</v>
      </c>
      <c r="DD257" s="615">
        <f>WWWW[[#This Row],[HRP2]]/WWWW[[#This Row],[Total PoP ]]</f>
        <v>1</v>
      </c>
      <c r="DE257"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857</v>
      </c>
      <c r="DF257"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57"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57" s="417">
        <f>IF(WWWW[[#This Row],['# of functional latrines in THF supported by WASH partners during the reporting period2]]="",0,WWWW[[#This Row],['# of functional latrines in THF supported by WASH partners during the reporting period2]]*50)</f>
        <v>0</v>
      </c>
      <c r="DI257" s="960">
        <f>ROUND(IF(WWWW[[#This Row],[Location Type 1]]="camp",WWWW[[#This Row],[Total PoP ]]/20,IF(WWWW[[#This Row],[Location Type 1]]="Temporary Location",WWWW[[#This Row],[Total PoP ]]/50,(WWWW[[#This Row],[Total PoP ]]/6))),0)</f>
        <v>43</v>
      </c>
      <c r="DJ257" s="960">
        <f>IF(WWWW[[#This Row],[Total required Latrines]]-(WWWW[[#This Row],['#_Constructed latrines_by_WASHAgencies]]+WWWW[[#This Row],['#_Non Cluster partner latrines]])&lt;0,0,WWWW[[#This Row],[Total required Latrines]]-(WWWW[[#This Row],['#_Constructed latrines_by_WASHAgencies]]+WWWW[[#This Row],['#_Non Cluster partner latrines]]))</f>
        <v>0</v>
      </c>
      <c r="DK257" s="962">
        <f>1-WWWW[[#This Row],[% people access to functioning Latrine]]</f>
        <v>0</v>
      </c>
      <c r="DL257" s="961">
        <f>IF(OR(WWWW[[#This Row],['#_Non-functional latrines]]="",WWWW[[#This Row],['#_Non-functional latrines]]=0),0,WWWW[[#This Row],['#_Non-functional latrines]]/(WWWW[[#This Row],['#_Constructed latrines_by_WASHAgencies]]+WWWW[[#This Row],['#_Non Cluster partner latrines]]))</f>
        <v>0</v>
      </c>
      <c r="DM257" s="957">
        <f>IF(500*(WWWW[[#This Row],['#_male hygiene promoters]]+WWWW[[#This Row],['#_female hygiene promoters]])&gt;WWWW[[#This Row],[Total PoP ]],WWWW[[#This Row],[Total PoP ]],500*(WWWW[[#This Row],['#_male hygiene promoters]]+WWWW[[#This Row],['#_female hygiene promoters]]))</f>
        <v>0</v>
      </c>
      <c r="DN257"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57"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57" s="960">
        <f>IF(WWWW[[#This Row],['# People with access to soap]]&gt;WWWW[[#This Row],['# People with access to Sanity Pads]],WWWW[[#This Row],['# People with access to soap]],WWWW[[#This Row],['# People with access to Sanity Pads]])</f>
        <v>0</v>
      </c>
      <c r="DQ257" s="960">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57" s="962">
        <f>IF(WWWW[[#This Row],[HRP3]]/WWWW[[#This Row],[Total PoP ]]&gt;1,1,WWWW[[#This Row],[HRP3]]/WWWW[[#This Row],[Total PoP ]])</f>
        <v>0</v>
      </c>
      <c r="DS257" s="961">
        <f>1-WWWW[[#This Row],[Hygiene Coverage%]]</f>
        <v>1</v>
      </c>
      <c r="DT257" s="959">
        <f>WWWW[[#This Row],['# people reached by regular dedicated hygiene promotion_5]]/WWWW[[#This Row],[Total PoP ]]</f>
        <v>0</v>
      </c>
      <c r="DU257"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57"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57" s="960">
        <f>WWWW[[#This Row],['#_Constructed/Existing hand washing stations]]-WWWW[[#This Row],['#_Non-Functional_hand_washing_stations]]</f>
        <v>4</v>
      </c>
      <c r="DX257" s="957">
        <f>IF(WWWW[[#This Row],['# Functional hand washing stations during reporting period]]*20&gt;WWWW[[#This Row],[Total HH]],WWWW[[#This Row],[Total HH]],WWWW[[#This Row],['# Functional hand washing stations during reporting period]]*20)</f>
        <v>80</v>
      </c>
      <c r="DY257" s="957">
        <f>IF(WWWW[[#This Row],[Is sufficient soap available for TLS? (Yes/No)]]="yes",WWWW[[#This Row],['#_Constructed/Existing hand washing stations at TLS/CFS/THF]],0)</f>
        <v>0</v>
      </c>
      <c r="DZ257" s="421">
        <f>IF(WWWW[[#This Row],['# Functional hand washing stations during reporting period]]*100&gt;WWWW[[#This Row],[Total PoP ]],WWWW[[#This Row],[Total PoP ]],WWWW[[#This Row],['# Functional hand washing stations during reporting period]]*100)</f>
        <v>400</v>
      </c>
      <c r="EA257" s="421" t="str">
        <f>IF(OR(WWWW[[#This Row],['#_students at TLS_CFS]]="",WWWW[[#This Row],['#_students at TLS_CFS]]=0),"No","Yes")</f>
        <v>Yes</v>
      </c>
      <c r="EB25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57" s="566">
        <f>WWWW[[#This Row],[%_of_affected_people_surveyed_who_report_feeling_satistfied_with_the_latrine_design_and_sanitation_service]]*WWWW[[#This Row],[Total PoP ]]</f>
        <v>0</v>
      </c>
      <c r="ED257" s="566">
        <f>WWWW[[#This Row],[%_of_affected_people_surveyed_who_report_feeling_satistfied_with_the_water_point_design_and_water_service]]*WWWW[[#This Row],[Total PoP ]]</f>
        <v>0</v>
      </c>
      <c r="EE257" s="566">
        <f>WWWW[[#This Row],[%_of_complaints_received_that_result_in_timely_corrective_action_and_feedback_to_the_community]]*WWWW[[#This Row],[Total PoP ]]</f>
        <v>0</v>
      </c>
      <c r="EF25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5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500</v>
      </c>
      <c r="EH25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57" s="953" t="str">
        <f>VLOOKUP(WWWW[[#This Row],[Site Name]],SiteDB6[[Site Name]:[CCCM Management]],6,FALSE)</f>
        <v>Yes</v>
      </c>
      <c r="EJ257" s="953" t="str">
        <f>VLOOKUP(WWWW[[#This Row],[Site Name]],SiteDB6[[Site Name]:[CCCM Focal Agency]],7,FALSE)</f>
        <v>KMSS-BMO</v>
      </c>
      <c r="EK257" s="953" t="str">
        <f>VLOOKUP(WWWW[[#This Row],[Site Name]],SiteDB6[[Site Name]:[Location Type 1]],9,FALSE)</f>
        <v>Camp</v>
      </c>
      <c r="EL257" s="953" t="str">
        <f>VLOOKUP(WWWW[[#This Row],[Site Name]],SiteDB6[[Site Name]:[Type of Accommodation]],10,FALSE)</f>
        <v>Camp</v>
      </c>
      <c r="EM257" s="953" t="str">
        <f>VLOOKUP(WWWW[[#This Row],[Site Name]],SiteDB6[[Site Name]:[Ethnic or GCA/NGCA]],11,FALSE)</f>
        <v>GCA</v>
      </c>
      <c r="EN257" s="953">
        <f>VLOOKUP(WWWW[[#This Row],[Site Name]],SiteDB6[[Site Name]:[Lat]],12,FALSE)</f>
        <v>23.833477999999999</v>
      </c>
      <c r="EO257" s="953">
        <f>VLOOKUP(WWWW[[#This Row],[Site Name]],SiteDB6[[Site Name]:[Long]],13,FALSE)</f>
        <v>97.578367</v>
      </c>
      <c r="EP257" s="953" t="str">
        <f>VLOOKUP(WWWW[[#This Row],[Site Name]],SiteDB6[[Site Name]:[Pcode]],3,FALSE)</f>
        <v>MMR001CMP228</v>
      </c>
      <c r="EQ257" s="958" t="str">
        <f t="shared" si="5"/>
        <v>Covered</v>
      </c>
      <c r="ER257" s="950" t="s">
        <v>3126</v>
      </c>
      <c r="ES257" s="958" t="s">
        <v>3288</v>
      </c>
      <c r="ET257" s="953">
        <f>VLOOKUP(WWWW[[#This Row],[Site Name]],SiteDB6[[Site Name]:[Pop
(Kachin/Shan-CCCM as of May 2023)]],16,FALSE)</f>
        <v>140</v>
      </c>
      <c r="EU257" s="953">
        <f>VLOOKUP(WWWW[[#This Row],[Site Name]],SiteDB6[[Site Name]:[Pop
(Kachin/Shan-CCCM as of May 2023)]],17,FALSE)</f>
        <v>830</v>
      </c>
    </row>
    <row r="258" spans="1:151">
      <c r="A258" s="1004" t="s">
        <v>2962</v>
      </c>
      <c r="B258" s="946" t="s">
        <v>36</v>
      </c>
      <c r="C258" s="946" t="s">
        <v>36</v>
      </c>
      <c r="D258" s="1005" t="s">
        <v>241</v>
      </c>
      <c r="E258" s="938" t="s">
        <v>37</v>
      </c>
      <c r="F258" s="938" t="s">
        <v>38</v>
      </c>
      <c r="G258" s="902" t="str">
        <f>VLOOKUP(WWWW[[#This Row],[Site Name]],SiteDB6[[Site Name]:[Location Type]],8,FALSE)</f>
        <v>Camp</v>
      </c>
      <c r="H258" s="938" t="s">
        <v>2874</v>
      </c>
      <c r="I258" s="441">
        <v>97</v>
      </c>
      <c r="J258" s="441">
        <v>544</v>
      </c>
      <c r="K258" s="948">
        <v>44511</v>
      </c>
      <c r="L258" s="949" t="s">
        <v>2957</v>
      </c>
      <c r="M258" s="441"/>
      <c r="N258" s="441"/>
      <c r="O258" s="441"/>
      <c r="P258" s="441"/>
      <c r="Q258" s="421"/>
      <c r="R258" s="441"/>
      <c r="S258" s="441"/>
      <c r="T258" s="441">
        <v>3</v>
      </c>
      <c r="U258" s="441"/>
      <c r="V258" s="441"/>
      <c r="W258" s="441"/>
      <c r="X258" s="441"/>
      <c r="Y258" s="441"/>
      <c r="Z258" s="441"/>
      <c r="AA258" s="441"/>
      <c r="AB258" s="441"/>
      <c r="AC258" s="441"/>
      <c r="AD258" s="441"/>
      <c r="AE258" s="441"/>
      <c r="AF258" s="441"/>
      <c r="AG258" s="441"/>
      <c r="AH258" s="441"/>
      <c r="AI258" s="441"/>
      <c r="AJ258" s="441"/>
      <c r="AK258" s="441"/>
      <c r="AL258" s="441"/>
      <c r="AM258" s="441"/>
      <c r="AN258" s="441"/>
      <c r="AO258" s="441"/>
      <c r="AP258" s="950"/>
      <c r="AQ258" s="441"/>
      <c r="AR258" s="441"/>
      <c r="AS258" s="416"/>
      <c r="AT258" s="441"/>
      <c r="AU258" s="441"/>
      <c r="AV258" s="441"/>
      <c r="AW258" s="441"/>
      <c r="AX258" s="441"/>
      <c r="AY258" s="418" t="s">
        <v>140</v>
      </c>
      <c r="AZ258" s="950" t="s">
        <v>140</v>
      </c>
      <c r="BA258" s="441"/>
      <c r="BB258" s="441"/>
      <c r="BC258" s="441"/>
      <c r="BD258" s="441"/>
      <c r="BE258" s="441"/>
      <c r="BF258" s="418"/>
      <c r="BG258" s="441">
        <v>7</v>
      </c>
      <c r="BH258" s="441"/>
      <c r="BI258" s="441"/>
      <c r="BJ258" s="441">
        <v>7</v>
      </c>
      <c r="BK258" s="441"/>
      <c r="BL258" s="441"/>
      <c r="BM258" s="441"/>
      <c r="BN258" s="441"/>
      <c r="BO258" s="441"/>
      <c r="BP258" s="418" t="s">
        <v>41</v>
      </c>
      <c r="BQ258" s="417"/>
      <c r="BR258" s="416"/>
      <c r="BS258" s="418"/>
      <c r="BT258" s="416"/>
      <c r="BU258" s="416"/>
      <c r="BV258" s="418"/>
      <c r="BW258" s="416"/>
      <c r="BX258" s="441"/>
      <c r="BY258" s="441"/>
      <c r="BZ258" s="441"/>
      <c r="CA258" s="441"/>
      <c r="CB258" s="441"/>
      <c r="CC258" s="693"/>
      <c r="CD258" s="441"/>
      <c r="CE258" s="615" t="str">
        <f>IFERROR(WWWW[[#This Row],['#_Water sources passed]]/WWWW[[#This Row],['#_Water sources tested for fecal coliform ]],"no test")</f>
        <v>no test</v>
      </c>
      <c r="CF258" s="416" t="str">
        <f>IFERROR(WWWW[[#This Row],['#_Household passed]]/WWWW[[#This Row],['#_Household water samples tested for fecal coliform]],"no test")</f>
        <v>no test</v>
      </c>
      <c r="CG258" s="417" t="str">
        <f>IF(AND(WWWW[[#This Row],[% of water sources passed]]="no test",WWWW[[#This Row],[% Household passed]]="no test"),"No Test","Tested")</f>
        <v>No Test</v>
      </c>
      <c r="CH258" s="417">
        <f>WWWW[[#This Row],['#_Constructed/existing protected hand dug well]]-WWWW[[#This Row],['#_Non-functional protected hand dug well]]</f>
        <v>3</v>
      </c>
      <c r="CI258" s="417">
        <f>(WWWW[[#This Row],['#_Constructed/Existing tube wells/boreholes/handpumps_WASH_agency]]+WWWW[[#This Row],['#_Non-Cluster partner water tube-wells/boreholes/handpumps]])-WWWW[[#This Row],['#_Non-functional tube wells/boreholes/handpumps]]</f>
        <v>0</v>
      </c>
      <c r="CJ258" s="417">
        <f>WWWW[[#This Row],['#_Constructed/Existingwater storage tank with gravity fed reticulation system]]-WWWW[[#This Row],['#_Non-functional storage tank gravity fed reticulation system]]</f>
        <v>0</v>
      </c>
      <c r="CK258" s="417">
        <f>(WWWW[[#This Row],['#_Water_Liters_supplied_by_Water boating or water trucking]]/90)/15</f>
        <v>0</v>
      </c>
      <c r="CL258" s="417">
        <f>WWWW[[#This Row],['#_Water_Liters_from_Constructed/Existing water distribution system from river or natural spring]]/90/15</f>
        <v>0</v>
      </c>
      <c r="CM258" s="417">
        <f>IF(WWWW[[#This Row],['#_of water points in TLS/CFS]]*500&gt;WWWW[[#This Row],[Total PoP ]],WWWW[[#This Row],[Total PoP ]],WWWW[[#This Row],['#_of water points in TLS/CFS]]*500)</f>
        <v>0</v>
      </c>
      <c r="CN258" s="417">
        <f>IF(WWWW[[#This Row],['#_of water points in THF]]*500&gt;WWWW[[#This Row],[Total PoP ]],WWWW[[#This Row],[Total PoP ]],WWWW[[#This Row],['#_of water points in THF]]*500)</f>
        <v>0</v>
      </c>
      <c r="CO258" s="417"/>
      <c r="CP258"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58"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58" s="416">
        <f>IF(WWWW[[#This Row],[Location Type 1]]="Village",WWWW[[#This Row],[Access to safe drinking water for Village]],WWWW[[#This Row],[Access to safe drinking water for Camp]])</f>
        <v>1</v>
      </c>
      <c r="CS258" s="421">
        <f>WWWW[[#This Row],[%Equitable and continuous access to sufficient quantity of safe drinking water]]*WWWW[[#This Row],[Total PoP ]]</f>
        <v>544</v>
      </c>
      <c r="CT258" s="416">
        <f>IF((WWWW[[#This Row],['#_Constructed/Existing protected/fenced ponds]]*250)/WWWW[[#This Row],[Total PoP ]]&gt;1,1,(WWWW[[#This Row],['#_Constructed/Existing protected/fenced ponds]]*250)/WWWW[[#This Row],[Total PoP ]])</f>
        <v>0</v>
      </c>
      <c r="CU258" s="421">
        <f>WWWW[[#This Row],[% Access to unimproved water points]]*WWWW[[#This Row],[Total PoP ]]</f>
        <v>0</v>
      </c>
      <c r="CV258"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58"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544</v>
      </c>
      <c r="CX258" s="421">
        <f>WWWW[[#This Row],[HRP1]]/500</f>
        <v>1.0880000000000001</v>
      </c>
      <c r="CY258" s="951">
        <f>1-WWWW[[#This Row],[% Equitable and continuous access to sufficient quantity of domestic water]]</f>
        <v>0</v>
      </c>
      <c r="CZ258" s="421">
        <f>WWWW[[#This Row],[%equitable and continuous access to sufficient quantity of safe drinking and domestic water''s GAP]]*WWWW[[#This Row],[Total PoP ]]</f>
        <v>0</v>
      </c>
      <c r="DA258" s="417">
        <f>IF(WWWW[[#This Row],[Total required water points]]-WWWW[[#This Row],['#Water points coverage]]&lt;0,0,WWWW[[#This Row],[Total required water points]]-WWWW[[#This Row],['#Water points coverage]])</f>
        <v>0</v>
      </c>
      <c r="DB258" s="417">
        <f>ROUND(IF(WWWW[[#This Row],[Total PoP ]]&lt;500,1,WWWW[[#This Row],[Total PoP ]]/500),0)</f>
        <v>1</v>
      </c>
      <c r="DC258" s="417">
        <f>(WWWW[[#This Row],['#_Constructed latrines_by_WASHAgencies]]+WWWW[[#This Row],['#_Non Cluster partner latrines]])-WWWW[[#This Row],['#_Non-functional latrines]]</f>
        <v>0</v>
      </c>
      <c r="DD258" s="615">
        <f>WWWW[[#This Row],[HRP2]]/WWWW[[#This Row],[Total PoP ]]</f>
        <v>0</v>
      </c>
      <c r="DE258"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58"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58"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58" s="417">
        <f>IF(WWWW[[#This Row],['# of functional latrines in THF supported by WASH partners during the reporting period2]]="",0,WWWW[[#This Row],['# of functional latrines in THF supported by WASH partners during the reporting period2]]*50)</f>
        <v>0</v>
      </c>
      <c r="DI258" s="417">
        <f>ROUND(IF(WWWW[[#This Row],[Location Type 1]]="camp",WWWW[[#This Row],[Total PoP ]]/20,IF(WWWW[[#This Row],[Location Type 1]]="Temporary Location",WWWW[[#This Row],[Total PoP ]]/50,(WWWW[[#This Row],[Total PoP ]]/6))),0)</f>
        <v>27</v>
      </c>
      <c r="DJ258" s="417">
        <f>IF(WWWW[[#This Row],[Total required Latrines]]-(WWWW[[#This Row],['#_Constructed latrines_by_WASHAgencies]]+WWWW[[#This Row],['#_Non Cluster partner latrines]])&lt;0,0,WWWW[[#This Row],[Total required Latrines]]-(WWWW[[#This Row],['#_Constructed latrines_by_WASHAgencies]]+WWWW[[#This Row],['#_Non Cluster partner latrines]]))</f>
        <v>27</v>
      </c>
      <c r="DK258" s="951">
        <f>1-WWWW[[#This Row],[% people access to functioning Latrine]]</f>
        <v>1</v>
      </c>
      <c r="DL258" s="615">
        <f>IF(OR(WWWW[[#This Row],['#_Non-functional latrines]]="",WWWW[[#This Row],['#_Non-functional latrines]]=0),0,WWWW[[#This Row],['#_Non-functional latrines]]/(WWWW[[#This Row],['#_Constructed latrines_by_WASHAgencies]]+WWWW[[#This Row],['#_Non Cluster partner latrines]]))</f>
        <v>0</v>
      </c>
      <c r="DM258" s="421">
        <f>IF(500*(WWWW[[#This Row],['#_male hygiene promoters]]+WWWW[[#This Row],['#_female hygiene promoters]])&gt;WWWW[[#This Row],[Total PoP ]],WWWW[[#This Row],[Total PoP ]],500*(WWWW[[#This Row],['#_male hygiene promoters]]+WWWW[[#This Row],['#_female hygiene promoters]]))</f>
        <v>0</v>
      </c>
      <c r="DN258"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58"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58" s="417">
        <f>IF(WWWW[[#This Row],['# People with access to soap]]&gt;WWWW[[#This Row],['# People with access to Sanity Pads]],WWWW[[#This Row],['# People with access to soap]],WWWW[[#This Row],['# People with access to Sanity Pads]])</f>
        <v>0</v>
      </c>
      <c r="DQ258"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58" s="951">
        <f>IF(WWWW[[#This Row],[HRP3]]/WWWW[[#This Row],[Total PoP ]]&gt;1,1,WWWW[[#This Row],[HRP3]]/WWWW[[#This Row],[Total PoP ]])</f>
        <v>0</v>
      </c>
      <c r="DS258" s="615">
        <f>1-WWWW[[#This Row],[Hygiene Coverage%]]</f>
        <v>1</v>
      </c>
      <c r="DT258" s="416">
        <f>WWWW[[#This Row],['# people reached by regular dedicated hygiene promotion_5]]/WWWW[[#This Row],[Total PoP ]]</f>
        <v>0</v>
      </c>
      <c r="DU258"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58"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58" s="417">
        <f>WWWW[[#This Row],['#_Constructed/Existing hand washing stations]]-WWWW[[#This Row],['#_Non-Functional_hand_washing_stations]]</f>
        <v>7</v>
      </c>
      <c r="DX258" s="421">
        <f>IF(WWWW[[#This Row],['# Functional hand washing stations during reporting period]]*20&gt;WWWW[[#This Row],[Total HH]],WWWW[[#This Row],[Total HH]],WWWW[[#This Row],['# Functional hand washing stations during reporting period]]*20)</f>
        <v>97</v>
      </c>
      <c r="DY258" s="421">
        <f>IF(WWWW[[#This Row],[Is sufficient soap available for TLS? (Yes/No)]]="yes",WWWW[[#This Row],['#_Constructed/Existing hand washing stations at TLS/CFS/THF]],0)</f>
        <v>0</v>
      </c>
      <c r="DZ258" s="421">
        <f>IF(WWWW[[#This Row],['# Functional hand washing stations during reporting period]]*100&gt;WWWW[[#This Row],[Total PoP ]],WWWW[[#This Row],[Total PoP ]],WWWW[[#This Row],['# Functional hand washing stations during reporting period]]*100)</f>
        <v>544</v>
      </c>
      <c r="EA258" s="421" t="str">
        <f>IF(OR(WWWW[[#This Row],['#_students at TLS_CFS]]="",WWWW[[#This Row],['#_students at TLS_CFS]]=0),"No","Yes")</f>
        <v>No</v>
      </c>
      <c r="EB25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58" s="566">
        <f>WWWW[[#This Row],[%_of_affected_people_surveyed_who_report_feeling_satistfied_with_the_latrine_design_and_sanitation_service]]*WWWW[[#This Row],[Total PoP ]]</f>
        <v>0</v>
      </c>
      <c r="ED258" s="566">
        <f>WWWW[[#This Row],[%_of_affected_people_surveyed_who_report_feeling_satistfied_with_the_water_point_design_and_water_service]]*WWWW[[#This Row],[Total PoP ]]</f>
        <v>0</v>
      </c>
      <c r="EE258" s="566">
        <f>WWWW[[#This Row],[%_of_complaints_received_that_result_in_timely_corrective_action_and_feedback_to_the_community]]*WWWW[[#This Row],[Total PoP ]]</f>
        <v>0</v>
      </c>
      <c r="EF25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5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5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58" s="418">
        <f>VLOOKUP(WWWW[[#This Row],[Site Name]],SiteDB6[[Site Name]:[CCCM Management]],6,FALSE)</f>
        <v>0</v>
      </c>
      <c r="EJ258" s="418" t="str">
        <f>VLOOKUP(WWWW[[#This Row],[Site Name]],SiteDB6[[Site Name]:[CCCM Focal Agency]],7,FALSE)</f>
        <v>uncovered</v>
      </c>
      <c r="EK258" s="418" t="str">
        <f>VLOOKUP(WWWW[[#This Row],[Site Name]],SiteDB6[[Site Name]:[Location Type 1]],9,FALSE)</f>
        <v>Camp</v>
      </c>
      <c r="EL258" s="418" t="str">
        <f>VLOOKUP(WWWW[[#This Row],[Site Name]],SiteDB6[[Site Name]:[Type of Accommodation]],10,FALSE)</f>
        <v>IDPs in host</v>
      </c>
      <c r="EM258" s="418" t="str">
        <f>VLOOKUP(WWWW[[#This Row],[Site Name]],SiteDB6[[Site Name]:[Ethnic or GCA/NGCA]],11,FALSE)</f>
        <v>GCA</v>
      </c>
      <c r="EN258" s="418">
        <f>VLOOKUP(WWWW[[#This Row],[Site Name]],SiteDB6[[Site Name]:[Lat]],12,FALSE)</f>
        <v>23.827870999999998</v>
      </c>
      <c r="EO258" s="418">
        <f>VLOOKUP(WWWW[[#This Row],[Site Name]],SiteDB6[[Site Name]:[Long]],13,FALSE)</f>
        <v>97.588291999999996</v>
      </c>
      <c r="EP258" s="418" t="str">
        <f>VLOOKUP(WWWW[[#This Row],[Site Name]],SiteDB6[[Site Name]:[Pcode]],3,FALSE)</f>
        <v>MMR001CMP134</v>
      </c>
      <c r="EQ258" s="950" t="str">
        <f t="shared" si="5"/>
        <v>Covered</v>
      </c>
      <c r="ER258" s="950" t="s">
        <v>3126</v>
      </c>
      <c r="ES258" s="950" t="s">
        <v>3288</v>
      </c>
      <c r="ET258" s="418">
        <f>VLOOKUP(WWWW[[#This Row],[Site Name]],SiteDB6[[Site Name]:[Pop
(Kachin/Shan-CCCM as of May 2023)]],16,FALSE)</f>
        <v>120</v>
      </c>
      <c r="EU258" s="418">
        <f>VLOOKUP(WWWW[[#This Row],[Site Name]],SiteDB6[[Site Name]:[Pop
(Kachin/Shan-CCCM as of May 2023)]],17,FALSE)</f>
        <v>664</v>
      </c>
    </row>
    <row r="259" spans="1:151">
      <c r="A259" s="1004" t="s">
        <v>2962</v>
      </c>
      <c r="B259" s="1004" t="s">
        <v>192</v>
      </c>
      <c r="C259" s="1005" t="s">
        <v>3285</v>
      </c>
      <c r="D259" s="1005" t="s">
        <v>3330</v>
      </c>
      <c r="E259" s="1005" t="s">
        <v>37</v>
      </c>
      <c r="F259" s="1005" t="s">
        <v>38</v>
      </c>
      <c r="G259" s="902" t="str">
        <f>VLOOKUP(WWWW[[#This Row],[Site Name]],SiteDB6[[Site Name]:[Location Type]],8,FALSE)</f>
        <v>Camp</v>
      </c>
      <c r="H259" s="1005" t="s">
        <v>193</v>
      </c>
      <c r="I259" s="954">
        <v>172</v>
      </c>
      <c r="J259" s="954">
        <v>789</v>
      </c>
      <c r="K259" s="955" t="s">
        <v>3321</v>
      </c>
      <c r="L259" s="956" t="s">
        <v>3322</v>
      </c>
      <c r="M259" s="954"/>
      <c r="N259" s="954">
        <v>1</v>
      </c>
      <c r="O259" s="954"/>
      <c r="P259" s="954"/>
      <c r="Q259" s="957" t="s">
        <v>41</v>
      </c>
      <c r="R259" s="954"/>
      <c r="S259" s="954">
        <v>7</v>
      </c>
      <c r="T259" s="441">
        <v>4</v>
      </c>
      <c r="U259" s="954"/>
      <c r="V259" s="954"/>
      <c r="W259" s="954">
        <v>4</v>
      </c>
      <c r="X259" s="954"/>
      <c r="Y259" s="954"/>
      <c r="Z259" s="954">
        <v>2</v>
      </c>
      <c r="AA259" s="954"/>
      <c r="AB259" s="954"/>
      <c r="AC259" s="954">
        <v>2</v>
      </c>
      <c r="AD259" s="954"/>
      <c r="AE259" s="954"/>
      <c r="AF259" s="954"/>
      <c r="AG259" s="954"/>
      <c r="AH259" s="954"/>
      <c r="AI259" s="954"/>
      <c r="AJ259" s="954"/>
      <c r="AK259" s="954"/>
      <c r="AL259" s="954"/>
      <c r="AM259" s="954"/>
      <c r="AN259" s="954"/>
      <c r="AO259" s="441"/>
      <c r="AP259" s="958"/>
      <c r="AQ259" s="954">
        <v>44</v>
      </c>
      <c r="AR259" s="954"/>
      <c r="AS259" s="959"/>
      <c r="AT259" s="954"/>
      <c r="AU259" s="954"/>
      <c r="AV259" s="954"/>
      <c r="AW259" s="954"/>
      <c r="AX259" s="954"/>
      <c r="AY259" s="953" t="s">
        <v>41</v>
      </c>
      <c r="AZ259" s="958" t="s">
        <v>137</v>
      </c>
      <c r="BA259" s="954"/>
      <c r="BB259" s="954"/>
      <c r="BC259" s="954"/>
      <c r="BD259" s="441"/>
      <c r="BE259" s="441">
        <v>1</v>
      </c>
      <c r="BF259" s="953"/>
      <c r="BG259" s="954">
        <v>4</v>
      </c>
      <c r="BH259" s="954"/>
      <c r="BI259" s="954"/>
      <c r="BJ259" s="954">
        <v>5</v>
      </c>
      <c r="BK259" s="954"/>
      <c r="BL259" s="954"/>
      <c r="BM259" s="954"/>
      <c r="BN259" s="954">
        <v>114</v>
      </c>
      <c r="BO259" s="954">
        <v>100</v>
      </c>
      <c r="BP259" s="953"/>
      <c r="BQ259" s="960"/>
      <c r="BR259" s="959"/>
      <c r="BS259" s="953"/>
      <c r="BT259" s="416"/>
      <c r="BU259" s="416"/>
      <c r="BV259" s="418"/>
      <c r="BW259" s="416"/>
      <c r="BX259" s="441"/>
      <c r="BY259" s="441"/>
      <c r="BZ259" s="441"/>
      <c r="CA259" s="441"/>
      <c r="CB259" s="441"/>
      <c r="CC259" s="693"/>
      <c r="CD259" s="441"/>
      <c r="CE259" s="961" t="str">
        <f>IFERROR(WWWW[[#This Row],['#_Water sources passed]]/WWWW[[#This Row],['#_Water sources tested for fecal coliform ]],"no test")</f>
        <v>no test</v>
      </c>
      <c r="CF259" s="959" t="str">
        <f>IFERROR(WWWW[[#This Row],['#_Household passed]]/WWWW[[#This Row],['#_Household water samples tested for fecal coliform]],"no test")</f>
        <v>no test</v>
      </c>
      <c r="CG259" s="960" t="str">
        <f>IF(AND(WWWW[[#This Row],[% of water sources passed]]="no test",WWWW[[#This Row],[% Household passed]]="no test"),"No Test","Tested")</f>
        <v>No Test</v>
      </c>
      <c r="CH259" s="960">
        <f>WWWW[[#This Row],['#_Constructed/existing protected hand dug well]]-WWWW[[#This Row],['#_Non-functional protected hand dug well]]</f>
        <v>4</v>
      </c>
      <c r="CI259" s="960">
        <f>(WWWW[[#This Row],['#_Constructed/Existing tube wells/boreholes/handpumps_WASH_agency]]+WWWW[[#This Row],['#_Non-Cluster partner water tube-wells/boreholes/handpumps]])-WWWW[[#This Row],['#_Non-functional tube wells/boreholes/handpumps]]</f>
        <v>4</v>
      </c>
      <c r="CJ259" s="960">
        <f>WWWW[[#This Row],['#_Constructed/Existingwater storage tank with gravity fed reticulation system]]-WWWW[[#This Row],['#_Non-functional storage tank gravity fed reticulation system]]</f>
        <v>0</v>
      </c>
      <c r="CK259" s="960">
        <f>(WWWW[[#This Row],['#_Water_Liters_supplied_by_Water boating or water trucking]]/90)/15</f>
        <v>0</v>
      </c>
      <c r="CL259" s="960">
        <f>WWWW[[#This Row],['#_Water_Liters_from_Constructed/Existing water distribution system from river or natural spring]]/90/15</f>
        <v>0</v>
      </c>
      <c r="CM259" s="417">
        <f>IF(WWWW[[#This Row],['#_of water points in TLS/CFS]]*500&gt;WWWW[[#This Row],[Total PoP ]],WWWW[[#This Row],[Total PoP ]],WWWW[[#This Row],['#_of water points in TLS/CFS]]*500)</f>
        <v>0</v>
      </c>
      <c r="CN259" s="417">
        <f>IF(WWWW[[#This Row],['#_of water points in THF]]*500&gt;WWWW[[#This Row],[Total PoP ]],WWWW[[#This Row],[Total PoP ]],WWWW[[#This Row],['#_of water points in THF]]*500)</f>
        <v>0</v>
      </c>
      <c r="CO259" s="417"/>
      <c r="CP259"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59"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59" s="959">
        <f>IF(WWWW[[#This Row],[Location Type 1]]="Village",WWWW[[#This Row],[Access to safe drinking water for Village]],WWWW[[#This Row],[Access to safe drinking water for Camp]])</f>
        <v>1</v>
      </c>
      <c r="CS259" s="957">
        <f>WWWW[[#This Row],[%Equitable and continuous access to sufficient quantity of safe drinking water]]*WWWW[[#This Row],[Total PoP ]]</f>
        <v>789</v>
      </c>
      <c r="CT259" s="959">
        <f>IF((WWWW[[#This Row],['#_Constructed/Existing protected/fenced ponds]]*250)/WWWW[[#This Row],[Total PoP ]]&gt;1,1,(WWWW[[#This Row],['#_Constructed/Existing protected/fenced ponds]]*250)/WWWW[[#This Row],[Total PoP ]])</f>
        <v>0</v>
      </c>
      <c r="CU259" s="957">
        <f>WWWW[[#This Row],[% Access to unimproved water points]]*WWWW[[#This Row],[Total PoP ]]</f>
        <v>0</v>
      </c>
      <c r="CV259"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59"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789</v>
      </c>
      <c r="CX259" s="957">
        <f>WWWW[[#This Row],[HRP1]]/500</f>
        <v>1.5780000000000001</v>
      </c>
      <c r="CY259" s="962">
        <f>1-WWWW[[#This Row],[% Equitable and continuous access to sufficient quantity of domestic water]]</f>
        <v>0</v>
      </c>
      <c r="CZ259" s="957">
        <f>WWWW[[#This Row],[%equitable and continuous access to sufficient quantity of safe drinking and domestic water''s GAP]]*WWWW[[#This Row],[Total PoP ]]</f>
        <v>0</v>
      </c>
      <c r="DA259" s="960">
        <f>IF(WWWW[[#This Row],[Total required water points]]-WWWW[[#This Row],['#Water points coverage]]&lt;0,0,WWWW[[#This Row],[Total required water points]]-WWWW[[#This Row],['#Water points coverage]])</f>
        <v>0.42199999999999993</v>
      </c>
      <c r="DB259" s="960">
        <f>ROUND(IF(WWWW[[#This Row],[Total PoP ]]&lt;500,1,WWWW[[#This Row],[Total PoP ]]/500),0)</f>
        <v>2</v>
      </c>
      <c r="DC259" s="960">
        <f>(WWWW[[#This Row],['#_Constructed latrines_by_WASHAgencies]]+WWWW[[#This Row],['#_Non Cluster partner latrines]])-WWWW[[#This Row],['#_Non-functional latrines]]</f>
        <v>44</v>
      </c>
      <c r="DD259" s="615">
        <f>WWWW[[#This Row],[HRP2]]/WWWW[[#This Row],[Total PoP ]]</f>
        <v>1</v>
      </c>
      <c r="DE259"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789</v>
      </c>
      <c r="DF259"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59"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59" s="417">
        <f>IF(WWWW[[#This Row],['# of functional latrines in THF supported by WASH partners during the reporting period2]]="",0,WWWW[[#This Row],['# of functional latrines in THF supported by WASH partners during the reporting period2]]*50)</f>
        <v>0</v>
      </c>
      <c r="DI259" s="960">
        <f>ROUND(IF(WWWW[[#This Row],[Location Type 1]]="camp",WWWW[[#This Row],[Total PoP ]]/20,IF(WWWW[[#This Row],[Location Type 1]]="Temporary Location",WWWW[[#This Row],[Total PoP ]]/50,(WWWW[[#This Row],[Total PoP ]]/6))),0)</f>
        <v>39</v>
      </c>
      <c r="DJ259" s="960">
        <f>IF(WWWW[[#This Row],[Total required Latrines]]-(WWWW[[#This Row],['#_Constructed latrines_by_WASHAgencies]]+WWWW[[#This Row],['#_Non Cluster partner latrines]])&lt;0,0,WWWW[[#This Row],[Total required Latrines]]-(WWWW[[#This Row],['#_Constructed latrines_by_WASHAgencies]]+WWWW[[#This Row],['#_Non Cluster partner latrines]]))</f>
        <v>0</v>
      </c>
      <c r="DK259" s="962">
        <f>1-WWWW[[#This Row],[% people access to functioning Latrine]]</f>
        <v>0</v>
      </c>
      <c r="DL259" s="961">
        <f>IF(OR(WWWW[[#This Row],['#_Non-functional latrines]]="",WWWW[[#This Row],['#_Non-functional latrines]]=0),0,WWWW[[#This Row],['#_Non-functional latrines]]/(WWWW[[#This Row],['#_Constructed latrines_by_WASHAgencies]]+WWWW[[#This Row],['#_Non Cluster partner latrines]]))</f>
        <v>0</v>
      </c>
      <c r="DM259" s="957">
        <f>IF(500*(WWWW[[#This Row],['#_male hygiene promoters]]+WWWW[[#This Row],['#_female hygiene promoters]])&gt;WWWW[[#This Row],[Total PoP ]],WWWW[[#This Row],[Total PoP ]],500*(WWWW[[#This Row],['#_male hygiene promoters]]+WWWW[[#This Row],['#_female hygiene promoters]]))</f>
        <v>0</v>
      </c>
      <c r="DN259"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570</v>
      </c>
      <c r="DO259"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100</v>
      </c>
      <c r="DP259" s="960">
        <f>IF(WWWW[[#This Row],['# People with access to soap]]&gt;WWWW[[#This Row],['# People with access to Sanity Pads]],WWWW[[#This Row],['# People with access to soap]],WWWW[[#This Row],['# People with access to Sanity Pads]])</f>
        <v>570</v>
      </c>
      <c r="DQ259" s="960">
        <f>IF(WWWW[[#This Row],['# people reached by regular dedicated hygiene promotion_5]]&gt;WWWW[[#This Row],['# People received regular supply of hygiene items_6]],WWWW[[#This Row],['# people reached by regular dedicated hygiene promotion_5]],WWWW[[#This Row],['# People received regular supply of hygiene items_6]])</f>
        <v>570</v>
      </c>
      <c r="DR259" s="962">
        <f>IF(WWWW[[#This Row],[HRP3]]/WWWW[[#This Row],[Total PoP ]]&gt;1,1,WWWW[[#This Row],[HRP3]]/WWWW[[#This Row],[Total PoP ]])</f>
        <v>0.72243346007604559</v>
      </c>
      <c r="DS259" s="961">
        <f>1-WWWW[[#This Row],[Hygiene Coverage%]]</f>
        <v>0.27756653992395441</v>
      </c>
      <c r="DT259" s="959">
        <f>WWWW[[#This Row],['# people reached by regular dedicated hygiene promotion_5]]/WWWW[[#This Row],[Total PoP ]]</f>
        <v>0</v>
      </c>
      <c r="DU259"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259"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0.58139534883720934</v>
      </c>
      <c r="DW259" s="960">
        <f>WWWW[[#This Row],['#_Constructed/Existing hand washing stations]]-WWWW[[#This Row],['#_Non-Functional_hand_washing_stations]]</f>
        <v>4</v>
      </c>
      <c r="DX259" s="957">
        <f>IF(WWWW[[#This Row],['# Functional hand washing stations during reporting period]]*20&gt;WWWW[[#This Row],[Total HH]],WWWW[[#This Row],[Total HH]],WWWW[[#This Row],['# Functional hand washing stations during reporting period]]*20)</f>
        <v>80</v>
      </c>
      <c r="DY259" s="957">
        <f>IF(WWWW[[#This Row],[Is sufficient soap available for TLS? (Yes/No)]]="yes",WWWW[[#This Row],['#_Constructed/Existing hand washing stations at TLS/CFS/THF]],0)</f>
        <v>0</v>
      </c>
      <c r="DZ259" s="421">
        <f>IF(WWWW[[#This Row],['# Functional hand washing stations during reporting period]]*100&gt;WWWW[[#This Row],[Total PoP ]],WWWW[[#This Row],[Total PoP ]],WWWW[[#This Row],['# Functional hand washing stations during reporting period]]*100)</f>
        <v>400</v>
      </c>
      <c r="EA259" s="421" t="str">
        <f>IF(OR(WWWW[[#This Row],['#_students at TLS_CFS]]="",WWWW[[#This Row],['#_students at TLS_CFS]]=0),"No","Yes")</f>
        <v>No</v>
      </c>
      <c r="EB25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59" s="566">
        <f>WWWW[[#This Row],[%_of_affected_people_surveyed_who_report_feeling_satistfied_with_the_latrine_design_and_sanitation_service]]*WWWW[[#This Row],[Total PoP ]]</f>
        <v>0</v>
      </c>
      <c r="ED259" s="566">
        <f>WWWW[[#This Row],[%_of_affected_people_surveyed_who_report_feeling_satistfied_with_the_water_point_design_and_water_service]]*WWWW[[#This Row],[Total PoP ]]</f>
        <v>0</v>
      </c>
      <c r="EE259" s="566">
        <f>WWWW[[#This Row],[%_of_complaints_received_that_result_in_timely_corrective_action_and_feedback_to_the_community]]*WWWW[[#This Row],[Total PoP ]]</f>
        <v>0</v>
      </c>
      <c r="EF25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5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5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59" s="953" t="str">
        <f>VLOOKUP(WWWW[[#This Row],[Site Name]],SiteDB6[[Site Name]:[CCCM Management]],6,FALSE)</f>
        <v>Yes</v>
      </c>
      <c r="EJ259" s="953" t="str">
        <f>VLOOKUP(WWWW[[#This Row],[Site Name]],SiteDB6[[Site Name]:[CCCM Focal Agency]],7,FALSE)</f>
        <v>KBC-BMO</v>
      </c>
      <c r="EK259" s="953" t="str">
        <f>VLOOKUP(WWWW[[#This Row],[Site Name]],SiteDB6[[Site Name]:[Location Type 1]],9,FALSE)</f>
        <v>Camp</v>
      </c>
      <c r="EL259" s="953" t="str">
        <f>VLOOKUP(WWWW[[#This Row],[Site Name]],SiteDB6[[Site Name]:[Type of Accommodation]],10,FALSE)</f>
        <v>Camp</v>
      </c>
      <c r="EM259" s="953" t="str">
        <f>VLOOKUP(WWWW[[#This Row],[Site Name]],SiteDB6[[Site Name]:[Ethnic or GCA/NGCA]],11,FALSE)</f>
        <v>GCA</v>
      </c>
      <c r="EN259" s="953">
        <f>VLOOKUP(WWWW[[#This Row],[Site Name]],SiteDB6[[Site Name]:[Lat]],12,FALSE)</f>
        <v>24.129059999999999</v>
      </c>
      <c r="EO259" s="953">
        <f>VLOOKUP(WWWW[[#This Row],[Site Name]],SiteDB6[[Site Name]:[Long]],13,FALSE)</f>
        <v>97.291820000000001</v>
      </c>
      <c r="EP259" s="953" t="str">
        <f>VLOOKUP(WWWW[[#This Row],[Site Name]],SiteDB6[[Site Name]:[Pcode]],3,FALSE)</f>
        <v>MMR001CMP066</v>
      </c>
      <c r="EQ259" s="958" t="str">
        <f t="shared" si="5"/>
        <v>Covered</v>
      </c>
      <c r="ER259" s="950" t="s">
        <v>3126</v>
      </c>
      <c r="ES259" s="950" t="s">
        <v>3287</v>
      </c>
      <c r="ET259" s="953">
        <f>VLOOKUP(WWWW[[#This Row],[Site Name]],SiteDB6[[Site Name]:[Pop
(Kachin/Shan-CCCM as of May 2023)]],16,FALSE)</f>
        <v>114</v>
      </c>
      <c r="EU259" s="953">
        <f>VLOOKUP(WWWW[[#This Row],[Site Name]],SiteDB6[[Site Name]:[Pop
(Kachin/Shan-CCCM as of May 2023)]],17,FALSE)</f>
        <v>547</v>
      </c>
    </row>
    <row r="260" spans="1:151">
      <c r="A260" s="946" t="s">
        <v>2962</v>
      </c>
      <c r="B260" s="946" t="s">
        <v>309</v>
      </c>
      <c r="C260" s="938" t="s">
        <v>309</v>
      </c>
      <c r="D260" s="938"/>
      <c r="E260" s="938" t="s">
        <v>37</v>
      </c>
      <c r="F260" s="938" t="s">
        <v>38</v>
      </c>
      <c r="G260" s="902" t="str">
        <f>VLOOKUP(WWWW[[#This Row],[Site Name]],SiteDB6[[Site Name]:[Location Type]],8,FALSE)</f>
        <v>Camp</v>
      </c>
      <c r="H260" s="938" t="s">
        <v>2875</v>
      </c>
      <c r="I260" s="441">
        <v>67</v>
      </c>
      <c r="J260" s="441">
        <v>308</v>
      </c>
      <c r="K260" s="948"/>
      <c r="L260" s="949"/>
      <c r="M260" s="441"/>
      <c r="N260" s="441"/>
      <c r="O260" s="441"/>
      <c r="P260" s="441"/>
      <c r="Q260" s="421"/>
      <c r="R260" s="441"/>
      <c r="S260" s="441">
        <v>4</v>
      </c>
      <c r="T260" s="441"/>
      <c r="U260" s="441"/>
      <c r="V260" s="441"/>
      <c r="W260" s="441"/>
      <c r="X260" s="441"/>
      <c r="Y260" s="441"/>
      <c r="Z260" s="441"/>
      <c r="AA260" s="441"/>
      <c r="AB260" s="441"/>
      <c r="AC260" s="441"/>
      <c r="AD260" s="441"/>
      <c r="AE260" s="441"/>
      <c r="AF260" s="441"/>
      <c r="AG260" s="441"/>
      <c r="AH260" s="441"/>
      <c r="AI260" s="441"/>
      <c r="AJ260" s="441"/>
      <c r="AK260" s="441"/>
      <c r="AL260" s="441"/>
      <c r="AM260" s="441"/>
      <c r="AN260" s="441"/>
      <c r="AO260" s="441"/>
      <c r="AP260" s="950"/>
      <c r="AQ260" s="441"/>
      <c r="AR260" s="441"/>
      <c r="AS260" s="416"/>
      <c r="AT260" s="441"/>
      <c r="AU260" s="441"/>
      <c r="AV260" s="441"/>
      <c r="AW260" s="441"/>
      <c r="AX260" s="441"/>
      <c r="AY260" s="418" t="s">
        <v>140</v>
      </c>
      <c r="AZ260" s="950" t="s">
        <v>140</v>
      </c>
      <c r="BA260" s="441"/>
      <c r="BB260" s="441"/>
      <c r="BC260" s="441"/>
      <c r="BD260" s="441"/>
      <c r="BE260" s="441"/>
      <c r="BF260" s="418"/>
      <c r="BG260" s="441">
        <v>7</v>
      </c>
      <c r="BH260" s="441"/>
      <c r="BI260" s="441"/>
      <c r="BJ260" s="441">
        <v>7</v>
      </c>
      <c r="BK260" s="441"/>
      <c r="BL260" s="441"/>
      <c r="BM260" s="441"/>
      <c r="BN260" s="441"/>
      <c r="BO260" s="441"/>
      <c r="BP260" s="418"/>
      <c r="BQ260" s="417"/>
      <c r="BR260" s="416"/>
      <c r="BS260" s="418"/>
      <c r="BT260" s="416"/>
      <c r="BU260" s="416"/>
      <c r="BV260" s="418"/>
      <c r="BW260" s="416"/>
      <c r="BX260" s="441"/>
      <c r="BY260" s="441"/>
      <c r="BZ260" s="441"/>
      <c r="CA260" s="441"/>
      <c r="CB260" s="441"/>
      <c r="CC260" s="693"/>
      <c r="CD260" s="441"/>
      <c r="CE260" s="615" t="str">
        <f>IFERROR(WWWW[[#This Row],['#_Water sources passed]]/WWWW[[#This Row],['#_Water sources tested for fecal coliform ]],"no test")</f>
        <v>no test</v>
      </c>
      <c r="CF260" s="416" t="str">
        <f>IFERROR(WWWW[[#This Row],['#_Household passed]]/WWWW[[#This Row],['#_Household water samples tested for fecal coliform]],"no test")</f>
        <v>no test</v>
      </c>
      <c r="CG260" s="417" t="str">
        <f>IF(AND(WWWW[[#This Row],[% of water sources passed]]="no test",WWWW[[#This Row],[% Household passed]]="no test"),"No Test","Tested")</f>
        <v>No Test</v>
      </c>
      <c r="CH260" s="417">
        <f>WWWW[[#This Row],['#_Constructed/existing protected hand dug well]]-WWWW[[#This Row],['#_Non-functional protected hand dug well]]</f>
        <v>0</v>
      </c>
      <c r="CI260" s="417">
        <f>(WWWW[[#This Row],['#_Constructed/Existing tube wells/boreholes/handpumps_WASH_agency]]+WWWW[[#This Row],['#_Non-Cluster partner water tube-wells/boreholes/handpumps]])-WWWW[[#This Row],['#_Non-functional tube wells/boreholes/handpumps]]</f>
        <v>0</v>
      </c>
      <c r="CJ260" s="417">
        <f>WWWW[[#This Row],['#_Constructed/Existingwater storage tank with gravity fed reticulation system]]-WWWW[[#This Row],['#_Non-functional storage tank gravity fed reticulation system]]</f>
        <v>0</v>
      </c>
      <c r="CK260" s="417">
        <f>(WWWW[[#This Row],['#_Water_Liters_supplied_by_Water boating or water trucking]]/90)/15</f>
        <v>0</v>
      </c>
      <c r="CL260" s="417">
        <f>WWWW[[#This Row],['#_Water_Liters_from_Constructed/Existing water distribution system from river or natural spring]]/90/15</f>
        <v>0</v>
      </c>
      <c r="CM260" s="417">
        <f>IF(WWWW[[#This Row],['#_of water points in TLS/CFS]]*500&gt;WWWW[[#This Row],[Total PoP ]],WWWW[[#This Row],[Total PoP ]],WWWW[[#This Row],['#_of water points in TLS/CFS]]*500)</f>
        <v>0</v>
      </c>
      <c r="CN260" s="417">
        <f>IF(WWWW[[#This Row],['#_of water points in THF]]*500&gt;WWWW[[#This Row],[Total PoP ]],WWWW[[#This Row],[Total PoP ]],WWWW[[#This Row],['#_of water points in THF]]*500)</f>
        <v>0</v>
      </c>
      <c r="CO260" s="417"/>
      <c r="CP260"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60"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60" s="416">
        <f>IF(WWWW[[#This Row],[Location Type 1]]="Village",WWWW[[#This Row],[Access to safe drinking water for Village]],WWWW[[#This Row],[Access to safe drinking water for Camp]])</f>
        <v>0</v>
      </c>
      <c r="CS260" s="421">
        <f>WWWW[[#This Row],[%Equitable and continuous access to sufficient quantity of safe drinking water]]*WWWW[[#This Row],[Total PoP ]]</f>
        <v>0</v>
      </c>
      <c r="CT260" s="416">
        <f>IF((WWWW[[#This Row],['#_Constructed/Existing protected/fenced ponds]]*250)/WWWW[[#This Row],[Total PoP ]]&gt;1,1,(WWWW[[#This Row],['#_Constructed/Existing protected/fenced ponds]]*250)/WWWW[[#This Row],[Total PoP ]])</f>
        <v>0</v>
      </c>
      <c r="CU260" s="421">
        <f>WWWW[[#This Row],[% Access to unimproved water points]]*WWWW[[#This Row],[Total PoP ]]</f>
        <v>0</v>
      </c>
      <c r="CV260"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260"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260" s="421">
        <f>WWWW[[#This Row],[HRP1]]/500</f>
        <v>0</v>
      </c>
      <c r="CY260" s="951">
        <f>1-WWWW[[#This Row],[% Equitable and continuous access to sufficient quantity of domestic water]]</f>
        <v>1</v>
      </c>
      <c r="CZ260" s="421">
        <f>WWWW[[#This Row],[%equitable and continuous access to sufficient quantity of safe drinking and domestic water''s GAP]]*WWWW[[#This Row],[Total PoP ]]</f>
        <v>308</v>
      </c>
      <c r="DA260" s="417">
        <f>IF(WWWW[[#This Row],[Total required water points]]-WWWW[[#This Row],['#Water points coverage]]&lt;0,0,WWWW[[#This Row],[Total required water points]]-WWWW[[#This Row],['#Water points coverage]])</f>
        <v>1</v>
      </c>
      <c r="DB260" s="417">
        <f>ROUND(IF(WWWW[[#This Row],[Total PoP ]]&lt;500,1,WWWW[[#This Row],[Total PoP ]]/500),0)</f>
        <v>1</v>
      </c>
      <c r="DC260" s="417">
        <f>(WWWW[[#This Row],['#_Constructed latrines_by_WASHAgencies]]+WWWW[[#This Row],['#_Non Cluster partner latrines]])-WWWW[[#This Row],['#_Non-functional latrines]]</f>
        <v>0</v>
      </c>
      <c r="DD260" s="615">
        <f>WWWW[[#This Row],[HRP2]]/WWWW[[#This Row],[Total PoP ]]</f>
        <v>0</v>
      </c>
      <c r="DE260"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60"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60"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60" s="417">
        <f>IF(WWWW[[#This Row],['# of functional latrines in THF supported by WASH partners during the reporting period2]]="",0,WWWW[[#This Row],['# of functional latrines in THF supported by WASH partners during the reporting period2]]*50)</f>
        <v>0</v>
      </c>
      <c r="DI260" s="417">
        <f>ROUND(IF(WWWW[[#This Row],[Location Type 1]]="camp",WWWW[[#This Row],[Total PoP ]]/20,IF(WWWW[[#This Row],[Location Type 1]]="Temporary Location",WWWW[[#This Row],[Total PoP ]]/50,(WWWW[[#This Row],[Total PoP ]]/6))),0)</f>
        <v>15</v>
      </c>
      <c r="DJ260" s="417">
        <f>IF(WWWW[[#This Row],[Total required Latrines]]-(WWWW[[#This Row],['#_Constructed latrines_by_WASHAgencies]]+WWWW[[#This Row],['#_Non Cluster partner latrines]])&lt;0,0,WWWW[[#This Row],[Total required Latrines]]-(WWWW[[#This Row],['#_Constructed latrines_by_WASHAgencies]]+WWWW[[#This Row],['#_Non Cluster partner latrines]]))</f>
        <v>15</v>
      </c>
      <c r="DK260" s="951">
        <f>1-WWWW[[#This Row],[% people access to functioning Latrine]]</f>
        <v>1</v>
      </c>
      <c r="DL260" s="615">
        <f>IF(OR(WWWW[[#This Row],['#_Non-functional latrines]]="",WWWW[[#This Row],['#_Non-functional latrines]]=0),0,WWWW[[#This Row],['#_Non-functional latrines]]/(WWWW[[#This Row],['#_Constructed latrines_by_WASHAgencies]]+WWWW[[#This Row],['#_Non Cluster partner latrines]]))</f>
        <v>0</v>
      </c>
      <c r="DM260" s="421">
        <f>IF(500*(WWWW[[#This Row],['#_male hygiene promoters]]+WWWW[[#This Row],['#_female hygiene promoters]])&gt;WWWW[[#This Row],[Total PoP ]],WWWW[[#This Row],[Total PoP ]],500*(WWWW[[#This Row],['#_male hygiene promoters]]+WWWW[[#This Row],['#_female hygiene promoters]]))</f>
        <v>0</v>
      </c>
      <c r="DN260"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60"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60" s="417">
        <f>IF(WWWW[[#This Row],['# People with access to soap]]&gt;WWWW[[#This Row],['# People with access to Sanity Pads]],WWWW[[#This Row],['# People with access to soap]],WWWW[[#This Row],['# People with access to Sanity Pads]])</f>
        <v>0</v>
      </c>
      <c r="DQ260"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60" s="951">
        <f>IF(WWWW[[#This Row],[HRP3]]/WWWW[[#This Row],[Total PoP ]]&gt;1,1,WWWW[[#This Row],[HRP3]]/WWWW[[#This Row],[Total PoP ]])</f>
        <v>0</v>
      </c>
      <c r="DS260" s="615">
        <f>1-WWWW[[#This Row],[Hygiene Coverage%]]</f>
        <v>1</v>
      </c>
      <c r="DT260" s="416">
        <f>WWWW[[#This Row],['# people reached by regular dedicated hygiene promotion_5]]/WWWW[[#This Row],[Total PoP ]]</f>
        <v>0</v>
      </c>
      <c r="DU260"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60"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60" s="417">
        <f>WWWW[[#This Row],['#_Constructed/Existing hand washing stations]]-WWWW[[#This Row],['#_Non-Functional_hand_washing_stations]]</f>
        <v>7</v>
      </c>
      <c r="DX260" s="421">
        <f>IF(WWWW[[#This Row],['# Functional hand washing stations during reporting period]]*20&gt;WWWW[[#This Row],[Total HH]],WWWW[[#This Row],[Total HH]],WWWW[[#This Row],['# Functional hand washing stations during reporting period]]*20)</f>
        <v>67</v>
      </c>
      <c r="DY260" s="421">
        <f>IF(WWWW[[#This Row],[Is sufficient soap available for TLS? (Yes/No)]]="yes",WWWW[[#This Row],['#_Constructed/Existing hand washing stations at TLS/CFS/THF]],0)</f>
        <v>0</v>
      </c>
      <c r="DZ260" s="421">
        <f>IF(WWWW[[#This Row],['# Functional hand washing stations during reporting period]]*100&gt;WWWW[[#This Row],[Total PoP ]],WWWW[[#This Row],[Total PoP ]],WWWW[[#This Row],['# Functional hand washing stations during reporting period]]*100)</f>
        <v>308</v>
      </c>
      <c r="EA260" s="421" t="str">
        <f>IF(OR(WWWW[[#This Row],['#_students at TLS_CFS]]="",WWWW[[#This Row],['#_students at TLS_CFS]]=0),"No","Yes")</f>
        <v>No</v>
      </c>
      <c r="EB26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60" s="566">
        <f>WWWW[[#This Row],[%_of_affected_people_surveyed_who_report_feeling_satistfied_with_the_latrine_design_and_sanitation_service]]*WWWW[[#This Row],[Total PoP ]]</f>
        <v>0</v>
      </c>
      <c r="ED260" s="566">
        <f>WWWW[[#This Row],[%_of_affected_people_surveyed_who_report_feeling_satistfied_with_the_water_point_design_and_water_service]]*WWWW[[#This Row],[Total PoP ]]</f>
        <v>0</v>
      </c>
      <c r="EE260" s="566">
        <f>WWWW[[#This Row],[%_of_complaints_received_that_result_in_timely_corrective_action_and_feedback_to_the_community]]*WWWW[[#This Row],[Total PoP ]]</f>
        <v>0</v>
      </c>
      <c r="EF26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6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6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60" s="418">
        <f>VLOOKUP(WWWW[[#This Row],[Site Name]],SiteDB6[[Site Name]:[CCCM Management]],6,FALSE)</f>
        <v>0</v>
      </c>
      <c r="EJ260" s="418" t="str">
        <f>VLOOKUP(WWWW[[#This Row],[Site Name]],SiteDB6[[Site Name]:[CCCM Focal Agency]],7,FALSE)</f>
        <v>uncovered</v>
      </c>
      <c r="EK260" s="418" t="str">
        <f>VLOOKUP(WWWW[[#This Row],[Site Name]],SiteDB6[[Site Name]:[Location Type 1]],9,FALSE)</f>
        <v>Camp</v>
      </c>
      <c r="EL260" s="418" t="str">
        <f>VLOOKUP(WWWW[[#This Row],[Site Name]],SiteDB6[[Site Name]:[Type of Accommodation]],10,FALSE)</f>
        <v>IDPs in host</v>
      </c>
      <c r="EM260" s="418" t="str">
        <f>VLOOKUP(WWWW[[#This Row],[Site Name]],SiteDB6[[Site Name]:[Ethnic or GCA/NGCA]],11,FALSE)</f>
        <v>GCA</v>
      </c>
      <c r="EN260" s="418">
        <f>VLOOKUP(WWWW[[#This Row],[Site Name]],SiteDB6[[Site Name]:[Lat]],12,FALSE)</f>
        <v>24.118618999999999</v>
      </c>
      <c r="EO260" s="418">
        <f>VLOOKUP(WWWW[[#This Row],[Site Name]],SiteDB6[[Site Name]:[Long]],13,FALSE)</f>
        <v>97.298055000000005</v>
      </c>
      <c r="EP260" s="418" t="str">
        <f>VLOOKUP(WWWW[[#This Row],[Site Name]],SiteDB6[[Site Name]:[Pcode]],3,FALSE)</f>
        <v>MMR001CMP196</v>
      </c>
      <c r="EQ260" s="950" t="str">
        <f t="shared" si="5"/>
        <v>Notcovered</v>
      </c>
      <c r="ER260" s="950"/>
      <c r="ES260" s="950" t="s">
        <v>41</v>
      </c>
      <c r="ET260" s="418">
        <f>VLOOKUP(WWWW[[#This Row],[Site Name]],SiteDB6[[Site Name]:[Pop
(Kachin/Shan-CCCM as of May 2023)]],16,FALSE)</f>
        <v>67</v>
      </c>
      <c r="EU260" s="418">
        <f>VLOOKUP(WWWW[[#This Row],[Site Name]],SiteDB6[[Site Name]:[Pop
(Kachin/Shan-CCCM as of May 2023)]],17,FALSE)</f>
        <v>325</v>
      </c>
    </row>
    <row r="261" spans="1:151">
      <c r="A261" s="946" t="s">
        <v>2962</v>
      </c>
      <c r="B261" s="946" t="s">
        <v>309</v>
      </c>
      <c r="C261" s="938" t="s">
        <v>309</v>
      </c>
      <c r="D261" s="938"/>
      <c r="E261" s="938" t="s">
        <v>37</v>
      </c>
      <c r="F261" s="938" t="s">
        <v>38</v>
      </c>
      <c r="G261" s="902" t="str">
        <f>VLOOKUP(WWWW[[#This Row],[Site Name]],SiteDB6[[Site Name]:[Location Type]],8,FALSE)</f>
        <v>Relocated</v>
      </c>
      <c r="H261" s="938" t="s">
        <v>2569</v>
      </c>
      <c r="I261" s="441">
        <v>86</v>
      </c>
      <c r="J261" s="441">
        <v>450</v>
      </c>
      <c r="K261" s="948"/>
      <c r="L261" s="949"/>
      <c r="M261" s="441"/>
      <c r="N261" s="441"/>
      <c r="O261" s="441"/>
      <c r="P261" s="441"/>
      <c r="Q261" s="421"/>
      <c r="R261" s="441"/>
      <c r="S261" s="441"/>
      <c r="T261" s="441"/>
      <c r="U261" s="441"/>
      <c r="V261" s="441"/>
      <c r="W261" s="441"/>
      <c r="X261" s="441"/>
      <c r="Y261" s="441"/>
      <c r="Z261" s="441"/>
      <c r="AA261" s="441"/>
      <c r="AB261" s="441"/>
      <c r="AC261" s="441"/>
      <c r="AD261" s="441"/>
      <c r="AE261" s="441"/>
      <c r="AF261" s="441"/>
      <c r="AG261" s="441"/>
      <c r="AH261" s="441"/>
      <c r="AI261" s="441"/>
      <c r="AJ261" s="441"/>
      <c r="AK261" s="441"/>
      <c r="AL261" s="441"/>
      <c r="AM261" s="441"/>
      <c r="AN261" s="441"/>
      <c r="AO261" s="441"/>
      <c r="AP261" s="950"/>
      <c r="AQ261" s="441"/>
      <c r="AR261" s="441"/>
      <c r="AS261" s="416"/>
      <c r="AT261" s="441"/>
      <c r="AU261" s="441"/>
      <c r="AV261" s="441"/>
      <c r="AW261" s="441"/>
      <c r="AX261" s="441"/>
      <c r="AY261" s="418"/>
      <c r="AZ261" s="950"/>
      <c r="BA261" s="441"/>
      <c r="BB261" s="441"/>
      <c r="BC261" s="441"/>
      <c r="BD261" s="441"/>
      <c r="BE261" s="441"/>
      <c r="BF261" s="418"/>
      <c r="BG261" s="441"/>
      <c r="BH261" s="441"/>
      <c r="BI261" s="441"/>
      <c r="BJ261" s="441"/>
      <c r="BK261" s="441"/>
      <c r="BL261" s="441"/>
      <c r="BM261" s="441"/>
      <c r="BN261" s="441"/>
      <c r="BO261" s="441"/>
      <c r="BP261" s="418"/>
      <c r="BQ261" s="417"/>
      <c r="BR261" s="416"/>
      <c r="BS261" s="418"/>
      <c r="BT261" s="416"/>
      <c r="BU261" s="416"/>
      <c r="BV261" s="418"/>
      <c r="BW261" s="416"/>
      <c r="BX261" s="441"/>
      <c r="BY261" s="441"/>
      <c r="BZ261" s="441"/>
      <c r="CA261" s="441"/>
      <c r="CB261" s="441"/>
      <c r="CC261" s="693"/>
      <c r="CD261" s="441"/>
      <c r="CE261" s="615" t="str">
        <f>IFERROR(WWWW[[#This Row],['#_Water sources passed]]/WWWW[[#This Row],['#_Water sources tested for fecal coliform ]],"no test")</f>
        <v>no test</v>
      </c>
      <c r="CF261" s="416" t="str">
        <f>IFERROR(WWWW[[#This Row],['#_Household passed]]/WWWW[[#This Row],['#_Household water samples tested for fecal coliform]],"no test")</f>
        <v>no test</v>
      </c>
      <c r="CG261" s="417" t="str">
        <f>IF(AND(WWWW[[#This Row],[% of water sources passed]]="no test",WWWW[[#This Row],[% Household passed]]="no test"),"No Test","Tested")</f>
        <v>No Test</v>
      </c>
      <c r="CH261" s="417">
        <f>WWWW[[#This Row],['#_Constructed/existing protected hand dug well]]-WWWW[[#This Row],['#_Non-functional protected hand dug well]]</f>
        <v>0</v>
      </c>
      <c r="CI261" s="417">
        <f>(WWWW[[#This Row],['#_Constructed/Existing tube wells/boreholes/handpumps_WASH_agency]]+WWWW[[#This Row],['#_Non-Cluster partner water tube-wells/boreholes/handpumps]])-WWWW[[#This Row],['#_Non-functional tube wells/boreholes/handpumps]]</f>
        <v>0</v>
      </c>
      <c r="CJ261" s="417">
        <f>WWWW[[#This Row],['#_Constructed/Existingwater storage tank with gravity fed reticulation system]]-WWWW[[#This Row],['#_Non-functional storage tank gravity fed reticulation system]]</f>
        <v>0</v>
      </c>
      <c r="CK261" s="417">
        <f>(WWWW[[#This Row],['#_Water_Liters_supplied_by_Water boating or water trucking]]/90)/15</f>
        <v>0</v>
      </c>
      <c r="CL261" s="417">
        <f>WWWW[[#This Row],['#_Water_Liters_from_Constructed/Existing water distribution system from river or natural spring]]/90/15</f>
        <v>0</v>
      </c>
      <c r="CM261" s="417">
        <f>IF(WWWW[[#This Row],['#_of water points in TLS/CFS]]*500&gt;WWWW[[#This Row],[Total PoP ]],WWWW[[#This Row],[Total PoP ]],WWWW[[#This Row],['#_of water points in TLS/CFS]]*500)</f>
        <v>0</v>
      </c>
      <c r="CN261" s="417">
        <f>IF(WWWW[[#This Row],['#_of water points in THF]]*500&gt;WWWW[[#This Row],[Total PoP ]],WWWW[[#This Row],[Total PoP ]],WWWW[[#This Row],['#_of water points in THF]]*500)</f>
        <v>0</v>
      </c>
      <c r="CO261" s="417"/>
      <c r="CP261"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61"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61" s="416">
        <f>IF(WWWW[[#This Row],[Location Type 1]]="Village",WWWW[[#This Row],[Access to safe drinking water for Village]],WWWW[[#This Row],[Access to safe drinking water for Camp]])</f>
        <v>0</v>
      </c>
      <c r="CS261" s="421">
        <f>WWWW[[#This Row],[%Equitable and continuous access to sufficient quantity of safe drinking water]]*WWWW[[#This Row],[Total PoP ]]</f>
        <v>0</v>
      </c>
      <c r="CT261" s="416">
        <f>IF((WWWW[[#This Row],['#_Constructed/Existing protected/fenced ponds]]*250)/WWWW[[#This Row],[Total PoP ]]&gt;1,1,(WWWW[[#This Row],['#_Constructed/Existing protected/fenced ponds]]*250)/WWWW[[#This Row],[Total PoP ]])</f>
        <v>0</v>
      </c>
      <c r="CU261" s="421">
        <f>WWWW[[#This Row],[% Access to unimproved water points]]*WWWW[[#This Row],[Total PoP ]]</f>
        <v>0</v>
      </c>
      <c r="CV261"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261"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261" s="421">
        <f>WWWW[[#This Row],[HRP1]]/500</f>
        <v>0</v>
      </c>
      <c r="CY261" s="951">
        <f>1-WWWW[[#This Row],[% Equitable and continuous access to sufficient quantity of domestic water]]</f>
        <v>1</v>
      </c>
      <c r="CZ261" s="421">
        <f>WWWW[[#This Row],[%equitable and continuous access to sufficient quantity of safe drinking and domestic water''s GAP]]*WWWW[[#This Row],[Total PoP ]]</f>
        <v>450</v>
      </c>
      <c r="DA261" s="417">
        <f>IF(WWWW[[#This Row],[Total required water points]]-WWWW[[#This Row],['#Water points coverage]]&lt;0,0,WWWW[[#This Row],[Total required water points]]-WWWW[[#This Row],['#Water points coverage]])</f>
        <v>1</v>
      </c>
      <c r="DB261" s="417">
        <f>ROUND(IF(WWWW[[#This Row],[Total PoP ]]&lt;500,1,WWWW[[#This Row],[Total PoP ]]/500),0)</f>
        <v>1</v>
      </c>
      <c r="DC261" s="417">
        <f>(WWWW[[#This Row],['#_Constructed latrines_by_WASHAgencies]]+WWWW[[#This Row],['#_Non Cluster partner latrines]])-WWWW[[#This Row],['#_Non-functional latrines]]</f>
        <v>0</v>
      </c>
      <c r="DD261" s="615">
        <f>WWWW[[#This Row],[HRP2]]/WWWW[[#This Row],[Total PoP ]]</f>
        <v>0</v>
      </c>
      <c r="DE261"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61"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61"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61" s="417">
        <f>IF(WWWW[[#This Row],['# of functional latrines in THF supported by WASH partners during the reporting period2]]="",0,WWWW[[#This Row],['# of functional latrines in THF supported by WASH partners during the reporting period2]]*50)</f>
        <v>0</v>
      </c>
      <c r="DI261" s="417">
        <f>ROUND(IF(WWWW[[#This Row],[Location Type 1]]="camp",WWWW[[#This Row],[Total PoP ]]/20,IF(WWWW[[#This Row],[Location Type 1]]="Temporary Location",WWWW[[#This Row],[Total PoP ]]/50,(WWWW[[#This Row],[Total PoP ]]/6))),0)</f>
        <v>75</v>
      </c>
      <c r="DJ261" s="417">
        <f>IF(WWWW[[#This Row],[Total required Latrines]]-(WWWW[[#This Row],['#_Constructed latrines_by_WASHAgencies]]+WWWW[[#This Row],['#_Non Cluster partner latrines]])&lt;0,0,WWWW[[#This Row],[Total required Latrines]]-(WWWW[[#This Row],['#_Constructed latrines_by_WASHAgencies]]+WWWW[[#This Row],['#_Non Cluster partner latrines]]))</f>
        <v>75</v>
      </c>
      <c r="DK261" s="951">
        <f>1-WWWW[[#This Row],[% people access to functioning Latrine]]</f>
        <v>1</v>
      </c>
      <c r="DL261" s="615">
        <f>IF(OR(WWWW[[#This Row],['#_Non-functional latrines]]="",WWWW[[#This Row],['#_Non-functional latrines]]=0),0,WWWW[[#This Row],['#_Non-functional latrines]]/(WWWW[[#This Row],['#_Constructed latrines_by_WASHAgencies]]+WWWW[[#This Row],['#_Non Cluster partner latrines]]))</f>
        <v>0</v>
      </c>
      <c r="DM261" s="421">
        <f>IF(500*(WWWW[[#This Row],['#_male hygiene promoters]]+WWWW[[#This Row],['#_female hygiene promoters]])&gt;WWWW[[#This Row],[Total PoP ]],WWWW[[#This Row],[Total PoP ]],500*(WWWW[[#This Row],['#_male hygiene promoters]]+WWWW[[#This Row],['#_female hygiene promoters]]))</f>
        <v>0</v>
      </c>
      <c r="DN261"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61"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61" s="417">
        <f>IF(WWWW[[#This Row],['# People with access to soap]]&gt;WWWW[[#This Row],['# People with access to Sanity Pads]],WWWW[[#This Row],['# People with access to soap]],WWWW[[#This Row],['# People with access to Sanity Pads]])</f>
        <v>0</v>
      </c>
      <c r="DQ261"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61" s="951">
        <f>IF(WWWW[[#This Row],[HRP3]]/WWWW[[#This Row],[Total PoP ]]&gt;1,1,WWWW[[#This Row],[HRP3]]/WWWW[[#This Row],[Total PoP ]])</f>
        <v>0</v>
      </c>
      <c r="DS261" s="615">
        <f>1-WWWW[[#This Row],[Hygiene Coverage%]]</f>
        <v>1</v>
      </c>
      <c r="DT261" s="416">
        <f>WWWW[[#This Row],['# people reached by regular dedicated hygiene promotion_5]]/WWWW[[#This Row],[Total PoP ]]</f>
        <v>0</v>
      </c>
      <c r="DU261"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61"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61" s="417">
        <f>WWWW[[#This Row],['#_Constructed/Existing hand washing stations]]-WWWW[[#This Row],['#_Non-Functional_hand_washing_stations]]</f>
        <v>0</v>
      </c>
      <c r="DX261" s="421">
        <f>IF(WWWW[[#This Row],['# Functional hand washing stations during reporting period]]*20&gt;WWWW[[#This Row],[Total HH]],WWWW[[#This Row],[Total HH]],WWWW[[#This Row],['# Functional hand washing stations during reporting period]]*20)</f>
        <v>0</v>
      </c>
      <c r="DY261" s="421">
        <f>IF(WWWW[[#This Row],[Is sufficient soap available for TLS? (Yes/No)]]="yes",WWWW[[#This Row],['#_Constructed/Existing hand washing stations at TLS/CFS/THF]],0)</f>
        <v>0</v>
      </c>
      <c r="DZ261" s="421">
        <f>IF(WWWW[[#This Row],['# Functional hand washing stations during reporting period]]*100&gt;WWWW[[#This Row],[Total PoP ]],WWWW[[#This Row],[Total PoP ]],WWWW[[#This Row],['# Functional hand washing stations during reporting period]]*100)</f>
        <v>0</v>
      </c>
      <c r="EA261" s="421" t="str">
        <f>IF(OR(WWWW[[#This Row],['#_students at TLS_CFS]]="",WWWW[[#This Row],['#_students at TLS_CFS]]=0),"No","Yes")</f>
        <v>No</v>
      </c>
      <c r="EB26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61" s="566">
        <f>WWWW[[#This Row],[%_of_affected_people_surveyed_who_report_feeling_satistfied_with_the_latrine_design_and_sanitation_service]]*WWWW[[#This Row],[Total PoP ]]</f>
        <v>0</v>
      </c>
      <c r="ED261" s="566">
        <f>WWWW[[#This Row],[%_of_affected_people_surveyed_who_report_feeling_satistfied_with_the_water_point_design_and_water_service]]*WWWW[[#This Row],[Total PoP ]]</f>
        <v>0</v>
      </c>
      <c r="EE261" s="566">
        <f>WWWW[[#This Row],[%_of_complaints_received_that_result_in_timely_corrective_action_and_feedback_to_the_community]]*WWWW[[#This Row],[Total PoP ]]</f>
        <v>0</v>
      </c>
      <c r="EF26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6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6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61" s="418">
        <f>VLOOKUP(WWWW[[#This Row],[Site Name]],SiteDB6[[Site Name]:[CCCM Management]],6,FALSE)</f>
        <v>0</v>
      </c>
      <c r="EJ261" s="418">
        <f>VLOOKUP(WWWW[[#This Row],[Site Name]],SiteDB6[[Site Name]:[CCCM Focal Agency]],7,FALSE)</f>
        <v>0</v>
      </c>
      <c r="EK261" s="418" t="str">
        <f>VLOOKUP(WWWW[[#This Row],[Site Name]],SiteDB6[[Site Name]:[Location Type 1]],9,FALSE)</f>
        <v>Relocated</v>
      </c>
      <c r="EL261" s="418" t="str">
        <f>VLOOKUP(WWWW[[#This Row],[Site Name]],SiteDB6[[Site Name]:[Type of Accommodation]],10,FALSE)</f>
        <v>Relocated-Individual House</v>
      </c>
      <c r="EM261" s="418" t="str">
        <f>VLOOKUP(WWWW[[#This Row],[Site Name]],SiteDB6[[Site Name]:[Ethnic or GCA/NGCA]],11,FALSE)</f>
        <v>GCA</v>
      </c>
      <c r="EN261" s="418">
        <f>VLOOKUP(WWWW[[#This Row],[Site Name]],SiteDB6[[Site Name]:[Lat]],12,FALSE)</f>
        <v>24.109690000000001</v>
      </c>
      <c r="EO261" s="418">
        <f>VLOOKUP(WWWW[[#This Row],[Site Name]],SiteDB6[[Site Name]:[Long]],13,FALSE)</f>
        <v>97.241101</v>
      </c>
      <c r="EP261" s="418" t="str">
        <f>VLOOKUP(WWWW[[#This Row],[Site Name]],SiteDB6[[Site Name]:[Pcode]],3,FALSE)</f>
        <v>MMR001CMP278</v>
      </c>
      <c r="EQ261" s="950" t="str">
        <f t="shared" si="5"/>
        <v>Notcovered</v>
      </c>
      <c r="ER261" s="950"/>
      <c r="ES261" s="950" t="s">
        <v>3255</v>
      </c>
      <c r="ET261" s="418">
        <f>VLOOKUP(WWWW[[#This Row],[Site Name]],SiteDB6[[Site Name]:[Pop
(Kachin/Shan-CCCM as of May 2023)]],16,FALSE)</f>
        <v>86</v>
      </c>
      <c r="EU261" s="418">
        <f>VLOOKUP(WWWW[[#This Row],[Site Name]],SiteDB6[[Site Name]:[Pop
(Kachin/Shan-CCCM as of May 2023)]],17,FALSE)</f>
        <v>450</v>
      </c>
    </row>
    <row r="262" spans="1:151">
      <c r="A262" s="946" t="s">
        <v>2962</v>
      </c>
      <c r="B262" s="938" t="s">
        <v>3347</v>
      </c>
      <c r="C262" s="938" t="s">
        <v>3347</v>
      </c>
      <c r="D262" s="1005" t="s">
        <v>241</v>
      </c>
      <c r="E262" s="1005" t="s">
        <v>37</v>
      </c>
      <c r="F262" s="1005" t="s">
        <v>152</v>
      </c>
      <c r="G262" s="902" t="str">
        <f>VLOOKUP(WWWW[[#This Row],[Site Name]],SiteDB6[[Site Name]:[Location Type]],8,FALSE)</f>
        <v>Camp</v>
      </c>
      <c r="H262" s="1005" t="s">
        <v>153</v>
      </c>
      <c r="I262" s="954">
        <v>13</v>
      </c>
      <c r="J262" s="954">
        <v>77</v>
      </c>
      <c r="K262" s="955">
        <v>44811</v>
      </c>
      <c r="L262" s="956">
        <v>45175</v>
      </c>
      <c r="M262" s="954"/>
      <c r="N262" s="954">
        <v>1</v>
      </c>
      <c r="O262" s="954"/>
      <c r="P262" s="954"/>
      <c r="Q262" s="957" t="s">
        <v>41</v>
      </c>
      <c r="R262" s="954">
        <v>2</v>
      </c>
      <c r="S262" s="954">
        <v>3</v>
      </c>
      <c r="T262" s="441">
        <v>1</v>
      </c>
      <c r="U262" s="954"/>
      <c r="V262" s="954"/>
      <c r="W262" s="954">
        <v>1</v>
      </c>
      <c r="X262" s="954"/>
      <c r="Y262" s="954"/>
      <c r="Z262" s="954"/>
      <c r="AA262" s="954"/>
      <c r="AB262" s="954"/>
      <c r="AC262" s="954"/>
      <c r="AD262" s="954"/>
      <c r="AE262" s="954"/>
      <c r="AF262" s="954"/>
      <c r="AG262" s="954"/>
      <c r="AH262" s="954">
        <v>2</v>
      </c>
      <c r="AI262" s="954"/>
      <c r="AJ262" s="954"/>
      <c r="AK262" s="954"/>
      <c r="AL262" s="954"/>
      <c r="AM262" s="954"/>
      <c r="AN262" s="954"/>
      <c r="AO262" s="441"/>
      <c r="AP262" s="958"/>
      <c r="AQ262" s="954">
        <v>6</v>
      </c>
      <c r="AR262" s="954"/>
      <c r="AS262" s="959"/>
      <c r="AT262" s="954"/>
      <c r="AU262" s="954"/>
      <c r="AV262" s="954"/>
      <c r="AW262" s="954"/>
      <c r="AX262" s="954">
        <v>6</v>
      </c>
      <c r="AY262" s="953" t="s">
        <v>41</v>
      </c>
      <c r="AZ262" s="958" t="s">
        <v>899</v>
      </c>
      <c r="BA262" s="954"/>
      <c r="BB262" s="954"/>
      <c r="BC262" s="954"/>
      <c r="BD262" s="441"/>
      <c r="BE262" s="441"/>
      <c r="BF262" s="953"/>
      <c r="BG262" s="954">
        <v>3</v>
      </c>
      <c r="BH262" s="954">
        <v>1</v>
      </c>
      <c r="BI262" s="954"/>
      <c r="BJ262" s="954">
        <v>2</v>
      </c>
      <c r="BK262" s="954"/>
      <c r="BL262" s="954"/>
      <c r="BM262" s="954">
        <v>1</v>
      </c>
      <c r="BN262" s="954"/>
      <c r="BO262" s="954"/>
      <c r="BP262" s="953"/>
      <c r="BQ262" s="960"/>
      <c r="BR262" s="959"/>
      <c r="BS262" s="953"/>
      <c r="BT262" s="416"/>
      <c r="BU262" s="416"/>
      <c r="BV262" s="418"/>
      <c r="BW262" s="416"/>
      <c r="BX262" s="441"/>
      <c r="BY262" s="441"/>
      <c r="BZ262" s="441"/>
      <c r="CA262" s="441"/>
      <c r="CB262" s="441"/>
      <c r="CC262" s="693"/>
      <c r="CD262" s="441"/>
      <c r="CE262" s="961" t="str">
        <f>IFERROR(WWWW[[#This Row],['#_Water sources passed]]/WWWW[[#This Row],['#_Water sources tested for fecal coliform ]],"no test")</f>
        <v>no test</v>
      </c>
      <c r="CF262" s="959" t="str">
        <f>IFERROR(WWWW[[#This Row],['#_Household passed]]/WWWW[[#This Row],['#_Household water samples tested for fecal coliform]],"no test")</f>
        <v>no test</v>
      </c>
      <c r="CG262" s="960" t="str">
        <f>IF(AND(WWWW[[#This Row],[% of water sources passed]]="no test",WWWW[[#This Row],[% Household passed]]="no test"),"No Test","Tested")</f>
        <v>No Test</v>
      </c>
      <c r="CH262" s="960">
        <f>WWWW[[#This Row],['#_Constructed/existing protected hand dug well]]-WWWW[[#This Row],['#_Non-functional protected hand dug well]]</f>
        <v>1</v>
      </c>
      <c r="CI262" s="960">
        <f>(WWWW[[#This Row],['#_Constructed/Existing tube wells/boreholes/handpumps_WASH_agency]]+WWWW[[#This Row],['#_Non-Cluster partner water tube-wells/boreholes/handpumps]])-WWWW[[#This Row],['#_Non-functional tube wells/boreholes/handpumps]]</f>
        <v>1</v>
      </c>
      <c r="CJ262" s="960">
        <f>WWWW[[#This Row],['#_Constructed/Existingwater storage tank with gravity fed reticulation system]]-WWWW[[#This Row],['#_Non-functional storage tank gravity fed reticulation system]]</f>
        <v>0</v>
      </c>
      <c r="CK262" s="960">
        <f>(WWWW[[#This Row],['#_Water_Liters_supplied_by_Water boating or water trucking]]/90)/15</f>
        <v>0</v>
      </c>
      <c r="CL262" s="960">
        <f>WWWW[[#This Row],['#_Water_Liters_from_Constructed/Existing water distribution system from river or natural spring]]/90/15</f>
        <v>0</v>
      </c>
      <c r="CM262" s="417">
        <f>IF(WWWW[[#This Row],['#_of water points in TLS/CFS]]*500&gt;WWWW[[#This Row],[Total PoP ]],WWWW[[#This Row],[Total PoP ]],WWWW[[#This Row],['#_of water points in TLS/CFS]]*500)</f>
        <v>0</v>
      </c>
      <c r="CN262" s="417">
        <f>IF(WWWW[[#This Row],['#_of water points in THF]]*500&gt;WWWW[[#This Row],[Total PoP ]],WWWW[[#This Row],[Total PoP ]],WWWW[[#This Row],['#_of water points in THF]]*500)</f>
        <v>0</v>
      </c>
      <c r="CO262" s="417"/>
      <c r="CP262"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62"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62" s="959">
        <f>IF(WWWW[[#This Row],[Location Type 1]]="Village",WWWW[[#This Row],[Access to safe drinking water for Village]],WWWW[[#This Row],[Access to safe drinking water for Camp]])</f>
        <v>1</v>
      </c>
      <c r="CS262" s="957">
        <f>WWWW[[#This Row],[%Equitable and continuous access to sufficient quantity of safe drinking water]]*WWWW[[#This Row],[Total PoP ]]</f>
        <v>77</v>
      </c>
      <c r="CT262" s="959">
        <f>IF((WWWW[[#This Row],['#_Constructed/Existing protected/fenced ponds]]*250)/WWWW[[#This Row],[Total PoP ]]&gt;1,1,(WWWW[[#This Row],['#_Constructed/Existing protected/fenced ponds]]*250)/WWWW[[#This Row],[Total PoP ]])</f>
        <v>0</v>
      </c>
      <c r="CU262" s="957">
        <f>WWWW[[#This Row],[% Access to unimproved water points]]*WWWW[[#This Row],[Total PoP ]]</f>
        <v>0</v>
      </c>
      <c r="CV262"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62"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v>
      </c>
      <c r="CX262" s="957">
        <f>WWWW[[#This Row],[HRP1]]/500</f>
        <v>0.154</v>
      </c>
      <c r="CY262" s="962">
        <f>1-WWWW[[#This Row],[% Equitable and continuous access to sufficient quantity of domestic water]]</f>
        <v>0</v>
      </c>
      <c r="CZ262" s="957">
        <f>WWWW[[#This Row],[%equitable and continuous access to sufficient quantity of safe drinking and domestic water''s GAP]]*WWWW[[#This Row],[Total PoP ]]</f>
        <v>0</v>
      </c>
      <c r="DA262" s="960">
        <f>IF(WWWW[[#This Row],[Total required water points]]-WWWW[[#This Row],['#Water points coverage]]&lt;0,0,WWWW[[#This Row],[Total required water points]]-WWWW[[#This Row],['#Water points coverage]])</f>
        <v>0.84599999999999997</v>
      </c>
      <c r="DB262" s="960">
        <f>ROUND(IF(WWWW[[#This Row],[Total PoP ]]&lt;500,1,WWWW[[#This Row],[Total PoP ]]/500),0)</f>
        <v>1</v>
      </c>
      <c r="DC262" s="960">
        <f>(WWWW[[#This Row],['#_Constructed latrines_by_WASHAgencies]]+WWWW[[#This Row],['#_Non Cluster partner latrines]])-WWWW[[#This Row],['#_Non-functional latrines]]</f>
        <v>6</v>
      </c>
      <c r="DD262" s="615">
        <f>WWWW[[#This Row],[HRP2]]/WWWW[[#This Row],[Total PoP ]]</f>
        <v>1</v>
      </c>
      <c r="DE262"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77</v>
      </c>
      <c r="DF262"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62"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62" s="417">
        <f>IF(WWWW[[#This Row],['# of functional latrines in THF supported by WASH partners during the reporting period2]]="",0,WWWW[[#This Row],['# of functional latrines in THF supported by WASH partners during the reporting period2]]*50)</f>
        <v>0</v>
      </c>
      <c r="DI262" s="960">
        <f>ROUND(IF(WWWW[[#This Row],[Location Type 1]]="camp",WWWW[[#This Row],[Total PoP ]]/20,IF(WWWW[[#This Row],[Location Type 1]]="Temporary Location",WWWW[[#This Row],[Total PoP ]]/50,(WWWW[[#This Row],[Total PoP ]]/6))),0)</f>
        <v>4</v>
      </c>
      <c r="DJ262" s="960">
        <f>IF(WWWW[[#This Row],[Total required Latrines]]-(WWWW[[#This Row],['#_Constructed latrines_by_WASHAgencies]]+WWWW[[#This Row],['#_Non Cluster partner latrines]])&lt;0,0,WWWW[[#This Row],[Total required Latrines]]-(WWWW[[#This Row],['#_Constructed latrines_by_WASHAgencies]]+WWWW[[#This Row],['#_Non Cluster partner latrines]]))</f>
        <v>0</v>
      </c>
      <c r="DK262" s="962">
        <f>1-WWWW[[#This Row],[% people access to functioning Latrine]]</f>
        <v>0</v>
      </c>
      <c r="DL262" s="961">
        <f>IF(OR(WWWW[[#This Row],['#_Non-functional latrines]]="",WWWW[[#This Row],['#_Non-functional latrines]]=0),0,WWWW[[#This Row],['#_Non-functional latrines]]/(WWWW[[#This Row],['#_Constructed latrines_by_WASHAgencies]]+WWWW[[#This Row],['#_Non Cluster partner latrines]]))</f>
        <v>0</v>
      </c>
      <c r="DM262" s="957">
        <f>IF(500*(WWWW[[#This Row],['#_male hygiene promoters]]+WWWW[[#This Row],['#_female hygiene promoters]])&gt;WWWW[[#This Row],[Total PoP ]],WWWW[[#This Row],[Total PoP ]],500*(WWWW[[#This Row],['#_male hygiene promoters]]+WWWW[[#This Row],['#_female hygiene promoters]]))</f>
        <v>77</v>
      </c>
      <c r="DN262"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62"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62" s="960">
        <f>IF(WWWW[[#This Row],['# People with access to soap]]&gt;WWWW[[#This Row],['# People with access to Sanity Pads]],WWWW[[#This Row],['# People with access to soap]],WWWW[[#This Row],['# People with access to Sanity Pads]])</f>
        <v>0</v>
      </c>
      <c r="DQ262" s="960">
        <f>IF(WWWW[[#This Row],['# people reached by regular dedicated hygiene promotion_5]]&gt;WWWW[[#This Row],['# People received regular supply of hygiene items_6]],WWWW[[#This Row],['# people reached by regular dedicated hygiene promotion_5]],WWWW[[#This Row],['# People received regular supply of hygiene items_6]])</f>
        <v>77</v>
      </c>
      <c r="DR262" s="962">
        <f>IF(WWWW[[#This Row],[HRP3]]/WWWW[[#This Row],[Total PoP ]]&gt;1,1,WWWW[[#This Row],[HRP3]]/WWWW[[#This Row],[Total PoP ]])</f>
        <v>1</v>
      </c>
      <c r="DS262" s="961">
        <f>1-WWWW[[#This Row],[Hygiene Coverage%]]</f>
        <v>0</v>
      </c>
      <c r="DT262" s="959">
        <f>WWWW[[#This Row],['# people reached by regular dedicated hygiene promotion_5]]/WWWW[[#This Row],[Total PoP ]]</f>
        <v>1</v>
      </c>
      <c r="DU262"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62"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62" s="960">
        <f>WWWW[[#This Row],['#_Constructed/Existing hand washing stations]]-WWWW[[#This Row],['#_Non-Functional_hand_washing_stations]]</f>
        <v>2</v>
      </c>
      <c r="DX262" s="957">
        <f>IF(WWWW[[#This Row],['# Functional hand washing stations during reporting period]]*20&gt;WWWW[[#This Row],[Total HH]],WWWW[[#This Row],[Total HH]],WWWW[[#This Row],['# Functional hand washing stations during reporting period]]*20)</f>
        <v>13</v>
      </c>
      <c r="DY262" s="957">
        <f>IF(WWWW[[#This Row],[Is sufficient soap available for TLS? (Yes/No)]]="yes",WWWW[[#This Row],['#_Constructed/Existing hand washing stations at TLS/CFS/THF]],0)</f>
        <v>0</v>
      </c>
      <c r="DZ262" s="421">
        <f>IF(WWWW[[#This Row],['# Functional hand washing stations during reporting period]]*100&gt;WWWW[[#This Row],[Total PoP ]],WWWW[[#This Row],[Total PoP ]],WWWW[[#This Row],['# Functional hand washing stations during reporting period]]*100)</f>
        <v>77</v>
      </c>
      <c r="EA262" s="421" t="str">
        <f>IF(OR(WWWW[[#This Row],['#_students at TLS_CFS]]="",WWWW[[#This Row],['#_students at TLS_CFS]]=0),"No","Yes")</f>
        <v>No</v>
      </c>
      <c r="EB26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62" s="566">
        <f>WWWW[[#This Row],[%_of_affected_people_surveyed_who_report_feeling_satistfied_with_the_latrine_design_and_sanitation_service]]*WWWW[[#This Row],[Total PoP ]]</f>
        <v>0</v>
      </c>
      <c r="ED262" s="566">
        <f>WWWW[[#This Row],[%_of_affected_people_surveyed_who_report_feeling_satistfied_with_the_water_point_design_and_water_service]]*WWWW[[#This Row],[Total PoP ]]</f>
        <v>0</v>
      </c>
      <c r="EE262" s="566">
        <f>WWWW[[#This Row],[%_of_complaints_received_that_result_in_timely_corrective_action_and_feedback_to_the_community]]*WWWW[[#This Row],[Total PoP ]]</f>
        <v>0</v>
      </c>
      <c r="EF26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6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6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62" s="953" t="str">
        <f>VLOOKUP(WWWW[[#This Row],[Site Name]],SiteDB6[[Site Name]:[CCCM Management]],6,FALSE)</f>
        <v>Yes</v>
      </c>
      <c r="EJ262" s="953" t="str">
        <f>VLOOKUP(WWWW[[#This Row],[Site Name]],SiteDB6[[Site Name]:[CCCM Focal Agency]],7,FALSE)</f>
        <v>KBC-MYT</v>
      </c>
      <c r="EK262" s="953" t="str">
        <f>VLOOKUP(WWWW[[#This Row],[Site Name]],SiteDB6[[Site Name]:[Location Type 1]],9,FALSE)</f>
        <v>Camp</v>
      </c>
      <c r="EL262" s="953" t="str">
        <f>VLOOKUP(WWWW[[#This Row],[Site Name]],SiteDB6[[Site Name]:[Type of Accommodation]],10,FALSE)</f>
        <v>Camp</v>
      </c>
      <c r="EM262" s="953" t="str">
        <f>VLOOKUP(WWWW[[#This Row],[Site Name]],SiteDB6[[Site Name]:[Ethnic or GCA/NGCA]],11,FALSE)</f>
        <v>GCA</v>
      </c>
      <c r="EN262" s="953">
        <f>VLOOKUP(WWWW[[#This Row],[Site Name]],SiteDB6[[Site Name]:[Lat]],12,FALSE)</f>
        <v>25.305669999999999</v>
      </c>
      <c r="EO262" s="953">
        <f>VLOOKUP(WWWW[[#This Row],[Site Name]],SiteDB6[[Site Name]:[Long]],13,FALSE)</f>
        <v>96.922619999999995</v>
      </c>
      <c r="EP262" s="953" t="str">
        <f>VLOOKUP(WWWW[[#This Row],[Site Name]],SiteDB6[[Site Name]:[Pcode]],3,FALSE)</f>
        <v>MMR001CMP078</v>
      </c>
      <c r="EQ262" s="958" t="str">
        <f t="shared" si="5"/>
        <v>Covered</v>
      </c>
      <c r="ER262" s="950" t="s">
        <v>3126</v>
      </c>
      <c r="ES262" s="950" t="s">
        <v>3269</v>
      </c>
      <c r="ET262" s="953">
        <f>VLOOKUP(WWWW[[#This Row],[Site Name]],SiteDB6[[Site Name]:[Pop
(Kachin/Shan-CCCM as of May 2023)]],16,FALSE)</f>
        <v>13</v>
      </c>
      <c r="EU262" s="953">
        <f>VLOOKUP(WWWW[[#This Row],[Site Name]],SiteDB6[[Site Name]:[Pop
(Kachin/Shan-CCCM as of May 2023)]],17,FALSE)</f>
        <v>77</v>
      </c>
    </row>
    <row r="263" spans="1:151">
      <c r="A263" s="946" t="s">
        <v>2962</v>
      </c>
      <c r="B263" s="938" t="s">
        <v>3347</v>
      </c>
      <c r="C263" s="938" t="s">
        <v>3347</v>
      </c>
      <c r="D263" s="1005" t="s">
        <v>241</v>
      </c>
      <c r="E263" s="1005" t="s">
        <v>37</v>
      </c>
      <c r="F263" s="1005" t="s">
        <v>152</v>
      </c>
      <c r="G263" s="902" t="str">
        <f>VLOOKUP(WWWW[[#This Row],[Site Name]],SiteDB6[[Site Name]:[Location Type]],8,FALSE)</f>
        <v>Camp</v>
      </c>
      <c r="H263" s="1005" t="s">
        <v>1608</v>
      </c>
      <c r="I263" s="954">
        <v>15</v>
      </c>
      <c r="J263" s="954">
        <v>74</v>
      </c>
      <c r="K263" s="955">
        <v>44811</v>
      </c>
      <c r="L263" s="956">
        <v>45175</v>
      </c>
      <c r="M263" s="954"/>
      <c r="N263" s="954">
        <v>1</v>
      </c>
      <c r="O263" s="954"/>
      <c r="P263" s="954"/>
      <c r="Q263" s="957" t="s">
        <v>41</v>
      </c>
      <c r="R263" s="954">
        <v>2</v>
      </c>
      <c r="S263" s="954">
        <v>3</v>
      </c>
      <c r="T263" s="441"/>
      <c r="U263" s="954"/>
      <c r="V263" s="954"/>
      <c r="W263" s="976">
        <v>2</v>
      </c>
      <c r="X263" s="954"/>
      <c r="Y263" s="954"/>
      <c r="Z263" s="954"/>
      <c r="AA263" s="954"/>
      <c r="AB263" s="954"/>
      <c r="AC263" s="954"/>
      <c r="AD263" s="954"/>
      <c r="AE263" s="954"/>
      <c r="AF263" s="954"/>
      <c r="AG263" s="954"/>
      <c r="AH263" s="976">
        <v>2</v>
      </c>
      <c r="AI263" s="954"/>
      <c r="AJ263" s="954"/>
      <c r="AK263" s="954"/>
      <c r="AL263" s="954"/>
      <c r="AM263" s="954"/>
      <c r="AN263" s="954"/>
      <c r="AO263" s="441"/>
      <c r="AP263" s="958"/>
      <c r="AQ263" s="954">
        <v>3</v>
      </c>
      <c r="AR263" s="954"/>
      <c r="AS263" s="959"/>
      <c r="AT263" s="954"/>
      <c r="AU263" s="954"/>
      <c r="AV263" s="954"/>
      <c r="AW263" s="954"/>
      <c r="AX263" s="954">
        <v>3</v>
      </c>
      <c r="AY263" s="953" t="s">
        <v>41</v>
      </c>
      <c r="AZ263" s="958" t="s">
        <v>137</v>
      </c>
      <c r="BA263" s="954"/>
      <c r="BB263" s="954"/>
      <c r="BC263" s="954"/>
      <c r="BD263" s="441"/>
      <c r="BE263" s="441"/>
      <c r="BF263" s="953"/>
      <c r="BG263" s="954">
        <v>2</v>
      </c>
      <c r="BH263" s="954"/>
      <c r="BI263" s="954"/>
      <c r="BJ263" s="954">
        <v>2</v>
      </c>
      <c r="BK263" s="954">
        <v>1</v>
      </c>
      <c r="BL263" s="954"/>
      <c r="BM263" s="954">
        <v>1</v>
      </c>
      <c r="BN263" s="954"/>
      <c r="BO263" s="954"/>
      <c r="BP263" s="953"/>
      <c r="BQ263" s="960"/>
      <c r="BR263" s="959"/>
      <c r="BS263" s="953"/>
      <c r="BT263" s="416"/>
      <c r="BU263" s="416"/>
      <c r="BV263" s="418"/>
      <c r="BW263" s="416"/>
      <c r="BX263" s="441"/>
      <c r="BY263" s="441"/>
      <c r="BZ263" s="441"/>
      <c r="CA263" s="441"/>
      <c r="CB263" s="441"/>
      <c r="CC263" s="693"/>
      <c r="CD263" s="441"/>
      <c r="CE263" s="961" t="str">
        <f>IFERROR(WWWW[[#This Row],['#_Water sources passed]]/WWWW[[#This Row],['#_Water sources tested for fecal coliform ]],"no test")</f>
        <v>no test</v>
      </c>
      <c r="CF263" s="959" t="str">
        <f>IFERROR(WWWW[[#This Row],['#_Household passed]]/WWWW[[#This Row],['#_Household water samples tested for fecal coliform]],"no test")</f>
        <v>no test</v>
      </c>
      <c r="CG263" s="960" t="str">
        <f>IF(AND(WWWW[[#This Row],[% of water sources passed]]="no test",WWWW[[#This Row],[% Household passed]]="no test"),"No Test","Tested")</f>
        <v>No Test</v>
      </c>
      <c r="CH263" s="960">
        <f>WWWW[[#This Row],['#_Constructed/existing protected hand dug well]]-WWWW[[#This Row],['#_Non-functional protected hand dug well]]</f>
        <v>0</v>
      </c>
      <c r="CI263" s="960">
        <f>(WWWW[[#This Row],['#_Constructed/Existing tube wells/boreholes/handpumps_WASH_agency]]+WWWW[[#This Row],['#_Non-Cluster partner water tube-wells/boreholes/handpumps]])-WWWW[[#This Row],['#_Non-functional tube wells/boreholes/handpumps]]</f>
        <v>2</v>
      </c>
      <c r="CJ263" s="960">
        <f>WWWW[[#This Row],['#_Constructed/Existingwater storage tank with gravity fed reticulation system]]-WWWW[[#This Row],['#_Non-functional storage tank gravity fed reticulation system]]</f>
        <v>0</v>
      </c>
      <c r="CK263" s="960">
        <f>(WWWW[[#This Row],['#_Water_Liters_supplied_by_Water boating or water trucking]]/90)/15</f>
        <v>0</v>
      </c>
      <c r="CL263" s="960">
        <f>WWWW[[#This Row],['#_Water_Liters_from_Constructed/Existing water distribution system from river or natural spring]]/90/15</f>
        <v>0</v>
      </c>
      <c r="CM263" s="417">
        <f>IF(WWWW[[#This Row],['#_of water points in TLS/CFS]]*500&gt;WWWW[[#This Row],[Total PoP ]],WWWW[[#This Row],[Total PoP ]],WWWW[[#This Row],['#_of water points in TLS/CFS]]*500)</f>
        <v>0</v>
      </c>
      <c r="CN263" s="417">
        <f>IF(WWWW[[#This Row],['#_of water points in THF]]*500&gt;WWWW[[#This Row],[Total PoP ]],WWWW[[#This Row],[Total PoP ]],WWWW[[#This Row],['#_of water points in THF]]*500)</f>
        <v>0</v>
      </c>
      <c r="CO263" s="417"/>
      <c r="CP263"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63"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63" s="959">
        <f>IF(WWWW[[#This Row],[Location Type 1]]="Village",WWWW[[#This Row],[Access to safe drinking water for Village]],WWWW[[#This Row],[Access to safe drinking water for Camp]])</f>
        <v>1</v>
      </c>
      <c r="CS263" s="957">
        <f>WWWW[[#This Row],[%Equitable and continuous access to sufficient quantity of safe drinking water]]*WWWW[[#This Row],[Total PoP ]]</f>
        <v>74</v>
      </c>
      <c r="CT263" s="959">
        <f>IF((WWWW[[#This Row],['#_Constructed/Existing protected/fenced ponds]]*250)/WWWW[[#This Row],[Total PoP ]]&gt;1,1,(WWWW[[#This Row],['#_Constructed/Existing protected/fenced ponds]]*250)/WWWW[[#This Row],[Total PoP ]])</f>
        <v>0</v>
      </c>
      <c r="CU263" s="957">
        <f>WWWW[[#This Row],[% Access to unimproved water points]]*WWWW[[#This Row],[Total PoP ]]</f>
        <v>0</v>
      </c>
      <c r="CV263"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63"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v>
      </c>
      <c r="CX263" s="957">
        <f>WWWW[[#This Row],[HRP1]]/500</f>
        <v>0.14799999999999999</v>
      </c>
      <c r="CY263" s="962">
        <f>1-WWWW[[#This Row],[% Equitable and continuous access to sufficient quantity of domestic water]]</f>
        <v>0</v>
      </c>
      <c r="CZ263" s="957">
        <f>WWWW[[#This Row],[%equitable and continuous access to sufficient quantity of safe drinking and domestic water''s GAP]]*WWWW[[#This Row],[Total PoP ]]</f>
        <v>0</v>
      </c>
      <c r="DA263" s="960">
        <f>IF(WWWW[[#This Row],[Total required water points]]-WWWW[[#This Row],['#Water points coverage]]&lt;0,0,WWWW[[#This Row],[Total required water points]]-WWWW[[#This Row],['#Water points coverage]])</f>
        <v>0.85199999999999998</v>
      </c>
      <c r="DB263" s="960">
        <f>ROUND(IF(WWWW[[#This Row],[Total PoP ]]&lt;500,1,WWWW[[#This Row],[Total PoP ]]/500),0)</f>
        <v>1</v>
      </c>
      <c r="DC263" s="960">
        <f>(WWWW[[#This Row],['#_Constructed latrines_by_WASHAgencies]]+WWWW[[#This Row],['#_Non Cluster partner latrines]])-WWWW[[#This Row],['#_Non-functional latrines]]</f>
        <v>3</v>
      </c>
      <c r="DD263" s="615">
        <f>WWWW[[#This Row],[HRP2]]/WWWW[[#This Row],[Total PoP ]]</f>
        <v>0.81081081081081086</v>
      </c>
      <c r="DE263"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60</v>
      </c>
      <c r="DF263"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63"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63" s="417">
        <f>IF(WWWW[[#This Row],['# of functional latrines in THF supported by WASH partners during the reporting period2]]="",0,WWWW[[#This Row],['# of functional latrines in THF supported by WASH partners during the reporting period2]]*50)</f>
        <v>0</v>
      </c>
      <c r="DI263" s="960">
        <f>ROUND(IF(WWWW[[#This Row],[Location Type 1]]="camp",WWWW[[#This Row],[Total PoP ]]/20,IF(WWWW[[#This Row],[Location Type 1]]="Temporary Location",WWWW[[#This Row],[Total PoP ]]/50,(WWWW[[#This Row],[Total PoP ]]/6))),0)</f>
        <v>4</v>
      </c>
      <c r="DJ263" s="960">
        <f>IF(WWWW[[#This Row],[Total required Latrines]]-(WWWW[[#This Row],['#_Constructed latrines_by_WASHAgencies]]+WWWW[[#This Row],['#_Non Cluster partner latrines]])&lt;0,0,WWWW[[#This Row],[Total required Latrines]]-(WWWW[[#This Row],['#_Constructed latrines_by_WASHAgencies]]+WWWW[[#This Row],['#_Non Cluster partner latrines]]))</f>
        <v>1</v>
      </c>
      <c r="DK263" s="962">
        <f>1-WWWW[[#This Row],[% people access to functioning Latrine]]</f>
        <v>0.18918918918918914</v>
      </c>
      <c r="DL263" s="961">
        <f>IF(OR(WWWW[[#This Row],['#_Non-functional latrines]]="",WWWW[[#This Row],['#_Non-functional latrines]]=0),0,WWWW[[#This Row],['#_Non-functional latrines]]/(WWWW[[#This Row],['#_Constructed latrines_by_WASHAgencies]]+WWWW[[#This Row],['#_Non Cluster partner latrines]]))</f>
        <v>0</v>
      </c>
      <c r="DM263" s="957">
        <f>IF(500*(WWWW[[#This Row],['#_male hygiene promoters]]+WWWW[[#This Row],['#_female hygiene promoters]])&gt;WWWW[[#This Row],[Total PoP ]],WWWW[[#This Row],[Total PoP ]],500*(WWWW[[#This Row],['#_male hygiene promoters]]+WWWW[[#This Row],['#_female hygiene promoters]]))</f>
        <v>74</v>
      </c>
      <c r="DN263"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63"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63" s="960">
        <f>IF(WWWW[[#This Row],['# People with access to soap]]&gt;WWWW[[#This Row],['# People with access to Sanity Pads]],WWWW[[#This Row],['# People with access to soap]],WWWW[[#This Row],['# People with access to Sanity Pads]])</f>
        <v>0</v>
      </c>
      <c r="DQ263" s="960">
        <f>IF(WWWW[[#This Row],['# people reached by regular dedicated hygiene promotion_5]]&gt;WWWW[[#This Row],['# People received regular supply of hygiene items_6]],WWWW[[#This Row],['# people reached by regular dedicated hygiene promotion_5]],WWWW[[#This Row],['# People received regular supply of hygiene items_6]])</f>
        <v>74</v>
      </c>
      <c r="DR263" s="962">
        <f>IF(WWWW[[#This Row],[HRP3]]/WWWW[[#This Row],[Total PoP ]]&gt;1,1,WWWW[[#This Row],[HRP3]]/WWWW[[#This Row],[Total PoP ]])</f>
        <v>1</v>
      </c>
      <c r="DS263" s="961">
        <f>1-WWWW[[#This Row],[Hygiene Coverage%]]</f>
        <v>0</v>
      </c>
      <c r="DT263" s="959">
        <f>WWWW[[#This Row],['# people reached by regular dedicated hygiene promotion_5]]/WWWW[[#This Row],[Total PoP ]]</f>
        <v>1</v>
      </c>
      <c r="DU263"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63"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63" s="960">
        <f>WWWW[[#This Row],['#_Constructed/Existing hand washing stations]]-WWWW[[#This Row],['#_Non-Functional_hand_washing_stations]]</f>
        <v>2</v>
      </c>
      <c r="DX263" s="957">
        <f>IF(WWWW[[#This Row],['# Functional hand washing stations during reporting period]]*20&gt;WWWW[[#This Row],[Total HH]],WWWW[[#This Row],[Total HH]],WWWW[[#This Row],['# Functional hand washing stations during reporting period]]*20)</f>
        <v>15</v>
      </c>
      <c r="DY263" s="957">
        <f>IF(WWWW[[#This Row],[Is sufficient soap available for TLS? (Yes/No)]]="yes",WWWW[[#This Row],['#_Constructed/Existing hand washing stations at TLS/CFS/THF]],0)</f>
        <v>0</v>
      </c>
      <c r="DZ263" s="421">
        <f>IF(WWWW[[#This Row],['# Functional hand washing stations during reporting period]]*100&gt;WWWW[[#This Row],[Total PoP ]],WWWW[[#This Row],[Total PoP ]],WWWW[[#This Row],['# Functional hand washing stations during reporting period]]*100)</f>
        <v>74</v>
      </c>
      <c r="EA263" s="421" t="str">
        <f>IF(OR(WWWW[[#This Row],['#_students at TLS_CFS]]="",WWWW[[#This Row],['#_students at TLS_CFS]]=0),"No","Yes")</f>
        <v>No</v>
      </c>
      <c r="EB26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63" s="566">
        <f>WWWW[[#This Row],[%_of_affected_people_surveyed_who_report_feeling_satistfied_with_the_latrine_design_and_sanitation_service]]*WWWW[[#This Row],[Total PoP ]]</f>
        <v>0</v>
      </c>
      <c r="ED263" s="566">
        <f>WWWW[[#This Row],[%_of_affected_people_surveyed_who_report_feeling_satistfied_with_the_water_point_design_and_water_service]]*WWWW[[#This Row],[Total PoP ]]</f>
        <v>0</v>
      </c>
      <c r="EE263" s="566">
        <f>WWWW[[#This Row],[%_of_complaints_received_that_result_in_timely_corrective_action_and_feedback_to_the_community]]*WWWW[[#This Row],[Total PoP ]]</f>
        <v>0</v>
      </c>
      <c r="EF26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6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6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63" s="953" t="str">
        <f>VLOOKUP(WWWW[[#This Row],[Site Name]],SiteDB6[[Site Name]:[CCCM Management]],6,FALSE)</f>
        <v>Yes</v>
      </c>
      <c r="EJ263" s="953" t="str">
        <f>VLOOKUP(WWWW[[#This Row],[Site Name]],SiteDB6[[Site Name]:[CCCM Focal Agency]],7,FALSE)</f>
        <v>KBC-MYT</v>
      </c>
      <c r="EK263" s="953" t="str">
        <f>VLOOKUP(WWWW[[#This Row],[Site Name]],SiteDB6[[Site Name]:[Location Type 1]],9,FALSE)</f>
        <v>Camp</v>
      </c>
      <c r="EL263" s="953" t="str">
        <f>VLOOKUP(WWWW[[#This Row],[Site Name]],SiteDB6[[Site Name]:[Type of Accommodation]],10,FALSE)</f>
        <v>Camp</v>
      </c>
      <c r="EM263" s="953" t="str">
        <f>VLOOKUP(WWWW[[#This Row],[Site Name]],SiteDB6[[Site Name]:[Ethnic or GCA/NGCA]],11,FALSE)</f>
        <v>GCA</v>
      </c>
      <c r="EN263" s="953">
        <f>VLOOKUP(WWWW[[#This Row],[Site Name]],SiteDB6[[Site Name]:[Lat]],12,FALSE)</f>
        <v>25.296579999999999</v>
      </c>
      <c r="EO263" s="953">
        <f>VLOOKUP(WWWW[[#This Row],[Site Name]],SiteDB6[[Site Name]:[Long]],13,FALSE)</f>
        <v>96.942279999999997</v>
      </c>
      <c r="EP263" s="953" t="str">
        <f>VLOOKUP(WWWW[[#This Row],[Site Name]],SiteDB6[[Site Name]:[Pcode]],3,FALSE)</f>
        <v>MMR001CMP077</v>
      </c>
      <c r="EQ263" s="958" t="str">
        <f t="shared" si="5"/>
        <v>Covered</v>
      </c>
      <c r="ER263" s="950" t="s">
        <v>3126</v>
      </c>
      <c r="ES263" s="950" t="s">
        <v>3267</v>
      </c>
      <c r="ET263" s="953">
        <f>VLOOKUP(WWWW[[#This Row],[Site Name]],SiteDB6[[Site Name]:[Pop
(Kachin/Shan-CCCM as of May 2023)]],16,FALSE)</f>
        <v>16</v>
      </c>
      <c r="EU263" s="953">
        <f>VLOOKUP(WWWW[[#This Row],[Site Name]],SiteDB6[[Site Name]:[Pop
(Kachin/Shan-CCCM as of May 2023)]],17,FALSE)</f>
        <v>74</v>
      </c>
    </row>
    <row r="264" spans="1:151">
      <c r="A264" s="946" t="s">
        <v>2962</v>
      </c>
      <c r="B264" s="938" t="s">
        <v>3347</v>
      </c>
      <c r="C264" s="938" t="s">
        <v>3347</v>
      </c>
      <c r="D264" s="1005" t="s">
        <v>241</v>
      </c>
      <c r="E264" s="1005" t="s">
        <v>37</v>
      </c>
      <c r="F264" s="1005" t="s">
        <v>152</v>
      </c>
      <c r="G264" s="902" t="str">
        <f>VLOOKUP(WWWW[[#This Row],[Site Name]],SiteDB6[[Site Name]:[Location Type]],8,FALSE)</f>
        <v>Camp</v>
      </c>
      <c r="H264" s="1005" t="s">
        <v>1607</v>
      </c>
      <c r="I264" s="954">
        <v>112</v>
      </c>
      <c r="J264" s="954">
        <v>325</v>
      </c>
      <c r="K264" s="955">
        <v>44811</v>
      </c>
      <c r="L264" s="956">
        <v>45175</v>
      </c>
      <c r="M264" s="954"/>
      <c r="N264" s="954">
        <v>2</v>
      </c>
      <c r="O264" s="954"/>
      <c r="P264" s="954"/>
      <c r="Q264" s="957" t="s">
        <v>41</v>
      </c>
      <c r="R264" s="954">
        <v>1</v>
      </c>
      <c r="S264" s="954">
        <v>2</v>
      </c>
      <c r="T264" s="441">
        <v>2</v>
      </c>
      <c r="U264" s="954"/>
      <c r="V264" s="954"/>
      <c r="W264" s="954">
        <v>3</v>
      </c>
      <c r="X264" s="954"/>
      <c r="Y264" s="954"/>
      <c r="Z264" s="954"/>
      <c r="AA264" s="954"/>
      <c r="AB264" s="954"/>
      <c r="AC264" s="954"/>
      <c r="AD264" s="954"/>
      <c r="AE264" s="954"/>
      <c r="AF264" s="954"/>
      <c r="AG264" s="954"/>
      <c r="AH264" s="976">
        <v>5</v>
      </c>
      <c r="AI264" s="954"/>
      <c r="AJ264" s="954"/>
      <c r="AK264" s="954"/>
      <c r="AL264" s="954"/>
      <c r="AM264" s="954"/>
      <c r="AN264" s="954"/>
      <c r="AO264" s="441"/>
      <c r="AP264" s="958"/>
      <c r="AQ264" s="954">
        <v>20</v>
      </c>
      <c r="AR264" s="954"/>
      <c r="AS264" s="959"/>
      <c r="AT264" s="954"/>
      <c r="AU264" s="954"/>
      <c r="AV264" s="954"/>
      <c r="AW264" s="954"/>
      <c r="AX264" s="954">
        <v>12</v>
      </c>
      <c r="AY264" s="953" t="s">
        <v>41</v>
      </c>
      <c r="AZ264" s="958" t="s">
        <v>137</v>
      </c>
      <c r="BA264" s="954"/>
      <c r="BB264" s="954"/>
      <c r="BC264" s="954"/>
      <c r="BD264" s="441"/>
      <c r="BE264" s="441"/>
      <c r="BF264" s="953"/>
      <c r="BG264" s="954">
        <v>4</v>
      </c>
      <c r="BH264" s="954"/>
      <c r="BI264" s="954"/>
      <c r="BJ264" s="954">
        <v>5</v>
      </c>
      <c r="BK264" s="954"/>
      <c r="BL264" s="954">
        <v>2</v>
      </c>
      <c r="BM264" s="954">
        <v>1</v>
      </c>
      <c r="BN264" s="954"/>
      <c r="BO264" s="954"/>
      <c r="BP264" s="953"/>
      <c r="BQ264" s="960"/>
      <c r="BR264" s="959"/>
      <c r="BS264" s="953"/>
      <c r="BT264" s="416"/>
      <c r="BU264" s="416"/>
      <c r="BV264" s="418"/>
      <c r="BW264" s="416"/>
      <c r="BX264" s="441"/>
      <c r="BY264" s="441"/>
      <c r="BZ264" s="441"/>
      <c r="CA264" s="441"/>
      <c r="CB264" s="441"/>
      <c r="CC264" s="693"/>
      <c r="CD264" s="441"/>
      <c r="CE264" s="961" t="str">
        <f>IFERROR(WWWW[[#This Row],['#_Water sources passed]]/WWWW[[#This Row],['#_Water sources tested for fecal coliform ]],"no test")</f>
        <v>no test</v>
      </c>
      <c r="CF264" s="959" t="str">
        <f>IFERROR(WWWW[[#This Row],['#_Household passed]]/WWWW[[#This Row],['#_Household water samples tested for fecal coliform]],"no test")</f>
        <v>no test</v>
      </c>
      <c r="CG264" s="960" t="str">
        <f>IF(AND(WWWW[[#This Row],[% of water sources passed]]="no test",WWWW[[#This Row],[% Household passed]]="no test"),"No Test","Tested")</f>
        <v>No Test</v>
      </c>
      <c r="CH264" s="960">
        <f>WWWW[[#This Row],['#_Constructed/existing protected hand dug well]]-WWWW[[#This Row],['#_Non-functional protected hand dug well]]</f>
        <v>2</v>
      </c>
      <c r="CI264" s="960">
        <f>(WWWW[[#This Row],['#_Constructed/Existing tube wells/boreholes/handpumps_WASH_agency]]+WWWW[[#This Row],['#_Non-Cluster partner water tube-wells/boreholes/handpumps]])-WWWW[[#This Row],['#_Non-functional tube wells/boreholes/handpumps]]</f>
        <v>3</v>
      </c>
      <c r="CJ264" s="960">
        <f>WWWW[[#This Row],['#_Constructed/Existingwater storage tank with gravity fed reticulation system]]-WWWW[[#This Row],['#_Non-functional storage tank gravity fed reticulation system]]</f>
        <v>0</v>
      </c>
      <c r="CK264" s="960">
        <f>(WWWW[[#This Row],['#_Water_Liters_supplied_by_Water boating or water trucking]]/90)/15</f>
        <v>0</v>
      </c>
      <c r="CL264" s="960">
        <f>WWWW[[#This Row],['#_Water_Liters_from_Constructed/Existing water distribution system from river or natural spring]]/90/15</f>
        <v>0</v>
      </c>
      <c r="CM264" s="417">
        <f>IF(WWWW[[#This Row],['#_of water points in TLS/CFS]]*500&gt;WWWW[[#This Row],[Total PoP ]],WWWW[[#This Row],[Total PoP ]],WWWW[[#This Row],['#_of water points in TLS/CFS]]*500)</f>
        <v>0</v>
      </c>
      <c r="CN264" s="417">
        <f>IF(WWWW[[#This Row],['#_of water points in THF]]*500&gt;WWWW[[#This Row],[Total PoP ]],WWWW[[#This Row],[Total PoP ]],WWWW[[#This Row],['#_of water points in THF]]*500)</f>
        <v>0</v>
      </c>
      <c r="CO264" s="417"/>
      <c r="CP264"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64"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64" s="959">
        <f>IF(WWWW[[#This Row],[Location Type 1]]="Village",WWWW[[#This Row],[Access to safe drinking water for Village]],WWWW[[#This Row],[Access to safe drinking water for Camp]])</f>
        <v>1</v>
      </c>
      <c r="CS264" s="957">
        <f>WWWW[[#This Row],[%Equitable and continuous access to sufficient quantity of safe drinking water]]*WWWW[[#This Row],[Total PoP ]]</f>
        <v>325</v>
      </c>
      <c r="CT264" s="959">
        <f>IF((WWWW[[#This Row],['#_Constructed/Existing protected/fenced ponds]]*250)/WWWW[[#This Row],[Total PoP ]]&gt;1,1,(WWWW[[#This Row],['#_Constructed/Existing protected/fenced ponds]]*250)/WWWW[[#This Row],[Total PoP ]])</f>
        <v>0</v>
      </c>
      <c r="CU264" s="957">
        <f>WWWW[[#This Row],[% Access to unimproved water points]]*WWWW[[#This Row],[Total PoP ]]</f>
        <v>0</v>
      </c>
      <c r="CV264"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64"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325</v>
      </c>
      <c r="CX264" s="957">
        <f>WWWW[[#This Row],[HRP1]]/500</f>
        <v>0.65</v>
      </c>
      <c r="CY264" s="962">
        <f>1-WWWW[[#This Row],[% Equitable and continuous access to sufficient quantity of domestic water]]</f>
        <v>0</v>
      </c>
      <c r="CZ264" s="957">
        <f>WWWW[[#This Row],[%equitable and continuous access to sufficient quantity of safe drinking and domestic water''s GAP]]*WWWW[[#This Row],[Total PoP ]]</f>
        <v>0</v>
      </c>
      <c r="DA264" s="960">
        <f>IF(WWWW[[#This Row],[Total required water points]]-WWWW[[#This Row],['#Water points coverage]]&lt;0,0,WWWW[[#This Row],[Total required water points]]-WWWW[[#This Row],['#Water points coverage]])</f>
        <v>0.35</v>
      </c>
      <c r="DB264" s="960">
        <f>ROUND(IF(WWWW[[#This Row],[Total PoP ]]&lt;500,1,WWWW[[#This Row],[Total PoP ]]/500),0)</f>
        <v>1</v>
      </c>
      <c r="DC264" s="960">
        <f>(WWWW[[#This Row],['#_Constructed latrines_by_WASHAgencies]]+WWWW[[#This Row],['#_Non Cluster partner latrines]])-WWWW[[#This Row],['#_Non-functional latrines]]</f>
        <v>20</v>
      </c>
      <c r="DD264" s="615">
        <f>WWWW[[#This Row],[HRP2]]/WWWW[[#This Row],[Total PoP ]]</f>
        <v>1</v>
      </c>
      <c r="DE264"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325</v>
      </c>
      <c r="DF264"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64"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64" s="417">
        <f>IF(WWWW[[#This Row],['# of functional latrines in THF supported by WASH partners during the reporting period2]]="",0,WWWW[[#This Row],['# of functional latrines in THF supported by WASH partners during the reporting period2]]*50)</f>
        <v>0</v>
      </c>
      <c r="DI264" s="960">
        <f>ROUND(IF(WWWW[[#This Row],[Location Type 1]]="camp",WWWW[[#This Row],[Total PoP ]]/20,IF(WWWW[[#This Row],[Location Type 1]]="Temporary Location",WWWW[[#This Row],[Total PoP ]]/50,(WWWW[[#This Row],[Total PoP ]]/6))),0)</f>
        <v>16</v>
      </c>
      <c r="DJ264" s="960">
        <f>IF(WWWW[[#This Row],[Total required Latrines]]-(WWWW[[#This Row],['#_Constructed latrines_by_WASHAgencies]]+WWWW[[#This Row],['#_Non Cluster partner latrines]])&lt;0,0,WWWW[[#This Row],[Total required Latrines]]-(WWWW[[#This Row],['#_Constructed latrines_by_WASHAgencies]]+WWWW[[#This Row],['#_Non Cluster partner latrines]]))</f>
        <v>0</v>
      </c>
      <c r="DK264" s="962">
        <f>1-WWWW[[#This Row],[% people access to functioning Latrine]]</f>
        <v>0</v>
      </c>
      <c r="DL264" s="961">
        <f>IF(OR(WWWW[[#This Row],['#_Non-functional latrines]]="",WWWW[[#This Row],['#_Non-functional latrines]]=0),0,WWWW[[#This Row],['#_Non-functional latrines]]/(WWWW[[#This Row],['#_Constructed latrines_by_WASHAgencies]]+WWWW[[#This Row],['#_Non Cluster partner latrines]]))</f>
        <v>0</v>
      </c>
      <c r="DM264" s="957">
        <f>IF(500*(WWWW[[#This Row],['#_male hygiene promoters]]+WWWW[[#This Row],['#_female hygiene promoters]])&gt;WWWW[[#This Row],[Total PoP ]],WWWW[[#This Row],[Total PoP ]],500*(WWWW[[#This Row],['#_male hygiene promoters]]+WWWW[[#This Row],['#_female hygiene promoters]]))</f>
        <v>325</v>
      </c>
      <c r="DN264"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64"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64" s="960">
        <f>IF(WWWW[[#This Row],['# People with access to soap]]&gt;WWWW[[#This Row],['# People with access to Sanity Pads]],WWWW[[#This Row],['# People with access to soap]],WWWW[[#This Row],['# People with access to Sanity Pads]])</f>
        <v>0</v>
      </c>
      <c r="DQ264" s="960">
        <f>IF(WWWW[[#This Row],['# people reached by regular dedicated hygiene promotion_5]]&gt;WWWW[[#This Row],['# People received regular supply of hygiene items_6]],WWWW[[#This Row],['# people reached by regular dedicated hygiene promotion_5]],WWWW[[#This Row],['# People received regular supply of hygiene items_6]])</f>
        <v>325</v>
      </c>
      <c r="DR264" s="962">
        <f>IF(WWWW[[#This Row],[HRP3]]/WWWW[[#This Row],[Total PoP ]]&gt;1,1,WWWW[[#This Row],[HRP3]]/WWWW[[#This Row],[Total PoP ]])</f>
        <v>1</v>
      </c>
      <c r="DS264" s="961">
        <f>1-WWWW[[#This Row],[Hygiene Coverage%]]</f>
        <v>0</v>
      </c>
      <c r="DT264" s="959">
        <f>WWWW[[#This Row],['# people reached by regular dedicated hygiene promotion_5]]/WWWW[[#This Row],[Total PoP ]]</f>
        <v>1</v>
      </c>
      <c r="DU264"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64"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64" s="960">
        <f>WWWW[[#This Row],['#_Constructed/Existing hand washing stations]]-WWWW[[#This Row],['#_Non-Functional_hand_washing_stations]]</f>
        <v>4</v>
      </c>
      <c r="DX264" s="957">
        <f>IF(WWWW[[#This Row],['# Functional hand washing stations during reporting period]]*20&gt;WWWW[[#This Row],[Total HH]],WWWW[[#This Row],[Total HH]],WWWW[[#This Row],['# Functional hand washing stations during reporting period]]*20)</f>
        <v>80</v>
      </c>
      <c r="DY264" s="957">
        <f>IF(WWWW[[#This Row],[Is sufficient soap available for TLS? (Yes/No)]]="yes",WWWW[[#This Row],['#_Constructed/Existing hand washing stations at TLS/CFS/THF]],0)</f>
        <v>0</v>
      </c>
      <c r="DZ264" s="421">
        <f>IF(WWWW[[#This Row],['# Functional hand washing stations during reporting period]]*100&gt;WWWW[[#This Row],[Total PoP ]],WWWW[[#This Row],[Total PoP ]],WWWW[[#This Row],['# Functional hand washing stations during reporting period]]*100)</f>
        <v>325</v>
      </c>
      <c r="EA264" s="421" t="str">
        <f>IF(OR(WWWW[[#This Row],['#_students at TLS_CFS]]="",WWWW[[#This Row],['#_students at TLS_CFS]]=0),"No","Yes")</f>
        <v>No</v>
      </c>
      <c r="EB26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64" s="566">
        <f>WWWW[[#This Row],[%_of_affected_people_surveyed_who_report_feeling_satistfied_with_the_latrine_design_and_sanitation_service]]*WWWW[[#This Row],[Total PoP ]]</f>
        <v>0</v>
      </c>
      <c r="ED264" s="566">
        <f>WWWW[[#This Row],[%_of_affected_people_surveyed_who_report_feeling_satistfied_with_the_water_point_design_and_water_service]]*WWWW[[#This Row],[Total PoP ]]</f>
        <v>0</v>
      </c>
      <c r="EE264" s="566">
        <f>WWWW[[#This Row],[%_of_complaints_received_that_result_in_timely_corrective_action_and_feedback_to_the_community]]*WWWW[[#This Row],[Total PoP ]]</f>
        <v>0</v>
      </c>
      <c r="EF26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6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6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64" s="953">
        <f>VLOOKUP(WWWW[[#This Row],[Site Name]],SiteDB6[[Site Name]:[CCCM Management]],6,FALSE)</f>
        <v>0</v>
      </c>
      <c r="EJ264" s="953" t="str">
        <f>VLOOKUP(WWWW[[#This Row],[Site Name]],SiteDB6[[Site Name]:[CCCM Focal Agency]],7,FALSE)</f>
        <v>KBC-MYT</v>
      </c>
      <c r="EK264" s="953" t="str">
        <f>VLOOKUP(WWWW[[#This Row],[Site Name]],SiteDB6[[Site Name]:[Location Type 1]],9,FALSE)</f>
        <v>Camp</v>
      </c>
      <c r="EL264" s="953" t="str">
        <f>VLOOKUP(WWWW[[#This Row],[Site Name]],SiteDB6[[Site Name]:[Type of Accommodation]],10,FALSE)</f>
        <v>Camp</v>
      </c>
      <c r="EM264" s="953" t="str">
        <f>VLOOKUP(WWWW[[#This Row],[Site Name]],SiteDB6[[Site Name]:[Ethnic or GCA/NGCA]],11,FALSE)</f>
        <v>GCA</v>
      </c>
      <c r="EN264" s="953">
        <f>VLOOKUP(WWWW[[#This Row],[Site Name]],SiteDB6[[Site Name]:[Lat]],12,FALSE)</f>
        <v>25.2226</v>
      </c>
      <c r="EO264" s="953">
        <f>VLOOKUP(WWWW[[#This Row],[Site Name]],SiteDB6[[Site Name]:[Long]],13,FALSE)</f>
        <v>97.012299999999996</v>
      </c>
      <c r="EP264" s="953" t="str">
        <f>VLOOKUP(WWWW[[#This Row],[Site Name]],SiteDB6[[Site Name]:[Pcode]],3,FALSE)</f>
        <v>MMR001CMP261</v>
      </c>
      <c r="EQ264" s="958" t="str">
        <f t="shared" si="5"/>
        <v>Covered</v>
      </c>
      <c r="ER264" s="950" t="s">
        <v>3126</v>
      </c>
      <c r="ES264" s="950" t="s">
        <v>3267</v>
      </c>
      <c r="ET264" s="953">
        <f>VLOOKUP(WWWW[[#This Row],[Site Name]],SiteDB6[[Site Name]:[Pop
(Kachin/Shan-CCCM as of May 2023)]],16,FALSE)</f>
        <v>110</v>
      </c>
      <c r="EU264" s="953">
        <f>VLOOKUP(WWWW[[#This Row],[Site Name]],SiteDB6[[Site Name]:[Pop
(Kachin/Shan-CCCM as of May 2023)]],17,FALSE)</f>
        <v>590</v>
      </c>
    </row>
    <row r="265" spans="1:151">
      <c r="A265" s="946" t="s">
        <v>2962</v>
      </c>
      <c r="B265" s="938" t="s">
        <v>3347</v>
      </c>
      <c r="C265" s="1005" t="s">
        <v>3347</v>
      </c>
      <c r="D265" s="1005" t="s">
        <v>241</v>
      </c>
      <c r="E265" s="1005" t="s">
        <v>37</v>
      </c>
      <c r="F265" s="1005" t="s">
        <v>152</v>
      </c>
      <c r="G265" s="902" t="str">
        <f>VLOOKUP(WWWW[[#This Row],[Site Name]],SiteDB6[[Site Name]:[Location Type]],8,FALSE)</f>
        <v>Camp</v>
      </c>
      <c r="H265" s="1005" t="s">
        <v>155</v>
      </c>
      <c r="I265" s="954">
        <v>10</v>
      </c>
      <c r="J265" s="954">
        <v>49</v>
      </c>
      <c r="K265" s="955">
        <v>44811</v>
      </c>
      <c r="L265" s="956">
        <v>45175</v>
      </c>
      <c r="M265" s="954"/>
      <c r="N265" s="954">
        <v>1</v>
      </c>
      <c r="O265" s="954"/>
      <c r="P265" s="954"/>
      <c r="Q265" s="957" t="s">
        <v>41</v>
      </c>
      <c r="R265" s="954">
        <v>2</v>
      </c>
      <c r="S265" s="954">
        <v>1</v>
      </c>
      <c r="T265" s="441"/>
      <c r="U265" s="954"/>
      <c r="V265" s="954"/>
      <c r="W265" s="954">
        <v>2</v>
      </c>
      <c r="X265" s="954"/>
      <c r="Y265" s="954"/>
      <c r="Z265" s="954"/>
      <c r="AA265" s="954"/>
      <c r="AB265" s="954"/>
      <c r="AC265" s="954"/>
      <c r="AD265" s="954"/>
      <c r="AE265" s="954"/>
      <c r="AF265" s="954"/>
      <c r="AG265" s="954"/>
      <c r="AH265" s="954">
        <v>2</v>
      </c>
      <c r="AI265" s="954"/>
      <c r="AJ265" s="954"/>
      <c r="AK265" s="954"/>
      <c r="AL265" s="954"/>
      <c r="AM265" s="954"/>
      <c r="AN265" s="954"/>
      <c r="AO265" s="441"/>
      <c r="AP265" s="958"/>
      <c r="AQ265" s="954">
        <v>4</v>
      </c>
      <c r="AR265" s="954"/>
      <c r="AS265" s="959"/>
      <c r="AT265" s="954">
        <v>2</v>
      </c>
      <c r="AU265" s="954"/>
      <c r="AV265" s="954"/>
      <c r="AW265" s="954"/>
      <c r="AX265" s="954">
        <v>2</v>
      </c>
      <c r="AY265" s="953" t="s">
        <v>41</v>
      </c>
      <c r="AZ265" s="958" t="s">
        <v>137</v>
      </c>
      <c r="BA265" s="954"/>
      <c r="BB265" s="954"/>
      <c r="BC265" s="954"/>
      <c r="BD265" s="441"/>
      <c r="BE265" s="441"/>
      <c r="BF265" s="953"/>
      <c r="BG265" s="954">
        <v>2</v>
      </c>
      <c r="BH265" s="954">
        <v>1</v>
      </c>
      <c r="BI265" s="954"/>
      <c r="BJ265" s="954">
        <v>2</v>
      </c>
      <c r="BK265" s="954"/>
      <c r="BL265" s="954"/>
      <c r="BM265" s="954">
        <v>1</v>
      </c>
      <c r="BN265" s="954"/>
      <c r="BO265" s="954"/>
      <c r="BP265" s="953"/>
      <c r="BQ265" s="960"/>
      <c r="BR265" s="959"/>
      <c r="BS265" s="953"/>
      <c r="BT265" s="416"/>
      <c r="BU265" s="416"/>
      <c r="BV265" s="418"/>
      <c r="BW265" s="416"/>
      <c r="BX265" s="441"/>
      <c r="BY265" s="441"/>
      <c r="BZ265" s="441"/>
      <c r="CA265" s="441"/>
      <c r="CB265" s="441"/>
      <c r="CC265" s="693"/>
      <c r="CD265" s="441"/>
      <c r="CE265" s="961" t="str">
        <f>IFERROR(WWWW[[#This Row],['#_Water sources passed]]/WWWW[[#This Row],['#_Water sources tested for fecal coliform ]],"no test")</f>
        <v>no test</v>
      </c>
      <c r="CF265" s="959" t="str">
        <f>IFERROR(WWWW[[#This Row],['#_Household passed]]/WWWW[[#This Row],['#_Household water samples tested for fecal coliform]],"no test")</f>
        <v>no test</v>
      </c>
      <c r="CG265" s="960" t="str">
        <f>IF(AND(WWWW[[#This Row],[% of water sources passed]]="no test",WWWW[[#This Row],[% Household passed]]="no test"),"No Test","Tested")</f>
        <v>No Test</v>
      </c>
      <c r="CH265" s="960">
        <f>WWWW[[#This Row],['#_Constructed/existing protected hand dug well]]-WWWW[[#This Row],['#_Non-functional protected hand dug well]]</f>
        <v>0</v>
      </c>
      <c r="CI265" s="960">
        <f>(WWWW[[#This Row],['#_Constructed/Existing tube wells/boreholes/handpumps_WASH_agency]]+WWWW[[#This Row],['#_Non-Cluster partner water tube-wells/boreholes/handpumps]])-WWWW[[#This Row],['#_Non-functional tube wells/boreholes/handpumps]]</f>
        <v>2</v>
      </c>
      <c r="CJ265" s="960">
        <f>WWWW[[#This Row],['#_Constructed/Existingwater storage tank with gravity fed reticulation system]]-WWWW[[#This Row],['#_Non-functional storage tank gravity fed reticulation system]]</f>
        <v>0</v>
      </c>
      <c r="CK265" s="960">
        <f>(WWWW[[#This Row],['#_Water_Liters_supplied_by_Water boating or water trucking]]/90)/15</f>
        <v>0</v>
      </c>
      <c r="CL265" s="960">
        <f>WWWW[[#This Row],['#_Water_Liters_from_Constructed/Existing water distribution system from river or natural spring]]/90/15</f>
        <v>0</v>
      </c>
      <c r="CM265" s="417">
        <f>IF(WWWW[[#This Row],['#_of water points in TLS/CFS]]*500&gt;WWWW[[#This Row],[Total PoP ]],WWWW[[#This Row],[Total PoP ]],WWWW[[#This Row],['#_of water points in TLS/CFS]]*500)</f>
        <v>0</v>
      </c>
      <c r="CN265" s="417">
        <f>IF(WWWW[[#This Row],['#_of water points in THF]]*500&gt;WWWW[[#This Row],[Total PoP ]],WWWW[[#This Row],[Total PoP ]],WWWW[[#This Row],['#_of water points in THF]]*500)</f>
        <v>0</v>
      </c>
      <c r="CO265" s="417"/>
      <c r="CP265"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65"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65" s="959">
        <f>IF(WWWW[[#This Row],[Location Type 1]]="Village",WWWW[[#This Row],[Access to safe drinking water for Village]],WWWW[[#This Row],[Access to safe drinking water for Camp]])</f>
        <v>1</v>
      </c>
      <c r="CS265" s="957">
        <f>WWWW[[#This Row],[%Equitable and continuous access to sufficient quantity of safe drinking water]]*WWWW[[#This Row],[Total PoP ]]</f>
        <v>49</v>
      </c>
      <c r="CT265" s="959">
        <f>IF((WWWW[[#This Row],['#_Constructed/Existing protected/fenced ponds]]*250)/WWWW[[#This Row],[Total PoP ]]&gt;1,1,(WWWW[[#This Row],['#_Constructed/Existing protected/fenced ponds]]*250)/WWWW[[#This Row],[Total PoP ]])</f>
        <v>0</v>
      </c>
      <c r="CU265" s="957">
        <f>WWWW[[#This Row],[% Access to unimproved water points]]*WWWW[[#This Row],[Total PoP ]]</f>
        <v>0</v>
      </c>
      <c r="CV265"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65"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v>
      </c>
      <c r="CX265" s="957">
        <f>WWWW[[#This Row],[HRP1]]/500</f>
        <v>9.8000000000000004E-2</v>
      </c>
      <c r="CY265" s="962">
        <f>1-WWWW[[#This Row],[% Equitable and continuous access to sufficient quantity of domestic water]]</f>
        <v>0</v>
      </c>
      <c r="CZ265" s="957">
        <f>WWWW[[#This Row],[%equitable and continuous access to sufficient quantity of safe drinking and domestic water''s GAP]]*WWWW[[#This Row],[Total PoP ]]</f>
        <v>0</v>
      </c>
      <c r="DA265" s="960">
        <f>IF(WWWW[[#This Row],[Total required water points]]-WWWW[[#This Row],['#Water points coverage]]&lt;0,0,WWWW[[#This Row],[Total required water points]]-WWWW[[#This Row],['#Water points coverage]])</f>
        <v>0.90200000000000002</v>
      </c>
      <c r="DB265" s="960">
        <f>ROUND(IF(WWWW[[#This Row],[Total PoP ]]&lt;500,1,WWWW[[#This Row],[Total PoP ]]/500),0)</f>
        <v>1</v>
      </c>
      <c r="DC265" s="960">
        <f>(WWWW[[#This Row],['#_Constructed latrines_by_WASHAgencies]]+WWWW[[#This Row],['#_Non Cluster partner latrines]])-WWWW[[#This Row],['#_Non-functional latrines]]</f>
        <v>2</v>
      </c>
      <c r="DD265" s="615">
        <f>WWWW[[#This Row],[HRP2]]/WWWW[[#This Row],[Total PoP ]]</f>
        <v>0.81632653061224492</v>
      </c>
      <c r="DE265"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265"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65"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65" s="417">
        <f>IF(WWWW[[#This Row],['# of functional latrines in THF supported by WASH partners during the reporting period2]]="",0,WWWW[[#This Row],['# of functional latrines in THF supported by WASH partners during the reporting period2]]*50)</f>
        <v>0</v>
      </c>
      <c r="DI265" s="960">
        <f>ROUND(IF(WWWW[[#This Row],[Location Type 1]]="camp",WWWW[[#This Row],[Total PoP ]]/20,IF(WWWW[[#This Row],[Location Type 1]]="Temporary Location",WWWW[[#This Row],[Total PoP ]]/50,(WWWW[[#This Row],[Total PoP ]]/6))),0)</f>
        <v>2</v>
      </c>
      <c r="DJ265" s="960">
        <f>IF(WWWW[[#This Row],[Total required Latrines]]-(WWWW[[#This Row],['#_Constructed latrines_by_WASHAgencies]]+WWWW[[#This Row],['#_Non Cluster partner latrines]])&lt;0,0,WWWW[[#This Row],[Total required Latrines]]-(WWWW[[#This Row],['#_Constructed latrines_by_WASHAgencies]]+WWWW[[#This Row],['#_Non Cluster partner latrines]]))</f>
        <v>0</v>
      </c>
      <c r="DK265" s="962">
        <f>1-WWWW[[#This Row],[% people access to functioning Latrine]]</f>
        <v>0.18367346938775508</v>
      </c>
      <c r="DL265" s="961">
        <f>IF(OR(WWWW[[#This Row],['#_Non-functional latrines]]="",WWWW[[#This Row],['#_Non-functional latrines]]=0),0,WWWW[[#This Row],['#_Non-functional latrines]]/(WWWW[[#This Row],['#_Constructed latrines_by_WASHAgencies]]+WWWW[[#This Row],['#_Non Cluster partner latrines]]))</f>
        <v>0.5</v>
      </c>
      <c r="DM265" s="957">
        <f>IF(500*(WWWW[[#This Row],['#_male hygiene promoters]]+WWWW[[#This Row],['#_female hygiene promoters]])&gt;WWWW[[#This Row],[Total PoP ]],WWWW[[#This Row],[Total PoP ]],500*(WWWW[[#This Row],['#_male hygiene promoters]]+WWWW[[#This Row],['#_female hygiene promoters]]))</f>
        <v>49</v>
      </c>
      <c r="DN265"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65"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65" s="960">
        <f>IF(WWWW[[#This Row],['# People with access to soap]]&gt;WWWW[[#This Row],['# People with access to Sanity Pads]],WWWW[[#This Row],['# People with access to soap]],WWWW[[#This Row],['# People with access to Sanity Pads]])</f>
        <v>0</v>
      </c>
      <c r="DQ265" s="960">
        <f>IF(WWWW[[#This Row],['# people reached by regular dedicated hygiene promotion_5]]&gt;WWWW[[#This Row],['# People received regular supply of hygiene items_6]],WWWW[[#This Row],['# people reached by regular dedicated hygiene promotion_5]],WWWW[[#This Row],['# People received regular supply of hygiene items_6]])</f>
        <v>49</v>
      </c>
      <c r="DR265" s="962">
        <f>IF(WWWW[[#This Row],[HRP3]]/WWWW[[#This Row],[Total PoP ]]&gt;1,1,WWWW[[#This Row],[HRP3]]/WWWW[[#This Row],[Total PoP ]])</f>
        <v>1</v>
      </c>
      <c r="DS265" s="961">
        <f>1-WWWW[[#This Row],[Hygiene Coverage%]]</f>
        <v>0</v>
      </c>
      <c r="DT265" s="959">
        <f>WWWW[[#This Row],['# people reached by regular dedicated hygiene promotion_5]]/WWWW[[#This Row],[Total PoP ]]</f>
        <v>1</v>
      </c>
      <c r="DU265"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65"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65" s="960">
        <f>WWWW[[#This Row],['#_Constructed/Existing hand washing stations]]-WWWW[[#This Row],['#_Non-Functional_hand_washing_stations]]</f>
        <v>1</v>
      </c>
      <c r="DX265" s="957">
        <f>IF(WWWW[[#This Row],['# Functional hand washing stations during reporting period]]*20&gt;WWWW[[#This Row],[Total HH]],WWWW[[#This Row],[Total HH]],WWWW[[#This Row],['# Functional hand washing stations during reporting period]]*20)</f>
        <v>10</v>
      </c>
      <c r="DY265" s="957">
        <f>IF(WWWW[[#This Row],[Is sufficient soap available for TLS? (Yes/No)]]="yes",WWWW[[#This Row],['#_Constructed/Existing hand washing stations at TLS/CFS/THF]],0)</f>
        <v>0</v>
      </c>
      <c r="DZ265" s="421">
        <f>IF(WWWW[[#This Row],['# Functional hand washing stations during reporting period]]*100&gt;WWWW[[#This Row],[Total PoP ]],WWWW[[#This Row],[Total PoP ]],WWWW[[#This Row],['# Functional hand washing stations during reporting period]]*100)</f>
        <v>49</v>
      </c>
      <c r="EA265" s="421" t="str">
        <f>IF(OR(WWWW[[#This Row],['#_students at TLS_CFS]]="",WWWW[[#This Row],['#_students at TLS_CFS]]=0),"No","Yes")</f>
        <v>No</v>
      </c>
      <c r="EB26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65" s="566">
        <f>WWWW[[#This Row],[%_of_affected_people_surveyed_who_report_feeling_satistfied_with_the_latrine_design_and_sanitation_service]]*WWWW[[#This Row],[Total PoP ]]</f>
        <v>0</v>
      </c>
      <c r="ED265" s="566">
        <f>WWWW[[#This Row],[%_of_affected_people_surveyed_who_report_feeling_satistfied_with_the_water_point_design_and_water_service]]*WWWW[[#This Row],[Total PoP ]]</f>
        <v>0</v>
      </c>
      <c r="EE265" s="566">
        <f>WWWW[[#This Row],[%_of_complaints_received_that_result_in_timely_corrective_action_and_feedback_to_the_community]]*WWWW[[#This Row],[Total PoP ]]</f>
        <v>0</v>
      </c>
      <c r="EF26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6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6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65" s="953" t="str">
        <f>VLOOKUP(WWWW[[#This Row],[Site Name]],SiteDB6[[Site Name]:[CCCM Management]],6,FALSE)</f>
        <v>Yes</v>
      </c>
      <c r="EJ265" s="953" t="str">
        <f>VLOOKUP(WWWW[[#This Row],[Site Name]],SiteDB6[[Site Name]:[CCCM Focal Agency]],7,FALSE)</f>
        <v>KBC-MYT</v>
      </c>
      <c r="EK265" s="953" t="str">
        <f>VLOOKUP(WWWW[[#This Row],[Site Name]],SiteDB6[[Site Name]:[Location Type 1]],9,FALSE)</f>
        <v>Camp</v>
      </c>
      <c r="EL265" s="953" t="str">
        <f>VLOOKUP(WWWW[[#This Row],[Site Name]],SiteDB6[[Site Name]:[Type of Accommodation]],10,FALSE)</f>
        <v>Camp</v>
      </c>
      <c r="EM265" s="953" t="str">
        <f>VLOOKUP(WWWW[[#This Row],[Site Name]],SiteDB6[[Site Name]:[Ethnic or GCA/NGCA]],11,FALSE)</f>
        <v>GCA</v>
      </c>
      <c r="EN265" s="953">
        <f>VLOOKUP(WWWW[[#This Row],[Site Name]],SiteDB6[[Site Name]:[Lat]],12,FALSE)</f>
        <v>25.30442</v>
      </c>
      <c r="EO265" s="953">
        <f>VLOOKUP(WWWW[[#This Row],[Site Name]],SiteDB6[[Site Name]:[Long]],13,FALSE)</f>
        <v>96.948740000000001</v>
      </c>
      <c r="EP265" s="953" t="str">
        <f>VLOOKUP(WWWW[[#This Row],[Site Name]],SiteDB6[[Site Name]:[Pcode]],3,FALSE)</f>
        <v>MMR001CMP079</v>
      </c>
      <c r="EQ265" s="958" t="str">
        <f t="shared" si="5"/>
        <v>Covered</v>
      </c>
      <c r="ER265" s="950" t="s">
        <v>3126</v>
      </c>
      <c r="ES265" s="972" t="s">
        <v>3267</v>
      </c>
      <c r="ET265" s="953">
        <f>VLOOKUP(WWWW[[#This Row],[Site Name]],SiteDB6[[Site Name]:[Pop
(Kachin/Shan-CCCM as of May 2023)]],16,FALSE)</f>
        <v>10</v>
      </c>
      <c r="EU265" s="953">
        <f>VLOOKUP(WWWW[[#This Row],[Site Name]],SiteDB6[[Site Name]:[Pop
(Kachin/Shan-CCCM as of May 2023)]],17,FALSE)</f>
        <v>48</v>
      </c>
    </row>
    <row r="266" spans="1:151">
      <c r="A266" s="946" t="s">
        <v>2962</v>
      </c>
      <c r="B266" s="938" t="s">
        <v>3347</v>
      </c>
      <c r="C266" s="1005" t="s">
        <v>3348</v>
      </c>
      <c r="D266" s="1005" t="s">
        <v>3095</v>
      </c>
      <c r="E266" s="1005" t="s">
        <v>37</v>
      </c>
      <c r="F266" s="1005" t="s">
        <v>152</v>
      </c>
      <c r="G266" s="902" t="str">
        <f>VLOOKUP(WWWW[[#This Row],[Site Name]],SiteDB6[[Site Name]:[Location Type]],8,FALSE)</f>
        <v>Camp</v>
      </c>
      <c r="H266" s="1005" t="s">
        <v>156</v>
      </c>
      <c r="I266" s="954">
        <v>25</v>
      </c>
      <c r="J266" s="954">
        <v>141</v>
      </c>
      <c r="K266" s="955">
        <v>44811</v>
      </c>
      <c r="L266" s="956">
        <v>45175</v>
      </c>
      <c r="M266" s="954"/>
      <c r="N266" s="954">
        <v>1</v>
      </c>
      <c r="O266" s="954"/>
      <c r="P266" s="954"/>
      <c r="Q266" s="957" t="s">
        <v>41</v>
      </c>
      <c r="R266" s="954">
        <v>2</v>
      </c>
      <c r="S266" s="954">
        <v>2</v>
      </c>
      <c r="T266" s="441">
        <v>1</v>
      </c>
      <c r="U266" s="954"/>
      <c r="V266" s="954"/>
      <c r="W266" s="954">
        <v>1</v>
      </c>
      <c r="X266" s="954"/>
      <c r="Y266" s="954"/>
      <c r="Z266" s="954"/>
      <c r="AA266" s="954"/>
      <c r="AB266" s="954"/>
      <c r="AC266" s="954"/>
      <c r="AD266" s="954"/>
      <c r="AE266" s="954"/>
      <c r="AF266" s="954"/>
      <c r="AG266" s="954"/>
      <c r="AH266" s="976">
        <v>2</v>
      </c>
      <c r="AI266" s="954"/>
      <c r="AJ266" s="954"/>
      <c r="AK266" s="954"/>
      <c r="AL266" s="954"/>
      <c r="AM266" s="954"/>
      <c r="AN266" s="954"/>
      <c r="AO266" s="441"/>
      <c r="AP266" s="958"/>
      <c r="AQ266" s="954">
        <v>16</v>
      </c>
      <c r="AR266" s="954"/>
      <c r="AS266" s="959"/>
      <c r="AT266" s="954">
        <v>8</v>
      </c>
      <c r="AU266" s="954"/>
      <c r="AV266" s="954"/>
      <c r="AW266" s="954"/>
      <c r="AX266" s="954">
        <v>8</v>
      </c>
      <c r="AY266" s="953" t="s">
        <v>41</v>
      </c>
      <c r="AZ266" s="958" t="s">
        <v>899</v>
      </c>
      <c r="BA266" s="954"/>
      <c r="BB266" s="954"/>
      <c r="BC266" s="954"/>
      <c r="BD266" s="441"/>
      <c r="BE266" s="441"/>
      <c r="BF266" s="953"/>
      <c r="BG266" s="954">
        <v>4</v>
      </c>
      <c r="BH266" s="954"/>
      <c r="BI266" s="954"/>
      <c r="BJ266" s="954">
        <v>2</v>
      </c>
      <c r="BK266" s="954"/>
      <c r="BL266" s="954"/>
      <c r="BM266" s="954">
        <v>1</v>
      </c>
      <c r="BN266" s="954"/>
      <c r="BO266" s="954"/>
      <c r="BP266" s="953"/>
      <c r="BQ266" s="960"/>
      <c r="BR266" s="959"/>
      <c r="BS266" s="953"/>
      <c r="BT266" s="416"/>
      <c r="BU266" s="416"/>
      <c r="BV266" s="418"/>
      <c r="BW266" s="416"/>
      <c r="BX266" s="441"/>
      <c r="BY266" s="441"/>
      <c r="BZ266" s="441"/>
      <c r="CA266" s="441"/>
      <c r="CB266" s="441"/>
      <c r="CC266" s="693"/>
      <c r="CD266" s="441"/>
      <c r="CE266" s="961" t="str">
        <f>IFERROR(WWWW[[#This Row],['#_Water sources passed]]/WWWW[[#This Row],['#_Water sources tested for fecal coliform ]],"no test")</f>
        <v>no test</v>
      </c>
      <c r="CF266" s="959" t="str">
        <f>IFERROR(WWWW[[#This Row],['#_Household passed]]/WWWW[[#This Row],['#_Household water samples tested for fecal coliform]],"no test")</f>
        <v>no test</v>
      </c>
      <c r="CG266" s="960" t="str">
        <f>IF(AND(WWWW[[#This Row],[% of water sources passed]]="no test",WWWW[[#This Row],[% Household passed]]="no test"),"No Test","Tested")</f>
        <v>No Test</v>
      </c>
      <c r="CH266" s="960">
        <f>WWWW[[#This Row],['#_Constructed/existing protected hand dug well]]-WWWW[[#This Row],['#_Non-functional protected hand dug well]]</f>
        <v>1</v>
      </c>
      <c r="CI266" s="960">
        <f>(WWWW[[#This Row],['#_Constructed/Existing tube wells/boreholes/handpumps_WASH_agency]]+WWWW[[#This Row],['#_Non-Cluster partner water tube-wells/boreholes/handpumps]])-WWWW[[#This Row],['#_Non-functional tube wells/boreholes/handpumps]]</f>
        <v>1</v>
      </c>
      <c r="CJ266" s="960">
        <f>WWWW[[#This Row],['#_Constructed/Existingwater storage tank with gravity fed reticulation system]]-WWWW[[#This Row],['#_Non-functional storage tank gravity fed reticulation system]]</f>
        <v>0</v>
      </c>
      <c r="CK266" s="960">
        <f>(WWWW[[#This Row],['#_Water_Liters_supplied_by_Water boating or water trucking]]/90)/15</f>
        <v>0</v>
      </c>
      <c r="CL266" s="960">
        <f>WWWW[[#This Row],['#_Water_Liters_from_Constructed/Existing water distribution system from river or natural spring]]/90/15</f>
        <v>0</v>
      </c>
      <c r="CM266" s="417">
        <f>IF(WWWW[[#This Row],['#_of water points in TLS/CFS]]*500&gt;WWWW[[#This Row],[Total PoP ]],WWWW[[#This Row],[Total PoP ]],WWWW[[#This Row],['#_of water points in TLS/CFS]]*500)</f>
        <v>0</v>
      </c>
      <c r="CN266" s="417">
        <f>IF(WWWW[[#This Row],['#_of water points in THF]]*500&gt;WWWW[[#This Row],[Total PoP ]],WWWW[[#This Row],[Total PoP ]],WWWW[[#This Row],['#_of water points in THF]]*500)</f>
        <v>0</v>
      </c>
      <c r="CO266" s="417"/>
      <c r="CP266"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66"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66" s="959">
        <f>IF(WWWW[[#This Row],[Location Type 1]]="Village",WWWW[[#This Row],[Access to safe drinking water for Village]],WWWW[[#This Row],[Access to safe drinking water for Camp]])</f>
        <v>1</v>
      </c>
      <c r="CS266" s="957">
        <f>WWWW[[#This Row],[%Equitable and continuous access to sufficient quantity of safe drinking water]]*WWWW[[#This Row],[Total PoP ]]</f>
        <v>141</v>
      </c>
      <c r="CT266" s="959">
        <f>IF((WWWW[[#This Row],['#_Constructed/Existing protected/fenced ponds]]*250)/WWWW[[#This Row],[Total PoP ]]&gt;1,1,(WWWW[[#This Row],['#_Constructed/Existing protected/fenced ponds]]*250)/WWWW[[#This Row],[Total PoP ]])</f>
        <v>0</v>
      </c>
      <c r="CU266" s="957">
        <f>WWWW[[#This Row],[% Access to unimproved water points]]*WWWW[[#This Row],[Total PoP ]]</f>
        <v>0</v>
      </c>
      <c r="CV266"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66"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141</v>
      </c>
      <c r="CX266" s="957">
        <f>WWWW[[#This Row],[HRP1]]/500</f>
        <v>0.28199999999999997</v>
      </c>
      <c r="CY266" s="962">
        <f>1-WWWW[[#This Row],[% Equitable and continuous access to sufficient quantity of domestic water]]</f>
        <v>0</v>
      </c>
      <c r="CZ266" s="957">
        <f>WWWW[[#This Row],[%equitable and continuous access to sufficient quantity of safe drinking and domestic water''s GAP]]*WWWW[[#This Row],[Total PoP ]]</f>
        <v>0</v>
      </c>
      <c r="DA266" s="960">
        <f>IF(WWWW[[#This Row],[Total required water points]]-WWWW[[#This Row],['#Water points coverage]]&lt;0,0,WWWW[[#This Row],[Total required water points]]-WWWW[[#This Row],['#Water points coverage]])</f>
        <v>0.71799999999999997</v>
      </c>
      <c r="DB266" s="960">
        <f>ROUND(IF(WWWW[[#This Row],[Total PoP ]]&lt;500,1,WWWW[[#This Row],[Total PoP ]]/500),0)</f>
        <v>1</v>
      </c>
      <c r="DC266" s="960">
        <f>(WWWW[[#This Row],['#_Constructed latrines_by_WASHAgencies]]+WWWW[[#This Row],['#_Non Cluster partner latrines]])-WWWW[[#This Row],['#_Non-functional latrines]]</f>
        <v>8</v>
      </c>
      <c r="DD266" s="615">
        <f>WWWW[[#This Row],[HRP2]]/WWWW[[#This Row],[Total PoP ]]</f>
        <v>1</v>
      </c>
      <c r="DE266"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141</v>
      </c>
      <c r="DF266"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66"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66" s="417">
        <f>IF(WWWW[[#This Row],['# of functional latrines in THF supported by WASH partners during the reporting period2]]="",0,WWWW[[#This Row],['# of functional latrines in THF supported by WASH partners during the reporting period2]]*50)</f>
        <v>0</v>
      </c>
      <c r="DI266" s="960">
        <f>ROUND(IF(WWWW[[#This Row],[Location Type 1]]="camp",WWWW[[#This Row],[Total PoP ]]/20,IF(WWWW[[#This Row],[Location Type 1]]="Temporary Location",WWWW[[#This Row],[Total PoP ]]/50,(WWWW[[#This Row],[Total PoP ]]/6))),0)</f>
        <v>7</v>
      </c>
      <c r="DJ266" s="960">
        <f>IF(WWWW[[#This Row],[Total required Latrines]]-(WWWW[[#This Row],['#_Constructed latrines_by_WASHAgencies]]+WWWW[[#This Row],['#_Non Cluster partner latrines]])&lt;0,0,WWWW[[#This Row],[Total required Latrines]]-(WWWW[[#This Row],['#_Constructed latrines_by_WASHAgencies]]+WWWW[[#This Row],['#_Non Cluster partner latrines]]))</f>
        <v>0</v>
      </c>
      <c r="DK266" s="962">
        <f>1-WWWW[[#This Row],[% people access to functioning Latrine]]</f>
        <v>0</v>
      </c>
      <c r="DL266" s="961">
        <f>IF(OR(WWWW[[#This Row],['#_Non-functional latrines]]="",WWWW[[#This Row],['#_Non-functional latrines]]=0),0,WWWW[[#This Row],['#_Non-functional latrines]]/(WWWW[[#This Row],['#_Constructed latrines_by_WASHAgencies]]+WWWW[[#This Row],['#_Non Cluster partner latrines]]))</f>
        <v>0.5</v>
      </c>
      <c r="DM266" s="957">
        <f>IF(500*(WWWW[[#This Row],['#_male hygiene promoters]]+WWWW[[#This Row],['#_female hygiene promoters]])&gt;WWWW[[#This Row],[Total PoP ]],WWWW[[#This Row],[Total PoP ]],500*(WWWW[[#This Row],['#_male hygiene promoters]]+WWWW[[#This Row],['#_female hygiene promoters]]))</f>
        <v>141</v>
      </c>
      <c r="DN266"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66"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66" s="960">
        <f>IF(WWWW[[#This Row],['# People with access to soap]]&gt;WWWW[[#This Row],['# People with access to Sanity Pads]],WWWW[[#This Row],['# People with access to soap]],WWWW[[#This Row],['# People with access to Sanity Pads]])</f>
        <v>0</v>
      </c>
      <c r="DQ266" s="960">
        <f>IF(WWWW[[#This Row],['# people reached by regular dedicated hygiene promotion_5]]&gt;WWWW[[#This Row],['# People received regular supply of hygiene items_6]],WWWW[[#This Row],['# people reached by regular dedicated hygiene promotion_5]],WWWW[[#This Row],['# People received regular supply of hygiene items_6]])</f>
        <v>141</v>
      </c>
      <c r="DR266" s="962">
        <f>IF(WWWW[[#This Row],[HRP3]]/WWWW[[#This Row],[Total PoP ]]&gt;1,1,WWWW[[#This Row],[HRP3]]/WWWW[[#This Row],[Total PoP ]])</f>
        <v>1</v>
      </c>
      <c r="DS266" s="961">
        <f>1-WWWW[[#This Row],[Hygiene Coverage%]]</f>
        <v>0</v>
      </c>
      <c r="DT266" s="959">
        <f>WWWW[[#This Row],['# people reached by regular dedicated hygiene promotion_5]]/WWWW[[#This Row],[Total PoP ]]</f>
        <v>1</v>
      </c>
      <c r="DU266"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66"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66" s="960">
        <f>WWWW[[#This Row],['#_Constructed/Existing hand washing stations]]-WWWW[[#This Row],['#_Non-Functional_hand_washing_stations]]</f>
        <v>4</v>
      </c>
      <c r="DX266" s="957">
        <f>IF(WWWW[[#This Row],['# Functional hand washing stations during reporting period]]*20&gt;WWWW[[#This Row],[Total HH]],WWWW[[#This Row],[Total HH]],WWWW[[#This Row],['# Functional hand washing stations during reporting period]]*20)</f>
        <v>25</v>
      </c>
      <c r="DY266" s="957">
        <f>IF(WWWW[[#This Row],[Is sufficient soap available for TLS? (Yes/No)]]="yes",WWWW[[#This Row],['#_Constructed/Existing hand washing stations at TLS/CFS/THF]],0)</f>
        <v>0</v>
      </c>
      <c r="DZ266" s="421">
        <f>IF(WWWW[[#This Row],['# Functional hand washing stations during reporting period]]*100&gt;WWWW[[#This Row],[Total PoP ]],WWWW[[#This Row],[Total PoP ]],WWWW[[#This Row],['# Functional hand washing stations during reporting period]]*100)</f>
        <v>141</v>
      </c>
      <c r="EA266" s="421" t="str">
        <f>IF(OR(WWWW[[#This Row],['#_students at TLS_CFS]]="",WWWW[[#This Row],['#_students at TLS_CFS]]=0),"No","Yes")</f>
        <v>No</v>
      </c>
      <c r="EB26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66" s="566">
        <f>WWWW[[#This Row],[%_of_affected_people_surveyed_who_report_feeling_satistfied_with_the_latrine_design_and_sanitation_service]]*WWWW[[#This Row],[Total PoP ]]</f>
        <v>0</v>
      </c>
      <c r="ED266" s="566">
        <f>WWWW[[#This Row],[%_of_affected_people_surveyed_who_report_feeling_satistfied_with_the_water_point_design_and_water_service]]*WWWW[[#This Row],[Total PoP ]]</f>
        <v>0</v>
      </c>
      <c r="EE266" s="566">
        <f>WWWW[[#This Row],[%_of_complaints_received_that_result_in_timely_corrective_action_and_feedback_to_the_community]]*WWWW[[#This Row],[Total PoP ]]</f>
        <v>0</v>
      </c>
      <c r="EF26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6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6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66" s="953" t="str">
        <f>VLOOKUP(WWWW[[#This Row],[Site Name]],SiteDB6[[Site Name]:[CCCM Management]],6,FALSE)</f>
        <v>Yes</v>
      </c>
      <c r="EJ266" s="953" t="str">
        <f>VLOOKUP(WWWW[[#This Row],[Site Name]],SiteDB6[[Site Name]:[CCCM Focal Agency]],7,FALSE)</f>
        <v>KBC-MYT</v>
      </c>
      <c r="EK266" s="953" t="str">
        <f>VLOOKUP(WWWW[[#This Row],[Site Name]],SiteDB6[[Site Name]:[Location Type 1]],9,FALSE)</f>
        <v>Camp</v>
      </c>
      <c r="EL266" s="953" t="str">
        <f>VLOOKUP(WWWW[[#This Row],[Site Name]],SiteDB6[[Site Name]:[Type of Accommodation]],10,FALSE)</f>
        <v>Camp</v>
      </c>
      <c r="EM266" s="953" t="str">
        <f>VLOOKUP(WWWW[[#This Row],[Site Name]],SiteDB6[[Site Name]:[Ethnic or GCA/NGCA]],11,FALSE)</f>
        <v>GCA</v>
      </c>
      <c r="EN266" s="953">
        <f>VLOOKUP(WWWW[[#This Row],[Site Name]],SiteDB6[[Site Name]:[Lat]],12,FALSE)</f>
        <v>25.225000000000001</v>
      </c>
      <c r="EO266" s="953">
        <f>VLOOKUP(WWWW[[#This Row],[Site Name]],SiteDB6[[Site Name]:[Long]],13,FALSE)</f>
        <v>96.793999999999997</v>
      </c>
      <c r="EP266" s="953" t="str">
        <f>VLOOKUP(WWWW[[#This Row],[Site Name]],SiteDB6[[Site Name]:[Pcode]],3,FALSE)</f>
        <v>MMR001CMP236</v>
      </c>
      <c r="EQ266" s="958" t="str">
        <f t="shared" si="5"/>
        <v>Covered</v>
      </c>
      <c r="ER266" s="950" t="s">
        <v>3126</v>
      </c>
      <c r="ES266" s="972" t="s">
        <v>3270</v>
      </c>
      <c r="ET266" s="953">
        <f>VLOOKUP(WWWW[[#This Row],[Site Name]],SiteDB6[[Site Name]:[Pop
(Kachin/Shan-CCCM as of May 2023)]],16,FALSE)</f>
        <v>25</v>
      </c>
      <c r="EU266" s="953">
        <f>VLOOKUP(WWWW[[#This Row],[Site Name]],SiteDB6[[Site Name]:[Pop
(Kachin/Shan-CCCM as of May 2023)]],17,FALSE)</f>
        <v>138</v>
      </c>
    </row>
    <row r="267" spans="1:151">
      <c r="A267" s="946" t="s">
        <v>2962</v>
      </c>
      <c r="B267" s="1004" t="s">
        <v>36</v>
      </c>
      <c r="C267" s="1005" t="s">
        <v>36</v>
      </c>
      <c r="D267" s="1005" t="s">
        <v>241</v>
      </c>
      <c r="E267" s="1005" t="s">
        <v>37</v>
      </c>
      <c r="F267" s="1005" t="s">
        <v>152</v>
      </c>
      <c r="G267" s="902" t="str">
        <f>VLOOKUP(WWWW[[#This Row],[Site Name]],SiteDB6[[Site Name]:[Location Type]],8,FALSE)</f>
        <v>Camp</v>
      </c>
      <c r="H267" s="1005" t="s">
        <v>2878</v>
      </c>
      <c r="I267" s="954">
        <v>48</v>
      </c>
      <c r="J267" s="954">
        <v>276</v>
      </c>
      <c r="K267" s="955">
        <v>44973</v>
      </c>
      <c r="L267" s="956">
        <v>45337</v>
      </c>
      <c r="M267" s="954"/>
      <c r="N267" s="954">
        <v>3</v>
      </c>
      <c r="O267" s="954"/>
      <c r="P267" s="954"/>
      <c r="Q267" s="957" t="s">
        <v>41</v>
      </c>
      <c r="R267" s="954">
        <v>3</v>
      </c>
      <c r="S267" s="954">
        <v>1</v>
      </c>
      <c r="T267" s="441">
        <v>2</v>
      </c>
      <c r="U267" s="954"/>
      <c r="V267" s="954"/>
      <c r="W267" s="954"/>
      <c r="X267" s="954"/>
      <c r="Y267" s="954"/>
      <c r="Z267" s="954"/>
      <c r="AA267" s="954"/>
      <c r="AB267" s="954"/>
      <c r="AC267" s="954"/>
      <c r="AD267" s="954"/>
      <c r="AE267" s="954"/>
      <c r="AF267" s="954"/>
      <c r="AG267" s="954"/>
      <c r="AH267" s="954"/>
      <c r="AI267" s="954">
        <v>3</v>
      </c>
      <c r="AJ267" s="954">
        <v>1</v>
      </c>
      <c r="AK267" s="954">
        <v>5</v>
      </c>
      <c r="AL267" s="954">
        <v>2</v>
      </c>
      <c r="AM267" s="954">
        <v>5</v>
      </c>
      <c r="AN267" s="954"/>
      <c r="AO267" s="441"/>
      <c r="AP267" s="958"/>
      <c r="AQ267" s="954">
        <v>18</v>
      </c>
      <c r="AR267" s="954"/>
      <c r="AS267" s="959"/>
      <c r="AT267" s="954"/>
      <c r="AU267" s="954">
        <v>9</v>
      </c>
      <c r="AV267" s="954"/>
      <c r="AW267" s="954"/>
      <c r="AX267" s="954"/>
      <c r="AY267" s="953" t="s">
        <v>41</v>
      </c>
      <c r="AZ267" s="958" t="s">
        <v>899</v>
      </c>
      <c r="BA267" s="954"/>
      <c r="BB267" s="954"/>
      <c r="BC267" s="954"/>
      <c r="BD267" s="441"/>
      <c r="BE267" s="441"/>
      <c r="BF267" s="953"/>
      <c r="BG267" s="954">
        <v>5</v>
      </c>
      <c r="BH267" s="954"/>
      <c r="BI267" s="954">
        <v>2</v>
      </c>
      <c r="BJ267" s="954">
        <v>2</v>
      </c>
      <c r="BK267" s="954"/>
      <c r="BL267" s="954"/>
      <c r="BM267" s="954">
        <v>1</v>
      </c>
      <c r="BN267" s="954"/>
      <c r="BO267" s="954"/>
      <c r="BP267" s="953" t="s">
        <v>41</v>
      </c>
      <c r="BQ267" s="960"/>
      <c r="BR267" s="959"/>
      <c r="BS267" s="953"/>
      <c r="BT267" s="416"/>
      <c r="BU267" s="416"/>
      <c r="BV267" s="418"/>
      <c r="BW267" s="416"/>
      <c r="BX267" s="441"/>
      <c r="BY267" s="441"/>
      <c r="BZ267" s="441"/>
      <c r="CA267" s="441"/>
      <c r="CB267" s="441"/>
      <c r="CC267" s="693"/>
      <c r="CD267" s="441"/>
      <c r="CE267" s="961">
        <f>IFERROR(WWWW[[#This Row],['#_Water sources passed]]/WWWW[[#This Row],['#_Water sources tested for fecal coliform ]],"no test")</f>
        <v>0.33333333333333331</v>
      </c>
      <c r="CF267" s="959">
        <f>IFERROR(WWWW[[#This Row],['#_Household passed]]/WWWW[[#This Row],['#_Household water samples tested for fecal coliform]],"no test")</f>
        <v>0.4</v>
      </c>
      <c r="CG267" s="960" t="str">
        <f>IF(AND(WWWW[[#This Row],[% of water sources passed]]="no test",WWWW[[#This Row],[% Household passed]]="no test"),"No Test","Tested")</f>
        <v>Tested</v>
      </c>
      <c r="CH267" s="960">
        <f>WWWW[[#This Row],['#_Constructed/existing protected hand dug well]]-WWWW[[#This Row],['#_Non-functional protected hand dug well]]</f>
        <v>2</v>
      </c>
      <c r="CI267" s="960">
        <f>(WWWW[[#This Row],['#_Constructed/Existing tube wells/boreholes/handpumps_WASH_agency]]+WWWW[[#This Row],['#_Non-Cluster partner water tube-wells/boreholes/handpumps]])-WWWW[[#This Row],['#_Non-functional tube wells/boreholes/handpumps]]</f>
        <v>0</v>
      </c>
      <c r="CJ267" s="960">
        <f>WWWW[[#This Row],['#_Constructed/Existingwater storage tank with gravity fed reticulation system]]-WWWW[[#This Row],['#_Non-functional storage tank gravity fed reticulation system]]</f>
        <v>0</v>
      </c>
      <c r="CK267" s="960">
        <f>(WWWW[[#This Row],['#_Water_Liters_supplied_by_Water boating or water trucking]]/90)/15</f>
        <v>0</v>
      </c>
      <c r="CL267" s="960">
        <f>WWWW[[#This Row],['#_Water_Liters_from_Constructed/Existing water distribution system from river or natural spring]]/90/15</f>
        <v>0</v>
      </c>
      <c r="CM267" s="417">
        <f>IF(WWWW[[#This Row],['#_of water points in TLS/CFS]]*500&gt;WWWW[[#This Row],[Total PoP ]],WWWW[[#This Row],[Total PoP ]],WWWW[[#This Row],['#_of water points in TLS/CFS]]*500)</f>
        <v>0</v>
      </c>
      <c r="CN267" s="417">
        <f>IF(WWWW[[#This Row],['#_of water points in THF]]*500&gt;WWWW[[#This Row],[Total PoP ]],WWWW[[#This Row],[Total PoP ]],WWWW[[#This Row],['#_of water points in THF]]*500)</f>
        <v>0</v>
      </c>
      <c r="CO267" s="417"/>
      <c r="CP267"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67"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67" s="959">
        <f>IF(WWWW[[#This Row],[Location Type 1]]="Village",WWWW[[#This Row],[Access to safe drinking water for Village]],WWWW[[#This Row],[Access to safe drinking water for Camp]])</f>
        <v>1</v>
      </c>
      <c r="CS267" s="957">
        <f>WWWW[[#This Row],[%Equitable and continuous access to sufficient quantity of safe drinking water]]*WWWW[[#This Row],[Total PoP ]]</f>
        <v>276</v>
      </c>
      <c r="CT267" s="959">
        <f>IF((WWWW[[#This Row],['#_Constructed/Existing protected/fenced ponds]]*250)/WWWW[[#This Row],[Total PoP ]]&gt;1,1,(WWWW[[#This Row],['#_Constructed/Existing protected/fenced ponds]]*250)/WWWW[[#This Row],[Total PoP ]])</f>
        <v>0</v>
      </c>
      <c r="CU267" s="957">
        <f>WWWW[[#This Row],[% Access to unimproved water points]]*WWWW[[#This Row],[Total PoP ]]</f>
        <v>0</v>
      </c>
      <c r="CV267"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67"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276</v>
      </c>
      <c r="CX267" s="957">
        <f>WWWW[[#This Row],[HRP1]]/500</f>
        <v>0.55200000000000005</v>
      </c>
      <c r="CY267" s="962">
        <f>1-WWWW[[#This Row],[% Equitable and continuous access to sufficient quantity of domestic water]]</f>
        <v>0</v>
      </c>
      <c r="CZ267" s="957">
        <f>WWWW[[#This Row],[%equitable and continuous access to sufficient quantity of safe drinking and domestic water''s GAP]]*WWWW[[#This Row],[Total PoP ]]</f>
        <v>0</v>
      </c>
      <c r="DA267" s="960">
        <f>IF(WWWW[[#This Row],[Total required water points]]-WWWW[[#This Row],['#Water points coverage]]&lt;0,0,WWWW[[#This Row],[Total required water points]]-WWWW[[#This Row],['#Water points coverage]])</f>
        <v>0.44799999999999995</v>
      </c>
      <c r="DB267" s="960">
        <f>ROUND(IF(WWWW[[#This Row],[Total PoP ]]&lt;500,1,WWWW[[#This Row],[Total PoP ]]/500),0)</f>
        <v>1</v>
      </c>
      <c r="DC267" s="960">
        <f>(WWWW[[#This Row],['#_Constructed latrines_by_WASHAgencies]]+WWWW[[#This Row],['#_Non Cluster partner latrines]])-WWWW[[#This Row],['#_Non-functional latrines]]</f>
        <v>18</v>
      </c>
      <c r="DD267" s="615">
        <f>WWWW[[#This Row],[HRP2]]/WWWW[[#This Row],[Total PoP ]]</f>
        <v>1</v>
      </c>
      <c r="DE267"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276</v>
      </c>
      <c r="DF267"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67"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67" s="417">
        <f>IF(WWWW[[#This Row],['# of functional latrines in THF supported by WASH partners during the reporting period2]]="",0,WWWW[[#This Row],['# of functional latrines in THF supported by WASH partners during the reporting period2]]*50)</f>
        <v>0</v>
      </c>
      <c r="DI267" s="960">
        <f>ROUND(IF(WWWW[[#This Row],[Location Type 1]]="camp",WWWW[[#This Row],[Total PoP ]]/20,IF(WWWW[[#This Row],[Location Type 1]]="Temporary Location",WWWW[[#This Row],[Total PoP ]]/50,(WWWW[[#This Row],[Total PoP ]]/6))),0)</f>
        <v>14</v>
      </c>
      <c r="DJ267" s="960">
        <f>IF(WWWW[[#This Row],[Total required Latrines]]-(WWWW[[#This Row],['#_Constructed latrines_by_WASHAgencies]]+WWWW[[#This Row],['#_Non Cluster partner latrines]])&lt;0,0,WWWW[[#This Row],[Total required Latrines]]-(WWWW[[#This Row],['#_Constructed latrines_by_WASHAgencies]]+WWWW[[#This Row],['#_Non Cluster partner latrines]]))</f>
        <v>0</v>
      </c>
      <c r="DK267" s="962">
        <f>1-WWWW[[#This Row],[% people access to functioning Latrine]]</f>
        <v>0</v>
      </c>
      <c r="DL267" s="961">
        <f>IF(OR(WWWW[[#This Row],['#_Non-functional latrines]]="",WWWW[[#This Row],['#_Non-functional latrines]]=0),0,WWWW[[#This Row],['#_Non-functional latrines]]/(WWWW[[#This Row],['#_Constructed latrines_by_WASHAgencies]]+WWWW[[#This Row],['#_Non Cluster partner latrines]]))</f>
        <v>0</v>
      </c>
      <c r="DM267" s="957">
        <f>IF(500*(WWWW[[#This Row],['#_male hygiene promoters]]+WWWW[[#This Row],['#_female hygiene promoters]])&gt;WWWW[[#This Row],[Total PoP ]],WWWW[[#This Row],[Total PoP ]],500*(WWWW[[#This Row],['#_male hygiene promoters]]+WWWW[[#This Row],['#_female hygiene promoters]]))</f>
        <v>276</v>
      </c>
      <c r="DN267"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67"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67" s="960">
        <f>IF(WWWW[[#This Row],['# People with access to soap]]&gt;WWWW[[#This Row],['# People with access to Sanity Pads]],WWWW[[#This Row],['# People with access to soap]],WWWW[[#This Row],['# People with access to Sanity Pads]])</f>
        <v>0</v>
      </c>
      <c r="DQ267" s="960">
        <f>IF(WWWW[[#This Row],['# people reached by regular dedicated hygiene promotion_5]]&gt;WWWW[[#This Row],['# People received regular supply of hygiene items_6]],WWWW[[#This Row],['# people reached by regular dedicated hygiene promotion_5]],WWWW[[#This Row],['# People received regular supply of hygiene items_6]])</f>
        <v>276</v>
      </c>
      <c r="DR267" s="962">
        <f>IF(WWWW[[#This Row],[HRP3]]/WWWW[[#This Row],[Total PoP ]]&gt;1,1,WWWW[[#This Row],[HRP3]]/WWWW[[#This Row],[Total PoP ]])</f>
        <v>1</v>
      </c>
      <c r="DS267" s="961">
        <f>1-WWWW[[#This Row],[Hygiene Coverage%]]</f>
        <v>0</v>
      </c>
      <c r="DT267" s="959">
        <f>WWWW[[#This Row],['# people reached by regular dedicated hygiene promotion_5]]/WWWW[[#This Row],[Total PoP ]]</f>
        <v>1</v>
      </c>
      <c r="DU267"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67"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67" s="960">
        <f>WWWW[[#This Row],['#_Constructed/Existing hand washing stations]]-WWWW[[#This Row],['#_Non-Functional_hand_washing_stations]]</f>
        <v>5</v>
      </c>
      <c r="DX267" s="957">
        <f>IF(WWWW[[#This Row],['# Functional hand washing stations during reporting period]]*20&gt;WWWW[[#This Row],[Total HH]],WWWW[[#This Row],[Total HH]],WWWW[[#This Row],['# Functional hand washing stations during reporting period]]*20)</f>
        <v>48</v>
      </c>
      <c r="DY267" s="957">
        <f>IF(WWWW[[#This Row],[Is sufficient soap available for TLS? (Yes/No)]]="yes",WWWW[[#This Row],['#_Constructed/Existing hand washing stations at TLS/CFS/THF]],0)</f>
        <v>5</v>
      </c>
      <c r="DZ267" s="421">
        <f>IF(WWWW[[#This Row],['# Functional hand washing stations during reporting period]]*100&gt;WWWW[[#This Row],[Total PoP ]],WWWW[[#This Row],[Total PoP ]],WWWW[[#This Row],['# Functional hand washing stations during reporting period]]*100)</f>
        <v>276</v>
      </c>
      <c r="EA267" s="421" t="str">
        <f>IF(OR(WWWW[[#This Row],['#_students at TLS_CFS]]="",WWWW[[#This Row],['#_students at TLS_CFS]]=0),"No","Yes")</f>
        <v>No</v>
      </c>
      <c r="EB26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67" s="566">
        <f>WWWW[[#This Row],[%_of_affected_people_surveyed_who_report_feeling_satistfied_with_the_latrine_design_and_sanitation_service]]*WWWW[[#This Row],[Total PoP ]]</f>
        <v>0</v>
      </c>
      <c r="ED267" s="566">
        <f>WWWW[[#This Row],[%_of_affected_people_surveyed_who_report_feeling_satistfied_with_the_water_point_design_and_water_service]]*WWWW[[#This Row],[Total PoP ]]</f>
        <v>0</v>
      </c>
      <c r="EE267" s="566">
        <f>WWWW[[#This Row],[%_of_complaints_received_that_result_in_timely_corrective_action_and_feedback_to_the_community]]*WWWW[[#This Row],[Total PoP ]]</f>
        <v>0</v>
      </c>
      <c r="EF26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6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6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67" s="953">
        <f>VLOOKUP(WWWW[[#This Row],[Site Name]],SiteDB6[[Site Name]:[CCCM Management]],6,FALSE)</f>
        <v>0</v>
      </c>
      <c r="EJ267" s="953" t="str">
        <f>VLOOKUP(WWWW[[#This Row],[Site Name]],SiteDB6[[Site Name]:[CCCM Focal Agency]],7,FALSE)</f>
        <v>KMSS-MYT</v>
      </c>
      <c r="EK267" s="953" t="str">
        <f>VLOOKUP(WWWW[[#This Row],[Site Name]],SiteDB6[[Site Name]:[Location Type 1]],9,FALSE)</f>
        <v>Camp</v>
      </c>
      <c r="EL267" s="953" t="str">
        <f>VLOOKUP(WWWW[[#This Row],[Site Name]],SiteDB6[[Site Name]:[Type of Accommodation]],10,FALSE)</f>
        <v>Camp</v>
      </c>
      <c r="EM267" s="953" t="str">
        <f>VLOOKUP(WWWW[[#This Row],[Site Name]],SiteDB6[[Site Name]:[Ethnic or GCA/NGCA]],11,FALSE)</f>
        <v>GCA</v>
      </c>
      <c r="EN267" s="953">
        <f>VLOOKUP(WWWW[[#This Row],[Site Name]],SiteDB6[[Site Name]:[Lat]],12,FALSE)</f>
        <v>25.383058999999999</v>
      </c>
      <c r="EO267" s="953">
        <f>VLOOKUP(WWWW[[#This Row],[Site Name]],SiteDB6[[Site Name]:[Long]],13,FALSE)</f>
        <v>97.014313000000001</v>
      </c>
      <c r="EP267" s="953" t="str">
        <f>VLOOKUP(WWWW[[#This Row],[Site Name]],SiteDB6[[Site Name]:[Pcode]],3,FALSE)</f>
        <v>MMR001CMP259</v>
      </c>
      <c r="EQ267" s="958" t="str">
        <f t="shared" si="5"/>
        <v>Covered</v>
      </c>
      <c r="ER267" s="950" t="s">
        <v>3126</v>
      </c>
      <c r="ES267" s="958" t="s">
        <v>3288</v>
      </c>
      <c r="ET267" s="953">
        <f>VLOOKUP(WWWW[[#This Row],[Site Name]],SiteDB6[[Site Name]:[Pop
(Kachin/Shan-CCCM as of May 2023)]],16,FALSE)</f>
        <v>48</v>
      </c>
      <c r="EU267" s="953">
        <f>VLOOKUP(WWWW[[#This Row],[Site Name]],SiteDB6[[Site Name]:[Pop
(Kachin/Shan-CCCM as of May 2023)]],17,FALSE)</f>
        <v>275</v>
      </c>
    </row>
    <row r="268" spans="1:151">
      <c r="A268" s="946" t="s">
        <v>2962</v>
      </c>
      <c r="B268" s="1004" t="s">
        <v>36</v>
      </c>
      <c r="C268" s="1005" t="s">
        <v>36</v>
      </c>
      <c r="D268" s="1005" t="s">
        <v>241</v>
      </c>
      <c r="E268" s="1005" t="s">
        <v>37</v>
      </c>
      <c r="F268" s="1005" t="s">
        <v>152</v>
      </c>
      <c r="G268" s="902" t="str">
        <f>VLOOKUP(WWWW[[#This Row],[Site Name]],SiteDB6[[Site Name]:[Location Type]],8,FALSE)</f>
        <v>Camp</v>
      </c>
      <c r="H268" s="1005" t="s">
        <v>2879</v>
      </c>
      <c r="I268" s="954">
        <v>84</v>
      </c>
      <c r="J268" s="954">
        <v>440</v>
      </c>
      <c r="K268" s="955">
        <v>44973</v>
      </c>
      <c r="L268" s="956">
        <v>45337</v>
      </c>
      <c r="M268" s="954"/>
      <c r="N268" s="954">
        <v>2</v>
      </c>
      <c r="O268" s="954"/>
      <c r="P268" s="954"/>
      <c r="Q268" s="957" t="s">
        <v>41</v>
      </c>
      <c r="R268" s="954">
        <v>2</v>
      </c>
      <c r="S268" s="954">
        <v>3</v>
      </c>
      <c r="T268" s="441">
        <v>3</v>
      </c>
      <c r="U268" s="954"/>
      <c r="V268" s="954"/>
      <c r="W268" s="954"/>
      <c r="X268" s="954"/>
      <c r="Y268" s="954"/>
      <c r="Z268" s="954"/>
      <c r="AA268" s="954"/>
      <c r="AB268" s="954"/>
      <c r="AC268" s="954"/>
      <c r="AD268" s="954"/>
      <c r="AE268" s="954"/>
      <c r="AF268" s="954"/>
      <c r="AG268" s="954"/>
      <c r="AH268" s="954"/>
      <c r="AI268" s="954">
        <v>1</v>
      </c>
      <c r="AJ268" s="954">
        <v>1</v>
      </c>
      <c r="AK268" s="954">
        <v>6</v>
      </c>
      <c r="AL268" s="954">
        <v>2</v>
      </c>
      <c r="AM268" s="954">
        <v>10</v>
      </c>
      <c r="AN268" s="954"/>
      <c r="AO268" s="441"/>
      <c r="AP268" s="958"/>
      <c r="AQ268" s="954">
        <v>14</v>
      </c>
      <c r="AR268" s="954"/>
      <c r="AS268" s="959"/>
      <c r="AT268" s="954"/>
      <c r="AU268" s="954">
        <v>15</v>
      </c>
      <c r="AV268" s="954"/>
      <c r="AW268" s="954"/>
      <c r="AX268" s="954"/>
      <c r="AY268" s="953" t="s">
        <v>41</v>
      </c>
      <c r="AZ268" s="958" t="s">
        <v>136</v>
      </c>
      <c r="BA268" s="954"/>
      <c r="BB268" s="954"/>
      <c r="BC268" s="954"/>
      <c r="BD268" s="441"/>
      <c r="BE268" s="441"/>
      <c r="BF268" s="953"/>
      <c r="BG268" s="954">
        <v>10</v>
      </c>
      <c r="BH268" s="954"/>
      <c r="BI268" s="954">
        <v>2</v>
      </c>
      <c r="BJ268" s="954">
        <v>2</v>
      </c>
      <c r="BK268" s="954"/>
      <c r="BL268" s="954"/>
      <c r="BM268" s="954">
        <v>1</v>
      </c>
      <c r="BN268" s="954"/>
      <c r="BO268" s="954"/>
      <c r="BP268" s="953" t="s">
        <v>41</v>
      </c>
      <c r="BQ268" s="960"/>
      <c r="BR268" s="959"/>
      <c r="BS268" s="953"/>
      <c r="BT268" s="416"/>
      <c r="BU268" s="416"/>
      <c r="BV268" s="418"/>
      <c r="BW268" s="416"/>
      <c r="BX268" s="441"/>
      <c r="BY268" s="441"/>
      <c r="BZ268" s="441"/>
      <c r="CA268" s="441"/>
      <c r="CB268" s="441"/>
      <c r="CC268" s="693"/>
      <c r="CD268" s="441"/>
      <c r="CE268" s="961">
        <f>IFERROR(WWWW[[#This Row],['#_Water sources passed]]/WWWW[[#This Row],['#_Water sources tested for fecal coliform ]],"no test")</f>
        <v>1</v>
      </c>
      <c r="CF268" s="959">
        <f>IFERROR(WWWW[[#This Row],['#_Household passed]]/WWWW[[#This Row],['#_Household water samples tested for fecal coliform]],"no test")</f>
        <v>0.33333333333333331</v>
      </c>
      <c r="CG268" s="960" t="str">
        <f>IF(AND(WWWW[[#This Row],[% of water sources passed]]="no test",WWWW[[#This Row],[% Household passed]]="no test"),"No Test","Tested")</f>
        <v>Tested</v>
      </c>
      <c r="CH268" s="960">
        <f>WWWW[[#This Row],['#_Constructed/existing protected hand dug well]]-WWWW[[#This Row],['#_Non-functional protected hand dug well]]</f>
        <v>3</v>
      </c>
      <c r="CI268" s="960">
        <f>(WWWW[[#This Row],['#_Constructed/Existing tube wells/boreholes/handpumps_WASH_agency]]+WWWW[[#This Row],['#_Non-Cluster partner water tube-wells/boreholes/handpumps]])-WWWW[[#This Row],['#_Non-functional tube wells/boreholes/handpumps]]</f>
        <v>0</v>
      </c>
      <c r="CJ268" s="960">
        <f>WWWW[[#This Row],['#_Constructed/Existingwater storage tank with gravity fed reticulation system]]-WWWW[[#This Row],['#_Non-functional storage tank gravity fed reticulation system]]</f>
        <v>0</v>
      </c>
      <c r="CK268" s="960">
        <f>(WWWW[[#This Row],['#_Water_Liters_supplied_by_Water boating or water trucking]]/90)/15</f>
        <v>0</v>
      </c>
      <c r="CL268" s="960">
        <f>WWWW[[#This Row],['#_Water_Liters_from_Constructed/Existing water distribution system from river or natural spring]]/90/15</f>
        <v>0</v>
      </c>
      <c r="CM268" s="417">
        <f>IF(WWWW[[#This Row],['#_of water points in TLS/CFS]]*500&gt;WWWW[[#This Row],[Total PoP ]],WWWW[[#This Row],[Total PoP ]],WWWW[[#This Row],['#_of water points in TLS/CFS]]*500)</f>
        <v>0</v>
      </c>
      <c r="CN268" s="417">
        <f>IF(WWWW[[#This Row],['#_of water points in THF]]*500&gt;WWWW[[#This Row],[Total PoP ]],WWWW[[#This Row],[Total PoP ]],WWWW[[#This Row],['#_of water points in THF]]*500)</f>
        <v>0</v>
      </c>
      <c r="CO268" s="417"/>
      <c r="CP268"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68"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68" s="959">
        <f>IF(WWWW[[#This Row],[Location Type 1]]="Village",WWWW[[#This Row],[Access to safe drinking water for Village]],WWWW[[#This Row],[Access to safe drinking water for Camp]])</f>
        <v>1</v>
      </c>
      <c r="CS268" s="957">
        <f>WWWW[[#This Row],[%Equitable and continuous access to sufficient quantity of safe drinking water]]*WWWW[[#This Row],[Total PoP ]]</f>
        <v>440</v>
      </c>
      <c r="CT268" s="959">
        <f>IF((WWWW[[#This Row],['#_Constructed/Existing protected/fenced ponds]]*250)/WWWW[[#This Row],[Total PoP ]]&gt;1,1,(WWWW[[#This Row],['#_Constructed/Existing protected/fenced ponds]]*250)/WWWW[[#This Row],[Total PoP ]])</f>
        <v>0</v>
      </c>
      <c r="CU268" s="957">
        <f>WWWW[[#This Row],[% Access to unimproved water points]]*WWWW[[#This Row],[Total PoP ]]</f>
        <v>0</v>
      </c>
      <c r="CV268"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68"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440</v>
      </c>
      <c r="CX268" s="957">
        <f>WWWW[[#This Row],[HRP1]]/500</f>
        <v>0.88</v>
      </c>
      <c r="CY268" s="962">
        <f>1-WWWW[[#This Row],[% Equitable and continuous access to sufficient quantity of domestic water]]</f>
        <v>0</v>
      </c>
      <c r="CZ268" s="957">
        <f>WWWW[[#This Row],[%equitable and continuous access to sufficient quantity of safe drinking and domestic water''s GAP]]*WWWW[[#This Row],[Total PoP ]]</f>
        <v>0</v>
      </c>
      <c r="DA268" s="960">
        <f>IF(WWWW[[#This Row],[Total required water points]]-WWWW[[#This Row],['#Water points coverage]]&lt;0,0,WWWW[[#This Row],[Total required water points]]-WWWW[[#This Row],['#Water points coverage]])</f>
        <v>0.12</v>
      </c>
      <c r="DB268" s="960">
        <f>ROUND(IF(WWWW[[#This Row],[Total PoP ]]&lt;500,1,WWWW[[#This Row],[Total PoP ]]/500),0)</f>
        <v>1</v>
      </c>
      <c r="DC268" s="960">
        <f>(WWWW[[#This Row],['#_Constructed latrines_by_WASHAgencies]]+WWWW[[#This Row],['#_Non Cluster partner latrines]])-WWWW[[#This Row],['#_Non-functional latrines]]</f>
        <v>14</v>
      </c>
      <c r="DD268" s="615">
        <f>WWWW[[#This Row],[HRP2]]/WWWW[[#This Row],[Total PoP ]]</f>
        <v>0.63636363636363635</v>
      </c>
      <c r="DE268"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280</v>
      </c>
      <c r="DF268"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68"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68" s="417">
        <f>IF(WWWW[[#This Row],['# of functional latrines in THF supported by WASH partners during the reporting period2]]="",0,WWWW[[#This Row],['# of functional latrines in THF supported by WASH partners during the reporting period2]]*50)</f>
        <v>0</v>
      </c>
      <c r="DI268" s="960">
        <f>ROUND(IF(WWWW[[#This Row],[Location Type 1]]="camp",WWWW[[#This Row],[Total PoP ]]/20,IF(WWWW[[#This Row],[Location Type 1]]="Temporary Location",WWWW[[#This Row],[Total PoP ]]/50,(WWWW[[#This Row],[Total PoP ]]/6))),0)</f>
        <v>22</v>
      </c>
      <c r="DJ268" s="960">
        <f>IF(WWWW[[#This Row],[Total required Latrines]]-(WWWW[[#This Row],['#_Constructed latrines_by_WASHAgencies]]+WWWW[[#This Row],['#_Non Cluster partner latrines]])&lt;0,0,WWWW[[#This Row],[Total required Latrines]]-(WWWW[[#This Row],['#_Constructed latrines_by_WASHAgencies]]+WWWW[[#This Row],['#_Non Cluster partner latrines]]))</f>
        <v>8</v>
      </c>
      <c r="DK268" s="962">
        <f>1-WWWW[[#This Row],[% people access to functioning Latrine]]</f>
        <v>0.36363636363636365</v>
      </c>
      <c r="DL268" s="961">
        <f>IF(OR(WWWW[[#This Row],['#_Non-functional latrines]]="",WWWW[[#This Row],['#_Non-functional latrines]]=0),0,WWWW[[#This Row],['#_Non-functional latrines]]/(WWWW[[#This Row],['#_Constructed latrines_by_WASHAgencies]]+WWWW[[#This Row],['#_Non Cluster partner latrines]]))</f>
        <v>0</v>
      </c>
      <c r="DM268" s="957">
        <f>IF(500*(WWWW[[#This Row],['#_male hygiene promoters]]+WWWW[[#This Row],['#_female hygiene promoters]])&gt;WWWW[[#This Row],[Total PoP ]],WWWW[[#This Row],[Total PoP ]],500*(WWWW[[#This Row],['#_male hygiene promoters]]+WWWW[[#This Row],['#_female hygiene promoters]]))</f>
        <v>440</v>
      </c>
      <c r="DN268"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68"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68" s="960">
        <f>IF(WWWW[[#This Row],['# People with access to soap]]&gt;WWWW[[#This Row],['# People with access to Sanity Pads]],WWWW[[#This Row],['# People with access to soap]],WWWW[[#This Row],['# People with access to Sanity Pads]])</f>
        <v>0</v>
      </c>
      <c r="DQ268" s="960">
        <f>IF(WWWW[[#This Row],['# people reached by regular dedicated hygiene promotion_5]]&gt;WWWW[[#This Row],['# People received regular supply of hygiene items_6]],WWWW[[#This Row],['# people reached by regular dedicated hygiene promotion_5]],WWWW[[#This Row],['# People received regular supply of hygiene items_6]])</f>
        <v>440</v>
      </c>
      <c r="DR268" s="962">
        <f>IF(WWWW[[#This Row],[HRP3]]/WWWW[[#This Row],[Total PoP ]]&gt;1,1,WWWW[[#This Row],[HRP3]]/WWWW[[#This Row],[Total PoP ]])</f>
        <v>1</v>
      </c>
      <c r="DS268" s="961">
        <f>1-WWWW[[#This Row],[Hygiene Coverage%]]</f>
        <v>0</v>
      </c>
      <c r="DT268" s="959">
        <f>WWWW[[#This Row],['# people reached by regular dedicated hygiene promotion_5]]/WWWW[[#This Row],[Total PoP ]]</f>
        <v>1</v>
      </c>
      <c r="DU268"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68"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68" s="960">
        <f>WWWW[[#This Row],['#_Constructed/Existing hand washing stations]]-WWWW[[#This Row],['#_Non-Functional_hand_washing_stations]]</f>
        <v>10</v>
      </c>
      <c r="DX268" s="957">
        <f>IF(WWWW[[#This Row],['# Functional hand washing stations during reporting period]]*20&gt;WWWW[[#This Row],[Total HH]],WWWW[[#This Row],[Total HH]],WWWW[[#This Row],['# Functional hand washing stations during reporting period]]*20)</f>
        <v>84</v>
      </c>
      <c r="DY268" s="957">
        <f>IF(WWWW[[#This Row],[Is sufficient soap available for TLS? (Yes/No)]]="yes",WWWW[[#This Row],['#_Constructed/Existing hand washing stations at TLS/CFS/THF]],0)</f>
        <v>10</v>
      </c>
      <c r="DZ268" s="421">
        <f>IF(WWWW[[#This Row],['# Functional hand washing stations during reporting period]]*100&gt;WWWW[[#This Row],[Total PoP ]],WWWW[[#This Row],[Total PoP ]],WWWW[[#This Row],['# Functional hand washing stations during reporting period]]*100)</f>
        <v>440</v>
      </c>
      <c r="EA268" s="421" t="str">
        <f>IF(OR(WWWW[[#This Row],['#_students at TLS_CFS]]="",WWWW[[#This Row],['#_students at TLS_CFS]]=0),"No","Yes")</f>
        <v>No</v>
      </c>
      <c r="EB26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68" s="566">
        <f>WWWW[[#This Row],[%_of_affected_people_surveyed_who_report_feeling_satistfied_with_the_latrine_design_and_sanitation_service]]*WWWW[[#This Row],[Total PoP ]]</f>
        <v>0</v>
      </c>
      <c r="ED268" s="566">
        <f>WWWW[[#This Row],[%_of_affected_people_surveyed_who_report_feeling_satistfied_with_the_water_point_design_and_water_service]]*WWWW[[#This Row],[Total PoP ]]</f>
        <v>0</v>
      </c>
      <c r="EE268" s="566">
        <f>WWWW[[#This Row],[%_of_complaints_received_that_result_in_timely_corrective_action_and_feedback_to_the_community]]*WWWW[[#This Row],[Total PoP ]]</f>
        <v>0</v>
      </c>
      <c r="EF26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6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6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68" s="953">
        <f>VLOOKUP(WWWW[[#This Row],[Site Name]],SiteDB6[[Site Name]:[CCCM Management]],6,FALSE)</f>
        <v>0</v>
      </c>
      <c r="EJ268" s="953" t="str">
        <f>VLOOKUP(WWWW[[#This Row],[Site Name]],SiteDB6[[Site Name]:[CCCM Focal Agency]],7,FALSE)</f>
        <v>KMSS-MYT</v>
      </c>
      <c r="EK268" s="953" t="str">
        <f>VLOOKUP(WWWW[[#This Row],[Site Name]],SiteDB6[[Site Name]:[Location Type 1]],9,FALSE)</f>
        <v>Camp</v>
      </c>
      <c r="EL268" s="953" t="str">
        <f>VLOOKUP(WWWW[[#This Row],[Site Name]],SiteDB6[[Site Name]:[Type of Accommodation]],10,FALSE)</f>
        <v>Camp</v>
      </c>
      <c r="EM268" s="953" t="str">
        <f>VLOOKUP(WWWW[[#This Row],[Site Name]],SiteDB6[[Site Name]:[Ethnic or GCA/NGCA]],11,FALSE)</f>
        <v>GCA</v>
      </c>
      <c r="EN268" s="953">
        <f>VLOOKUP(WWWW[[#This Row],[Site Name]],SiteDB6[[Site Name]:[Lat]],12,FALSE)</f>
        <v>25.383058999999999</v>
      </c>
      <c r="EO268" s="953">
        <f>VLOOKUP(WWWW[[#This Row],[Site Name]],SiteDB6[[Site Name]:[Long]],13,FALSE)</f>
        <v>97.014313000000001</v>
      </c>
      <c r="EP268" s="953" t="str">
        <f>VLOOKUP(WWWW[[#This Row],[Site Name]],SiteDB6[[Site Name]:[Pcode]],3,FALSE)</f>
        <v>MMR001CMP260</v>
      </c>
      <c r="EQ268" s="958" t="str">
        <f t="shared" si="5"/>
        <v>Covered</v>
      </c>
      <c r="ER268" s="950" t="s">
        <v>3126</v>
      </c>
      <c r="ES268" s="958" t="s">
        <v>3288</v>
      </c>
      <c r="ET268" s="953">
        <f>VLOOKUP(WWWW[[#This Row],[Site Name]],SiteDB6[[Site Name]:[Pop
(Kachin/Shan-CCCM as of May 2023)]],16,FALSE)</f>
        <v>83</v>
      </c>
      <c r="EU268" s="953">
        <f>VLOOKUP(WWWW[[#This Row],[Site Name]],SiteDB6[[Site Name]:[Pop
(Kachin/Shan-CCCM as of May 2023)]],17,FALSE)</f>
        <v>433</v>
      </c>
    </row>
    <row r="269" spans="1:151">
      <c r="A269" s="946" t="s">
        <v>2962</v>
      </c>
      <c r="B269" s="946" t="s">
        <v>309</v>
      </c>
      <c r="C269" s="938" t="s">
        <v>309</v>
      </c>
      <c r="D269" s="938"/>
      <c r="E269" s="938" t="s">
        <v>37</v>
      </c>
      <c r="F269" s="938" t="s">
        <v>157</v>
      </c>
      <c r="G269" s="902" t="str">
        <f>VLOOKUP(WWWW[[#This Row],[Site Name]],SiteDB6[[Site Name]:[Location Type]],8,FALSE)</f>
        <v>Camp</v>
      </c>
      <c r="H269" s="938" t="s">
        <v>2876</v>
      </c>
      <c r="I269" s="441">
        <v>27</v>
      </c>
      <c r="J269" s="441">
        <v>126</v>
      </c>
      <c r="K269" s="948"/>
      <c r="L269" s="949"/>
      <c r="M269" s="441"/>
      <c r="N269" s="441"/>
      <c r="O269" s="441"/>
      <c r="P269" s="441"/>
      <c r="Q269" s="421"/>
      <c r="R269" s="441"/>
      <c r="S269" s="441"/>
      <c r="T269" s="441"/>
      <c r="U269" s="441"/>
      <c r="V269" s="441"/>
      <c r="W269" s="441"/>
      <c r="X269" s="441"/>
      <c r="Y269" s="441"/>
      <c r="Z269" s="441"/>
      <c r="AA269" s="441"/>
      <c r="AB269" s="441"/>
      <c r="AC269" s="441"/>
      <c r="AD269" s="441"/>
      <c r="AE269" s="441"/>
      <c r="AF269" s="441"/>
      <c r="AG269" s="441"/>
      <c r="AH269" s="441"/>
      <c r="AI269" s="441"/>
      <c r="AJ269" s="441"/>
      <c r="AK269" s="441"/>
      <c r="AL269" s="441"/>
      <c r="AM269" s="441"/>
      <c r="AN269" s="441"/>
      <c r="AO269" s="441"/>
      <c r="AP269" s="950"/>
      <c r="AQ269" s="441"/>
      <c r="AR269" s="441"/>
      <c r="AS269" s="416"/>
      <c r="AT269" s="441"/>
      <c r="AU269" s="441"/>
      <c r="AV269" s="441"/>
      <c r="AW269" s="441"/>
      <c r="AX269" s="441"/>
      <c r="AY269" s="418" t="s">
        <v>140</v>
      </c>
      <c r="AZ269" s="950" t="s">
        <v>140</v>
      </c>
      <c r="BA269" s="441"/>
      <c r="BB269" s="441"/>
      <c r="BC269" s="441"/>
      <c r="BD269" s="441"/>
      <c r="BE269" s="441"/>
      <c r="BF269" s="418"/>
      <c r="BG269" s="441">
        <v>8</v>
      </c>
      <c r="BH269" s="441"/>
      <c r="BI269" s="441"/>
      <c r="BJ269" s="441">
        <v>3</v>
      </c>
      <c r="BK269" s="441"/>
      <c r="BL269" s="441"/>
      <c r="BM269" s="441"/>
      <c r="BN269" s="441"/>
      <c r="BO269" s="441"/>
      <c r="BP269" s="418"/>
      <c r="BQ269" s="417"/>
      <c r="BR269" s="416"/>
      <c r="BS269" s="418"/>
      <c r="BT269" s="416"/>
      <c r="BU269" s="416"/>
      <c r="BV269" s="418"/>
      <c r="BW269" s="416"/>
      <c r="BX269" s="441"/>
      <c r="BY269" s="441"/>
      <c r="BZ269" s="441"/>
      <c r="CA269" s="441"/>
      <c r="CB269" s="441"/>
      <c r="CC269" s="693"/>
      <c r="CD269" s="441"/>
      <c r="CE269" s="615" t="str">
        <f>IFERROR(WWWW[[#This Row],['#_Water sources passed]]/WWWW[[#This Row],['#_Water sources tested for fecal coliform ]],"no test")</f>
        <v>no test</v>
      </c>
      <c r="CF269" s="416" t="str">
        <f>IFERROR(WWWW[[#This Row],['#_Household passed]]/WWWW[[#This Row],['#_Household water samples tested for fecal coliform]],"no test")</f>
        <v>no test</v>
      </c>
      <c r="CG269" s="417" t="str">
        <f>IF(AND(WWWW[[#This Row],[% of water sources passed]]="no test",WWWW[[#This Row],[% Household passed]]="no test"),"No Test","Tested")</f>
        <v>No Test</v>
      </c>
      <c r="CH269" s="417">
        <f>WWWW[[#This Row],['#_Constructed/existing protected hand dug well]]-WWWW[[#This Row],['#_Non-functional protected hand dug well]]</f>
        <v>0</v>
      </c>
      <c r="CI269" s="417">
        <f>(WWWW[[#This Row],['#_Constructed/Existing tube wells/boreholes/handpumps_WASH_agency]]+WWWW[[#This Row],['#_Non-Cluster partner water tube-wells/boreholes/handpumps]])-WWWW[[#This Row],['#_Non-functional tube wells/boreholes/handpumps]]</f>
        <v>0</v>
      </c>
      <c r="CJ269" s="417">
        <f>WWWW[[#This Row],['#_Constructed/Existingwater storage tank with gravity fed reticulation system]]-WWWW[[#This Row],['#_Non-functional storage tank gravity fed reticulation system]]</f>
        <v>0</v>
      </c>
      <c r="CK269" s="417">
        <f>(WWWW[[#This Row],['#_Water_Liters_supplied_by_Water boating or water trucking]]/90)/15</f>
        <v>0</v>
      </c>
      <c r="CL269" s="417">
        <f>WWWW[[#This Row],['#_Water_Liters_from_Constructed/Existing water distribution system from river or natural spring]]/90/15</f>
        <v>0</v>
      </c>
      <c r="CM269" s="417">
        <f>IF(WWWW[[#This Row],['#_of water points in TLS/CFS]]*500&gt;WWWW[[#This Row],[Total PoP ]],WWWW[[#This Row],[Total PoP ]],WWWW[[#This Row],['#_of water points in TLS/CFS]]*500)</f>
        <v>0</v>
      </c>
      <c r="CN269" s="417">
        <f>IF(WWWW[[#This Row],['#_of water points in THF]]*500&gt;WWWW[[#This Row],[Total PoP ]],WWWW[[#This Row],[Total PoP ]],WWWW[[#This Row],['#_of water points in THF]]*500)</f>
        <v>0</v>
      </c>
      <c r="CO269" s="417"/>
      <c r="CP269"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69"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69" s="416">
        <f>IF(WWWW[[#This Row],[Location Type 1]]="Village",WWWW[[#This Row],[Access to safe drinking water for Village]],WWWW[[#This Row],[Access to safe drinking water for Camp]])</f>
        <v>0</v>
      </c>
      <c r="CS269" s="421">
        <f>WWWW[[#This Row],[%Equitable and continuous access to sufficient quantity of safe drinking water]]*WWWW[[#This Row],[Total PoP ]]</f>
        <v>0</v>
      </c>
      <c r="CT269" s="416">
        <f>IF((WWWW[[#This Row],['#_Constructed/Existing protected/fenced ponds]]*250)/WWWW[[#This Row],[Total PoP ]]&gt;1,1,(WWWW[[#This Row],['#_Constructed/Existing protected/fenced ponds]]*250)/WWWW[[#This Row],[Total PoP ]])</f>
        <v>0</v>
      </c>
      <c r="CU269" s="421">
        <f>WWWW[[#This Row],[% Access to unimproved water points]]*WWWW[[#This Row],[Total PoP ]]</f>
        <v>0</v>
      </c>
      <c r="CV269"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269"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269" s="421">
        <f>WWWW[[#This Row],[HRP1]]/500</f>
        <v>0</v>
      </c>
      <c r="CY269" s="951">
        <f>1-WWWW[[#This Row],[% Equitable and continuous access to sufficient quantity of domestic water]]</f>
        <v>1</v>
      </c>
      <c r="CZ269" s="421">
        <f>WWWW[[#This Row],[%equitable and continuous access to sufficient quantity of safe drinking and domestic water''s GAP]]*WWWW[[#This Row],[Total PoP ]]</f>
        <v>126</v>
      </c>
      <c r="DA269" s="417">
        <f>IF(WWWW[[#This Row],[Total required water points]]-WWWW[[#This Row],['#Water points coverage]]&lt;0,0,WWWW[[#This Row],[Total required water points]]-WWWW[[#This Row],['#Water points coverage]])</f>
        <v>1</v>
      </c>
      <c r="DB269" s="417">
        <f>ROUND(IF(WWWW[[#This Row],[Total PoP ]]&lt;500,1,WWWW[[#This Row],[Total PoP ]]/500),0)</f>
        <v>1</v>
      </c>
      <c r="DC269" s="417">
        <f>(WWWW[[#This Row],['#_Constructed latrines_by_WASHAgencies]]+WWWW[[#This Row],['#_Non Cluster partner latrines]])-WWWW[[#This Row],['#_Non-functional latrines]]</f>
        <v>0</v>
      </c>
      <c r="DD269" s="615">
        <f>WWWW[[#This Row],[HRP2]]/WWWW[[#This Row],[Total PoP ]]</f>
        <v>0</v>
      </c>
      <c r="DE269"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69"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69"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69" s="417">
        <f>IF(WWWW[[#This Row],['# of functional latrines in THF supported by WASH partners during the reporting period2]]="",0,WWWW[[#This Row],['# of functional latrines in THF supported by WASH partners during the reporting period2]]*50)</f>
        <v>0</v>
      </c>
      <c r="DI269" s="417">
        <f>ROUND(IF(WWWW[[#This Row],[Location Type 1]]="camp",WWWW[[#This Row],[Total PoP ]]/20,IF(WWWW[[#This Row],[Location Type 1]]="Temporary Location",WWWW[[#This Row],[Total PoP ]]/50,(WWWW[[#This Row],[Total PoP ]]/6))),0)</f>
        <v>6</v>
      </c>
      <c r="DJ269" s="417">
        <f>IF(WWWW[[#This Row],[Total required Latrines]]-(WWWW[[#This Row],['#_Constructed latrines_by_WASHAgencies]]+WWWW[[#This Row],['#_Non Cluster partner latrines]])&lt;0,0,WWWW[[#This Row],[Total required Latrines]]-(WWWW[[#This Row],['#_Constructed latrines_by_WASHAgencies]]+WWWW[[#This Row],['#_Non Cluster partner latrines]]))</f>
        <v>6</v>
      </c>
      <c r="DK269" s="951">
        <f>1-WWWW[[#This Row],[% people access to functioning Latrine]]</f>
        <v>1</v>
      </c>
      <c r="DL269" s="615">
        <f>IF(OR(WWWW[[#This Row],['#_Non-functional latrines]]="",WWWW[[#This Row],['#_Non-functional latrines]]=0),0,WWWW[[#This Row],['#_Non-functional latrines]]/(WWWW[[#This Row],['#_Constructed latrines_by_WASHAgencies]]+WWWW[[#This Row],['#_Non Cluster partner latrines]]))</f>
        <v>0</v>
      </c>
      <c r="DM269" s="421">
        <f>IF(500*(WWWW[[#This Row],['#_male hygiene promoters]]+WWWW[[#This Row],['#_female hygiene promoters]])&gt;WWWW[[#This Row],[Total PoP ]],WWWW[[#This Row],[Total PoP ]],500*(WWWW[[#This Row],['#_male hygiene promoters]]+WWWW[[#This Row],['#_female hygiene promoters]]))</f>
        <v>0</v>
      </c>
      <c r="DN269"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69"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69" s="417">
        <f>IF(WWWW[[#This Row],['# People with access to soap]]&gt;WWWW[[#This Row],['# People with access to Sanity Pads]],WWWW[[#This Row],['# People with access to soap]],WWWW[[#This Row],['# People with access to Sanity Pads]])</f>
        <v>0</v>
      </c>
      <c r="DQ269"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69" s="951">
        <f>IF(WWWW[[#This Row],[HRP3]]/WWWW[[#This Row],[Total PoP ]]&gt;1,1,WWWW[[#This Row],[HRP3]]/WWWW[[#This Row],[Total PoP ]])</f>
        <v>0</v>
      </c>
      <c r="DS269" s="615">
        <f>1-WWWW[[#This Row],[Hygiene Coverage%]]</f>
        <v>1</v>
      </c>
      <c r="DT269" s="416">
        <f>WWWW[[#This Row],['# people reached by regular dedicated hygiene promotion_5]]/WWWW[[#This Row],[Total PoP ]]</f>
        <v>0</v>
      </c>
      <c r="DU269"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69"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69" s="417">
        <f>WWWW[[#This Row],['#_Constructed/Existing hand washing stations]]-WWWW[[#This Row],['#_Non-Functional_hand_washing_stations]]</f>
        <v>8</v>
      </c>
      <c r="DX269" s="421">
        <f>IF(WWWW[[#This Row],['# Functional hand washing stations during reporting period]]*20&gt;WWWW[[#This Row],[Total HH]],WWWW[[#This Row],[Total HH]],WWWW[[#This Row],['# Functional hand washing stations during reporting period]]*20)</f>
        <v>27</v>
      </c>
      <c r="DY269" s="421">
        <f>IF(WWWW[[#This Row],[Is sufficient soap available for TLS? (Yes/No)]]="yes",WWWW[[#This Row],['#_Constructed/Existing hand washing stations at TLS/CFS/THF]],0)</f>
        <v>0</v>
      </c>
      <c r="DZ269" s="421">
        <f>IF(WWWW[[#This Row],['# Functional hand washing stations during reporting period]]*100&gt;WWWW[[#This Row],[Total PoP ]],WWWW[[#This Row],[Total PoP ]],WWWW[[#This Row],['# Functional hand washing stations during reporting period]]*100)</f>
        <v>126</v>
      </c>
      <c r="EA269" s="421" t="str">
        <f>IF(OR(WWWW[[#This Row],['#_students at TLS_CFS]]="",WWWW[[#This Row],['#_students at TLS_CFS]]=0),"No","Yes")</f>
        <v>No</v>
      </c>
      <c r="EB26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69" s="566">
        <f>WWWW[[#This Row],[%_of_affected_people_surveyed_who_report_feeling_satistfied_with_the_latrine_design_and_sanitation_service]]*WWWW[[#This Row],[Total PoP ]]</f>
        <v>0</v>
      </c>
      <c r="ED269" s="566">
        <f>WWWW[[#This Row],[%_of_affected_people_surveyed_who_report_feeling_satistfied_with_the_water_point_design_and_water_service]]*WWWW[[#This Row],[Total PoP ]]</f>
        <v>0</v>
      </c>
      <c r="EE269" s="566">
        <f>WWWW[[#This Row],[%_of_complaints_received_that_result_in_timely_corrective_action_and_feedback_to_the_community]]*WWWW[[#This Row],[Total PoP ]]</f>
        <v>0</v>
      </c>
      <c r="EF26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6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6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69" s="418">
        <f>VLOOKUP(WWWW[[#This Row],[Site Name]],SiteDB6[[Site Name]:[CCCM Management]],6,FALSE)</f>
        <v>0</v>
      </c>
      <c r="EJ269" s="418" t="str">
        <f>VLOOKUP(WWWW[[#This Row],[Site Name]],SiteDB6[[Site Name]:[CCCM Focal Agency]],7,FALSE)</f>
        <v>uncovered</v>
      </c>
      <c r="EK269" s="418" t="str">
        <f>VLOOKUP(WWWW[[#This Row],[Site Name]],SiteDB6[[Site Name]:[Location Type 1]],9,FALSE)</f>
        <v>Camp</v>
      </c>
      <c r="EL269" s="418" t="str">
        <f>VLOOKUP(WWWW[[#This Row],[Site Name]],SiteDB6[[Site Name]:[Type of Accommodation]],10,FALSE)</f>
        <v>IDPs in host</v>
      </c>
      <c r="EM269" s="418" t="str">
        <f>VLOOKUP(WWWW[[#This Row],[Site Name]],SiteDB6[[Site Name]:[Ethnic or GCA/NGCA]],11,FALSE)</f>
        <v>GCA</v>
      </c>
      <c r="EN269" s="418">
        <f>VLOOKUP(WWWW[[#This Row],[Site Name]],SiteDB6[[Site Name]:[Lat]],12,FALSE)</f>
        <v>24.996279999999999</v>
      </c>
      <c r="EO269" s="418">
        <f>VLOOKUP(WWWW[[#This Row],[Site Name]],SiteDB6[[Site Name]:[Long]],13,FALSE)</f>
        <v>96.52534</v>
      </c>
      <c r="EP269" s="418" t="str">
        <f>VLOOKUP(WWWW[[#This Row],[Site Name]],SiteDB6[[Site Name]:[Pcode]],3,FALSE)</f>
        <v>MMR001CMP232</v>
      </c>
      <c r="EQ269" s="950" t="str">
        <f t="shared" si="5"/>
        <v>Notcovered</v>
      </c>
      <c r="ER269" s="950"/>
      <c r="ES269" s="950" t="s">
        <v>41</v>
      </c>
      <c r="ET269" s="418">
        <f>VLOOKUP(WWWW[[#This Row],[Site Name]],SiteDB6[[Site Name]:[Pop
(Kachin/Shan-CCCM as of May 2023)]],16,FALSE)</f>
        <v>14</v>
      </c>
      <c r="EU269" s="418">
        <f>VLOOKUP(WWWW[[#This Row],[Site Name]],SiteDB6[[Site Name]:[Pop
(Kachin/Shan-CCCM as of May 2023)]],17,FALSE)</f>
        <v>66</v>
      </c>
    </row>
    <row r="270" spans="1:151">
      <c r="A270" s="946" t="s">
        <v>2962</v>
      </c>
      <c r="B270" s="946" t="s">
        <v>309</v>
      </c>
      <c r="C270" s="938" t="s">
        <v>309</v>
      </c>
      <c r="D270" s="938"/>
      <c r="E270" s="938" t="s">
        <v>37</v>
      </c>
      <c r="F270" s="938" t="s">
        <v>157</v>
      </c>
      <c r="G270" s="902" t="str">
        <f>VLOOKUP(WWWW[[#This Row],[Site Name]],SiteDB6[[Site Name]:[Location Type]],8,FALSE)</f>
        <v>Camp</v>
      </c>
      <c r="H270" s="938" t="s">
        <v>2877</v>
      </c>
      <c r="I270" s="441">
        <v>15</v>
      </c>
      <c r="J270" s="441">
        <v>71</v>
      </c>
      <c r="K270" s="948"/>
      <c r="L270" s="949"/>
      <c r="M270" s="441"/>
      <c r="N270" s="441"/>
      <c r="O270" s="441"/>
      <c r="P270" s="441"/>
      <c r="Q270" s="421"/>
      <c r="R270" s="441"/>
      <c r="S270" s="441">
        <v>4</v>
      </c>
      <c r="T270" s="441"/>
      <c r="U270" s="441"/>
      <c r="V270" s="441"/>
      <c r="W270" s="441"/>
      <c r="X270" s="441"/>
      <c r="Y270" s="441"/>
      <c r="Z270" s="441"/>
      <c r="AA270" s="441"/>
      <c r="AB270" s="441"/>
      <c r="AC270" s="441"/>
      <c r="AD270" s="441"/>
      <c r="AE270" s="441"/>
      <c r="AF270" s="441"/>
      <c r="AG270" s="441"/>
      <c r="AH270" s="441"/>
      <c r="AI270" s="441"/>
      <c r="AJ270" s="441"/>
      <c r="AK270" s="441"/>
      <c r="AL270" s="441"/>
      <c r="AM270" s="441"/>
      <c r="AN270" s="441"/>
      <c r="AO270" s="441"/>
      <c r="AP270" s="950"/>
      <c r="AQ270" s="441"/>
      <c r="AR270" s="441"/>
      <c r="AS270" s="416"/>
      <c r="AT270" s="441"/>
      <c r="AU270" s="441"/>
      <c r="AV270" s="441"/>
      <c r="AW270" s="441"/>
      <c r="AX270" s="441"/>
      <c r="AY270" s="418" t="s">
        <v>140</v>
      </c>
      <c r="AZ270" s="950" t="s">
        <v>140</v>
      </c>
      <c r="BA270" s="441"/>
      <c r="BB270" s="441"/>
      <c r="BC270" s="441"/>
      <c r="BD270" s="441"/>
      <c r="BE270" s="441"/>
      <c r="BF270" s="418"/>
      <c r="BG270" s="441">
        <v>3</v>
      </c>
      <c r="BH270" s="441"/>
      <c r="BI270" s="441"/>
      <c r="BJ270" s="441">
        <v>2</v>
      </c>
      <c r="BK270" s="441"/>
      <c r="BL270" s="441"/>
      <c r="BM270" s="441"/>
      <c r="BN270" s="441"/>
      <c r="BO270" s="441"/>
      <c r="BP270" s="418"/>
      <c r="BQ270" s="417"/>
      <c r="BR270" s="416"/>
      <c r="BS270" s="418"/>
      <c r="BT270" s="416"/>
      <c r="BU270" s="416"/>
      <c r="BV270" s="418"/>
      <c r="BW270" s="416"/>
      <c r="BX270" s="441"/>
      <c r="BY270" s="441"/>
      <c r="BZ270" s="441"/>
      <c r="CA270" s="441"/>
      <c r="CB270" s="441"/>
      <c r="CC270" s="693"/>
      <c r="CD270" s="441"/>
      <c r="CE270" s="615" t="str">
        <f>IFERROR(WWWW[[#This Row],['#_Water sources passed]]/WWWW[[#This Row],['#_Water sources tested for fecal coliform ]],"no test")</f>
        <v>no test</v>
      </c>
      <c r="CF270" s="416" t="str">
        <f>IFERROR(WWWW[[#This Row],['#_Household passed]]/WWWW[[#This Row],['#_Household water samples tested for fecal coliform]],"no test")</f>
        <v>no test</v>
      </c>
      <c r="CG270" s="417" t="str">
        <f>IF(AND(WWWW[[#This Row],[% of water sources passed]]="no test",WWWW[[#This Row],[% Household passed]]="no test"),"No Test","Tested")</f>
        <v>No Test</v>
      </c>
      <c r="CH270" s="417">
        <f>WWWW[[#This Row],['#_Constructed/existing protected hand dug well]]-WWWW[[#This Row],['#_Non-functional protected hand dug well]]</f>
        <v>0</v>
      </c>
      <c r="CI270" s="417">
        <f>(WWWW[[#This Row],['#_Constructed/Existing tube wells/boreholes/handpumps_WASH_agency]]+WWWW[[#This Row],['#_Non-Cluster partner water tube-wells/boreholes/handpumps]])-WWWW[[#This Row],['#_Non-functional tube wells/boreholes/handpumps]]</f>
        <v>0</v>
      </c>
      <c r="CJ270" s="417">
        <f>WWWW[[#This Row],['#_Constructed/Existingwater storage tank with gravity fed reticulation system]]-WWWW[[#This Row],['#_Non-functional storage tank gravity fed reticulation system]]</f>
        <v>0</v>
      </c>
      <c r="CK270" s="417">
        <f>(WWWW[[#This Row],['#_Water_Liters_supplied_by_Water boating or water trucking]]/90)/15</f>
        <v>0</v>
      </c>
      <c r="CL270" s="417">
        <f>WWWW[[#This Row],['#_Water_Liters_from_Constructed/Existing water distribution system from river or natural spring]]/90/15</f>
        <v>0</v>
      </c>
      <c r="CM270" s="417">
        <f>IF(WWWW[[#This Row],['#_of water points in TLS/CFS]]*500&gt;WWWW[[#This Row],[Total PoP ]],WWWW[[#This Row],[Total PoP ]],WWWW[[#This Row],['#_of water points in TLS/CFS]]*500)</f>
        <v>0</v>
      </c>
      <c r="CN270" s="417">
        <f>IF(WWWW[[#This Row],['#_of water points in THF]]*500&gt;WWWW[[#This Row],[Total PoP ]],WWWW[[#This Row],[Total PoP ]],WWWW[[#This Row],['#_of water points in THF]]*500)</f>
        <v>0</v>
      </c>
      <c r="CO270" s="417"/>
      <c r="CP270"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70"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70" s="416">
        <f>IF(WWWW[[#This Row],[Location Type 1]]="Village",WWWW[[#This Row],[Access to safe drinking water for Village]],WWWW[[#This Row],[Access to safe drinking water for Camp]])</f>
        <v>0</v>
      </c>
      <c r="CS270" s="421">
        <f>WWWW[[#This Row],[%Equitable and continuous access to sufficient quantity of safe drinking water]]*WWWW[[#This Row],[Total PoP ]]</f>
        <v>0</v>
      </c>
      <c r="CT270" s="416">
        <f>IF((WWWW[[#This Row],['#_Constructed/Existing protected/fenced ponds]]*250)/WWWW[[#This Row],[Total PoP ]]&gt;1,1,(WWWW[[#This Row],['#_Constructed/Existing protected/fenced ponds]]*250)/WWWW[[#This Row],[Total PoP ]])</f>
        <v>0</v>
      </c>
      <c r="CU270" s="421">
        <f>WWWW[[#This Row],[% Access to unimproved water points]]*WWWW[[#This Row],[Total PoP ]]</f>
        <v>0</v>
      </c>
      <c r="CV270"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270"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270" s="421">
        <f>WWWW[[#This Row],[HRP1]]/500</f>
        <v>0</v>
      </c>
      <c r="CY270" s="951">
        <f>1-WWWW[[#This Row],[% Equitable and continuous access to sufficient quantity of domestic water]]</f>
        <v>1</v>
      </c>
      <c r="CZ270" s="421">
        <f>WWWW[[#This Row],[%equitable and continuous access to sufficient quantity of safe drinking and domestic water''s GAP]]*WWWW[[#This Row],[Total PoP ]]</f>
        <v>71</v>
      </c>
      <c r="DA270" s="417">
        <f>IF(WWWW[[#This Row],[Total required water points]]-WWWW[[#This Row],['#Water points coverage]]&lt;0,0,WWWW[[#This Row],[Total required water points]]-WWWW[[#This Row],['#Water points coverage]])</f>
        <v>1</v>
      </c>
      <c r="DB270" s="417">
        <f>ROUND(IF(WWWW[[#This Row],[Total PoP ]]&lt;500,1,WWWW[[#This Row],[Total PoP ]]/500),0)</f>
        <v>1</v>
      </c>
      <c r="DC270" s="417">
        <f>(WWWW[[#This Row],['#_Constructed latrines_by_WASHAgencies]]+WWWW[[#This Row],['#_Non Cluster partner latrines]])-WWWW[[#This Row],['#_Non-functional latrines]]</f>
        <v>0</v>
      </c>
      <c r="DD270" s="615">
        <f>WWWW[[#This Row],[HRP2]]/WWWW[[#This Row],[Total PoP ]]</f>
        <v>0</v>
      </c>
      <c r="DE270"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70"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70"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70" s="417">
        <f>IF(WWWW[[#This Row],['# of functional latrines in THF supported by WASH partners during the reporting period2]]="",0,WWWW[[#This Row],['# of functional latrines in THF supported by WASH partners during the reporting period2]]*50)</f>
        <v>0</v>
      </c>
      <c r="DI270" s="417">
        <f>ROUND(IF(WWWW[[#This Row],[Location Type 1]]="camp",WWWW[[#This Row],[Total PoP ]]/20,IF(WWWW[[#This Row],[Location Type 1]]="Temporary Location",WWWW[[#This Row],[Total PoP ]]/50,(WWWW[[#This Row],[Total PoP ]]/6))),0)</f>
        <v>4</v>
      </c>
      <c r="DJ270" s="417">
        <f>IF(WWWW[[#This Row],[Total required Latrines]]-(WWWW[[#This Row],['#_Constructed latrines_by_WASHAgencies]]+WWWW[[#This Row],['#_Non Cluster partner latrines]])&lt;0,0,WWWW[[#This Row],[Total required Latrines]]-(WWWW[[#This Row],['#_Constructed latrines_by_WASHAgencies]]+WWWW[[#This Row],['#_Non Cluster partner latrines]]))</f>
        <v>4</v>
      </c>
      <c r="DK270" s="951">
        <f>1-WWWW[[#This Row],[% people access to functioning Latrine]]</f>
        <v>1</v>
      </c>
      <c r="DL270" s="615">
        <f>IF(OR(WWWW[[#This Row],['#_Non-functional latrines]]="",WWWW[[#This Row],['#_Non-functional latrines]]=0),0,WWWW[[#This Row],['#_Non-functional latrines]]/(WWWW[[#This Row],['#_Constructed latrines_by_WASHAgencies]]+WWWW[[#This Row],['#_Non Cluster partner latrines]]))</f>
        <v>0</v>
      </c>
      <c r="DM270" s="421">
        <f>IF(500*(WWWW[[#This Row],['#_male hygiene promoters]]+WWWW[[#This Row],['#_female hygiene promoters]])&gt;WWWW[[#This Row],[Total PoP ]],WWWW[[#This Row],[Total PoP ]],500*(WWWW[[#This Row],['#_male hygiene promoters]]+WWWW[[#This Row],['#_female hygiene promoters]]))</f>
        <v>0</v>
      </c>
      <c r="DN270"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70"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70" s="417">
        <f>IF(WWWW[[#This Row],['# People with access to soap]]&gt;WWWW[[#This Row],['# People with access to Sanity Pads]],WWWW[[#This Row],['# People with access to soap]],WWWW[[#This Row],['# People with access to Sanity Pads]])</f>
        <v>0</v>
      </c>
      <c r="DQ270"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70" s="951">
        <f>IF(WWWW[[#This Row],[HRP3]]/WWWW[[#This Row],[Total PoP ]]&gt;1,1,WWWW[[#This Row],[HRP3]]/WWWW[[#This Row],[Total PoP ]])</f>
        <v>0</v>
      </c>
      <c r="DS270" s="615">
        <f>1-WWWW[[#This Row],[Hygiene Coverage%]]</f>
        <v>1</v>
      </c>
      <c r="DT270" s="416">
        <f>WWWW[[#This Row],['# people reached by regular dedicated hygiene promotion_5]]/WWWW[[#This Row],[Total PoP ]]</f>
        <v>0</v>
      </c>
      <c r="DU270"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70"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70" s="417">
        <f>WWWW[[#This Row],['#_Constructed/Existing hand washing stations]]-WWWW[[#This Row],['#_Non-Functional_hand_washing_stations]]</f>
        <v>3</v>
      </c>
      <c r="DX270" s="421">
        <f>IF(WWWW[[#This Row],['# Functional hand washing stations during reporting period]]*20&gt;WWWW[[#This Row],[Total HH]],WWWW[[#This Row],[Total HH]],WWWW[[#This Row],['# Functional hand washing stations during reporting period]]*20)</f>
        <v>15</v>
      </c>
      <c r="DY270" s="421">
        <f>IF(WWWW[[#This Row],[Is sufficient soap available for TLS? (Yes/No)]]="yes",WWWW[[#This Row],['#_Constructed/Existing hand washing stations at TLS/CFS/THF]],0)</f>
        <v>0</v>
      </c>
      <c r="DZ270" s="421">
        <f>IF(WWWW[[#This Row],['# Functional hand washing stations during reporting period]]*100&gt;WWWW[[#This Row],[Total PoP ]],WWWW[[#This Row],[Total PoP ]],WWWW[[#This Row],['# Functional hand washing stations during reporting period]]*100)</f>
        <v>71</v>
      </c>
      <c r="EA270" s="421" t="str">
        <f>IF(OR(WWWW[[#This Row],['#_students at TLS_CFS]]="",WWWW[[#This Row],['#_students at TLS_CFS]]=0),"No","Yes")</f>
        <v>No</v>
      </c>
      <c r="EB27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70" s="566">
        <f>WWWW[[#This Row],[%_of_affected_people_surveyed_who_report_feeling_satistfied_with_the_latrine_design_and_sanitation_service]]*WWWW[[#This Row],[Total PoP ]]</f>
        <v>0</v>
      </c>
      <c r="ED270" s="566">
        <f>WWWW[[#This Row],[%_of_affected_people_surveyed_who_report_feeling_satistfied_with_the_water_point_design_and_water_service]]*WWWW[[#This Row],[Total PoP ]]</f>
        <v>0</v>
      </c>
      <c r="EE270" s="566">
        <f>WWWW[[#This Row],[%_of_complaints_received_that_result_in_timely_corrective_action_and_feedback_to_the_community]]*WWWW[[#This Row],[Total PoP ]]</f>
        <v>0</v>
      </c>
      <c r="EF27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7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7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70" s="418">
        <f>VLOOKUP(WWWW[[#This Row],[Site Name]],SiteDB6[[Site Name]:[CCCM Management]],6,FALSE)</f>
        <v>0</v>
      </c>
      <c r="EJ270" s="418" t="str">
        <f>VLOOKUP(WWWW[[#This Row],[Site Name]],SiteDB6[[Site Name]:[CCCM Focal Agency]],7,FALSE)</f>
        <v>uncovered</v>
      </c>
      <c r="EK270" s="418" t="str">
        <f>VLOOKUP(WWWW[[#This Row],[Site Name]],SiteDB6[[Site Name]:[Location Type 1]],9,FALSE)</f>
        <v>Camp</v>
      </c>
      <c r="EL270" s="418" t="str">
        <f>VLOOKUP(WWWW[[#This Row],[Site Name]],SiteDB6[[Site Name]:[Type of Accommodation]],10,FALSE)</f>
        <v>IDPs in host</v>
      </c>
      <c r="EM270" s="418" t="str">
        <f>VLOOKUP(WWWW[[#This Row],[Site Name]],SiteDB6[[Site Name]:[Ethnic or GCA/NGCA]],11,FALSE)</f>
        <v>GCA</v>
      </c>
      <c r="EN270" s="418">
        <f>VLOOKUP(WWWW[[#This Row],[Site Name]],SiteDB6[[Site Name]:[Lat]],12,FALSE)</f>
        <v>24.764959999999999</v>
      </c>
      <c r="EO270" s="418">
        <f>VLOOKUP(WWWW[[#This Row],[Site Name]],SiteDB6[[Site Name]:[Long]],13,FALSE)</f>
        <v>96.366919999999993</v>
      </c>
      <c r="EP270" s="418" t="str">
        <f>VLOOKUP(WWWW[[#This Row],[Site Name]],SiteDB6[[Site Name]:[Pcode]],3,FALSE)</f>
        <v>MMR001CMP233</v>
      </c>
      <c r="EQ270" s="950" t="str">
        <f t="shared" si="5"/>
        <v>Notcovered</v>
      </c>
      <c r="ER270" s="950"/>
      <c r="ES270" s="950" t="s">
        <v>41</v>
      </c>
      <c r="ET270" s="418">
        <f>VLOOKUP(WWWW[[#This Row],[Site Name]],SiteDB6[[Site Name]:[Pop
(Kachin/Shan-CCCM as of May 2023)]],16,FALSE)</f>
        <v>19</v>
      </c>
      <c r="EU270" s="418">
        <f>VLOOKUP(WWWW[[#This Row],[Site Name]],SiteDB6[[Site Name]:[Pop
(Kachin/Shan-CCCM as of May 2023)]],17,FALSE)</f>
        <v>78</v>
      </c>
    </row>
    <row r="271" spans="1:151">
      <c r="A271" s="946" t="s">
        <v>2962</v>
      </c>
      <c r="B271" s="946" t="s">
        <v>309</v>
      </c>
      <c r="C271" s="938" t="s">
        <v>309</v>
      </c>
      <c r="D271" s="938"/>
      <c r="E271" s="938" t="s">
        <v>37</v>
      </c>
      <c r="F271" s="938" t="s">
        <v>157</v>
      </c>
      <c r="G271" s="902" t="str">
        <f>VLOOKUP(WWWW[[#This Row],[Site Name]],SiteDB6[[Site Name]:[Location Type]],8,FALSE)</f>
        <v>Camp</v>
      </c>
      <c r="H271" s="938" t="s">
        <v>2992</v>
      </c>
      <c r="I271" s="441">
        <v>542</v>
      </c>
      <c r="J271" s="441">
        <v>2399</v>
      </c>
      <c r="K271" s="948"/>
      <c r="L271" s="949"/>
      <c r="M271" s="441"/>
      <c r="N271" s="441"/>
      <c r="O271" s="441"/>
      <c r="P271" s="441"/>
      <c r="Q271" s="421"/>
      <c r="R271" s="441"/>
      <c r="S271" s="441"/>
      <c r="T271" s="441"/>
      <c r="U271" s="441"/>
      <c r="V271" s="441"/>
      <c r="W271" s="441"/>
      <c r="X271" s="441"/>
      <c r="Y271" s="441"/>
      <c r="Z271" s="441"/>
      <c r="AA271" s="441"/>
      <c r="AB271" s="441"/>
      <c r="AC271" s="441"/>
      <c r="AD271" s="441"/>
      <c r="AE271" s="441"/>
      <c r="AF271" s="441"/>
      <c r="AG271" s="441"/>
      <c r="AH271" s="441"/>
      <c r="AI271" s="441"/>
      <c r="AJ271" s="441"/>
      <c r="AK271" s="441"/>
      <c r="AL271" s="441"/>
      <c r="AM271" s="441"/>
      <c r="AN271" s="441"/>
      <c r="AO271" s="441"/>
      <c r="AP271" s="950"/>
      <c r="AQ271" s="441"/>
      <c r="AR271" s="441"/>
      <c r="AS271" s="416"/>
      <c r="AT271" s="441"/>
      <c r="AU271" s="441"/>
      <c r="AV271" s="441"/>
      <c r="AW271" s="441"/>
      <c r="AX271" s="441"/>
      <c r="AY271" s="418"/>
      <c r="AZ271" s="950"/>
      <c r="BA271" s="441"/>
      <c r="BB271" s="441"/>
      <c r="BC271" s="441"/>
      <c r="BD271" s="441"/>
      <c r="BE271" s="441"/>
      <c r="BF271" s="418"/>
      <c r="BG271" s="441"/>
      <c r="BH271" s="441"/>
      <c r="BI271" s="441"/>
      <c r="BJ271" s="441"/>
      <c r="BK271" s="441"/>
      <c r="BL271" s="441"/>
      <c r="BM271" s="441"/>
      <c r="BN271" s="441"/>
      <c r="BO271" s="441"/>
      <c r="BP271" s="418"/>
      <c r="BQ271" s="417"/>
      <c r="BR271" s="416"/>
      <c r="BS271" s="418"/>
      <c r="BT271" s="416"/>
      <c r="BU271" s="416"/>
      <c r="BV271" s="418"/>
      <c r="BW271" s="416"/>
      <c r="BX271" s="441"/>
      <c r="BY271" s="441"/>
      <c r="BZ271" s="441"/>
      <c r="CA271" s="441"/>
      <c r="CB271" s="441"/>
      <c r="CC271" s="693"/>
      <c r="CD271" s="441"/>
      <c r="CE271" s="615" t="str">
        <f>IFERROR(WWWW[[#This Row],['#_Water sources passed]]/WWWW[[#This Row],['#_Water sources tested for fecal coliform ]],"no test")</f>
        <v>no test</v>
      </c>
      <c r="CF271" s="416" t="str">
        <f>IFERROR(WWWW[[#This Row],['#_Household passed]]/WWWW[[#This Row],['#_Household water samples tested for fecal coliform]],"no test")</f>
        <v>no test</v>
      </c>
      <c r="CG271" s="417" t="str">
        <f>IF(AND(WWWW[[#This Row],[% of water sources passed]]="no test",WWWW[[#This Row],[% Household passed]]="no test"),"No Test","Tested")</f>
        <v>No Test</v>
      </c>
      <c r="CH271" s="417">
        <f>WWWW[[#This Row],['#_Constructed/existing protected hand dug well]]-WWWW[[#This Row],['#_Non-functional protected hand dug well]]</f>
        <v>0</v>
      </c>
      <c r="CI271" s="417">
        <f>(WWWW[[#This Row],['#_Constructed/Existing tube wells/boreholes/handpumps_WASH_agency]]+WWWW[[#This Row],['#_Non-Cluster partner water tube-wells/boreholes/handpumps]])-WWWW[[#This Row],['#_Non-functional tube wells/boreholes/handpumps]]</f>
        <v>0</v>
      </c>
      <c r="CJ271" s="417">
        <f>WWWW[[#This Row],['#_Constructed/Existingwater storage tank with gravity fed reticulation system]]-WWWW[[#This Row],['#_Non-functional storage tank gravity fed reticulation system]]</f>
        <v>0</v>
      </c>
      <c r="CK271" s="417">
        <f>(WWWW[[#This Row],['#_Water_Liters_supplied_by_Water boating or water trucking]]/90)/15</f>
        <v>0</v>
      </c>
      <c r="CL271" s="417">
        <f>WWWW[[#This Row],['#_Water_Liters_from_Constructed/Existing water distribution system from river or natural spring]]/90/15</f>
        <v>0</v>
      </c>
      <c r="CM271" s="417">
        <f>IF(WWWW[[#This Row],['#_of water points in TLS/CFS]]*500&gt;WWWW[[#This Row],[Total PoP ]],WWWW[[#This Row],[Total PoP ]],WWWW[[#This Row],['#_of water points in TLS/CFS]]*500)</f>
        <v>0</v>
      </c>
      <c r="CN271" s="417">
        <f>IF(WWWW[[#This Row],['#_of water points in THF]]*500&gt;WWWW[[#This Row],[Total PoP ]],WWWW[[#This Row],[Total PoP ]],WWWW[[#This Row],['#_of water points in THF]]*500)</f>
        <v>0</v>
      </c>
      <c r="CO271" s="417"/>
      <c r="CP271"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71"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71" s="416">
        <f>IF(WWWW[[#This Row],[Location Type 1]]="Village",WWWW[[#This Row],[Access to safe drinking water for Village]],WWWW[[#This Row],[Access to safe drinking water for Camp]])</f>
        <v>0</v>
      </c>
      <c r="CS271" s="421">
        <f>WWWW[[#This Row],[%Equitable and continuous access to sufficient quantity of safe drinking water]]*WWWW[[#This Row],[Total PoP ]]</f>
        <v>0</v>
      </c>
      <c r="CT271" s="416">
        <f>IF((WWWW[[#This Row],['#_Constructed/Existing protected/fenced ponds]]*250)/WWWW[[#This Row],[Total PoP ]]&gt;1,1,(WWWW[[#This Row],['#_Constructed/Existing protected/fenced ponds]]*250)/WWWW[[#This Row],[Total PoP ]])</f>
        <v>0</v>
      </c>
      <c r="CU271" s="421">
        <f>WWWW[[#This Row],[% Access to unimproved water points]]*WWWW[[#This Row],[Total PoP ]]</f>
        <v>0</v>
      </c>
      <c r="CV271"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271"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271" s="421">
        <f>WWWW[[#This Row],[HRP1]]/500</f>
        <v>0</v>
      </c>
      <c r="CY271" s="951">
        <f>1-WWWW[[#This Row],[% Equitable and continuous access to sufficient quantity of domestic water]]</f>
        <v>1</v>
      </c>
      <c r="CZ271" s="421">
        <f>WWWW[[#This Row],[%equitable and continuous access to sufficient quantity of safe drinking and domestic water''s GAP]]*WWWW[[#This Row],[Total PoP ]]</f>
        <v>2399</v>
      </c>
      <c r="DA271" s="417">
        <f>IF(WWWW[[#This Row],[Total required water points]]-WWWW[[#This Row],['#Water points coverage]]&lt;0,0,WWWW[[#This Row],[Total required water points]]-WWWW[[#This Row],['#Water points coverage]])</f>
        <v>5</v>
      </c>
      <c r="DB271" s="417">
        <f>ROUND(IF(WWWW[[#This Row],[Total PoP ]]&lt;500,1,WWWW[[#This Row],[Total PoP ]]/500),0)</f>
        <v>5</v>
      </c>
      <c r="DC271" s="417">
        <f>(WWWW[[#This Row],['#_Constructed latrines_by_WASHAgencies]]+WWWW[[#This Row],['#_Non Cluster partner latrines]])-WWWW[[#This Row],['#_Non-functional latrines]]</f>
        <v>0</v>
      </c>
      <c r="DD271" s="615">
        <f>WWWW[[#This Row],[HRP2]]/WWWW[[#This Row],[Total PoP ]]</f>
        <v>0</v>
      </c>
      <c r="DE271"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71"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71"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71" s="417">
        <f>IF(WWWW[[#This Row],['# of functional latrines in THF supported by WASH partners during the reporting period2]]="",0,WWWW[[#This Row],['# of functional latrines in THF supported by WASH partners during the reporting period2]]*50)</f>
        <v>0</v>
      </c>
      <c r="DI271" s="417">
        <f>ROUND(IF(WWWW[[#This Row],[Location Type 1]]="camp",WWWW[[#This Row],[Total PoP ]]/20,IF(WWWW[[#This Row],[Location Type 1]]="Temporary Location",WWWW[[#This Row],[Total PoP ]]/50,(WWWW[[#This Row],[Total PoP ]]/6))),0)</f>
        <v>120</v>
      </c>
      <c r="DJ271" s="417">
        <f>IF(WWWW[[#This Row],[Total required Latrines]]-(WWWW[[#This Row],['#_Constructed latrines_by_WASHAgencies]]+WWWW[[#This Row],['#_Non Cluster partner latrines]])&lt;0,0,WWWW[[#This Row],[Total required Latrines]]-(WWWW[[#This Row],['#_Constructed latrines_by_WASHAgencies]]+WWWW[[#This Row],['#_Non Cluster partner latrines]]))</f>
        <v>120</v>
      </c>
      <c r="DK271" s="951">
        <f>1-WWWW[[#This Row],[% people access to functioning Latrine]]</f>
        <v>1</v>
      </c>
      <c r="DL271" s="615">
        <f>IF(OR(WWWW[[#This Row],['#_Non-functional latrines]]="",WWWW[[#This Row],['#_Non-functional latrines]]=0),0,WWWW[[#This Row],['#_Non-functional latrines]]/(WWWW[[#This Row],['#_Constructed latrines_by_WASHAgencies]]+WWWW[[#This Row],['#_Non Cluster partner latrines]]))</f>
        <v>0</v>
      </c>
      <c r="DM271" s="421">
        <f>IF(500*(WWWW[[#This Row],['#_male hygiene promoters]]+WWWW[[#This Row],['#_female hygiene promoters]])&gt;WWWW[[#This Row],[Total PoP ]],WWWW[[#This Row],[Total PoP ]],500*(WWWW[[#This Row],['#_male hygiene promoters]]+WWWW[[#This Row],['#_female hygiene promoters]]))</f>
        <v>0</v>
      </c>
      <c r="DN271"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71"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71" s="417">
        <f>IF(WWWW[[#This Row],['# People with access to soap]]&gt;WWWW[[#This Row],['# People with access to Sanity Pads]],WWWW[[#This Row],['# People with access to soap]],WWWW[[#This Row],['# People with access to Sanity Pads]])</f>
        <v>0</v>
      </c>
      <c r="DQ271"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71" s="951">
        <f>IF(WWWW[[#This Row],[HRP3]]/WWWW[[#This Row],[Total PoP ]]&gt;1,1,WWWW[[#This Row],[HRP3]]/WWWW[[#This Row],[Total PoP ]])</f>
        <v>0</v>
      </c>
      <c r="DS271" s="615">
        <f>1-WWWW[[#This Row],[Hygiene Coverage%]]</f>
        <v>1</v>
      </c>
      <c r="DT271" s="416">
        <f>WWWW[[#This Row],['# people reached by regular dedicated hygiene promotion_5]]/WWWW[[#This Row],[Total PoP ]]</f>
        <v>0</v>
      </c>
      <c r="DU271"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71"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71" s="417">
        <f>WWWW[[#This Row],['#_Constructed/Existing hand washing stations]]-WWWW[[#This Row],['#_Non-Functional_hand_washing_stations]]</f>
        <v>0</v>
      </c>
      <c r="DX271" s="421">
        <f>IF(WWWW[[#This Row],['# Functional hand washing stations during reporting period]]*20&gt;WWWW[[#This Row],[Total HH]],WWWW[[#This Row],[Total HH]],WWWW[[#This Row],['# Functional hand washing stations during reporting period]]*20)</f>
        <v>0</v>
      </c>
      <c r="DY271" s="421">
        <f>IF(WWWW[[#This Row],[Is sufficient soap available for TLS? (Yes/No)]]="yes",WWWW[[#This Row],['#_Constructed/Existing hand washing stations at TLS/CFS/THF]],0)</f>
        <v>0</v>
      </c>
      <c r="DZ271" s="421">
        <f>IF(WWWW[[#This Row],['# Functional hand washing stations during reporting period]]*100&gt;WWWW[[#This Row],[Total PoP ]],WWWW[[#This Row],[Total PoP ]],WWWW[[#This Row],['# Functional hand washing stations during reporting period]]*100)</f>
        <v>0</v>
      </c>
      <c r="EA271" s="421" t="str">
        <f>IF(OR(WWWW[[#This Row],['#_students at TLS_CFS]]="",WWWW[[#This Row],['#_students at TLS_CFS]]=0),"No","Yes")</f>
        <v>No</v>
      </c>
      <c r="EB27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71" s="566">
        <f>WWWW[[#This Row],[%_of_affected_people_surveyed_who_report_feeling_satistfied_with_the_latrine_design_and_sanitation_service]]*WWWW[[#This Row],[Total PoP ]]</f>
        <v>0</v>
      </c>
      <c r="ED271" s="566">
        <f>WWWW[[#This Row],[%_of_affected_people_surveyed_who_report_feeling_satistfied_with_the_water_point_design_and_water_service]]*WWWW[[#This Row],[Total PoP ]]</f>
        <v>0</v>
      </c>
      <c r="EE271" s="566">
        <f>WWWW[[#This Row],[%_of_complaints_received_that_result_in_timely_corrective_action_and_feedback_to_the_community]]*WWWW[[#This Row],[Total PoP ]]</f>
        <v>0</v>
      </c>
      <c r="EF27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7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7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71" s="418">
        <f>VLOOKUP(WWWW[[#This Row],[Site Name]],SiteDB6[[Site Name]:[CCCM Management]],6,FALSE)</f>
        <v>0</v>
      </c>
      <c r="EJ271" s="418" t="str">
        <f>VLOOKUP(WWWW[[#This Row],[Site Name]],SiteDB6[[Site Name]:[CCCM Focal Agency]],7,FALSE)</f>
        <v>Uncovered</v>
      </c>
      <c r="EK271" s="418" t="str">
        <f>VLOOKUP(WWWW[[#This Row],[Site Name]],SiteDB6[[Site Name]:[Location Type 1]],9,FALSE)</f>
        <v>Camp</v>
      </c>
      <c r="EL271" s="418" t="str">
        <f>VLOOKUP(WWWW[[#This Row],[Site Name]],SiteDB6[[Site Name]:[Type of Accommodation]],10,FALSE)</f>
        <v>IDPs in Host</v>
      </c>
      <c r="EM271" s="418" t="str">
        <f>VLOOKUP(WWWW[[#This Row],[Site Name]],SiteDB6[[Site Name]:[Ethnic or GCA/NGCA]],11,FALSE)</f>
        <v>GCA</v>
      </c>
      <c r="EN271" s="418">
        <f>VLOOKUP(WWWW[[#This Row],[Site Name]],SiteDB6[[Site Name]:[Lat]],12,FALSE)</f>
        <v>0</v>
      </c>
      <c r="EO271" s="418" t="str">
        <f>VLOOKUP(WWWW[[#This Row],[Site Name]],SiteDB6[[Site Name]:[Long]],13,FALSE)</f>
        <v>not available</v>
      </c>
      <c r="EP271" s="418" t="str">
        <f>VLOOKUP(WWWW[[#This Row],[Site Name]],SiteDB6[[Site Name]:[Pcode]],3,FALSE)</f>
        <v>MMR001CMP304</v>
      </c>
      <c r="EQ271" s="950" t="str">
        <f t="shared" si="5"/>
        <v>Notcovered</v>
      </c>
      <c r="ER271" s="950"/>
      <c r="ES271" s="950" t="s">
        <v>41</v>
      </c>
      <c r="ET271" s="418">
        <f>VLOOKUP(WWWW[[#This Row],[Site Name]],SiteDB6[[Site Name]:[Pop
(Kachin/Shan-CCCM as of May 2023)]],16,FALSE)</f>
        <v>542</v>
      </c>
      <c r="EU271" s="418">
        <f>VLOOKUP(WWWW[[#This Row],[Site Name]],SiteDB6[[Site Name]:[Pop
(Kachin/Shan-CCCM as of May 2023)]],17,FALSE)</f>
        <v>2399</v>
      </c>
    </row>
    <row r="272" spans="1:151">
      <c r="A272" s="946" t="s">
        <v>2962</v>
      </c>
      <c r="B272" s="938" t="s">
        <v>3347</v>
      </c>
      <c r="C272" s="938" t="s">
        <v>3347</v>
      </c>
      <c r="D272" s="1005" t="s">
        <v>241</v>
      </c>
      <c r="E272" s="1005" t="s">
        <v>37</v>
      </c>
      <c r="F272" s="1005" t="s">
        <v>157</v>
      </c>
      <c r="G272" s="902" t="str">
        <f>VLOOKUP(WWWW[[#This Row],[Site Name]],SiteDB6[[Site Name]:[Location Type]],8,FALSE)</f>
        <v>Camp</v>
      </c>
      <c r="H272" s="1005" t="s">
        <v>158</v>
      </c>
      <c r="I272" s="954">
        <v>11</v>
      </c>
      <c r="J272" s="954">
        <v>58</v>
      </c>
      <c r="K272" s="955">
        <v>44811</v>
      </c>
      <c r="L272" s="956">
        <v>45175</v>
      </c>
      <c r="M272" s="954"/>
      <c r="N272" s="954">
        <v>1</v>
      </c>
      <c r="O272" s="954"/>
      <c r="P272" s="954"/>
      <c r="Q272" s="957" t="s">
        <v>41</v>
      </c>
      <c r="R272" s="954">
        <v>2</v>
      </c>
      <c r="S272" s="954">
        <v>2</v>
      </c>
      <c r="T272" s="441">
        <v>1</v>
      </c>
      <c r="U272" s="954"/>
      <c r="V272" s="954"/>
      <c r="W272" s="954">
        <v>1</v>
      </c>
      <c r="X272" s="954"/>
      <c r="Y272" s="954"/>
      <c r="Z272" s="954"/>
      <c r="AA272" s="954"/>
      <c r="AB272" s="954"/>
      <c r="AC272" s="954"/>
      <c r="AD272" s="954"/>
      <c r="AE272" s="954"/>
      <c r="AF272" s="954"/>
      <c r="AG272" s="954"/>
      <c r="AH272" s="976">
        <v>2</v>
      </c>
      <c r="AI272" s="954"/>
      <c r="AJ272" s="954"/>
      <c r="AK272" s="954"/>
      <c r="AL272" s="954"/>
      <c r="AM272" s="954"/>
      <c r="AN272" s="954"/>
      <c r="AO272" s="441"/>
      <c r="AP272" s="958"/>
      <c r="AQ272" s="954">
        <v>5</v>
      </c>
      <c r="AR272" s="954"/>
      <c r="AS272" s="959"/>
      <c r="AT272" s="954">
        <v>1</v>
      </c>
      <c r="AU272" s="954">
        <v>4</v>
      </c>
      <c r="AV272" s="954"/>
      <c r="AW272" s="954"/>
      <c r="AX272" s="954"/>
      <c r="AY272" s="953" t="s">
        <v>41</v>
      </c>
      <c r="AZ272" s="958" t="s">
        <v>137</v>
      </c>
      <c r="BA272" s="954"/>
      <c r="BB272" s="954"/>
      <c r="BC272" s="954"/>
      <c r="BD272" s="441"/>
      <c r="BE272" s="441"/>
      <c r="BF272" s="953"/>
      <c r="BG272" s="954">
        <v>4</v>
      </c>
      <c r="BH272" s="954"/>
      <c r="BI272" s="954"/>
      <c r="BJ272" s="954">
        <v>2</v>
      </c>
      <c r="BK272" s="954"/>
      <c r="BL272" s="954"/>
      <c r="BM272" s="954">
        <v>1</v>
      </c>
      <c r="BN272" s="954"/>
      <c r="BO272" s="954"/>
      <c r="BP272" s="953"/>
      <c r="BQ272" s="960"/>
      <c r="BR272" s="959"/>
      <c r="BS272" s="953"/>
      <c r="BT272" s="416"/>
      <c r="BU272" s="416"/>
      <c r="BV272" s="418"/>
      <c r="BW272" s="416"/>
      <c r="BX272" s="441"/>
      <c r="BY272" s="441"/>
      <c r="BZ272" s="441"/>
      <c r="CA272" s="441"/>
      <c r="CB272" s="441"/>
      <c r="CC272" s="693"/>
      <c r="CD272" s="441"/>
      <c r="CE272" s="961" t="str">
        <f>IFERROR(WWWW[[#This Row],['#_Water sources passed]]/WWWW[[#This Row],['#_Water sources tested for fecal coliform ]],"no test")</f>
        <v>no test</v>
      </c>
      <c r="CF272" s="959" t="str">
        <f>IFERROR(WWWW[[#This Row],['#_Household passed]]/WWWW[[#This Row],['#_Household water samples tested for fecal coliform]],"no test")</f>
        <v>no test</v>
      </c>
      <c r="CG272" s="960" t="str">
        <f>IF(AND(WWWW[[#This Row],[% of water sources passed]]="no test",WWWW[[#This Row],[% Household passed]]="no test"),"No Test","Tested")</f>
        <v>No Test</v>
      </c>
      <c r="CH272" s="960">
        <f>WWWW[[#This Row],['#_Constructed/existing protected hand dug well]]-WWWW[[#This Row],['#_Non-functional protected hand dug well]]</f>
        <v>1</v>
      </c>
      <c r="CI272" s="960">
        <f>(WWWW[[#This Row],['#_Constructed/Existing tube wells/boreholes/handpumps_WASH_agency]]+WWWW[[#This Row],['#_Non-Cluster partner water tube-wells/boreholes/handpumps]])-WWWW[[#This Row],['#_Non-functional tube wells/boreholes/handpumps]]</f>
        <v>1</v>
      </c>
      <c r="CJ272" s="960">
        <f>WWWW[[#This Row],['#_Constructed/Existingwater storage tank with gravity fed reticulation system]]-WWWW[[#This Row],['#_Non-functional storage tank gravity fed reticulation system]]</f>
        <v>0</v>
      </c>
      <c r="CK272" s="960">
        <f>(WWWW[[#This Row],['#_Water_Liters_supplied_by_Water boating or water trucking]]/90)/15</f>
        <v>0</v>
      </c>
      <c r="CL272" s="960">
        <f>WWWW[[#This Row],['#_Water_Liters_from_Constructed/Existing water distribution system from river or natural spring]]/90/15</f>
        <v>0</v>
      </c>
      <c r="CM272" s="417">
        <f>IF(WWWW[[#This Row],['#_of water points in TLS/CFS]]*500&gt;WWWW[[#This Row],[Total PoP ]],WWWW[[#This Row],[Total PoP ]],WWWW[[#This Row],['#_of water points in TLS/CFS]]*500)</f>
        <v>0</v>
      </c>
      <c r="CN272" s="417">
        <f>IF(WWWW[[#This Row],['#_of water points in THF]]*500&gt;WWWW[[#This Row],[Total PoP ]],WWWW[[#This Row],[Total PoP ]],WWWW[[#This Row],['#_of water points in THF]]*500)</f>
        <v>0</v>
      </c>
      <c r="CO272" s="417"/>
      <c r="CP272"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72"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72" s="959">
        <f>IF(WWWW[[#This Row],[Location Type 1]]="Village",WWWW[[#This Row],[Access to safe drinking water for Village]],WWWW[[#This Row],[Access to safe drinking water for Camp]])</f>
        <v>1</v>
      </c>
      <c r="CS272" s="957">
        <f>WWWW[[#This Row],[%Equitable and continuous access to sufficient quantity of safe drinking water]]*WWWW[[#This Row],[Total PoP ]]</f>
        <v>58</v>
      </c>
      <c r="CT272" s="959">
        <f>IF((WWWW[[#This Row],['#_Constructed/Existing protected/fenced ponds]]*250)/WWWW[[#This Row],[Total PoP ]]&gt;1,1,(WWWW[[#This Row],['#_Constructed/Existing protected/fenced ponds]]*250)/WWWW[[#This Row],[Total PoP ]])</f>
        <v>0</v>
      </c>
      <c r="CU272" s="957">
        <f>WWWW[[#This Row],[% Access to unimproved water points]]*WWWW[[#This Row],[Total PoP ]]</f>
        <v>0</v>
      </c>
      <c r="CV272"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72"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58</v>
      </c>
      <c r="CX272" s="957">
        <f>WWWW[[#This Row],[HRP1]]/500</f>
        <v>0.11600000000000001</v>
      </c>
      <c r="CY272" s="962">
        <f>1-WWWW[[#This Row],[% Equitable and continuous access to sufficient quantity of domestic water]]</f>
        <v>0</v>
      </c>
      <c r="CZ272" s="957">
        <f>WWWW[[#This Row],[%equitable and continuous access to sufficient quantity of safe drinking and domestic water''s GAP]]*WWWW[[#This Row],[Total PoP ]]</f>
        <v>0</v>
      </c>
      <c r="DA272" s="960">
        <f>IF(WWWW[[#This Row],[Total required water points]]-WWWW[[#This Row],['#Water points coverage]]&lt;0,0,WWWW[[#This Row],[Total required water points]]-WWWW[[#This Row],['#Water points coverage]])</f>
        <v>0.88400000000000001</v>
      </c>
      <c r="DB272" s="960">
        <f>ROUND(IF(WWWW[[#This Row],[Total PoP ]]&lt;500,1,WWWW[[#This Row],[Total PoP ]]/500),0)</f>
        <v>1</v>
      </c>
      <c r="DC272" s="960">
        <f>(WWWW[[#This Row],['#_Constructed latrines_by_WASHAgencies]]+WWWW[[#This Row],['#_Non Cluster partner latrines]])-WWWW[[#This Row],['#_Non-functional latrines]]</f>
        <v>4</v>
      </c>
      <c r="DD272" s="615">
        <f>WWWW[[#This Row],[HRP2]]/WWWW[[#This Row],[Total PoP ]]</f>
        <v>1</v>
      </c>
      <c r="DE272"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58</v>
      </c>
      <c r="DF272"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72"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72" s="417">
        <f>IF(WWWW[[#This Row],['# of functional latrines in THF supported by WASH partners during the reporting period2]]="",0,WWWW[[#This Row],['# of functional latrines in THF supported by WASH partners during the reporting period2]]*50)</f>
        <v>0</v>
      </c>
      <c r="DI272" s="960">
        <f>ROUND(IF(WWWW[[#This Row],[Location Type 1]]="camp",WWWW[[#This Row],[Total PoP ]]/20,IF(WWWW[[#This Row],[Location Type 1]]="Temporary Location",WWWW[[#This Row],[Total PoP ]]/50,(WWWW[[#This Row],[Total PoP ]]/6))),0)</f>
        <v>3</v>
      </c>
      <c r="DJ272" s="960">
        <f>IF(WWWW[[#This Row],[Total required Latrines]]-(WWWW[[#This Row],['#_Constructed latrines_by_WASHAgencies]]+WWWW[[#This Row],['#_Non Cluster partner latrines]])&lt;0,0,WWWW[[#This Row],[Total required Latrines]]-(WWWW[[#This Row],['#_Constructed latrines_by_WASHAgencies]]+WWWW[[#This Row],['#_Non Cluster partner latrines]]))</f>
        <v>0</v>
      </c>
      <c r="DK272" s="962">
        <f>1-WWWW[[#This Row],[% people access to functioning Latrine]]</f>
        <v>0</v>
      </c>
      <c r="DL272" s="961">
        <f>IF(OR(WWWW[[#This Row],['#_Non-functional latrines]]="",WWWW[[#This Row],['#_Non-functional latrines]]=0),0,WWWW[[#This Row],['#_Non-functional latrines]]/(WWWW[[#This Row],['#_Constructed latrines_by_WASHAgencies]]+WWWW[[#This Row],['#_Non Cluster partner latrines]]))</f>
        <v>0.2</v>
      </c>
      <c r="DM272" s="957">
        <f>IF(500*(WWWW[[#This Row],['#_male hygiene promoters]]+WWWW[[#This Row],['#_female hygiene promoters]])&gt;WWWW[[#This Row],[Total PoP ]],WWWW[[#This Row],[Total PoP ]],500*(WWWW[[#This Row],['#_male hygiene promoters]]+WWWW[[#This Row],['#_female hygiene promoters]]))</f>
        <v>58</v>
      </c>
      <c r="DN272"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72"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72" s="960">
        <f>IF(WWWW[[#This Row],['# People with access to soap]]&gt;WWWW[[#This Row],['# People with access to Sanity Pads]],WWWW[[#This Row],['# People with access to soap]],WWWW[[#This Row],['# People with access to Sanity Pads]])</f>
        <v>0</v>
      </c>
      <c r="DQ272" s="960">
        <f>IF(WWWW[[#This Row],['# people reached by regular dedicated hygiene promotion_5]]&gt;WWWW[[#This Row],['# People received regular supply of hygiene items_6]],WWWW[[#This Row],['# people reached by regular dedicated hygiene promotion_5]],WWWW[[#This Row],['# People received regular supply of hygiene items_6]])</f>
        <v>58</v>
      </c>
      <c r="DR272" s="962">
        <f>IF(WWWW[[#This Row],[HRP3]]/WWWW[[#This Row],[Total PoP ]]&gt;1,1,WWWW[[#This Row],[HRP3]]/WWWW[[#This Row],[Total PoP ]])</f>
        <v>1</v>
      </c>
      <c r="DS272" s="961">
        <f>1-WWWW[[#This Row],[Hygiene Coverage%]]</f>
        <v>0</v>
      </c>
      <c r="DT272" s="959">
        <f>WWWW[[#This Row],['# people reached by regular dedicated hygiene promotion_5]]/WWWW[[#This Row],[Total PoP ]]</f>
        <v>1</v>
      </c>
      <c r="DU272"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72"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72" s="960">
        <f>WWWW[[#This Row],['#_Constructed/Existing hand washing stations]]-WWWW[[#This Row],['#_Non-Functional_hand_washing_stations]]</f>
        <v>4</v>
      </c>
      <c r="DX272" s="957">
        <f>IF(WWWW[[#This Row],['# Functional hand washing stations during reporting period]]*20&gt;WWWW[[#This Row],[Total HH]],WWWW[[#This Row],[Total HH]],WWWW[[#This Row],['# Functional hand washing stations during reporting period]]*20)</f>
        <v>11</v>
      </c>
      <c r="DY272" s="957">
        <f>IF(WWWW[[#This Row],[Is sufficient soap available for TLS? (Yes/No)]]="yes",WWWW[[#This Row],['#_Constructed/Existing hand washing stations at TLS/CFS/THF]],0)</f>
        <v>0</v>
      </c>
      <c r="DZ272" s="421">
        <f>IF(WWWW[[#This Row],['# Functional hand washing stations during reporting period]]*100&gt;WWWW[[#This Row],[Total PoP ]],WWWW[[#This Row],[Total PoP ]],WWWW[[#This Row],['# Functional hand washing stations during reporting period]]*100)</f>
        <v>58</v>
      </c>
      <c r="EA272" s="421" t="str">
        <f>IF(OR(WWWW[[#This Row],['#_students at TLS_CFS]]="",WWWW[[#This Row],['#_students at TLS_CFS]]=0),"No","Yes")</f>
        <v>No</v>
      </c>
      <c r="EB27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72" s="566">
        <f>WWWW[[#This Row],[%_of_affected_people_surveyed_who_report_feeling_satistfied_with_the_latrine_design_and_sanitation_service]]*WWWW[[#This Row],[Total PoP ]]</f>
        <v>0</v>
      </c>
      <c r="ED272" s="566">
        <f>WWWW[[#This Row],[%_of_affected_people_surveyed_who_report_feeling_satistfied_with_the_water_point_design_and_water_service]]*WWWW[[#This Row],[Total PoP ]]</f>
        <v>0</v>
      </c>
      <c r="EE272" s="566">
        <f>WWWW[[#This Row],[%_of_complaints_received_that_result_in_timely_corrective_action_and_feedback_to_the_community]]*WWWW[[#This Row],[Total PoP ]]</f>
        <v>0</v>
      </c>
      <c r="EF27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7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7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72" s="953" t="str">
        <f>VLOOKUP(WWWW[[#This Row],[Site Name]],SiteDB6[[Site Name]:[CCCM Management]],6,FALSE)</f>
        <v>Yes</v>
      </c>
      <c r="EJ272" s="953" t="str">
        <f>VLOOKUP(WWWW[[#This Row],[Site Name]],SiteDB6[[Site Name]:[CCCM Focal Agency]],7,FALSE)</f>
        <v>KBC-MYT</v>
      </c>
      <c r="EK272" s="953" t="str">
        <f>VLOOKUP(WWWW[[#This Row],[Site Name]],SiteDB6[[Site Name]:[Location Type 1]],9,FALSE)</f>
        <v>Camp</v>
      </c>
      <c r="EL272" s="953" t="str">
        <f>VLOOKUP(WWWW[[#This Row],[Site Name]],SiteDB6[[Site Name]:[Type of Accommodation]],10,FALSE)</f>
        <v>Camp</v>
      </c>
      <c r="EM272" s="953" t="str">
        <f>VLOOKUP(WWWW[[#This Row],[Site Name]],SiteDB6[[Site Name]:[Ethnic or GCA/NGCA]],11,FALSE)</f>
        <v>GCA</v>
      </c>
      <c r="EN272" s="953">
        <f>VLOOKUP(WWWW[[#This Row],[Site Name]],SiteDB6[[Site Name]:[Lat]],12,FALSE)</f>
        <v>24.998349999999999</v>
      </c>
      <c r="EO272" s="953">
        <f>VLOOKUP(WWWW[[#This Row],[Site Name]],SiteDB6[[Site Name]:[Long]],13,FALSE)</f>
        <v>96.364949999999993</v>
      </c>
      <c r="EP272" s="953" t="str">
        <f>VLOOKUP(WWWW[[#This Row],[Site Name]],SiteDB6[[Site Name]:[Pcode]],3,FALSE)</f>
        <v>MMR001CMP152</v>
      </c>
      <c r="EQ272" s="958" t="str">
        <f t="shared" si="5"/>
        <v>Covered</v>
      </c>
      <c r="ER272" s="950" t="s">
        <v>3126</v>
      </c>
      <c r="ES272" s="950" t="s">
        <v>3271</v>
      </c>
      <c r="ET272" s="953">
        <f>VLOOKUP(WWWW[[#This Row],[Site Name]],SiteDB6[[Site Name]:[Pop
(Kachin/Shan-CCCM as of May 2023)]],16,FALSE)</f>
        <v>28</v>
      </c>
      <c r="EU272" s="953">
        <f>VLOOKUP(WWWW[[#This Row],[Site Name]],SiteDB6[[Site Name]:[Pop
(Kachin/Shan-CCCM as of May 2023)]],17,FALSE)</f>
        <v>131</v>
      </c>
    </row>
    <row r="273" spans="1:151">
      <c r="A273" s="946" t="s">
        <v>2962</v>
      </c>
      <c r="B273" s="946" t="s">
        <v>309</v>
      </c>
      <c r="C273" s="938" t="s">
        <v>309</v>
      </c>
      <c r="D273" s="938"/>
      <c r="E273" s="938" t="s">
        <v>37</v>
      </c>
      <c r="F273" s="938" t="s">
        <v>157</v>
      </c>
      <c r="G273" s="902" t="str">
        <f>VLOOKUP(WWWW[[#This Row],[Site Name]],SiteDB6[[Site Name]:[Location Type]],8,FALSE)</f>
        <v>Camp</v>
      </c>
      <c r="H273" s="938" t="s">
        <v>2987</v>
      </c>
      <c r="I273" s="441">
        <v>92</v>
      </c>
      <c r="J273" s="441">
        <v>479</v>
      </c>
      <c r="K273" s="948"/>
      <c r="L273" s="949"/>
      <c r="M273" s="441"/>
      <c r="N273" s="441"/>
      <c r="O273" s="441"/>
      <c r="P273" s="441"/>
      <c r="Q273" s="421"/>
      <c r="R273" s="441"/>
      <c r="S273" s="441"/>
      <c r="T273" s="441"/>
      <c r="U273" s="441"/>
      <c r="V273" s="441"/>
      <c r="W273" s="441"/>
      <c r="X273" s="441"/>
      <c r="Y273" s="441"/>
      <c r="Z273" s="441"/>
      <c r="AA273" s="441"/>
      <c r="AB273" s="441"/>
      <c r="AC273" s="441"/>
      <c r="AD273" s="441"/>
      <c r="AE273" s="441"/>
      <c r="AF273" s="441"/>
      <c r="AG273" s="441"/>
      <c r="AH273" s="441"/>
      <c r="AI273" s="441"/>
      <c r="AJ273" s="441"/>
      <c r="AK273" s="441"/>
      <c r="AL273" s="441"/>
      <c r="AM273" s="441"/>
      <c r="AN273" s="441"/>
      <c r="AO273" s="441"/>
      <c r="AP273" s="950"/>
      <c r="AQ273" s="441"/>
      <c r="AR273" s="441"/>
      <c r="AS273" s="416"/>
      <c r="AT273" s="441"/>
      <c r="AU273" s="441"/>
      <c r="AV273" s="441"/>
      <c r="AW273" s="441"/>
      <c r="AX273" s="441"/>
      <c r="AY273" s="418"/>
      <c r="AZ273" s="950"/>
      <c r="BA273" s="441"/>
      <c r="BB273" s="441"/>
      <c r="BC273" s="441"/>
      <c r="BD273" s="441"/>
      <c r="BE273" s="441"/>
      <c r="BF273" s="418"/>
      <c r="BG273" s="441"/>
      <c r="BH273" s="441"/>
      <c r="BI273" s="441"/>
      <c r="BJ273" s="441"/>
      <c r="BK273" s="441"/>
      <c r="BL273" s="441"/>
      <c r="BM273" s="441"/>
      <c r="BN273" s="441"/>
      <c r="BO273" s="441"/>
      <c r="BP273" s="418"/>
      <c r="BQ273" s="417"/>
      <c r="BR273" s="416"/>
      <c r="BS273" s="418"/>
      <c r="BT273" s="416"/>
      <c r="BU273" s="416"/>
      <c r="BV273" s="418"/>
      <c r="BW273" s="416"/>
      <c r="BX273" s="441"/>
      <c r="BY273" s="441"/>
      <c r="BZ273" s="441"/>
      <c r="CA273" s="441"/>
      <c r="CB273" s="441"/>
      <c r="CC273" s="693"/>
      <c r="CD273" s="441"/>
      <c r="CE273" s="615" t="str">
        <f>IFERROR(WWWW[[#This Row],['#_Water sources passed]]/WWWW[[#This Row],['#_Water sources tested for fecal coliform ]],"no test")</f>
        <v>no test</v>
      </c>
      <c r="CF273" s="416" t="str">
        <f>IFERROR(WWWW[[#This Row],['#_Household passed]]/WWWW[[#This Row],['#_Household water samples tested for fecal coliform]],"no test")</f>
        <v>no test</v>
      </c>
      <c r="CG273" s="417" t="str">
        <f>IF(AND(WWWW[[#This Row],[% of water sources passed]]="no test",WWWW[[#This Row],[% Household passed]]="no test"),"No Test","Tested")</f>
        <v>No Test</v>
      </c>
      <c r="CH273" s="417">
        <f>WWWW[[#This Row],['#_Constructed/existing protected hand dug well]]-WWWW[[#This Row],['#_Non-functional protected hand dug well]]</f>
        <v>0</v>
      </c>
      <c r="CI273" s="417">
        <f>(WWWW[[#This Row],['#_Constructed/Existing tube wells/boreholes/handpumps_WASH_agency]]+WWWW[[#This Row],['#_Non-Cluster partner water tube-wells/boreholes/handpumps]])-WWWW[[#This Row],['#_Non-functional tube wells/boreholes/handpumps]]</f>
        <v>0</v>
      </c>
      <c r="CJ273" s="417">
        <f>WWWW[[#This Row],['#_Constructed/Existingwater storage tank with gravity fed reticulation system]]-WWWW[[#This Row],['#_Non-functional storage tank gravity fed reticulation system]]</f>
        <v>0</v>
      </c>
      <c r="CK273" s="417">
        <f>(WWWW[[#This Row],['#_Water_Liters_supplied_by_Water boating or water trucking]]/90)/15</f>
        <v>0</v>
      </c>
      <c r="CL273" s="417">
        <f>WWWW[[#This Row],['#_Water_Liters_from_Constructed/Existing water distribution system from river or natural spring]]/90/15</f>
        <v>0</v>
      </c>
      <c r="CM273" s="417">
        <f>IF(WWWW[[#This Row],['#_of water points in TLS/CFS]]*500&gt;WWWW[[#This Row],[Total PoP ]],WWWW[[#This Row],[Total PoP ]],WWWW[[#This Row],['#_of water points in TLS/CFS]]*500)</f>
        <v>0</v>
      </c>
      <c r="CN273" s="417">
        <f>IF(WWWW[[#This Row],['#_of water points in THF]]*500&gt;WWWW[[#This Row],[Total PoP ]],WWWW[[#This Row],[Total PoP ]],WWWW[[#This Row],['#_of water points in THF]]*500)</f>
        <v>0</v>
      </c>
      <c r="CO273" s="417"/>
      <c r="CP273"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73"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73" s="416">
        <f>IF(WWWW[[#This Row],[Location Type 1]]="Village",WWWW[[#This Row],[Access to safe drinking water for Village]],WWWW[[#This Row],[Access to safe drinking water for Camp]])</f>
        <v>0</v>
      </c>
      <c r="CS273" s="421">
        <f>WWWW[[#This Row],[%Equitable and continuous access to sufficient quantity of safe drinking water]]*WWWW[[#This Row],[Total PoP ]]</f>
        <v>0</v>
      </c>
      <c r="CT273" s="416">
        <f>IF((WWWW[[#This Row],['#_Constructed/Existing protected/fenced ponds]]*250)/WWWW[[#This Row],[Total PoP ]]&gt;1,1,(WWWW[[#This Row],['#_Constructed/Existing protected/fenced ponds]]*250)/WWWW[[#This Row],[Total PoP ]])</f>
        <v>0</v>
      </c>
      <c r="CU273" s="421">
        <f>WWWW[[#This Row],[% Access to unimproved water points]]*WWWW[[#This Row],[Total PoP ]]</f>
        <v>0</v>
      </c>
      <c r="CV273"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273"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273" s="421">
        <f>WWWW[[#This Row],[HRP1]]/500</f>
        <v>0</v>
      </c>
      <c r="CY273" s="951">
        <f>1-WWWW[[#This Row],[% Equitable and continuous access to sufficient quantity of domestic water]]</f>
        <v>1</v>
      </c>
      <c r="CZ273" s="421">
        <f>WWWW[[#This Row],[%equitable and continuous access to sufficient quantity of safe drinking and domestic water''s GAP]]*WWWW[[#This Row],[Total PoP ]]</f>
        <v>479</v>
      </c>
      <c r="DA273" s="417">
        <f>IF(WWWW[[#This Row],[Total required water points]]-WWWW[[#This Row],['#Water points coverage]]&lt;0,0,WWWW[[#This Row],[Total required water points]]-WWWW[[#This Row],['#Water points coverage]])</f>
        <v>1</v>
      </c>
      <c r="DB273" s="417">
        <f>ROUND(IF(WWWW[[#This Row],[Total PoP ]]&lt;500,1,WWWW[[#This Row],[Total PoP ]]/500),0)</f>
        <v>1</v>
      </c>
      <c r="DC273" s="417">
        <f>(WWWW[[#This Row],['#_Constructed latrines_by_WASHAgencies]]+WWWW[[#This Row],['#_Non Cluster partner latrines]])-WWWW[[#This Row],['#_Non-functional latrines]]</f>
        <v>0</v>
      </c>
      <c r="DD273" s="615">
        <f>WWWW[[#This Row],[HRP2]]/WWWW[[#This Row],[Total PoP ]]</f>
        <v>0</v>
      </c>
      <c r="DE273"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73"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73"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73" s="417">
        <f>IF(WWWW[[#This Row],['# of functional latrines in THF supported by WASH partners during the reporting period2]]="",0,WWWW[[#This Row],['# of functional latrines in THF supported by WASH partners during the reporting period2]]*50)</f>
        <v>0</v>
      </c>
      <c r="DI273" s="417">
        <f>ROUND(IF(WWWW[[#This Row],[Location Type 1]]="camp",WWWW[[#This Row],[Total PoP ]]/20,IF(WWWW[[#This Row],[Location Type 1]]="Temporary Location",WWWW[[#This Row],[Total PoP ]]/50,(WWWW[[#This Row],[Total PoP ]]/6))),0)</f>
        <v>24</v>
      </c>
      <c r="DJ273" s="417">
        <f>IF(WWWW[[#This Row],[Total required Latrines]]-(WWWW[[#This Row],['#_Constructed latrines_by_WASHAgencies]]+WWWW[[#This Row],['#_Non Cluster partner latrines]])&lt;0,0,WWWW[[#This Row],[Total required Latrines]]-(WWWW[[#This Row],['#_Constructed latrines_by_WASHAgencies]]+WWWW[[#This Row],['#_Non Cluster partner latrines]]))</f>
        <v>24</v>
      </c>
      <c r="DK273" s="951">
        <f>1-WWWW[[#This Row],[% people access to functioning Latrine]]</f>
        <v>1</v>
      </c>
      <c r="DL273" s="615">
        <f>IF(OR(WWWW[[#This Row],['#_Non-functional latrines]]="",WWWW[[#This Row],['#_Non-functional latrines]]=0),0,WWWW[[#This Row],['#_Non-functional latrines]]/(WWWW[[#This Row],['#_Constructed latrines_by_WASHAgencies]]+WWWW[[#This Row],['#_Non Cluster partner latrines]]))</f>
        <v>0</v>
      </c>
      <c r="DM273" s="421">
        <f>IF(500*(WWWW[[#This Row],['#_male hygiene promoters]]+WWWW[[#This Row],['#_female hygiene promoters]])&gt;WWWW[[#This Row],[Total PoP ]],WWWW[[#This Row],[Total PoP ]],500*(WWWW[[#This Row],['#_male hygiene promoters]]+WWWW[[#This Row],['#_female hygiene promoters]]))</f>
        <v>0</v>
      </c>
      <c r="DN273"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73"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73" s="417">
        <f>IF(WWWW[[#This Row],['# People with access to soap]]&gt;WWWW[[#This Row],['# People with access to Sanity Pads]],WWWW[[#This Row],['# People with access to soap]],WWWW[[#This Row],['# People with access to Sanity Pads]])</f>
        <v>0</v>
      </c>
      <c r="DQ273"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73" s="951">
        <f>IF(WWWW[[#This Row],[HRP3]]/WWWW[[#This Row],[Total PoP ]]&gt;1,1,WWWW[[#This Row],[HRP3]]/WWWW[[#This Row],[Total PoP ]])</f>
        <v>0</v>
      </c>
      <c r="DS273" s="615">
        <f>1-WWWW[[#This Row],[Hygiene Coverage%]]</f>
        <v>1</v>
      </c>
      <c r="DT273" s="416">
        <f>WWWW[[#This Row],['# people reached by regular dedicated hygiene promotion_5]]/WWWW[[#This Row],[Total PoP ]]</f>
        <v>0</v>
      </c>
      <c r="DU273"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73"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73" s="417">
        <f>WWWW[[#This Row],['#_Constructed/Existing hand washing stations]]-WWWW[[#This Row],['#_Non-Functional_hand_washing_stations]]</f>
        <v>0</v>
      </c>
      <c r="DX273" s="421">
        <f>IF(WWWW[[#This Row],['# Functional hand washing stations during reporting period]]*20&gt;WWWW[[#This Row],[Total HH]],WWWW[[#This Row],[Total HH]],WWWW[[#This Row],['# Functional hand washing stations during reporting period]]*20)</f>
        <v>0</v>
      </c>
      <c r="DY273" s="421">
        <f>IF(WWWW[[#This Row],[Is sufficient soap available for TLS? (Yes/No)]]="yes",WWWW[[#This Row],['#_Constructed/Existing hand washing stations at TLS/CFS/THF]],0)</f>
        <v>0</v>
      </c>
      <c r="DZ273" s="421">
        <f>IF(WWWW[[#This Row],['# Functional hand washing stations during reporting period]]*100&gt;WWWW[[#This Row],[Total PoP ]],WWWW[[#This Row],[Total PoP ]],WWWW[[#This Row],['# Functional hand washing stations during reporting period]]*100)</f>
        <v>0</v>
      </c>
      <c r="EA273" s="421" t="str">
        <f>IF(OR(WWWW[[#This Row],['#_students at TLS_CFS]]="",WWWW[[#This Row],['#_students at TLS_CFS]]=0),"No","Yes")</f>
        <v>No</v>
      </c>
      <c r="EB27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73" s="566">
        <f>WWWW[[#This Row],[%_of_affected_people_surveyed_who_report_feeling_satistfied_with_the_latrine_design_and_sanitation_service]]*WWWW[[#This Row],[Total PoP ]]</f>
        <v>0</v>
      </c>
      <c r="ED273" s="566">
        <f>WWWW[[#This Row],[%_of_affected_people_surveyed_who_report_feeling_satistfied_with_the_water_point_design_and_water_service]]*WWWW[[#This Row],[Total PoP ]]</f>
        <v>0</v>
      </c>
      <c r="EE273" s="566">
        <f>WWWW[[#This Row],[%_of_complaints_received_that_result_in_timely_corrective_action_and_feedback_to_the_community]]*WWWW[[#This Row],[Total PoP ]]</f>
        <v>0</v>
      </c>
      <c r="EF27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7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7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73" s="418">
        <f>VLOOKUP(WWWW[[#This Row],[Site Name]],SiteDB6[[Site Name]:[CCCM Management]],6,FALSE)</f>
        <v>0</v>
      </c>
      <c r="EJ273" s="418" t="str">
        <f>VLOOKUP(WWWW[[#This Row],[Site Name]],SiteDB6[[Site Name]:[CCCM Focal Agency]],7,FALSE)</f>
        <v>Uncovered</v>
      </c>
      <c r="EK273" s="418" t="str">
        <f>VLOOKUP(WWWW[[#This Row],[Site Name]],SiteDB6[[Site Name]:[Location Type 1]],9,FALSE)</f>
        <v>Camp</v>
      </c>
      <c r="EL273" s="418" t="str">
        <f>VLOOKUP(WWWW[[#This Row],[Site Name]],SiteDB6[[Site Name]:[Type of Accommodation]],10,FALSE)</f>
        <v>Camp like setting</v>
      </c>
      <c r="EM273" s="418" t="str">
        <f>VLOOKUP(WWWW[[#This Row],[Site Name]],SiteDB6[[Site Name]:[Ethnic or GCA/NGCA]],11,FALSE)</f>
        <v>NGCA</v>
      </c>
      <c r="EN273" s="418">
        <f>VLOOKUP(WWWW[[#This Row],[Site Name]],SiteDB6[[Site Name]:[Lat]],12,FALSE)</f>
        <v>0</v>
      </c>
      <c r="EO273" s="418" t="str">
        <f>VLOOKUP(WWWW[[#This Row],[Site Name]],SiteDB6[[Site Name]:[Long]],13,FALSE)</f>
        <v>not available</v>
      </c>
      <c r="EP273" s="418" t="str">
        <f>VLOOKUP(WWWW[[#This Row],[Site Name]],SiteDB6[[Site Name]:[Pcode]],3,FALSE)</f>
        <v>MMR001CMP299</v>
      </c>
      <c r="EQ273" s="950" t="str">
        <f t="shared" si="5"/>
        <v>Notcovered</v>
      </c>
      <c r="ER273" s="950"/>
      <c r="ES273" s="950" t="s">
        <v>41</v>
      </c>
      <c r="ET273" s="418">
        <f>VLOOKUP(WWWW[[#This Row],[Site Name]],SiteDB6[[Site Name]:[Pop
(Kachin/Shan-CCCM as of May 2023)]],16,FALSE)</f>
        <v>100</v>
      </c>
      <c r="EU273" s="418">
        <f>VLOOKUP(WWWW[[#This Row],[Site Name]],SiteDB6[[Site Name]:[Pop
(Kachin/Shan-CCCM as of May 2023)]],17,FALSE)</f>
        <v>506</v>
      </c>
    </row>
    <row r="274" spans="1:151">
      <c r="A274" s="1004" t="s">
        <v>2962</v>
      </c>
      <c r="B274" s="1004" t="s">
        <v>141</v>
      </c>
      <c r="C274" s="1005" t="s">
        <v>3331</v>
      </c>
      <c r="D274" s="1005" t="s">
        <v>3332</v>
      </c>
      <c r="E274" s="1005" t="s">
        <v>37</v>
      </c>
      <c r="F274" s="1005" t="s">
        <v>205</v>
      </c>
      <c r="G274" s="953" t="s">
        <v>3064</v>
      </c>
      <c r="H274" s="1005" t="s">
        <v>206</v>
      </c>
      <c r="I274" s="954">
        <v>110</v>
      </c>
      <c r="J274" s="954">
        <v>502</v>
      </c>
      <c r="K274" s="955" t="s">
        <v>3328</v>
      </c>
      <c r="L274" s="956" t="s">
        <v>3329</v>
      </c>
      <c r="M274" s="954"/>
      <c r="N274" s="954"/>
      <c r="O274" s="954"/>
      <c r="P274" s="954"/>
      <c r="Q274" s="957" t="s">
        <v>41</v>
      </c>
      <c r="R274" s="954">
        <v>2</v>
      </c>
      <c r="S274" s="954">
        <v>3</v>
      </c>
      <c r="T274" s="441">
        <v>3</v>
      </c>
      <c r="U274" s="954"/>
      <c r="V274" s="954"/>
      <c r="W274" s="954">
        <v>2</v>
      </c>
      <c r="X274" s="954"/>
      <c r="Y274" s="954"/>
      <c r="Z274" s="954">
        <v>1</v>
      </c>
      <c r="AA274" s="954"/>
      <c r="AB274" s="954">
        <v>2</v>
      </c>
      <c r="AC274" s="954">
        <v>1</v>
      </c>
      <c r="AD274" s="954"/>
      <c r="AE274" s="954"/>
      <c r="AF274" s="954"/>
      <c r="AG274" s="954"/>
      <c r="AH274" s="954"/>
      <c r="AI274" s="954"/>
      <c r="AJ274" s="954"/>
      <c r="AK274" s="954"/>
      <c r="AL274" s="954"/>
      <c r="AM274" s="954"/>
      <c r="AN274" s="954"/>
      <c r="AO274" s="441"/>
      <c r="AP274" s="958"/>
      <c r="AQ274" s="954">
        <v>31</v>
      </c>
      <c r="AR274" s="954"/>
      <c r="AS274" s="959"/>
      <c r="AT274" s="971">
        <v>4</v>
      </c>
      <c r="AU274" s="971">
        <v>9</v>
      </c>
      <c r="AV274" s="971">
        <v>6</v>
      </c>
      <c r="AW274" s="954"/>
      <c r="AX274" s="954"/>
      <c r="AY274" s="953" t="s">
        <v>41</v>
      </c>
      <c r="AZ274" s="958" t="s">
        <v>137</v>
      </c>
      <c r="BA274" s="954"/>
      <c r="BB274" s="954"/>
      <c r="BC274" s="954"/>
      <c r="BD274" s="441"/>
      <c r="BE274" s="441"/>
      <c r="BF274" s="953"/>
      <c r="BG274" s="954">
        <v>11</v>
      </c>
      <c r="BH274" s="954"/>
      <c r="BI274" s="954"/>
      <c r="BJ274" s="954">
        <v>3</v>
      </c>
      <c r="BK274" s="971">
        <v>2</v>
      </c>
      <c r="BL274" s="954"/>
      <c r="BM274" s="954"/>
      <c r="BN274" s="954"/>
      <c r="BO274" s="954"/>
      <c r="BP274" s="953"/>
      <c r="BQ274" s="960"/>
      <c r="BR274" s="959"/>
      <c r="BS274" s="953"/>
      <c r="BT274" s="416"/>
      <c r="BU274" s="416"/>
      <c r="BV274" s="418"/>
      <c r="BW274" s="416"/>
      <c r="BX274" s="441"/>
      <c r="BY274" s="441"/>
      <c r="BZ274" s="441"/>
      <c r="CA274" s="441"/>
      <c r="CB274" s="441"/>
      <c r="CC274" s="693"/>
      <c r="CD274" s="441"/>
      <c r="CE274" s="961" t="str">
        <f>IFERROR(WWWW[[#This Row],['#_Water sources passed]]/WWWW[[#This Row],['#_Water sources tested for fecal coliform ]],"no test")</f>
        <v>no test</v>
      </c>
      <c r="CF274" s="959" t="str">
        <f>IFERROR(WWWW[[#This Row],['#_Household passed]]/WWWW[[#This Row],['#_Household water samples tested for fecal coliform]],"no test")</f>
        <v>no test</v>
      </c>
      <c r="CG274" s="960" t="str">
        <f>IF(AND(WWWW[[#This Row],[% of water sources passed]]="no test",WWWW[[#This Row],[% Household passed]]="no test"),"No Test","Tested")</f>
        <v>No Test</v>
      </c>
      <c r="CH274" s="960">
        <f>WWWW[[#This Row],['#_Constructed/existing protected hand dug well]]-WWWW[[#This Row],['#_Non-functional protected hand dug well]]</f>
        <v>3</v>
      </c>
      <c r="CI274" s="960">
        <f>(WWWW[[#This Row],['#_Constructed/Existing tube wells/boreholes/handpumps_WASH_agency]]+WWWW[[#This Row],['#_Non-Cluster partner water tube-wells/boreholes/handpumps]])-WWWW[[#This Row],['#_Non-functional tube wells/boreholes/handpumps]]</f>
        <v>2</v>
      </c>
      <c r="CJ274" s="960">
        <f>WWWW[[#This Row],['#_Constructed/Existingwater storage tank with gravity fed reticulation system]]-WWWW[[#This Row],['#_Non-functional storage tank gravity fed reticulation system]]</f>
        <v>-2</v>
      </c>
      <c r="CK274" s="960">
        <f>(WWWW[[#This Row],['#_Water_Liters_supplied_by_Water boating or water trucking]]/90)/15</f>
        <v>0</v>
      </c>
      <c r="CL274" s="960">
        <f>WWWW[[#This Row],['#_Water_Liters_from_Constructed/Existing water distribution system from river or natural spring]]/90/15</f>
        <v>0</v>
      </c>
      <c r="CM274" s="417">
        <f>IF(WWWW[[#This Row],['#_of water points in TLS/CFS]]*500&gt;WWWW[[#This Row],[Total PoP ]],WWWW[[#This Row],[Total PoP ]],WWWW[[#This Row],['#_of water points in TLS/CFS]]*500)</f>
        <v>0</v>
      </c>
      <c r="CN274" s="417">
        <f>IF(WWWW[[#This Row],['#_of water points in THF]]*500&gt;WWWW[[#This Row],[Total PoP ]],WWWW[[#This Row],[Total PoP ]],WWWW[[#This Row],['#_of water points in THF]]*500)</f>
        <v>0</v>
      </c>
      <c r="CO274" s="417"/>
      <c r="CP274"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74"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74" s="959">
        <f>IF(WWWW[[#This Row],[Location Type 1]]="Village",WWWW[[#This Row],[Access to safe drinking water for Village]],WWWW[[#This Row],[Access to safe drinking water for Camp]])</f>
        <v>1</v>
      </c>
      <c r="CS274" s="957">
        <f>WWWW[[#This Row],[%Equitable and continuous access to sufficient quantity of safe drinking water]]*WWWW[[#This Row],[Total PoP ]]</f>
        <v>502</v>
      </c>
      <c r="CT274" s="959">
        <f>IF((WWWW[[#This Row],['#_Constructed/Existing protected/fenced ponds]]*250)/WWWW[[#This Row],[Total PoP ]]&gt;1,1,(WWWW[[#This Row],['#_Constructed/Existing protected/fenced ponds]]*250)/WWWW[[#This Row],[Total PoP ]])</f>
        <v>0</v>
      </c>
      <c r="CU274" s="957">
        <f>WWWW[[#This Row],[% Access to unimproved water points]]*WWWW[[#This Row],[Total PoP ]]</f>
        <v>0</v>
      </c>
      <c r="CV274"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74"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502</v>
      </c>
      <c r="CX274" s="957">
        <f>WWWW[[#This Row],[HRP1]]/500</f>
        <v>1.004</v>
      </c>
      <c r="CY274" s="962">
        <f>1-WWWW[[#This Row],[% Equitable and continuous access to sufficient quantity of domestic water]]</f>
        <v>0</v>
      </c>
      <c r="CZ274" s="957">
        <f>WWWW[[#This Row],[%equitable and continuous access to sufficient quantity of safe drinking and domestic water''s GAP]]*WWWW[[#This Row],[Total PoP ]]</f>
        <v>0</v>
      </c>
      <c r="DA274" s="960">
        <f>IF(WWWW[[#This Row],[Total required water points]]-WWWW[[#This Row],['#Water points coverage]]&lt;0,0,WWWW[[#This Row],[Total required water points]]-WWWW[[#This Row],['#Water points coverage]])</f>
        <v>0</v>
      </c>
      <c r="DB274" s="960">
        <f>ROUND(IF(WWWW[[#This Row],[Total PoP ]]&lt;500,1,WWWW[[#This Row],[Total PoP ]]/500),0)</f>
        <v>1</v>
      </c>
      <c r="DC274" s="960">
        <f>(WWWW[[#This Row],['#_Constructed latrines_by_WASHAgencies]]+WWWW[[#This Row],['#_Non Cluster partner latrines]])-WWWW[[#This Row],['#_Non-functional latrines]]</f>
        <v>27</v>
      </c>
      <c r="DD274" s="615">
        <f>WWWW[[#This Row],[HRP2]]/WWWW[[#This Row],[Total PoP ]]</f>
        <v>1</v>
      </c>
      <c r="DE274"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502</v>
      </c>
      <c r="DF274"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G274"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74" s="417">
        <f>IF(WWWW[[#This Row],['# of functional latrines in THF supported by WASH partners during the reporting period2]]="",0,WWWW[[#This Row],['# of functional latrines in THF supported by WASH partners during the reporting period2]]*50)</f>
        <v>0</v>
      </c>
      <c r="DI274" s="960">
        <f>ROUND(IF(WWWW[[#This Row],[Location Type 1]]="camp",WWWW[[#This Row],[Total PoP ]]/20,IF(WWWW[[#This Row],[Location Type 1]]="Temporary Location",WWWW[[#This Row],[Total PoP ]]/50,(WWWW[[#This Row],[Total PoP ]]/6))),0)</f>
        <v>25</v>
      </c>
      <c r="DJ274" s="960">
        <f>IF(WWWW[[#This Row],[Total required Latrines]]-(WWWW[[#This Row],['#_Constructed latrines_by_WASHAgencies]]+WWWW[[#This Row],['#_Non Cluster partner latrines]])&lt;0,0,WWWW[[#This Row],[Total required Latrines]]-(WWWW[[#This Row],['#_Constructed latrines_by_WASHAgencies]]+WWWW[[#This Row],['#_Non Cluster partner latrines]]))</f>
        <v>0</v>
      </c>
      <c r="DK274" s="962">
        <f>1-WWWW[[#This Row],[% people access to functioning Latrine]]</f>
        <v>0</v>
      </c>
      <c r="DL274" s="961">
        <f>IF(OR(WWWW[[#This Row],['#_Non-functional latrines]]="",WWWW[[#This Row],['#_Non-functional latrines]]=0),0,WWWW[[#This Row],['#_Non-functional latrines]]/(WWWW[[#This Row],['#_Constructed latrines_by_WASHAgencies]]+WWWW[[#This Row],['#_Non Cluster partner latrines]]))</f>
        <v>0.12903225806451613</v>
      </c>
      <c r="DM274" s="957">
        <f>IF(500*(WWWW[[#This Row],['#_male hygiene promoters]]+WWWW[[#This Row],['#_female hygiene promoters]])&gt;WWWW[[#This Row],[Total PoP ]],WWWW[[#This Row],[Total PoP ]],500*(WWWW[[#This Row],['#_male hygiene promoters]]+WWWW[[#This Row],['#_female hygiene promoters]]))</f>
        <v>0</v>
      </c>
      <c r="DN274"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74"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74" s="960">
        <f>IF(WWWW[[#This Row],['# People with access to soap]]&gt;WWWW[[#This Row],['# People with access to Sanity Pads]],WWWW[[#This Row],['# People with access to soap]],WWWW[[#This Row],['# People with access to Sanity Pads]])</f>
        <v>0</v>
      </c>
      <c r="DQ274" s="960">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74" s="962">
        <f>IF(WWWW[[#This Row],[HRP3]]/WWWW[[#This Row],[Total PoP ]]&gt;1,1,WWWW[[#This Row],[HRP3]]/WWWW[[#This Row],[Total PoP ]])</f>
        <v>0</v>
      </c>
      <c r="DS274" s="961">
        <f>1-WWWW[[#This Row],[Hygiene Coverage%]]</f>
        <v>1</v>
      </c>
      <c r="DT274" s="959">
        <f>WWWW[[#This Row],['# people reached by regular dedicated hygiene promotion_5]]/WWWW[[#This Row],[Total PoP ]]</f>
        <v>0</v>
      </c>
      <c r="DU274"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74"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74" s="960">
        <f>WWWW[[#This Row],['#_Constructed/Existing hand washing stations]]-WWWW[[#This Row],['#_Non-Functional_hand_washing_stations]]</f>
        <v>11</v>
      </c>
      <c r="DX274" s="957">
        <f>IF(WWWW[[#This Row],['# Functional hand washing stations during reporting period]]*20&gt;WWWW[[#This Row],[Total HH]],WWWW[[#This Row],[Total HH]],WWWW[[#This Row],['# Functional hand washing stations during reporting period]]*20)</f>
        <v>110</v>
      </c>
      <c r="DY274" s="957">
        <f>IF(WWWW[[#This Row],[Is sufficient soap available for TLS? (Yes/No)]]="yes",WWWW[[#This Row],['#_Constructed/Existing hand washing stations at TLS/CFS/THF]],0)</f>
        <v>0</v>
      </c>
      <c r="DZ274" s="421">
        <f>IF(WWWW[[#This Row],['# Functional hand washing stations during reporting period]]*100&gt;WWWW[[#This Row],[Total PoP ]],WWWW[[#This Row],[Total PoP ]],WWWW[[#This Row],['# Functional hand washing stations during reporting period]]*100)</f>
        <v>502</v>
      </c>
      <c r="EA274" s="421" t="str">
        <f>IF(OR(WWWW[[#This Row],['#_students at TLS_CFS]]="",WWWW[[#This Row],['#_students at TLS_CFS]]=0),"No","Yes")</f>
        <v>No</v>
      </c>
      <c r="EB27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74" s="566">
        <f>WWWW[[#This Row],[%_of_affected_people_surveyed_who_report_feeling_satistfied_with_the_latrine_design_and_sanitation_service]]*WWWW[[#This Row],[Total PoP ]]</f>
        <v>0</v>
      </c>
      <c r="ED274" s="566">
        <f>WWWW[[#This Row],[%_of_affected_people_surveyed_who_report_feeling_satistfied_with_the_water_point_design_and_water_service]]*WWWW[[#This Row],[Total PoP ]]</f>
        <v>0</v>
      </c>
      <c r="EE274" s="566">
        <f>WWWW[[#This Row],[%_of_complaints_received_that_result_in_timely_corrective_action_and_feedback_to_the_community]]*WWWW[[#This Row],[Total PoP ]]</f>
        <v>0</v>
      </c>
      <c r="EF27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7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7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74" s="953">
        <f>VLOOKUP(WWWW[[#This Row],[Site Name]],SiteDB6[[Site Name]:[CCCM Management]],6,FALSE)</f>
        <v>0</v>
      </c>
      <c r="EJ274" s="953">
        <f>VLOOKUP(WWWW[[#This Row],[Site Name]],SiteDB6[[Site Name]:[CCCM Focal Agency]],7,FALSE)</f>
        <v>0</v>
      </c>
      <c r="EK274" s="953" t="str">
        <f>VLOOKUP(WWWW[[#This Row],[Site Name]],SiteDB6[[Site Name]:[Location Type 1]],9,FALSE)</f>
        <v>Camp</v>
      </c>
      <c r="EL274" s="953" t="str">
        <f>VLOOKUP(WWWW[[#This Row],[Site Name]],SiteDB6[[Site Name]:[Type of Accommodation]],10,FALSE)</f>
        <v>Camp</v>
      </c>
      <c r="EM274" s="953" t="str">
        <f>VLOOKUP(WWWW[[#This Row],[Site Name]],SiteDB6[[Site Name]:[Ethnic or GCA/NGCA]],11,FALSE)</f>
        <v>GCA</v>
      </c>
      <c r="EN274" s="953">
        <f>VLOOKUP(WWWW[[#This Row],[Site Name]],SiteDB6[[Site Name]:[Lat]],12,FALSE)</f>
        <v>0</v>
      </c>
      <c r="EO274" s="953">
        <f>VLOOKUP(WWWW[[#This Row],[Site Name]],SiteDB6[[Site Name]:[Long]],13,FALSE)</f>
        <v>0</v>
      </c>
      <c r="EP274" s="953">
        <f>VLOOKUP(WWWW[[#This Row],[Site Name]],SiteDB6[[Site Name]:[Pcode]],3,FALSE)</f>
        <v>0</v>
      </c>
      <c r="EQ274" s="958" t="str">
        <f t="shared" si="5"/>
        <v>Covered</v>
      </c>
      <c r="ER274" s="950" t="s">
        <v>3126</v>
      </c>
      <c r="ES274" s="950" t="s">
        <v>3351</v>
      </c>
      <c r="ET274" s="953">
        <f>VLOOKUP(WWWW[[#This Row],[Site Name]],SiteDB6[[Site Name]:[Pop
(Kachin/Shan-CCCM as of May 2023)]],16,FALSE)</f>
        <v>0</v>
      </c>
      <c r="EU274" s="953">
        <f>VLOOKUP(WWWW[[#This Row],[Site Name]],SiteDB6[[Site Name]:[Pop
(Kachin/Shan-CCCM as of May 2023)]],17,FALSE)</f>
        <v>0</v>
      </c>
    </row>
    <row r="275" spans="1:151">
      <c r="A275" s="946" t="s">
        <v>2962</v>
      </c>
      <c r="B275" s="946" t="s">
        <v>141</v>
      </c>
      <c r="C275" s="938" t="s">
        <v>3350</v>
      </c>
      <c r="D275" s="938"/>
      <c r="E275" s="938" t="s">
        <v>37</v>
      </c>
      <c r="F275" s="938" t="s">
        <v>205</v>
      </c>
      <c r="G275" s="902" t="s">
        <v>3064</v>
      </c>
      <c r="H275" s="938" t="s">
        <v>3258</v>
      </c>
      <c r="I275" s="954"/>
      <c r="J275" s="954"/>
      <c r="K275" s="955"/>
      <c r="L275" s="956"/>
      <c r="M275" s="954"/>
      <c r="N275" s="954"/>
      <c r="O275" s="954"/>
      <c r="P275" s="954"/>
      <c r="Q275" s="957"/>
      <c r="R275" s="954"/>
      <c r="S275" s="954"/>
      <c r="T275" s="441"/>
      <c r="U275" s="954"/>
      <c r="V275" s="954"/>
      <c r="W275" s="954"/>
      <c r="X275" s="954"/>
      <c r="Y275" s="954"/>
      <c r="Z275" s="954"/>
      <c r="AA275" s="954"/>
      <c r="AB275" s="954"/>
      <c r="AC275" s="954"/>
      <c r="AD275" s="954"/>
      <c r="AE275" s="954"/>
      <c r="AF275" s="954"/>
      <c r="AG275" s="954"/>
      <c r="AH275" s="954"/>
      <c r="AI275" s="954"/>
      <c r="AJ275" s="954"/>
      <c r="AK275" s="954"/>
      <c r="AL275" s="954"/>
      <c r="AM275" s="954"/>
      <c r="AN275" s="954"/>
      <c r="AO275" s="441"/>
      <c r="AP275" s="958"/>
      <c r="AQ275" s="954"/>
      <c r="AR275" s="954"/>
      <c r="AS275" s="959"/>
      <c r="AT275" s="954"/>
      <c r="AU275" s="954"/>
      <c r="AV275" s="954"/>
      <c r="AW275" s="954"/>
      <c r="AX275" s="954"/>
      <c r="AY275" s="418" t="s">
        <v>140</v>
      </c>
      <c r="AZ275" s="958"/>
      <c r="BA275" s="954"/>
      <c r="BB275" s="954"/>
      <c r="BC275" s="954"/>
      <c r="BD275" s="441"/>
      <c r="BE275" s="441"/>
      <c r="BF275" s="953"/>
      <c r="BG275" s="954"/>
      <c r="BH275" s="954"/>
      <c r="BI275" s="954"/>
      <c r="BJ275" s="954"/>
      <c r="BK275" s="954"/>
      <c r="BL275" s="954"/>
      <c r="BM275" s="954"/>
      <c r="BN275" s="954"/>
      <c r="BO275" s="954"/>
      <c r="BP275" s="953"/>
      <c r="BQ275" s="960"/>
      <c r="BR275" s="959"/>
      <c r="BS275" s="953"/>
      <c r="BT275" s="416"/>
      <c r="BU275" s="416"/>
      <c r="BV275" s="418"/>
      <c r="BW275" s="416"/>
      <c r="BX275" s="441"/>
      <c r="BY275" s="441"/>
      <c r="BZ275" s="441"/>
      <c r="CA275" s="441"/>
      <c r="CB275" s="441"/>
      <c r="CC275" s="693"/>
      <c r="CD275" s="441"/>
      <c r="CE275" s="961" t="str">
        <f>IFERROR(WWWW[[#This Row],['#_Water sources passed]]/WWWW[[#This Row],['#_Water sources tested for fecal coliform ]],"no test")</f>
        <v>no test</v>
      </c>
      <c r="CF275" s="959" t="str">
        <f>IFERROR(WWWW[[#This Row],['#_Household passed]]/WWWW[[#This Row],['#_Household water samples tested for fecal coliform]],"no test")</f>
        <v>no test</v>
      </c>
      <c r="CG275" s="960" t="str">
        <f>IF(AND(WWWW[[#This Row],[% of water sources passed]]="no test",WWWW[[#This Row],[% Household passed]]="no test"),"No Test","Tested")</f>
        <v>No Test</v>
      </c>
      <c r="CH275" s="960">
        <f>WWWW[[#This Row],['#_Constructed/existing protected hand dug well]]-WWWW[[#This Row],['#_Non-functional protected hand dug well]]</f>
        <v>0</v>
      </c>
      <c r="CI275" s="960">
        <f>(WWWW[[#This Row],['#_Constructed/Existing tube wells/boreholes/handpumps_WASH_agency]]+WWWW[[#This Row],['#_Non-Cluster partner water tube-wells/boreholes/handpumps]])-WWWW[[#This Row],['#_Non-functional tube wells/boreholes/handpumps]]</f>
        <v>0</v>
      </c>
      <c r="CJ275" s="960">
        <f>WWWW[[#This Row],['#_Constructed/Existingwater storage tank with gravity fed reticulation system]]-WWWW[[#This Row],['#_Non-functional storage tank gravity fed reticulation system]]</f>
        <v>0</v>
      </c>
      <c r="CK275" s="960">
        <f>(WWWW[[#This Row],['#_Water_Liters_supplied_by_Water boating or water trucking]]/90)/15</f>
        <v>0</v>
      </c>
      <c r="CL275" s="960">
        <f>WWWW[[#This Row],['#_Water_Liters_from_Constructed/Existing water distribution system from river or natural spring]]/90/15</f>
        <v>0</v>
      </c>
      <c r="CM275" s="417">
        <f>IF(WWWW[[#This Row],['#_of water points in TLS/CFS]]*500&gt;WWWW[[#This Row],[Total PoP ]],WWWW[[#This Row],[Total PoP ]],WWWW[[#This Row],['#_of water points in TLS/CFS]]*500)</f>
        <v>0</v>
      </c>
      <c r="CN275" s="417">
        <f>IF(WWWW[[#This Row],['#_of water points in THF]]*500&gt;WWWW[[#This Row],[Total PoP ]],WWWW[[#This Row],[Total PoP ]],WWWW[[#This Row],['#_of water points in THF]]*500)</f>
        <v>0</v>
      </c>
      <c r="CO275" s="417"/>
      <c r="CP275" s="961" t="str">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
      </c>
      <c r="CQ275" s="961" t="str">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
      </c>
      <c r="CR275" s="959" t="str">
        <f>IF(WWWW[[#This Row],[Location Type 1]]="Village",WWWW[[#This Row],[Access to safe drinking water for Village]],WWWW[[#This Row],[Access to safe drinking water for Camp]])</f>
        <v/>
      </c>
      <c r="CS275" s="957">
        <v>0</v>
      </c>
      <c r="CT275" s="959">
        <v>0</v>
      </c>
      <c r="CU275" s="957">
        <f>WWWW[[#This Row],[% Access to unimproved water points]]*WWWW[[#This Row],[Total PoP ]]</f>
        <v>0</v>
      </c>
      <c r="CV275" s="959">
        <v>0</v>
      </c>
      <c r="CW275"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275" s="957">
        <f>WWWW[[#This Row],[HRP1]]/500</f>
        <v>0</v>
      </c>
      <c r="CY275" s="962">
        <f>1-WWWW[[#This Row],[% Equitable and continuous access to sufficient quantity of domestic water]]</f>
        <v>1</v>
      </c>
      <c r="CZ275" s="957">
        <f>WWWW[[#This Row],[%equitable and continuous access to sufficient quantity of safe drinking and domestic water''s GAP]]*WWWW[[#This Row],[Total PoP ]]</f>
        <v>0</v>
      </c>
      <c r="DA275" s="960">
        <f>IF(WWWW[[#This Row],[Total required water points]]-WWWW[[#This Row],['#Water points coverage]]&lt;0,0,WWWW[[#This Row],[Total required water points]]-WWWW[[#This Row],['#Water points coverage]])</f>
        <v>1</v>
      </c>
      <c r="DB275" s="960">
        <f>ROUND(IF(WWWW[[#This Row],[Total PoP ]]&lt;500,1,WWWW[[#This Row],[Total PoP ]]/500),0)</f>
        <v>1</v>
      </c>
      <c r="DC275" s="960">
        <f>(WWWW[[#This Row],['#_Constructed latrines_by_WASHAgencies]]+WWWW[[#This Row],['#_Non Cluster partner latrines]])-WWWW[[#This Row],['#_Non-functional latrines]]</f>
        <v>0</v>
      </c>
      <c r="DD275" s="615">
        <v>0</v>
      </c>
      <c r="DE275"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75"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75"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75" s="417">
        <f>IF(WWWW[[#This Row],['# of functional latrines in THF supported by WASH partners during the reporting period2]]="",0,WWWW[[#This Row],['# of functional latrines in THF supported by WASH partners during the reporting period2]]*50)</f>
        <v>0</v>
      </c>
      <c r="DI275" s="960">
        <f>ROUND(IF(WWWW[[#This Row],[Location Type 1]]="camp",WWWW[[#This Row],[Total PoP ]]/20,IF(WWWW[[#This Row],[Location Type 1]]="Temporary Location",WWWW[[#This Row],[Total PoP ]]/50,(WWWW[[#This Row],[Total PoP ]]/6))),0)</f>
        <v>0</v>
      </c>
      <c r="DJ275" s="960">
        <f>IF(WWWW[[#This Row],[Total required Latrines]]-(WWWW[[#This Row],['#_Constructed latrines_by_WASHAgencies]]+WWWW[[#This Row],['#_Non Cluster partner latrines]])&lt;0,0,WWWW[[#This Row],[Total required Latrines]]-(WWWW[[#This Row],['#_Constructed latrines_by_WASHAgencies]]+WWWW[[#This Row],['#_Non Cluster partner latrines]]))</f>
        <v>0</v>
      </c>
      <c r="DK275" s="962">
        <f>1-WWWW[[#This Row],[% people access to functioning Latrine]]</f>
        <v>1</v>
      </c>
      <c r="DL275" s="961">
        <f>IF(OR(WWWW[[#This Row],['#_Non-functional latrines]]="",WWWW[[#This Row],['#_Non-functional latrines]]=0),0,WWWW[[#This Row],['#_Non-functional latrines]]/(WWWW[[#This Row],['#_Constructed latrines_by_WASHAgencies]]+WWWW[[#This Row],['#_Non Cluster partner latrines]]))</f>
        <v>0</v>
      </c>
      <c r="DM275" s="957">
        <f>IF(500*(WWWW[[#This Row],['#_male hygiene promoters]]+WWWW[[#This Row],['#_female hygiene promoters]])&gt;WWWW[[#This Row],[Total PoP ]],WWWW[[#This Row],[Total PoP ]],500*(WWWW[[#This Row],['#_male hygiene promoters]]+WWWW[[#This Row],['#_female hygiene promoters]]))</f>
        <v>0</v>
      </c>
      <c r="DN275"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75"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75" s="960">
        <f>IF(WWWW[[#This Row],['# People with access to soap]]&gt;WWWW[[#This Row],['# People with access to Sanity Pads]],WWWW[[#This Row],['# People with access to soap]],WWWW[[#This Row],['# People with access to Sanity Pads]])</f>
        <v>0</v>
      </c>
      <c r="DQ275" s="960">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75" s="962" t="e">
        <f>IF(WWWW[[#This Row],[HRP3]]/WWWW[[#This Row],[Total PoP ]]&gt;1,1,WWWW[[#This Row],[HRP3]]/WWWW[[#This Row],[Total PoP ]])</f>
        <v>#DIV/0!</v>
      </c>
      <c r="DS275" s="961" t="e">
        <f>1-WWWW[[#This Row],[Hygiene Coverage%]]</f>
        <v>#DIV/0!</v>
      </c>
      <c r="DT275" s="959" t="e">
        <f>WWWW[[#This Row],['# people reached by regular dedicated hygiene promotion_5]]/WWWW[[#This Row],[Total PoP ]]</f>
        <v>#DIV/0!</v>
      </c>
      <c r="DU275" s="961" t="e">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#DIV/0!</v>
      </c>
      <c r="DV275" s="959" t="e">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#DIV/0!</v>
      </c>
      <c r="DW275" s="960">
        <f>WWWW[[#This Row],['#_Constructed/Existing hand washing stations]]-WWWW[[#This Row],['#_Non-Functional_hand_washing_stations]]</f>
        <v>0</v>
      </c>
      <c r="DX275" s="957">
        <f>IF(WWWW[[#This Row],['# Functional hand washing stations during reporting period]]*20&gt;WWWW[[#This Row],[Total HH]],WWWW[[#This Row],[Total HH]],WWWW[[#This Row],['# Functional hand washing stations during reporting period]]*20)</f>
        <v>0</v>
      </c>
      <c r="DY275" s="957">
        <f>IF(WWWW[[#This Row],[Is sufficient soap available for TLS? (Yes/No)]]="yes",WWWW[[#This Row],['#_Constructed/Existing hand washing stations at TLS/CFS/THF]],0)</f>
        <v>0</v>
      </c>
      <c r="DZ275" s="421">
        <f>IF(WWWW[[#This Row],['# Functional hand washing stations during reporting period]]*100&gt;WWWW[[#This Row],[Total PoP ]],WWWW[[#This Row],[Total PoP ]],WWWW[[#This Row],['# Functional hand washing stations during reporting period]]*100)</f>
        <v>0</v>
      </c>
      <c r="EA275" s="421" t="str">
        <f>IF(OR(WWWW[[#This Row],['#_students at TLS_CFS]]="",WWWW[[#This Row],['#_students at TLS_CFS]]=0),"No","Yes")</f>
        <v>No</v>
      </c>
      <c r="EB27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75" s="566">
        <f>WWWW[[#This Row],[%_of_affected_people_surveyed_who_report_feeling_satistfied_with_the_latrine_design_and_sanitation_service]]*WWWW[[#This Row],[Total PoP ]]</f>
        <v>0</v>
      </c>
      <c r="ED275" s="566">
        <f>WWWW[[#This Row],[%_of_affected_people_surveyed_who_report_feeling_satistfied_with_the_water_point_design_and_water_service]]*WWWW[[#This Row],[Total PoP ]]</f>
        <v>0</v>
      </c>
      <c r="EE275" s="566">
        <f>WWWW[[#This Row],[%_of_complaints_received_that_result_in_timely_corrective_action_and_feedback_to_the_community]]*WWWW[[#This Row],[Total PoP ]]</f>
        <v>0</v>
      </c>
      <c r="EF27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7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7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75" s="953" t="e">
        <f>VLOOKUP(WWWW[[#This Row],[Site Name]],SiteDB6[[Site Name]:[CCCM Management]],6,FALSE)</f>
        <v>#N/A</v>
      </c>
      <c r="EJ275" s="953" t="e">
        <f>VLOOKUP(WWWW[[#This Row],[Site Name]],SiteDB6[[Site Name]:[CCCM Focal Agency]],7,FALSE)</f>
        <v>#N/A</v>
      </c>
      <c r="EK275" s="418" t="s">
        <v>43</v>
      </c>
      <c r="EL275" s="418" t="s">
        <v>43</v>
      </c>
      <c r="EM275" s="418" t="s">
        <v>44</v>
      </c>
      <c r="EN275" s="953" t="e">
        <f>VLOOKUP(WWWW[[#This Row],[Site Name]],SiteDB6[[Site Name]:[Lat]],12,FALSE)</f>
        <v>#N/A</v>
      </c>
      <c r="EO275" s="953" t="e">
        <f>VLOOKUP(WWWW[[#This Row],[Site Name]],SiteDB6[[Site Name]:[Long]],13,FALSE)</f>
        <v>#N/A</v>
      </c>
      <c r="EP275" s="953" t="e">
        <f>VLOOKUP(WWWW[[#This Row],[Site Name]],SiteDB6[[Site Name]:[Pcode]],3,FALSE)</f>
        <v>#N/A</v>
      </c>
      <c r="EQ275" s="958" t="str">
        <f t="shared" si="5"/>
        <v>Covered</v>
      </c>
      <c r="ER275" s="950" t="s">
        <v>3126</v>
      </c>
      <c r="ES275" s="958" t="s">
        <v>3274</v>
      </c>
      <c r="ET275" s="953" t="e">
        <f>VLOOKUP(WWWW[[#This Row],[Site Name]],SiteDB6[[Site Name]:[Pop
(Kachin/Shan-CCCM as of May 2023)]],16,FALSE)</f>
        <v>#N/A</v>
      </c>
      <c r="EU275" s="953" t="e">
        <f>VLOOKUP(WWWW[[#This Row],[Site Name]],SiteDB6[[Site Name]:[Pop
(Kachin/Shan-CCCM as of May 2023)]],17,FALSE)</f>
        <v>#N/A</v>
      </c>
    </row>
    <row r="276" spans="1:151">
      <c r="A276" s="946" t="s">
        <v>2962</v>
      </c>
      <c r="B276" s="1004" t="s">
        <v>36</v>
      </c>
      <c r="C276" s="1005" t="s">
        <v>36</v>
      </c>
      <c r="D276" s="1005" t="s">
        <v>241</v>
      </c>
      <c r="E276" s="1005" t="s">
        <v>37</v>
      </c>
      <c r="F276" s="1005" t="s">
        <v>205</v>
      </c>
      <c r="G276" s="902" t="str">
        <f>VLOOKUP(WWWW[[#This Row],[Site Name]],SiteDB6[[Site Name]:[Location Type]],8,FALSE)</f>
        <v>Camp</v>
      </c>
      <c r="H276" s="1005" t="s">
        <v>232</v>
      </c>
      <c r="I276" s="954">
        <v>72</v>
      </c>
      <c r="J276" s="954">
        <v>404</v>
      </c>
      <c r="K276" s="955">
        <v>44973</v>
      </c>
      <c r="L276" s="956">
        <v>45337</v>
      </c>
      <c r="M276" s="954"/>
      <c r="N276" s="954">
        <v>2</v>
      </c>
      <c r="O276" s="954"/>
      <c r="P276" s="954"/>
      <c r="Q276" s="957" t="s">
        <v>41</v>
      </c>
      <c r="R276" s="954">
        <v>3</v>
      </c>
      <c r="S276" s="954">
        <v>3</v>
      </c>
      <c r="T276" s="441">
        <v>3</v>
      </c>
      <c r="U276" s="954"/>
      <c r="V276" s="954"/>
      <c r="W276" s="954">
        <v>1</v>
      </c>
      <c r="X276" s="954"/>
      <c r="Y276" s="954"/>
      <c r="Z276" s="954"/>
      <c r="AA276" s="954">
        <v>1</v>
      </c>
      <c r="AB276" s="954"/>
      <c r="AC276" s="954"/>
      <c r="AD276" s="954"/>
      <c r="AE276" s="954"/>
      <c r="AF276" s="954"/>
      <c r="AG276" s="954"/>
      <c r="AH276" s="954"/>
      <c r="AI276" s="954"/>
      <c r="AJ276" s="954"/>
      <c r="AK276" s="954"/>
      <c r="AL276" s="954"/>
      <c r="AM276" s="954">
        <v>4</v>
      </c>
      <c r="AN276" s="954"/>
      <c r="AO276" s="441"/>
      <c r="AP276" s="958"/>
      <c r="AQ276" s="954">
        <v>20</v>
      </c>
      <c r="AR276" s="954"/>
      <c r="AS276" s="959"/>
      <c r="AT276" s="954"/>
      <c r="AU276" s="954"/>
      <c r="AV276" s="954"/>
      <c r="AW276" s="954"/>
      <c r="AX276" s="954"/>
      <c r="AY276" s="953" t="s">
        <v>41</v>
      </c>
      <c r="AZ276" s="958" t="s">
        <v>137</v>
      </c>
      <c r="BA276" s="954"/>
      <c r="BB276" s="954"/>
      <c r="BC276" s="954"/>
      <c r="BD276" s="441"/>
      <c r="BE276" s="441"/>
      <c r="BF276" s="953"/>
      <c r="BG276" s="954"/>
      <c r="BH276" s="954"/>
      <c r="BI276" s="954"/>
      <c r="BJ276" s="954">
        <v>3</v>
      </c>
      <c r="BK276" s="954"/>
      <c r="BL276" s="954"/>
      <c r="BM276" s="954">
        <v>2</v>
      </c>
      <c r="BN276" s="954"/>
      <c r="BO276" s="954"/>
      <c r="BP276" s="953" t="s">
        <v>41</v>
      </c>
      <c r="BQ276" s="960"/>
      <c r="BR276" s="959"/>
      <c r="BS276" s="953"/>
      <c r="BT276" s="416"/>
      <c r="BU276" s="416"/>
      <c r="BV276" s="418"/>
      <c r="BW276" s="416"/>
      <c r="BX276" s="441"/>
      <c r="BY276" s="441"/>
      <c r="BZ276" s="441"/>
      <c r="CA276" s="441"/>
      <c r="CB276" s="441"/>
      <c r="CC276" s="693"/>
      <c r="CD276" s="441"/>
      <c r="CE276" s="961" t="str">
        <f>IFERROR(WWWW[[#This Row],['#_Water sources passed]]/WWWW[[#This Row],['#_Water sources tested for fecal coliform ]],"no test")</f>
        <v>no test</v>
      </c>
      <c r="CF276" s="959" t="str">
        <f>IFERROR(WWWW[[#This Row],['#_Household passed]]/WWWW[[#This Row],['#_Household water samples tested for fecal coliform]],"no test")</f>
        <v>no test</v>
      </c>
      <c r="CG276" s="960" t="str">
        <f>IF(AND(WWWW[[#This Row],[% of water sources passed]]="no test",WWWW[[#This Row],[% Household passed]]="no test"),"No Test","Tested")</f>
        <v>No Test</v>
      </c>
      <c r="CH276" s="960">
        <f>WWWW[[#This Row],['#_Constructed/existing protected hand dug well]]-WWWW[[#This Row],['#_Non-functional protected hand dug well]]</f>
        <v>3</v>
      </c>
      <c r="CI276" s="960">
        <f>(WWWW[[#This Row],['#_Constructed/Existing tube wells/boreholes/handpumps_WASH_agency]]+WWWW[[#This Row],['#_Non-Cluster partner water tube-wells/boreholes/handpumps]])-WWWW[[#This Row],['#_Non-functional tube wells/boreholes/handpumps]]</f>
        <v>1</v>
      </c>
      <c r="CJ276" s="960">
        <f>WWWW[[#This Row],['#_Constructed/Existingwater storage tank with gravity fed reticulation system]]-WWWW[[#This Row],['#_Non-functional storage tank gravity fed reticulation system]]</f>
        <v>1</v>
      </c>
      <c r="CK276" s="960">
        <f>(WWWW[[#This Row],['#_Water_Liters_supplied_by_Water boating or water trucking]]/90)/15</f>
        <v>0</v>
      </c>
      <c r="CL276" s="960">
        <f>WWWW[[#This Row],['#_Water_Liters_from_Constructed/Existing water distribution system from river or natural spring]]/90/15</f>
        <v>0</v>
      </c>
      <c r="CM276" s="417">
        <f>IF(WWWW[[#This Row],['#_of water points in TLS/CFS]]*500&gt;WWWW[[#This Row],[Total PoP ]],WWWW[[#This Row],[Total PoP ]],WWWW[[#This Row],['#_of water points in TLS/CFS]]*500)</f>
        <v>0</v>
      </c>
      <c r="CN276" s="417">
        <f>IF(WWWW[[#This Row],['#_of water points in THF]]*500&gt;WWWW[[#This Row],[Total PoP ]],WWWW[[#This Row],[Total PoP ]],WWWW[[#This Row],['#_of water points in THF]]*500)</f>
        <v>0</v>
      </c>
      <c r="CO276" s="417"/>
      <c r="CP276"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76"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76" s="959">
        <f>IF(WWWW[[#This Row],[Location Type 1]]="Village",WWWW[[#This Row],[Access to safe drinking water for Village]],WWWW[[#This Row],[Access to safe drinking water for Camp]])</f>
        <v>1</v>
      </c>
      <c r="CS276" s="957">
        <f>WWWW[[#This Row],[%Equitable and continuous access to sufficient quantity of safe drinking water]]*WWWW[[#This Row],[Total PoP ]]</f>
        <v>404</v>
      </c>
      <c r="CT276" s="959">
        <f>IF((WWWW[[#This Row],['#_Constructed/Existing protected/fenced ponds]]*250)/WWWW[[#This Row],[Total PoP ]]&gt;1,1,(WWWW[[#This Row],['#_Constructed/Existing protected/fenced ponds]]*250)/WWWW[[#This Row],[Total PoP ]])</f>
        <v>0</v>
      </c>
      <c r="CU276" s="957">
        <f>WWWW[[#This Row],[% Access to unimproved water points]]*WWWW[[#This Row],[Total PoP ]]</f>
        <v>0</v>
      </c>
      <c r="CV276"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76"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404</v>
      </c>
      <c r="CX276" s="957">
        <f>WWWW[[#This Row],[HRP1]]/500</f>
        <v>0.80800000000000005</v>
      </c>
      <c r="CY276" s="962">
        <f>1-WWWW[[#This Row],[% Equitable and continuous access to sufficient quantity of domestic water]]</f>
        <v>0</v>
      </c>
      <c r="CZ276" s="957">
        <f>WWWW[[#This Row],[%equitable and continuous access to sufficient quantity of safe drinking and domestic water''s GAP]]*WWWW[[#This Row],[Total PoP ]]</f>
        <v>0</v>
      </c>
      <c r="DA276" s="960">
        <f>IF(WWWW[[#This Row],[Total required water points]]-WWWW[[#This Row],['#Water points coverage]]&lt;0,0,WWWW[[#This Row],[Total required water points]]-WWWW[[#This Row],['#Water points coverage]])</f>
        <v>0.19199999999999995</v>
      </c>
      <c r="DB276" s="960">
        <f>ROUND(IF(WWWW[[#This Row],[Total PoP ]]&lt;500,1,WWWW[[#This Row],[Total PoP ]]/500),0)</f>
        <v>1</v>
      </c>
      <c r="DC276" s="960">
        <f>(WWWW[[#This Row],['#_Constructed latrines_by_WASHAgencies]]+WWWW[[#This Row],['#_Non Cluster partner latrines]])-WWWW[[#This Row],['#_Non-functional latrines]]</f>
        <v>20</v>
      </c>
      <c r="DD276" s="615">
        <f>WWWW[[#This Row],[HRP2]]/WWWW[[#This Row],[Total PoP ]]</f>
        <v>0.99009900990099009</v>
      </c>
      <c r="DE276"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400</v>
      </c>
      <c r="DF276"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76"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76" s="417">
        <f>IF(WWWW[[#This Row],['# of functional latrines in THF supported by WASH partners during the reporting period2]]="",0,WWWW[[#This Row],['# of functional latrines in THF supported by WASH partners during the reporting period2]]*50)</f>
        <v>0</v>
      </c>
      <c r="DI276" s="960">
        <f>ROUND(IF(WWWW[[#This Row],[Location Type 1]]="camp",WWWW[[#This Row],[Total PoP ]]/20,IF(WWWW[[#This Row],[Location Type 1]]="Temporary Location",WWWW[[#This Row],[Total PoP ]]/50,(WWWW[[#This Row],[Total PoP ]]/6))),0)</f>
        <v>20</v>
      </c>
      <c r="DJ276" s="960">
        <f>IF(WWWW[[#This Row],[Total required Latrines]]-(WWWW[[#This Row],['#_Constructed latrines_by_WASHAgencies]]+WWWW[[#This Row],['#_Non Cluster partner latrines]])&lt;0,0,WWWW[[#This Row],[Total required Latrines]]-(WWWW[[#This Row],['#_Constructed latrines_by_WASHAgencies]]+WWWW[[#This Row],['#_Non Cluster partner latrines]]))</f>
        <v>0</v>
      </c>
      <c r="DK276" s="962">
        <f>1-WWWW[[#This Row],[% people access to functioning Latrine]]</f>
        <v>9.9009900990099098E-3</v>
      </c>
      <c r="DL276" s="961">
        <f>IF(OR(WWWW[[#This Row],['#_Non-functional latrines]]="",WWWW[[#This Row],['#_Non-functional latrines]]=0),0,WWWW[[#This Row],['#_Non-functional latrines]]/(WWWW[[#This Row],['#_Constructed latrines_by_WASHAgencies]]+WWWW[[#This Row],['#_Non Cluster partner latrines]]))</f>
        <v>0</v>
      </c>
      <c r="DM276" s="957">
        <f>IF(500*(WWWW[[#This Row],['#_male hygiene promoters]]+WWWW[[#This Row],['#_female hygiene promoters]])&gt;WWWW[[#This Row],[Total PoP ]],WWWW[[#This Row],[Total PoP ]],500*(WWWW[[#This Row],['#_male hygiene promoters]]+WWWW[[#This Row],['#_female hygiene promoters]]))</f>
        <v>404</v>
      </c>
      <c r="DN276"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76"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76" s="960">
        <f>IF(WWWW[[#This Row],['# People with access to soap]]&gt;WWWW[[#This Row],['# People with access to Sanity Pads]],WWWW[[#This Row],['# People with access to soap]],WWWW[[#This Row],['# People with access to Sanity Pads]])</f>
        <v>0</v>
      </c>
      <c r="DQ276" s="960">
        <f>IF(WWWW[[#This Row],['# people reached by regular dedicated hygiene promotion_5]]&gt;WWWW[[#This Row],['# People received regular supply of hygiene items_6]],WWWW[[#This Row],['# people reached by regular dedicated hygiene promotion_5]],WWWW[[#This Row],['# People received regular supply of hygiene items_6]])</f>
        <v>404</v>
      </c>
      <c r="DR276" s="962">
        <f>IF(WWWW[[#This Row],[HRP3]]/WWWW[[#This Row],[Total PoP ]]&gt;1,1,WWWW[[#This Row],[HRP3]]/WWWW[[#This Row],[Total PoP ]])</f>
        <v>1</v>
      </c>
      <c r="DS276" s="961">
        <f>1-WWWW[[#This Row],[Hygiene Coverage%]]</f>
        <v>0</v>
      </c>
      <c r="DT276" s="959">
        <f>WWWW[[#This Row],['# people reached by regular dedicated hygiene promotion_5]]/WWWW[[#This Row],[Total PoP ]]</f>
        <v>1</v>
      </c>
      <c r="DU276"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76"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76" s="960">
        <f>WWWW[[#This Row],['#_Constructed/Existing hand washing stations]]-WWWW[[#This Row],['#_Non-Functional_hand_washing_stations]]</f>
        <v>0</v>
      </c>
      <c r="DX276" s="957">
        <f>IF(WWWW[[#This Row],['# Functional hand washing stations during reporting period]]*20&gt;WWWW[[#This Row],[Total HH]],WWWW[[#This Row],[Total HH]],WWWW[[#This Row],['# Functional hand washing stations during reporting period]]*20)</f>
        <v>0</v>
      </c>
      <c r="DY276" s="957">
        <f>IF(WWWW[[#This Row],[Is sufficient soap available for TLS? (Yes/No)]]="yes",WWWW[[#This Row],['#_Constructed/Existing hand washing stations at TLS/CFS/THF]],0)</f>
        <v>4</v>
      </c>
      <c r="DZ276" s="421">
        <f>IF(WWWW[[#This Row],['# Functional hand washing stations during reporting period]]*100&gt;WWWW[[#This Row],[Total PoP ]],WWWW[[#This Row],[Total PoP ]],WWWW[[#This Row],['# Functional hand washing stations during reporting period]]*100)</f>
        <v>0</v>
      </c>
      <c r="EA276" s="421" t="str">
        <f>IF(OR(WWWW[[#This Row],['#_students at TLS_CFS]]="",WWWW[[#This Row],['#_students at TLS_CFS]]=0),"No","Yes")</f>
        <v>No</v>
      </c>
      <c r="EB27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76" s="566">
        <f>WWWW[[#This Row],[%_of_affected_people_surveyed_who_report_feeling_satistfied_with_the_latrine_design_and_sanitation_service]]*WWWW[[#This Row],[Total PoP ]]</f>
        <v>0</v>
      </c>
      <c r="ED276" s="566">
        <f>WWWW[[#This Row],[%_of_affected_people_surveyed_who_report_feeling_satistfied_with_the_water_point_design_and_water_service]]*WWWW[[#This Row],[Total PoP ]]</f>
        <v>0</v>
      </c>
      <c r="EE276" s="566">
        <f>WWWW[[#This Row],[%_of_complaints_received_that_result_in_timely_corrective_action_and_feedback_to_the_community]]*WWWW[[#This Row],[Total PoP ]]</f>
        <v>0</v>
      </c>
      <c r="EF27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7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7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76" s="953" t="str">
        <f>VLOOKUP(WWWW[[#This Row],[Site Name]],SiteDB6[[Site Name]:[CCCM Management]],6,FALSE)</f>
        <v>Yes</v>
      </c>
      <c r="EJ276" s="953" t="str">
        <f>VLOOKUP(WWWW[[#This Row],[Site Name]],SiteDB6[[Site Name]:[CCCM Focal Agency]],7,FALSE)</f>
        <v>KMSS-MYT</v>
      </c>
      <c r="EK276" s="953" t="str">
        <f>VLOOKUP(WWWW[[#This Row],[Site Name]],SiteDB6[[Site Name]:[Location Type 1]],9,FALSE)</f>
        <v>Camp</v>
      </c>
      <c r="EL276" s="953" t="str">
        <f>VLOOKUP(WWWW[[#This Row],[Site Name]],SiteDB6[[Site Name]:[Type of Accommodation]],10,FALSE)</f>
        <v>Camp</v>
      </c>
      <c r="EM276" s="953" t="str">
        <f>VLOOKUP(WWWW[[#This Row],[Site Name]],SiteDB6[[Site Name]:[Ethnic or GCA/NGCA]],11,FALSE)</f>
        <v>NGCA</v>
      </c>
      <c r="EN276" s="953">
        <f>VLOOKUP(WWWW[[#This Row],[Site Name]],SiteDB6[[Site Name]:[Lat]],12,FALSE)</f>
        <v>24.461033</v>
      </c>
      <c r="EO276" s="953">
        <f>VLOOKUP(WWWW[[#This Row],[Site Name]],SiteDB6[[Site Name]:[Long]],13,FALSE)</f>
        <v>97.537099999999995</v>
      </c>
      <c r="EP276" s="953" t="str">
        <f>VLOOKUP(WWWW[[#This Row],[Site Name]],SiteDB6[[Site Name]:[Pcode]],3,FALSE)</f>
        <v>MMR001CMP123</v>
      </c>
      <c r="EQ276" s="958" t="str">
        <f t="shared" si="5"/>
        <v>Covered</v>
      </c>
      <c r="ER276" s="950" t="s">
        <v>3126</v>
      </c>
      <c r="ES276" s="972" t="s">
        <v>3288</v>
      </c>
      <c r="ET276" s="953">
        <f>VLOOKUP(WWWW[[#This Row],[Site Name]],SiteDB6[[Site Name]:[Pop
(Kachin/Shan-CCCM as of May 2023)]],16,FALSE)</f>
        <v>72</v>
      </c>
      <c r="EU276" s="953">
        <f>VLOOKUP(WWWW[[#This Row],[Site Name]],SiteDB6[[Site Name]:[Pop
(Kachin/Shan-CCCM as of May 2023)]],17,FALSE)</f>
        <v>391</v>
      </c>
    </row>
    <row r="277" spans="1:151">
      <c r="A277" s="1004" t="s">
        <v>2962</v>
      </c>
      <c r="B277" s="1004" t="s">
        <v>192</v>
      </c>
      <c r="C277" s="1005" t="s">
        <v>192</v>
      </c>
      <c r="D277" s="1005" t="s">
        <v>3333</v>
      </c>
      <c r="E277" s="1005" t="s">
        <v>37</v>
      </c>
      <c r="F277" s="1005" t="s">
        <v>205</v>
      </c>
      <c r="G277" s="902" t="str">
        <f>VLOOKUP(WWWW[[#This Row],[Site Name]],SiteDB6[[Site Name]:[Location Type]],8,FALSE)</f>
        <v>Camp</v>
      </c>
      <c r="H277" s="1005" t="s">
        <v>217</v>
      </c>
      <c r="I277" s="954">
        <v>689</v>
      </c>
      <c r="J277" s="954">
        <v>3545</v>
      </c>
      <c r="K277" s="955" t="s">
        <v>3334</v>
      </c>
      <c r="L277" s="956" t="s">
        <v>3335</v>
      </c>
      <c r="M277" s="954"/>
      <c r="N277" s="954"/>
      <c r="O277" s="954"/>
      <c r="P277" s="954"/>
      <c r="Q277" s="957" t="s">
        <v>41</v>
      </c>
      <c r="R277" s="954">
        <v>1</v>
      </c>
      <c r="S277" s="954">
        <v>3</v>
      </c>
      <c r="T277" s="441">
        <v>3</v>
      </c>
      <c r="U277" s="954"/>
      <c r="V277" s="954"/>
      <c r="W277" s="954"/>
      <c r="X277" s="954"/>
      <c r="Y277" s="954"/>
      <c r="Z277" s="954"/>
      <c r="AA277" s="954">
        <v>11</v>
      </c>
      <c r="AB277" s="954"/>
      <c r="AC277" s="954">
        <v>1</v>
      </c>
      <c r="AD277" s="954"/>
      <c r="AE277" s="954"/>
      <c r="AF277" s="954"/>
      <c r="AG277" s="954"/>
      <c r="AH277" s="954"/>
      <c r="AI277" s="954"/>
      <c r="AJ277" s="954"/>
      <c r="AK277" s="954"/>
      <c r="AL277" s="954"/>
      <c r="AM277" s="954">
        <v>5</v>
      </c>
      <c r="AN277" s="954">
        <v>3</v>
      </c>
      <c r="AO277" s="441"/>
      <c r="AP277" s="958"/>
      <c r="AQ277" s="954">
        <v>313</v>
      </c>
      <c r="AR277" s="954"/>
      <c r="AS277" s="959"/>
      <c r="AT277" s="954"/>
      <c r="AU277" s="971">
        <v>12</v>
      </c>
      <c r="AV277" s="954"/>
      <c r="AW277" s="954"/>
      <c r="AX277" s="954"/>
      <c r="AY277" s="953" t="s">
        <v>41</v>
      </c>
      <c r="AZ277" s="958" t="s">
        <v>137</v>
      </c>
      <c r="BA277" s="954"/>
      <c r="BB277" s="954"/>
      <c r="BC277" s="954"/>
      <c r="BD277" s="441">
        <v>4</v>
      </c>
      <c r="BE277" s="441"/>
      <c r="BF277" s="953"/>
      <c r="BG277" s="954">
        <v>1</v>
      </c>
      <c r="BH277" s="954"/>
      <c r="BI277" s="954"/>
      <c r="BJ277" s="954">
        <v>22</v>
      </c>
      <c r="BK277" s="954"/>
      <c r="BL277" s="954"/>
      <c r="BM277" s="954"/>
      <c r="BN277" s="954"/>
      <c r="BO277" s="954"/>
      <c r="BP277" s="953"/>
      <c r="BQ277" s="960"/>
      <c r="BR277" s="959"/>
      <c r="BS277" s="953"/>
      <c r="BT277" s="416"/>
      <c r="BU277" s="416"/>
      <c r="BV277" s="418"/>
      <c r="BW277" s="416"/>
      <c r="BX277" s="441"/>
      <c r="BY277" s="441"/>
      <c r="BZ277" s="441"/>
      <c r="CA277" s="441"/>
      <c r="CB277" s="441"/>
      <c r="CC277" s="693"/>
      <c r="CD277" s="441"/>
      <c r="CE277" s="961" t="str">
        <f>IFERROR(WWWW[[#This Row],['#_Water sources passed]]/WWWW[[#This Row],['#_Water sources tested for fecal coliform ]],"no test")</f>
        <v>no test</v>
      </c>
      <c r="CF277" s="959" t="str">
        <f>IFERROR(WWWW[[#This Row],['#_Household passed]]/WWWW[[#This Row],['#_Household water samples tested for fecal coliform]],"no test")</f>
        <v>no test</v>
      </c>
      <c r="CG277" s="960" t="str">
        <f>IF(AND(WWWW[[#This Row],[% of water sources passed]]="no test",WWWW[[#This Row],[% Household passed]]="no test"),"No Test","Tested")</f>
        <v>No Test</v>
      </c>
      <c r="CH277" s="960">
        <f>WWWW[[#This Row],['#_Constructed/existing protected hand dug well]]-WWWW[[#This Row],['#_Non-functional protected hand dug well]]</f>
        <v>3</v>
      </c>
      <c r="CI277" s="960">
        <f>(WWWW[[#This Row],['#_Constructed/Existing tube wells/boreholes/handpumps_WASH_agency]]+WWWW[[#This Row],['#_Non-Cluster partner water tube-wells/boreholes/handpumps]])-WWWW[[#This Row],['#_Non-functional tube wells/boreholes/handpumps]]</f>
        <v>0</v>
      </c>
      <c r="CJ277" s="960">
        <f>WWWW[[#This Row],['#_Constructed/Existingwater storage tank with gravity fed reticulation system]]-WWWW[[#This Row],['#_Non-functional storage tank gravity fed reticulation system]]</f>
        <v>11</v>
      </c>
      <c r="CK277" s="960">
        <f>(WWWW[[#This Row],['#_Water_Liters_supplied_by_Water boating or water trucking]]/90)/15</f>
        <v>0</v>
      </c>
      <c r="CL277" s="960">
        <f>WWWW[[#This Row],['#_Water_Liters_from_Constructed/Existing water distribution system from river or natural spring]]/90/15</f>
        <v>0</v>
      </c>
      <c r="CM277" s="417">
        <f>IF(WWWW[[#This Row],['#_of water points in TLS/CFS]]*500&gt;WWWW[[#This Row],[Total PoP ]],WWWW[[#This Row],[Total PoP ]],WWWW[[#This Row],['#_of water points in TLS/CFS]]*500)</f>
        <v>1500</v>
      </c>
      <c r="CN277" s="417">
        <f>IF(WWWW[[#This Row],['#_of water points in THF]]*500&gt;WWWW[[#This Row],[Total PoP ]],WWWW[[#This Row],[Total PoP ]],WWWW[[#This Row],['#_of water points in THF]]*500)</f>
        <v>0</v>
      </c>
      <c r="CO277" s="417"/>
      <c r="CP277"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0.54536906440996713</v>
      </c>
      <c r="CQ277"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0.41842971321109546</v>
      </c>
      <c r="CR277" s="959">
        <f>IF(WWWW[[#This Row],[Location Type 1]]="Village",WWWW[[#This Row],[Access to safe drinking water for Village]],WWWW[[#This Row],[Access to safe drinking water for Camp]])</f>
        <v>0.54536906440996713</v>
      </c>
      <c r="CS277" s="957">
        <f>WWWW[[#This Row],[%Equitable and continuous access to sufficient quantity of safe drinking water]]*WWWW[[#This Row],[Total PoP ]]</f>
        <v>1933.3333333333335</v>
      </c>
      <c r="CT277" s="959">
        <f>IF((WWWW[[#This Row],['#_Constructed/Existing protected/fenced ponds]]*250)/WWWW[[#This Row],[Total PoP ]]&gt;1,1,(WWWW[[#This Row],['#_Constructed/Existing protected/fenced ponds]]*250)/WWWW[[#This Row],[Total PoP ]])</f>
        <v>0</v>
      </c>
      <c r="CU277" s="957">
        <f>WWWW[[#This Row],[% Access to unimproved water points]]*WWWW[[#This Row],[Total PoP ]]</f>
        <v>0</v>
      </c>
      <c r="CV277"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0.54536906440996713</v>
      </c>
      <c r="CW277"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1933.3333333333335</v>
      </c>
      <c r="CX277" s="957">
        <f>WWWW[[#This Row],[HRP1]]/500</f>
        <v>3.8666666666666671</v>
      </c>
      <c r="CY277" s="962">
        <f>1-WWWW[[#This Row],[% Equitable and continuous access to sufficient quantity of domestic water]]</f>
        <v>0.45463093559003287</v>
      </c>
      <c r="CZ277" s="957">
        <f>WWWW[[#This Row],[%equitable and continuous access to sufficient quantity of safe drinking and domestic water''s GAP]]*WWWW[[#This Row],[Total PoP ]]</f>
        <v>1611.6666666666665</v>
      </c>
      <c r="DA277" s="960">
        <f>IF(WWWW[[#This Row],[Total required water points]]-WWWW[[#This Row],['#Water points coverage]]&lt;0,0,WWWW[[#This Row],[Total required water points]]-WWWW[[#This Row],['#Water points coverage]])</f>
        <v>3.1333333333333329</v>
      </c>
      <c r="DB277" s="960">
        <f>ROUND(IF(WWWW[[#This Row],[Total PoP ]]&lt;500,1,WWWW[[#This Row],[Total PoP ]]/500),0)</f>
        <v>7</v>
      </c>
      <c r="DC277" s="960">
        <f>(WWWW[[#This Row],['#_Constructed latrines_by_WASHAgencies]]+WWWW[[#This Row],['#_Non Cluster partner latrines]])-WWWW[[#This Row],['#_Non-functional latrines]]</f>
        <v>313</v>
      </c>
      <c r="DD277" s="615">
        <f>WWWW[[#This Row],[HRP2]]/WWWW[[#This Row],[Total PoP ]]</f>
        <v>1</v>
      </c>
      <c r="DE277"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3545</v>
      </c>
      <c r="DF277"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77"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77" s="417">
        <f>IF(WWWW[[#This Row],['# of functional latrines in THF supported by WASH partners during the reporting period2]]="",0,WWWW[[#This Row],['# of functional latrines in THF supported by WASH partners during the reporting period2]]*50)</f>
        <v>200</v>
      </c>
      <c r="DI277" s="960">
        <f>ROUND(IF(WWWW[[#This Row],[Location Type 1]]="camp",WWWW[[#This Row],[Total PoP ]]/20,IF(WWWW[[#This Row],[Location Type 1]]="Temporary Location",WWWW[[#This Row],[Total PoP ]]/50,(WWWW[[#This Row],[Total PoP ]]/6))),0)</f>
        <v>177</v>
      </c>
      <c r="DJ277" s="960">
        <f>IF(WWWW[[#This Row],[Total required Latrines]]-(WWWW[[#This Row],['#_Constructed latrines_by_WASHAgencies]]+WWWW[[#This Row],['#_Non Cluster partner latrines]])&lt;0,0,WWWW[[#This Row],[Total required Latrines]]-(WWWW[[#This Row],['#_Constructed latrines_by_WASHAgencies]]+WWWW[[#This Row],['#_Non Cluster partner latrines]]))</f>
        <v>0</v>
      </c>
      <c r="DK277" s="962">
        <f>1-WWWW[[#This Row],[% people access to functioning Latrine]]</f>
        <v>0</v>
      </c>
      <c r="DL277" s="961">
        <f>IF(OR(WWWW[[#This Row],['#_Non-functional latrines]]="",WWWW[[#This Row],['#_Non-functional latrines]]=0),0,WWWW[[#This Row],['#_Non-functional latrines]]/(WWWW[[#This Row],['#_Constructed latrines_by_WASHAgencies]]+WWWW[[#This Row],['#_Non Cluster partner latrines]]))</f>
        <v>0</v>
      </c>
      <c r="DM277" s="957">
        <f>IF(500*(WWWW[[#This Row],['#_male hygiene promoters]]+WWWW[[#This Row],['#_female hygiene promoters]])&gt;WWWW[[#This Row],[Total PoP ]],WWWW[[#This Row],[Total PoP ]],500*(WWWW[[#This Row],['#_male hygiene promoters]]+WWWW[[#This Row],['#_female hygiene promoters]]))</f>
        <v>0</v>
      </c>
      <c r="DN277"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77"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77" s="960">
        <f>IF(WWWW[[#This Row],['# People with access to soap]]&gt;WWWW[[#This Row],['# People with access to Sanity Pads]],WWWW[[#This Row],['# People with access to soap]],WWWW[[#This Row],['# People with access to Sanity Pads]])</f>
        <v>0</v>
      </c>
      <c r="DQ277" s="960">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77" s="962">
        <f>IF(WWWW[[#This Row],[HRP3]]/WWWW[[#This Row],[Total PoP ]]&gt;1,1,WWWW[[#This Row],[HRP3]]/WWWW[[#This Row],[Total PoP ]])</f>
        <v>0</v>
      </c>
      <c r="DS277" s="961">
        <f>1-WWWW[[#This Row],[Hygiene Coverage%]]</f>
        <v>1</v>
      </c>
      <c r="DT277" s="959">
        <f>WWWW[[#This Row],['# people reached by regular dedicated hygiene promotion_5]]/WWWW[[#This Row],[Total PoP ]]</f>
        <v>0</v>
      </c>
      <c r="DU277"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77"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77" s="960">
        <f>WWWW[[#This Row],['#_Constructed/Existing hand washing stations]]-WWWW[[#This Row],['#_Non-Functional_hand_washing_stations]]</f>
        <v>1</v>
      </c>
      <c r="DX277" s="957">
        <f>IF(WWWW[[#This Row],['# Functional hand washing stations during reporting period]]*20&gt;WWWW[[#This Row],[Total HH]],WWWW[[#This Row],[Total HH]],WWWW[[#This Row],['# Functional hand washing stations during reporting period]]*20)</f>
        <v>20</v>
      </c>
      <c r="DY277" s="957">
        <f>IF(WWWW[[#This Row],[Is sufficient soap available for TLS? (Yes/No)]]="yes",WWWW[[#This Row],['#_Constructed/Existing hand washing stations at TLS/CFS/THF]],0)</f>
        <v>0</v>
      </c>
      <c r="DZ277" s="421">
        <f>IF(WWWW[[#This Row],['# Functional hand washing stations during reporting period]]*100&gt;WWWW[[#This Row],[Total PoP ]],WWWW[[#This Row],[Total PoP ]],WWWW[[#This Row],['# Functional hand washing stations during reporting period]]*100)</f>
        <v>100</v>
      </c>
      <c r="EA277" s="421" t="str">
        <f>IF(OR(WWWW[[#This Row],['#_students at TLS_CFS]]="",WWWW[[#This Row],['#_students at TLS_CFS]]=0),"No","Yes")</f>
        <v>No</v>
      </c>
      <c r="EB27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77" s="566">
        <f>WWWW[[#This Row],[%_of_affected_people_surveyed_who_report_feeling_satistfied_with_the_latrine_design_and_sanitation_service]]*WWWW[[#This Row],[Total PoP ]]</f>
        <v>0</v>
      </c>
      <c r="ED277" s="566">
        <f>WWWW[[#This Row],[%_of_affected_people_surveyed_who_report_feeling_satistfied_with_the_water_point_design_and_water_service]]*WWWW[[#This Row],[Total PoP ]]</f>
        <v>0</v>
      </c>
      <c r="EE277" s="566">
        <f>WWWW[[#This Row],[%_of_complaints_received_that_result_in_timely_corrective_action_and_feedback_to_the_community]]*WWWW[[#This Row],[Total PoP ]]</f>
        <v>0</v>
      </c>
      <c r="EF27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7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1500</v>
      </c>
      <c r="EH27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200</v>
      </c>
      <c r="EI277" s="953" t="str">
        <f>VLOOKUP(WWWW[[#This Row],[Site Name]],SiteDB6[[Site Name]:[CCCM Management]],6,FALSE)</f>
        <v>Yes</v>
      </c>
      <c r="EJ277" s="953" t="str">
        <f>VLOOKUP(WWWW[[#This Row],[Site Name]],SiteDB6[[Site Name]:[CCCM Focal Agency]],7,FALSE)</f>
        <v>KMSS-MYT</v>
      </c>
      <c r="EK277" s="953" t="str">
        <f>VLOOKUP(WWWW[[#This Row],[Site Name]],SiteDB6[[Site Name]:[Location Type 1]],9,FALSE)</f>
        <v>Camp</v>
      </c>
      <c r="EL277" s="953" t="str">
        <f>VLOOKUP(WWWW[[#This Row],[Site Name]],SiteDB6[[Site Name]:[Type of Accommodation]],10,FALSE)</f>
        <v>Camp</v>
      </c>
      <c r="EM277" s="953" t="str">
        <f>VLOOKUP(WWWW[[#This Row],[Site Name]],SiteDB6[[Site Name]:[Ethnic or GCA/NGCA]],11,FALSE)</f>
        <v>NGCA</v>
      </c>
      <c r="EN277" s="953">
        <f>VLOOKUP(WWWW[[#This Row],[Site Name]],SiteDB6[[Site Name]:[Lat]],12,FALSE)</f>
        <v>24.661905999999998</v>
      </c>
      <c r="EO277" s="953">
        <f>VLOOKUP(WWWW[[#This Row],[Site Name]],SiteDB6[[Site Name]:[Long]],13,FALSE)</f>
        <v>97.573126000000002</v>
      </c>
      <c r="EP277" s="953" t="str">
        <f>VLOOKUP(WWWW[[#This Row],[Site Name]],SiteDB6[[Site Name]:[Pcode]],3,FALSE)</f>
        <v>MMR001CMP122</v>
      </c>
      <c r="EQ277" s="958" t="str">
        <f t="shared" si="5"/>
        <v>Covered</v>
      </c>
      <c r="ER277" s="950" t="s">
        <v>3126</v>
      </c>
      <c r="ES277" s="950" t="s">
        <v>3284</v>
      </c>
      <c r="ET277" s="953">
        <f>VLOOKUP(WWWW[[#This Row],[Site Name]],SiteDB6[[Site Name]:[Pop
(Kachin/Shan-CCCM as of May 2023)]],16,FALSE)</f>
        <v>676</v>
      </c>
      <c r="EU277" s="953">
        <f>VLOOKUP(WWWW[[#This Row],[Site Name]],SiteDB6[[Site Name]:[Pop
(Kachin/Shan-CCCM as of May 2023)]],17,FALSE)</f>
        <v>3508</v>
      </c>
    </row>
    <row r="278" spans="1:151">
      <c r="A278" s="946" t="s">
        <v>2962</v>
      </c>
      <c r="B278" s="946" t="s">
        <v>291</v>
      </c>
      <c r="C278" s="946" t="s">
        <v>291</v>
      </c>
      <c r="D278" s="938" t="s">
        <v>2883</v>
      </c>
      <c r="E278" s="938" t="s">
        <v>37</v>
      </c>
      <c r="F278" s="938" t="s">
        <v>205</v>
      </c>
      <c r="G278" s="418" t="s">
        <v>3064</v>
      </c>
      <c r="H278" s="938" t="s">
        <v>2153</v>
      </c>
      <c r="I278" s="441">
        <v>11</v>
      </c>
      <c r="J278" s="441">
        <v>32</v>
      </c>
      <c r="K278" s="948"/>
      <c r="L278" s="949"/>
      <c r="M278" s="441"/>
      <c r="N278" s="441"/>
      <c r="O278" s="441">
        <v>1</v>
      </c>
      <c r="P278" s="441"/>
      <c r="Q278" s="421" t="s">
        <v>41</v>
      </c>
      <c r="R278" s="441">
        <v>3</v>
      </c>
      <c r="S278" s="441">
        <v>8</v>
      </c>
      <c r="T278" s="441"/>
      <c r="U278" s="441"/>
      <c r="V278" s="441"/>
      <c r="W278" s="441">
        <v>1</v>
      </c>
      <c r="X278" s="441"/>
      <c r="Y278" s="441"/>
      <c r="Z278" s="441"/>
      <c r="AA278" s="441">
        <v>1</v>
      </c>
      <c r="AB278" s="441"/>
      <c r="AC278" s="441"/>
      <c r="AD278" s="441"/>
      <c r="AE278" s="441"/>
      <c r="AF278" s="441"/>
      <c r="AG278" s="441">
        <v>1</v>
      </c>
      <c r="AH278" s="441"/>
      <c r="AI278" s="441"/>
      <c r="AJ278" s="441"/>
      <c r="AK278" s="441"/>
      <c r="AL278" s="441"/>
      <c r="AM278" s="441"/>
      <c r="AN278" s="441"/>
      <c r="AO278" s="441"/>
      <c r="AP278" s="950"/>
      <c r="AQ278" s="441">
        <v>12</v>
      </c>
      <c r="AR278" s="441"/>
      <c r="AS278" s="416"/>
      <c r="AT278" s="441"/>
      <c r="AU278" s="441"/>
      <c r="AV278" s="441"/>
      <c r="AW278" s="441"/>
      <c r="AX278" s="441"/>
      <c r="AY278" s="418" t="s">
        <v>41</v>
      </c>
      <c r="AZ278" s="950" t="s">
        <v>137</v>
      </c>
      <c r="BA278" s="441"/>
      <c r="BB278" s="441"/>
      <c r="BC278" s="441"/>
      <c r="BD278" s="441"/>
      <c r="BE278" s="441"/>
      <c r="BF278" s="418"/>
      <c r="BG278" s="441">
        <v>7</v>
      </c>
      <c r="BH278" s="441"/>
      <c r="BI278" s="441"/>
      <c r="BJ278" s="441">
        <v>2</v>
      </c>
      <c r="BK278" s="441"/>
      <c r="BL278" s="441"/>
      <c r="BM278" s="441">
        <v>1</v>
      </c>
      <c r="BN278" s="441"/>
      <c r="BO278" s="441"/>
      <c r="BP278" s="418"/>
      <c r="BQ278" s="417"/>
      <c r="BR278" s="416"/>
      <c r="BS278" s="418"/>
      <c r="BT278" s="416"/>
      <c r="BU278" s="416"/>
      <c r="BV278" s="418"/>
      <c r="BW278" s="416"/>
      <c r="BX278" s="441"/>
      <c r="BY278" s="441"/>
      <c r="BZ278" s="441"/>
      <c r="CA278" s="441"/>
      <c r="CB278" s="441"/>
      <c r="CC278" s="693"/>
      <c r="CD278" s="441"/>
      <c r="CE278" s="615" t="str">
        <f>IFERROR(WWWW[[#This Row],['#_Water sources passed]]/WWWW[[#This Row],['#_Water sources tested for fecal coliform ]],"no test")</f>
        <v>no test</v>
      </c>
      <c r="CF278" s="416" t="str">
        <f>IFERROR(WWWW[[#This Row],['#_Household passed]]/WWWW[[#This Row],['#_Household water samples tested for fecal coliform]],"no test")</f>
        <v>no test</v>
      </c>
      <c r="CG278" s="417" t="str">
        <f>IF(AND(WWWW[[#This Row],[% of water sources passed]]="no test",WWWW[[#This Row],[% Household passed]]="no test"),"No Test","Tested")</f>
        <v>No Test</v>
      </c>
      <c r="CH278" s="417">
        <f>WWWW[[#This Row],['#_Constructed/existing protected hand dug well]]-WWWW[[#This Row],['#_Non-functional protected hand dug well]]</f>
        <v>0</v>
      </c>
      <c r="CI278" s="417">
        <f>(WWWW[[#This Row],['#_Constructed/Existing tube wells/boreholes/handpumps_WASH_agency]]+WWWW[[#This Row],['#_Non-Cluster partner water tube-wells/boreholes/handpumps]])-WWWW[[#This Row],['#_Non-functional tube wells/boreholes/handpumps]]</f>
        <v>1</v>
      </c>
      <c r="CJ278" s="417">
        <f>WWWW[[#This Row],['#_Constructed/Existingwater storage tank with gravity fed reticulation system]]-WWWW[[#This Row],['#_Non-functional storage tank gravity fed reticulation system]]</f>
        <v>1</v>
      </c>
      <c r="CK278" s="417">
        <f>(WWWW[[#This Row],['#_Water_Liters_supplied_by_Water boating or water trucking]]/90)/15</f>
        <v>0</v>
      </c>
      <c r="CL278" s="417">
        <f>WWWW[[#This Row],['#_Water_Liters_from_Constructed/Existing water distribution system from river or natural spring]]/90/15</f>
        <v>0</v>
      </c>
      <c r="CM278" s="417">
        <f>IF(WWWW[[#This Row],['#_of water points in TLS/CFS]]*500&gt;WWWW[[#This Row],[Total PoP ]],WWWW[[#This Row],[Total PoP ]],WWWW[[#This Row],['#_of water points in TLS/CFS]]*500)</f>
        <v>0</v>
      </c>
      <c r="CN278" s="417">
        <f>IF(WWWW[[#This Row],['#_of water points in THF]]*500&gt;WWWW[[#This Row],[Total PoP ]],WWWW[[#This Row],[Total PoP ]],WWWW[[#This Row],['#_of water points in THF]]*500)</f>
        <v>0</v>
      </c>
      <c r="CO278" s="417"/>
      <c r="CP278"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78"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78" s="416">
        <f>IF(WWWW[[#This Row],[Location Type 1]]="Village",WWWW[[#This Row],[Access to safe drinking water for Village]],WWWW[[#This Row],[Access to safe drinking water for Camp]])</f>
        <v>1</v>
      </c>
      <c r="CS278" s="421">
        <f>WWWW[[#This Row],[%Equitable and continuous access to sufficient quantity of safe drinking water]]*WWWW[[#This Row],[Total PoP ]]</f>
        <v>32</v>
      </c>
      <c r="CT278" s="416">
        <f>IF((WWWW[[#This Row],['#_Constructed/Existing protected/fenced ponds]]*250)/WWWW[[#This Row],[Total PoP ]]&gt;1,1,(WWWW[[#This Row],['#_Constructed/Existing protected/fenced ponds]]*250)/WWWW[[#This Row],[Total PoP ]])</f>
        <v>0</v>
      </c>
      <c r="CU278" s="421">
        <f>WWWW[[#This Row],[% Access to unimproved water points]]*WWWW[[#This Row],[Total PoP ]]</f>
        <v>0</v>
      </c>
      <c r="CV278"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78"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v>
      </c>
      <c r="CX278" s="421">
        <f>WWWW[[#This Row],[HRP1]]/500</f>
        <v>6.4000000000000001E-2</v>
      </c>
      <c r="CY278" s="951">
        <f>1-WWWW[[#This Row],[% Equitable and continuous access to sufficient quantity of domestic water]]</f>
        <v>0</v>
      </c>
      <c r="CZ278" s="421">
        <f>WWWW[[#This Row],[%equitable and continuous access to sufficient quantity of safe drinking and domestic water''s GAP]]*WWWW[[#This Row],[Total PoP ]]</f>
        <v>0</v>
      </c>
      <c r="DA278" s="417">
        <f>IF(WWWW[[#This Row],[Total required water points]]-WWWW[[#This Row],['#Water points coverage]]&lt;0,0,WWWW[[#This Row],[Total required water points]]-WWWW[[#This Row],['#Water points coverage]])</f>
        <v>0.93599999999999994</v>
      </c>
      <c r="DB278" s="417">
        <f>ROUND(IF(WWWW[[#This Row],[Total PoP ]]&lt;500,1,WWWW[[#This Row],[Total PoP ]]/500),0)</f>
        <v>1</v>
      </c>
      <c r="DC278" s="417">
        <f>(WWWW[[#This Row],['#_Constructed latrines_by_WASHAgencies]]+WWWW[[#This Row],['#_Non Cluster partner latrines]])-WWWW[[#This Row],['#_Non-functional latrines]]</f>
        <v>12</v>
      </c>
      <c r="DD278" s="615">
        <f>WWWW[[#This Row],[HRP2]]/WWWW[[#This Row],[Total PoP ]]</f>
        <v>1</v>
      </c>
      <c r="DE278"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32</v>
      </c>
      <c r="DF278"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78"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78" s="417">
        <f>IF(WWWW[[#This Row],['# of functional latrines in THF supported by WASH partners during the reporting period2]]="",0,WWWW[[#This Row],['# of functional latrines in THF supported by WASH partners during the reporting period2]]*50)</f>
        <v>0</v>
      </c>
      <c r="DI278" s="417">
        <f>ROUND(IF(WWWW[[#This Row],[Location Type 1]]="camp",WWWW[[#This Row],[Total PoP ]]/20,IF(WWWW[[#This Row],[Location Type 1]]="Temporary Location",WWWW[[#This Row],[Total PoP ]]/50,(WWWW[[#This Row],[Total PoP ]]/6))),0)</f>
        <v>2</v>
      </c>
      <c r="DJ278" s="417">
        <f>IF(WWWW[[#This Row],[Total required Latrines]]-(WWWW[[#This Row],['#_Constructed latrines_by_WASHAgencies]]+WWWW[[#This Row],['#_Non Cluster partner latrines]])&lt;0,0,WWWW[[#This Row],[Total required Latrines]]-(WWWW[[#This Row],['#_Constructed latrines_by_WASHAgencies]]+WWWW[[#This Row],['#_Non Cluster partner latrines]]))</f>
        <v>0</v>
      </c>
      <c r="DK278" s="951">
        <f>1-WWWW[[#This Row],[% people access to functioning Latrine]]</f>
        <v>0</v>
      </c>
      <c r="DL278" s="615">
        <f>IF(OR(WWWW[[#This Row],['#_Non-functional latrines]]="",WWWW[[#This Row],['#_Non-functional latrines]]=0),0,WWWW[[#This Row],['#_Non-functional latrines]]/(WWWW[[#This Row],['#_Constructed latrines_by_WASHAgencies]]+WWWW[[#This Row],['#_Non Cluster partner latrines]]))</f>
        <v>0</v>
      </c>
      <c r="DM278" s="421">
        <f>IF(500*(WWWW[[#This Row],['#_male hygiene promoters]]+WWWW[[#This Row],['#_female hygiene promoters]])&gt;WWWW[[#This Row],[Total PoP ]],WWWW[[#This Row],[Total PoP ]],500*(WWWW[[#This Row],['#_male hygiene promoters]]+WWWW[[#This Row],['#_female hygiene promoters]]))</f>
        <v>32</v>
      </c>
      <c r="DN278"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78"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78" s="417">
        <f>IF(WWWW[[#This Row],['# People with access to soap]]&gt;WWWW[[#This Row],['# People with access to Sanity Pads]],WWWW[[#This Row],['# People with access to soap]],WWWW[[#This Row],['# People with access to Sanity Pads]])</f>
        <v>0</v>
      </c>
      <c r="DQ278" s="417">
        <f>IF(WWWW[[#This Row],['# people reached by regular dedicated hygiene promotion_5]]&gt;WWWW[[#This Row],['# People received regular supply of hygiene items_6]],WWWW[[#This Row],['# people reached by regular dedicated hygiene promotion_5]],WWWW[[#This Row],['# People received regular supply of hygiene items_6]])</f>
        <v>32</v>
      </c>
      <c r="DR278" s="951">
        <f>IF(WWWW[[#This Row],[HRP3]]/WWWW[[#This Row],[Total PoP ]]&gt;1,1,WWWW[[#This Row],[HRP3]]/WWWW[[#This Row],[Total PoP ]])</f>
        <v>1</v>
      </c>
      <c r="DS278" s="615">
        <f>1-WWWW[[#This Row],[Hygiene Coverage%]]</f>
        <v>0</v>
      </c>
      <c r="DT278" s="416">
        <f>WWWW[[#This Row],['# people reached by regular dedicated hygiene promotion_5]]/WWWW[[#This Row],[Total PoP ]]</f>
        <v>1</v>
      </c>
      <c r="DU278"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78"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78" s="417">
        <f>WWWW[[#This Row],['#_Constructed/Existing hand washing stations]]-WWWW[[#This Row],['#_Non-Functional_hand_washing_stations]]</f>
        <v>7</v>
      </c>
      <c r="DX278" s="421">
        <f>IF(WWWW[[#This Row],['# Functional hand washing stations during reporting period]]*20&gt;WWWW[[#This Row],[Total HH]],WWWW[[#This Row],[Total HH]],WWWW[[#This Row],['# Functional hand washing stations during reporting period]]*20)</f>
        <v>11</v>
      </c>
      <c r="DY278" s="421">
        <f>IF(WWWW[[#This Row],[Is sufficient soap available for TLS? (Yes/No)]]="yes",WWWW[[#This Row],['#_Constructed/Existing hand washing stations at TLS/CFS/THF]],0)</f>
        <v>0</v>
      </c>
      <c r="DZ278" s="421">
        <f>IF(WWWW[[#This Row],['# Functional hand washing stations during reporting period]]*100&gt;WWWW[[#This Row],[Total PoP ]],WWWW[[#This Row],[Total PoP ]],WWWW[[#This Row],['# Functional hand washing stations during reporting period]]*100)</f>
        <v>32</v>
      </c>
      <c r="EA278" s="421" t="str">
        <f>IF(OR(WWWW[[#This Row],['#_students at TLS_CFS]]="",WWWW[[#This Row],['#_students at TLS_CFS]]=0),"No","Yes")</f>
        <v>No</v>
      </c>
      <c r="EB27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78" s="566">
        <f>WWWW[[#This Row],[%_of_affected_people_surveyed_who_report_feeling_satistfied_with_the_latrine_design_and_sanitation_service]]*WWWW[[#This Row],[Total PoP ]]</f>
        <v>0</v>
      </c>
      <c r="ED278" s="566">
        <f>WWWW[[#This Row],[%_of_affected_people_surveyed_who_report_feeling_satistfied_with_the_water_point_design_and_water_service]]*WWWW[[#This Row],[Total PoP ]]</f>
        <v>0</v>
      </c>
      <c r="EE278" s="566">
        <f>WWWW[[#This Row],[%_of_complaints_received_that_result_in_timely_corrective_action_and_feedback_to_the_community]]*WWWW[[#This Row],[Total PoP ]]</f>
        <v>0</v>
      </c>
      <c r="EF27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7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7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78" s="418">
        <f>VLOOKUP(WWWW[[#This Row],[Site Name]],SiteDB6[[Site Name]:[CCCM Management]],6,FALSE)</f>
        <v>0</v>
      </c>
      <c r="EJ278" s="418">
        <f>VLOOKUP(WWWW[[#This Row],[Site Name]],SiteDB6[[Site Name]:[CCCM Focal Agency]],7,FALSE)</f>
        <v>0</v>
      </c>
      <c r="EK278" s="418" t="str">
        <f>VLOOKUP(WWWW[[#This Row],[Site Name]],SiteDB6[[Site Name]:[Location Type 1]],9,FALSE)</f>
        <v>Camp</v>
      </c>
      <c r="EL278" s="418" t="str">
        <f>VLOOKUP(WWWW[[#This Row],[Site Name]],SiteDB6[[Site Name]:[Type of Accommodation]],10,FALSE)</f>
        <v>Camp</v>
      </c>
      <c r="EM278" s="418" t="str">
        <f>VLOOKUP(WWWW[[#This Row],[Site Name]],SiteDB6[[Site Name]:[Ethnic or GCA/NGCA]],11,FALSE)</f>
        <v>GCA</v>
      </c>
      <c r="EN278" s="418">
        <f>VLOOKUP(WWWW[[#This Row],[Site Name]],SiteDB6[[Site Name]:[Lat]],12,FALSE)</f>
        <v>0</v>
      </c>
      <c r="EO278" s="418">
        <f>VLOOKUP(WWWW[[#This Row],[Site Name]],SiteDB6[[Site Name]:[Long]],13,FALSE)</f>
        <v>0</v>
      </c>
      <c r="EP278" s="418">
        <f>VLOOKUP(WWWW[[#This Row],[Site Name]],SiteDB6[[Site Name]:[Pcode]],3,FALSE)</f>
        <v>0</v>
      </c>
      <c r="EQ278" s="950" t="str">
        <f t="shared" si="5"/>
        <v>Covered</v>
      </c>
      <c r="ER278" s="950" t="s">
        <v>136</v>
      </c>
      <c r="ES278" s="950" t="s">
        <v>3254</v>
      </c>
      <c r="ET278" s="418">
        <f>VLOOKUP(WWWW[[#This Row],[Site Name]],SiteDB6[[Site Name]:[Pop
(Kachin/Shan-CCCM as of May 2023)]],16,FALSE)</f>
        <v>0</v>
      </c>
      <c r="EU278" s="418">
        <f>VLOOKUP(WWWW[[#This Row],[Site Name]],SiteDB6[[Site Name]:[Pop
(Kachin/Shan-CCCM as of May 2023)]],17,FALSE)</f>
        <v>0</v>
      </c>
    </row>
    <row r="279" spans="1:151">
      <c r="A279" s="1004" t="s">
        <v>2962</v>
      </c>
      <c r="B279" s="946" t="s">
        <v>141</v>
      </c>
      <c r="C279" s="938" t="s">
        <v>141</v>
      </c>
      <c r="D279" s="938" t="s">
        <v>299</v>
      </c>
      <c r="E279" s="938" t="s">
        <v>37</v>
      </c>
      <c r="F279" s="938" t="s">
        <v>205</v>
      </c>
      <c r="G279" s="902" t="str">
        <f>VLOOKUP(WWWW[[#This Row],[Site Name]],SiteDB6[[Site Name]:[Location Type]],8,FALSE)</f>
        <v>Camp</v>
      </c>
      <c r="H279" s="938" t="s">
        <v>290</v>
      </c>
      <c r="I279" s="441">
        <v>1592</v>
      </c>
      <c r="J279" s="441">
        <v>8225</v>
      </c>
      <c r="K279" s="948">
        <v>44835</v>
      </c>
      <c r="L279" s="949">
        <v>45199</v>
      </c>
      <c r="M279" s="441">
        <v>0</v>
      </c>
      <c r="N279" s="441">
        <v>1</v>
      </c>
      <c r="O279" s="441">
        <v>0</v>
      </c>
      <c r="P279" s="441">
        <v>0</v>
      </c>
      <c r="Q279" s="421" t="s">
        <v>41</v>
      </c>
      <c r="R279" s="441">
        <v>8</v>
      </c>
      <c r="S279" s="441">
        <v>14</v>
      </c>
      <c r="T279" s="441">
        <v>2</v>
      </c>
      <c r="U279" s="441"/>
      <c r="V279" s="441"/>
      <c r="W279" s="441">
        <v>2</v>
      </c>
      <c r="X279" s="441">
        <v>0</v>
      </c>
      <c r="Y279" s="441"/>
      <c r="Z279" s="441"/>
      <c r="AA279" s="441">
        <v>5</v>
      </c>
      <c r="AB279" s="441"/>
      <c r="AC279" s="441"/>
      <c r="AD279" s="441"/>
      <c r="AE279" s="441">
        <v>3</v>
      </c>
      <c r="AF279" s="441"/>
      <c r="AG279" s="441"/>
      <c r="AH279" s="441"/>
      <c r="AI279" s="441"/>
      <c r="AJ279" s="441"/>
      <c r="AK279" s="441"/>
      <c r="AL279" s="441"/>
      <c r="AM279" s="441"/>
      <c r="AN279" s="441"/>
      <c r="AO279" s="441"/>
      <c r="AP279" s="950" t="s">
        <v>2867</v>
      </c>
      <c r="AQ279" s="441">
        <v>676</v>
      </c>
      <c r="AR279" s="441">
        <v>0</v>
      </c>
      <c r="AS279" s="416"/>
      <c r="AT279" s="441">
        <v>20</v>
      </c>
      <c r="AU279" s="441">
        <v>2</v>
      </c>
      <c r="AV279" s="441">
        <v>150</v>
      </c>
      <c r="AW279" s="441">
        <v>172</v>
      </c>
      <c r="AX279" s="441"/>
      <c r="AY279" s="418" t="s">
        <v>41</v>
      </c>
      <c r="AZ279" s="950" t="s">
        <v>137</v>
      </c>
      <c r="BA279" s="441"/>
      <c r="BB279" s="441"/>
      <c r="BC279" s="441"/>
      <c r="BD279" s="441"/>
      <c r="BE279" s="441"/>
      <c r="BF279" s="418" t="s">
        <v>140</v>
      </c>
      <c r="BG279" s="441">
        <v>130</v>
      </c>
      <c r="BH279" s="441">
        <v>10</v>
      </c>
      <c r="BI279" s="441"/>
      <c r="BJ279" s="441">
        <v>20</v>
      </c>
      <c r="BK279" s="441">
        <v>2</v>
      </c>
      <c r="BL279" s="441"/>
      <c r="BM279" s="441">
        <v>14</v>
      </c>
      <c r="BN279" s="441"/>
      <c r="BO279" s="441"/>
      <c r="BP279" s="418" t="s">
        <v>136</v>
      </c>
      <c r="BQ279" s="417"/>
      <c r="BR279" s="416">
        <v>0.6</v>
      </c>
      <c r="BS279" s="418" t="s">
        <v>140</v>
      </c>
      <c r="BT279" s="416">
        <v>0.7</v>
      </c>
      <c r="BU279" s="416">
        <v>0.8</v>
      </c>
      <c r="BV279" s="418">
        <v>50</v>
      </c>
      <c r="BW279" s="416">
        <v>0.8</v>
      </c>
      <c r="BX279" s="441"/>
      <c r="BY279" s="441"/>
      <c r="BZ279" s="441"/>
      <c r="CA279" s="441"/>
      <c r="CB279" s="441"/>
      <c r="CC279" s="693"/>
      <c r="CD279" s="441"/>
      <c r="CE279" s="615" t="str">
        <f>IFERROR(WWWW[[#This Row],['#_Water sources passed]]/WWWW[[#This Row],['#_Water sources tested for fecal coliform ]],"no test")</f>
        <v>no test</v>
      </c>
      <c r="CF279" s="416" t="str">
        <f>IFERROR(WWWW[[#This Row],['#_Household passed]]/WWWW[[#This Row],['#_Household water samples tested for fecal coliform]],"no test")</f>
        <v>no test</v>
      </c>
      <c r="CG279" s="417" t="str">
        <f>IF(AND(WWWW[[#This Row],[% of water sources passed]]="no test",WWWW[[#This Row],[% Household passed]]="no test"),"No Test","Tested")</f>
        <v>No Test</v>
      </c>
      <c r="CH279" s="417">
        <f>WWWW[[#This Row],['#_Constructed/existing protected hand dug well]]-WWWW[[#This Row],['#_Non-functional protected hand dug well]]</f>
        <v>2</v>
      </c>
      <c r="CI279" s="417">
        <f>(WWWW[[#This Row],['#_Constructed/Existing tube wells/boreholes/handpumps_WASH_agency]]+WWWW[[#This Row],['#_Non-Cluster partner water tube-wells/boreholes/handpumps]])-WWWW[[#This Row],['#_Non-functional tube wells/boreholes/handpumps]]</f>
        <v>2</v>
      </c>
      <c r="CJ279" s="417">
        <f>WWWW[[#This Row],['#_Constructed/Existingwater storage tank with gravity fed reticulation system]]-WWWW[[#This Row],['#_Non-functional storage tank gravity fed reticulation system]]</f>
        <v>5</v>
      </c>
      <c r="CK279" s="417">
        <f>(WWWW[[#This Row],['#_Water_Liters_supplied_by_Water boating or water trucking]]/90)/15</f>
        <v>0</v>
      </c>
      <c r="CL279" s="417">
        <f>WWWW[[#This Row],['#_Water_Liters_from_Constructed/Existing water distribution system from river or natural spring]]/90/15</f>
        <v>0</v>
      </c>
      <c r="CM279" s="417">
        <f>IF(WWWW[[#This Row],['#_of water points in TLS/CFS]]*500&gt;WWWW[[#This Row],[Total PoP ]],WWWW[[#This Row],[Total PoP ]],WWWW[[#This Row],['#_of water points in TLS/CFS]]*500)</f>
        <v>0</v>
      </c>
      <c r="CN279" s="417">
        <f>IF(WWWW[[#This Row],['#_of water points in THF]]*500&gt;WWWW[[#This Row],[Total PoP ]],WWWW[[#This Row],[Total PoP ]],WWWW[[#This Row],['#_of water points in THF]]*500)</f>
        <v>0</v>
      </c>
      <c r="CO279" s="417"/>
      <c r="CP279"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0.25937183383991896</v>
      </c>
      <c r="CQ279"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0.16210739614994935</v>
      </c>
      <c r="CR279" s="416">
        <f>IF(WWWW[[#This Row],[Location Type 1]]="Village",WWWW[[#This Row],[Access to safe drinking water for Village]],WWWW[[#This Row],[Access to safe drinking water for Camp]])</f>
        <v>0.25937183383991896</v>
      </c>
      <c r="CS279" s="421">
        <f>WWWW[[#This Row],[%Equitable and continuous access to sufficient quantity of safe drinking water]]*WWWW[[#This Row],[Total PoP ]]</f>
        <v>2133.3333333333335</v>
      </c>
      <c r="CT279" s="416">
        <f>IF((WWWW[[#This Row],['#_Constructed/Existing protected/fenced ponds]]*250)/WWWW[[#This Row],[Total PoP ]]&gt;1,1,(WWWW[[#This Row],['#_Constructed/Existing protected/fenced ponds]]*250)/WWWW[[#This Row],[Total PoP ]])</f>
        <v>9.1185410334346503E-2</v>
      </c>
      <c r="CU279" s="421">
        <f>WWWW[[#This Row],[% Access to unimproved water points]]*WWWW[[#This Row],[Total PoP ]]</f>
        <v>750</v>
      </c>
      <c r="CV279"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0.35055724417426548</v>
      </c>
      <c r="CW279"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2883.3333333333335</v>
      </c>
      <c r="CX279" s="421">
        <f>WWWW[[#This Row],[HRP1]]/500</f>
        <v>5.7666666666666666</v>
      </c>
      <c r="CY279" s="951">
        <f>1-WWWW[[#This Row],[% Equitable and continuous access to sufficient quantity of domestic water]]</f>
        <v>0.64944275582573452</v>
      </c>
      <c r="CZ279" s="421">
        <f>WWWW[[#This Row],[%equitable and continuous access to sufficient quantity of safe drinking and domestic water''s GAP]]*WWWW[[#This Row],[Total PoP ]]</f>
        <v>5341.6666666666661</v>
      </c>
      <c r="DA279" s="417">
        <f>IF(WWWW[[#This Row],[Total required water points]]-WWWW[[#This Row],['#Water points coverage]]&lt;0,0,WWWW[[#This Row],[Total required water points]]-WWWW[[#This Row],['#Water points coverage]])</f>
        <v>10.233333333333334</v>
      </c>
      <c r="DB279" s="417">
        <f>ROUND(IF(WWWW[[#This Row],[Total PoP ]]&lt;500,1,WWWW[[#This Row],[Total PoP ]]/500),0)</f>
        <v>16</v>
      </c>
      <c r="DC279" s="417">
        <f>(WWWW[[#This Row],['#_Constructed latrines_by_WASHAgencies]]+WWWW[[#This Row],['#_Non Cluster partner latrines]])-WWWW[[#This Row],['#_Non-functional latrines]]</f>
        <v>656</v>
      </c>
      <c r="DD279" s="615">
        <f>WWWW[[#This Row],[HRP2]]/WWWW[[#This Row],[Total PoP ]]</f>
        <v>1</v>
      </c>
      <c r="DE279"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8225</v>
      </c>
      <c r="DF279"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3000</v>
      </c>
      <c r="DG279"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79" s="417">
        <f>IF(WWWW[[#This Row],['# of functional latrines in THF supported by WASH partners during the reporting period2]]="",0,WWWW[[#This Row],['# of functional latrines in THF supported by WASH partners during the reporting period2]]*50)</f>
        <v>0</v>
      </c>
      <c r="DI279" s="417">
        <f>ROUND(IF(WWWW[[#This Row],[Location Type 1]]="camp",WWWW[[#This Row],[Total PoP ]]/20,IF(WWWW[[#This Row],[Location Type 1]]="Temporary Location",WWWW[[#This Row],[Total PoP ]]/50,(WWWW[[#This Row],[Total PoP ]]/6))),0)</f>
        <v>411</v>
      </c>
      <c r="DJ279" s="417">
        <f>IF(WWWW[[#This Row],[Total required Latrines]]-(WWWW[[#This Row],['#_Constructed latrines_by_WASHAgencies]]+WWWW[[#This Row],['#_Non Cluster partner latrines]])&lt;0,0,WWWW[[#This Row],[Total required Latrines]]-(WWWW[[#This Row],['#_Constructed latrines_by_WASHAgencies]]+WWWW[[#This Row],['#_Non Cluster partner latrines]]))</f>
        <v>0</v>
      </c>
      <c r="DK279" s="951">
        <f>1-WWWW[[#This Row],[% people access to functioning Latrine]]</f>
        <v>0</v>
      </c>
      <c r="DL279" s="615">
        <f>IF(OR(WWWW[[#This Row],['#_Non-functional latrines]]="",WWWW[[#This Row],['#_Non-functional latrines]]=0),0,WWWW[[#This Row],['#_Non-functional latrines]]/(WWWW[[#This Row],['#_Constructed latrines_by_WASHAgencies]]+WWWW[[#This Row],['#_Non Cluster partner latrines]]))</f>
        <v>2.9585798816568046E-2</v>
      </c>
      <c r="DM279" s="421">
        <f>IF(500*(WWWW[[#This Row],['#_male hygiene promoters]]+WWWW[[#This Row],['#_female hygiene promoters]])&gt;WWWW[[#This Row],[Total PoP ]],WWWW[[#This Row],[Total PoP ]],500*(WWWW[[#This Row],['#_male hygiene promoters]]+WWWW[[#This Row],['#_female hygiene promoters]]))</f>
        <v>7000</v>
      </c>
      <c r="DN279"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79"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79" s="417">
        <f>IF(WWWW[[#This Row],['# People with access to soap]]&gt;WWWW[[#This Row],['# People with access to Sanity Pads]],WWWW[[#This Row],['# People with access to soap]],WWWW[[#This Row],['# People with access to Sanity Pads]])</f>
        <v>0</v>
      </c>
      <c r="DQ279" s="417">
        <f>IF(WWWW[[#This Row],['# people reached by regular dedicated hygiene promotion_5]]&gt;WWWW[[#This Row],['# People received regular supply of hygiene items_6]],WWWW[[#This Row],['# people reached by regular dedicated hygiene promotion_5]],WWWW[[#This Row],['# People received regular supply of hygiene items_6]])</f>
        <v>7000</v>
      </c>
      <c r="DR279" s="951">
        <f>IF(WWWW[[#This Row],[HRP3]]/WWWW[[#This Row],[Total PoP ]]&gt;1,1,WWWW[[#This Row],[HRP3]]/WWWW[[#This Row],[Total PoP ]])</f>
        <v>0.85106382978723405</v>
      </c>
      <c r="DS279" s="615">
        <f>1-WWWW[[#This Row],[Hygiene Coverage%]]</f>
        <v>0.14893617021276595</v>
      </c>
      <c r="DT279" s="416">
        <f>WWWW[[#This Row],['# people reached by regular dedicated hygiene promotion_5]]/WWWW[[#This Row],[Total PoP ]]</f>
        <v>0.85106382978723405</v>
      </c>
      <c r="DU279"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79"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79" s="417">
        <f>WWWW[[#This Row],['#_Constructed/Existing hand washing stations]]-WWWW[[#This Row],['#_Non-Functional_hand_washing_stations]]</f>
        <v>120</v>
      </c>
      <c r="DX279" s="421">
        <f>IF(WWWW[[#This Row],['# Functional hand washing stations during reporting period]]*20&gt;WWWW[[#This Row],[Total HH]],WWWW[[#This Row],[Total HH]],WWWW[[#This Row],['# Functional hand washing stations during reporting period]]*20)</f>
        <v>1592</v>
      </c>
      <c r="DY279" s="421">
        <f>IF(WWWW[[#This Row],[Is sufficient soap available for TLS? (Yes/No)]]="yes",WWWW[[#This Row],['#_Constructed/Existing hand washing stations at TLS/CFS/THF]],0)</f>
        <v>0</v>
      </c>
      <c r="DZ279" s="421">
        <f>IF(WWWW[[#This Row],['# Functional hand washing stations during reporting period]]*100&gt;WWWW[[#This Row],[Total PoP ]],WWWW[[#This Row],[Total PoP ]],WWWW[[#This Row],['# Functional hand washing stations during reporting period]]*100)</f>
        <v>8225</v>
      </c>
      <c r="EA279" s="421" t="str">
        <f>IF(OR(WWWW[[#This Row],['#_students at TLS_CFS]]="",WWWW[[#This Row],['#_students at TLS_CFS]]=0),"No","Yes")</f>
        <v>No</v>
      </c>
      <c r="EB279" s="615">
        <f>IF(WWWW[[#This Row],['#_of_affected_people_surveyed_who_report_feeling_informed_about_the_different_WASH_services_available_to_them]]="","",WWWW[[#This Row],['#_of_affected_people_surveyed_who_report_feeling_informed_about_the_different_WASH_services_available_to_them]]/WWWW[[#This Row],[Total PoP ]])</f>
        <v>6.0790273556231003E-3</v>
      </c>
      <c r="EC279" s="566">
        <f>WWWW[[#This Row],[%_of_affected_people_surveyed_who_report_feeling_satistfied_with_the_latrine_design_and_sanitation_service]]*WWWW[[#This Row],[Total PoP ]]</f>
        <v>5757.5</v>
      </c>
      <c r="ED279" s="566">
        <f>WWWW[[#This Row],[%_of_affected_people_surveyed_who_report_feeling_satistfied_with_the_water_point_design_and_water_service]]*WWWW[[#This Row],[Total PoP ]]</f>
        <v>6580</v>
      </c>
      <c r="EE279" s="566">
        <f>WWWW[[#This Row],[%_of_complaints_received_that_result_in_timely_corrective_action_and_feedback_to_the_community]]*WWWW[[#This Row],[Total PoP ]]</f>
        <v>6580</v>
      </c>
      <c r="EF27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6580</v>
      </c>
      <c r="EG27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7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79" s="418" t="str">
        <f>VLOOKUP(WWWW[[#This Row],[Site Name]],SiteDB6[[Site Name]:[CCCM Management]],6,FALSE)</f>
        <v>Yes</v>
      </c>
      <c r="EJ279" s="418" t="str">
        <f>VLOOKUP(WWWW[[#This Row],[Site Name]],SiteDB6[[Site Name]:[CCCM Focal Agency]],7,FALSE)</f>
        <v>KMSS-MYT</v>
      </c>
      <c r="EK279" s="418" t="str">
        <f>VLOOKUP(WWWW[[#This Row],[Site Name]],SiteDB6[[Site Name]:[Location Type 1]],9,FALSE)</f>
        <v>Camp</v>
      </c>
      <c r="EL279" s="418" t="str">
        <f>VLOOKUP(WWWW[[#This Row],[Site Name]],SiteDB6[[Site Name]:[Type of Accommodation]],10,FALSE)</f>
        <v>Camp</v>
      </c>
      <c r="EM279" s="418" t="str">
        <f>VLOOKUP(WWWW[[#This Row],[Site Name]],SiteDB6[[Site Name]:[Ethnic or GCA/NGCA]],11,FALSE)</f>
        <v>NGCA</v>
      </c>
      <c r="EN279" s="418">
        <f>VLOOKUP(WWWW[[#This Row],[Site Name]],SiteDB6[[Site Name]:[Lat]],12,FALSE)</f>
        <v>24.688338999999999</v>
      </c>
      <c r="EO279" s="418">
        <f>VLOOKUP(WWWW[[#This Row],[Site Name]],SiteDB6[[Site Name]:[Long]],13,FALSE)</f>
        <v>97.568331999999998</v>
      </c>
      <c r="EP279" s="418" t="str">
        <f>VLOOKUP(WWWW[[#This Row],[Site Name]],SiteDB6[[Site Name]:[Pcode]],3,FALSE)</f>
        <v>MMR001CMP121</v>
      </c>
      <c r="EQ279" s="950" t="str">
        <f t="shared" si="5"/>
        <v>Covered</v>
      </c>
      <c r="ER279" s="950" t="s">
        <v>3126</v>
      </c>
      <c r="ES279" s="950" t="s">
        <v>3276</v>
      </c>
      <c r="ET279" s="418">
        <f>VLOOKUP(WWWW[[#This Row],[Site Name]],SiteDB6[[Site Name]:[Pop
(Kachin/Shan-CCCM as of May 2023)]],16,FALSE)</f>
        <v>1525</v>
      </c>
      <c r="EU279" s="418">
        <f>VLOOKUP(WWWW[[#This Row],[Site Name]],SiteDB6[[Site Name]:[Pop
(Kachin/Shan-CCCM as of May 2023)]],17,FALSE)</f>
        <v>8205</v>
      </c>
    </row>
    <row r="280" spans="1:151">
      <c r="A280" s="1004" t="s">
        <v>2962</v>
      </c>
      <c r="B280" s="1004" t="s">
        <v>141</v>
      </c>
      <c r="C280" s="1005" t="s">
        <v>3331</v>
      </c>
      <c r="D280" s="1005" t="s">
        <v>3336</v>
      </c>
      <c r="E280" s="1005" t="s">
        <v>37</v>
      </c>
      <c r="F280" s="1005" t="s">
        <v>205</v>
      </c>
      <c r="G280" s="953" t="s">
        <v>3064</v>
      </c>
      <c r="H280" s="1005" t="s">
        <v>207</v>
      </c>
      <c r="I280" s="954">
        <v>10</v>
      </c>
      <c r="J280" s="954">
        <v>57</v>
      </c>
      <c r="K280" s="955" t="s">
        <v>3328</v>
      </c>
      <c r="L280" s="956" t="s">
        <v>3329</v>
      </c>
      <c r="M280" s="954"/>
      <c r="N280" s="954"/>
      <c r="O280" s="954"/>
      <c r="P280" s="954"/>
      <c r="Q280" s="957" t="s">
        <v>41</v>
      </c>
      <c r="R280" s="954">
        <v>1</v>
      </c>
      <c r="S280" s="954">
        <v>5</v>
      </c>
      <c r="T280" s="441">
        <v>1</v>
      </c>
      <c r="U280" s="954"/>
      <c r="V280" s="954"/>
      <c r="W280" s="954"/>
      <c r="X280" s="954"/>
      <c r="Y280" s="954"/>
      <c r="Z280" s="954"/>
      <c r="AA280" s="954"/>
      <c r="AB280" s="954"/>
      <c r="AC280" s="954"/>
      <c r="AD280" s="954"/>
      <c r="AE280" s="954"/>
      <c r="AF280" s="954"/>
      <c r="AG280" s="954"/>
      <c r="AH280" s="954"/>
      <c r="AI280" s="954"/>
      <c r="AJ280" s="954"/>
      <c r="AK280" s="954"/>
      <c r="AL280" s="954"/>
      <c r="AM280" s="954"/>
      <c r="AN280" s="954"/>
      <c r="AO280" s="441"/>
      <c r="AP280" s="958"/>
      <c r="AQ280" s="954">
        <v>8</v>
      </c>
      <c r="AR280" s="954"/>
      <c r="AS280" s="959"/>
      <c r="AT280" s="954"/>
      <c r="AU280" s="971">
        <v>2</v>
      </c>
      <c r="AV280" s="971">
        <v>2</v>
      </c>
      <c r="AW280" s="954"/>
      <c r="AX280" s="954"/>
      <c r="AY280" s="953" t="s">
        <v>41</v>
      </c>
      <c r="AZ280" s="958" t="s">
        <v>137</v>
      </c>
      <c r="BA280" s="954"/>
      <c r="BB280" s="954"/>
      <c r="BC280" s="954"/>
      <c r="BD280" s="441"/>
      <c r="BE280" s="441"/>
      <c r="BF280" s="953"/>
      <c r="BG280" s="954"/>
      <c r="BH280" s="954"/>
      <c r="BI280" s="954"/>
      <c r="BJ280" s="954">
        <v>2</v>
      </c>
      <c r="BK280" s="954"/>
      <c r="BL280" s="954"/>
      <c r="BM280" s="954"/>
      <c r="BN280" s="954"/>
      <c r="BO280" s="954"/>
      <c r="BP280" s="953"/>
      <c r="BQ280" s="960"/>
      <c r="BR280" s="959"/>
      <c r="BS280" s="953"/>
      <c r="BT280" s="416"/>
      <c r="BU280" s="416"/>
      <c r="BV280" s="418"/>
      <c r="BW280" s="416"/>
      <c r="BX280" s="441"/>
      <c r="BY280" s="441"/>
      <c r="BZ280" s="441"/>
      <c r="CA280" s="441"/>
      <c r="CB280" s="441"/>
      <c r="CC280" s="693"/>
      <c r="CD280" s="441"/>
      <c r="CE280" s="961" t="str">
        <f>IFERROR(WWWW[[#This Row],['#_Water sources passed]]/WWWW[[#This Row],['#_Water sources tested for fecal coliform ]],"no test")</f>
        <v>no test</v>
      </c>
      <c r="CF280" s="959" t="str">
        <f>IFERROR(WWWW[[#This Row],['#_Household passed]]/WWWW[[#This Row],['#_Household water samples tested for fecal coliform]],"no test")</f>
        <v>no test</v>
      </c>
      <c r="CG280" s="960" t="str">
        <f>IF(AND(WWWW[[#This Row],[% of water sources passed]]="no test",WWWW[[#This Row],[% Household passed]]="no test"),"No Test","Tested")</f>
        <v>No Test</v>
      </c>
      <c r="CH280" s="960">
        <f>WWWW[[#This Row],['#_Constructed/existing protected hand dug well]]-WWWW[[#This Row],['#_Non-functional protected hand dug well]]</f>
        <v>1</v>
      </c>
      <c r="CI280" s="960">
        <f>(WWWW[[#This Row],['#_Constructed/Existing tube wells/boreholes/handpumps_WASH_agency]]+WWWW[[#This Row],['#_Non-Cluster partner water tube-wells/boreholes/handpumps]])-WWWW[[#This Row],['#_Non-functional tube wells/boreholes/handpumps]]</f>
        <v>0</v>
      </c>
      <c r="CJ280" s="960">
        <f>WWWW[[#This Row],['#_Constructed/Existingwater storage tank with gravity fed reticulation system]]-WWWW[[#This Row],['#_Non-functional storage tank gravity fed reticulation system]]</f>
        <v>0</v>
      </c>
      <c r="CK280" s="960">
        <f>(WWWW[[#This Row],['#_Water_Liters_supplied_by_Water boating or water trucking]]/90)/15</f>
        <v>0</v>
      </c>
      <c r="CL280" s="960">
        <f>WWWW[[#This Row],['#_Water_Liters_from_Constructed/Existing water distribution system from river or natural spring]]/90/15</f>
        <v>0</v>
      </c>
      <c r="CM280" s="417">
        <f>IF(WWWW[[#This Row],['#_of water points in TLS/CFS]]*500&gt;WWWW[[#This Row],[Total PoP ]],WWWW[[#This Row],[Total PoP ]],WWWW[[#This Row],['#_of water points in TLS/CFS]]*500)</f>
        <v>0</v>
      </c>
      <c r="CN280" s="417">
        <f>IF(WWWW[[#This Row],['#_of water points in THF]]*500&gt;WWWW[[#This Row],[Total PoP ]],WWWW[[#This Row],[Total PoP ]],WWWW[[#This Row],['#_of water points in THF]]*500)</f>
        <v>0</v>
      </c>
      <c r="CO280" s="417"/>
      <c r="CP280"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80"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80" s="959">
        <f>IF(WWWW[[#This Row],[Location Type 1]]="Village",WWWW[[#This Row],[Access to safe drinking water for Village]],WWWW[[#This Row],[Access to safe drinking water for Camp]])</f>
        <v>1</v>
      </c>
      <c r="CS280" s="957">
        <f>WWWW[[#This Row],[%Equitable and continuous access to sufficient quantity of safe drinking water]]*WWWW[[#This Row],[Total PoP ]]</f>
        <v>57</v>
      </c>
      <c r="CT280" s="959">
        <f>IF((WWWW[[#This Row],['#_Constructed/Existing protected/fenced ponds]]*250)/WWWW[[#This Row],[Total PoP ]]&gt;1,1,(WWWW[[#This Row],['#_Constructed/Existing protected/fenced ponds]]*250)/WWWW[[#This Row],[Total PoP ]])</f>
        <v>0</v>
      </c>
      <c r="CU280" s="957">
        <f>WWWW[[#This Row],[% Access to unimproved water points]]*WWWW[[#This Row],[Total PoP ]]</f>
        <v>0</v>
      </c>
      <c r="CV280"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80"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57</v>
      </c>
      <c r="CX280" s="957">
        <f>WWWW[[#This Row],[HRP1]]/500</f>
        <v>0.114</v>
      </c>
      <c r="CY280" s="962">
        <f>1-WWWW[[#This Row],[% Equitable and continuous access to sufficient quantity of domestic water]]</f>
        <v>0</v>
      </c>
      <c r="CZ280" s="957">
        <f>WWWW[[#This Row],[%equitable and continuous access to sufficient quantity of safe drinking and domestic water''s GAP]]*WWWW[[#This Row],[Total PoP ]]</f>
        <v>0</v>
      </c>
      <c r="DA280" s="960">
        <f>IF(WWWW[[#This Row],[Total required water points]]-WWWW[[#This Row],['#Water points coverage]]&lt;0,0,WWWW[[#This Row],[Total required water points]]-WWWW[[#This Row],['#Water points coverage]])</f>
        <v>0.88600000000000001</v>
      </c>
      <c r="DB280" s="960">
        <f>ROUND(IF(WWWW[[#This Row],[Total PoP ]]&lt;500,1,WWWW[[#This Row],[Total PoP ]]/500),0)</f>
        <v>1</v>
      </c>
      <c r="DC280" s="960">
        <f>(WWWW[[#This Row],['#_Constructed latrines_by_WASHAgencies]]+WWWW[[#This Row],['#_Non Cluster partner latrines]])-WWWW[[#This Row],['#_Non-functional latrines]]</f>
        <v>8</v>
      </c>
      <c r="DD280" s="615">
        <f>WWWW[[#This Row],[HRP2]]/WWWW[[#This Row],[Total PoP ]]</f>
        <v>1</v>
      </c>
      <c r="DE280"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57</v>
      </c>
      <c r="DF280"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DG280"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80" s="417">
        <f>IF(WWWW[[#This Row],['# of functional latrines in THF supported by WASH partners during the reporting period2]]="",0,WWWW[[#This Row],['# of functional latrines in THF supported by WASH partners during the reporting period2]]*50)</f>
        <v>0</v>
      </c>
      <c r="DI280" s="960">
        <f>ROUND(IF(WWWW[[#This Row],[Location Type 1]]="camp",WWWW[[#This Row],[Total PoP ]]/20,IF(WWWW[[#This Row],[Location Type 1]]="Temporary Location",WWWW[[#This Row],[Total PoP ]]/50,(WWWW[[#This Row],[Total PoP ]]/6))),0)</f>
        <v>3</v>
      </c>
      <c r="DJ280" s="960">
        <f>IF(WWWW[[#This Row],[Total required Latrines]]-(WWWW[[#This Row],['#_Constructed latrines_by_WASHAgencies]]+WWWW[[#This Row],['#_Non Cluster partner latrines]])&lt;0,0,WWWW[[#This Row],[Total required Latrines]]-(WWWW[[#This Row],['#_Constructed latrines_by_WASHAgencies]]+WWWW[[#This Row],['#_Non Cluster partner latrines]]))</f>
        <v>0</v>
      </c>
      <c r="DK280" s="962">
        <f>1-WWWW[[#This Row],[% people access to functioning Latrine]]</f>
        <v>0</v>
      </c>
      <c r="DL280" s="961">
        <f>IF(OR(WWWW[[#This Row],['#_Non-functional latrines]]="",WWWW[[#This Row],['#_Non-functional latrines]]=0),0,WWWW[[#This Row],['#_Non-functional latrines]]/(WWWW[[#This Row],['#_Constructed latrines_by_WASHAgencies]]+WWWW[[#This Row],['#_Non Cluster partner latrines]]))</f>
        <v>0</v>
      </c>
      <c r="DM280" s="957">
        <f>IF(500*(WWWW[[#This Row],['#_male hygiene promoters]]+WWWW[[#This Row],['#_female hygiene promoters]])&gt;WWWW[[#This Row],[Total PoP ]],WWWW[[#This Row],[Total PoP ]],500*(WWWW[[#This Row],['#_male hygiene promoters]]+WWWW[[#This Row],['#_female hygiene promoters]]))</f>
        <v>0</v>
      </c>
      <c r="DN280"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80"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80" s="960">
        <f>IF(WWWW[[#This Row],['# People with access to soap]]&gt;WWWW[[#This Row],['# People with access to Sanity Pads]],WWWW[[#This Row],['# People with access to soap]],WWWW[[#This Row],['# People with access to Sanity Pads]])</f>
        <v>0</v>
      </c>
      <c r="DQ280" s="960">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80" s="962">
        <f>IF(WWWW[[#This Row],[HRP3]]/WWWW[[#This Row],[Total PoP ]]&gt;1,1,WWWW[[#This Row],[HRP3]]/WWWW[[#This Row],[Total PoP ]])</f>
        <v>0</v>
      </c>
      <c r="DS280" s="961">
        <f>1-WWWW[[#This Row],[Hygiene Coverage%]]</f>
        <v>1</v>
      </c>
      <c r="DT280" s="959">
        <f>WWWW[[#This Row],['# people reached by regular dedicated hygiene promotion_5]]/WWWW[[#This Row],[Total PoP ]]</f>
        <v>0</v>
      </c>
      <c r="DU280"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80"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80" s="960">
        <f>WWWW[[#This Row],['#_Constructed/Existing hand washing stations]]-WWWW[[#This Row],['#_Non-Functional_hand_washing_stations]]</f>
        <v>0</v>
      </c>
      <c r="DX280" s="957">
        <f>IF(WWWW[[#This Row],['# Functional hand washing stations during reporting period]]*20&gt;WWWW[[#This Row],[Total HH]],WWWW[[#This Row],[Total HH]],WWWW[[#This Row],['# Functional hand washing stations during reporting period]]*20)</f>
        <v>0</v>
      </c>
      <c r="DY280" s="957">
        <f>IF(WWWW[[#This Row],[Is sufficient soap available for TLS? (Yes/No)]]="yes",WWWW[[#This Row],['#_Constructed/Existing hand washing stations at TLS/CFS/THF]],0)</f>
        <v>0</v>
      </c>
      <c r="DZ280" s="421">
        <f>IF(WWWW[[#This Row],['# Functional hand washing stations during reporting period]]*100&gt;WWWW[[#This Row],[Total PoP ]],WWWW[[#This Row],[Total PoP ]],WWWW[[#This Row],['# Functional hand washing stations during reporting period]]*100)</f>
        <v>0</v>
      </c>
      <c r="EA280" s="421" t="str">
        <f>IF(OR(WWWW[[#This Row],['#_students at TLS_CFS]]="",WWWW[[#This Row],['#_students at TLS_CFS]]=0),"No","Yes")</f>
        <v>No</v>
      </c>
      <c r="EB28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80" s="566">
        <f>WWWW[[#This Row],[%_of_affected_people_surveyed_who_report_feeling_satistfied_with_the_latrine_design_and_sanitation_service]]*WWWW[[#This Row],[Total PoP ]]</f>
        <v>0</v>
      </c>
      <c r="ED280" s="566">
        <f>WWWW[[#This Row],[%_of_affected_people_surveyed_who_report_feeling_satistfied_with_the_water_point_design_and_water_service]]*WWWW[[#This Row],[Total PoP ]]</f>
        <v>0</v>
      </c>
      <c r="EE280" s="566">
        <f>WWWW[[#This Row],[%_of_complaints_received_that_result_in_timely_corrective_action_and_feedback_to_the_community]]*WWWW[[#This Row],[Total PoP ]]</f>
        <v>0</v>
      </c>
      <c r="EF28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8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8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80" s="953">
        <f>VLOOKUP(WWWW[[#This Row],[Site Name]],SiteDB6[[Site Name]:[CCCM Management]],6,FALSE)</f>
        <v>0</v>
      </c>
      <c r="EJ280" s="953">
        <f>VLOOKUP(WWWW[[#This Row],[Site Name]],SiteDB6[[Site Name]:[CCCM Focal Agency]],7,FALSE)</f>
        <v>0</v>
      </c>
      <c r="EK280" s="953" t="str">
        <f>VLOOKUP(WWWW[[#This Row],[Site Name]],SiteDB6[[Site Name]:[Location Type 1]],9,FALSE)</f>
        <v>Camp</v>
      </c>
      <c r="EL280" s="953" t="str">
        <f>VLOOKUP(WWWW[[#This Row],[Site Name]],SiteDB6[[Site Name]:[Type of Accommodation]],10,FALSE)</f>
        <v>Camp</v>
      </c>
      <c r="EM280" s="953" t="str">
        <f>VLOOKUP(WWWW[[#This Row],[Site Name]],SiteDB6[[Site Name]:[Ethnic or GCA/NGCA]],11,FALSE)</f>
        <v>GCA</v>
      </c>
      <c r="EN280" s="953">
        <f>VLOOKUP(WWWW[[#This Row],[Site Name]],SiteDB6[[Site Name]:[Lat]],12,FALSE)</f>
        <v>0</v>
      </c>
      <c r="EO280" s="953">
        <f>VLOOKUP(WWWW[[#This Row],[Site Name]],SiteDB6[[Site Name]:[Long]],13,FALSE)</f>
        <v>0</v>
      </c>
      <c r="EP280" s="953">
        <f>VLOOKUP(WWWW[[#This Row],[Site Name]],SiteDB6[[Site Name]:[Pcode]],3,FALSE)</f>
        <v>0</v>
      </c>
      <c r="EQ280" s="958" t="str">
        <f t="shared" si="5"/>
        <v>Covered</v>
      </c>
      <c r="ER280" s="950" t="s">
        <v>3126</v>
      </c>
      <c r="ES280" s="950" t="s">
        <v>3281</v>
      </c>
      <c r="ET280" s="953">
        <f>VLOOKUP(WWWW[[#This Row],[Site Name]],SiteDB6[[Site Name]:[Pop
(Kachin/Shan-CCCM as of May 2023)]],16,FALSE)</f>
        <v>0</v>
      </c>
      <c r="EU280" s="953">
        <f>VLOOKUP(WWWW[[#This Row],[Site Name]],SiteDB6[[Site Name]:[Pop
(Kachin/Shan-CCCM as of May 2023)]],17,FALSE)</f>
        <v>0</v>
      </c>
    </row>
    <row r="281" spans="1:151">
      <c r="A281" s="1004" t="s">
        <v>2962</v>
      </c>
      <c r="B281" s="1004" t="s">
        <v>141</v>
      </c>
      <c r="C281" s="1005" t="s">
        <v>3283</v>
      </c>
      <c r="D281" s="1005" t="s">
        <v>3337</v>
      </c>
      <c r="E281" s="1005" t="s">
        <v>37</v>
      </c>
      <c r="F281" s="1005" t="s">
        <v>205</v>
      </c>
      <c r="G281" s="953" t="s">
        <v>3064</v>
      </c>
      <c r="H281" s="1005" t="s">
        <v>209</v>
      </c>
      <c r="I281" s="954">
        <v>46</v>
      </c>
      <c r="J281" s="954">
        <v>263</v>
      </c>
      <c r="K281" s="955" t="s">
        <v>3328</v>
      </c>
      <c r="L281" s="956" t="s">
        <v>3329</v>
      </c>
      <c r="M281" s="954"/>
      <c r="N281" s="954"/>
      <c r="O281" s="954"/>
      <c r="P281" s="954"/>
      <c r="Q281" s="957" t="s">
        <v>41</v>
      </c>
      <c r="R281" s="954">
        <v>4</v>
      </c>
      <c r="S281" s="954"/>
      <c r="T281" s="441">
        <v>1</v>
      </c>
      <c r="U281" s="954"/>
      <c r="V281" s="954"/>
      <c r="W281" s="954">
        <v>2</v>
      </c>
      <c r="X281" s="954"/>
      <c r="Y281" s="954"/>
      <c r="Z281" s="954"/>
      <c r="AA281" s="954"/>
      <c r="AB281" s="954"/>
      <c r="AC281" s="954"/>
      <c r="AD281" s="954"/>
      <c r="AE281" s="954"/>
      <c r="AF281" s="954"/>
      <c r="AG281" s="954"/>
      <c r="AH281" s="954"/>
      <c r="AI281" s="954"/>
      <c r="AJ281" s="954"/>
      <c r="AK281" s="954"/>
      <c r="AL281" s="954"/>
      <c r="AM281" s="954"/>
      <c r="AN281" s="954"/>
      <c r="AO281" s="441"/>
      <c r="AP281" s="958"/>
      <c r="AQ281" s="954">
        <v>5</v>
      </c>
      <c r="AR281" s="954"/>
      <c r="AS281" s="959"/>
      <c r="AT281" s="954"/>
      <c r="AU281" s="971">
        <v>1</v>
      </c>
      <c r="AV281" s="954"/>
      <c r="AW281" s="954"/>
      <c r="AX281" s="954"/>
      <c r="AY281" s="953" t="s">
        <v>41</v>
      </c>
      <c r="AZ281" s="958" t="s">
        <v>137</v>
      </c>
      <c r="BA281" s="954"/>
      <c r="BB281" s="954"/>
      <c r="BC281" s="954"/>
      <c r="BD281" s="441"/>
      <c r="BE281" s="441"/>
      <c r="BF281" s="953"/>
      <c r="BG281" s="954">
        <v>2</v>
      </c>
      <c r="BH281" s="954"/>
      <c r="BI281" s="954"/>
      <c r="BJ281" s="954">
        <v>2</v>
      </c>
      <c r="BK281" s="954"/>
      <c r="BL281" s="954"/>
      <c r="BM281" s="954"/>
      <c r="BN281" s="954"/>
      <c r="BO281" s="954"/>
      <c r="BP281" s="953"/>
      <c r="BQ281" s="960"/>
      <c r="BR281" s="959"/>
      <c r="BS281" s="953"/>
      <c r="BT281" s="416"/>
      <c r="BU281" s="416"/>
      <c r="BV281" s="418"/>
      <c r="BW281" s="416"/>
      <c r="BX281" s="441"/>
      <c r="BY281" s="441"/>
      <c r="BZ281" s="441"/>
      <c r="CA281" s="441"/>
      <c r="CB281" s="441"/>
      <c r="CC281" s="693"/>
      <c r="CD281" s="441"/>
      <c r="CE281" s="961" t="str">
        <f>IFERROR(WWWW[[#This Row],['#_Water sources passed]]/WWWW[[#This Row],['#_Water sources tested for fecal coliform ]],"no test")</f>
        <v>no test</v>
      </c>
      <c r="CF281" s="959" t="str">
        <f>IFERROR(WWWW[[#This Row],['#_Household passed]]/WWWW[[#This Row],['#_Household water samples tested for fecal coliform]],"no test")</f>
        <v>no test</v>
      </c>
      <c r="CG281" s="960" t="str">
        <f>IF(AND(WWWW[[#This Row],[% of water sources passed]]="no test",WWWW[[#This Row],[% Household passed]]="no test"),"No Test","Tested")</f>
        <v>No Test</v>
      </c>
      <c r="CH281" s="960">
        <f>WWWW[[#This Row],['#_Constructed/existing protected hand dug well]]-WWWW[[#This Row],['#_Non-functional protected hand dug well]]</f>
        <v>1</v>
      </c>
      <c r="CI281" s="960">
        <f>(WWWW[[#This Row],['#_Constructed/Existing tube wells/boreholes/handpumps_WASH_agency]]+WWWW[[#This Row],['#_Non-Cluster partner water tube-wells/boreholes/handpumps]])-WWWW[[#This Row],['#_Non-functional tube wells/boreholes/handpumps]]</f>
        <v>2</v>
      </c>
      <c r="CJ281" s="960">
        <f>WWWW[[#This Row],['#_Constructed/Existingwater storage tank with gravity fed reticulation system]]-WWWW[[#This Row],['#_Non-functional storage tank gravity fed reticulation system]]</f>
        <v>0</v>
      </c>
      <c r="CK281" s="960">
        <f>(WWWW[[#This Row],['#_Water_Liters_supplied_by_Water boating or water trucking]]/90)/15</f>
        <v>0</v>
      </c>
      <c r="CL281" s="960">
        <f>WWWW[[#This Row],['#_Water_Liters_from_Constructed/Existing water distribution system from river or natural spring]]/90/15</f>
        <v>0</v>
      </c>
      <c r="CM281" s="417">
        <f>IF(WWWW[[#This Row],['#_of water points in TLS/CFS]]*500&gt;WWWW[[#This Row],[Total PoP ]],WWWW[[#This Row],[Total PoP ]],WWWW[[#This Row],['#_of water points in TLS/CFS]]*500)</f>
        <v>0</v>
      </c>
      <c r="CN281" s="417">
        <f>IF(WWWW[[#This Row],['#_of water points in THF]]*500&gt;WWWW[[#This Row],[Total PoP ]],WWWW[[#This Row],[Total PoP ]],WWWW[[#This Row],['#_of water points in THF]]*500)</f>
        <v>0</v>
      </c>
      <c r="CO281" s="417"/>
      <c r="CP281"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81"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81" s="959">
        <f>IF(WWWW[[#This Row],[Location Type 1]]="Village",WWWW[[#This Row],[Access to safe drinking water for Village]],WWWW[[#This Row],[Access to safe drinking water for Camp]])</f>
        <v>1</v>
      </c>
      <c r="CS281" s="957">
        <f>WWWW[[#This Row],[%Equitable and continuous access to sufficient quantity of safe drinking water]]*WWWW[[#This Row],[Total PoP ]]</f>
        <v>263</v>
      </c>
      <c r="CT281" s="959">
        <f>IF((WWWW[[#This Row],['#_Constructed/Existing protected/fenced ponds]]*250)/WWWW[[#This Row],[Total PoP ]]&gt;1,1,(WWWW[[#This Row],['#_Constructed/Existing protected/fenced ponds]]*250)/WWWW[[#This Row],[Total PoP ]])</f>
        <v>0</v>
      </c>
      <c r="CU281" s="957">
        <f>WWWW[[#This Row],[% Access to unimproved water points]]*WWWW[[#This Row],[Total PoP ]]</f>
        <v>0</v>
      </c>
      <c r="CV281"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81"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263</v>
      </c>
      <c r="CX281" s="957">
        <f>WWWW[[#This Row],[HRP1]]/500</f>
        <v>0.52600000000000002</v>
      </c>
      <c r="CY281" s="962">
        <f>1-WWWW[[#This Row],[% Equitable and continuous access to sufficient quantity of domestic water]]</f>
        <v>0</v>
      </c>
      <c r="CZ281" s="957">
        <f>WWWW[[#This Row],[%equitable and continuous access to sufficient quantity of safe drinking and domestic water''s GAP]]*WWWW[[#This Row],[Total PoP ]]</f>
        <v>0</v>
      </c>
      <c r="DA281" s="960">
        <f>IF(WWWW[[#This Row],[Total required water points]]-WWWW[[#This Row],['#Water points coverage]]&lt;0,0,WWWW[[#This Row],[Total required water points]]-WWWW[[#This Row],['#Water points coverage]])</f>
        <v>0.47399999999999998</v>
      </c>
      <c r="DB281" s="960">
        <f>ROUND(IF(WWWW[[#This Row],[Total PoP ]]&lt;500,1,WWWW[[#This Row],[Total PoP ]]/500),0)</f>
        <v>1</v>
      </c>
      <c r="DC281" s="960">
        <f>(WWWW[[#This Row],['#_Constructed latrines_by_WASHAgencies]]+WWWW[[#This Row],['#_Non Cluster partner latrines]])-WWWW[[#This Row],['#_Non-functional latrines]]</f>
        <v>5</v>
      </c>
      <c r="DD281" s="615">
        <f>WWWW[[#This Row],[HRP2]]/WWWW[[#This Row],[Total PoP ]]</f>
        <v>0.38022813688212925</v>
      </c>
      <c r="DE281"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281"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81"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81" s="417">
        <f>IF(WWWW[[#This Row],['# of functional latrines in THF supported by WASH partners during the reporting period2]]="",0,WWWW[[#This Row],['# of functional latrines in THF supported by WASH partners during the reporting period2]]*50)</f>
        <v>0</v>
      </c>
      <c r="DI281" s="960">
        <f>ROUND(IF(WWWW[[#This Row],[Location Type 1]]="camp",WWWW[[#This Row],[Total PoP ]]/20,IF(WWWW[[#This Row],[Location Type 1]]="Temporary Location",WWWW[[#This Row],[Total PoP ]]/50,(WWWW[[#This Row],[Total PoP ]]/6))),0)</f>
        <v>13</v>
      </c>
      <c r="DJ281" s="960">
        <f>IF(WWWW[[#This Row],[Total required Latrines]]-(WWWW[[#This Row],['#_Constructed latrines_by_WASHAgencies]]+WWWW[[#This Row],['#_Non Cluster partner latrines]])&lt;0,0,WWWW[[#This Row],[Total required Latrines]]-(WWWW[[#This Row],['#_Constructed latrines_by_WASHAgencies]]+WWWW[[#This Row],['#_Non Cluster partner latrines]]))</f>
        <v>8</v>
      </c>
      <c r="DK281" s="962">
        <f>1-WWWW[[#This Row],[% people access to functioning Latrine]]</f>
        <v>0.6197718631178708</v>
      </c>
      <c r="DL281" s="961">
        <f>IF(OR(WWWW[[#This Row],['#_Non-functional latrines]]="",WWWW[[#This Row],['#_Non-functional latrines]]=0),0,WWWW[[#This Row],['#_Non-functional latrines]]/(WWWW[[#This Row],['#_Constructed latrines_by_WASHAgencies]]+WWWW[[#This Row],['#_Non Cluster partner latrines]]))</f>
        <v>0</v>
      </c>
      <c r="DM281" s="957">
        <f>IF(500*(WWWW[[#This Row],['#_male hygiene promoters]]+WWWW[[#This Row],['#_female hygiene promoters]])&gt;WWWW[[#This Row],[Total PoP ]],WWWW[[#This Row],[Total PoP ]],500*(WWWW[[#This Row],['#_male hygiene promoters]]+WWWW[[#This Row],['#_female hygiene promoters]]))</f>
        <v>0</v>
      </c>
      <c r="DN281"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81"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81" s="960">
        <f>IF(WWWW[[#This Row],['# People with access to soap]]&gt;WWWW[[#This Row],['# People with access to Sanity Pads]],WWWW[[#This Row],['# People with access to soap]],WWWW[[#This Row],['# People with access to Sanity Pads]])</f>
        <v>0</v>
      </c>
      <c r="DQ281" s="960">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81" s="962">
        <f>IF(WWWW[[#This Row],[HRP3]]/WWWW[[#This Row],[Total PoP ]]&gt;1,1,WWWW[[#This Row],[HRP3]]/WWWW[[#This Row],[Total PoP ]])</f>
        <v>0</v>
      </c>
      <c r="DS281" s="961">
        <f>1-WWWW[[#This Row],[Hygiene Coverage%]]</f>
        <v>1</v>
      </c>
      <c r="DT281" s="959">
        <f>WWWW[[#This Row],['# people reached by regular dedicated hygiene promotion_5]]/WWWW[[#This Row],[Total PoP ]]</f>
        <v>0</v>
      </c>
      <c r="DU281"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81"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81" s="960">
        <f>WWWW[[#This Row],['#_Constructed/Existing hand washing stations]]-WWWW[[#This Row],['#_Non-Functional_hand_washing_stations]]</f>
        <v>2</v>
      </c>
      <c r="DX281" s="957">
        <f>IF(WWWW[[#This Row],['# Functional hand washing stations during reporting period]]*20&gt;WWWW[[#This Row],[Total HH]],WWWW[[#This Row],[Total HH]],WWWW[[#This Row],['# Functional hand washing stations during reporting period]]*20)</f>
        <v>40</v>
      </c>
      <c r="DY281" s="957">
        <f>IF(WWWW[[#This Row],[Is sufficient soap available for TLS? (Yes/No)]]="yes",WWWW[[#This Row],['#_Constructed/Existing hand washing stations at TLS/CFS/THF]],0)</f>
        <v>0</v>
      </c>
      <c r="DZ281" s="421">
        <f>IF(WWWW[[#This Row],['# Functional hand washing stations during reporting period]]*100&gt;WWWW[[#This Row],[Total PoP ]],WWWW[[#This Row],[Total PoP ]],WWWW[[#This Row],['# Functional hand washing stations during reporting period]]*100)</f>
        <v>200</v>
      </c>
      <c r="EA281" s="421" t="str">
        <f>IF(OR(WWWW[[#This Row],['#_students at TLS_CFS]]="",WWWW[[#This Row],['#_students at TLS_CFS]]=0),"No","Yes")</f>
        <v>No</v>
      </c>
      <c r="EB28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81" s="566">
        <f>WWWW[[#This Row],[%_of_affected_people_surveyed_who_report_feeling_satistfied_with_the_latrine_design_and_sanitation_service]]*WWWW[[#This Row],[Total PoP ]]</f>
        <v>0</v>
      </c>
      <c r="ED281" s="566">
        <f>WWWW[[#This Row],[%_of_affected_people_surveyed_who_report_feeling_satistfied_with_the_water_point_design_and_water_service]]*WWWW[[#This Row],[Total PoP ]]</f>
        <v>0</v>
      </c>
      <c r="EE281" s="566">
        <f>WWWW[[#This Row],[%_of_complaints_received_that_result_in_timely_corrective_action_and_feedback_to_the_community]]*WWWW[[#This Row],[Total PoP ]]</f>
        <v>0</v>
      </c>
      <c r="EF28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8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8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81" s="953">
        <f>VLOOKUP(WWWW[[#This Row],[Site Name]],SiteDB6[[Site Name]:[CCCM Management]],6,FALSE)</f>
        <v>0</v>
      </c>
      <c r="EJ281" s="953">
        <f>VLOOKUP(WWWW[[#This Row],[Site Name]],SiteDB6[[Site Name]:[CCCM Focal Agency]],7,FALSE)</f>
        <v>0</v>
      </c>
      <c r="EK281" s="953" t="str">
        <f>VLOOKUP(WWWW[[#This Row],[Site Name]],SiteDB6[[Site Name]:[Location Type 1]],9,FALSE)</f>
        <v>Camp</v>
      </c>
      <c r="EL281" s="953" t="str">
        <f>VLOOKUP(WWWW[[#This Row],[Site Name]],SiteDB6[[Site Name]:[Type of Accommodation]],10,FALSE)</f>
        <v>Camp</v>
      </c>
      <c r="EM281" s="953" t="str">
        <f>VLOOKUP(WWWW[[#This Row],[Site Name]],SiteDB6[[Site Name]:[Ethnic or GCA/NGCA]],11,FALSE)</f>
        <v>GCA</v>
      </c>
      <c r="EN281" s="953">
        <f>VLOOKUP(WWWW[[#This Row],[Site Name]],SiteDB6[[Site Name]:[Lat]],12,FALSE)</f>
        <v>0</v>
      </c>
      <c r="EO281" s="953">
        <f>VLOOKUP(WWWW[[#This Row],[Site Name]],SiteDB6[[Site Name]:[Long]],13,FALSE)</f>
        <v>0</v>
      </c>
      <c r="EP281" s="953">
        <f>VLOOKUP(WWWW[[#This Row],[Site Name]],SiteDB6[[Site Name]:[Pcode]],3,FALSE)</f>
        <v>0</v>
      </c>
      <c r="EQ281" s="958" t="str">
        <f t="shared" si="5"/>
        <v>Covered</v>
      </c>
      <c r="ER281" s="950" t="s">
        <v>3126</v>
      </c>
      <c r="ES281" s="950" t="s">
        <v>3282</v>
      </c>
      <c r="ET281" s="953">
        <f>VLOOKUP(WWWW[[#This Row],[Site Name]],SiteDB6[[Site Name]:[Pop
(Kachin/Shan-CCCM as of May 2023)]],16,FALSE)</f>
        <v>0</v>
      </c>
      <c r="EU281" s="953">
        <f>VLOOKUP(WWWW[[#This Row],[Site Name]],SiteDB6[[Site Name]:[Pop
(Kachin/Shan-CCCM as of May 2023)]],17,FALSE)</f>
        <v>0</v>
      </c>
    </row>
    <row r="282" spans="1:151">
      <c r="A282" s="1004" t="s">
        <v>2962</v>
      </c>
      <c r="B282" s="946" t="s">
        <v>141</v>
      </c>
      <c r="C282" s="938" t="s">
        <v>3290</v>
      </c>
      <c r="D282" s="938" t="s">
        <v>241</v>
      </c>
      <c r="E282" s="938" t="s">
        <v>37</v>
      </c>
      <c r="F282" s="938" t="s">
        <v>205</v>
      </c>
      <c r="G282" s="953" t="s">
        <v>3064</v>
      </c>
      <c r="H282" s="938" t="s">
        <v>289</v>
      </c>
      <c r="I282" s="441">
        <v>440</v>
      </c>
      <c r="J282" s="441">
        <v>2199</v>
      </c>
      <c r="K282" s="948">
        <v>44105</v>
      </c>
      <c r="L282" s="949">
        <v>44681</v>
      </c>
      <c r="M282" s="441"/>
      <c r="N282" s="441"/>
      <c r="O282" s="441"/>
      <c r="P282" s="441"/>
      <c r="Q282" s="421" t="s">
        <v>41</v>
      </c>
      <c r="R282" s="441"/>
      <c r="S282" s="441"/>
      <c r="T282" s="441"/>
      <c r="U282" s="441"/>
      <c r="V282" s="441"/>
      <c r="W282" s="441">
        <v>1</v>
      </c>
      <c r="X282" s="441"/>
      <c r="Y282" s="441"/>
      <c r="Z282" s="441"/>
      <c r="AA282" s="441"/>
      <c r="AB282" s="441"/>
      <c r="AC282" s="441"/>
      <c r="AD282" s="441"/>
      <c r="AE282" s="441"/>
      <c r="AF282" s="441"/>
      <c r="AG282" s="441"/>
      <c r="AH282" s="441"/>
      <c r="AI282" s="441"/>
      <c r="AJ282" s="441"/>
      <c r="AK282" s="441"/>
      <c r="AL282" s="441"/>
      <c r="AM282" s="441">
        <v>20</v>
      </c>
      <c r="AN282" s="441"/>
      <c r="AO282" s="441"/>
      <c r="AP282" s="950"/>
      <c r="AQ282" s="441"/>
      <c r="AR282" s="441"/>
      <c r="AS282" s="416"/>
      <c r="AT282" s="441"/>
      <c r="AU282" s="441"/>
      <c r="AV282" s="441"/>
      <c r="AW282" s="441"/>
      <c r="AX282" s="441"/>
      <c r="AY282" s="418" t="s">
        <v>140</v>
      </c>
      <c r="AZ282" s="950" t="s">
        <v>140</v>
      </c>
      <c r="BA282" s="441"/>
      <c r="BB282" s="441"/>
      <c r="BC282" s="441"/>
      <c r="BD282" s="441"/>
      <c r="BE282" s="441"/>
      <c r="BF282" s="418"/>
      <c r="BG282" s="441">
        <v>3</v>
      </c>
      <c r="BH282" s="441"/>
      <c r="BI282" s="441"/>
      <c r="BJ282" s="441">
        <v>2</v>
      </c>
      <c r="BK282" s="441"/>
      <c r="BL282" s="441"/>
      <c r="BM282" s="441"/>
      <c r="BN282" s="441"/>
      <c r="BO282" s="441"/>
      <c r="BP282" s="418"/>
      <c r="BQ282" s="417"/>
      <c r="BR282" s="416"/>
      <c r="BS282" s="418"/>
      <c r="BT282" s="416"/>
      <c r="BU282" s="416"/>
      <c r="BV282" s="418"/>
      <c r="BW282" s="416"/>
      <c r="BX282" s="441"/>
      <c r="BY282" s="441"/>
      <c r="BZ282" s="441"/>
      <c r="CA282" s="441"/>
      <c r="CB282" s="441"/>
      <c r="CC282" s="693"/>
      <c r="CD282" s="441"/>
      <c r="CE282" s="615" t="str">
        <f>IFERROR(WWWW[[#This Row],['#_Water sources passed]]/WWWW[[#This Row],['#_Water sources tested for fecal coliform ]],"no test")</f>
        <v>no test</v>
      </c>
      <c r="CF282" s="416" t="str">
        <f>IFERROR(WWWW[[#This Row],['#_Household passed]]/WWWW[[#This Row],['#_Household water samples tested for fecal coliform]],"no test")</f>
        <v>no test</v>
      </c>
      <c r="CG282" s="417" t="str">
        <f>IF(AND(WWWW[[#This Row],[% of water sources passed]]="no test",WWWW[[#This Row],[% Household passed]]="no test"),"No Test","Tested")</f>
        <v>No Test</v>
      </c>
      <c r="CH282" s="417">
        <f>WWWW[[#This Row],['#_Constructed/existing protected hand dug well]]-WWWW[[#This Row],['#_Non-functional protected hand dug well]]</f>
        <v>0</v>
      </c>
      <c r="CI282" s="417">
        <f>(WWWW[[#This Row],['#_Constructed/Existing tube wells/boreholes/handpumps_WASH_agency]]+WWWW[[#This Row],['#_Non-Cluster partner water tube-wells/boreholes/handpumps]])-WWWW[[#This Row],['#_Non-functional tube wells/boreholes/handpumps]]</f>
        <v>1</v>
      </c>
      <c r="CJ282" s="417">
        <f>WWWW[[#This Row],['#_Constructed/Existingwater storage tank with gravity fed reticulation system]]-WWWW[[#This Row],['#_Non-functional storage tank gravity fed reticulation system]]</f>
        <v>0</v>
      </c>
      <c r="CK282" s="417">
        <f>(WWWW[[#This Row],['#_Water_Liters_supplied_by_Water boating or water trucking]]/90)/15</f>
        <v>0</v>
      </c>
      <c r="CL282" s="417">
        <f>WWWW[[#This Row],['#_Water_Liters_from_Constructed/Existing water distribution system from river or natural spring]]/90/15</f>
        <v>0</v>
      </c>
      <c r="CM282" s="417">
        <f>IF(WWWW[[#This Row],['#_of water points in TLS/CFS]]*500&gt;WWWW[[#This Row],[Total PoP ]],WWWW[[#This Row],[Total PoP ]],WWWW[[#This Row],['#_of water points in TLS/CFS]]*500)</f>
        <v>0</v>
      </c>
      <c r="CN282" s="417">
        <f>IF(WWWW[[#This Row],['#_of water points in THF]]*500&gt;WWWW[[#This Row],[Total PoP ]],WWWW[[#This Row],[Total PoP ]],WWWW[[#This Row],['#_of water points in THF]]*500)</f>
        <v>0</v>
      </c>
      <c r="CO282" s="417"/>
      <c r="CP282"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0.22737608003638018</v>
      </c>
      <c r="CQ282"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0.11368804001819009</v>
      </c>
      <c r="CR282" s="416">
        <f>IF(WWWW[[#This Row],[Location Type 1]]="Village",WWWW[[#This Row],[Access to safe drinking water for Village]],WWWW[[#This Row],[Access to safe drinking water for Camp]])</f>
        <v>0.22737608003638018</v>
      </c>
      <c r="CS282" s="421">
        <f>WWWW[[#This Row],[%Equitable and continuous access to sufficient quantity of safe drinking water]]*WWWW[[#This Row],[Total PoP ]]</f>
        <v>500</v>
      </c>
      <c r="CT282" s="416">
        <f>IF((WWWW[[#This Row],['#_Constructed/Existing protected/fenced ponds]]*250)/WWWW[[#This Row],[Total PoP ]]&gt;1,1,(WWWW[[#This Row],['#_Constructed/Existing protected/fenced ponds]]*250)/WWWW[[#This Row],[Total PoP ]])</f>
        <v>0</v>
      </c>
      <c r="CU282" s="421">
        <f>WWWW[[#This Row],[% Access to unimproved water points]]*WWWW[[#This Row],[Total PoP ]]</f>
        <v>0</v>
      </c>
      <c r="CV282"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0.22737608003638018</v>
      </c>
      <c r="CW282"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500</v>
      </c>
      <c r="CX282" s="421">
        <f>WWWW[[#This Row],[HRP1]]/500</f>
        <v>1</v>
      </c>
      <c r="CY282" s="951">
        <f>1-WWWW[[#This Row],[% Equitable and continuous access to sufficient quantity of domestic water]]</f>
        <v>0.77262391996361979</v>
      </c>
      <c r="CZ282" s="421">
        <f>WWWW[[#This Row],[%equitable and continuous access to sufficient quantity of safe drinking and domestic water''s GAP]]*WWWW[[#This Row],[Total PoP ]]</f>
        <v>1699</v>
      </c>
      <c r="DA282" s="417">
        <f>IF(WWWW[[#This Row],[Total required water points]]-WWWW[[#This Row],['#Water points coverage]]&lt;0,0,WWWW[[#This Row],[Total required water points]]-WWWW[[#This Row],['#Water points coverage]])</f>
        <v>3</v>
      </c>
      <c r="DB282" s="417">
        <f>ROUND(IF(WWWW[[#This Row],[Total PoP ]]&lt;500,1,WWWW[[#This Row],[Total PoP ]]/500),0)</f>
        <v>4</v>
      </c>
      <c r="DC282" s="417">
        <f>(WWWW[[#This Row],['#_Constructed latrines_by_WASHAgencies]]+WWWW[[#This Row],['#_Non Cluster partner latrines]])-WWWW[[#This Row],['#_Non-functional latrines]]</f>
        <v>0</v>
      </c>
      <c r="DD282" s="615">
        <f>WWWW[[#This Row],[HRP2]]/WWWW[[#This Row],[Total PoP ]]</f>
        <v>0</v>
      </c>
      <c r="DE282"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82"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82"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82" s="417">
        <f>IF(WWWW[[#This Row],['# of functional latrines in THF supported by WASH partners during the reporting period2]]="",0,WWWW[[#This Row],['# of functional latrines in THF supported by WASH partners during the reporting period2]]*50)</f>
        <v>0</v>
      </c>
      <c r="DI282" s="417">
        <f>ROUND(IF(WWWW[[#This Row],[Location Type 1]]="camp",WWWW[[#This Row],[Total PoP ]]/20,IF(WWWW[[#This Row],[Location Type 1]]="Temporary Location",WWWW[[#This Row],[Total PoP ]]/50,(WWWW[[#This Row],[Total PoP ]]/6))),0)</f>
        <v>110</v>
      </c>
      <c r="DJ282" s="417">
        <f>IF(WWWW[[#This Row],[Total required Latrines]]-(WWWW[[#This Row],['#_Constructed latrines_by_WASHAgencies]]+WWWW[[#This Row],['#_Non Cluster partner latrines]])&lt;0,0,WWWW[[#This Row],[Total required Latrines]]-(WWWW[[#This Row],['#_Constructed latrines_by_WASHAgencies]]+WWWW[[#This Row],['#_Non Cluster partner latrines]]))</f>
        <v>110</v>
      </c>
      <c r="DK282" s="951">
        <f>1-WWWW[[#This Row],[% people access to functioning Latrine]]</f>
        <v>1</v>
      </c>
      <c r="DL282" s="615">
        <f>IF(OR(WWWW[[#This Row],['#_Non-functional latrines]]="",WWWW[[#This Row],['#_Non-functional latrines]]=0),0,WWWW[[#This Row],['#_Non-functional latrines]]/(WWWW[[#This Row],['#_Constructed latrines_by_WASHAgencies]]+WWWW[[#This Row],['#_Non Cluster partner latrines]]))</f>
        <v>0</v>
      </c>
      <c r="DM282" s="421">
        <f>IF(500*(WWWW[[#This Row],['#_male hygiene promoters]]+WWWW[[#This Row],['#_female hygiene promoters]])&gt;WWWW[[#This Row],[Total PoP ]],WWWW[[#This Row],[Total PoP ]],500*(WWWW[[#This Row],['#_male hygiene promoters]]+WWWW[[#This Row],['#_female hygiene promoters]]))</f>
        <v>0</v>
      </c>
      <c r="DN282"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82"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82" s="417">
        <f>IF(WWWW[[#This Row],['# People with access to soap]]&gt;WWWW[[#This Row],['# People with access to Sanity Pads]],WWWW[[#This Row],['# People with access to soap]],WWWW[[#This Row],['# People with access to Sanity Pads]])</f>
        <v>0</v>
      </c>
      <c r="DQ282"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82" s="951">
        <f>IF(WWWW[[#This Row],[HRP3]]/WWWW[[#This Row],[Total PoP ]]&gt;1,1,WWWW[[#This Row],[HRP3]]/WWWW[[#This Row],[Total PoP ]])</f>
        <v>0</v>
      </c>
      <c r="DS282" s="615">
        <f>1-WWWW[[#This Row],[Hygiene Coverage%]]</f>
        <v>1</v>
      </c>
      <c r="DT282" s="416">
        <f>WWWW[[#This Row],['# people reached by regular dedicated hygiene promotion_5]]/WWWW[[#This Row],[Total PoP ]]</f>
        <v>0</v>
      </c>
      <c r="DU282"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82"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82" s="417">
        <f>WWWW[[#This Row],['#_Constructed/Existing hand washing stations]]-WWWW[[#This Row],['#_Non-Functional_hand_washing_stations]]</f>
        <v>3</v>
      </c>
      <c r="DX282" s="421">
        <f>IF(WWWW[[#This Row],['# Functional hand washing stations during reporting period]]*20&gt;WWWW[[#This Row],[Total HH]],WWWW[[#This Row],[Total HH]],WWWW[[#This Row],['# Functional hand washing stations during reporting period]]*20)</f>
        <v>60</v>
      </c>
      <c r="DY282" s="421">
        <f>IF(WWWW[[#This Row],[Is sufficient soap available for TLS? (Yes/No)]]="yes",WWWW[[#This Row],['#_Constructed/Existing hand washing stations at TLS/CFS/THF]],0)</f>
        <v>0</v>
      </c>
      <c r="DZ282" s="421">
        <f>IF(WWWW[[#This Row],['# Functional hand washing stations during reporting period]]*100&gt;WWWW[[#This Row],[Total PoP ]],WWWW[[#This Row],[Total PoP ]],WWWW[[#This Row],['# Functional hand washing stations during reporting period]]*100)</f>
        <v>300</v>
      </c>
      <c r="EA282" s="421" t="str">
        <f>IF(OR(WWWW[[#This Row],['#_students at TLS_CFS]]="",WWWW[[#This Row],['#_students at TLS_CFS]]=0),"No","Yes")</f>
        <v>No</v>
      </c>
      <c r="EB28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82" s="566">
        <f>WWWW[[#This Row],[%_of_affected_people_surveyed_who_report_feeling_satistfied_with_the_latrine_design_and_sanitation_service]]*WWWW[[#This Row],[Total PoP ]]</f>
        <v>0</v>
      </c>
      <c r="ED282" s="566">
        <f>WWWW[[#This Row],[%_of_affected_people_surveyed_who_report_feeling_satistfied_with_the_water_point_design_and_water_service]]*WWWW[[#This Row],[Total PoP ]]</f>
        <v>0</v>
      </c>
      <c r="EE282" s="566">
        <f>WWWW[[#This Row],[%_of_complaints_received_that_result_in_timely_corrective_action_and_feedback_to_the_community]]*WWWW[[#This Row],[Total PoP ]]</f>
        <v>0</v>
      </c>
      <c r="EF28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8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8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82" s="418">
        <f>VLOOKUP(WWWW[[#This Row],[Site Name]],SiteDB6[[Site Name]:[CCCM Management]],6,FALSE)</f>
        <v>0</v>
      </c>
      <c r="EJ282" s="418">
        <f>VLOOKUP(WWWW[[#This Row],[Site Name]],SiteDB6[[Site Name]:[CCCM Focal Agency]],7,FALSE)</f>
        <v>0</v>
      </c>
      <c r="EK282" s="418" t="str">
        <f>VLOOKUP(WWWW[[#This Row],[Site Name]],SiteDB6[[Site Name]:[Location Type 1]],9,FALSE)</f>
        <v>Camp</v>
      </c>
      <c r="EL282" s="418" t="str">
        <f>VLOOKUP(WWWW[[#This Row],[Site Name]],SiteDB6[[Site Name]:[Type of Accommodation]],10,FALSE)</f>
        <v>School</v>
      </c>
      <c r="EM282" s="418" t="str">
        <f>VLOOKUP(WWWW[[#This Row],[Site Name]],SiteDB6[[Site Name]:[Ethnic or GCA/NGCA]],11,FALSE)</f>
        <v>NGCA</v>
      </c>
      <c r="EN282" s="418">
        <f>VLOOKUP(WWWW[[#This Row],[Site Name]],SiteDB6[[Site Name]:[Lat]],12,FALSE)</f>
        <v>0</v>
      </c>
      <c r="EO282" s="418">
        <f>VLOOKUP(WWWW[[#This Row],[Site Name]],SiteDB6[[Site Name]:[Long]],13,FALSE)</f>
        <v>0</v>
      </c>
      <c r="EP282" s="418">
        <f>VLOOKUP(WWWW[[#This Row],[Site Name]],SiteDB6[[Site Name]:[Pcode]],3,FALSE)</f>
        <v>0</v>
      </c>
      <c r="EQ282" s="950" t="str">
        <f t="shared" si="5"/>
        <v>Covered</v>
      </c>
      <c r="ER282" s="950" t="s">
        <v>3126</v>
      </c>
      <c r="ES282" s="950" t="s">
        <v>3273</v>
      </c>
      <c r="ET282" s="418">
        <f>VLOOKUP(WWWW[[#This Row],[Site Name]],SiteDB6[[Site Name]:[Pop
(Kachin/Shan-CCCM as of May 2023)]],16,FALSE)</f>
        <v>0</v>
      </c>
      <c r="EU282" s="418">
        <f>VLOOKUP(WWWW[[#This Row],[Site Name]],SiteDB6[[Site Name]:[Pop
(Kachin/Shan-CCCM as of May 2023)]],17,FALSE)</f>
        <v>0</v>
      </c>
    </row>
    <row r="283" spans="1:151">
      <c r="A283" s="1065" t="s">
        <v>2962</v>
      </c>
      <c r="B283" s="1065" t="s">
        <v>276</v>
      </c>
      <c r="C283" s="1066" t="s">
        <v>276</v>
      </c>
      <c r="D283" s="1066" t="s">
        <v>3352</v>
      </c>
      <c r="E283" s="1066" t="s">
        <v>37</v>
      </c>
      <c r="F283" s="1066" t="s">
        <v>205</v>
      </c>
      <c r="G283" s="975" t="s">
        <v>43</v>
      </c>
      <c r="H283" s="1066" t="s">
        <v>281</v>
      </c>
      <c r="I283" s="976">
        <v>85</v>
      </c>
      <c r="J283" s="976">
        <v>255</v>
      </c>
      <c r="K283" s="977">
        <v>45017</v>
      </c>
      <c r="L283" s="978">
        <v>45382</v>
      </c>
      <c r="M283" s="976"/>
      <c r="N283" s="976"/>
      <c r="O283" s="976">
        <v>1</v>
      </c>
      <c r="P283" s="976"/>
      <c r="Q283" s="979" t="s">
        <v>41</v>
      </c>
      <c r="R283" s="976">
        <v>3</v>
      </c>
      <c r="S283" s="976">
        <v>3</v>
      </c>
      <c r="T283" s="441">
        <v>1</v>
      </c>
      <c r="U283" s="976"/>
      <c r="V283" s="976"/>
      <c r="W283" s="976"/>
      <c r="X283" s="976"/>
      <c r="Y283" s="976"/>
      <c r="Z283" s="976"/>
      <c r="AA283" s="976"/>
      <c r="AB283" s="976"/>
      <c r="AC283" s="976"/>
      <c r="AD283" s="976"/>
      <c r="AE283" s="976"/>
      <c r="AF283" s="976"/>
      <c r="AG283" s="976">
        <v>2</v>
      </c>
      <c r="AH283" s="976"/>
      <c r="AI283" s="976">
        <v>3</v>
      </c>
      <c r="AJ283" s="976">
        <v>3</v>
      </c>
      <c r="AK283" s="976">
        <v>6</v>
      </c>
      <c r="AL283" s="976">
        <v>6</v>
      </c>
      <c r="AM283" s="976"/>
      <c r="AN283" s="976"/>
      <c r="AO283" s="441"/>
      <c r="AP283" s="980"/>
      <c r="AQ283" s="976">
        <v>9</v>
      </c>
      <c r="AR283" s="976"/>
      <c r="AS283" s="981"/>
      <c r="AT283" s="976"/>
      <c r="AU283" s="976">
        <v>3</v>
      </c>
      <c r="AV283" s="976">
        <v>12</v>
      </c>
      <c r="AW283" s="976">
        <v>16</v>
      </c>
      <c r="AX283" s="976"/>
      <c r="AY283" s="975" t="s">
        <v>41</v>
      </c>
      <c r="AZ283" s="980" t="s">
        <v>137</v>
      </c>
      <c r="BA283" s="976"/>
      <c r="BB283" s="976"/>
      <c r="BC283" s="976"/>
      <c r="BD283" s="441"/>
      <c r="BE283" s="441">
        <v>2</v>
      </c>
      <c r="BF283" s="975"/>
      <c r="BG283" s="976">
        <v>7</v>
      </c>
      <c r="BH283" s="976"/>
      <c r="BI283" s="976"/>
      <c r="BJ283" s="976">
        <v>1</v>
      </c>
      <c r="BK283" s="976"/>
      <c r="BL283" s="976"/>
      <c r="BM283" s="976">
        <v>1</v>
      </c>
      <c r="BN283" s="976"/>
      <c r="BO283" s="976" t="s">
        <v>3353</v>
      </c>
      <c r="BP283" s="975" t="s">
        <v>136</v>
      </c>
      <c r="BQ283" s="982">
        <v>3</v>
      </c>
      <c r="BR283" s="981">
        <v>0.6</v>
      </c>
      <c r="BS283" s="975" t="s">
        <v>3355</v>
      </c>
      <c r="BT283" s="416">
        <v>1</v>
      </c>
      <c r="BU283" s="416">
        <v>0.99</v>
      </c>
      <c r="BV283" s="418">
        <v>2</v>
      </c>
      <c r="BW283" s="416">
        <v>1</v>
      </c>
      <c r="BX283" s="441"/>
      <c r="BY283" s="441"/>
      <c r="BZ283" s="441"/>
      <c r="CA283" s="441"/>
      <c r="CB283" s="441"/>
      <c r="CC283" s="693"/>
      <c r="CD283" s="441"/>
      <c r="CE283" s="983">
        <f>IFERROR(WWWW[[#This Row],['#_Water sources passed]]/WWWW[[#This Row],['#_Water sources tested for fecal coliform ]],"no test")</f>
        <v>1</v>
      </c>
      <c r="CF283" s="981">
        <f>IFERROR(WWWW[[#This Row],['#_Household passed]]/WWWW[[#This Row],['#_Household water samples tested for fecal coliform]],"no test")</f>
        <v>1</v>
      </c>
      <c r="CG283" s="982" t="str">
        <f>IF(AND(WWWW[[#This Row],[% of water sources passed]]="no test",WWWW[[#This Row],[% Household passed]]="no test"),"No Test","Tested")</f>
        <v>Tested</v>
      </c>
      <c r="CH283" s="982">
        <f>WWWW[[#This Row],['#_Constructed/existing protected hand dug well]]-WWWW[[#This Row],['#_Non-functional protected hand dug well]]</f>
        <v>1</v>
      </c>
      <c r="CI283" s="982">
        <f>(WWWW[[#This Row],['#_Constructed/Existing tube wells/boreholes/handpumps_WASH_agency]]+WWWW[[#This Row],['#_Non-Cluster partner water tube-wells/boreholes/handpumps]])-WWWW[[#This Row],['#_Non-functional tube wells/boreholes/handpumps]]</f>
        <v>0</v>
      </c>
      <c r="CJ283" s="982">
        <f>WWWW[[#This Row],['#_Constructed/Existingwater storage tank with gravity fed reticulation system]]-WWWW[[#This Row],['#_Non-functional storage tank gravity fed reticulation system]]</f>
        <v>0</v>
      </c>
      <c r="CK283" s="982">
        <f>(WWWW[[#This Row],['#_Water_Liters_supplied_by_Water boating or water trucking]]/90)/15</f>
        <v>0</v>
      </c>
      <c r="CL283" s="982">
        <f>WWWW[[#This Row],['#_Water_Liters_from_Constructed/Existing water distribution system from river or natural spring]]/90/15</f>
        <v>0</v>
      </c>
      <c r="CM283" s="417">
        <f>IF(WWWW[[#This Row],['#_of water points in TLS/CFS]]*500&gt;WWWW[[#This Row],[Total PoP ]],WWWW[[#This Row],[Total PoP ]],WWWW[[#This Row],['#_of water points in TLS/CFS]]*500)</f>
        <v>0</v>
      </c>
      <c r="CN283" s="417">
        <f>IF(WWWW[[#This Row],['#_of water points in THF]]*500&gt;WWWW[[#This Row],[Total PoP ]],WWWW[[#This Row],[Total PoP ]],WWWW[[#This Row],['#_of water points in THF]]*500)</f>
        <v>0</v>
      </c>
      <c r="CO283" s="417"/>
      <c r="CP283" s="983">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83" s="983">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0.98039215686274506</v>
      </c>
      <c r="CR283" s="981">
        <f>IF(WWWW[[#This Row],[Location Type 1]]="Village",WWWW[[#This Row],[Access to safe drinking water for Village]],WWWW[[#This Row],[Access to safe drinking water for Camp]])</f>
        <v>1</v>
      </c>
      <c r="CS283" s="979">
        <f>WWWW[[#This Row],[%Equitable and continuous access to sufficient quantity of safe drinking water]]*WWWW[[#This Row],[Total PoP ]]</f>
        <v>255</v>
      </c>
      <c r="CT283" s="981">
        <f>IF((WWWW[[#This Row],['#_Constructed/Existing protected/fenced ponds]]*250)/WWWW[[#This Row],[Total PoP ]]&gt;1,1,(WWWW[[#This Row],['#_Constructed/Existing protected/fenced ponds]]*250)/WWWW[[#This Row],[Total PoP ]])</f>
        <v>0</v>
      </c>
      <c r="CU283" s="979">
        <f>WWWW[[#This Row],[% Access to unimproved water points]]*WWWW[[#This Row],[Total PoP ]]</f>
        <v>0</v>
      </c>
      <c r="CV283" s="9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83" s="9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255</v>
      </c>
      <c r="CX283" s="979">
        <f>WWWW[[#This Row],[HRP1]]/500</f>
        <v>0.51</v>
      </c>
      <c r="CY283" s="984">
        <f>1-WWWW[[#This Row],[% Equitable and continuous access to sufficient quantity of domestic water]]</f>
        <v>0</v>
      </c>
      <c r="CZ283" s="979">
        <f>WWWW[[#This Row],[%equitable and continuous access to sufficient quantity of safe drinking and domestic water''s GAP]]*WWWW[[#This Row],[Total PoP ]]</f>
        <v>0</v>
      </c>
      <c r="DA283" s="982">
        <f>IF(WWWW[[#This Row],[Total required water points]]-WWWW[[#This Row],['#Water points coverage]]&lt;0,0,WWWW[[#This Row],[Total required water points]]-WWWW[[#This Row],['#Water points coverage]])</f>
        <v>0.49</v>
      </c>
      <c r="DB283" s="982">
        <f>ROUND(IF(WWWW[[#This Row],[Total PoP ]]&lt;500,1,WWWW[[#This Row],[Total PoP ]]/500),0)</f>
        <v>1</v>
      </c>
      <c r="DC283" s="982">
        <f>(WWWW[[#This Row],['#_Constructed latrines_by_WASHAgencies]]+WWWW[[#This Row],['#_Non Cluster partner latrines]])-WWWW[[#This Row],['#_Non-functional latrines]]</f>
        <v>9</v>
      </c>
      <c r="DD283" s="615">
        <f>WWWW[[#This Row],[HRP2]]/WWWW[[#This Row],[Total PoP ]]</f>
        <v>0.71372549019607845</v>
      </c>
      <c r="DE283" s="979">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182</v>
      </c>
      <c r="DF283" s="98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240</v>
      </c>
      <c r="DG283" s="982">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83" s="417">
        <f>IF(WWWW[[#This Row],['# of functional latrines in THF supported by WASH partners during the reporting period2]]="",0,WWWW[[#This Row],['# of functional latrines in THF supported by WASH partners during the reporting period2]]*50)</f>
        <v>0</v>
      </c>
      <c r="DI283" s="982">
        <f>ROUND(IF(WWWW[[#This Row],[Location Type 1]]="camp",WWWW[[#This Row],[Total PoP ]]/20,IF(WWWW[[#This Row],[Location Type 1]]="Temporary Location",WWWW[[#This Row],[Total PoP ]]/50,(WWWW[[#This Row],[Total PoP ]]/6))),0)</f>
        <v>13</v>
      </c>
      <c r="DJ283" s="982">
        <f>IF(WWWW[[#This Row],[Total required Latrines]]-(WWWW[[#This Row],['#_Constructed latrines_by_WASHAgencies]]+WWWW[[#This Row],['#_Non Cluster partner latrines]])&lt;0,0,WWWW[[#This Row],[Total required Latrines]]-(WWWW[[#This Row],['#_Constructed latrines_by_WASHAgencies]]+WWWW[[#This Row],['#_Non Cluster partner latrines]]))</f>
        <v>4</v>
      </c>
      <c r="DK283" s="984">
        <f>1-WWWW[[#This Row],[% people access to functioning Latrine]]</f>
        <v>0.28627450980392155</v>
      </c>
      <c r="DL283" s="983">
        <f>IF(OR(WWWW[[#This Row],['#_Non-functional latrines]]="",WWWW[[#This Row],['#_Non-functional latrines]]=0),0,WWWW[[#This Row],['#_Non-functional latrines]]/(WWWW[[#This Row],['#_Constructed latrines_by_WASHAgencies]]+WWWW[[#This Row],['#_Non Cluster partner latrines]]))</f>
        <v>0</v>
      </c>
      <c r="DM283" s="979">
        <f>IF(500*(WWWW[[#This Row],['#_male hygiene promoters]]+WWWW[[#This Row],['#_female hygiene promoters]])&gt;WWWW[[#This Row],[Total PoP ]],WWWW[[#This Row],[Total PoP ]],500*(WWWW[[#This Row],['#_male hygiene promoters]]+WWWW[[#This Row],['#_female hygiene promoters]]))</f>
        <v>255</v>
      </c>
      <c r="DN283" s="982">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83" s="982">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255</v>
      </c>
      <c r="DP283" s="982">
        <f>IF(WWWW[[#This Row],['# People with access to soap]]&gt;WWWW[[#This Row],['# People with access to Sanity Pads]],WWWW[[#This Row],['# People with access to soap]],WWWW[[#This Row],['# People with access to Sanity Pads]])</f>
        <v>255</v>
      </c>
      <c r="DQ283" s="982">
        <f>IF(WWWW[[#This Row],['# people reached by regular dedicated hygiene promotion_5]]&gt;WWWW[[#This Row],['# People received regular supply of hygiene items_6]],WWWW[[#This Row],['# people reached by regular dedicated hygiene promotion_5]],WWWW[[#This Row],['# People received regular supply of hygiene items_6]])</f>
        <v>255</v>
      </c>
      <c r="DR283" s="984">
        <f>IF(WWWW[[#This Row],[HRP3]]/WWWW[[#This Row],[Total PoP ]]&gt;1,1,WWWW[[#This Row],[HRP3]]/WWWW[[#This Row],[Total PoP ]])</f>
        <v>1</v>
      </c>
      <c r="DS283" s="983">
        <f>1-WWWW[[#This Row],[Hygiene Coverage%]]</f>
        <v>0</v>
      </c>
      <c r="DT283" s="981">
        <f>WWWW[[#This Row],['# people reached by regular dedicated hygiene promotion_5]]/WWWW[[#This Row],[Total PoP ]]</f>
        <v>1</v>
      </c>
      <c r="DU283" s="98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83" s="981" t="e">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#VALUE!</v>
      </c>
      <c r="DW283" s="982">
        <f>WWWW[[#This Row],['#_Constructed/Existing hand washing stations]]-WWWW[[#This Row],['#_Non-Functional_hand_washing_stations]]</f>
        <v>7</v>
      </c>
      <c r="DX283" s="979">
        <f>IF(WWWW[[#This Row],['# Functional hand washing stations during reporting period]]*20&gt;WWWW[[#This Row],[Total HH]],WWWW[[#This Row],[Total HH]],WWWW[[#This Row],['# Functional hand washing stations during reporting period]]*20)</f>
        <v>85</v>
      </c>
      <c r="DY283" s="979">
        <f>IF(WWWW[[#This Row],[Is sufficient soap available for TLS? (Yes/No)]]="yes",WWWW[[#This Row],['#_Constructed/Existing hand washing stations at TLS/CFS/THF]],0)</f>
        <v>0</v>
      </c>
      <c r="DZ283" s="421">
        <f>IF(WWWW[[#This Row],['# Functional hand washing stations during reporting period]]*100&gt;WWWW[[#This Row],[Total PoP ]],WWWW[[#This Row],[Total PoP ]],WWWW[[#This Row],['# Functional hand washing stations during reporting period]]*100)</f>
        <v>255</v>
      </c>
      <c r="EA283" s="421" t="str">
        <f>IF(OR(WWWW[[#This Row],['#_students at TLS_CFS]]="",WWWW[[#This Row],['#_students at TLS_CFS]]=0),"No","Yes")</f>
        <v>No</v>
      </c>
      <c r="EB283" s="615">
        <f>IF(WWWW[[#This Row],['#_of_affected_people_surveyed_who_report_feeling_informed_about_the_different_WASH_services_available_to_them]]="","",WWWW[[#This Row],['#_of_affected_people_surveyed_who_report_feeling_informed_about_the_different_WASH_services_available_to_them]]/WWWW[[#This Row],[Total PoP ]])</f>
        <v>7.8431372549019607E-3</v>
      </c>
      <c r="EC283" s="566">
        <f>WWWW[[#This Row],[%_of_affected_people_surveyed_who_report_feeling_satistfied_with_the_latrine_design_and_sanitation_service]]*WWWW[[#This Row],[Total PoP ]]</f>
        <v>255</v>
      </c>
      <c r="ED283" s="566">
        <f>WWWW[[#This Row],[%_of_affected_people_surveyed_who_report_feeling_satistfied_with_the_water_point_design_and_water_service]]*WWWW[[#This Row],[Total PoP ]]</f>
        <v>252.45</v>
      </c>
      <c r="EE283" s="566">
        <f>WWWW[[#This Row],[%_of_complaints_received_that_result_in_timely_corrective_action_and_feedback_to_the_community]]*WWWW[[#This Row],[Total PoP ]]</f>
        <v>255</v>
      </c>
      <c r="EF28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255</v>
      </c>
      <c r="EG28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8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83" s="975" t="str">
        <f>VLOOKUP(WWWW[[#This Row],[Site Name]],SiteDB6[[Site Name]:[CCCM Management]],6,FALSE)</f>
        <v>Yes</v>
      </c>
      <c r="EJ283" s="975" t="str">
        <f>VLOOKUP(WWWW[[#This Row],[Site Name]],SiteDB6[[Site Name]:[CCCM Focal Agency]],7,FALSE)</f>
        <v>KBC-BMO</v>
      </c>
      <c r="EK283" s="975" t="str">
        <f>VLOOKUP(WWWW[[#This Row],[Site Name]],SiteDB6[[Site Name]:[Location Type 1]],9,FALSE)</f>
        <v>Camp</v>
      </c>
      <c r="EL283" s="975" t="str">
        <f>VLOOKUP(WWWW[[#This Row],[Site Name]],SiteDB6[[Site Name]:[Type of Accommodation]],10,FALSE)</f>
        <v>Camp</v>
      </c>
      <c r="EM283" s="975" t="str">
        <f>VLOOKUP(WWWW[[#This Row],[Site Name]],SiteDB6[[Site Name]:[Ethnic or GCA/NGCA]],11,FALSE)</f>
        <v>GCA</v>
      </c>
      <c r="EN283" s="975">
        <f>VLOOKUP(WWWW[[#This Row],[Site Name]],SiteDB6[[Site Name]:[Lat]],12,FALSE)</f>
        <v>24.200972</v>
      </c>
      <c r="EO283" s="975">
        <f>VLOOKUP(WWWW[[#This Row],[Site Name]],SiteDB6[[Site Name]:[Long]],13,FALSE)</f>
        <v>97.718582999999995</v>
      </c>
      <c r="EP283" s="975" t="str">
        <f>VLOOKUP(WWWW[[#This Row],[Site Name]],SiteDB6[[Site Name]:[Pcode]],3,FALSE)</f>
        <v>MMR001CMP071</v>
      </c>
      <c r="EQ283" s="980" t="str">
        <f t="shared" si="5"/>
        <v>Covered</v>
      </c>
      <c r="ER283" s="950" t="s">
        <v>3126</v>
      </c>
      <c r="ES283" s="950" t="s">
        <v>41</v>
      </c>
      <c r="ET283" s="975">
        <f>VLOOKUP(WWWW[[#This Row],[Site Name]],SiteDB6[[Site Name]:[Pop
(Kachin/Shan-CCCM as of May 2023)]],16,FALSE)</f>
        <v>43</v>
      </c>
      <c r="EU283" s="975">
        <f>VLOOKUP(WWWW[[#This Row],[Site Name]],SiteDB6[[Site Name]:[Pop
(Kachin/Shan-CCCM as of May 2023)]],17,FALSE)</f>
        <v>255</v>
      </c>
    </row>
    <row r="284" spans="1:151">
      <c r="A284" s="946" t="s">
        <v>2962</v>
      </c>
      <c r="B284" s="946" t="s">
        <v>291</v>
      </c>
      <c r="C284" s="946" t="s">
        <v>291</v>
      </c>
      <c r="D284" s="938" t="s">
        <v>2883</v>
      </c>
      <c r="E284" s="938" t="s">
        <v>37</v>
      </c>
      <c r="F284" s="938" t="s">
        <v>205</v>
      </c>
      <c r="G284" s="902" t="str">
        <f>VLOOKUP(WWWW[[#This Row],[Site Name]],SiteDB6[[Site Name]:[Location Type]],8,FALSE)</f>
        <v>Camp</v>
      </c>
      <c r="H284" s="938" t="s">
        <v>282</v>
      </c>
      <c r="I284" s="441">
        <v>68</v>
      </c>
      <c r="J284" s="441">
        <v>426</v>
      </c>
      <c r="K284" s="948"/>
      <c r="L284" s="949"/>
      <c r="M284" s="441"/>
      <c r="N284" s="441"/>
      <c r="O284" s="441">
        <v>1</v>
      </c>
      <c r="P284" s="441"/>
      <c r="Q284" s="421" t="s">
        <v>41</v>
      </c>
      <c r="R284" s="441">
        <v>5</v>
      </c>
      <c r="S284" s="441">
        <v>6</v>
      </c>
      <c r="T284" s="441"/>
      <c r="U284" s="441"/>
      <c r="V284" s="441"/>
      <c r="W284" s="441">
        <v>1</v>
      </c>
      <c r="X284" s="441"/>
      <c r="Y284" s="441"/>
      <c r="Z284" s="441"/>
      <c r="AA284" s="441">
        <v>1</v>
      </c>
      <c r="AB284" s="441"/>
      <c r="AC284" s="441"/>
      <c r="AD284" s="441"/>
      <c r="AE284" s="441"/>
      <c r="AF284" s="441"/>
      <c r="AG284" s="441">
        <v>1</v>
      </c>
      <c r="AH284" s="441"/>
      <c r="AI284" s="441"/>
      <c r="AJ284" s="441"/>
      <c r="AK284" s="441"/>
      <c r="AL284" s="441"/>
      <c r="AM284" s="441"/>
      <c r="AN284" s="441"/>
      <c r="AO284" s="441"/>
      <c r="AP284" s="950"/>
      <c r="AQ284" s="441">
        <v>6</v>
      </c>
      <c r="AR284" s="441"/>
      <c r="AS284" s="416"/>
      <c r="AT284" s="441"/>
      <c r="AU284" s="441"/>
      <c r="AV284" s="441"/>
      <c r="AW284" s="441"/>
      <c r="AX284" s="441"/>
      <c r="AY284" s="418" t="s">
        <v>41</v>
      </c>
      <c r="AZ284" s="950" t="s">
        <v>137</v>
      </c>
      <c r="BA284" s="441"/>
      <c r="BB284" s="441"/>
      <c r="BC284" s="441"/>
      <c r="BD284" s="441"/>
      <c r="BE284" s="441">
        <v>6</v>
      </c>
      <c r="BF284" s="418"/>
      <c r="BG284" s="441">
        <v>3</v>
      </c>
      <c r="BH284" s="441"/>
      <c r="BI284" s="441"/>
      <c r="BJ284" s="441">
        <v>1</v>
      </c>
      <c r="BK284" s="441"/>
      <c r="BL284" s="441"/>
      <c r="BM284" s="441">
        <v>1</v>
      </c>
      <c r="BN284" s="441"/>
      <c r="BO284" s="441"/>
      <c r="BP284" s="418"/>
      <c r="BQ284" s="417"/>
      <c r="BR284" s="416"/>
      <c r="BS284" s="418"/>
      <c r="BT284" s="416">
        <v>0.92</v>
      </c>
      <c r="BU284" s="416">
        <v>0.92</v>
      </c>
      <c r="BV284" s="418"/>
      <c r="BW284" s="416"/>
      <c r="BX284" s="441"/>
      <c r="BY284" s="441"/>
      <c r="BZ284" s="441"/>
      <c r="CA284" s="441"/>
      <c r="CB284" s="441"/>
      <c r="CC284" s="693"/>
      <c r="CD284" s="441"/>
      <c r="CE284" s="615" t="str">
        <f>IFERROR(WWWW[[#This Row],['#_Water sources passed]]/WWWW[[#This Row],['#_Water sources tested for fecal coliform ]],"no test")</f>
        <v>no test</v>
      </c>
      <c r="CF284" s="416" t="str">
        <f>IFERROR(WWWW[[#This Row],['#_Household passed]]/WWWW[[#This Row],['#_Household water samples tested for fecal coliform]],"no test")</f>
        <v>no test</v>
      </c>
      <c r="CG284" s="417" t="str">
        <f>IF(AND(WWWW[[#This Row],[% of water sources passed]]="no test",WWWW[[#This Row],[% Household passed]]="no test"),"No Test","Tested")</f>
        <v>No Test</v>
      </c>
      <c r="CH284" s="417">
        <f>WWWW[[#This Row],['#_Constructed/existing protected hand dug well]]-WWWW[[#This Row],['#_Non-functional protected hand dug well]]</f>
        <v>0</v>
      </c>
      <c r="CI284" s="417">
        <f>(WWWW[[#This Row],['#_Constructed/Existing tube wells/boreholes/handpumps_WASH_agency]]+WWWW[[#This Row],['#_Non-Cluster partner water tube-wells/boreholes/handpumps]])-WWWW[[#This Row],['#_Non-functional tube wells/boreholes/handpumps]]</f>
        <v>1</v>
      </c>
      <c r="CJ284" s="417">
        <f>WWWW[[#This Row],['#_Constructed/Existingwater storage tank with gravity fed reticulation system]]-WWWW[[#This Row],['#_Non-functional storage tank gravity fed reticulation system]]</f>
        <v>1</v>
      </c>
      <c r="CK284" s="417">
        <f>(WWWW[[#This Row],['#_Water_Liters_supplied_by_Water boating or water trucking]]/90)/15</f>
        <v>0</v>
      </c>
      <c r="CL284" s="417">
        <f>WWWW[[#This Row],['#_Water_Liters_from_Constructed/Existing water distribution system from river or natural spring]]/90/15</f>
        <v>0</v>
      </c>
      <c r="CM284" s="417">
        <f>IF(WWWW[[#This Row],['#_of water points in TLS/CFS]]*500&gt;WWWW[[#This Row],[Total PoP ]],WWWW[[#This Row],[Total PoP ]],WWWW[[#This Row],['#_of water points in TLS/CFS]]*500)</f>
        <v>0</v>
      </c>
      <c r="CN284" s="417">
        <f>IF(WWWW[[#This Row],['#_of water points in THF]]*500&gt;WWWW[[#This Row],[Total PoP ]],WWWW[[#This Row],[Total PoP ]],WWWW[[#This Row],['#_of water points in THF]]*500)</f>
        <v>0</v>
      </c>
      <c r="CO284" s="417"/>
      <c r="CP284"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84"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0.74334898278560257</v>
      </c>
      <c r="CR284" s="416">
        <f>IF(WWWW[[#This Row],[Location Type 1]]="Village",WWWW[[#This Row],[Access to safe drinking water for Village]],WWWW[[#This Row],[Access to safe drinking water for Camp]])</f>
        <v>1</v>
      </c>
      <c r="CS284" s="421">
        <f>WWWW[[#This Row],[%Equitable and continuous access to sufficient quantity of safe drinking water]]*WWWW[[#This Row],[Total PoP ]]</f>
        <v>426</v>
      </c>
      <c r="CT284" s="416">
        <f>IF((WWWW[[#This Row],['#_Constructed/Existing protected/fenced ponds]]*250)/WWWW[[#This Row],[Total PoP ]]&gt;1,1,(WWWW[[#This Row],['#_Constructed/Existing protected/fenced ponds]]*250)/WWWW[[#This Row],[Total PoP ]])</f>
        <v>0</v>
      </c>
      <c r="CU284" s="421">
        <f>WWWW[[#This Row],[% Access to unimproved water points]]*WWWW[[#This Row],[Total PoP ]]</f>
        <v>0</v>
      </c>
      <c r="CV284"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84"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426</v>
      </c>
      <c r="CX284" s="421">
        <f>WWWW[[#This Row],[HRP1]]/500</f>
        <v>0.85199999999999998</v>
      </c>
      <c r="CY284" s="951">
        <f>1-WWWW[[#This Row],[% Equitable and continuous access to sufficient quantity of domestic water]]</f>
        <v>0</v>
      </c>
      <c r="CZ284" s="421">
        <f>WWWW[[#This Row],[%equitable and continuous access to sufficient quantity of safe drinking and domestic water''s GAP]]*WWWW[[#This Row],[Total PoP ]]</f>
        <v>0</v>
      </c>
      <c r="DA284" s="417">
        <f>IF(WWWW[[#This Row],[Total required water points]]-WWWW[[#This Row],['#Water points coverage]]&lt;0,0,WWWW[[#This Row],[Total required water points]]-WWWW[[#This Row],['#Water points coverage]])</f>
        <v>0.14800000000000002</v>
      </c>
      <c r="DB284" s="417">
        <f>ROUND(IF(WWWW[[#This Row],[Total PoP ]]&lt;500,1,WWWW[[#This Row],[Total PoP ]]/500),0)</f>
        <v>1</v>
      </c>
      <c r="DC284" s="417">
        <f>(WWWW[[#This Row],['#_Constructed latrines_by_WASHAgencies]]+WWWW[[#This Row],['#_Non Cluster partner latrines]])-WWWW[[#This Row],['#_Non-functional latrines]]</f>
        <v>6</v>
      </c>
      <c r="DD284" s="615">
        <f>WWWW[[#This Row],[HRP2]]/WWWW[[#This Row],[Total PoP ]]</f>
        <v>0.29577464788732394</v>
      </c>
      <c r="DE284"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126</v>
      </c>
      <c r="DF284"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84"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84" s="417">
        <f>IF(WWWW[[#This Row],['# of functional latrines in THF supported by WASH partners during the reporting period2]]="",0,WWWW[[#This Row],['# of functional latrines in THF supported by WASH partners during the reporting period2]]*50)</f>
        <v>0</v>
      </c>
      <c r="DI284" s="417">
        <f>ROUND(IF(WWWW[[#This Row],[Location Type 1]]="camp",WWWW[[#This Row],[Total PoP ]]/20,IF(WWWW[[#This Row],[Location Type 1]]="Temporary Location",WWWW[[#This Row],[Total PoP ]]/50,(WWWW[[#This Row],[Total PoP ]]/6))),0)</f>
        <v>21</v>
      </c>
      <c r="DJ284" s="417">
        <f>IF(WWWW[[#This Row],[Total required Latrines]]-(WWWW[[#This Row],['#_Constructed latrines_by_WASHAgencies]]+WWWW[[#This Row],['#_Non Cluster partner latrines]])&lt;0,0,WWWW[[#This Row],[Total required Latrines]]-(WWWW[[#This Row],['#_Constructed latrines_by_WASHAgencies]]+WWWW[[#This Row],['#_Non Cluster partner latrines]]))</f>
        <v>15</v>
      </c>
      <c r="DK284" s="951">
        <f>1-WWWW[[#This Row],[% people access to functioning Latrine]]</f>
        <v>0.70422535211267601</v>
      </c>
      <c r="DL284" s="615">
        <f>IF(OR(WWWW[[#This Row],['#_Non-functional latrines]]="",WWWW[[#This Row],['#_Non-functional latrines]]=0),0,WWWW[[#This Row],['#_Non-functional latrines]]/(WWWW[[#This Row],['#_Constructed latrines_by_WASHAgencies]]+WWWW[[#This Row],['#_Non Cluster partner latrines]]))</f>
        <v>0</v>
      </c>
      <c r="DM284" s="421">
        <f>IF(500*(WWWW[[#This Row],['#_male hygiene promoters]]+WWWW[[#This Row],['#_female hygiene promoters]])&gt;WWWW[[#This Row],[Total PoP ]],WWWW[[#This Row],[Total PoP ]],500*(WWWW[[#This Row],['#_male hygiene promoters]]+WWWW[[#This Row],['#_female hygiene promoters]]))</f>
        <v>426</v>
      </c>
      <c r="DN284"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84"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84" s="417">
        <f>IF(WWWW[[#This Row],['# People with access to soap]]&gt;WWWW[[#This Row],['# People with access to Sanity Pads]],WWWW[[#This Row],['# People with access to soap]],WWWW[[#This Row],['# People with access to Sanity Pads]])</f>
        <v>0</v>
      </c>
      <c r="DQ284" s="417">
        <f>IF(WWWW[[#This Row],['# people reached by regular dedicated hygiene promotion_5]]&gt;WWWW[[#This Row],['# People received regular supply of hygiene items_6]],WWWW[[#This Row],['# people reached by regular dedicated hygiene promotion_5]],WWWW[[#This Row],['# People received regular supply of hygiene items_6]])</f>
        <v>426</v>
      </c>
      <c r="DR284" s="951">
        <f>IF(WWWW[[#This Row],[HRP3]]/WWWW[[#This Row],[Total PoP ]]&gt;1,1,WWWW[[#This Row],[HRP3]]/WWWW[[#This Row],[Total PoP ]])</f>
        <v>1</v>
      </c>
      <c r="DS284" s="615">
        <f>1-WWWW[[#This Row],[Hygiene Coverage%]]</f>
        <v>0</v>
      </c>
      <c r="DT284" s="416">
        <f>WWWW[[#This Row],['# people reached by regular dedicated hygiene promotion_5]]/WWWW[[#This Row],[Total PoP ]]</f>
        <v>1</v>
      </c>
      <c r="DU284"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84"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84" s="417">
        <f>WWWW[[#This Row],['#_Constructed/Existing hand washing stations]]-WWWW[[#This Row],['#_Non-Functional_hand_washing_stations]]</f>
        <v>3</v>
      </c>
      <c r="DX284" s="421">
        <f>IF(WWWW[[#This Row],['# Functional hand washing stations during reporting period]]*20&gt;WWWW[[#This Row],[Total HH]],WWWW[[#This Row],[Total HH]],WWWW[[#This Row],['# Functional hand washing stations during reporting period]]*20)</f>
        <v>60</v>
      </c>
      <c r="DY284" s="421">
        <f>IF(WWWW[[#This Row],[Is sufficient soap available for TLS? (Yes/No)]]="yes",WWWW[[#This Row],['#_Constructed/Existing hand washing stations at TLS/CFS/THF]],0)</f>
        <v>0</v>
      </c>
      <c r="DZ284" s="421">
        <f>IF(WWWW[[#This Row],['# Functional hand washing stations during reporting period]]*100&gt;WWWW[[#This Row],[Total PoP ]],WWWW[[#This Row],[Total PoP ]],WWWW[[#This Row],['# Functional hand washing stations during reporting period]]*100)</f>
        <v>300</v>
      </c>
      <c r="EA284" s="421" t="str">
        <f>IF(OR(WWWW[[#This Row],['#_students at TLS_CFS]]="",WWWW[[#This Row],['#_students at TLS_CFS]]=0),"No","Yes")</f>
        <v>No</v>
      </c>
      <c r="EB28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84" s="566">
        <f>WWWW[[#This Row],[%_of_affected_people_surveyed_who_report_feeling_satistfied_with_the_latrine_design_and_sanitation_service]]*WWWW[[#This Row],[Total PoP ]]</f>
        <v>391.92</v>
      </c>
      <c r="ED284" s="566">
        <f>WWWW[[#This Row],[%_of_affected_people_surveyed_who_report_feeling_satistfied_with_the_water_point_design_and_water_service]]*WWWW[[#This Row],[Total PoP ]]</f>
        <v>391.92</v>
      </c>
      <c r="EE284" s="566">
        <f>WWWW[[#This Row],[%_of_complaints_received_that_result_in_timely_corrective_action_and_feedback_to_the_community]]*WWWW[[#This Row],[Total PoP ]]</f>
        <v>0</v>
      </c>
      <c r="EF28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391.92</v>
      </c>
      <c r="EG28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8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84" s="418" t="str">
        <f>VLOOKUP(WWWW[[#This Row],[Site Name]],SiteDB6[[Site Name]:[CCCM Management]],6,FALSE)</f>
        <v>Yes</v>
      </c>
      <c r="EJ284" s="418" t="str">
        <f>VLOOKUP(WWWW[[#This Row],[Site Name]],SiteDB6[[Site Name]:[CCCM Focal Agency]],7,FALSE)</f>
        <v>KMSS-BMO</v>
      </c>
      <c r="EK284" s="418" t="str">
        <f>VLOOKUP(WWWW[[#This Row],[Site Name]],SiteDB6[[Site Name]:[Location Type 1]],9,FALSE)</f>
        <v>Camp</v>
      </c>
      <c r="EL284" s="418" t="str">
        <f>VLOOKUP(WWWW[[#This Row],[Site Name]],SiteDB6[[Site Name]:[Type of Accommodation]],10,FALSE)</f>
        <v>Camp</v>
      </c>
      <c r="EM284" s="418" t="str">
        <f>VLOOKUP(WWWW[[#This Row],[Site Name]],SiteDB6[[Site Name]:[Ethnic or GCA/NGCA]],11,FALSE)</f>
        <v>GCA</v>
      </c>
      <c r="EN284" s="418">
        <f>VLOOKUP(WWWW[[#This Row],[Site Name]],SiteDB6[[Site Name]:[Lat]],12,FALSE)</f>
        <v>24.205417000000001</v>
      </c>
      <c r="EO284" s="418">
        <f>VLOOKUP(WWWW[[#This Row],[Site Name]],SiteDB6[[Site Name]:[Long]],13,FALSE)</f>
        <v>97.724566999999993</v>
      </c>
      <c r="EP284" s="418" t="str">
        <f>VLOOKUP(WWWW[[#This Row],[Site Name]],SiteDB6[[Site Name]:[Pcode]],3,FALSE)</f>
        <v>MMR001CMP069</v>
      </c>
      <c r="EQ284" s="950" t="str">
        <f t="shared" ref="EQ284:EQ315" si="6">IF(C284="none","Notcovered","Covered")</f>
        <v>Covered</v>
      </c>
      <c r="ER284" s="950" t="s">
        <v>136</v>
      </c>
      <c r="ES284" s="950" t="s">
        <v>41</v>
      </c>
      <c r="ET284" s="418">
        <f>VLOOKUP(WWWW[[#This Row],[Site Name]],SiteDB6[[Site Name]:[Pop
(Kachin/Shan-CCCM as of May 2023)]],16,FALSE)</f>
        <v>81</v>
      </c>
      <c r="EU284" s="418">
        <f>VLOOKUP(WWWW[[#This Row],[Site Name]],SiteDB6[[Site Name]:[Pop
(Kachin/Shan-CCCM as of May 2023)]],17,FALSE)</f>
        <v>451</v>
      </c>
    </row>
    <row r="285" spans="1:151">
      <c r="A285" s="1065" t="s">
        <v>2962</v>
      </c>
      <c r="B285" s="1065" t="s">
        <v>276</v>
      </c>
      <c r="C285" s="1066" t="s">
        <v>276</v>
      </c>
      <c r="D285" s="1066" t="s">
        <v>3352</v>
      </c>
      <c r="E285" s="1066" t="s">
        <v>37</v>
      </c>
      <c r="F285" s="1066" t="s">
        <v>205</v>
      </c>
      <c r="G285" s="975" t="s">
        <v>43</v>
      </c>
      <c r="H285" s="1066" t="s">
        <v>283</v>
      </c>
      <c r="I285" s="976">
        <v>240</v>
      </c>
      <c r="J285" s="976">
        <v>1422</v>
      </c>
      <c r="K285" s="977">
        <v>45017</v>
      </c>
      <c r="L285" s="978">
        <v>45382</v>
      </c>
      <c r="M285" s="976"/>
      <c r="N285" s="976"/>
      <c r="O285" s="976">
        <v>4</v>
      </c>
      <c r="P285" s="976"/>
      <c r="Q285" s="979" t="s">
        <v>41</v>
      </c>
      <c r="R285" s="976">
        <v>12</v>
      </c>
      <c r="S285" s="976">
        <v>10</v>
      </c>
      <c r="T285" s="441">
        <v>5</v>
      </c>
      <c r="U285" s="976"/>
      <c r="V285" s="976"/>
      <c r="W285" s="976">
        <v>3</v>
      </c>
      <c r="X285" s="976"/>
      <c r="Y285" s="976"/>
      <c r="Z285" s="976"/>
      <c r="AA285" s="976"/>
      <c r="AB285" s="976"/>
      <c r="AC285" s="976"/>
      <c r="AD285" s="976"/>
      <c r="AE285" s="976"/>
      <c r="AF285" s="976"/>
      <c r="AG285" s="976">
        <v>4</v>
      </c>
      <c r="AH285" s="976"/>
      <c r="AI285" s="976">
        <v>21</v>
      </c>
      <c r="AJ285" s="976">
        <v>21</v>
      </c>
      <c r="AK285" s="976">
        <v>36</v>
      </c>
      <c r="AL285" s="976">
        <v>36</v>
      </c>
      <c r="AM285" s="976"/>
      <c r="AN285" s="976"/>
      <c r="AO285" s="441"/>
      <c r="AP285" s="980"/>
      <c r="AQ285" s="976">
        <v>40</v>
      </c>
      <c r="AR285" s="976"/>
      <c r="AS285" s="981"/>
      <c r="AT285" s="976"/>
      <c r="AU285" s="976"/>
      <c r="AV285" s="976">
        <v>43</v>
      </c>
      <c r="AW285" s="976">
        <v>82</v>
      </c>
      <c r="AX285" s="976"/>
      <c r="AY285" s="975" t="s">
        <v>41</v>
      </c>
      <c r="AZ285" s="980" t="s">
        <v>137</v>
      </c>
      <c r="BA285" s="976"/>
      <c r="BB285" s="976"/>
      <c r="BC285" s="976"/>
      <c r="BD285" s="441"/>
      <c r="BE285" s="441">
        <v>3</v>
      </c>
      <c r="BF285" s="975"/>
      <c r="BG285" s="976">
        <v>3</v>
      </c>
      <c r="BH285" s="976"/>
      <c r="BI285" s="976"/>
      <c r="BJ285" s="976">
        <v>6</v>
      </c>
      <c r="BK285" s="976"/>
      <c r="BL285" s="976"/>
      <c r="BM285" s="976">
        <v>4</v>
      </c>
      <c r="BN285" s="976"/>
      <c r="BO285" s="976" t="s">
        <v>3353</v>
      </c>
      <c r="BP285" s="975" t="s">
        <v>136</v>
      </c>
      <c r="BQ285" s="982">
        <v>12</v>
      </c>
      <c r="BR285" s="981">
        <v>0.6</v>
      </c>
      <c r="BS285" s="975" t="s">
        <v>3356</v>
      </c>
      <c r="BT285" s="416">
        <v>1</v>
      </c>
      <c r="BU285" s="416">
        <v>1</v>
      </c>
      <c r="BV285" s="418">
        <v>5</v>
      </c>
      <c r="BW285" s="416">
        <v>1</v>
      </c>
      <c r="BX285" s="441"/>
      <c r="BY285" s="441"/>
      <c r="BZ285" s="441"/>
      <c r="CA285" s="441"/>
      <c r="CB285" s="441"/>
      <c r="CC285" s="693"/>
      <c r="CD285" s="441"/>
      <c r="CE285" s="983">
        <f>IFERROR(WWWW[[#This Row],['#_Water sources passed]]/WWWW[[#This Row],['#_Water sources tested for fecal coliform ]],"no test")</f>
        <v>1</v>
      </c>
      <c r="CF285" s="981">
        <f>IFERROR(WWWW[[#This Row],['#_Household passed]]/WWWW[[#This Row],['#_Household water samples tested for fecal coliform]],"no test")</f>
        <v>1</v>
      </c>
      <c r="CG285" s="982" t="str">
        <f>IF(AND(WWWW[[#This Row],[% of water sources passed]]="no test",WWWW[[#This Row],[% Household passed]]="no test"),"No Test","Tested")</f>
        <v>Tested</v>
      </c>
      <c r="CH285" s="982">
        <f>WWWW[[#This Row],['#_Constructed/existing protected hand dug well]]-WWWW[[#This Row],['#_Non-functional protected hand dug well]]</f>
        <v>5</v>
      </c>
      <c r="CI285" s="982">
        <f>(WWWW[[#This Row],['#_Constructed/Existing tube wells/boreholes/handpumps_WASH_agency]]+WWWW[[#This Row],['#_Non-Cluster partner water tube-wells/boreholes/handpumps]])-WWWW[[#This Row],['#_Non-functional tube wells/boreholes/handpumps]]</f>
        <v>3</v>
      </c>
      <c r="CJ285" s="982">
        <f>WWWW[[#This Row],['#_Constructed/Existingwater storage tank with gravity fed reticulation system]]-WWWW[[#This Row],['#_Non-functional storage tank gravity fed reticulation system]]</f>
        <v>0</v>
      </c>
      <c r="CK285" s="982">
        <f>(WWWW[[#This Row],['#_Water_Liters_supplied_by_Water boating or water trucking]]/90)/15</f>
        <v>0</v>
      </c>
      <c r="CL285" s="982">
        <f>WWWW[[#This Row],['#_Water_Liters_from_Constructed/Existing water distribution system from river or natural spring]]/90/15</f>
        <v>0</v>
      </c>
      <c r="CM285" s="417">
        <f>IF(WWWW[[#This Row],['#_of water points in TLS/CFS]]*500&gt;WWWW[[#This Row],[Total PoP ]],WWWW[[#This Row],[Total PoP ]],WWWW[[#This Row],['#_of water points in TLS/CFS]]*500)</f>
        <v>0</v>
      </c>
      <c r="CN285" s="417">
        <f>IF(WWWW[[#This Row],['#_of water points in THF]]*500&gt;WWWW[[#This Row],[Total PoP ]],WWWW[[#This Row],[Total PoP ]],WWWW[[#This Row],['#_of water points in THF]]*500)</f>
        <v>0</v>
      </c>
      <c r="CO285" s="417"/>
      <c r="CP285" s="983">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85" s="983">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85" s="981">
        <f>IF(WWWW[[#This Row],[Location Type 1]]="Village",WWWW[[#This Row],[Access to safe drinking water for Village]],WWWW[[#This Row],[Access to safe drinking water for Camp]])</f>
        <v>1</v>
      </c>
      <c r="CS285" s="979">
        <f>WWWW[[#This Row],[%Equitable and continuous access to sufficient quantity of safe drinking water]]*WWWW[[#This Row],[Total PoP ]]</f>
        <v>1422</v>
      </c>
      <c r="CT285" s="981">
        <f>IF((WWWW[[#This Row],['#_Constructed/Existing protected/fenced ponds]]*250)/WWWW[[#This Row],[Total PoP ]]&gt;1,1,(WWWW[[#This Row],['#_Constructed/Existing protected/fenced ponds]]*250)/WWWW[[#This Row],[Total PoP ]])</f>
        <v>0</v>
      </c>
      <c r="CU285" s="979">
        <f>WWWW[[#This Row],[% Access to unimproved water points]]*WWWW[[#This Row],[Total PoP ]]</f>
        <v>0</v>
      </c>
      <c r="CV285" s="9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85" s="9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1422</v>
      </c>
      <c r="CX285" s="979">
        <f>WWWW[[#This Row],[HRP1]]/500</f>
        <v>2.8439999999999999</v>
      </c>
      <c r="CY285" s="984">
        <f>1-WWWW[[#This Row],[% Equitable and continuous access to sufficient quantity of domestic water]]</f>
        <v>0</v>
      </c>
      <c r="CZ285" s="979">
        <f>WWWW[[#This Row],[%equitable and continuous access to sufficient quantity of safe drinking and domestic water''s GAP]]*WWWW[[#This Row],[Total PoP ]]</f>
        <v>0</v>
      </c>
      <c r="DA285" s="982">
        <f>IF(WWWW[[#This Row],[Total required water points]]-WWWW[[#This Row],['#Water points coverage]]&lt;0,0,WWWW[[#This Row],[Total required water points]]-WWWW[[#This Row],['#Water points coverage]])</f>
        <v>0.15600000000000014</v>
      </c>
      <c r="DB285" s="982">
        <f>ROUND(IF(WWWW[[#This Row],[Total PoP ]]&lt;500,1,WWWW[[#This Row],[Total PoP ]]/500),0)</f>
        <v>3</v>
      </c>
      <c r="DC285" s="982">
        <f>(WWWW[[#This Row],['#_Constructed latrines_by_WASHAgencies]]+WWWW[[#This Row],['#_Non Cluster partner latrines]])-WWWW[[#This Row],['#_Non-functional latrines]]</f>
        <v>40</v>
      </c>
      <c r="DD285" s="615">
        <f>WWWW[[#This Row],[HRP2]]/WWWW[[#This Row],[Total PoP ]]</f>
        <v>0.56469760900140642</v>
      </c>
      <c r="DE285" s="979">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803</v>
      </c>
      <c r="DF285" s="98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860</v>
      </c>
      <c r="DG285" s="982">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85" s="417">
        <f>IF(WWWW[[#This Row],['# of functional latrines in THF supported by WASH partners during the reporting period2]]="",0,WWWW[[#This Row],['# of functional latrines in THF supported by WASH partners during the reporting period2]]*50)</f>
        <v>0</v>
      </c>
      <c r="DI285" s="982">
        <f>ROUND(IF(WWWW[[#This Row],[Location Type 1]]="camp",WWWW[[#This Row],[Total PoP ]]/20,IF(WWWW[[#This Row],[Location Type 1]]="Temporary Location",WWWW[[#This Row],[Total PoP ]]/50,(WWWW[[#This Row],[Total PoP ]]/6))),0)</f>
        <v>71</v>
      </c>
      <c r="DJ285" s="982">
        <f>IF(WWWW[[#This Row],[Total required Latrines]]-(WWWW[[#This Row],['#_Constructed latrines_by_WASHAgencies]]+WWWW[[#This Row],['#_Non Cluster partner latrines]])&lt;0,0,WWWW[[#This Row],[Total required Latrines]]-(WWWW[[#This Row],['#_Constructed latrines_by_WASHAgencies]]+WWWW[[#This Row],['#_Non Cluster partner latrines]]))</f>
        <v>31</v>
      </c>
      <c r="DK285" s="984">
        <f>1-WWWW[[#This Row],[% people access to functioning Latrine]]</f>
        <v>0.43530239099859358</v>
      </c>
      <c r="DL285" s="983">
        <f>IF(OR(WWWW[[#This Row],['#_Non-functional latrines]]="",WWWW[[#This Row],['#_Non-functional latrines]]=0),0,WWWW[[#This Row],['#_Non-functional latrines]]/(WWWW[[#This Row],['#_Constructed latrines_by_WASHAgencies]]+WWWW[[#This Row],['#_Non Cluster partner latrines]]))</f>
        <v>0</v>
      </c>
      <c r="DM285" s="979">
        <f>IF(500*(WWWW[[#This Row],['#_male hygiene promoters]]+WWWW[[#This Row],['#_female hygiene promoters]])&gt;WWWW[[#This Row],[Total PoP ]],WWWW[[#This Row],[Total PoP ]],500*(WWWW[[#This Row],['#_male hygiene promoters]]+WWWW[[#This Row],['#_female hygiene promoters]]))</f>
        <v>1422</v>
      </c>
      <c r="DN285" s="982">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85" s="982">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1422</v>
      </c>
      <c r="DP285" s="982">
        <f>IF(WWWW[[#This Row],['# People with access to soap]]&gt;WWWW[[#This Row],['# People with access to Sanity Pads]],WWWW[[#This Row],['# People with access to soap]],WWWW[[#This Row],['# People with access to Sanity Pads]])</f>
        <v>1422</v>
      </c>
      <c r="DQ285" s="982">
        <f>IF(WWWW[[#This Row],['# people reached by regular dedicated hygiene promotion_5]]&gt;WWWW[[#This Row],['# People received regular supply of hygiene items_6]],WWWW[[#This Row],['# people reached by regular dedicated hygiene promotion_5]],WWWW[[#This Row],['# People received regular supply of hygiene items_6]])</f>
        <v>1422</v>
      </c>
      <c r="DR285" s="984">
        <f>IF(WWWW[[#This Row],[HRP3]]/WWWW[[#This Row],[Total PoP ]]&gt;1,1,WWWW[[#This Row],[HRP3]]/WWWW[[#This Row],[Total PoP ]])</f>
        <v>1</v>
      </c>
      <c r="DS285" s="983">
        <f>1-WWWW[[#This Row],[Hygiene Coverage%]]</f>
        <v>0</v>
      </c>
      <c r="DT285" s="981">
        <f>WWWW[[#This Row],['# people reached by regular dedicated hygiene promotion_5]]/WWWW[[#This Row],[Total PoP ]]</f>
        <v>1</v>
      </c>
      <c r="DU285" s="98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85" s="981" t="e">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#VALUE!</v>
      </c>
      <c r="DW285" s="982">
        <f>WWWW[[#This Row],['#_Constructed/Existing hand washing stations]]-WWWW[[#This Row],['#_Non-Functional_hand_washing_stations]]</f>
        <v>3</v>
      </c>
      <c r="DX285" s="979">
        <f>IF(WWWW[[#This Row],['# Functional hand washing stations during reporting period]]*20&gt;WWWW[[#This Row],[Total HH]],WWWW[[#This Row],[Total HH]],WWWW[[#This Row],['# Functional hand washing stations during reporting period]]*20)</f>
        <v>60</v>
      </c>
      <c r="DY285" s="979">
        <f>IF(WWWW[[#This Row],[Is sufficient soap available for TLS? (Yes/No)]]="yes",WWWW[[#This Row],['#_Constructed/Existing hand washing stations at TLS/CFS/THF]],0)</f>
        <v>0</v>
      </c>
      <c r="DZ285" s="421">
        <f>IF(WWWW[[#This Row],['# Functional hand washing stations during reporting period]]*100&gt;WWWW[[#This Row],[Total PoP ]],WWWW[[#This Row],[Total PoP ]],WWWW[[#This Row],['# Functional hand washing stations during reporting period]]*100)</f>
        <v>300</v>
      </c>
      <c r="EA285" s="421" t="str">
        <f>IF(OR(WWWW[[#This Row],['#_students at TLS_CFS]]="",WWWW[[#This Row],['#_students at TLS_CFS]]=0),"No","Yes")</f>
        <v>No</v>
      </c>
      <c r="EB285" s="615">
        <f>IF(WWWW[[#This Row],['#_of_affected_people_surveyed_who_report_feeling_informed_about_the_different_WASH_services_available_to_them]]="","",WWWW[[#This Row],['#_of_affected_people_surveyed_who_report_feeling_informed_about_the_different_WASH_services_available_to_them]]/WWWW[[#This Row],[Total PoP ]])</f>
        <v>3.5161744022503515E-3</v>
      </c>
      <c r="EC285" s="566">
        <f>WWWW[[#This Row],[%_of_affected_people_surveyed_who_report_feeling_satistfied_with_the_latrine_design_and_sanitation_service]]*WWWW[[#This Row],[Total PoP ]]</f>
        <v>1422</v>
      </c>
      <c r="ED285" s="566">
        <f>WWWW[[#This Row],[%_of_affected_people_surveyed_who_report_feeling_satistfied_with_the_water_point_design_and_water_service]]*WWWW[[#This Row],[Total PoP ]]</f>
        <v>1422</v>
      </c>
      <c r="EE285" s="566">
        <f>WWWW[[#This Row],[%_of_complaints_received_that_result_in_timely_corrective_action_and_feedback_to_the_community]]*WWWW[[#This Row],[Total PoP ]]</f>
        <v>1422</v>
      </c>
      <c r="EF28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1422</v>
      </c>
      <c r="EG28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8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85" s="975" t="str">
        <f>VLOOKUP(WWWW[[#This Row],[Site Name]],SiteDB6[[Site Name]:[CCCM Management]],6,FALSE)</f>
        <v>Yes</v>
      </c>
      <c r="EJ285" s="975" t="str">
        <f>VLOOKUP(WWWW[[#This Row],[Site Name]],SiteDB6[[Site Name]:[CCCM Focal Agency]],7,FALSE)</f>
        <v>KBC-BMO</v>
      </c>
      <c r="EK285" s="975" t="str">
        <f>VLOOKUP(WWWW[[#This Row],[Site Name]],SiteDB6[[Site Name]:[Location Type 1]],9,FALSE)</f>
        <v>Camp</v>
      </c>
      <c r="EL285" s="975" t="str">
        <f>VLOOKUP(WWWW[[#This Row],[Site Name]],SiteDB6[[Site Name]:[Type of Accommodation]],10,FALSE)</f>
        <v>Camp</v>
      </c>
      <c r="EM285" s="975" t="str">
        <f>VLOOKUP(WWWW[[#This Row],[Site Name]],SiteDB6[[Site Name]:[Ethnic or GCA/NGCA]],11,FALSE)</f>
        <v>GCA</v>
      </c>
      <c r="EN285" s="975">
        <f>VLOOKUP(WWWW[[#This Row],[Site Name]],SiteDB6[[Site Name]:[Lat]],12,FALSE)</f>
        <v>24.200433</v>
      </c>
      <c r="EO285" s="975">
        <f>VLOOKUP(WWWW[[#This Row],[Site Name]],SiteDB6[[Site Name]:[Long]],13,FALSE)</f>
        <v>97.717133000000004</v>
      </c>
      <c r="EP285" s="975" t="str">
        <f>VLOOKUP(WWWW[[#This Row],[Site Name]],SiteDB6[[Site Name]:[Pcode]],3,FALSE)</f>
        <v>MMR001CMP070</v>
      </c>
      <c r="EQ285" s="980" t="str">
        <f t="shared" si="6"/>
        <v>Covered</v>
      </c>
      <c r="ER285" s="950" t="s">
        <v>3126</v>
      </c>
      <c r="ES285" s="950" t="s">
        <v>41</v>
      </c>
      <c r="ET285" s="975">
        <f>VLOOKUP(WWWW[[#This Row],[Site Name]],SiteDB6[[Site Name]:[Pop
(Kachin/Shan-CCCM as of May 2023)]],16,FALSE)</f>
        <v>243</v>
      </c>
      <c r="EU285" s="975">
        <f>VLOOKUP(WWWW[[#This Row],[Site Name]],SiteDB6[[Site Name]:[Pop
(Kachin/Shan-CCCM as of May 2023)]],17,FALSE)</f>
        <v>1420</v>
      </c>
    </row>
    <row r="286" spans="1:151">
      <c r="A286" s="1004" t="s">
        <v>2962</v>
      </c>
      <c r="B286" s="1004" t="s">
        <v>192</v>
      </c>
      <c r="C286" s="1005" t="s">
        <v>3285</v>
      </c>
      <c r="D286" s="1005" t="s">
        <v>3337</v>
      </c>
      <c r="E286" s="1005" t="s">
        <v>37</v>
      </c>
      <c r="F286" s="1005" t="s">
        <v>205</v>
      </c>
      <c r="G286" s="902" t="str">
        <f>VLOOKUP(WWWW[[#This Row],[Site Name]],SiteDB6[[Site Name]:[Location Type]],8,FALSE)</f>
        <v>Camp</v>
      </c>
      <c r="H286" s="1005" t="s">
        <v>210</v>
      </c>
      <c r="I286" s="954">
        <v>127</v>
      </c>
      <c r="J286" s="954">
        <v>741</v>
      </c>
      <c r="K286" s="955" t="s">
        <v>3328</v>
      </c>
      <c r="L286" s="956" t="s">
        <v>3329</v>
      </c>
      <c r="M286" s="954"/>
      <c r="N286" s="954">
        <v>1</v>
      </c>
      <c r="O286" s="954"/>
      <c r="P286" s="954"/>
      <c r="Q286" s="957" t="s">
        <v>41</v>
      </c>
      <c r="R286" s="954">
        <v>3</v>
      </c>
      <c r="S286" s="954">
        <v>3</v>
      </c>
      <c r="T286" s="441"/>
      <c r="U286" s="954"/>
      <c r="V286" s="954"/>
      <c r="W286" s="954">
        <v>3</v>
      </c>
      <c r="X286" s="954"/>
      <c r="Y286" s="954"/>
      <c r="Z286" s="954"/>
      <c r="AA286" s="954"/>
      <c r="AB286" s="954"/>
      <c r="AC286" s="954">
        <v>1</v>
      </c>
      <c r="AD286" s="954"/>
      <c r="AE286" s="954"/>
      <c r="AF286" s="954"/>
      <c r="AG286" s="954"/>
      <c r="AH286" s="954"/>
      <c r="AI286" s="954"/>
      <c r="AJ286" s="954"/>
      <c r="AK286" s="954"/>
      <c r="AL286" s="954"/>
      <c r="AM286" s="954"/>
      <c r="AN286" s="954"/>
      <c r="AO286" s="441"/>
      <c r="AP286" s="958"/>
      <c r="AQ286" s="954">
        <v>50</v>
      </c>
      <c r="AR286" s="954"/>
      <c r="AS286" s="959"/>
      <c r="AT286" s="954"/>
      <c r="AU286" s="971">
        <v>10</v>
      </c>
      <c r="AV286" s="971">
        <v>2</v>
      </c>
      <c r="AW286" s="954"/>
      <c r="AX286" s="954"/>
      <c r="AY286" s="953" t="s">
        <v>41</v>
      </c>
      <c r="AZ286" s="958" t="s">
        <v>137</v>
      </c>
      <c r="BA286" s="954"/>
      <c r="BB286" s="954"/>
      <c r="BC286" s="954"/>
      <c r="BD286" s="441"/>
      <c r="BE286" s="441"/>
      <c r="BF286" s="953"/>
      <c r="BG286" s="954">
        <v>8</v>
      </c>
      <c r="BH286" s="954"/>
      <c r="BI286" s="954"/>
      <c r="BJ286" s="954">
        <v>7</v>
      </c>
      <c r="BK286" s="954"/>
      <c r="BL286" s="954"/>
      <c r="BM286" s="954"/>
      <c r="BN286" s="954"/>
      <c r="BO286" s="954"/>
      <c r="BP286" s="953"/>
      <c r="BQ286" s="960"/>
      <c r="BR286" s="959"/>
      <c r="BS286" s="953"/>
      <c r="BT286" s="416"/>
      <c r="BU286" s="416"/>
      <c r="BV286" s="418"/>
      <c r="BW286" s="416"/>
      <c r="BX286" s="441"/>
      <c r="BY286" s="441"/>
      <c r="BZ286" s="441"/>
      <c r="CA286" s="441"/>
      <c r="CB286" s="441"/>
      <c r="CC286" s="693"/>
      <c r="CD286" s="441"/>
      <c r="CE286" s="961" t="str">
        <f>IFERROR(WWWW[[#This Row],['#_Water sources passed]]/WWWW[[#This Row],['#_Water sources tested for fecal coliform ]],"no test")</f>
        <v>no test</v>
      </c>
      <c r="CF286" s="959" t="str">
        <f>IFERROR(WWWW[[#This Row],['#_Household passed]]/WWWW[[#This Row],['#_Household water samples tested for fecal coliform]],"no test")</f>
        <v>no test</v>
      </c>
      <c r="CG286" s="960" t="str">
        <f>IF(AND(WWWW[[#This Row],[% of water sources passed]]="no test",WWWW[[#This Row],[% Household passed]]="no test"),"No Test","Tested")</f>
        <v>No Test</v>
      </c>
      <c r="CH286" s="960">
        <f>WWWW[[#This Row],['#_Constructed/existing protected hand dug well]]-WWWW[[#This Row],['#_Non-functional protected hand dug well]]</f>
        <v>0</v>
      </c>
      <c r="CI286" s="960">
        <f>(WWWW[[#This Row],['#_Constructed/Existing tube wells/boreholes/handpumps_WASH_agency]]+WWWW[[#This Row],['#_Non-Cluster partner water tube-wells/boreholes/handpumps]])-WWWW[[#This Row],['#_Non-functional tube wells/boreholes/handpumps]]</f>
        <v>3</v>
      </c>
      <c r="CJ286" s="960">
        <f>WWWW[[#This Row],['#_Constructed/Existingwater storage tank with gravity fed reticulation system]]-WWWW[[#This Row],['#_Non-functional storage tank gravity fed reticulation system]]</f>
        <v>0</v>
      </c>
      <c r="CK286" s="960">
        <f>(WWWW[[#This Row],['#_Water_Liters_supplied_by_Water boating or water trucking]]/90)/15</f>
        <v>0</v>
      </c>
      <c r="CL286" s="960">
        <f>WWWW[[#This Row],['#_Water_Liters_from_Constructed/Existing water distribution system from river or natural spring]]/90/15</f>
        <v>0</v>
      </c>
      <c r="CM286" s="417">
        <f>IF(WWWW[[#This Row],['#_of water points in TLS/CFS]]*500&gt;WWWW[[#This Row],[Total PoP ]],WWWW[[#This Row],[Total PoP ]],WWWW[[#This Row],['#_of water points in TLS/CFS]]*500)</f>
        <v>0</v>
      </c>
      <c r="CN286" s="417">
        <f>IF(WWWW[[#This Row],['#_of water points in THF]]*500&gt;WWWW[[#This Row],[Total PoP ]],WWWW[[#This Row],[Total PoP ]],WWWW[[#This Row],['#_of water points in THF]]*500)</f>
        <v>0</v>
      </c>
      <c r="CO286" s="417"/>
      <c r="CP286"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86"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86" s="959">
        <f>IF(WWWW[[#This Row],[Location Type 1]]="Village",WWWW[[#This Row],[Access to safe drinking water for Village]],WWWW[[#This Row],[Access to safe drinking water for Camp]])</f>
        <v>1</v>
      </c>
      <c r="CS286" s="957">
        <f>WWWW[[#This Row],[%Equitable and continuous access to sufficient quantity of safe drinking water]]*WWWW[[#This Row],[Total PoP ]]</f>
        <v>741</v>
      </c>
      <c r="CT286" s="959">
        <f>IF((WWWW[[#This Row],['#_Constructed/Existing protected/fenced ponds]]*250)/WWWW[[#This Row],[Total PoP ]]&gt;1,1,(WWWW[[#This Row],['#_Constructed/Existing protected/fenced ponds]]*250)/WWWW[[#This Row],[Total PoP ]])</f>
        <v>0</v>
      </c>
      <c r="CU286" s="957">
        <f>WWWW[[#This Row],[% Access to unimproved water points]]*WWWW[[#This Row],[Total PoP ]]</f>
        <v>0</v>
      </c>
      <c r="CV286"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86"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741</v>
      </c>
      <c r="CX286" s="957">
        <f>WWWW[[#This Row],[HRP1]]/500</f>
        <v>1.482</v>
      </c>
      <c r="CY286" s="962">
        <f>1-WWWW[[#This Row],[% Equitable and continuous access to sufficient quantity of domestic water]]</f>
        <v>0</v>
      </c>
      <c r="CZ286" s="957">
        <f>WWWW[[#This Row],[%equitable and continuous access to sufficient quantity of safe drinking and domestic water''s GAP]]*WWWW[[#This Row],[Total PoP ]]</f>
        <v>0</v>
      </c>
      <c r="DA286" s="960">
        <f>IF(WWWW[[#This Row],[Total required water points]]-WWWW[[#This Row],['#Water points coverage]]&lt;0,0,WWWW[[#This Row],[Total required water points]]-WWWW[[#This Row],['#Water points coverage]])</f>
        <v>0</v>
      </c>
      <c r="DB286" s="960">
        <f>ROUND(IF(WWWW[[#This Row],[Total PoP ]]&lt;500,1,WWWW[[#This Row],[Total PoP ]]/500),0)</f>
        <v>1</v>
      </c>
      <c r="DC286" s="960">
        <f>(WWWW[[#This Row],['#_Constructed latrines_by_WASHAgencies]]+WWWW[[#This Row],['#_Non Cluster partner latrines]])-WWWW[[#This Row],['#_Non-functional latrines]]</f>
        <v>50</v>
      </c>
      <c r="DD286" s="615">
        <f>WWWW[[#This Row],[HRP2]]/WWWW[[#This Row],[Total PoP ]]</f>
        <v>1</v>
      </c>
      <c r="DE286"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741</v>
      </c>
      <c r="DF286"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DG286"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86" s="417">
        <f>IF(WWWW[[#This Row],['# of functional latrines in THF supported by WASH partners during the reporting period2]]="",0,WWWW[[#This Row],['# of functional latrines in THF supported by WASH partners during the reporting period2]]*50)</f>
        <v>0</v>
      </c>
      <c r="DI286" s="960">
        <f>ROUND(IF(WWWW[[#This Row],[Location Type 1]]="camp",WWWW[[#This Row],[Total PoP ]]/20,IF(WWWW[[#This Row],[Location Type 1]]="Temporary Location",WWWW[[#This Row],[Total PoP ]]/50,(WWWW[[#This Row],[Total PoP ]]/6))),0)</f>
        <v>37</v>
      </c>
      <c r="DJ286" s="960">
        <f>IF(WWWW[[#This Row],[Total required Latrines]]-(WWWW[[#This Row],['#_Constructed latrines_by_WASHAgencies]]+WWWW[[#This Row],['#_Non Cluster partner latrines]])&lt;0,0,WWWW[[#This Row],[Total required Latrines]]-(WWWW[[#This Row],['#_Constructed latrines_by_WASHAgencies]]+WWWW[[#This Row],['#_Non Cluster partner latrines]]))</f>
        <v>0</v>
      </c>
      <c r="DK286" s="962">
        <f>1-WWWW[[#This Row],[% people access to functioning Latrine]]</f>
        <v>0</v>
      </c>
      <c r="DL286" s="961">
        <f>IF(OR(WWWW[[#This Row],['#_Non-functional latrines]]="",WWWW[[#This Row],['#_Non-functional latrines]]=0),0,WWWW[[#This Row],['#_Non-functional latrines]]/(WWWW[[#This Row],['#_Constructed latrines_by_WASHAgencies]]+WWWW[[#This Row],['#_Non Cluster partner latrines]]))</f>
        <v>0</v>
      </c>
      <c r="DM286" s="957">
        <f>IF(500*(WWWW[[#This Row],['#_male hygiene promoters]]+WWWW[[#This Row],['#_female hygiene promoters]])&gt;WWWW[[#This Row],[Total PoP ]],WWWW[[#This Row],[Total PoP ]],500*(WWWW[[#This Row],['#_male hygiene promoters]]+WWWW[[#This Row],['#_female hygiene promoters]]))</f>
        <v>0</v>
      </c>
      <c r="DN286"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86"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86" s="960">
        <f>IF(WWWW[[#This Row],['# People with access to soap]]&gt;WWWW[[#This Row],['# People with access to Sanity Pads]],WWWW[[#This Row],['# People with access to soap]],WWWW[[#This Row],['# People with access to Sanity Pads]])</f>
        <v>0</v>
      </c>
      <c r="DQ286" s="960">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86" s="962">
        <f>IF(WWWW[[#This Row],[HRP3]]/WWWW[[#This Row],[Total PoP ]]&gt;1,1,WWWW[[#This Row],[HRP3]]/WWWW[[#This Row],[Total PoP ]])</f>
        <v>0</v>
      </c>
      <c r="DS286" s="961">
        <f>1-WWWW[[#This Row],[Hygiene Coverage%]]</f>
        <v>1</v>
      </c>
      <c r="DT286" s="959">
        <f>WWWW[[#This Row],['# people reached by regular dedicated hygiene promotion_5]]/WWWW[[#This Row],[Total PoP ]]</f>
        <v>0</v>
      </c>
      <c r="DU286"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86"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86" s="960">
        <f>WWWW[[#This Row],['#_Constructed/Existing hand washing stations]]-WWWW[[#This Row],['#_Non-Functional_hand_washing_stations]]</f>
        <v>8</v>
      </c>
      <c r="DX286" s="957">
        <f>IF(WWWW[[#This Row],['# Functional hand washing stations during reporting period]]*20&gt;WWWW[[#This Row],[Total HH]],WWWW[[#This Row],[Total HH]],WWWW[[#This Row],['# Functional hand washing stations during reporting period]]*20)</f>
        <v>127</v>
      </c>
      <c r="DY286" s="957">
        <f>IF(WWWW[[#This Row],[Is sufficient soap available for TLS? (Yes/No)]]="yes",WWWW[[#This Row],['#_Constructed/Existing hand washing stations at TLS/CFS/THF]],0)</f>
        <v>0</v>
      </c>
      <c r="DZ286" s="421">
        <f>IF(WWWW[[#This Row],['# Functional hand washing stations during reporting period]]*100&gt;WWWW[[#This Row],[Total PoP ]],WWWW[[#This Row],[Total PoP ]],WWWW[[#This Row],['# Functional hand washing stations during reporting period]]*100)</f>
        <v>741</v>
      </c>
      <c r="EA286" s="421" t="str">
        <f>IF(OR(WWWW[[#This Row],['#_students at TLS_CFS]]="",WWWW[[#This Row],['#_students at TLS_CFS]]=0),"No","Yes")</f>
        <v>No</v>
      </c>
      <c r="EB28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86" s="566">
        <f>WWWW[[#This Row],[%_of_affected_people_surveyed_who_report_feeling_satistfied_with_the_latrine_design_and_sanitation_service]]*WWWW[[#This Row],[Total PoP ]]</f>
        <v>0</v>
      </c>
      <c r="ED286" s="566">
        <f>WWWW[[#This Row],[%_of_affected_people_surveyed_who_report_feeling_satistfied_with_the_water_point_design_and_water_service]]*WWWW[[#This Row],[Total PoP ]]</f>
        <v>0</v>
      </c>
      <c r="EE286" s="566">
        <f>WWWW[[#This Row],[%_of_complaints_received_that_result_in_timely_corrective_action_and_feedback_to_the_community]]*WWWW[[#This Row],[Total PoP ]]</f>
        <v>0</v>
      </c>
      <c r="EF28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8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8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86" s="953" t="str">
        <f>VLOOKUP(WWWW[[#This Row],[Site Name]],SiteDB6[[Site Name]:[CCCM Management]],6,FALSE)</f>
        <v>Yes</v>
      </c>
      <c r="EJ286" s="953" t="str">
        <f>VLOOKUP(WWWW[[#This Row],[Site Name]],SiteDB6[[Site Name]:[CCCM Focal Agency]],7,FALSE)</f>
        <v>KMSS-BMO</v>
      </c>
      <c r="EK286" s="953" t="str">
        <f>VLOOKUP(WWWW[[#This Row],[Site Name]],SiteDB6[[Site Name]:[Location Type 1]],9,FALSE)</f>
        <v>Camp</v>
      </c>
      <c r="EL286" s="953" t="str">
        <f>VLOOKUP(WWWW[[#This Row],[Site Name]],SiteDB6[[Site Name]:[Type of Accommodation]],10,FALSE)</f>
        <v>Camp</v>
      </c>
      <c r="EM286" s="953" t="str">
        <f>VLOOKUP(WWWW[[#This Row],[Site Name]],SiteDB6[[Site Name]:[Ethnic or GCA/NGCA]],11,FALSE)</f>
        <v>GCA</v>
      </c>
      <c r="EN286" s="953">
        <f>VLOOKUP(WWWW[[#This Row],[Site Name]],SiteDB6[[Site Name]:[Lat]],12,FALSE)</f>
        <v>24.245100000000001</v>
      </c>
      <c r="EO286" s="953">
        <f>VLOOKUP(WWWW[[#This Row],[Site Name]],SiteDB6[[Site Name]:[Long]],13,FALSE)</f>
        <v>97.325019999999995</v>
      </c>
      <c r="EP286" s="953" t="str">
        <f>VLOOKUP(WWWW[[#This Row],[Site Name]],SiteDB6[[Site Name]:[Pcode]],3,FALSE)</f>
        <v>MMR001CMP062</v>
      </c>
      <c r="EQ286" s="958" t="str">
        <f t="shared" si="6"/>
        <v>Covered</v>
      </c>
      <c r="ER286" s="950" t="s">
        <v>3126</v>
      </c>
      <c r="ES286" s="950" t="s">
        <v>3284</v>
      </c>
      <c r="ET286" s="953">
        <f>VLOOKUP(WWWW[[#This Row],[Site Name]],SiteDB6[[Site Name]:[Pop
(Kachin/Shan-CCCM as of May 2023)]],16,FALSE)</f>
        <v>93</v>
      </c>
      <c r="EU286" s="953">
        <f>VLOOKUP(WWWW[[#This Row],[Site Name]],SiteDB6[[Site Name]:[Pop
(Kachin/Shan-CCCM as of May 2023)]],17,FALSE)</f>
        <v>441</v>
      </c>
    </row>
    <row r="287" spans="1:151">
      <c r="A287" s="1065" t="s">
        <v>2962</v>
      </c>
      <c r="B287" s="1065" t="s">
        <v>276</v>
      </c>
      <c r="C287" s="1066" t="s">
        <v>276</v>
      </c>
      <c r="D287" s="1066" t="s">
        <v>3352</v>
      </c>
      <c r="E287" s="1066" t="s">
        <v>37</v>
      </c>
      <c r="F287" s="1066" t="s">
        <v>205</v>
      </c>
      <c r="G287" s="975" t="s">
        <v>43</v>
      </c>
      <c r="H287" s="1066" t="s">
        <v>287</v>
      </c>
      <c r="I287" s="976">
        <v>96</v>
      </c>
      <c r="J287" s="976">
        <v>512</v>
      </c>
      <c r="K287" s="977">
        <v>45017</v>
      </c>
      <c r="L287" s="978">
        <v>45382</v>
      </c>
      <c r="M287" s="976"/>
      <c r="N287" s="976"/>
      <c r="O287" s="976">
        <v>2</v>
      </c>
      <c r="P287" s="976"/>
      <c r="Q287" s="979" t="s">
        <v>41</v>
      </c>
      <c r="R287" s="976">
        <v>5</v>
      </c>
      <c r="S287" s="976">
        <v>4</v>
      </c>
      <c r="T287" s="441">
        <v>1</v>
      </c>
      <c r="U287" s="976"/>
      <c r="V287" s="976"/>
      <c r="W287" s="976">
        <v>1</v>
      </c>
      <c r="X287" s="976"/>
      <c r="Y287" s="976"/>
      <c r="Z287" s="976"/>
      <c r="AA287" s="976"/>
      <c r="AB287" s="976"/>
      <c r="AC287" s="976"/>
      <c r="AD287" s="976"/>
      <c r="AE287" s="976"/>
      <c r="AF287" s="976"/>
      <c r="AG287" s="976">
        <v>2</v>
      </c>
      <c r="AH287" s="976"/>
      <c r="AI287" s="976">
        <v>6</v>
      </c>
      <c r="AJ287" s="976">
        <v>6</v>
      </c>
      <c r="AK287" s="976">
        <v>15</v>
      </c>
      <c r="AL287" s="976">
        <v>15</v>
      </c>
      <c r="AM287" s="976"/>
      <c r="AN287" s="976"/>
      <c r="AO287" s="441"/>
      <c r="AP287" s="980"/>
      <c r="AQ287" s="976">
        <v>28</v>
      </c>
      <c r="AR287" s="976"/>
      <c r="AS287" s="981"/>
      <c r="AT287" s="976"/>
      <c r="AU287" s="976"/>
      <c r="AV287" s="976">
        <v>42</v>
      </c>
      <c r="AW287" s="976">
        <v>43</v>
      </c>
      <c r="AX287" s="976"/>
      <c r="AY287" s="975" t="s">
        <v>41</v>
      </c>
      <c r="AZ287" s="980" t="s">
        <v>137</v>
      </c>
      <c r="BA287" s="976"/>
      <c r="BB287" s="976"/>
      <c r="BC287" s="976"/>
      <c r="BD287" s="441"/>
      <c r="BE287" s="441">
        <v>3</v>
      </c>
      <c r="BF287" s="975"/>
      <c r="BG287" s="976">
        <v>6</v>
      </c>
      <c r="BH287" s="976"/>
      <c r="BI287" s="976"/>
      <c r="BJ287" s="976">
        <v>4</v>
      </c>
      <c r="BK287" s="976"/>
      <c r="BL287" s="976">
        <v>1</v>
      </c>
      <c r="BM287" s="976">
        <v>1</v>
      </c>
      <c r="BN287" s="976"/>
      <c r="BO287" s="976" t="s">
        <v>3353</v>
      </c>
      <c r="BP287" s="975" t="s">
        <v>136</v>
      </c>
      <c r="BQ287" s="982">
        <v>3</v>
      </c>
      <c r="BR287" s="981">
        <v>0.6</v>
      </c>
      <c r="BS287" s="975" t="s">
        <v>3357</v>
      </c>
      <c r="BT287" s="416">
        <v>1</v>
      </c>
      <c r="BU287" s="416">
        <v>1</v>
      </c>
      <c r="BV287" s="418">
        <v>3</v>
      </c>
      <c r="BW287" s="416">
        <v>1</v>
      </c>
      <c r="BX287" s="441"/>
      <c r="BY287" s="441"/>
      <c r="BZ287" s="441"/>
      <c r="CA287" s="441"/>
      <c r="CB287" s="441"/>
      <c r="CC287" s="693"/>
      <c r="CD287" s="441"/>
      <c r="CE287" s="983">
        <f>IFERROR(WWWW[[#This Row],['#_Water sources passed]]/WWWW[[#This Row],['#_Water sources tested for fecal coliform ]],"no test")</f>
        <v>1</v>
      </c>
      <c r="CF287" s="981">
        <f>IFERROR(WWWW[[#This Row],['#_Household passed]]/WWWW[[#This Row],['#_Household water samples tested for fecal coliform]],"no test")</f>
        <v>1</v>
      </c>
      <c r="CG287" s="982" t="str">
        <f>IF(AND(WWWW[[#This Row],[% of water sources passed]]="no test",WWWW[[#This Row],[% Household passed]]="no test"),"No Test","Tested")</f>
        <v>Tested</v>
      </c>
      <c r="CH287" s="982">
        <f>WWWW[[#This Row],['#_Constructed/existing protected hand dug well]]-WWWW[[#This Row],['#_Non-functional protected hand dug well]]</f>
        <v>1</v>
      </c>
      <c r="CI287" s="982">
        <f>(WWWW[[#This Row],['#_Constructed/Existing tube wells/boreholes/handpumps_WASH_agency]]+WWWW[[#This Row],['#_Non-Cluster partner water tube-wells/boreholes/handpumps]])-WWWW[[#This Row],['#_Non-functional tube wells/boreholes/handpumps]]</f>
        <v>1</v>
      </c>
      <c r="CJ287" s="982">
        <f>WWWW[[#This Row],['#_Constructed/Existingwater storage tank with gravity fed reticulation system]]-WWWW[[#This Row],['#_Non-functional storage tank gravity fed reticulation system]]</f>
        <v>0</v>
      </c>
      <c r="CK287" s="982">
        <f>(WWWW[[#This Row],['#_Water_Liters_supplied_by_Water boating or water trucking]]/90)/15</f>
        <v>0</v>
      </c>
      <c r="CL287" s="982">
        <f>WWWW[[#This Row],['#_Water_Liters_from_Constructed/Existing water distribution system from river or natural spring]]/90/15</f>
        <v>0</v>
      </c>
      <c r="CM287" s="417">
        <f>IF(WWWW[[#This Row],['#_of water points in TLS/CFS]]*500&gt;WWWW[[#This Row],[Total PoP ]],WWWW[[#This Row],[Total PoP ]],WWWW[[#This Row],['#_of water points in TLS/CFS]]*500)</f>
        <v>0</v>
      </c>
      <c r="CN287" s="417">
        <f>IF(WWWW[[#This Row],['#_of water points in THF]]*500&gt;WWWW[[#This Row],[Total PoP ]],WWWW[[#This Row],[Total PoP ]],WWWW[[#This Row],['#_of water points in THF]]*500)</f>
        <v>0</v>
      </c>
      <c r="CO287" s="417"/>
      <c r="CP287" s="983">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87" s="983">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0.9765625</v>
      </c>
      <c r="CR287" s="981">
        <f>IF(WWWW[[#This Row],[Location Type 1]]="Village",WWWW[[#This Row],[Access to safe drinking water for Village]],WWWW[[#This Row],[Access to safe drinking water for Camp]])</f>
        <v>1</v>
      </c>
      <c r="CS287" s="979">
        <f>WWWW[[#This Row],[%Equitable and continuous access to sufficient quantity of safe drinking water]]*WWWW[[#This Row],[Total PoP ]]</f>
        <v>512</v>
      </c>
      <c r="CT287" s="981">
        <f>IF((WWWW[[#This Row],['#_Constructed/Existing protected/fenced ponds]]*250)/WWWW[[#This Row],[Total PoP ]]&gt;1,1,(WWWW[[#This Row],['#_Constructed/Existing protected/fenced ponds]]*250)/WWWW[[#This Row],[Total PoP ]])</f>
        <v>0</v>
      </c>
      <c r="CU287" s="979">
        <f>WWWW[[#This Row],[% Access to unimproved water points]]*WWWW[[#This Row],[Total PoP ]]</f>
        <v>0</v>
      </c>
      <c r="CV287" s="9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87" s="9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512</v>
      </c>
      <c r="CX287" s="979">
        <f>WWWW[[#This Row],[HRP1]]/500</f>
        <v>1.024</v>
      </c>
      <c r="CY287" s="984">
        <f>1-WWWW[[#This Row],[% Equitable and continuous access to sufficient quantity of domestic water]]</f>
        <v>0</v>
      </c>
      <c r="CZ287" s="979">
        <f>WWWW[[#This Row],[%equitable and continuous access to sufficient quantity of safe drinking and domestic water''s GAP]]*WWWW[[#This Row],[Total PoP ]]</f>
        <v>0</v>
      </c>
      <c r="DA287" s="982">
        <f>IF(WWWW[[#This Row],[Total required water points]]-WWWW[[#This Row],['#Water points coverage]]&lt;0,0,WWWW[[#This Row],[Total required water points]]-WWWW[[#This Row],['#Water points coverage]])</f>
        <v>0</v>
      </c>
      <c r="DB287" s="982">
        <f>ROUND(IF(WWWW[[#This Row],[Total PoP ]]&lt;500,1,WWWW[[#This Row],[Total PoP ]]/500),0)</f>
        <v>1</v>
      </c>
      <c r="DC287" s="982">
        <f>(WWWW[[#This Row],['#_Constructed latrines_by_WASHAgencies]]+WWWW[[#This Row],['#_Non Cluster partner latrines]])-WWWW[[#This Row],['#_Non-functional latrines]]</f>
        <v>28</v>
      </c>
      <c r="DD287" s="615">
        <f>WWWW[[#This Row],[HRP2]]/WWWW[[#This Row],[Total PoP ]]</f>
        <v>1</v>
      </c>
      <c r="DE287" s="979">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512</v>
      </c>
      <c r="DF287" s="98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512</v>
      </c>
      <c r="DG287" s="982">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87" s="417">
        <f>IF(WWWW[[#This Row],['# of functional latrines in THF supported by WASH partners during the reporting period2]]="",0,WWWW[[#This Row],['# of functional latrines in THF supported by WASH partners during the reporting period2]]*50)</f>
        <v>0</v>
      </c>
      <c r="DI287" s="982">
        <f>ROUND(IF(WWWW[[#This Row],[Location Type 1]]="camp",WWWW[[#This Row],[Total PoP ]]/20,IF(WWWW[[#This Row],[Location Type 1]]="Temporary Location",WWWW[[#This Row],[Total PoP ]]/50,(WWWW[[#This Row],[Total PoP ]]/6))),0)</f>
        <v>26</v>
      </c>
      <c r="DJ287" s="982">
        <f>IF(WWWW[[#This Row],[Total required Latrines]]-(WWWW[[#This Row],['#_Constructed latrines_by_WASHAgencies]]+WWWW[[#This Row],['#_Non Cluster partner latrines]])&lt;0,0,WWWW[[#This Row],[Total required Latrines]]-(WWWW[[#This Row],['#_Constructed latrines_by_WASHAgencies]]+WWWW[[#This Row],['#_Non Cluster partner latrines]]))</f>
        <v>0</v>
      </c>
      <c r="DK287" s="984">
        <f>1-WWWW[[#This Row],[% people access to functioning Latrine]]</f>
        <v>0</v>
      </c>
      <c r="DL287" s="983">
        <f>IF(OR(WWWW[[#This Row],['#_Non-functional latrines]]="",WWWW[[#This Row],['#_Non-functional latrines]]=0),0,WWWW[[#This Row],['#_Non-functional latrines]]/(WWWW[[#This Row],['#_Constructed latrines_by_WASHAgencies]]+WWWW[[#This Row],['#_Non Cluster partner latrines]]))</f>
        <v>0</v>
      </c>
      <c r="DM287" s="979">
        <f>IF(500*(WWWW[[#This Row],['#_male hygiene promoters]]+WWWW[[#This Row],['#_female hygiene promoters]])&gt;WWWW[[#This Row],[Total PoP ]],WWWW[[#This Row],[Total PoP ]],500*(WWWW[[#This Row],['#_male hygiene promoters]]+WWWW[[#This Row],['#_female hygiene promoters]]))</f>
        <v>512</v>
      </c>
      <c r="DN287" s="982">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87" s="982">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512</v>
      </c>
      <c r="DP287" s="982">
        <f>IF(WWWW[[#This Row],['# People with access to soap]]&gt;WWWW[[#This Row],['# People with access to Sanity Pads]],WWWW[[#This Row],['# People with access to soap]],WWWW[[#This Row],['# People with access to Sanity Pads]])</f>
        <v>512</v>
      </c>
      <c r="DQ287" s="982">
        <f>IF(WWWW[[#This Row],['# people reached by regular dedicated hygiene promotion_5]]&gt;WWWW[[#This Row],['# People received regular supply of hygiene items_6]],WWWW[[#This Row],['# people reached by regular dedicated hygiene promotion_5]],WWWW[[#This Row],['# People received regular supply of hygiene items_6]])</f>
        <v>512</v>
      </c>
      <c r="DR287" s="984">
        <f>IF(WWWW[[#This Row],[HRP3]]/WWWW[[#This Row],[Total PoP ]]&gt;1,1,WWWW[[#This Row],[HRP3]]/WWWW[[#This Row],[Total PoP ]])</f>
        <v>1</v>
      </c>
      <c r="DS287" s="983">
        <f>1-WWWW[[#This Row],[Hygiene Coverage%]]</f>
        <v>0</v>
      </c>
      <c r="DT287" s="981">
        <f>WWWW[[#This Row],['# people reached by regular dedicated hygiene promotion_5]]/WWWW[[#This Row],[Total PoP ]]</f>
        <v>1</v>
      </c>
      <c r="DU287" s="98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87" s="981" t="e">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#VALUE!</v>
      </c>
      <c r="DW287" s="982">
        <f>WWWW[[#This Row],['#_Constructed/Existing hand washing stations]]-WWWW[[#This Row],['#_Non-Functional_hand_washing_stations]]</f>
        <v>6</v>
      </c>
      <c r="DX287" s="979">
        <f>IF(WWWW[[#This Row],['# Functional hand washing stations during reporting period]]*20&gt;WWWW[[#This Row],[Total HH]],WWWW[[#This Row],[Total HH]],WWWW[[#This Row],['# Functional hand washing stations during reporting period]]*20)</f>
        <v>96</v>
      </c>
      <c r="DY287" s="979">
        <f>IF(WWWW[[#This Row],[Is sufficient soap available for TLS? (Yes/No)]]="yes",WWWW[[#This Row],['#_Constructed/Existing hand washing stations at TLS/CFS/THF]],0)</f>
        <v>0</v>
      </c>
      <c r="DZ287" s="421">
        <f>IF(WWWW[[#This Row],['# Functional hand washing stations during reporting period]]*100&gt;WWWW[[#This Row],[Total PoP ]],WWWW[[#This Row],[Total PoP ]],WWWW[[#This Row],['# Functional hand washing stations during reporting period]]*100)</f>
        <v>512</v>
      </c>
      <c r="EA287" s="421" t="str">
        <f>IF(OR(WWWW[[#This Row],['#_students at TLS_CFS]]="",WWWW[[#This Row],['#_students at TLS_CFS]]=0),"No","Yes")</f>
        <v>No</v>
      </c>
      <c r="EB287" s="615">
        <f>IF(WWWW[[#This Row],['#_of_affected_people_surveyed_who_report_feeling_informed_about_the_different_WASH_services_available_to_them]]="","",WWWW[[#This Row],['#_of_affected_people_surveyed_who_report_feeling_informed_about_the_different_WASH_services_available_to_them]]/WWWW[[#This Row],[Total PoP ]])</f>
        <v>5.859375E-3</v>
      </c>
      <c r="EC287" s="566">
        <f>WWWW[[#This Row],[%_of_affected_people_surveyed_who_report_feeling_satistfied_with_the_latrine_design_and_sanitation_service]]*WWWW[[#This Row],[Total PoP ]]</f>
        <v>512</v>
      </c>
      <c r="ED287" s="566">
        <f>WWWW[[#This Row],[%_of_affected_people_surveyed_who_report_feeling_satistfied_with_the_water_point_design_and_water_service]]*WWWW[[#This Row],[Total PoP ]]</f>
        <v>512</v>
      </c>
      <c r="EE287" s="566">
        <f>WWWW[[#This Row],[%_of_complaints_received_that_result_in_timely_corrective_action_and_feedback_to_the_community]]*WWWW[[#This Row],[Total PoP ]]</f>
        <v>512</v>
      </c>
      <c r="EF28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512</v>
      </c>
      <c r="EG28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8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87" s="975">
        <f>VLOOKUP(WWWW[[#This Row],[Site Name]],SiteDB6[[Site Name]:[CCCM Management]],6,FALSE)</f>
        <v>0</v>
      </c>
      <c r="EJ287" s="975">
        <f>VLOOKUP(WWWW[[#This Row],[Site Name]],SiteDB6[[Site Name]:[CCCM Focal Agency]],7,FALSE)</f>
        <v>0</v>
      </c>
      <c r="EK287" s="975" t="str">
        <f>VLOOKUP(WWWW[[#This Row],[Site Name]],SiteDB6[[Site Name]:[Location Type 1]],9,FALSE)</f>
        <v>Camp</v>
      </c>
      <c r="EL287" s="975" t="str">
        <f>VLOOKUP(WWWW[[#This Row],[Site Name]],SiteDB6[[Site Name]:[Type of Accommodation]],10,FALSE)</f>
        <v>Camp</v>
      </c>
      <c r="EM287" s="975" t="str">
        <f>VLOOKUP(WWWW[[#This Row],[Site Name]],SiteDB6[[Site Name]:[Ethnic or GCA/NGCA]],11,FALSE)</f>
        <v>GCA</v>
      </c>
      <c r="EN287" s="975">
        <f>VLOOKUP(WWWW[[#This Row],[Site Name]],SiteDB6[[Site Name]:[Lat]],12,FALSE)</f>
        <v>0</v>
      </c>
      <c r="EO287" s="975">
        <f>VLOOKUP(WWWW[[#This Row],[Site Name]],SiteDB6[[Site Name]:[Long]],13,FALSE)</f>
        <v>0</v>
      </c>
      <c r="EP287" s="975">
        <f>VLOOKUP(WWWW[[#This Row],[Site Name]],SiteDB6[[Site Name]:[Pcode]],3,FALSE)</f>
        <v>0</v>
      </c>
      <c r="EQ287" s="980" t="str">
        <f t="shared" si="6"/>
        <v>Covered</v>
      </c>
      <c r="ER287" s="950" t="s">
        <v>3126</v>
      </c>
      <c r="ES287" s="950" t="s">
        <v>1529</v>
      </c>
      <c r="ET287" s="975">
        <f>VLOOKUP(WWWW[[#This Row],[Site Name]],SiteDB6[[Site Name]:[Pop
(Kachin/Shan-CCCM as of May 2023)]],16,FALSE)</f>
        <v>0</v>
      </c>
      <c r="EU287" s="975">
        <f>VLOOKUP(WWWW[[#This Row],[Site Name]],SiteDB6[[Site Name]:[Pop
(Kachin/Shan-CCCM as of May 2023)]],17,FALSE)</f>
        <v>0</v>
      </c>
    </row>
    <row r="288" spans="1:151">
      <c r="A288" s="1004" t="s">
        <v>2962</v>
      </c>
      <c r="B288" s="1004" t="s">
        <v>141</v>
      </c>
      <c r="C288" s="1005" t="s">
        <v>3283</v>
      </c>
      <c r="D288" s="1005" t="s">
        <v>3338</v>
      </c>
      <c r="E288" s="1005" t="s">
        <v>37</v>
      </c>
      <c r="F288" s="1005" t="s">
        <v>205</v>
      </c>
      <c r="G288" s="902" t="s">
        <v>43</v>
      </c>
      <c r="H288" s="938" t="s">
        <v>213</v>
      </c>
      <c r="I288" s="954">
        <v>86</v>
      </c>
      <c r="J288" s="954">
        <v>424</v>
      </c>
      <c r="K288" s="955" t="s">
        <v>3328</v>
      </c>
      <c r="L288" s="956" t="s">
        <v>3329</v>
      </c>
      <c r="M288" s="954"/>
      <c r="N288" s="954"/>
      <c r="O288" s="954"/>
      <c r="P288" s="954"/>
      <c r="Q288" s="957" t="s">
        <v>41</v>
      </c>
      <c r="R288" s="954">
        <v>2</v>
      </c>
      <c r="S288" s="954">
        <v>5</v>
      </c>
      <c r="T288" s="441">
        <v>2</v>
      </c>
      <c r="U288" s="954"/>
      <c r="V288" s="954"/>
      <c r="W288" s="954"/>
      <c r="X288" s="954"/>
      <c r="Y288" s="954"/>
      <c r="Z288" s="954"/>
      <c r="AA288" s="954"/>
      <c r="AB288" s="954"/>
      <c r="AC288" s="954"/>
      <c r="AD288" s="954"/>
      <c r="AE288" s="954"/>
      <c r="AF288" s="954"/>
      <c r="AG288" s="954"/>
      <c r="AH288" s="954"/>
      <c r="AI288" s="954"/>
      <c r="AJ288" s="954"/>
      <c r="AK288" s="954"/>
      <c r="AL288" s="954"/>
      <c r="AM288" s="954"/>
      <c r="AN288" s="954"/>
      <c r="AO288" s="441"/>
      <c r="AP288" s="958"/>
      <c r="AQ288" s="954">
        <v>6</v>
      </c>
      <c r="AR288" s="954"/>
      <c r="AS288" s="959"/>
      <c r="AT288" s="441">
        <v>2</v>
      </c>
      <c r="AU288" s="971">
        <v>3</v>
      </c>
      <c r="AV288" s="954"/>
      <c r="AW288" s="954"/>
      <c r="AX288" s="954"/>
      <c r="AY288" s="953" t="s">
        <v>41</v>
      </c>
      <c r="AZ288" s="958" t="s">
        <v>137</v>
      </c>
      <c r="BA288" s="954"/>
      <c r="BB288" s="954"/>
      <c r="BC288" s="954"/>
      <c r="BD288" s="441"/>
      <c r="BE288" s="441"/>
      <c r="BF288" s="953"/>
      <c r="BG288" s="441">
        <v>20</v>
      </c>
      <c r="BH288" s="441">
        <v>1</v>
      </c>
      <c r="BI288" s="954"/>
      <c r="BJ288" s="441">
        <v>2</v>
      </c>
      <c r="BK288" s="954"/>
      <c r="BL288" s="954"/>
      <c r="BM288" s="954">
        <v>7</v>
      </c>
      <c r="BN288" s="954"/>
      <c r="BO288" s="954"/>
      <c r="BP288" s="418" t="s">
        <v>136</v>
      </c>
      <c r="BQ288" s="417">
        <v>1</v>
      </c>
      <c r="BR288" s="416">
        <v>0.3</v>
      </c>
      <c r="BS288" s="418" t="s">
        <v>140</v>
      </c>
      <c r="BT288" s="416">
        <v>0.8</v>
      </c>
      <c r="BU288" s="416">
        <v>0.8</v>
      </c>
      <c r="BV288" s="418">
        <v>20</v>
      </c>
      <c r="BW288" s="416">
        <v>0.8</v>
      </c>
      <c r="BX288" s="441"/>
      <c r="BY288" s="441"/>
      <c r="BZ288" s="441"/>
      <c r="CA288" s="441"/>
      <c r="CB288" s="441"/>
      <c r="CC288" s="693"/>
      <c r="CD288" s="441"/>
      <c r="CE288" s="961" t="str">
        <f>IFERROR(WWWW[[#This Row],['#_Water sources passed]]/WWWW[[#This Row],['#_Water sources tested for fecal coliform ]],"no test")</f>
        <v>no test</v>
      </c>
      <c r="CF288" s="959" t="str">
        <f>IFERROR(WWWW[[#This Row],['#_Household passed]]/WWWW[[#This Row],['#_Household water samples tested for fecal coliform]],"no test")</f>
        <v>no test</v>
      </c>
      <c r="CG288" s="960" t="str">
        <f>IF(AND(WWWW[[#This Row],[% of water sources passed]]="no test",WWWW[[#This Row],[% Household passed]]="no test"),"No Test","Tested")</f>
        <v>No Test</v>
      </c>
      <c r="CH288" s="960">
        <f>WWWW[[#This Row],['#_Constructed/existing protected hand dug well]]-WWWW[[#This Row],['#_Non-functional protected hand dug well]]</f>
        <v>2</v>
      </c>
      <c r="CI288" s="960">
        <f>(WWWW[[#This Row],['#_Constructed/Existing tube wells/boreholes/handpumps_WASH_agency]]+WWWW[[#This Row],['#_Non-Cluster partner water tube-wells/boreholes/handpumps]])-WWWW[[#This Row],['#_Non-functional tube wells/boreholes/handpumps]]</f>
        <v>0</v>
      </c>
      <c r="CJ288" s="960">
        <f>WWWW[[#This Row],['#_Constructed/Existingwater storage tank with gravity fed reticulation system]]-WWWW[[#This Row],['#_Non-functional storage tank gravity fed reticulation system]]</f>
        <v>0</v>
      </c>
      <c r="CK288" s="960">
        <f>(WWWW[[#This Row],['#_Water_Liters_supplied_by_Water boating or water trucking]]/90)/15</f>
        <v>0</v>
      </c>
      <c r="CL288" s="960">
        <f>WWWW[[#This Row],['#_Water_Liters_from_Constructed/Existing water distribution system from river or natural spring]]/90/15</f>
        <v>0</v>
      </c>
      <c r="CM288" s="417">
        <f>IF(WWWW[[#This Row],['#_of water points in TLS/CFS]]*500&gt;WWWW[[#This Row],[Total PoP ]],WWWW[[#This Row],[Total PoP ]],WWWW[[#This Row],['#_of water points in TLS/CFS]]*500)</f>
        <v>0</v>
      </c>
      <c r="CN288" s="417">
        <f>IF(WWWW[[#This Row],['#_of water points in THF]]*500&gt;WWWW[[#This Row],[Total PoP ]],WWWW[[#This Row],[Total PoP ]],WWWW[[#This Row],['#_of water points in THF]]*500)</f>
        <v>0</v>
      </c>
      <c r="CO288" s="417"/>
      <c r="CP288"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88"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88" s="959">
        <f>IF(WWWW[[#This Row],[Location Type 1]]="Village",WWWW[[#This Row],[Access to safe drinking water for Village]],WWWW[[#This Row],[Access to safe drinking water for Camp]])</f>
        <v>1</v>
      </c>
      <c r="CS288" s="979">
        <f>WWWW[[#This Row],[%Equitable and continuous access to sufficient quantity of safe drinking water]]*WWWW[[#This Row],[Total PoP ]]</f>
        <v>424</v>
      </c>
      <c r="CT288" s="959">
        <f>IF((WWWW[[#This Row],['#_Constructed/Existing protected/fenced ponds]]*250)/WWWW[[#This Row],[Total PoP ]]&gt;1,1,(WWWW[[#This Row],['#_Constructed/Existing protected/fenced ponds]]*250)/WWWW[[#This Row],[Total PoP ]])</f>
        <v>0</v>
      </c>
      <c r="CU288" s="957">
        <f>WWWW[[#This Row],[% Access to unimproved water points]]*WWWW[[#This Row],[Total PoP ]]</f>
        <v>0</v>
      </c>
      <c r="CV288" s="959">
        <v>0</v>
      </c>
      <c r="CW288"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424</v>
      </c>
      <c r="CX288" s="957">
        <f>WWWW[[#This Row],[HRP1]]/500</f>
        <v>0.84799999999999998</v>
      </c>
      <c r="CY288" s="962">
        <f>1-WWWW[[#This Row],[% Equitable and continuous access to sufficient quantity of domestic water]]</f>
        <v>1</v>
      </c>
      <c r="CZ288" s="957">
        <f>WWWW[[#This Row],[%equitable and continuous access to sufficient quantity of safe drinking and domestic water''s GAP]]*WWWW[[#This Row],[Total PoP ]]</f>
        <v>424</v>
      </c>
      <c r="DA288" s="960">
        <f>IF(WWWW[[#This Row],[Total required water points]]-WWWW[[#This Row],['#Water points coverage]]&lt;0,0,WWWW[[#This Row],[Total required water points]]-WWWW[[#This Row],['#Water points coverage]])</f>
        <v>0.15200000000000002</v>
      </c>
      <c r="DB288" s="960">
        <f>ROUND(IF(WWWW[[#This Row],[Total PoP ]]&lt;500,1,WWWW[[#This Row],[Total PoP ]]/500),0)</f>
        <v>1</v>
      </c>
      <c r="DC288" s="960">
        <f>(WWWW[[#This Row],['#_Constructed latrines_by_WASHAgencies]]+WWWW[[#This Row],['#_Non Cluster partner latrines]])-WWWW[[#This Row],['#_Non-functional latrines]]</f>
        <v>4</v>
      </c>
      <c r="DD288" s="615">
        <v>0</v>
      </c>
      <c r="DE288"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80</v>
      </c>
      <c r="DF288"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88"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88" s="417">
        <f>IF(WWWW[[#This Row],['# of functional latrines in THF supported by WASH partners during the reporting period2]]="",0,WWWW[[#This Row],['# of functional latrines in THF supported by WASH partners during the reporting period2]]*50)</f>
        <v>0</v>
      </c>
      <c r="DI288" s="960">
        <f>ROUND(IF(WWWW[[#This Row],[Location Type 1]]="camp",WWWW[[#This Row],[Total PoP ]]/20,IF(WWWW[[#This Row],[Location Type 1]]="Temporary Location",WWWW[[#This Row],[Total PoP ]]/50,(WWWW[[#This Row],[Total PoP ]]/6))),0)</f>
        <v>21</v>
      </c>
      <c r="DJ288" s="960">
        <f>IF(WWWW[[#This Row],[Total required Latrines]]-(WWWW[[#This Row],['#_Constructed latrines_by_WASHAgencies]]+WWWW[[#This Row],['#_Non Cluster partner latrines]])&lt;0,0,WWWW[[#This Row],[Total required Latrines]]-(WWWW[[#This Row],['#_Constructed latrines_by_WASHAgencies]]+WWWW[[#This Row],['#_Non Cluster partner latrines]]))</f>
        <v>15</v>
      </c>
      <c r="DK288" s="962">
        <f>1-WWWW[[#This Row],[% people access to functioning Latrine]]</f>
        <v>1</v>
      </c>
      <c r="DL288" s="961">
        <f>IF(OR(WWWW[[#This Row],['#_Non-functional latrines]]="",WWWW[[#This Row],['#_Non-functional latrines]]=0),0,WWWW[[#This Row],['#_Non-functional latrines]]/(WWWW[[#This Row],['#_Constructed latrines_by_WASHAgencies]]+WWWW[[#This Row],['#_Non Cluster partner latrines]]))</f>
        <v>0.33333333333333331</v>
      </c>
      <c r="DM288" s="957">
        <f>IF(500*(WWWW[[#This Row],['#_male hygiene promoters]]+WWWW[[#This Row],['#_female hygiene promoters]])&gt;WWWW[[#This Row],[Total PoP ]],WWWW[[#This Row],[Total PoP ]],500*(WWWW[[#This Row],['#_male hygiene promoters]]+WWWW[[#This Row],['#_female hygiene promoters]]))</f>
        <v>424</v>
      </c>
      <c r="DN288"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88"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88" s="960">
        <f>IF(WWWW[[#This Row],['# People with access to soap]]&gt;WWWW[[#This Row],['# People with access to Sanity Pads]],WWWW[[#This Row],['# People with access to soap]],WWWW[[#This Row],['# People with access to Sanity Pads]])</f>
        <v>0</v>
      </c>
      <c r="DQ288" s="960">
        <f>IF(WWWW[[#This Row],['# people reached by regular dedicated hygiene promotion_5]]&gt;WWWW[[#This Row],['# People received regular supply of hygiene items_6]],WWWW[[#This Row],['# people reached by regular dedicated hygiene promotion_5]],WWWW[[#This Row],['# People received regular supply of hygiene items_6]])</f>
        <v>424</v>
      </c>
      <c r="DR288" s="962">
        <f>IF(WWWW[[#This Row],[HRP3]]/WWWW[[#This Row],[Total PoP ]]&gt;1,1,WWWW[[#This Row],[HRP3]]/WWWW[[#This Row],[Total PoP ]])</f>
        <v>1</v>
      </c>
      <c r="DS288" s="961">
        <f>1-WWWW[[#This Row],[Hygiene Coverage%]]</f>
        <v>0</v>
      </c>
      <c r="DT288" s="959">
        <f>WWWW[[#This Row],['# people reached by regular dedicated hygiene promotion_5]]/WWWW[[#This Row],[Total PoP ]]</f>
        <v>1</v>
      </c>
      <c r="DU288"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88"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88" s="960">
        <f>WWWW[[#This Row],['#_Constructed/Existing hand washing stations]]-WWWW[[#This Row],['#_Non-Functional_hand_washing_stations]]</f>
        <v>19</v>
      </c>
      <c r="DX288" s="957">
        <f>IF(WWWW[[#This Row],['# Functional hand washing stations during reporting period]]*20&gt;WWWW[[#This Row],[Total HH]],WWWW[[#This Row],[Total HH]],WWWW[[#This Row],['# Functional hand washing stations during reporting period]]*20)</f>
        <v>86</v>
      </c>
      <c r="DY288" s="957">
        <f>IF(WWWW[[#This Row],[Is sufficient soap available for TLS? (Yes/No)]]="yes",WWWW[[#This Row],['#_Constructed/Existing hand washing stations at TLS/CFS/THF]],0)</f>
        <v>0</v>
      </c>
      <c r="DZ288" s="421">
        <f>IF(WWWW[[#This Row],['# Functional hand washing stations during reporting period]]*100&gt;WWWW[[#This Row],[Total PoP ]],WWWW[[#This Row],[Total PoP ]],WWWW[[#This Row],['# Functional hand washing stations during reporting period]]*100)</f>
        <v>424</v>
      </c>
      <c r="EA288" s="421" t="str">
        <f>IF(OR(WWWW[[#This Row],['#_students at TLS_CFS]]="",WWWW[[#This Row],['#_students at TLS_CFS]]=0),"No","Yes")</f>
        <v>No</v>
      </c>
      <c r="EB288" s="615">
        <f>IF(WWWW[[#This Row],['#_of_affected_people_surveyed_who_report_feeling_informed_about_the_different_WASH_services_available_to_them]]="","",WWWW[[#This Row],['#_of_affected_people_surveyed_who_report_feeling_informed_about_the_different_WASH_services_available_to_them]]/WWWW[[#This Row],[Total PoP ]])</f>
        <v>4.716981132075472E-2</v>
      </c>
      <c r="EC288" s="566">
        <f>WWWW[[#This Row],[%_of_affected_people_surveyed_who_report_feeling_satistfied_with_the_latrine_design_and_sanitation_service]]*WWWW[[#This Row],[Total PoP ]]</f>
        <v>339.20000000000005</v>
      </c>
      <c r="ED288" s="566">
        <f>WWWW[[#This Row],[%_of_affected_people_surveyed_who_report_feeling_satistfied_with_the_water_point_design_and_water_service]]*WWWW[[#This Row],[Total PoP ]]</f>
        <v>339.20000000000005</v>
      </c>
      <c r="EE288" s="566">
        <f>WWWW[[#This Row],[%_of_complaints_received_that_result_in_timely_corrective_action_and_feedback_to_the_community]]*WWWW[[#This Row],[Total PoP ]]</f>
        <v>339.20000000000005</v>
      </c>
      <c r="EF28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339.20000000000005</v>
      </c>
      <c r="EG28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8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88" s="953" t="str">
        <f>VLOOKUP(WWWW[[#This Row],[Site Name]],SiteDB6[[Site Name]:[CCCM Management]],6,FALSE)</f>
        <v>Yes</v>
      </c>
      <c r="EJ288" s="953" t="str">
        <f>VLOOKUP(WWWW[[#This Row],[Site Name]],SiteDB6[[Site Name]:[CCCM Focal Agency]],7,FALSE)</f>
        <v>KBC-BMO</v>
      </c>
      <c r="EK288" s="418" t="s">
        <v>43</v>
      </c>
      <c r="EL288" s="418" t="s">
        <v>43</v>
      </c>
      <c r="EM288" s="953" t="s">
        <v>44</v>
      </c>
      <c r="EN288" s="953">
        <v>24.250689999999999</v>
      </c>
      <c r="EO288" s="953">
        <v>97.344359999999995</v>
      </c>
      <c r="EP288" s="953" t="s">
        <v>1120</v>
      </c>
      <c r="EQ288" s="958" t="str">
        <f t="shared" si="6"/>
        <v>Covered</v>
      </c>
      <c r="ER288" s="950" t="s">
        <v>3126</v>
      </c>
      <c r="ES288" s="950" t="s">
        <v>3286</v>
      </c>
      <c r="ET288" s="953">
        <f>VLOOKUP(WWWW[[#This Row],[Site Name]],SiteDB6[[Site Name]:[Pop
(Kachin/Shan-CCCM as of May 2023)]],16,FALSE)</f>
        <v>416</v>
      </c>
      <c r="EU288" s="953">
        <f>VLOOKUP(WWWW[[#This Row],[Site Name]],SiteDB6[[Site Name]:[Pop
(Kachin/Shan-CCCM as of May 2023)]],17,FALSE)</f>
        <v>1936</v>
      </c>
    </row>
    <row r="289" spans="1:151">
      <c r="A289" s="946" t="s">
        <v>2962</v>
      </c>
      <c r="B289" s="946" t="s">
        <v>141</v>
      </c>
      <c r="C289" s="938" t="s">
        <v>141</v>
      </c>
      <c r="D289" s="938" t="s">
        <v>3097</v>
      </c>
      <c r="E289" s="938" t="s">
        <v>37</v>
      </c>
      <c r="F289" s="938" t="s">
        <v>205</v>
      </c>
      <c r="G289" s="418" t="s">
        <v>3064</v>
      </c>
      <c r="H289" s="938" t="s">
        <v>2222</v>
      </c>
      <c r="I289" s="441">
        <v>49</v>
      </c>
      <c r="J289" s="441">
        <v>203</v>
      </c>
      <c r="K289" s="948">
        <v>44652</v>
      </c>
      <c r="L289" s="949">
        <v>44865</v>
      </c>
      <c r="M289" s="441"/>
      <c r="N289" s="441"/>
      <c r="O289" s="441"/>
      <c r="P289" s="441"/>
      <c r="Q289" s="421" t="s">
        <v>41</v>
      </c>
      <c r="R289" s="441">
        <v>1</v>
      </c>
      <c r="S289" s="441">
        <v>1</v>
      </c>
      <c r="T289" s="441">
        <v>4</v>
      </c>
      <c r="U289" s="441"/>
      <c r="V289" s="441"/>
      <c r="W289" s="441"/>
      <c r="X289" s="441"/>
      <c r="Y289" s="441"/>
      <c r="Z289" s="441"/>
      <c r="AA289" s="441"/>
      <c r="AB289" s="441"/>
      <c r="AC289" s="441"/>
      <c r="AD289" s="441"/>
      <c r="AE289" s="441"/>
      <c r="AF289" s="441"/>
      <c r="AG289" s="441"/>
      <c r="AH289" s="441"/>
      <c r="AI289" s="441"/>
      <c r="AJ289" s="441"/>
      <c r="AK289" s="441"/>
      <c r="AL289" s="441"/>
      <c r="AM289" s="441">
        <v>1</v>
      </c>
      <c r="AN289" s="441"/>
      <c r="AO289" s="441"/>
      <c r="AP289" s="950"/>
      <c r="AQ289" s="441">
        <v>7</v>
      </c>
      <c r="AR289" s="441"/>
      <c r="AS289" s="416"/>
      <c r="AT289" s="441"/>
      <c r="AU289" s="441"/>
      <c r="AV289" s="441"/>
      <c r="AW289" s="441"/>
      <c r="AX289" s="441"/>
      <c r="AY289" s="418" t="s">
        <v>41</v>
      </c>
      <c r="AZ289" s="950" t="s">
        <v>137</v>
      </c>
      <c r="BA289" s="441"/>
      <c r="BB289" s="441"/>
      <c r="BC289" s="441"/>
      <c r="BD289" s="441"/>
      <c r="BE289" s="441">
        <v>4</v>
      </c>
      <c r="BF289" s="418"/>
      <c r="BG289" s="441">
        <v>2</v>
      </c>
      <c r="BH289" s="441"/>
      <c r="BI289" s="441"/>
      <c r="BJ289" s="441">
        <v>2</v>
      </c>
      <c r="BK289" s="441"/>
      <c r="BL289" s="441">
        <v>1</v>
      </c>
      <c r="BM289" s="441"/>
      <c r="BN289" s="441"/>
      <c r="BO289" s="441"/>
      <c r="BP289" s="418" t="s">
        <v>41</v>
      </c>
      <c r="BQ289" s="417"/>
      <c r="BR289" s="416"/>
      <c r="BS289" s="418"/>
      <c r="BT289" s="416"/>
      <c r="BU289" s="416"/>
      <c r="BV289" s="418"/>
      <c r="BW289" s="416"/>
      <c r="BX289" s="441"/>
      <c r="BY289" s="441"/>
      <c r="BZ289" s="441"/>
      <c r="CA289" s="441"/>
      <c r="CB289" s="441"/>
      <c r="CC289" s="693"/>
      <c r="CD289" s="441"/>
      <c r="CE289" s="615" t="str">
        <f>IFERROR(WWWW[[#This Row],['#_Water sources passed]]/WWWW[[#This Row],['#_Water sources tested for fecal coliform ]],"no test")</f>
        <v>no test</v>
      </c>
      <c r="CF289" s="416" t="str">
        <f>IFERROR(WWWW[[#This Row],['#_Household passed]]/WWWW[[#This Row],['#_Household water samples tested for fecal coliform]],"no test")</f>
        <v>no test</v>
      </c>
      <c r="CG289" s="417" t="str">
        <f>IF(AND(WWWW[[#This Row],[% of water sources passed]]="no test",WWWW[[#This Row],[% Household passed]]="no test"),"No Test","Tested")</f>
        <v>No Test</v>
      </c>
      <c r="CH289" s="417">
        <f>WWWW[[#This Row],['#_Constructed/existing protected hand dug well]]-WWWW[[#This Row],['#_Non-functional protected hand dug well]]</f>
        <v>4</v>
      </c>
      <c r="CI289" s="417">
        <f>(WWWW[[#This Row],['#_Constructed/Existing tube wells/boreholes/handpumps_WASH_agency]]+WWWW[[#This Row],['#_Non-Cluster partner water tube-wells/boreholes/handpumps]])-WWWW[[#This Row],['#_Non-functional tube wells/boreholes/handpumps]]</f>
        <v>0</v>
      </c>
      <c r="CJ289" s="417">
        <f>WWWW[[#This Row],['#_Constructed/Existingwater storage tank with gravity fed reticulation system]]-WWWW[[#This Row],['#_Non-functional storage tank gravity fed reticulation system]]</f>
        <v>0</v>
      </c>
      <c r="CK289" s="417">
        <f>(WWWW[[#This Row],['#_Water_Liters_supplied_by_Water boating or water trucking]]/90)/15</f>
        <v>0</v>
      </c>
      <c r="CL289" s="417">
        <f>WWWW[[#This Row],['#_Water_Liters_from_Constructed/Existing water distribution system from river or natural spring]]/90/15</f>
        <v>0</v>
      </c>
      <c r="CM289" s="417">
        <f>IF(WWWW[[#This Row],['#_of water points in TLS/CFS]]*500&gt;WWWW[[#This Row],[Total PoP ]],WWWW[[#This Row],[Total PoP ]],WWWW[[#This Row],['#_of water points in TLS/CFS]]*500)</f>
        <v>0</v>
      </c>
      <c r="CN289" s="417">
        <f>IF(WWWW[[#This Row],['#_of water points in THF]]*500&gt;WWWW[[#This Row],[Total PoP ]],WWWW[[#This Row],[Total PoP ]],WWWW[[#This Row],['#_of water points in THF]]*500)</f>
        <v>0</v>
      </c>
      <c r="CO289" s="417"/>
      <c r="CP289"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89"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89" s="416">
        <f>IF(WWWW[[#This Row],[Location Type 1]]="Village",WWWW[[#This Row],[Access to safe drinking water for Village]],WWWW[[#This Row],[Access to safe drinking water for Camp]])</f>
        <v>1</v>
      </c>
      <c r="CS289" s="421">
        <f>WWWW[[#This Row],[%Equitable and continuous access to sufficient quantity of safe drinking water]]*WWWW[[#This Row],[Total PoP ]]</f>
        <v>203</v>
      </c>
      <c r="CT289" s="416">
        <f>IF((WWWW[[#This Row],['#_Constructed/Existing protected/fenced ponds]]*250)/WWWW[[#This Row],[Total PoP ]]&gt;1,1,(WWWW[[#This Row],['#_Constructed/Existing protected/fenced ponds]]*250)/WWWW[[#This Row],[Total PoP ]])</f>
        <v>0</v>
      </c>
      <c r="CU289" s="421">
        <f>WWWW[[#This Row],[% Access to unimproved water points]]*WWWW[[#This Row],[Total PoP ]]</f>
        <v>0</v>
      </c>
      <c r="CV289"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89"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203</v>
      </c>
      <c r="CX289" s="421">
        <f>WWWW[[#This Row],[HRP1]]/500</f>
        <v>0.40600000000000003</v>
      </c>
      <c r="CY289" s="951">
        <f>1-WWWW[[#This Row],[% Equitable and continuous access to sufficient quantity of domestic water]]</f>
        <v>0</v>
      </c>
      <c r="CZ289" s="421">
        <f>WWWW[[#This Row],[%equitable and continuous access to sufficient quantity of safe drinking and domestic water''s GAP]]*WWWW[[#This Row],[Total PoP ]]</f>
        <v>0</v>
      </c>
      <c r="DA289" s="417">
        <f>IF(WWWW[[#This Row],[Total required water points]]-WWWW[[#This Row],['#Water points coverage]]&lt;0,0,WWWW[[#This Row],[Total required water points]]-WWWW[[#This Row],['#Water points coverage]])</f>
        <v>0.59399999999999997</v>
      </c>
      <c r="DB289" s="417">
        <f>ROUND(IF(WWWW[[#This Row],[Total PoP ]]&lt;500,1,WWWW[[#This Row],[Total PoP ]]/500),0)</f>
        <v>1</v>
      </c>
      <c r="DC289" s="417">
        <f>(WWWW[[#This Row],['#_Constructed latrines_by_WASHAgencies]]+WWWW[[#This Row],['#_Non Cluster partner latrines]])-WWWW[[#This Row],['#_Non-functional latrines]]</f>
        <v>7</v>
      </c>
      <c r="DD289" s="615">
        <f>WWWW[[#This Row],[HRP2]]/WWWW[[#This Row],[Total PoP ]]</f>
        <v>0.70935960591133007</v>
      </c>
      <c r="DE289"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144</v>
      </c>
      <c r="DF289"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89"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89" s="417">
        <f>IF(WWWW[[#This Row],['# of functional latrines in THF supported by WASH partners during the reporting period2]]="",0,WWWW[[#This Row],['# of functional latrines in THF supported by WASH partners during the reporting period2]]*50)</f>
        <v>0</v>
      </c>
      <c r="DI289" s="417">
        <f>ROUND(IF(WWWW[[#This Row],[Location Type 1]]="camp",WWWW[[#This Row],[Total PoP ]]/20,IF(WWWW[[#This Row],[Location Type 1]]="Temporary Location",WWWW[[#This Row],[Total PoP ]]/50,(WWWW[[#This Row],[Total PoP ]]/6))),0)</f>
        <v>10</v>
      </c>
      <c r="DJ289" s="417">
        <f>IF(WWWW[[#This Row],[Total required Latrines]]-(WWWW[[#This Row],['#_Constructed latrines_by_WASHAgencies]]+WWWW[[#This Row],['#_Non Cluster partner latrines]])&lt;0,0,WWWW[[#This Row],[Total required Latrines]]-(WWWW[[#This Row],['#_Constructed latrines_by_WASHAgencies]]+WWWW[[#This Row],['#_Non Cluster partner latrines]]))</f>
        <v>3</v>
      </c>
      <c r="DK289" s="951">
        <f>1-WWWW[[#This Row],[% people access to functioning Latrine]]</f>
        <v>0.29064039408866993</v>
      </c>
      <c r="DL289" s="615">
        <f>IF(OR(WWWW[[#This Row],['#_Non-functional latrines]]="",WWWW[[#This Row],['#_Non-functional latrines]]=0),0,WWWW[[#This Row],['#_Non-functional latrines]]/(WWWW[[#This Row],['#_Constructed latrines_by_WASHAgencies]]+WWWW[[#This Row],['#_Non Cluster partner latrines]]))</f>
        <v>0</v>
      </c>
      <c r="DM289" s="421">
        <f>IF(500*(WWWW[[#This Row],['#_male hygiene promoters]]+WWWW[[#This Row],['#_female hygiene promoters]])&gt;WWWW[[#This Row],[Total PoP ]],WWWW[[#This Row],[Total PoP ]],500*(WWWW[[#This Row],['#_male hygiene promoters]]+WWWW[[#This Row],['#_female hygiene promoters]]))</f>
        <v>203</v>
      </c>
      <c r="DN289"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89"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89" s="417">
        <f>IF(WWWW[[#This Row],['# People with access to soap]]&gt;WWWW[[#This Row],['# People with access to Sanity Pads]],WWWW[[#This Row],['# People with access to soap]],WWWW[[#This Row],['# People with access to Sanity Pads]])</f>
        <v>0</v>
      </c>
      <c r="DQ289" s="417">
        <f>IF(WWWW[[#This Row],['# people reached by regular dedicated hygiene promotion_5]]&gt;WWWW[[#This Row],['# People received regular supply of hygiene items_6]],WWWW[[#This Row],['# people reached by regular dedicated hygiene promotion_5]],WWWW[[#This Row],['# People received regular supply of hygiene items_6]])</f>
        <v>203</v>
      </c>
      <c r="DR289" s="951">
        <f>IF(WWWW[[#This Row],[HRP3]]/WWWW[[#This Row],[Total PoP ]]&gt;1,1,WWWW[[#This Row],[HRP3]]/WWWW[[#This Row],[Total PoP ]])</f>
        <v>1</v>
      </c>
      <c r="DS289" s="615">
        <f>1-WWWW[[#This Row],[Hygiene Coverage%]]</f>
        <v>0</v>
      </c>
      <c r="DT289" s="416">
        <f>WWWW[[#This Row],['# people reached by regular dedicated hygiene promotion_5]]/WWWW[[#This Row],[Total PoP ]]</f>
        <v>1</v>
      </c>
      <c r="DU289"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89"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89" s="417">
        <f>WWWW[[#This Row],['#_Constructed/Existing hand washing stations]]-WWWW[[#This Row],['#_Non-Functional_hand_washing_stations]]</f>
        <v>2</v>
      </c>
      <c r="DX289" s="421">
        <f>IF(WWWW[[#This Row],['# Functional hand washing stations during reporting period]]*20&gt;WWWW[[#This Row],[Total HH]],WWWW[[#This Row],[Total HH]],WWWW[[#This Row],['# Functional hand washing stations during reporting period]]*20)</f>
        <v>40</v>
      </c>
      <c r="DY289" s="421">
        <f>IF(WWWW[[#This Row],[Is sufficient soap available for TLS? (Yes/No)]]="yes",WWWW[[#This Row],['#_Constructed/Existing hand washing stations at TLS/CFS/THF]],0)</f>
        <v>1</v>
      </c>
      <c r="DZ289" s="421">
        <f>IF(WWWW[[#This Row],['# Functional hand washing stations during reporting period]]*100&gt;WWWW[[#This Row],[Total PoP ]],WWWW[[#This Row],[Total PoP ]],WWWW[[#This Row],['# Functional hand washing stations during reporting period]]*100)</f>
        <v>200</v>
      </c>
      <c r="EA289" s="421" t="str">
        <f>IF(OR(WWWW[[#This Row],['#_students at TLS_CFS]]="",WWWW[[#This Row],['#_students at TLS_CFS]]=0),"No","Yes")</f>
        <v>No</v>
      </c>
      <c r="EB28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89" s="566">
        <f>WWWW[[#This Row],[%_of_affected_people_surveyed_who_report_feeling_satistfied_with_the_latrine_design_and_sanitation_service]]*WWWW[[#This Row],[Total PoP ]]</f>
        <v>0</v>
      </c>
      <c r="ED289" s="566">
        <f>WWWW[[#This Row],[%_of_affected_people_surveyed_who_report_feeling_satistfied_with_the_water_point_design_and_water_service]]*WWWW[[#This Row],[Total PoP ]]</f>
        <v>0</v>
      </c>
      <c r="EE289" s="566">
        <f>WWWW[[#This Row],[%_of_complaints_received_that_result_in_timely_corrective_action_and_feedback_to_the_community]]*WWWW[[#This Row],[Total PoP ]]</f>
        <v>0</v>
      </c>
      <c r="EF28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8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8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89" s="418">
        <f>VLOOKUP(WWWW[[#This Row],[Site Name]],SiteDB6[[Site Name]:[CCCM Management]],6,FALSE)</f>
        <v>0</v>
      </c>
      <c r="EJ289" s="418">
        <f>VLOOKUP(WWWW[[#This Row],[Site Name]],SiteDB6[[Site Name]:[CCCM Focal Agency]],7,FALSE)</f>
        <v>0</v>
      </c>
      <c r="EK289" s="418" t="str">
        <f>VLOOKUP(WWWW[[#This Row],[Site Name]],SiteDB6[[Site Name]:[Location Type 1]],9,FALSE)</f>
        <v>Camp</v>
      </c>
      <c r="EL289" s="418" t="str">
        <f>VLOOKUP(WWWW[[#This Row],[Site Name]],SiteDB6[[Site Name]:[Type of Accommodation]],10,FALSE)</f>
        <v>Camp like setting</v>
      </c>
      <c r="EM289" s="418" t="str">
        <f>VLOOKUP(WWWW[[#This Row],[Site Name]],SiteDB6[[Site Name]:[Ethnic or GCA/NGCA]],11,FALSE)</f>
        <v>GCA</v>
      </c>
      <c r="EN289" s="418">
        <f>VLOOKUP(WWWW[[#This Row],[Site Name]],SiteDB6[[Site Name]:[Lat]],12,FALSE)</f>
        <v>0</v>
      </c>
      <c r="EO289" s="418">
        <f>VLOOKUP(WWWW[[#This Row],[Site Name]],SiteDB6[[Site Name]:[Long]],13,FALSE)</f>
        <v>0</v>
      </c>
      <c r="EP289" s="418">
        <f>VLOOKUP(WWWW[[#This Row],[Site Name]],SiteDB6[[Site Name]:[Pcode]],3,FALSE)</f>
        <v>0</v>
      </c>
      <c r="EQ289" s="950" t="str">
        <f t="shared" si="6"/>
        <v>Covered</v>
      </c>
      <c r="ER289" s="950" t="s">
        <v>3126</v>
      </c>
      <c r="ES289" s="950" t="s">
        <v>3275</v>
      </c>
      <c r="ET289" s="418">
        <f>VLOOKUP(WWWW[[#This Row],[Site Name]],SiteDB6[[Site Name]:[Pop
(Kachin/Shan-CCCM as of May 2023)]],16,FALSE)</f>
        <v>0</v>
      </c>
      <c r="EU289" s="418">
        <f>VLOOKUP(WWWW[[#This Row],[Site Name]],SiteDB6[[Site Name]:[Pop
(Kachin/Shan-CCCM as of May 2023)]],17,FALSE)</f>
        <v>0</v>
      </c>
    </row>
    <row r="290" spans="1:151">
      <c r="A290" s="946" t="s">
        <v>2962</v>
      </c>
      <c r="B290" s="946" t="s">
        <v>309</v>
      </c>
      <c r="C290" s="938" t="s">
        <v>309</v>
      </c>
      <c r="D290" s="938"/>
      <c r="E290" s="938" t="s">
        <v>37</v>
      </c>
      <c r="F290" s="938" t="s">
        <v>205</v>
      </c>
      <c r="G290" s="902" t="str">
        <f>VLOOKUP(WWWW[[#This Row],[Site Name]],SiteDB6[[Site Name]:[Location Type]],8,FALSE)</f>
        <v>Camp</v>
      </c>
      <c r="H290" s="938" t="s">
        <v>2872</v>
      </c>
      <c r="I290" s="441">
        <v>223</v>
      </c>
      <c r="J290" s="441">
        <v>1067</v>
      </c>
      <c r="K290" s="948"/>
      <c r="L290" s="949"/>
      <c r="M290" s="441"/>
      <c r="N290" s="441"/>
      <c r="O290" s="441"/>
      <c r="P290" s="441"/>
      <c r="Q290" s="421"/>
      <c r="R290" s="441"/>
      <c r="S290" s="441">
        <v>4</v>
      </c>
      <c r="T290" s="441"/>
      <c r="U290" s="441"/>
      <c r="V290" s="441"/>
      <c r="W290" s="441"/>
      <c r="X290" s="441"/>
      <c r="Y290" s="441"/>
      <c r="Z290" s="441"/>
      <c r="AA290" s="441"/>
      <c r="AB290" s="441"/>
      <c r="AC290" s="441"/>
      <c r="AD290" s="441"/>
      <c r="AE290" s="441"/>
      <c r="AF290" s="441"/>
      <c r="AG290" s="441"/>
      <c r="AH290" s="441"/>
      <c r="AI290" s="441"/>
      <c r="AJ290" s="441"/>
      <c r="AK290" s="441"/>
      <c r="AL290" s="441"/>
      <c r="AM290" s="441"/>
      <c r="AN290" s="441"/>
      <c r="AO290" s="441"/>
      <c r="AP290" s="950"/>
      <c r="AQ290" s="441"/>
      <c r="AR290" s="441"/>
      <c r="AS290" s="416"/>
      <c r="AT290" s="441"/>
      <c r="AU290" s="441"/>
      <c r="AV290" s="441"/>
      <c r="AW290" s="441"/>
      <c r="AX290" s="441"/>
      <c r="AY290" s="418" t="s">
        <v>140</v>
      </c>
      <c r="AZ290" s="950" t="s">
        <v>140</v>
      </c>
      <c r="BA290" s="441"/>
      <c r="BB290" s="441"/>
      <c r="BC290" s="441"/>
      <c r="BD290" s="441"/>
      <c r="BE290" s="441"/>
      <c r="BF290" s="418"/>
      <c r="BG290" s="441">
        <v>3</v>
      </c>
      <c r="BH290" s="441"/>
      <c r="BI290" s="441"/>
      <c r="BJ290" s="441">
        <v>2</v>
      </c>
      <c r="BK290" s="441"/>
      <c r="BL290" s="441"/>
      <c r="BM290" s="441"/>
      <c r="BN290" s="441"/>
      <c r="BO290" s="441"/>
      <c r="BP290" s="418"/>
      <c r="BQ290" s="417"/>
      <c r="BR290" s="416"/>
      <c r="BS290" s="418"/>
      <c r="BT290" s="416"/>
      <c r="BU290" s="416"/>
      <c r="BV290" s="418"/>
      <c r="BW290" s="416"/>
      <c r="BX290" s="441"/>
      <c r="BY290" s="441"/>
      <c r="BZ290" s="441"/>
      <c r="CA290" s="441"/>
      <c r="CB290" s="441"/>
      <c r="CC290" s="693"/>
      <c r="CD290" s="441"/>
      <c r="CE290" s="615" t="str">
        <f>IFERROR(WWWW[[#This Row],['#_Water sources passed]]/WWWW[[#This Row],['#_Water sources tested for fecal coliform ]],"no test")</f>
        <v>no test</v>
      </c>
      <c r="CF290" s="416" t="str">
        <f>IFERROR(WWWW[[#This Row],['#_Household passed]]/WWWW[[#This Row],['#_Household water samples tested for fecal coliform]],"no test")</f>
        <v>no test</v>
      </c>
      <c r="CG290" s="417" t="str">
        <f>IF(AND(WWWW[[#This Row],[% of water sources passed]]="no test",WWWW[[#This Row],[% Household passed]]="no test"),"No Test","Tested")</f>
        <v>No Test</v>
      </c>
      <c r="CH290" s="417">
        <f>WWWW[[#This Row],['#_Constructed/existing protected hand dug well]]-WWWW[[#This Row],['#_Non-functional protected hand dug well]]</f>
        <v>0</v>
      </c>
      <c r="CI290" s="417">
        <f>(WWWW[[#This Row],['#_Constructed/Existing tube wells/boreholes/handpumps_WASH_agency]]+WWWW[[#This Row],['#_Non-Cluster partner water tube-wells/boreholes/handpumps]])-WWWW[[#This Row],['#_Non-functional tube wells/boreholes/handpumps]]</f>
        <v>0</v>
      </c>
      <c r="CJ290" s="417">
        <f>WWWW[[#This Row],['#_Constructed/Existingwater storage tank with gravity fed reticulation system]]-WWWW[[#This Row],['#_Non-functional storage tank gravity fed reticulation system]]</f>
        <v>0</v>
      </c>
      <c r="CK290" s="417">
        <f>(WWWW[[#This Row],['#_Water_Liters_supplied_by_Water boating or water trucking]]/90)/15</f>
        <v>0</v>
      </c>
      <c r="CL290" s="417">
        <f>WWWW[[#This Row],['#_Water_Liters_from_Constructed/Existing water distribution system from river or natural spring]]/90/15</f>
        <v>0</v>
      </c>
      <c r="CM290" s="417">
        <f>IF(WWWW[[#This Row],['#_of water points in TLS/CFS]]*500&gt;WWWW[[#This Row],[Total PoP ]],WWWW[[#This Row],[Total PoP ]],WWWW[[#This Row],['#_of water points in TLS/CFS]]*500)</f>
        <v>0</v>
      </c>
      <c r="CN290" s="417">
        <f>IF(WWWW[[#This Row],['#_of water points in THF]]*500&gt;WWWW[[#This Row],[Total PoP ]],WWWW[[#This Row],[Total PoP ]],WWWW[[#This Row],['#_of water points in THF]]*500)</f>
        <v>0</v>
      </c>
      <c r="CO290" s="417"/>
      <c r="CP290"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90"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90" s="416">
        <f>IF(WWWW[[#This Row],[Location Type 1]]="Village",WWWW[[#This Row],[Access to safe drinking water for Village]],WWWW[[#This Row],[Access to safe drinking water for Camp]])</f>
        <v>0</v>
      </c>
      <c r="CS290" s="421">
        <f>WWWW[[#This Row],[%Equitable and continuous access to sufficient quantity of safe drinking water]]*WWWW[[#This Row],[Total PoP ]]</f>
        <v>0</v>
      </c>
      <c r="CT290" s="416">
        <f>IF((WWWW[[#This Row],['#_Constructed/Existing protected/fenced ponds]]*250)/WWWW[[#This Row],[Total PoP ]]&gt;1,1,(WWWW[[#This Row],['#_Constructed/Existing protected/fenced ponds]]*250)/WWWW[[#This Row],[Total PoP ]])</f>
        <v>0</v>
      </c>
      <c r="CU290" s="421">
        <f>WWWW[[#This Row],[% Access to unimproved water points]]*WWWW[[#This Row],[Total PoP ]]</f>
        <v>0</v>
      </c>
      <c r="CV290"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290"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290" s="421">
        <f>WWWW[[#This Row],[HRP1]]/500</f>
        <v>0</v>
      </c>
      <c r="CY290" s="951">
        <f>1-WWWW[[#This Row],[% Equitable and continuous access to sufficient quantity of domestic water]]</f>
        <v>1</v>
      </c>
      <c r="CZ290" s="421">
        <f>WWWW[[#This Row],[%equitable and continuous access to sufficient quantity of safe drinking and domestic water''s GAP]]*WWWW[[#This Row],[Total PoP ]]</f>
        <v>1067</v>
      </c>
      <c r="DA290" s="417">
        <f>IF(WWWW[[#This Row],[Total required water points]]-WWWW[[#This Row],['#Water points coverage]]&lt;0,0,WWWW[[#This Row],[Total required water points]]-WWWW[[#This Row],['#Water points coverage]])</f>
        <v>2</v>
      </c>
      <c r="DB290" s="417">
        <f>ROUND(IF(WWWW[[#This Row],[Total PoP ]]&lt;500,1,WWWW[[#This Row],[Total PoP ]]/500),0)</f>
        <v>2</v>
      </c>
      <c r="DC290" s="417">
        <f>(WWWW[[#This Row],['#_Constructed latrines_by_WASHAgencies]]+WWWW[[#This Row],['#_Non Cluster partner latrines]])-WWWW[[#This Row],['#_Non-functional latrines]]</f>
        <v>0</v>
      </c>
      <c r="DD290" s="615">
        <f>WWWW[[#This Row],[HRP2]]/WWWW[[#This Row],[Total PoP ]]</f>
        <v>0</v>
      </c>
      <c r="DE290"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90"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90"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90" s="417">
        <f>IF(WWWW[[#This Row],['# of functional latrines in THF supported by WASH partners during the reporting period2]]="",0,WWWW[[#This Row],['# of functional latrines in THF supported by WASH partners during the reporting period2]]*50)</f>
        <v>0</v>
      </c>
      <c r="DI290" s="417">
        <f>ROUND(IF(WWWW[[#This Row],[Location Type 1]]="camp",WWWW[[#This Row],[Total PoP ]]/20,IF(WWWW[[#This Row],[Location Type 1]]="Temporary Location",WWWW[[#This Row],[Total PoP ]]/50,(WWWW[[#This Row],[Total PoP ]]/6))),0)</f>
        <v>53</v>
      </c>
      <c r="DJ290" s="417">
        <f>IF(WWWW[[#This Row],[Total required Latrines]]-(WWWW[[#This Row],['#_Constructed latrines_by_WASHAgencies]]+WWWW[[#This Row],['#_Non Cluster partner latrines]])&lt;0,0,WWWW[[#This Row],[Total required Latrines]]-(WWWW[[#This Row],['#_Constructed latrines_by_WASHAgencies]]+WWWW[[#This Row],['#_Non Cluster partner latrines]]))</f>
        <v>53</v>
      </c>
      <c r="DK290" s="951">
        <f>1-WWWW[[#This Row],[% people access to functioning Latrine]]</f>
        <v>1</v>
      </c>
      <c r="DL290" s="615">
        <f>IF(OR(WWWW[[#This Row],['#_Non-functional latrines]]="",WWWW[[#This Row],['#_Non-functional latrines]]=0),0,WWWW[[#This Row],['#_Non-functional latrines]]/(WWWW[[#This Row],['#_Constructed latrines_by_WASHAgencies]]+WWWW[[#This Row],['#_Non Cluster partner latrines]]))</f>
        <v>0</v>
      </c>
      <c r="DM290" s="421">
        <f>IF(500*(WWWW[[#This Row],['#_male hygiene promoters]]+WWWW[[#This Row],['#_female hygiene promoters]])&gt;WWWW[[#This Row],[Total PoP ]],WWWW[[#This Row],[Total PoP ]],500*(WWWW[[#This Row],['#_male hygiene promoters]]+WWWW[[#This Row],['#_female hygiene promoters]]))</f>
        <v>0</v>
      </c>
      <c r="DN290"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90"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90" s="417">
        <f>IF(WWWW[[#This Row],['# People with access to soap]]&gt;WWWW[[#This Row],['# People with access to Sanity Pads]],WWWW[[#This Row],['# People with access to soap]],WWWW[[#This Row],['# People with access to Sanity Pads]])</f>
        <v>0</v>
      </c>
      <c r="DQ290"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90" s="951">
        <f>IF(WWWW[[#This Row],[HRP3]]/WWWW[[#This Row],[Total PoP ]]&gt;1,1,WWWW[[#This Row],[HRP3]]/WWWW[[#This Row],[Total PoP ]])</f>
        <v>0</v>
      </c>
      <c r="DS290" s="615">
        <f>1-WWWW[[#This Row],[Hygiene Coverage%]]</f>
        <v>1</v>
      </c>
      <c r="DT290" s="416">
        <f>WWWW[[#This Row],['# people reached by regular dedicated hygiene promotion_5]]/WWWW[[#This Row],[Total PoP ]]</f>
        <v>0</v>
      </c>
      <c r="DU290"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90"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90" s="417">
        <f>WWWW[[#This Row],['#_Constructed/Existing hand washing stations]]-WWWW[[#This Row],['#_Non-Functional_hand_washing_stations]]</f>
        <v>3</v>
      </c>
      <c r="DX290" s="421">
        <f>IF(WWWW[[#This Row],['# Functional hand washing stations during reporting period]]*20&gt;WWWW[[#This Row],[Total HH]],WWWW[[#This Row],[Total HH]],WWWW[[#This Row],['# Functional hand washing stations during reporting period]]*20)</f>
        <v>60</v>
      </c>
      <c r="DY290" s="421">
        <f>IF(WWWW[[#This Row],[Is sufficient soap available for TLS? (Yes/No)]]="yes",WWWW[[#This Row],['#_Constructed/Existing hand washing stations at TLS/CFS/THF]],0)</f>
        <v>0</v>
      </c>
      <c r="DZ290" s="421">
        <f>IF(WWWW[[#This Row],['# Functional hand washing stations during reporting period]]*100&gt;WWWW[[#This Row],[Total PoP ]],WWWW[[#This Row],[Total PoP ]],WWWW[[#This Row],['# Functional hand washing stations during reporting period]]*100)</f>
        <v>300</v>
      </c>
      <c r="EA290" s="421" t="str">
        <f>IF(OR(WWWW[[#This Row],['#_students at TLS_CFS]]="",WWWW[[#This Row],['#_students at TLS_CFS]]=0),"No","Yes")</f>
        <v>No</v>
      </c>
      <c r="EB29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90" s="566">
        <f>WWWW[[#This Row],[%_of_affected_people_surveyed_who_report_feeling_satistfied_with_the_latrine_design_and_sanitation_service]]*WWWW[[#This Row],[Total PoP ]]</f>
        <v>0</v>
      </c>
      <c r="ED290" s="566">
        <f>WWWW[[#This Row],[%_of_affected_people_surveyed_who_report_feeling_satistfied_with_the_water_point_design_and_water_service]]*WWWW[[#This Row],[Total PoP ]]</f>
        <v>0</v>
      </c>
      <c r="EE290" s="566">
        <f>WWWW[[#This Row],[%_of_complaints_received_that_result_in_timely_corrective_action_and_feedback_to_the_community]]*WWWW[[#This Row],[Total PoP ]]</f>
        <v>0</v>
      </c>
      <c r="EF29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9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9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90" s="418">
        <f>VLOOKUP(WWWW[[#This Row],[Site Name]],SiteDB6[[Site Name]:[CCCM Management]],6,FALSE)</f>
        <v>0</v>
      </c>
      <c r="EJ290" s="418" t="str">
        <f>VLOOKUP(WWWW[[#This Row],[Site Name]],SiteDB6[[Site Name]:[CCCM Focal Agency]],7,FALSE)</f>
        <v>uncovered</v>
      </c>
      <c r="EK290" s="418" t="str">
        <f>VLOOKUP(WWWW[[#This Row],[Site Name]],SiteDB6[[Site Name]:[Location Type 1]],9,FALSE)</f>
        <v>Camp</v>
      </c>
      <c r="EL290" s="418" t="str">
        <f>VLOOKUP(WWWW[[#This Row],[Site Name]],SiteDB6[[Site Name]:[Type of Accommodation]],10,FALSE)</f>
        <v>IDPs in host</v>
      </c>
      <c r="EM290" s="418" t="str">
        <f>VLOOKUP(WWWW[[#This Row],[Site Name]],SiteDB6[[Site Name]:[Ethnic or GCA/NGCA]],11,FALSE)</f>
        <v>GCA</v>
      </c>
      <c r="EN290" s="418">
        <f>VLOOKUP(WWWW[[#This Row],[Site Name]],SiteDB6[[Site Name]:[Lat]],12,FALSE)</f>
        <v>24.251232000000002</v>
      </c>
      <c r="EO290" s="418">
        <f>VLOOKUP(WWWW[[#This Row],[Site Name]],SiteDB6[[Site Name]:[Long]],13,FALSE)</f>
        <v>97.348405</v>
      </c>
      <c r="EP290" s="418" t="str">
        <f>VLOOKUP(WWWW[[#This Row],[Site Name]],SiteDB6[[Site Name]:[Pcode]],3,FALSE)</f>
        <v>MMR001CMP197</v>
      </c>
      <c r="EQ290" s="950" t="str">
        <f t="shared" si="6"/>
        <v>Notcovered</v>
      </c>
      <c r="ER290" s="950"/>
      <c r="ES290" s="950" t="s">
        <v>41</v>
      </c>
      <c r="ET290" s="418">
        <f>VLOOKUP(WWWW[[#This Row],[Site Name]],SiteDB6[[Site Name]:[Pop
(Kachin/Shan-CCCM as of May 2023)]],16,FALSE)</f>
        <v>112</v>
      </c>
      <c r="EU290" s="418">
        <f>VLOOKUP(WWWW[[#This Row],[Site Name]],SiteDB6[[Site Name]:[Pop
(Kachin/Shan-CCCM as of May 2023)]],17,FALSE)</f>
        <v>567</v>
      </c>
    </row>
    <row r="291" spans="1:151">
      <c r="A291" s="946" t="s">
        <v>2962</v>
      </c>
      <c r="B291" s="946" t="s">
        <v>309</v>
      </c>
      <c r="C291" s="938" t="s">
        <v>309</v>
      </c>
      <c r="D291" s="938"/>
      <c r="E291" s="938" t="s">
        <v>37</v>
      </c>
      <c r="F291" s="938" t="s">
        <v>205</v>
      </c>
      <c r="G291" s="902" t="str">
        <f>VLOOKUP(WWWW[[#This Row],[Site Name]],SiteDB6[[Site Name]:[Location Type]],8,FALSE)</f>
        <v>Camp</v>
      </c>
      <c r="H291" s="938" t="s">
        <v>2869</v>
      </c>
      <c r="I291" s="441">
        <v>15</v>
      </c>
      <c r="J291" s="441">
        <v>101</v>
      </c>
      <c r="K291" s="948"/>
      <c r="L291" s="949"/>
      <c r="M291" s="441"/>
      <c r="N291" s="441"/>
      <c r="O291" s="441"/>
      <c r="P291" s="441"/>
      <c r="Q291" s="421"/>
      <c r="R291" s="441"/>
      <c r="S291" s="441">
        <v>1</v>
      </c>
      <c r="T291" s="441"/>
      <c r="U291" s="441"/>
      <c r="V291" s="441"/>
      <c r="W291" s="441"/>
      <c r="X291" s="441"/>
      <c r="Y291" s="441"/>
      <c r="Z291" s="441"/>
      <c r="AA291" s="441"/>
      <c r="AB291" s="441"/>
      <c r="AC291" s="441"/>
      <c r="AD291" s="441"/>
      <c r="AE291" s="441"/>
      <c r="AF291" s="441"/>
      <c r="AG291" s="441"/>
      <c r="AH291" s="441"/>
      <c r="AI291" s="441"/>
      <c r="AJ291" s="441"/>
      <c r="AK291" s="441"/>
      <c r="AL291" s="441"/>
      <c r="AM291" s="441"/>
      <c r="AN291" s="441"/>
      <c r="AO291" s="441"/>
      <c r="AP291" s="950"/>
      <c r="AQ291" s="441"/>
      <c r="AR291" s="441"/>
      <c r="AS291" s="416"/>
      <c r="AT291" s="441"/>
      <c r="AU291" s="441"/>
      <c r="AV291" s="441"/>
      <c r="AW291" s="441"/>
      <c r="AX291" s="441"/>
      <c r="AY291" s="418" t="s">
        <v>140</v>
      </c>
      <c r="AZ291" s="950" t="s">
        <v>140</v>
      </c>
      <c r="BA291" s="441"/>
      <c r="BB291" s="441"/>
      <c r="BC291" s="441"/>
      <c r="BD291" s="441"/>
      <c r="BE291" s="441"/>
      <c r="BF291" s="418"/>
      <c r="BG291" s="441">
        <v>1</v>
      </c>
      <c r="BH291" s="441"/>
      <c r="BI291" s="441"/>
      <c r="BJ291" s="441">
        <v>3</v>
      </c>
      <c r="BK291" s="441"/>
      <c r="BL291" s="441"/>
      <c r="BM291" s="441"/>
      <c r="BN291" s="441"/>
      <c r="BO291" s="441"/>
      <c r="BP291" s="418"/>
      <c r="BQ291" s="417"/>
      <c r="BR291" s="416"/>
      <c r="BS291" s="418"/>
      <c r="BT291" s="416"/>
      <c r="BU291" s="416"/>
      <c r="BV291" s="418"/>
      <c r="BW291" s="416"/>
      <c r="BX291" s="441"/>
      <c r="BY291" s="441"/>
      <c r="BZ291" s="441"/>
      <c r="CA291" s="441"/>
      <c r="CB291" s="441"/>
      <c r="CC291" s="693"/>
      <c r="CD291" s="441"/>
      <c r="CE291" s="615" t="str">
        <f>IFERROR(WWWW[[#This Row],['#_Water sources passed]]/WWWW[[#This Row],['#_Water sources tested for fecal coliform ]],"no test")</f>
        <v>no test</v>
      </c>
      <c r="CF291" s="416" t="str">
        <f>IFERROR(WWWW[[#This Row],['#_Household passed]]/WWWW[[#This Row],['#_Household water samples tested for fecal coliform]],"no test")</f>
        <v>no test</v>
      </c>
      <c r="CG291" s="417" t="str">
        <f>IF(AND(WWWW[[#This Row],[% of water sources passed]]="no test",WWWW[[#This Row],[% Household passed]]="no test"),"No Test","Tested")</f>
        <v>No Test</v>
      </c>
      <c r="CH291" s="417">
        <f>WWWW[[#This Row],['#_Constructed/existing protected hand dug well]]-WWWW[[#This Row],['#_Non-functional protected hand dug well]]</f>
        <v>0</v>
      </c>
      <c r="CI291" s="417">
        <f>(WWWW[[#This Row],['#_Constructed/Existing tube wells/boreholes/handpumps_WASH_agency]]+WWWW[[#This Row],['#_Non-Cluster partner water tube-wells/boreholes/handpumps]])-WWWW[[#This Row],['#_Non-functional tube wells/boreholes/handpumps]]</f>
        <v>0</v>
      </c>
      <c r="CJ291" s="417">
        <f>WWWW[[#This Row],['#_Constructed/Existingwater storage tank with gravity fed reticulation system]]-WWWW[[#This Row],['#_Non-functional storage tank gravity fed reticulation system]]</f>
        <v>0</v>
      </c>
      <c r="CK291" s="417">
        <f>(WWWW[[#This Row],['#_Water_Liters_supplied_by_Water boating or water trucking]]/90)/15</f>
        <v>0</v>
      </c>
      <c r="CL291" s="417">
        <f>WWWW[[#This Row],['#_Water_Liters_from_Constructed/Existing water distribution system from river or natural spring]]/90/15</f>
        <v>0</v>
      </c>
      <c r="CM291" s="417">
        <f>IF(WWWW[[#This Row],['#_of water points in TLS/CFS]]*500&gt;WWWW[[#This Row],[Total PoP ]],WWWW[[#This Row],[Total PoP ]],WWWW[[#This Row],['#_of water points in TLS/CFS]]*500)</f>
        <v>0</v>
      </c>
      <c r="CN291" s="417">
        <f>IF(WWWW[[#This Row],['#_of water points in THF]]*500&gt;WWWW[[#This Row],[Total PoP ]],WWWW[[#This Row],[Total PoP ]],WWWW[[#This Row],['#_of water points in THF]]*500)</f>
        <v>0</v>
      </c>
      <c r="CO291" s="417"/>
      <c r="CP291"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91"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91" s="416">
        <f>IF(WWWW[[#This Row],[Location Type 1]]="Village",WWWW[[#This Row],[Access to safe drinking water for Village]],WWWW[[#This Row],[Access to safe drinking water for Camp]])</f>
        <v>0</v>
      </c>
      <c r="CS291" s="421">
        <f>WWWW[[#This Row],[%Equitable and continuous access to sufficient quantity of safe drinking water]]*WWWW[[#This Row],[Total PoP ]]</f>
        <v>0</v>
      </c>
      <c r="CT291" s="416">
        <f>IF((WWWW[[#This Row],['#_Constructed/Existing protected/fenced ponds]]*250)/WWWW[[#This Row],[Total PoP ]]&gt;1,1,(WWWW[[#This Row],['#_Constructed/Existing protected/fenced ponds]]*250)/WWWW[[#This Row],[Total PoP ]])</f>
        <v>0</v>
      </c>
      <c r="CU291" s="421">
        <f>WWWW[[#This Row],[% Access to unimproved water points]]*WWWW[[#This Row],[Total PoP ]]</f>
        <v>0</v>
      </c>
      <c r="CV291"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291"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291" s="421">
        <f>WWWW[[#This Row],[HRP1]]/500</f>
        <v>0</v>
      </c>
      <c r="CY291" s="951">
        <f>1-WWWW[[#This Row],[% Equitable and continuous access to sufficient quantity of domestic water]]</f>
        <v>1</v>
      </c>
      <c r="CZ291" s="421">
        <f>WWWW[[#This Row],[%equitable and continuous access to sufficient quantity of safe drinking and domestic water''s GAP]]*WWWW[[#This Row],[Total PoP ]]</f>
        <v>101</v>
      </c>
      <c r="DA291" s="417">
        <f>IF(WWWW[[#This Row],[Total required water points]]-WWWW[[#This Row],['#Water points coverage]]&lt;0,0,WWWW[[#This Row],[Total required water points]]-WWWW[[#This Row],['#Water points coverage]])</f>
        <v>1</v>
      </c>
      <c r="DB291" s="417">
        <f>ROUND(IF(WWWW[[#This Row],[Total PoP ]]&lt;500,1,WWWW[[#This Row],[Total PoP ]]/500),0)</f>
        <v>1</v>
      </c>
      <c r="DC291" s="417">
        <f>(WWWW[[#This Row],['#_Constructed latrines_by_WASHAgencies]]+WWWW[[#This Row],['#_Non Cluster partner latrines]])-WWWW[[#This Row],['#_Non-functional latrines]]</f>
        <v>0</v>
      </c>
      <c r="DD291" s="615">
        <f>WWWW[[#This Row],[HRP2]]/WWWW[[#This Row],[Total PoP ]]</f>
        <v>0</v>
      </c>
      <c r="DE291"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91"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91"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91" s="417">
        <f>IF(WWWW[[#This Row],['# of functional latrines in THF supported by WASH partners during the reporting period2]]="",0,WWWW[[#This Row],['# of functional latrines in THF supported by WASH partners during the reporting period2]]*50)</f>
        <v>0</v>
      </c>
      <c r="DI291" s="417">
        <f>ROUND(IF(WWWW[[#This Row],[Location Type 1]]="camp",WWWW[[#This Row],[Total PoP ]]/20,IF(WWWW[[#This Row],[Location Type 1]]="Temporary Location",WWWW[[#This Row],[Total PoP ]]/50,(WWWW[[#This Row],[Total PoP ]]/6))),0)</f>
        <v>5</v>
      </c>
      <c r="DJ291" s="417">
        <f>IF(WWWW[[#This Row],[Total required Latrines]]-(WWWW[[#This Row],['#_Constructed latrines_by_WASHAgencies]]+WWWW[[#This Row],['#_Non Cluster partner latrines]])&lt;0,0,WWWW[[#This Row],[Total required Latrines]]-(WWWW[[#This Row],['#_Constructed latrines_by_WASHAgencies]]+WWWW[[#This Row],['#_Non Cluster partner latrines]]))</f>
        <v>5</v>
      </c>
      <c r="DK291" s="951">
        <f>1-WWWW[[#This Row],[% people access to functioning Latrine]]</f>
        <v>1</v>
      </c>
      <c r="DL291" s="615">
        <f>IF(OR(WWWW[[#This Row],['#_Non-functional latrines]]="",WWWW[[#This Row],['#_Non-functional latrines]]=0),0,WWWW[[#This Row],['#_Non-functional latrines]]/(WWWW[[#This Row],['#_Constructed latrines_by_WASHAgencies]]+WWWW[[#This Row],['#_Non Cluster partner latrines]]))</f>
        <v>0</v>
      </c>
      <c r="DM291" s="421">
        <f>IF(500*(WWWW[[#This Row],['#_male hygiene promoters]]+WWWW[[#This Row],['#_female hygiene promoters]])&gt;WWWW[[#This Row],[Total PoP ]],WWWW[[#This Row],[Total PoP ]],500*(WWWW[[#This Row],['#_male hygiene promoters]]+WWWW[[#This Row],['#_female hygiene promoters]]))</f>
        <v>0</v>
      </c>
      <c r="DN291"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91"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91" s="417">
        <f>IF(WWWW[[#This Row],['# People with access to soap]]&gt;WWWW[[#This Row],['# People with access to Sanity Pads]],WWWW[[#This Row],['# People with access to soap]],WWWW[[#This Row],['# People with access to Sanity Pads]])</f>
        <v>0</v>
      </c>
      <c r="DQ291"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91" s="951">
        <f>IF(WWWW[[#This Row],[HRP3]]/WWWW[[#This Row],[Total PoP ]]&gt;1,1,WWWW[[#This Row],[HRP3]]/WWWW[[#This Row],[Total PoP ]])</f>
        <v>0</v>
      </c>
      <c r="DS291" s="615">
        <f>1-WWWW[[#This Row],[Hygiene Coverage%]]</f>
        <v>1</v>
      </c>
      <c r="DT291" s="416">
        <f>WWWW[[#This Row],['# people reached by regular dedicated hygiene promotion_5]]/WWWW[[#This Row],[Total PoP ]]</f>
        <v>0</v>
      </c>
      <c r="DU291"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91"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91" s="417">
        <f>WWWW[[#This Row],['#_Constructed/Existing hand washing stations]]-WWWW[[#This Row],['#_Non-Functional_hand_washing_stations]]</f>
        <v>1</v>
      </c>
      <c r="DX291" s="421">
        <f>IF(WWWW[[#This Row],['# Functional hand washing stations during reporting period]]*20&gt;WWWW[[#This Row],[Total HH]],WWWW[[#This Row],[Total HH]],WWWW[[#This Row],['# Functional hand washing stations during reporting period]]*20)</f>
        <v>15</v>
      </c>
      <c r="DY291" s="421">
        <f>IF(WWWW[[#This Row],[Is sufficient soap available for TLS? (Yes/No)]]="yes",WWWW[[#This Row],['#_Constructed/Existing hand washing stations at TLS/CFS/THF]],0)</f>
        <v>0</v>
      </c>
      <c r="DZ291" s="421">
        <f>IF(WWWW[[#This Row],['# Functional hand washing stations during reporting period]]*100&gt;WWWW[[#This Row],[Total PoP ]],WWWW[[#This Row],[Total PoP ]],WWWW[[#This Row],['# Functional hand washing stations during reporting period]]*100)</f>
        <v>100</v>
      </c>
      <c r="EA291" s="421" t="str">
        <f>IF(OR(WWWW[[#This Row],['#_students at TLS_CFS]]="",WWWW[[#This Row],['#_students at TLS_CFS]]=0),"No","Yes")</f>
        <v>No</v>
      </c>
      <c r="EB29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91" s="566">
        <f>WWWW[[#This Row],[%_of_affected_people_surveyed_who_report_feeling_satistfied_with_the_latrine_design_and_sanitation_service]]*WWWW[[#This Row],[Total PoP ]]</f>
        <v>0</v>
      </c>
      <c r="ED291" s="566">
        <f>WWWW[[#This Row],[%_of_affected_people_surveyed_who_report_feeling_satistfied_with_the_water_point_design_and_water_service]]*WWWW[[#This Row],[Total PoP ]]</f>
        <v>0</v>
      </c>
      <c r="EE291" s="566">
        <f>WWWW[[#This Row],[%_of_complaints_received_that_result_in_timely_corrective_action_and_feedback_to_the_community]]*WWWW[[#This Row],[Total PoP ]]</f>
        <v>0</v>
      </c>
      <c r="EF29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9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9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91" s="418">
        <f>VLOOKUP(WWWW[[#This Row],[Site Name]],SiteDB6[[Site Name]:[CCCM Management]],6,FALSE)</f>
        <v>0</v>
      </c>
      <c r="EJ291" s="418" t="str">
        <f>VLOOKUP(WWWW[[#This Row],[Site Name]],SiteDB6[[Site Name]:[CCCM Focal Agency]],7,FALSE)</f>
        <v>uncovered</v>
      </c>
      <c r="EK291" s="418" t="str">
        <f>VLOOKUP(WWWW[[#This Row],[Site Name]],SiteDB6[[Site Name]:[Location Type 1]],9,FALSE)</f>
        <v>Camp</v>
      </c>
      <c r="EL291" s="418" t="str">
        <f>VLOOKUP(WWWW[[#This Row],[Site Name]],SiteDB6[[Site Name]:[Type of Accommodation]],10,FALSE)</f>
        <v>IDPs in host</v>
      </c>
      <c r="EM291" s="418" t="str">
        <f>VLOOKUP(WWWW[[#This Row],[Site Name]],SiteDB6[[Site Name]:[Ethnic or GCA/NGCA]],11,FALSE)</f>
        <v>GCA</v>
      </c>
      <c r="EN291" s="418">
        <f>VLOOKUP(WWWW[[#This Row],[Site Name]],SiteDB6[[Site Name]:[Lat]],12,FALSE)</f>
        <v>24.404876999999999</v>
      </c>
      <c r="EO291" s="418">
        <f>VLOOKUP(WWWW[[#This Row],[Site Name]],SiteDB6[[Site Name]:[Long]],13,FALSE)</f>
        <v>97.407787999999996</v>
      </c>
      <c r="EP291" s="418" t="str">
        <f>VLOOKUP(WWWW[[#This Row],[Site Name]],SiteDB6[[Site Name]:[Pcode]],3,FALSE)</f>
        <v>MMR001CMP061</v>
      </c>
      <c r="EQ291" s="950" t="str">
        <f t="shared" si="6"/>
        <v>Notcovered</v>
      </c>
      <c r="ER291" s="950"/>
      <c r="ES291" s="950" t="s">
        <v>41</v>
      </c>
      <c r="ET291" s="418">
        <f>VLOOKUP(WWWW[[#This Row],[Site Name]],SiteDB6[[Site Name]:[Pop
(Kachin/Shan-CCCM as of May 2023)]],16,FALSE)</f>
        <v>15</v>
      </c>
      <c r="EU291" s="418">
        <f>VLOOKUP(WWWW[[#This Row],[Site Name]],SiteDB6[[Site Name]:[Pop
(Kachin/Shan-CCCM as of May 2023)]],17,FALSE)</f>
        <v>101</v>
      </c>
    </row>
    <row r="292" spans="1:151">
      <c r="A292" s="946" t="s">
        <v>2962</v>
      </c>
      <c r="B292" s="946" t="s">
        <v>291</v>
      </c>
      <c r="C292" s="938" t="s">
        <v>291</v>
      </c>
      <c r="D292" s="938" t="s">
        <v>2594</v>
      </c>
      <c r="E292" s="938" t="s">
        <v>37</v>
      </c>
      <c r="F292" s="938" t="s">
        <v>205</v>
      </c>
      <c r="G292" s="902" t="str">
        <f>VLOOKUP(WWWW[[#This Row],[Site Name]],SiteDB6[[Site Name]:[Location Type]],8,FALSE)</f>
        <v>Camp</v>
      </c>
      <c r="H292" s="938" t="s">
        <v>295</v>
      </c>
      <c r="I292" s="441">
        <v>349</v>
      </c>
      <c r="J292" s="441">
        <v>1570</v>
      </c>
      <c r="K292" s="948">
        <v>44652</v>
      </c>
      <c r="L292" s="949">
        <v>44926</v>
      </c>
      <c r="M292" s="441"/>
      <c r="N292" s="441"/>
      <c r="O292" s="441"/>
      <c r="P292" s="441"/>
      <c r="Q292" s="421" t="s">
        <v>41</v>
      </c>
      <c r="R292" s="441"/>
      <c r="S292" s="441"/>
      <c r="T292" s="441"/>
      <c r="U292" s="441"/>
      <c r="V292" s="441"/>
      <c r="W292" s="441"/>
      <c r="X292" s="441"/>
      <c r="Y292" s="441"/>
      <c r="Z292" s="441"/>
      <c r="AA292" s="441"/>
      <c r="AB292" s="441"/>
      <c r="AC292" s="441"/>
      <c r="AD292" s="441"/>
      <c r="AE292" s="441">
        <v>6</v>
      </c>
      <c r="AF292" s="441"/>
      <c r="AG292" s="441"/>
      <c r="AH292" s="441">
        <v>6</v>
      </c>
      <c r="AI292" s="441"/>
      <c r="AJ292" s="441"/>
      <c r="AK292" s="441"/>
      <c r="AL292" s="441"/>
      <c r="AM292" s="441">
        <v>4</v>
      </c>
      <c r="AN292" s="441">
        <v>2</v>
      </c>
      <c r="AO292" s="441"/>
      <c r="AP292" s="950"/>
      <c r="AQ292" s="441">
        <v>181</v>
      </c>
      <c r="AR292" s="441"/>
      <c r="AS292" s="416"/>
      <c r="AT292" s="441"/>
      <c r="AU292" s="441"/>
      <c r="AV292" s="441"/>
      <c r="AW292" s="441"/>
      <c r="AX292" s="441">
        <v>71</v>
      </c>
      <c r="AY292" s="418" t="s">
        <v>136</v>
      </c>
      <c r="AZ292" s="950" t="s">
        <v>137</v>
      </c>
      <c r="BA292" s="441"/>
      <c r="BB292" s="441"/>
      <c r="BC292" s="441"/>
      <c r="BD292" s="441">
        <v>2</v>
      </c>
      <c r="BE292" s="441"/>
      <c r="BF292" s="418"/>
      <c r="BG292" s="441">
        <v>8</v>
      </c>
      <c r="BH292" s="441"/>
      <c r="BI292" s="441">
        <v>30</v>
      </c>
      <c r="BJ292" s="441">
        <v>3</v>
      </c>
      <c r="BK292" s="441"/>
      <c r="BL292" s="441"/>
      <c r="BM292" s="441">
        <v>6</v>
      </c>
      <c r="BN292" s="441"/>
      <c r="BO292" s="441"/>
      <c r="BP292" s="418"/>
      <c r="BQ292" s="417"/>
      <c r="BR292" s="416"/>
      <c r="BS292" s="418"/>
      <c r="BT292" s="416"/>
      <c r="BU292" s="416"/>
      <c r="BV292" s="418"/>
      <c r="BW292" s="416"/>
      <c r="BX292" s="441"/>
      <c r="BY292" s="441"/>
      <c r="BZ292" s="441"/>
      <c r="CA292" s="441"/>
      <c r="CB292" s="441"/>
      <c r="CC292" s="693"/>
      <c r="CD292" s="441"/>
      <c r="CE292" s="615" t="str">
        <f>IFERROR(WWWW[[#This Row],['#_Water sources passed]]/WWWW[[#This Row],['#_Water sources tested for fecal coliform ]],"no test")</f>
        <v>no test</v>
      </c>
      <c r="CF292" s="416" t="str">
        <f>IFERROR(WWWW[[#This Row],['#_Household passed]]/WWWW[[#This Row],['#_Household water samples tested for fecal coliform]],"no test")</f>
        <v>no test</v>
      </c>
      <c r="CG292" s="417" t="str">
        <f>IF(AND(WWWW[[#This Row],[% of water sources passed]]="no test",WWWW[[#This Row],[% Household passed]]="no test"),"No Test","Tested")</f>
        <v>No Test</v>
      </c>
      <c r="CH292" s="417">
        <f>WWWW[[#This Row],['#_Constructed/existing protected hand dug well]]-WWWW[[#This Row],['#_Non-functional protected hand dug well]]</f>
        <v>0</v>
      </c>
      <c r="CI292" s="417">
        <f>(WWWW[[#This Row],['#_Constructed/Existing tube wells/boreholes/handpumps_WASH_agency]]+WWWW[[#This Row],['#_Non-Cluster partner water tube-wells/boreholes/handpumps]])-WWWW[[#This Row],['#_Non-functional tube wells/boreholes/handpumps]]</f>
        <v>0</v>
      </c>
      <c r="CJ292" s="417">
        <f>WWWW[[#This Row],['#_Constructed/Existingwater storage tank with gravity fed reticulation system]]-WWWW[[#This Row],['#_Non-functional storage tank gravity fed reticulation system]]</f>
        <v>0</v>
      </c>
      <c r="CK292" s="417">
        <f>(WWWW[[#This Row],['#_Water_Liters_supplied_by_Water boating or water trucking]]/90)/15</f>
        <v>0</v>
      </c>
      <c r="CL292" s="417">
        <f>WWWW[[#This Row],['#_Water_Liters_from_Constructed/Existing water distribution system from river or natural spring]]/90/15</f>
        <v>0</v>
      </c>
      <c r="CM292" s="417">
        <f>IF(WWWW[[#This Row],['#_of water points in TLS/CFS]]*500&gt;WWWW[[#This Row],[Total PoP ]],WWWW[[#This Row],[Total PoP ]],WWWW[[#This Row],['#_of water points in TLS/CFS]]*500)</f>
        <v>1000</v>
      </c>
      <c r="CN292" s="417">
        <f>IF(WWWW[[#This Row],['#_of water points in THF]]*500&gt;WWWW[[#This Row],[Total PoP ]],WWWW[[#This Row],[Total PoP ]],WWWW[[#This Row],['#_of water points in THF]]*500)</f>
        <v>0</v>
      </c>
      <c r="CO292" s="417"/>
      <c r="CP292"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92"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92" s="416">
        <f>IF(WWWW[[#This Row],[Location Type 1]]="Village",WWWW[[#This Row],[Access to safe drinking water for Village]],WWWW[[#This Row],[Access to safe drinking water for Camp]])</f>
        <v>0</v>
      </c>
      <c r="CS292" s="421">
        <f>WWWW[[#This Row],[%Equitable and continuous access to sufficient quantity of safe drinking water]]*WWWW[[#This Row],[Total PoP ]]</f>
        <v>0</v>
      </c>
      <c r="CT292" s="416">
        <f>IF((WWWW[[#This Row],['#_Constructed/Existing protected/fenced ponds]]*250)/WWWW[[#This Row],[Total PoP ]]&gt;1,1,(WWWW[[#This Row],['#_Constructed/Existing protected/fenced ponds]]*250)/WWWW[[#This Row],[Total PoP ]])</f>
        <v>0.95541401273885351</v>
      </c>
      <c r="CU292" s="421">
        <f>WWWW[[#This Row],[% Access to unimproved water points]]*WWWW[[#This Row],[Total PoP ]]</f>
        <v>1500</v>
      </c>
      <c r="CV292"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0.95541401273885351</v>
      </c>
      <c r="CW292"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1500</v>
      </c>
      <c r="CX292" s="421">
        <f>WWWW[[#This Row],[HRP1]]/500</f>
        <v>3</v>
      </c>
      <c r="CY292" s="951">
        <f>1-WWWW[[#This Row],[% Equitable and continuous access to sufficient quantity of domestic water]]</f>
        <v>4.4585987261146487E-2</v>
      </c>
      <c r="CZ292" s="421">
        <f>WWWW[[#This Row],[%equitable and continuous access to sufficient quantity of safe drinking and domestic water''s GAP]]*WWWW[[#This Row],[Total PoP ]]</f>
        <v>69.999999999999986</v>
      </c>
      <c r="DA292" s="417">
        <f>IF(WWWW[[#This Row],[Total required water points]]-WWWW[[#This Row],['#Water points coverage]]&lt;0,0,WWWW[[#This Row],[Total required water points]]-WWWW[[#This Row],['#Water points coverage]])</f>
        <v>0</v>
      </c>
      <c r="DB292" s="417">
        <f>ROUND(IF(WWWW[[#This Row],[Total PoP ]]&lt;500,1,WWWW[[#This Row],[Total PoP ]]/500),0)</f>
        <v>3</v>
      </c>
      <c r="DC292" s="417">
        <f>(WWWW[[#This Row],['#_Constructed latrines_by_WASHAgencies]]+WWWW[[#This Row],['#_Non Cluster partner latrines]])-WWWW[[#This Row],['#_Non-functional latrines]]</f>
        <v>181</v>
      </c>
      <c r="DD292" s="615">
        <f>WWWW[[#This Row],[HRP2]]/WWWW[[#This Row],[Total PoP ]]</f>
        <v>1</v>
      </c>
      <c r="DE292"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1570</v>
      </c>
      <c r="DF292"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92"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92" s="417">
        <f>IF(WWWW[[#This Row],['# of functional latrines in THF supported by WASH partners during the reporting period2]]="",0,WWWW[[#This Row],['# of functional latrines in THF supported by WASH partners during the reporting period2]]*50)</f>
        <v>100</v>
      </c>
      <c r="DI292" s="417">
        <f>ROUND(IF(WWWW[[#This Row],[Location Type 1]]="camp",WWWW[[#This Row],[Total PoP ]]/20,IF(WWWW[[#This Row],[Location Type 1]]="Temporary Location",WWWW[[#This Row],[Total PoP ]]/50,(WWWW[[#This Row],[Total PoP ]]/6))),0)</f>
        <v>79</v>
      </c>
      <c r="DJ292" s="417">
        <f>IF(WWWW[[#This Row],[Total required Latrines]]-(WWWW[[#This Row],['#_Constructed latrines_by_WASHAgencies]]+WWWW[[#This Row],['#_Non Cluster partner latrines]])&lt;0,0,WWWW[[#This Row],[Total required Latrines]]-(WWWW[[#This Row],['#_Constructed latrines_by_WASHAgencies]]+WWWW[[#This Row],['#_Non Cluster partner latrines]]))</f>
        <v>0</v>
      </c>
      <c r="DK292" s="951">
        <f>1-WWWW[[#This Row],[% people access to functioning Latrine]]</f>
        <v>0</v>
      </c>
      <c r="DL292" s="615">
        <f>IF(OR(WWWW[[#This Row],['#_Non-functional latrines]]="",WWWW[[#This Row],['#_Non-functional latrines]]=0),0,WWWW[[#This Row],['#_Non-functional latrines]]/(WWWW[[#This Row],['#_Constructed latrines_by_WASHAgencies]]+WWWW[[#This Row],['#_Non Cluster partner latrines]]))</f>
        <v>0</v>
      </c>
      <c r="DM292" s="421">
        <f>IF(500*(WWWW[[#This Row],['#_male hygiene promoters]]+WWWW[[#This Row],['#_female hygiene promoters]])&gt;WWWW[[#This Row],[Total PoP ]],WWWW[[#This Row],[Total PoP ]],500*(WWWW[[#This Row],['#_male hygiene promoters]]+WWWW[[#This Row],['#_female hygiene promoters]]))</f>
        <v>1570</v>
      </c>
      <c r="DN292"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92"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92" s="417">
        <f>IF(WWWW[[#This Row],['# People with access to soap]]&gt;WWWW[[#This Row],['# People with access to Sanity Pads]],WWWW[[#This Row],['# People with access to soap]],WWWW[[#This Row],['# People with access to Sanity Pads]])</f>
        <v>0</v>
      </c>
      <c r="DQ292" s="417">
        <f>IF(WWWW[[#This Row],['# people reached by regular dedicated hygiene promotion_5]]&gt;WWWW[[#This Row],['# People received regular supply of hygiene items_6]],WWWW[[#This Row],['# people reached by regular dedicated hygiene promotion_5]],WWWW[[#This Row],['# People received regular supply of hygiene items_6]])</f>
        <v>1570</v>
      </c>
      <c r="DR292" s="951">
        <f>IF(WWWW[[#This Row],[HRP3]]/WWWW[[#This Row],[Total PoP ]]&gt;1,1,WWWW[[#This Row],[HRP3]]/WWWW[[#This Row],[Total PoP ]])</f>
        <v>1</v>
      </c>
      <c r="DS292" s="615">
        <f>1-WWWW[[#This Row],[Hygiene Coverage%]]</f>
        <v>0</v>
      </c>
      <c r="DT292" s="416">
        <f>WWWW[[#This Row],['# people reached by regular dedicated hygiene promotion_5]]/WWWW[[#This Row],[Total PoP ]]</f>
        <v>1</v>
      </c>
      <c r="DU292"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92"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92" s="417">
        <f>WWWW[[#This Row],['#_Constructed/Existing hand washing stations]]-WWWW[[#This Row],['#_Non-Functional_hand_washing_stations]]</f>
        <v>8</v>
      </c>
      <c r="DX292" s="421">
        <f>IF(WWWW[[#This Row],['# Functional hand washing stations during reporting period]]*20&gt;WWWW[[#This Row],[Total HH]],WWWW[[#This Row],[Total HH]],WWWW[[#This Row],['# Functional hand washing stations during reporting period]]*20)</f>
        <v>160</v>
      </c>
      <c r="DY292" s="421">
        <f>IF(WWWW[[#This Row],[Is sufficient soap available for TLS? (Yes/No)]]="yes",WWWW[[#This Row],['#_Constructed/Existing hand washing stations at TLS/CFS/THF]],0)</f>
        <v>0</v>
      </c>
      <c r="DZ292" s="421">
        <f>IF(WWWW[[#This Row],['# Functional hand washing stations during reporting period]]*100&gt;WWWW[[#This Row],[Total PoP ]],WWWW[[#This Row],[Total PoP ]],WWWW[[#This Row],['# Functional hand washing stations during reporting period]]*100)</f>
        <v>800</v>
      </c>
      <c r="EA292" s="421" t="str">
        <f>IF(OR(WWWW[[#This Row],['#_students at TLS_CFS]]="",WWWW[[#This Row],['#_students at TLS_CFS]]=0),"No","Yes")</f>
        <v>No</v>
      </c>
      <c r="EB29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92" s="566">
        <f>WWWW[[#This Row],[%_of_affected_people_surveyed_who_report_feeling_satistfied_with_the_latrine_design_and_sanitation_service]]*WWWW[[#This Row],[Total PoP ]]</f>
        <v>0</v>
      </c>
      <c r="ED292" s="566">
        <f>WWWW[[#This Row],[%_of_affected_people_surveyed_who_report_feeling_satistfied_with_the_water_point_design_and_water_service]]*WWWW[[#This Row],[Total PoP ]]</f>
        <v>0</v>
      </c>
      <c r="EE292" s="566">
        <f>WWWW[[#This Row],[%_of_complaints_received_that_result_in_timely_corrective_action_and_feedback_to_the_community]]*WWWW[[#This Row],[Total PoP ]]</f>
        <v>0</v>
      </c>
      <c r="EF29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9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H29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I292" s="418" t="str">
        <f>VLOOKUP(WWWW[[#This Row],[Site Name]],SiteDB6[[Site Name]:[CCCM Management]],6,FALSE)</f>
        <v>Yes</v>
      </c>
      <c r="EJ292" s="418" t="str">
        <f>VLOOKUP(WWWW[[#This Row],[Site Name]],SiteDB6[[Site Name]:[CCCM Focal Agency]],7,FALSE)</f>
        <v>KMSS-BMO</v>
      </c>
      <c r="EK292" s="418" t="str">
        <f>VLOOKUP(WWWW[[#This Row],[Site Name]],SiteDB6[[Site Name]:[Location Type 1]],9,FALSE)</f>
        <v>Camp</v>
      </c>
      <c r="EL292" s="418" t="str">
        <f>VLOOKUP(WWWW[[#This Row],[Site Name]],SiteDB6[[Site Name]:[Type of Accommodation]],10,FALSE)</f>
        <v>Camp</v>
      </c>
      <c r="EM292" s="418" t="str">
        <f>VLOOKUP(WWWW[[#This Row],[Site Name]],SiteDB6[[Site Name]:[Ethnic or GCA/NGCA]],11,FALSE)</f>
        <v>NGCA</v>
      </c>
      <c r="EN292" s="418">
        <f>VLOOKUP(WWWW[[#This Row],[Site Name]],SiteDB6[[Site Name]:[Lat]],12,FALSE)</f>
        <v>24.378167000000001</v>
      </c>
      <c r="EO292" s="418">
        <f>VLOOKUP(WWWW[[#This Row],[Site Name]],SiteDB6[[Site Name]:[Long]],13,FALSE)</f>
        <v>97.669366999999994</v>
      </c>
      <c r="EP292" s="418" t="str">
        <f>VLOOKUP(WWWW[[#This Row],[Site Name]],SiteDB6[[Site Name]:[Pcode]],3,FALSE)</f>
        <v>MMR001CMP131</v>
      </c>
      <c r="EQ292" s="950" t="str">
        <f t="shared" si="6"/>
        <v>Covered</v>
      </c>
      <c r="ER292" s="950" t="s">
        <v>136</v>
      </c>
      <c r="ES292" s="950" t="s">
        <v>41</v>
      </c>
      <c r="ET292" s="418">
        <f>VLOOKUP(WWWW[[#This Row],[Site Name]],SiteDB6[[Site Name]:[Pop
(Kachin/Shan-CCCM as of May 2023)]],16,FALSE)</f>
        <v>350</v>
      </c>
      <c r="EU292" s="418">
        <f>VLOOKUP(WWWW[[#This Row],[Site Name]],SiteDB6[[Site Name]:[Pop
(Kachin/Shan-CCCM as of May 2023)]],17,FALSE)</f>
        <v>1593</v>
      </c>
    </row>
    <row r="293" spans="1:151">
      <c r="A293" s="1065" t="s">
        <v>2962</v>
      </c>
      <c r="B293" s="1065" t="s">
        <v>276</v>
      </c>
      <c r="C293" s="1066" t="s">
        <v>276</v>
      </c>
      <c r="D293" s="1066" t="s">
        <v>3352</v>
      </c>
      <c r="E293" s="1066" t="s">
        <v>37</v>
      </c>
      <c r="F293" s="1066" t="s">
        <v>205</v>
      </c>
      <c r="G293" s="975" t="s">
        <v>43</v>
      </c>
      <c r="H293" s="1066" t="s">
        <v>284</v>
      </c>
      <c r="I293" s="976">
        <v>44</v>
      </c>
      <c r="J293" s="976">
        <v>297</v>
      </c>
      <c r="K293" s="977">
        <v>45017</v>
      </c>
      <c r="L293" s="978">
        <v>45382</v>
      </c>
      <c r="M293" s="976"/>
      <c r="N293" s="976"/>
      <c r="O293" s="976">
        <v>1</v>
      </c>
      <c r="P293" s="976"/>
      <c r="Q293" s="979" t="s">
        <v>41</v>
      </c>
      <c r="R293" s="976">
        <v>3</v>
      </c>
      <c r="S293" s="976">
        <v>4</v>
      </c>
      <c r="T293" s="441">
        <v>3</v>
      </c>
      <c r="U293" s="976"/>
      <c r="V293" s="976"/>
      <c r="W293" s="976">
        <v>1</v>
      </c>
      <c r="X293" s="976"/>
      <c r="Y293" s="976"/>
      <c r="Z293" s="976"/>
      <c r="AA293" s="976"/>
      <c r="AB293" s="976"/>
      <c r="AC293" s="976"/>
      <c r="AD293" s="976"/>
      <c r="AE293" s="976"/>
      <c r="AF293" s="976"/>
      <c r="AG293" s="976">
        <v>1</v>
      </c>
      <c r="AH293" s="976"/>
      <c r="AI293" s="976">
        <v>3</v>
      </c>
      <c r="AJ293" s="976">
        <v>3</v>
      </c>
      <c r="AK293" s="976">
        <v>9</v>
      </c>
      <c r="AL293" s="976">
        <v>9</v>
      </c>
      <c r="AM293" s="976"/>
      <c r="AN293" s="976"/>
      <c r="AO293" s="441"/>
      <c r="AP293" s="980"/>
      <c r="AQ293" s="976">
        <v>13</v>
      </c>
      <c r="AR293" s="976"/>
      <c r="AS293" s="981"/>
      <c r="AT293" s="976"/>
      <c r="AU293" s="976"/>
      <c r="AV293" s="976">
        <v>12</v>
      </c>
      <c r="AW293" s="976">
        <v>16</v>
      </c>
      <c r="AX293" s="976"/>
      <c r="AY293" s="975" t="s">
        <v>41</v>
      </c>
      <c r="AZ293" s="980" t="s">
        <v>137</v>
      </c>
      <c r="BA293" s="976"/>
      <c r="BB293" s="976"/>
      <c r="BC293" s="976"/>
      <c r="BD293" s="441"/>
      <c r="BE293" s="441">
        <v>3</v>
      </c>
      <c r="BF293" s="975"/>
      <c r="BG293" s="976">
        <v>3</v>
      </c>
      <c r="BH293" s="976"/>
      <c r="BI293" s="976"/>
      <c r="BJ293" s="976">
        <v>3</v>
      </c>
      <c r="BK293" s="976"/>
      <c r="BL293" s="976"/>
      <c r="BM293" s="976">
        <v>1</v>
      </c>
      <c r="BN293" s="976"/>
      <c r="BO293" s="976" t="s">
        <v>3353</v>
      </c>
      <c r="BP293" s="975" t="s">
        <v>136</v>
      </c>
      <c r="BQ293" s="982">
        <v>3</v>
      </c>
      <c r="BR293" s="981">
        <v>0.6</v>
      </c>
      <c r="BS293" s="975" t="s">
        <v>3359</v>
      </c>
      <c r="BT293" s="416">
        <v>1</v>
      </c>
      <c r="BU293" s="416">
        <v>1</v>
      </c>
      <c r="BV293" s="418">
        <v>9</v>
      </c>
      <c r="BW293" s="416">
        <v>1</v>
      </c>
      <c r="BX293" s="441"/>
      <c r="BY293" s="441"/>
      <c r="BZ293" s="441"/>
      <c r="CA293" s="441"/>
      <c r="CB293" s="441"/>
      <c r="CC293" s="693"/>
      <c r="CD293" s="441"/>
      <c r="CE293" s="983">
        <f>IFERROR(WWWW[[#This Row],['#_Water sources passed]]/WWWW[[#This Row],['#_Water sources tested for fecal coliform ]],"no test")</f>
        <v>1</v>
      </c>
      <c r="CF293" s="981">
        <f>IFERROR(WWWW[[#This Row],['#_Household passed]]/WWWW[[#This Row],['#_Household water samples tested for fecal coliform]],"no test")</f>
        <v>1</v>
      </c>
      <c r="CG293" s="982" t="str">
        <f>IF(AND(WWWW[[#This Row],[% of water sources passed]]="no test",WWWW[[#This Row],[% Household passed]]="no test"),"No Test","Tested")</f>
        <v>Tested</v>
      </c>
      <c r="CH293" s="982">
        <f>WWWW[[#This Row],['#_Constructed/existing protected hand dug well]]-WWWW[[#This Row],['#_Non-functional protected hand dug well]]</f>
        <v>3</v>
      </c>
      <c r="CI293" s="982">
        <f>(WWWW[[#This Row],['#_Constructed/Existing tube wells/boreholes/handpumps_WASH_agency]]+WWWW[[#This Row],['#_Non-Cluster partner water tube-wells/boreholes/handpumps]])-WWWW[[#This Row],['#_Non-functional tube wells/boreholes/handpumps]]</f>
        <v>1</v>
      </c>
      <c r="CJ293" s="982">
        <f>WWWW[[#This Row],['#_Constructed/Existingwater storage tank with gravity fed reticulation system]]-WWWW[[#This Row],['#_Non-functional storage tank gravity fed reticulation system]]</f>
        <v>0</v>
      </c>
      <c r="CK293" s="982">
        <f>(WWWW[[#This Row],['#_Water_Liters_supplied_by_Water boating or water trucking]]/90)/15</f>
        <v>0</v>
      </c>
      <c r="CL293" s="982">
        <f>WWWW[[#This Row],['#_Water_Liters_from_Constructed/Existing water distribution system from river or natural spring]]/90/15</f>
        <v>0</v>
      </c>
      <c r="CM293" s="417">
        <f>IF(WWWW[[#This Row],['#_of water points in TLS/CFS]]*500&gt;WWWW[[#This Row],[Total PoP ]],WWWW[[#This Row],[Total PoP ]],WWWW[[#This Row],['#_of water points in TLS/CFS]]*500)</f>
        <v>0</v>
      </c>
      <c r="CN293" s="417">
        <f>IF(WWWW[[#This Row],['#_of water points in THF]]*500&gt;WWWW[[#This Row],[Total PoP ]],WWWW[[#This Row],[Total PoP ]],WWWW[[#This Row],['#_of water points in THF]]*500)</f>
        <v>0</v>
      </c>
      <c r="CO293" s="417"/>
      <c r="CP293" s="983">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93" s="983">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93" s="981">
        <f>IF(WWWW[[#This Row],[Location Type 1]]="Village",WWWW[[#This Row],[Access to safe drinking water for Village]],WWWW[[#This Row],[Access to safe drinking water for Camp]])</f>
        <v>1</v>
      </c>
      <c r="CS293" s="979">
        <f>WWWW[[#This Row],[%Equitable and continuous access to sufficient quantity of safe drinking water]]*WWWW[[#This Row],[Total PoP ]]</f>
        <v>297</v>
      </c>
      <c r="CT293" s="981">
        <f>IF((WWWW[[#This Row],['#_Constructed/Existing protected/fenced ponds]]*250)/WWWW[[#This Row],[Total PoP ]]&gt;1,1,(WWWW[[#This Row],['#_Constructed/Existing protected/fenced ponds]]*250)/WWWW[[#This Row],[Total PoP ]])</f>
        <v>0</v>
      </c>
      <c r="CU293" s="979">
        <f>WWWW[[#This Row],[% Access to unimproved water points]]*WWWW[[#This Row],[Total PoP ]]</f>
        <v>0</v>
      </c>
      <c r="CV293" s="9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93" s="9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297</v>
      </c>
      <c r="CX293" s="979">
        <f>WWWW[[#This Row],[HRP1]]/500</f>
        <v>0.59399999999999997</v>
      </c>
      <c r="CY293" s="984">
        <f>1-WWWW[[#This Row],[% Equitable and continuous access to sufficient quantity of domestic water]]</f>
        <v>0</v>
      </c>
      <c r="CZ293" s="979">
        <f>WWWW[[#This Row],[%equitable and continuous access to sufficient quantity of safe drinking and domestic water''s GAP]]*WWWW[[#This Row],[Total PoP ]]</f>
        <v>0</v>
      </c>
      <c r="DA293" s="982">
        <f>IF(WWWW[[#This Row],[Total required water points]]-WWWW[[#This Row],['#Water points coverage]]&lt;0,0,WWWW[[#This Row],[Total required water points]]-WWWW[[#This Row],['#Water points coverage]])</f>
        <v>0.40600000000000003</v>
      </c>
      <c r="DB293" s="982">
        <f>ROUND(IF(WWWW[[#This Row],[Total PoP ]]&lt;500,1,WWWW[[#This Row],[Total PoP ]]/500),0)</f>
        <v>1</v>
      </c>
      <c r="DC293" s="982">
        <f>(WWWW[[#This Row],['#_Constructed latrines_by_WASHAgencies]]+WWWW[[#This Row],['#_Non Cluster partner latrines]])-WWWW[[#This Row],['#_Non-functional latrines]]</f>
        <v>13</v>
      </c>
      <c r="DD293" s="615">
        <f>WWWW[[#This Row],[HRP2]]/WWWW[[#This Row],[Total PoP ]]</f>
        <v>0.88552188552188549</v>
      </c>
      <c r="DE293" s="979">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263</v>
      </c>
      <c r="DF293" s="98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240</v>
      </c>
      <c r="DG293" s="982">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93" s="417">
        <f>IF(WWWW[[#This Row],['# of functional latrines in THF supported by WASH partners during the reporting period2]]="",0,WWWW[[#This Row],['# of functional latrines in THF supported by WASH partners during the reporting period2]]*50)</f>
        <v>0</v>
      </c>
      <c r="DI293" s="982">
        <f>ROUND(IF(WWWW[[#This Row],[Location Type 1]]="camp",WWWW[[#This Row],[Total PoP ]]/20,IF(WWWW[[#This Row],[Location Type 1]]="Temporary Location",WWWW[[#This Row],[Total PoP ]]/50,(WWWW[[#This Row],[Total PoP ]]/6))),0)</f>
        <v>15</v>
      </c>
      <c r="DJ293" s="982">
        <f>IF(WWWW[[#This Row],[Total required Latrines]]-(WWWW[[#This Row],['#_Constructed latrines_by_WASHAgencies]]+WWWW[[#This Row],['#_Non Cluster partner latrines]])&lt;0,0,WWWW[[#This Row],[Total required Latrines]]-(WWWW[[#This Row],['#_Constructed latrines_by_WASHAgencies]]+WWWW[[#This Row],['#_Non Cluster partner latrines]]))</f>
        <v>2</v>
      </c>
      <c r="DK293" s="984">
        <f>1-WWWW[[#This Row],[% people access to functioning Latrine]]</f>
        <v>0.11447811447811451</v>
      </c>
      <c r="DL293" s="983">
        <f>IF(OR(WWWW[[#This Row],['#_Non-functional latrines]]="",WWWW[[#This Row],['#_Non-functional latrines]]=0),0,WWWW[[#This Row],['#_Non-functional latrines]]/(WWWW[[#This Row],['#_Constructed latrines_by_WASHAgencies]]+WWWW[[#This Row],['#_Non Cluster partner latrines]]))</f>
        <v>0</v>
      </c>
      <c r="DM293" s="979">
        <f>IF(500*(WWWW[[#This Row],['#_male hygiene promoters]]+WWWW[[#This Row],['#_female hygiene promoters]])&gt;WWWW[[#This Row],[Total PoP ]],WWWW[[#This Row],[Total PoP ]],500*(WWWW[[#This Row],['#_male hygiene promoters]]+WWWW[[#This Row],['#_female hygiene promoters]]))</f>
        <v>297</v>
      </c>
      <c r="DN293" s="982">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93" s="982">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297</v>
      </c>
      <c r="DP293" s="982">
        <f>IF(WWWW[[#This Row],['# People with access to soap]]&gt;WWWW[[#This Row],['# People with access to Sanity Pads]],WWWW[[#This Row],['# People with access to soap]],WWWW[[#This Row],['# People with access to Sanity Pads]])</f>
        <v>297</v>
      </c>
      <c r="DQ293" s="982">
        <f>IF(WWWW[[#This Row],['# people reached by regular dedicated hygiene promotion_5]]&gt;WWWW[[#This Row],['# People received regular supply of hygiene items_6]],WWWW[[#This Row],['# people reached by regular dedicated hygiene promotion_5]],WWWW[[#This Row],['# People received regular supply of hygiene items_6]])</f>
        <v>297</v>
      </c>
      <c r="DR293" s="984">
        <f>IF(WWWW[[#This Row],[HRP3]]/WWWW[[#This Row],[Total PoP ]]&gt;1,1,WWWW[[#This Row],[HRP3]]/WWWW[[#This Row],[Total PoP ]])</f>
        <v>1</v>
      </c>
      <c r="DS293" s="983">
        <f>1-WWWW[[#This Row],[Hygiene Coverage%]]</f>
        <v>0</v>
      </c>
      <c r="DT293" s="981">
        <f>WWWW[[#This Row],['# people reached by regular dedicated hygiene promotion_5]]/WWWW[[#This Row],[Total PoP ]]</f>
        <v>1</v>
      </c>
      <c r="DU293" s="98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93" s="981" t="e">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#VALUE!</v>
      </c>
      <c r="DW293" s="982">
        <f>WWWW[[#This Row],['#_Constructed/Existing hand washing stations]]-WWWW[[#This Row],['#_Non-Functional_hand_washing_stations]]</f>
        <v>3</v>
      </c>
      <c r="DX293" s="979">
        <f>IF(WWWW[[#This Row],['# Functional hand washing stations during reporting period]]*20&gt;WWWW[[#This Row],[Total HH]],WWWW[[#This Row],[Total HH]],WWWW[[#This Row],['# Functional hand washing stations during reporting period]]*20)</f>
        <v>44</v>
      </c>
      <c r="DY293" s="979">
        <f>IF(WWWW[[#This Row],[Is sufficient soap available for TLS? (Yes/No)]]="yes",WWWW[[#This Row],['#_Constructed/Existing hand washing stations at TLS/CFS/THF]],0)</f>
        <v>0</v>
      </c>
      <c r="DZ293" s="421">
        <f>IF(WWWW[[#This Row],['# Functional hand washing stations during reporting period]]*100&gt;WWWW[[#This Row],[Total PoP ]],WWWW[[#This Row],[Total PoP ]],WWWW[[#This Row],['# Functional hand washing stations during reporting period]]*100)</f>
        <v>297</v>
      </c>
      <c r="EA293" s="421" t="str">
        <f>IF(OR(WWWW[[#This Row],['#_students at TLS_CFS]]="",WWWW[[#This Row],['#_students at TLS_CFS]]=0),"No","Yes")</f>
        <v>No</v>
      </c>
      <c r="EB293" s="615">
        <f>IF(WWWW[[#This Row],['#_of_affected_people_surveyed_who_report_feeling_informed_about_the_different_WASH_services_available_to_them]]="","",WWWW[[#This Row],['#_of_affected_people_surveyed_who_report_feeling_informed_about_the_different_WASH_services_available_to_them]]/WWWW[[#This Row],[Total PoP ]])</f>
        <v>3.0303030303030304E-2</v>
      </c>
      <c r="EC293" s="566">
        <f>WWWW[[#This Row],[%_of_affected_people_surveyed_who_report_feeling_satistfied_with_the_latrine_design_and_sanitation_service]]*WWWW[[#This Row],[Total PoP ]]</f>
        <v>297</v>
      </c>
      <c r="ED293" s="566">
        <f>WWWW[[#This Row],[%_of_affected_people_surveyed_who_report_feeling_satistfied_with_the_water_point_design_and_water_service]]*WWWW[[#This Row],[Total PoP ]]</f>
        <v>297</v>
      </c>
      <c r="EE293" s="566">
        <f>WWWW[[#This Row],[%_of_complaints_received_that_result_in_timely_corrective_action_and_feedback_to_the_community]]*WWWW[[#This Row],[Total PoP ]]</f>
        <v>297</v>
      </c>
      <c r="EF29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297</v>
      </c>
      <c r="EG29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9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93" s="975" t="str">
        <f>VLOOKUP(WWWW[[#This Row],[Site Name]],SiteDB6[[Site Name]:[CCCM Management]],6,FALSE)</f>
        <v>Yes</v>
      </c>
      <c r="EJ293" s="975" t="str">
        <f>VLOOKUP(WWWW[[#This Row],[Site Name]],SiteDB6[[Site Name]:[CCCM Focal Agency]],7,FALSE)</f>
        <v>KBC-BMO</v>
      </c>
      <c r="EK293" s="975" t="str">
        <f>VLOOKUP(WWWW[[#This Row],[Site Name]],SiteDB6[[Site Name]:[Location Type 1]],9,FALSE)</f>
        <v>Camp</v>
      </c>
      <c r="EL293" s="975" t="str">
        <f>VLOOKUP(WWWW[[#This Row],[Site Name]],SiteDB6[[Site Name]:[Type of Accommodation]],10,FALSE)</f>
        <v>Camp</v>
      </c>
      <c r="EM293" s="975" t="str">
        <f>VLOOKUP(WWWW[[#This Row],[Site Name]],SiteDB6[[Site Name]:[Ethnic or GCA/NGCA]],11,FALSE)</f>
        <v>GCA</v>
      </c>
      <c r="EN293" s="975">
        <f>VLOOKUP(WWWW[[#This Row],[Site Name]],SiteDB6[[Site Name]:[Lat]],12,FALSE)</f>
        <v>24.205417000000001</v>
      </c>
      <c r="EO293" s="975">
        <f>VLOOKUP(WWWW[[#This Row],[Site Name]],SiteDB6[[Site Name]:[Long]],13,FALSE)</f>
        <v>97.724483000000006</v>
      </c>
      <c r="EP293" s="975" t="str">
        <f>VLOOKUP(WWWW[[#This Row],[Site Name]],SiteDB6[[Site Name]:[Pcode]],3,FALSE)</f>
        <v>MMR001CMP072</v>
      </c>
      <c r="EQ293" s="980" t="str">
        <f t="shared" si="6"/>
        <v>Covered</v>
      </c>
      <c r="ER293" s="950" t="s">
        <v>3126</v>
      </c>
      <c r="ES293" s="950" t="s">
        <v>41</v>
      </c>
      <c r="ET293" s="975">
        <f>VLOOKUP(WWWW[[#This Row],[Site Name]],SiteDB6[[Site Name]:[Pop
(Kachin/Shan-CCCM as of May 2023)]],16,FALSE)</f>
        <v>48</v>
      </c>
      <c r="EU293" s="975">
        <f>VLOOKUP(WWWW[[#This Row],[Site Name]],SiteDB6[[Site Name]:[Pop
(Kachin/Shan-CCCM as of May 2023)]],17,FALSE)</f>
        <v>293</v>
      </c>
    </row>
    <row r="294" spans="1:151">
      <c r="A294" s="946" t="s">
        <v>2962</v>
      </c>
      <c r="B294" s="946" t="s">
        <v>291</v>
      </c>
      <c r="C294" s="938" t="s">
        <v>291</v>
      </c>
      <c r="D294" s="938" t="s">
        <v>2594</v>
      </c>
      <c r="E294" s="938" t="s">
        <v>37</v>
      </c>
      <c r="F294" s="938" t="s">
        <v>205</v>
      </c>
      <c r="G294" s="902" t="str">
        <f>VLOOKUP(WWWW[[#This Row],[Site Name]],SiteDB6[[Site Name]:[Location Type]],8,FALSE)</f>
        <v>Camp</v>
      </c>
      <c r="H294" s="938" t="s">
        <v>296</v>
      </c>
      <c r="I294" s="441">
        <v>616</v>
      </c>
      <c r="J294" s="441">
        <v>3682</v>
      </c>
      <c r="K294" s="948">
        <v>44652</v>
      </c>
      <c r="L294" s="949">
        <v>44926</v>
      </c>
      <c r="M294" s="441"/>
      <c r="N294" s="441"/>
      <c r="O294" s="441"/>
      <c r="P294" s="441"/>
      <c r="Q294" s="421" t="s">
        <v>41</v>
      </c>
      <c r="R294" s="441"/>
      <c r="S294" s="441"/>
      <c r="T294" s="441"/>
      <c r="U294" s="441"/>
      <c r="V294" s="441"/>
      <c r="W294" s="441"/>
      <c r="X294" s="441"/>
      <c r="Y294" s="441"/>
      <c r="Z294" s="441"/>
      <c r="AA294" s="441"/>
      <c r="AB294" s="441"/>
      <c r="AC294" s="441"/>
      <c r="AD294" s="441"/>
      <c r="AE294" s="441">
        <v>1</v>
      </c>
      <c r="AF294" s="441"/>
      <c r="AG294" s="441"/>
      <c r="AH294" s="441">
        <v>1</v>
      </c>
      <c r="AI294" s="441"/>
      <c r="AJ294" s="441"/>
      <c r="AK294" s="441"/>
      <c r="AL294" s="441"/>
      <c r="AM294" s="441">
        <v>21</v>
      </c>
      <c r="AN294" s="441">
        <v>6</v>
      </c>
      <c r="AO294" s="441"/>
      <c r="AP294" s="950"/>
      <c r="AQ294" s="441">
        <v>152</v>
      </c>
      <c r="AR294" s="441"/>
      <c r="AS294" s="416"/>
      <c r="AT294" s="441"/>
      <c r="AU294" s="441"/>
      <c r="AV294" s="441"/>
      <c r="AW294" s="441"/>
      <c r="AX294" s="441"/>
      <c r="AY294" s="418" t="s">
        <v>136</v>
      </c>
      <c r="AZ294" s="950" t="s">
        <v>137</v>
      </c>
      <c r="BA294" s="441"/>
      <c r="BB294" s="441"/>
      <c r="BC294" s="441"/>
      <c r="BD294" s="441">
        <v>2</v>
      </c>
      <c r="BE294" s="441"/>
      <c r="BF294" s="418"/>
      <c r="BG294" s="441">
        <v>7</v>
      </c>
      <c r="BH294" s="441"/>
      <c r="BI294" s="441"/>
      <c r="BJ294" s="441">
        <v>7</v>
      </c>
      <c r="BK294" s="441"/>
      <c r="BL294" s="441"/>
      <c r="BM294" s="441">
        <v>6</v>
      </c>
      <c r="BN294" s="441"/>
      <c r="BO294" s="441"/>
      <c r="BP294" s="418"/>
      <c r="BQ294" s="417"/>
      <c r="BR294" s="416"/>
      <c r="BS294" s="418"/>
      <c r="BT294" s="416"/>
      <c r="BU294" s="416"/>
      <c r="BV294" s="418"/>
      <c r="BW294" s="416"/>
      <c r="BX294" s="441"/>
      <c r="BY294" s="441"/>
      <c r="BZ294" s="441"/>
      <c r="CA294" s="441"/>
      <c r="CB294" s="441"/>
      <c r="CC294" s="693"/>
      <c r="CD294" s="441"/>
      <c r="CE294" s="615" t="str">
        <f>IFERROR(WWWW[[#This Row],['#_Water sources passed]]/WWWW[[#This Row],['#_Water sources tested for fecal coliform ]],"no test")</f>
        <v>no test</v>
      </c>
      <c r="CF294" s="416" t="str">
        <f>IFERROR(WWWW[[#This Row],['#_Household passed]]/WWWW[[#This Row],['#_Household water samples tested for fecal coliform]],"no test")</f>
        <v>no test</v>
      </c>
      <c r="CG294" s="417" t="str">
        <f>IF(AND(WWWW[[#This Row],[% of water sources passed]]="no test",WWWW[[#This Row],[% Household passed]]="no test"),"No Test","Tested")</f>
        <v>No Test</v>
      </c>
      <c r="CH294" s="417">
        <f>WWWW[[#This Row],['#_Constructed/existing protected hand dug well]]-WWWW[[#This Row],['#_Non-functional protected hand dug well]]</f>
        <v>0</v>
      </c>
      <c r="CI294" s="417">
        <f>(WWWW[[#This Row],['#_Constructed/Existing tube wells/boreholes/handpumps_WASH_agency]]+WWWW[[#This Row],['#_Non-Cluster partner water tube-wells/boreholes/handpumps]])-WWWW[[#This Row],['#_Non-functional tube wells/boreholes/handpumps]]</f>
        <v>0</v>
      </c>
      <c r="CJ294" s="417">
        <f>WWWW[[#This Row],['#_Constructed/Existingwater storage tank with gravity fed reticulation system]]-WWWW[[#This Row],['#_Non-functional storage tank gravity fed reticulation system]]</f>
        <v>0</v>
      </c>
      <c r="CK294" s="417">
        <f>(WWWW[[#This Row],['#_Water_Liters_supplied_by_Water boating or water trucking]]/90)/15</f>
        <v>0</v>
      </c>
      <c r="CL294" s="417">
        <f>WWWW[[#This Row],['#_Water_Liters_from_Constructed/Existing water distribution system from river or natural spring]]/90/15</f>
        <v>0</v>
      </c>
      <c r="CM294" s="417">
        <f>IF(WWWW[[#This Row],['#_of water points in TLS/CFS]]*500&gt;WWWW[[#This Row],[Total PoP ]],WWWW[[#This Row],[Total PoP ]],WWWW[[#This Row],['#_of water points in TLS/CFS]]*500)</f>
        <v>3000</v>
      </c>
      <c r="CN294" s="417">
        <f>IF(WWWW[[#This Row],['#_of water points in THF]]*500&gt;WWWW[[#This Row],[Total PoP ]],WWWW[[#This Row],[Total PoP ]],WWWW[[#This Row],['#_of water points in THF]]*500)</f>
        <v>0</v>
      </c>
      <c r="CO294" s="417"/>
      <c r="CP294"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294"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294" s="416">
        <f>IF(WWWW[[#This Row],[Location Type 1]]="Village",WWWW[[#This Row],[Access to safe drinking water for Village]],WWWW[[#This Row],[Access to safe drinking water for Camp]])</f>
        <v>0</v>
      </c>
      <c r="CS294" s="421">
        <f>WWWW[[#This Row],[%Equitable and continuous access to sufficient quantity of safe drinking water]]*WWWW[[#This Row],[Total PoP ]]</f>
        <v>0</v>
      </c>
      <c r="CT294" s="416">
        <f>IF((WWWW[[#This Row],['#_Constructed/Existing protected/fenced ponds]]*250)/WWWW[[#This Row],[Total PoP ]]&gt;1,1,(WWWW[[#This Row],['#_Constructed/Existing protected/fenced ponds]]*250)/WWWW[[#This Row],[Total PoP ]])</f>
        <v>6.7897881586094513E-2</v>
      </c>
      <c r="CU294" s="421">
        <f>WWWW[[#This Row],[% Access to unimproved water points]]*WWWW[[#This Row],[Total PoP ]]</f>
        <v>250</v>
      </c>
      <c r="CV294"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6.7897881586094513E-2</v>
      </c>
      <c r="CW294"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X294" s="421">
        <f>WWWW[[#This Row],[HRP1]]/500</f>
        <v>0.5</v>
      </c>
      <c r="CY294" s="951">
        <f>1-WWWW[[#This Row],[% Equitable and continuous access to sufficient quantity of domestic water]]</f>
        <v>0.93210211841390544</v>
      </c>
      <c r="CZ294" s="421">
        <f>WWWW[[#This Row],[%equitable and continuous access to sufficient quantity of safe drinking and domestic water''s GAP]]*WWWW[[#This Row],[Total PoP ]]</f>
        <v>3432</v>
      </c>
      <c r="DA294" s="417">
        <f>IF(WWWW[[#This Row],[Total required water points]]-WWWW[[#This Row],['#Water points coverage]]&lt;0,0,WWWW[[#This Row],[Total required water points]]-WWWW[[#This Row],['#Water points coverage]])</f>
        <v>6.5</v>
      </c>
      <c r="DB294" s="417">
        <f>ROUND(IF(WWWW[[#This Row],[Total PoP ]]&lt;500,1,WWWW[[#This Row],[Total PoP ]]/500),0)</f>
        <v>7</v>
      </c>
      <c r="DC294" s="417">
        <f>(WWWW[[#This Row],['#_Constructed latrines_by_WASHAgencies]]+WWWW[[#This Row],['#_Non Cluster partner latrines]])-WWWW[[#This Row],['#_Non-functional latrines]]</f>
        <v>152</v>
      </c>
      <c r="DD294" s="615">
        <f>WWWW[[#This Row],[HRP2]]/WWWW[[#This Row],[Total PoP ]]</f>
        <v>0.82563824008690934</v>
      </c>
      <c r="DE294"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3040</v>
      </c>
      <c r="DF294"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94"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94" s="417">
        <f>IF(WWWW[[#This Row],['# of functional latrines in THF supported by WASH partners during the reporting period2]]="",0,WWWW[[#This Row],['# of functional latrines in THF supported by WASH partners during the reporting period2]]*50)</f>
        <v>100</v>
      </c>
      <c r="DI294" s="417">
        <f>ROUND(IF(WWWW[[#This Row],[Location Type 1]]="camp",WWWW[[#This Row],[Total PoP ]]/20,IF(WWWW[[#This Row],[Location Type 1]]="Temporary Location",WWWW[[#This Row],[Total PoP ]]/50,(WWWW[[#This Row],[Total PoP ]]/6))),0)</f>
        <v>184</v>
      </c>
      <c r="DJ294" s="417">
        <f>IF(WWWW[[#This Row],[Total required Latrines]]-(WWWW[[#This Row],['#_Constructed latrines_by_WASHAgencies]]+WWWW[[#This Row],['#_Non Cluster partner latrines]])&lt;0,0,WWWW[[#This Row],[Total required Latrines]]-(WWWW[[#This Row],['#_Constructed latrines_by_WASHAgencies]]+WWWW[[#This Row],['#_Non Cluster partner latrines]]))</f>
        <v>32</v>
      </c>
      <c r="DK294" s="951">
        <f>1-WWWW[[#This Row],[% people access to functioning Latrine]]</f>
        <v>0.17436175991309066</v>
      </c>
      <c r="DL294" s="615">
        <f>IF(OR(WWWW[[#This Row],['#_Non-functional latrines]]="",WWWW[[#This Row],['#_Non-functional latrines]]=0),0,WWWW[[#This Row],['#_Non-functional latrines]]/(WWWW[[#This Row],['#_Constructed latrines_by_WASHAgencies]]+WWWW[[#This Row],['#_Non Cluster partner latrines]]))</f>
        <v>0</v>
      </c>
      <c r="DM294" s="421">
        <f>IF(500*(WWWW[[#This Row],['#_male hygiene promoters]]+WWWW[[#This Row],['#_female hygiene promoters]])&gt;WWWW[[#This Row],[Total PoP ]],WWWW[[#This Row],[Total PoP ]],500*(WWWW[[#This Row],['#_male hygiene promoters]]+WWWW[[#This Row],['#_female hygiene promoters]]))</f>
        <v>3000</v>
      </c>
      <c r="DN294"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94"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94" s="417">
        <f>IF(WWWW[[#This Row],['# People with access to soap]]&gt;WWWW[[#This Row],['# People with access to Sanity Pads]],WWWW[[#This Row],['# People with access to soap]],WWWW[[#This Row],['# People with access to Sanity Pads]])</f>
        <v>0</v>
      </c>
      <c r="DQ294" s="417">
        <f>IF(WWWW[[#This Row],['# people reached by regular dedicated hygiene promotion_5]]&gt;WWWW[[#This Row],['# People received regular supply of hygiene items_6]],WWWW[[#This Row],['# people reached by regular dedicated hygiene promotion_5]],WWWW[[#This Row],['# People received regular supply of hygiene items_6]])</f>
        <v>3000</v>
      </c>
      <c r="DR294" s="951">
        <f>IF(WWWW[[#This Row],[HRP3]]/WWWW[[#This Row],[Total PoP ]]&gt;1,1,WWWW[[#This Row],[HRP3]]/WWWW[[#This Row],[Total PoP ]])</f>
        <v>0.81477457903313422</v>
      </c>
      <c r="DS294" s="615">
        <f>1-WWWW[[#This Row],[Hygiene Coverage%]]</f>
        <v>0.18522542096686578</v>
      </c>
      <c r="DT294" s="416">
        <f>WWWW[[#This Row],['# people reached by regular dedicated hygiene promotion_5]]/WWWW[[#This Row],[Total PoP ]]</f>
        <v>0.81477457903313422</v>
      </c>
      <c r="DU294"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94"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94" s="417">
        <f>WWWW[[#This Row],['#_Constructed/Existing hand washing stations]]-WWWW[[#This Row],['#_Non-Functional_hand_washing_stations]]</f>
        <v>7</v>
      </c>
      <c r="DX294" s="421">
        <f>IF(WWWW[[#This Row],['# Functional hand washing stations during reporting period]]*20&gt;WWWW[[#This Row],[Total HH]],WWWW[[#This Row],[Total HH]],WWWW[[#This Row],['# Functional hand washing stations during reporting period]]*20)</f>
        <v>140</v>
      </c>
      <c r="DY294" s="421">
        <f>IF(WWWW[[#This Row],[Is sufficient soap available for TLS? (Yes/No)]]="yes",WWWW[[#This Row],['#_Constructed/Existing hand washing stations at TLS/CFS/THF]],0)</f>
        <v>0</v>
      </c>
      <c r="DZ294" s="421">
        <f>IF(WWWW[[#This Row],['# Functional hand washing stations during reporting period]]*100&gt;WWWW[[#This Row],[Total PoP ]],WWWW[[#This Row],[Total PoP ]],WWWW[[#This Row],['# Functional hand washing stations during reporting period]]*100)</f>
        <v>700</v>
      </c>
      <c r="EA294" s="421" t="str">
        <f>IF(OR(WWWW[[#This Row],['#_students at TLS_CFS]]="",WWWW[[#This Row],['#_students at TLS_CFS]]=0),"No","Yes")</f>
        <v>No</v>
      </c>
      <c r="EB29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94" s="566">
        <f>WWWW[[#This Row],[%_of_affected_people_surveyed_who_report_feeling_satistfied_with_the_latrine_design_and_sanitation_service]]*WWWW[[#This Row],[Total PoP ]]</f>
        <v>0</v>
      </c>
      <c r="ED294" s="566">
        <f>WWWW[[#This Row],[%_of_affected_people_surveyed_who_report_feeling_satistfied_with_the_water_point_design_and_water_service]]*WWWW[[#This Row],[Total PoP ]]</f>
        <v>0</v>
      </c>
      <c r="EE294" s="566">
        <f>WWWW[[#This Row],[%_of_complaints_received_that_result_in_timely_corrective_action_and_feedback_to_the_community]]*WWWW[[#This Row],[Total PoP ]]</f>
        <v>0</v>
      </c>
      <c r="EF29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9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3000</v>
      </c>
      <c r="EH29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100</v>
      </c>
      <c r="EI294" s="418" t="str">
        <f>VLOOKUP(WWWW[[#This Row],[Site Name]],SiteDB6[[Site Name]:[CCCM Management]],6,FALSE)</f>
        <v>Yes</v>
      </c>
      <c r="EJ294" s="418" t="str">
        <f>VLOOKUP(WWWW[[#This Row],[Site Name]],SiteDB6[[Site Name]:[CCCM Focal Agency]],7,FALSE)</f>
        <v>KMSS-BMO</v>
      </c>
      <c r="EK294" s="418" t="str">
        <f>VLOOKUP(WWWW[[#This Row],[Site Name]],SiteDB6[[Site Name]:[Location Type 1]],9,FALSE)</f>
        <v>Camp</v>
      </c>
      <c r="EL294" s="418" t="str">
        <f>VLOOKUP(WWWW[[#This Row],[Site Name]],SiteDB6[[Site Name]:[Type of Accommodation]],10,FALSE)</f>
        <v>Camp</v>
      </c>
      <c r="EM294" s="418" t="str">
        <f>VLOOKUP(WWWW[[#This Row],[Site Name]],SiteDB6[[Site Name]:[Ethnic or GCA/NGCA]],11,FALSE)</f>
        <v>NGCA</v>
      </c>
      <c r="EN294" s="418">
        <f>VLOOKUP(WWWW[[#This Row],[Site Name]],SiteDB6[[Site Name]:[Lat]],12,FALSE)</f>
        <v>24.2744</v>
      </c>
      <c r="EO294" s="418">
        <f>VLOOKUP(WWWW[[#This Row],[Site Name]],SiteDB6[[Site Name]:[Long]],13,FALSE)</f>
        <v>97.752667000000002</v>
      </c>
      <c r="EP294" s="418" t="str">
        <f>VLOOKUP(WWWW[[#This Row],[Site Name]],SiteDB6[[Site Name]:[Pcode]],3,FALSE)</f>
        <v>MMR001CMP126</v>
      </c>
      <c r="EQ294" s="950" t="str">
        <f t="shared" si="6"/>
        <v>Covered</v>
      </c>
      <c r="ER294" s="950" t="s">
        <v>136</v>
      </c>
      <c r="ES294" s="950" t="s">
        <v>41</v>
      </c>
      <c r="ET294" s="418">
        <f>VLOOKUP(WWWW[[#This Row],[Site Name]],SiteDB6[[Site Name]:[Pop
(Kachin/Shan-CCCM as of May 2023)]],16,FALSE)</f>
        <v>614</v>
      </c>
      <c r="EU294" s="418">
        <f>VLOOKUP(WWWW[[#This Row],[Site Name]],SiteDB6[[Site Name]:[Pop
(Kachin/Shan-CCCM as of May 2023)]],17,FALSE)</f>
        <v>3654</v>
      </c>
    </row>
    <row r="295" spans="1:151">
      <c r="A295" s="946" t="s">
        <v>2962</v>
      </c>
      <c r="B295" s="1005" t="s">
        <v>141</v>
      </c>
      <c r="C295" s="938" t="s">
        <v>3350</v>
      </c>
      <c r="D295" s="1005"/>
      <c r="E295" s="1005" t="s">
        <v>37</v>
      </c>
      <c r="F295" s="1005" t="s">
        <v>205</v>
      </c>
      <c r="G295" s="953" t="s">
        <v>3064</v>
      </c>
      <c r="H295" s="1005" t="s">
        <v>3259</v>
      </c>
      <c r="I295" s="954"/>
      <c r="J295" s="954"/>
      <c r="K295" s="955"/>
      <c r="L295" s="956"/>
      <c r="M295" s="954"/>
      <c r="N295" s="954"/>
      <c r="O295" s="954"/>
      <c r="P295" s="954"/>
      <c r="Q295" s="957"/>
      <c r="R295" s="954"/>
      <c r="S295" s="954"/>
      <c r="T295" s="441"/>
      <c r="U295" s="954"/>
      <c r="V295" s="954"/>
      <c r="W295" s="954"/>
      <c r="X295" s="954"/>
      <c r="Y295" s="954"/>
      <c r="Z295" s="954"/>
      <c r="AA295" s="954"/>
      <c r="AB295" s="954"/>
      <c r="AC295" s="954"/>
      <c r="AD295" s="954"/>
      <c r="AE295" s="954"/>
      <c r="AF295" s="954"/>
      <c r="AG295" s="954"/>
      <c r="AH295" s="954"/>
      <c r="AI295" s="954"/>
      <c r="AJ295" s="954"/>
      <c r="AK295" s="954"/>
      <c r="AL295" s="954"/>
      <c r="AM295" s="954"/>
      <c r="AN295" s="954"/>
      <c r="AO295" s="441"/>
      <c r="AP295" s="958"/>
      <c r="AQ295" s="954"/>
      <c r="AR295" s="954"/>
      <c r="AS295" s="959"/>
      <c r="AT295" s="954"/>
      <c r="AU295" s="954"/>
      <c r="AV295" s="954"/>
      <c r="AW295" s="954"/>
      <c r="AX295" s="954"/>
      <c r="AY295" s="418" t="s">
        <v>140</v>
      </c>
      <c r="AZ295" s="958"/>
      <c r="BA295" s="954"/>
      <c r="BB295" s="954"/>
      <c r="BC295" s="954"/>
      <c r="BD295" s="441"/>
      <c r="BE295" s="441"/>
      <c r="BF295" s="953"/>
      <c r="BG295" s="954"/>
      <c r="BH295" s="954"/>
      <c r="BI295" s="954"/>
      <c r="BJ295" s="954"/>
      <c r="BK295" s="954"/>
      <c r="BL295" s="954"/>
      <c r="BM295" s="954"/>
      <c r="BN295" s="954"/>
      <c r="BO295" s="954"/>
      <c r="BP295" s="953"/>
      <c r="BQ295" s="960"/>
      <c r="BR295" s="959"/>
      <c r="BS295" s="953"/>
      <c r="BT295" s="416"/>
      <c r="BU295" s="416"/>
      <c r="BV295" s="418"/>
      <c r="BW295" s="416"/>
      <c r="BX295" s="441"/>
      <c r="BY295" s="441"/>
      <c r="BZ295" s="441"/>
      <c r="CA295" s="441"/>
      <c r="CB295" s="441"/>
      <c r="CC295" s="693"/>
      <c r="CD295" s="441"/>
      <c r="CE295" s="961" t="str">
        <f>IFERROR(WWWW[[#This Row],['#_Water sources passed]]/WWWW[[#This Row],['#_Water sources tested for fecal coliform ]],"no test")</f>
        <v>no test</v>
      </c>
      <c r="CF295" s="959" t="str">
        <f>IFERROR(WWWW[[#This Row],['#_Household passed]]/WWWW[[#This Row],['#_Household water samples tested for fecal coliform]],"no test")</f>
        <v>no test</v>
      </c>
      <c r="CG295" s="960" t="str">
        <f>IF(AND(WWWW[[#This Row],[% of water sources passed]]="no test",WWWW[[#This Row],[% Household passed]]="no test"),"No Test","Tested")</f>
        <v>No Test</v>
      </c>
      <c r="CH295" s="960">
        <f>WWWW[[#This Row],['#_Constructed/existing protected hand dug well]]-WWWW[[#This Row],['#_Non-functional protected hand dug well]]</f>
        <v>0</v>
      </c>
      <c r="CI295" s="960">
        <f>(WWWW[[#This Row],['#_Constructed/Existing tube wells/boreholes/handpumps_WASH_agency]]+WWWW[[#This Row],['#_Non-Cluster partner water tube-wells/boreholes/handpumps]])-WWWW[[#This Row],['#_Non-functional tube wells/boreholes/handpumps]]</f>
        <v>0</v>
      </c>
      <c r="CJ295" s="960">
        <f>WWWW[[#This Row],['#_Constructed/Existingwater storage tank with gravity fed reticulation system]]-WWWW[[#This Row],['#_Non-functional storage tank gravity fed reticulation system]]</f>
        <v>0</v>
      </c>
      <c r="CK295" s="960">
        <f>(WWWW[[#This Row],['#_Water_Liters_supplied_by_Water boating or water trucking]]/90)/15</f>
        <v>0</v>
      </c>
      <c r="CL295" s="960">
        <f>WWWW[[#This Row],['#_Water_Liters_from_Constructed/Existing water distribution system from river or natural spring]]/90/15</f>
        <v>0</v>
      </c>
      <c r="CM295" s="417">
        <f>IF(WWWW[[#This Row],['#_of water points in TLS/CFS]]*500&gt;WWWW[[#This Row],[Total PoP ]],WWWW[[#This Row],[Total PoP ]],WWWW[[#This Row],['#_of water points in TLS/CFS]]*500)</f>
        <v>0</v>
      </c>
      <c r="CN295" s="417">
        <f>IF(WWWW[[#This Row],['#_of water points in THF]]*500&gt;WWWW[[#This Row],[Total PoP ]],WWWW[[#This Row],[Total PoP ]],WWWW[[#This Row],['#_of water points in THF]]*500)</f>
        <v>0</v>
      </c>
      <c r="CO295" s="417"/>
      <c r="CP295" s="961" t="str">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
      </c>
      <c r="CQ295" s="961" t="str">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
      </c>
      <c r="CR295" s="959" t="str">
        <f>IF(WWWW[[#This Row],[Location Type 1]]="Village",WWWW[[#This Row],[Access to safe drinking water for Village]],WWWW[[#This Row],[Access to safe drinking water for Camp]])</f>
        <v/>
      </c>
      <c r="CS295" s="957">
        <v>0</v>
      </c>
      <c r="CT295" s="959">
        <v>0</v>
      </c>
      <c r="CU295" s="957">
        <f>WWWW[[#This Row],[% Access to unimproved water points]]*WWWW[[#This Row],[Total PoP ]]</f>
        <v>0</v>
      </c>
      <c r="CV295" s="959">
        <v>0</v>
      </c>
      <c r="CW295"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295" s="957">
        <f>WWWW[[#This Row],[HRP1]]/500</f>
        <v>0</v>
      </c>
      <c r="CY295" s="962">
        <f>1-WWWW[[#This Row],[% Equitable and continuous access to sufficient quantity of domestic water]]</f>
        <v>1</v>
      </c>
      <c r="CZ295" s="957">
        <f>WWWW[[#This Row],[%equitable and continuous access to sufficient quantity of safe drinking and domestic water''s GAP]]*WWWW[[#This Row],[Total PoP ]]</f>
        <v>0</v>
      </c>
      <c r="DA295" s="960">
        <f>IF(WWWW[[#This Row],[Total required water points]]-WWWW[[#This Row],['#Water points coverage]]&lt;0,0,WWWW[[#This Row],[Total required water points]]-WWWW[[#This Row],['#Water points coverage]])</f>
        <v>1</v>
      </c>
      <c r="DB295" s="960">
        <f>ROUND(IF(WWWW[[#This Row],[Total PoP ]]&lt;500,1,WWWW[[#This Row],[Total PoP ]]/500),0)</f>
        <v>1</v>
      </c>
      <c r="DC295" s="960">
        <f>(WWWW[[#This Row],['#_Constructed latrines_by_WASHAgencies]]+WWWW[[#This Row],['#_Non Cluster partner latrines]])-WWWW[[#This Row],['#_Non-functional latrines]]</f>
        <v>0</v>
      </c>
      <c r="DD295" s="615">
        <v>0</v>
      </c>
      <c r="DE295"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295"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95"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95" s="417">
        <f>IF(WWWW[[#This Row],['# of functional latrines in THF supported by WASH partners during the reporting period2]]="",0,WWWW[[#This Row],['# of functional latrines in THF supported by WASH partners during the reporting period2]]*50)</f>
        <v>0</v>
      </c>
      <c r="DI295" s="960">
        <f>ROUND(IF(WWWW[[#This Row],[Location Type 1]]="camp",WWWW[[#This Row],[Total PoP ]]/20,IF(WWWW[[#This Row],[Location Type 1]]="Temporary Location",WWWW[[#This Row],[Total PoP ]]/50,(WWWW[[#This Row],[Total PoP ]]/6))),0)</f>
        <v>0</v>
      </c>
      <c r="DJ295" s="960">
        <f>IF(WWWW[[#This Row],[Total required Latrines]]-(WWWW[[#This Row],['#_Constructed latrines_by_WASHAgencies]]+WWWW[[#This Row],['#_Non Cluster partner latrines]])&lt;0,0,WWWW[[#This Row],[Total required Latrines]]-(WWWW[[#This Row],['#_Constructed latrines_by_WASHAgencies]]+WWWW[[#This Row],['#_Non Cluster partner latrines]]))</f>
        <v>0</v>
      </c>
      <c r="DK295" s="962">
        <f>1-WWWW[[#This Row],[% people access to functioning Latrine]]</f>
        <v>1</v>
      </c>
      <c r="DL295" s="961">
        <f>IF(OR(WWWW[[#This Row],['#_Non-functional latrines]]="",WWWW[[#This Row],['#_Non-functional latrines]]=0),0,WWWW[[#This Row],['#_Non-functional latrines]]/(WWWW[[#This Row],['#_Constructed latrines_by_WASHAgencies]]+WWWW[[#This Row],['#_Non Cluster partner latrines]]))</f>
        <v>0</v>
      </c>
      <c r="DM295" s="957">
        <f>IF(500*(WWWW[[#This Row],['#_male hygiene promoters]]+WWWW[[#This Row],['#_female hygiene promoters]])&gt;WWWW[[#This Row],[Total PoP ]],WWWW[[#This Row],[Total PoP ]],500*(WWWW[[#This Row],['#_male hygiene promoters]]+WWWW[[#This Row],['#_female hygiene promoters]]))</f>
        <v>0</v>
      </c>
      <c r="DN295"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95"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95" s="960">
        <f>IF(WWWW[[#This Row],['# People with access to soap]]&gt;WWWW[[#This Row],['# People with access to Sanity Pads]],WWWW[[#This Row],['# People with access to soap]],WWWW[[#This Row],['# People with access to Sanity Pads]])</f>
        <v>0</v>
      </c>
      <c r="DQ295" s="960">
        <f>IF(WWWW[[#This Row],['# people reached by regular dedicated hygiene promotion_5]]&gt;WWWW[[#This Row],['# People received regular supply of hygiene items_6]],WWWW[[#This Row],['# people reached by regular dedicated hygiene promotion_5]],WWWW[[#This Row],['# People received regular supply of hygiene items_6]])</f>
        <v>0</v>
      </c>
      <c r="DR295" s="962" t="e">
        <f>IF(WWWW[[#This Row],[HRP3]]/WWWW[[#This Row],[Total PoP ]]&gt;1,1,WWWW[[#This Row],[HRP3]]/WWWW[[#This Row],[Total PoP ]])</f>
        <v>#DIV/0!</v>
      </c>
      <c r="DS295" s="961" t="e">
        <f>1-WWWW[[#This Row],[Hygiene Coverage%]]</f>
        <v>#DIV/0!</v>
      </c>
      <c r="DT295" s="959" t="e">
        <f>WWWW[[#This Row],['# people reached by regular dedicated hygiene promotion_5]]/WWWW[[#This Row],[Total PoP ]]</f>
        <v>#DIV/0!</v>
      </c>
      <c r="DU295" s="961" t="e">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#DIV/0!</v>
      </c>
      <c r="DV295" s="959" t="e">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#DIV/0!</v>
      </c>
      <c r="DW295" s="960">
        <f>WWWW[[#This Row],['#_Constructed/Existing hand washing stations]]-WWWW[[#This Row],['#_Non-Functional_hand_washing_stations]]</f>
        <v>0</v>
      </c>
      <c r="DX295" s="957">
        <f>IF(WWWW[[#This Row],['# Functional hand washing stations during reporting period]]*20&gt;WWWW[[#This Row],[Total HH]],WWWW[[#This Row],[Total HH]],WWWW[[#This Row],['# Functional hand washing stations during reporting period]]*20)</f>
        <v>0</v>
      </c>
      <c r="DY295" s="957">
        <f>IF(WWWW[[#This Row],[Is sufficient soap available for TLS? (Yes/No)]]="yes",WWWW[[#This Row],['#_Constructed/Existing hand washing stations at TLS/CFS/THF]],0)</f>
        <v>0</v>
      </c>
      <c r="DZ295" s="421">
        <f>IF(WWWW[[#This Row],['# Functional hand washing stations during reporting period]]*100&gt;WWWW[[#This Row],[Total PoP ]],WWWW[[#This Row],[Total PoP ]],WWWW[[#This Row],['# Functional hand washing stations during reporting period]]*100)</f>
        <v>0</v>
      </c>
      <c r="EA295" s="421" t="str">
        <f>IF(OR(WWWW[[#This Row],['#_students at TLS_CFS]]="",WWWW[[#This Row],['#_students at TLS_CFS]]=0),"No","Yes")</f>
        <v>No</v>
      </c>
      <c r="EB29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95" s="566">
        <f>WWWW[[#This Row],[%_of_affected_people_surveyed_who_report_feeling_satistfied_with_the_latrine_design_and_sanitation_service]]*WWWW[[#This Row],[Total PoP ]]</f>
        <v>0</v>
      </c>
      <c r="ED295" s="566">
        <f>WWWW[[#This Row],[%_of_affected_people_surveyed_who_report_feeling_satistfied_with_the_water_point_design_and_water_service]]*WWWW[[#This Row],[Total PoP ]]</f>
        <v>0</v>
      </c>
      <c r="EE295" s="566">
        <f>WWWW[[#This Row],[%_of_complaints_received_that_result_in_timely_corrective_action_and_feedback_to_the_community]]*WWWW[[#This Row],[Total PoP ]]</f>
        <v>0</v>
      </c>
      <c r="EF29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9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9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95" s="953" t="e">
        <f>VLOOKUP(WWWW[[#This Row],[Site Name]],SiteDB6[[Site Name]:[CCCM Management]],6,FALSE)</f>
        <v>#N/A</v>
      </c>
      <c r="EJ295" s="953" t="e">
        <f>VLOOKUP(WWWW[[#This Row],[Site Name]],SiteDB6[[Site Name]:[CCCM Focal Agency]],7,FALSE)</f>
        <v>#N/A</v>
      </c>
      <c r="EK295" s="418" t="s">
        <v>43</v>
      </c>
      <c r="EL295" s="418" t="s">
        <v>43</v>
      </c>
      <c r="EM295" s="418" t="s">
        <v>44</v>
      </c>
      <c r="EN295" s="953" t="e">
        <f>VLOOKUP(WWWW[[#This Row],[Site Name]],SiteDB6[[Site Name]:[Lat]],12,FALSE)</f>
        <v>#N/A</v>
      </c>
      <c r="EO295" s="953" t="e">
        <f>VLOOKUP(WWWW[[#This Row],[Site Name]],SiteDB6[[Site Name]:[Long]],13,FALSE)</f>
        <v>#N/A</v>
      </c>
      <c r="EP295" s="953" t="e">
        <f>VLOOKUP(WWWW[[#This Row],[Site Name]],SiteDB6[[Site Name]:[Pcode]],3,FALSE)</f>
        <v>#N/A</v>
      </c>
      <c r="EQ295" s="958" t="str">
        <f t="shared" si="6"/>
        <v>Covered</v>
      </c>
      <c r="ER295" s="950" t="s">
        <v>3126</v>
      </c>
      <c r="ES295" s="958" t="s">
        <v>3274</v>
      </c>
      <c r="ET295" s="953" t="e">
        <f>VLOOKUP(WWWW[[#This Row],[Site Name]],SiteDB6[[Site Name]:[Pop
(Kachin/Shan-CCCM as of May 2023)]],16,FALSE)</f>
        <v>#N/A</v>
      </c>
      <c r="EU295" s="953" t="e">
        <f>VLOOKUP(WWWW[[#This Row],[Site Name]],SiteDB6[[Site Name]:[Pop
(Kachin/Shan-CCCM as of May 2023)]],17,FALSE)</f>
        <v>#N/A</v>
      </c>
    </row>
    <row r="296" spans="1:151">
      <c r="A296" s="1065" t="s">
        <v>2962</v>
      </c>
      <c r="B296" s="1065" t="s">
        <v>276</v>
      </c>
      <c r="C296" s="1066" t="s">
        <v>276</v>
      </c>
      <c r="D296" s="1066" t="s">
        <v>3352</v>
      </c>
      <c r="E296" s="1066" t="s">
        <v>37</v>
      </c>
      <c r="F296" s="1066" t="s">
        <v>205</v>
      </c>
      <c r="G296" s="975" t="s">
        <v>43</v>
      </c>
      <c r="H296" s="1066" t="s">
        <v>286</v>
      </c>
      <c r="I296" s="976">
        <v>44</v>
      </c>
      <c r="J296" s="976">
        <v>266</v>
      </c>
      <c r="K296" s="977">
        <v>45017</v>
      </c>
      <c r="L296" s="978">
        <v>45382</v>
      </c>
      <c r="M296" s="976"/>
      <c r="N296" s="976"/>
      <c r="O296" s="976">
        <v>2</v>
      </c>
      <c r="P296" s="976"/>
      <c r="Q296" s="979" t="s">
        <v>41</v>
      </c>
      <c r="R296" s="976">
        <v>4</v>
      </c>
      <c r="S296" s="976">
        <v>6</v>
      </c>
      <c r="T296" s="441">
        <v>2</v>
      </c>
      <c r="U296" s="976"/>
      <c r="V296" s="976"/>
      <c r="W296" s="976">
        <v>1</v>
      </c>
      <c r="X296" s="976"/>
      <c r="Y296" s="976"/>
      <c r="Z296" s="976"/>
      <c r="AA296" s="976"/>
      <c r="AB296" s="976"/>
      <c r="AC296" s="976"/>
      <c r="AD296" s="976"/>
      <c r="AE296" s="976"/>
      <c r="AF296" s="976"/>
      <c r="AG296" s="976">
        <v>1</v>
      </c>
      <c r="AH296" s="976"/>
      <c r="AI296" s="976">
        <v>3</v>
      </c>
      <c r="AJ296" s="976">
        <v>3</v>
      </c>
      <c r="AK296" s="976">
        <v>6</v>
      </c>
      <c r="AL296" s="976">
        <v>6</v>
      </c>
      <c r="AM296" s="976"/>
      <c r="AN296" s="976"/>
      <c r="AO296" s="441"/>
      <c r="AP296" s="980"/>
      <c r="AQ296" s="976">
        <v>16</v>
      </c>
      <c r="AR296" s="976"/>
      <c r="AS296" s="981"/>
      <c r="AT296" s="976"/>
      <c r="AU296" s="976"/>
      <c r="AV296" s="976">
        <v>14</v>
      </c>
      <c r="AW296" s="976">
        <v>16</v>
      </c>
      <c r="AX296" s="976"/>
      <c r="AY296" s="975" t="s">
        <v>41</v>
      </c>
      <c r="AZ296" s="980" t="s">
        <v>137</v>
      </c>
      <c r="BA296" s="976"/>
      <c r="BB296" s="976"/>
      <c r="BC296" s="976"/>
      <c r="BD296" s="441"/>
      <c r="BE296" s="441"/>
      <c r="BF296" s="975"/>
      <c r="BG296" s="976">
        <v>3</v>
      </c>
      <c r="BH296" s="976"/>
      <c r="BI296" s="976"/>
      <c r="BJ296" s="976">
        <v>1</v>
      </c>
      <c r="BK296" s="976"/>
      <c r="BL296" s="976">
        <v>1</v>
      </c>
      <c r="BM296" s="976">
        <v>1</v>
      </c>
      <c r="BN296" s="976"/>
      <c r="BO296" s="976" t="s">
        <v>3353</v>
      </c>
      <c r="BP296" s="975" t="s">
        <v>136</v>
      </c>
      <c r="BQ296" s="982">
        <v>3</v>
      </c>
      <c r="BR296" s="981">
        <v>0.6</v>
      </c>
      <c r="BS296" s="975" t="s">
        <v>3361</v>
      </c>
      <c r="BT296" s="416">
        <v>1</v>
      </c>
      <c r="BU296" s="416">
        <v>1</v>
      </c>
      <c r="BV296" s="418">
        <v>2</v>
      </c>
      <c r="BW296" s="416">
        <v>1</v>
      </c>
      <c r="BX296" s="441"/>
      <c r="BY296" s="441"/>
      <c r="BZ296" s="441"/>
      <c r="CA296" s="441"/>
      <c r="CB296" s="441"/>
      <c r="CC296" s="693"/>
      <c r="CD296" s="441"/>
      <c r="CE296" s="983">
        <f>IFERROR(WWWW[[#This Row],['#_Water sources passed]]/WWWW[[#This Row],['#_Water sources tested for fecal coliform ]],"no test")</f>
        <v>1</v>
      </c>
      <c r="CF296" s="981">
        <f>IFERROR(WWWW[[#This Row],['#_Household passed]]/WWWW[[#This Row],['#_Household water samples tested for fecal coliform]],"no test")</f>
        <v>1</v>
      </c>
      <c r="CG296" s="982" t="str">
        <f>IF(AND(WWWW[[#This Row],[% of water sources passed]]="no test",WWWW[[#This Row],[% Household passed]]="no test"),"No Test","Tested")</f>
        <v>Tested</v>
      </c>
      <c r="CH296" s="982">
        <f>WWWW[[#This Row],['#_Constructed/existing protected hand dug well]]-WWWW[[#This Row],['#_Non-functional protected hand dug well]]</f>
        <v>2</v>
      </c>
      <c r="CI296" s="982">
        <f>(WWWW[[#This Row],['#_Constructed/Existing tube wells/boreholes/handpumps_WASH_agency]]+WWWW[[#This Row],['#_Non-Cluster partner water tube-wells/boreholes/handpumps]])-WWWW[[#This Row],['#_Non-functional tube wells/boreholes/handpumps]]</f>
        <v>1</v>
      </c>
      <c r="CJ296" s="982">
        <f>WWWW[[#This Row],['#_Constructed/Existingwater storage tank with gravity fed reticulation system]]-WWWW[[#This Row],['#_Non-functional storage tank gravity fed reticulation system]]</f>
        <v>0</v>
      </c>
      <c r="CK296" s="982">
        <f>(WWWW[[#This Row],['#_Water_Liters_supplied_by_Water boating or water trucking]]/90)/15</f>
        <v>0</v>
      </c>
      <c r="CL296" s="982">
        <f>WWWW[[#This Row],['#_Water_Liters_from_Constructed/Existing water distribution system from river or natural spring]]/90/15</f>
        <v>0</v>
      </c>
      <c r="CM296" s="417">
        <f>IF(WWWW[[#This Row],['#_of water points in TLS/CFS]]*500&gt;WWWW[[#This Row],[Total PoP ]],WWWW[[#This Row],[Total PoP ]],WWWW[[#This Row],['#_of water points in TLS/CFS]]*500)</f>
        <v>0</v>
      </c>
      <c r="CN296" s="417">
        <f>IF(WWWW[[#This Row],['#_of water points in THF]]*500&gt;WWWW[[#This Row],[Total PoP ]],WWWW[[#This Row],[Total PoP ]],WWWW[[#This Row],['#_of water points in THF]]*500)</f>
        <v>0</v>
      </c>
      <c r="CO296" s="417"/>
      <c r="CP296" s="983">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96" s="983">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96" s="981">
        <f>IF(WWWW[[#This Row],[Location Type 1]]="Village",WWWW[[#This Row],[Access to safe drinking water for Village]],WWWW[[#This Row],[Access to safe drinking water for Camp]])</f>
        <v>1</v>
      </c>
      <c r="CS296" s="979">
        <f>WWWW[[#This Row],[%Equitable and continuous access to sufficient quantity of safe drinking water]]*WWWW[[#This Row],[Total PoP ]]</f>
        <v>266</v>
      </c>
      <c r="CT296" s="981">
        <f>IF((WWWW[[#This Row],['#_Constructed/Existing protected/fenced ponds]]*250)/WWWW[[#This Row],[Total PoP ]]&gt;1,1,(WWWW[[#This Row],['#_Constructed/Existing protected/fenced ponds]]*250)/WWWW[[#This Row],[Total PoP ]])</f>
        <v>0</v>
      </c>
      <c r="CU296" s="979">
        <f>WWWW[[#This Row],[% Access to unimproved water points]]*WWWW[[#This Row],[Total PoP ]]</f>
        <v>0</v>
      </c>
      <c r="CV296" s="98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96" s="979">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266</v>
      </c>
      <c r="CX296" s="979">
        <f>WWWW[[#This Row],[HRP1]]/500</f>
        <v>0.53200000000000003</v>
      </c>
      <c r="CY296" s="984">
        <f>1-WWWW[[#This Row],[% Equitable and continuous access to sufficient quantity of domestic water]]</f>
        <v>0</v>
      </c>
      <c r="CZ296" s="979">
        <f>WWWW[[#This Row],[%equitable and continuous access to sufficient quantity of safe drinking and domestic water''s GAP]]*WWWW[[#This Row],[Total PoP ]]</f>
        <v>0</v>
      </c>
      <c r="DA296" s="982">
        <f>IF(WWWW[[#This Row],[Total required water points]]-WWWW[[#This Row],['#Water points coverage]]&lt;0,0,WWWW[[#This Row],[Total required water points]]-WWWW[[#This Row],['#Water points coverage]])</f>
        <v>0.46799999999999997</v>
      </c>
      <c r="DB296" s="982">
        <f>ROUND(IF(WWWW[[#This Row],[Total PoP ]]&lt;500,1,WWWW[[#This Row],[Total PoP ]]/500),0)</f>
        <v>1</v>
      </c>
      <c r="DC296" s="982">
        <f>(WWWW[[#This Row],['#_Constructed latrines_by_WASHAgencies]]+WWWW[[#This Row],['#_Non Cluster partner latrines]])-WWWW[[#This Row],['#_Non-functional latrines]]</f>
        <v>16</v>
      </c>
      <c r="DD296" s="615">
        <f>WWWW[[#This Row],[HRP2]]/WWWW[[#This Row],[Total PoP ]]</f>
        <v>1</v>
      </c>
      <c r="DE296" s="979">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266</v>
      </c>
      <c r="DF296" s="985">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266</v>
      </c>
      <c r="DG296" s="982">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96" s="417">
        <f>IF(WWWW[[#This Row],['# of functional latrines in THF supported by WASH partners during the reporting period2]]="",0,WWWW[[#This Row],['# of functional latrines in THF supported by WASH partners during the reporting period2]]*50)</f>
        <v>0</v>
      </c>
      <c r="DI296" s="982">
        <f>ROUND(IF(WWWW[[#This Row],[Location Type 1]]="camp",WWWW[[#This Row],[Total PoP ]]/20,IF(WWWW[[#This Row],[Location Type 1]]="Temporary Location",WWWW[[#This Row],[Total PoP ]]/50,(WWWW[[#This Row],[Total PoP ]]/6))),0)</f>
        <v>13</v>
      </c>
      <c r="DJ296" s="982">
        <f>IF(WWWW[[#This Row],[Total required Latrines]]-(WWWW[[#This Row],['#_Constructed latrines_by_WASHAgencies]]+WWWW[[#This Row],['#_Non Cluster partner latrines]])&lt;0,0,WWWW[[#This Row],[Total required Latrines]]-(WWWW[[#This Row],['#_Constructed latrines_by_WASHAgencies]]+WWWW[[#This Row],['#_Non Cluster partner latrines]]))</f>
        <v>0</v>
      </c>
      <c r="DK296" s="984">
        <f>1-WWWW[[#This Row],[% people access to functioning Latrine]]</f>
        <v>0</v>
      </c>
      <c r="DL296" s="983">
        <f>IF(OR(WWWW[[#This Row],['#_Non-functional latrines]]="",WWWW[[#This Row],['#_Non-functional latrines]]=0),0,WWWW[[#This Row],['#_Non-functional latrines]]/(WWWW[[#This Row],['#_Constructed latrines_by_WASHAgencies]]+WWWW[[#This Row],['#_Non Cluster partner latrines]]))</f>
        <v>0</v>
      </c>
      <c r="DM296" s="979">
        <f>IF(500*(WWWW[[#This Row],['#_male hygiene promoters]]+WWWW[[#This Row],['#_female hygiene promoters]])&gt;WWWW[[#This Row],[Total PoP ]],WWWW[[#This Row],[Total PoP ]],500*(WWWW[[#This Row],['#_male hygiene promoters]]+WWWW[[#This Row],['#_female hygiene promoters]]))</f>
        <v>266</v>
      </c>
      <c r="DN296" s="982">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96" s="982">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266</v>
      </c>
      <c r="DP296" s="982">
        <f>IF(WWWW[[#This Row],['# People with access to soap]]&gt;WWWW[[#This Row],['# People with access to Sanity Pads]],WWWW[[#This Row],['# People with access to soap]],WWWW[[#This Row],['# People with access to Sanity Pads]])</f>
        <v>266</v>
      </c>
      <c r="DQ296" s="982">
        <f>IF(WWWW[[#This Row],['# people reached by regular dedicated hygiene promotion_5]]&gt;WWWW[[#This Row],['# People received regular supply of hygiene items_6]],WWWW[[#This Row],['# people reached by regular dedicated hygiene promotion_5]],WWWW[[#This Row],['# People received regular supply of hygiene items_6]])</f>
        <v>266</v>
      </c>
      <c r="DR296" s="984">
        <f>IF(WWWW[[#This Row],[HRP3]]/WWWW[[#This Row],[Total PoP ]]&gt;1,1,WWWW[[#This Row],[HRP3]]/WWWW[[#This Row],[Total PoP ]])</f>
        <v>1</v>
      </c>
      <c r="DS296" s="983">
        <f>1-WWWW[[#This Row],[Hygiene Coverage%]]</f>
        <v>0</v>
      </c>
      <c r="DT296" s="981">
        <f>WWWW[[#This Row],['# people reached by regular dedicated hygiene promotion_5]]/WWWW[[#This Row],[Total PoP ]]</f>
        <v>1</v>
      </c>
      <c r="DU296" s="983">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96" s="981" t="e">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#VALUE!</v>
      </c>
      <c r="DW296" s="982">
        <f>WWWW[[#This Row],['#_Constructed/Existing hand washing stations]]-WWWW[[#This Row],['#_Non-Functional_hand_washing_stations]]</f>
        <v>3</v>
      </c>
      <c r="DX296" s="979">
        <f>IF(WWWW[[#This Row],['# Functional hand washing stations during reporting period]]*20&gt;WWWW[[#This Row],[Total HH]],WWWW[[#This Row],[Total HH]],WWWW[[#This Row],['# Functional hand washing stations during reporting period]]*20)</f>
        <v>44</v>
      </c>
      <c r="DY296" s="979">
        <f>IF(WWWW[[#This Row],[Is sufficient soap available for TLS? (Yes/No)]]="yes",WWWW[[#This Row],['#_Constructed/Existing hand washing stations at TLS/CFS/THF]],0)</f>
        <v>0</v>
      </c>
      <c r="DZ296" s="421">
        <f>IF(WWWW[[#This Row],['# Functional hand washing stations during reporting period]]*100&gt;WWWW[[#This Row],[Total PoP ]],WWWW[[#This Row],[Total PoP ]],WWWW[[#This Row],['# Functional hand washing stations during reporting period]]*100)</f>
        <v>266</v>
      </c>
      <c r="EA296" s="421" t="str">
        <f>IF(OR(WWWW[[#This Row],['#_students at TLS_CFS]]="",WWWW[[#This Row],['#_students at TLS_CFS]]=0),"No","Yes")</f>
        <v>No</v>
      </c>
      <c r="EB296" s="615">
        <f>IF(WWWW[[#This Row],['#_of_affected_people_surveyed_who_report_feeling_informed_about_the_different_WASH_services_available_to_them]]="","",WWWW[[#This Row],['#_of_affected_people_surveyed_who_report_feeling_informed_about_the_different_WASH_services_available_to_them]]/WWWW[[#This Row],[Total PoP ]])</f>
        <v>7.5187969924812026E-3</v>
      </c>
      <c r="EC296" s="566">
        <f>WWWW[[#This Row],[%_of_affected_people_surveyed_who_report_feeling_satistfied_with_the_latrine_design_and_sanitation_service]]*WWWW[[#This Row],[Total PoP ]]</f>
        <v>266</v>
      </c>
      <c r="ED296" s="566">
        <f>WWWW[[#This Row],[%_of_affected_people_surveyed_who_report_feeling_satistfied_with_the_water_point_design_and_water_service]]*WWWW[[#This Row],[Total PoP ]]</f>
        <v>266</v>
      </c>
      <c r="EE296" s="566">
        <f>WWWW[[#This Row],[%_of_complaints_received_that_result_in_timely_corrective_action_and_feedback_to_the_community]]*WWWW[[#This Row],[Total PoP ]]</f>
        <v>266</v>
      </c>
      <c r="EF29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266</v>
      </c>
      <c r="EG29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9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96" s="975" t="str">
        <f>VLOOKUP(WWWW[[#This Row],[Site Name]],SiteDB6[[Site Name]:[CCCM Management]],6,FALSE)</f>
        <v>Yes</v>
      </c>
      <c r="EJ296" s="975" t="str">
        <f>VLOOKUP(WWWW[[#This Row],[Site Name]],SiteDB6[[Site Name]:[CCCM Focal Agency]],7,FALSE)</f>
        <v>KBC-BMO</v>
      </c>
      <c r="EK296" s="975" t="str">
        <f>VLOOKUP(WWWW[[#This Row],[Site Name]],SiteDB6[[Site Name]:[Location Type 1]],9,FALSE)</f>
        <v>Camp</v>
      </c>
      <c r="EL296" s="975" t="str">
        <f>VLOOKUP(WWWW[[#This Row],[Site Name]],SiteDB6[[Site Name]:[Type of Accommodation]],10,FALSE)</f>
        <v>Camp</v>
      </c>
      <c r="EM296" s="975" t="str">
        <f>VLOOKUP(WWWW[[#This Row],[Site Name]],SiteDB6[[Site Name]:[Ethnic or GCA/NGCA]],11,FALSE)</f>
        <v>GCA</v>
      </c>
      <c r="EN296" s="975">
        <f>VLOOKUP(WWWW[[#This Row],[Site Name]],SiteDB6[[Site Name]:[Lat]],12,FALSE)</f>
        <v>24.207332999999998</v>
      </c>
      <c r="EO296" s="975">
        <f>VLOOKUP(WWWW[[#This Row],[Site Name]],SiteDB6[[Site Name]:[Long]],13,FALSE)</f>
        <v>97.710864000000001</v>
      </c>
      <c r="EP296" s="975" t="str">
        <f>VLOOKUP(WWWW[[#This Row],[Site Name]],SiteDB6[[Site Name]:[Pcode]],3,FALSE)</f>
        <v>MMR001CMP073</v>
      </c>
      <c r="EQ296" s="980" t="str">
        <f t="shared" si="6"/>
        <v>Covered</v>
      </c>
      <c r="ER296" s="950" t="s">
        <v>3126</v>
      </c>
      <c r="ES296" s="950" t="s">
        <v>41</v>
      </c>
      <c r="ET296" s="975">
        <f>VLOOKUP(WWWW[[#This Row],[Site Name]],SiteDB6[[Site Name]:[Pop
(Kachin/Shan-CCCM as of May 2023)]],16,FALSE)</f>
        <v>52</v>
      </c>
      <c r="EU296" s="975">
        <f>VLOOKUP(WWWW[[#This Row],[Site Name]],SiteDB6[[Site Name]:[Pop
(Kachin/Shan-CCCM as of May 2023)]],17,FALSE)</f>
        <v>299</v>
      </c>
    </row>
    <row r="297" spans="1:151">
      <c r="A297" s="946" t="s">
        <v>2962</v>
      </c>
      <c r="B297" s="938" t="s">
        <v>3347</v>
      </c>
      <c r="C297" s="938" t="s">
        <v>3347</v>
      </c>
      <c r="D297" s="1005" t="s">
        <v>241</v>
      </c>
      <c r="E297" s="1005" t="s">
        <v>37</v>
      </c>
      <c r="F297" s="1005" t="s">
        <v>159</v>
      </c>
      <c r="G297" s="902" t="str">
        <f>VLOOKUP(WWWW[[#This Row],[Site Name]],SiteDB6[[Site Name]:[Location Type]],8,FALSE)</f>
        <v>Camp</v>
      </c>
      <c r="H297" s="1005" t="s">
        <v>161</v>
      </c>
      <c r="I297" s="954">
        <v>136</v>
      </c>
      <c r="J297" s="954">
        <v>742</v>
      </c>
      <c r="K297" s="955">
        <v>44811</v>
      </c>
      <c r="L297" s="956">
        <v>45175</v>
      </c>
      <c r="M297" s="954"/>
      <c r="N297" s="954">
        <v>3</v>
      </c>
      <c r="O297" s="954"/>
      <c r="P297" s="954"/>
      <c r="Q297" s="957" t="s">
        <v>41</v>
      </c>
      <c r="R297" s="954">
        <v>1</v>
      </c>
      <c r="S297" s="954">
        <v>4</v>
      </c>
      <c r="T297" s="973">
        <v>4</v>
      </c>
      <c r="U297" s="954">
        <v>3</v>
      </c>
      <c r="V297" s="954"/>
      <c r="W297" s="954">
        <v>6</v>
      </c>
      <c r="X297" s="954"/>
      <c r="Y297" s="954">
        <v>3</v>
      </c>
      <c r="Z297" s="954"/>
      <c r="AA297" s="954">
        <v>2</v>
      </c>
      <c r="AB297" s="954">
        <v>2</v>
      </c>
      <c r="AC297" s="954"/>
      <c r="AD297" s="954"/>
      <c r="AE297" s="954"/>
      <c r="AF297" s="954"/>
      <c r="AG297" s="954"/>
      <c r="AH297" s="954">
        <v>7</v>
      </c>
      <c r="AI297" s="954"/>
      <c r="AJ297" s="954"/>
      <c r="AK297" s="954"/>
      <c r="AL297" s="954"/>
      <c r="AM297" s="954"/>
      <c r="AN297" s="954"/>
      <c r="AO297" s="441"/>
      <c r="AP297" s="958"/>
      <c r="AQ297" s="954">
        <v>46</v>
      </c>
      <c r="AR297" s="954"/>
      <c r="AS297" s="959"/>
      <c r="AT297" s="954"/>
      <c r="AU297" s="954"/>
      <c r="AV297" s="954"/>
      <c r="AW297" s="954"/>
      <c r="AX297" s="954">
        <v>46</v>
      </c>
      <c r="AY297" s="953" t="s">
        <v>41</v>
      </c>
      <c r="AZ297" s="958" t="s">
        <v>137</v>
      </c>
      <c r="BA297" s="954"/>
      <c r="BB297" s="954"/>
      <c r="BC297" s="954"/>
      <c r="BD297" s="441"/>
      <c r="BE297" s="441"/>
      <c r="BF297" s="953"/>
      <c r="BG297" s="954">
        <v>7</v>
      </c>
      <c r="BH297" s="954"/>
      <c r="BI297" s="954"/>
      <c r="BJ297" s="954">
        <v>4</v>
      </c>
      <c r="BK297" s="954"/>
      <c r="BL297" s="954"/>
      <c r="BM297" s="954">
        <v>3</v>
      </c>
      <c r="BN297" s="954"/>
      <c r="BO297" s="954"/>
      <c r="BP297" s="953"/>
      <c r="BQ297" s="960"/>
      <c r="BR297" s="959"/>
      <c r="BS297" s="953"/>
      <c r="BT297" s="416"/>
      <c r="BU297" s="416"/>
      <c r="BV297" s="418"/>
      <c r="BW297" s="416"/>
      <c r="BX297" s="441"/>
      <c r="BY297" s="441"/>
      <c r="BZ297" s="441"/>
      <c r="CA297" s="441"/>
      <c r="CB297" s="441"/>
      <c r="CC297" s="693"/>
      <c r="CD297" s="441"/>
      <c r="CE297" s="961" t="str">
        <f>IFERROR(WWWW[[#This Row],['#_Water sources passed]]/WWWW[[#This Row],['#_Water sources tested for fecal coliform ]],"no test")</f>
        <v>no test</v>
      </c>
      <c r="CF297" s="959" t="str">
        <f>IFERROR(WWWW[[#This Row],['#_Household passed]]/WWWW[[#This Row],['#_Household water samples tested for fecal coliform]],"no test")</f>
        <v>no test</v>
      </c>
      <c r="CG297" s="960" t="str">
        <f>IF(AND(WWWW[[#This Row],[% of water sources passed]]="no test",WWWW[[#This Row],[% Household passed]]="no test"),"No Test","Tested")</f>
        <v>No Test</v>
      </c>
      <c r="CH297" s="960">
        <f>WWWW[[#This Row],['#_Constructed/existing protected hand dug well]]-WWWW[[#This Row],['#_Non-functional protected hand dug well]]</f>
        <v>1</v>
      </c>
      <c r="CI297" s="960">
        <f>(WWWW[[#This Row],['#_Constructed/Existing tube wells/boreholes/handpumps_WASH_agency]]+WWWW[[#This Row],['#_Non-Cluster partner water tube-wells/boreholes/handpumps]])-WWWW[[#This Row],['#_Non-functional tube wells/boreholes/handpumps]]</f>
        <v>3</v>
      </c>
      <c r="CJ297" s="960">
        <f>WWWW[[#This Row],['#_Constructed/Existingwater storage tank with gravity fed reticulation system]]-WWWW[[#This Row],['#_Non-functional storage tank gravity fed reticulation system]]</f>
        <v>0</v>
      </c>
      <c r="CK297" s="960">
        <f>(WWWW[[#This Row],['#_Water_Liters_supplied_by_Water boating or water trucking]]/90)/15</f>
        <v>0</v>
      </c>
      <c r="CL297" s="960">
        <f>WWWW[[#This Row],['#_Water_Liters_from_Constructed/Existing water distribution system from river or natural spring]]/90/15</f>
        <v>0</v>
      </c>
      <c r="CM297" s="417">
        <f>IF(WWWW[[#This Row],['#_of water points in TLS/CFS]]*500&gt;WWWW[[#This Row],[Total PoP ]],WWWW[[#This Row],[Total PoP ]],WWWW[[#This Row],['#_of water points in TLS/CFS]]*500)</f>
        <v>0</v>
      </c>
      <c r="CN297" s="417">
        <f>IF(WWWW[[#This Row],['#_of water points in THF]]*500&gt;WWWW[[#This Row],[Total PoP ]],WWWW[[#This Row],[Total PoP ]],WWWW[[#This Row],['#_of water points in THF]]*500)</f>
        <v>0</v>
      </c>
      <c r="CO297" s="417"/>
      <c r="CP297"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97"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97" s="959">
        <f>IF(WWWW[[#This Row],[Location Type 1]]="Village",WWWW[[#This Row],[Access to safe drinking water for Village]],WWWW[[#This Row],[Access to safe drinking water for Camp]])</f>
        <v>1</v>
      </c>
      <c r="CS297" s="957">
        <f>WWWW[[#This Row],[%Equitable and continuous access to sufficient quantity of safe drinking water]]*WWWW[[#This Row],[Total PoP ]]</f>
        <v>742</v>
      </c>
      <c r="CT297" s="959">
        <f>IF((WWWW[[#This Row],['#_Constructed/Existing protected/fenced ponds]]*250)/WWWW[[#This Row],[Total PoP ]]&gt;1,1,(WWWW[[#This Row],['#_Constructed/Existing protected/fenced ponds]]*250)/WWWW[[#This Row],[Total PoP ]])</f>
        <v>0</v>
      </c>
      <c r="CU297" s="957">
        <f>WWWW[[#This Row],[% Access to unimproved water points]]*WWWW[[#This Row],[Total PoP ]]</f>
        <v>0</v>
      </c>
      <c r="CV297"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97"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742</v>
      </c>
      <c r="CX297" s="957">
        <f>WWWW[[#This Row],[HRP1]]/500</f>
        <v>1.484</v>
      </c>
      <c r="CY297" s="962">
        <f>1-WWWW[[#This Row],[% Equitable and continuous access to sufficient quantity of domestic water]]</f>
        <v>0</v>
      </c>
      <c r="CZ297" s="957">
        <f>WWWW[[#This Row],[%equitable and continuous access to sufficient quantity of safe drinking and domestic water''s GAP]]*WWWW[[#This Row],[Total PoP ]]</f>
        <v>0</v>
      </c>
      <c r="DA297" s="960">
        <f>IF(WWWW[[#This Row],[Total required water points]]-WWWW[[#This Row],['#Water points coverage]]&lt;0,0,WWWW[[#This Row],[Total required water points]]-WWWW[[#This Row],['#Water points coverage]])</f>
        <v>0</v>
      </c>
      <c r="DB297" s="960">
        <f>ROUND(IF(WWWW[[#This Row],[Total PoP ]]&lt;500,1,WWWW[[#This Row],[Total PoP ]]/500),0)</f>
        <v>1</v>
      </c>
      <c r="DC297" s="960">
        <f>(WWWW[[#This Row],['#_Constructed latrines_by_WASHAgencies]]+WWWW[[#This Row],['#_Non Cluster partner latrines]])-WWWW[[#This Row],['#_Non-functional latrines]]</f>
        <v>46</v>
      </c>
      <c r="DD297" s="615">
        <f>WWWW[[#This Row],[HRP2]]/WWWW[[#This Row],[Total PoP ]]</f>
        <v>1</v>
      </c>
      <c r="DE297"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742</v>
      </c>
      <c r="DF297"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97"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97" s="417">
        <f>IF(WWWW[[#This Row],['# of functional latrines in THF supported by WASH partners during the reporting period2]]="",0,WWWW[[#This Row],['# of functional latrines in THF supported by WASH partners during the reporting period2]]*50)</f>
        <v>0</v>
      </c>
      <c r="DI297" s="960">
        <f>ROUND(IF(WWWW[[#This Row],[Location Type 1]]="camp",WWWW[[#This Row],[Total PoP ]]/20,IF(WWWW[[#This Row],[Location Type 1]]="Temporary Location",WWWW[[#This Row],[Total PoP ]]/50,(WWWW[[#This Row],[Total PoP ]]/6))),0)</f>
        <v>37</v>
      </c>
      <c r="DJ297" s="960">
        <f>IF(WWWW[[#This Row],[Total required Latrines]]-(WWWW[[#This Row],['#_Constructed latrines_by_WASHAgencies]]+WWWW[[#This Row],['#_Non Cluster partner latrines]])&lt;0,0,WWWW[[#This Row],[Total required Latrines]]-(WWWW[[#This Row],['#_Constructed latrines_by_WASHAgencies]]+WWWW[[#This Row],['#_Non Cluster partner latrines]]))</f>
        <v>0</v>
      </c>
      <c r="DK297" s="962">
        <f>1-WWWW[[#This Row],[% people access to functioning Latrine]]</f>
        <v>0</v>
      </c>
      <c r="DL297" s="961">
        <f>IF(OR(WWWW[[#This Row],['#_Non-functional latrines]]="",WWWW[[#This Row],['#_Non-functional latrines]]=0),0,WWWW[[#This Row],['#_Non-functional latrines]]/(WWWW[[#This Row],['#_Constructed latrines_by_WASHAgencies]]+WWWW[[#This Row],['#_Non Cluster partner latrines]]))</f>
        <v>0</v>
      </c>
      <c r="DM297" s="957">
        <f>IF(500*(WWWW[[#This Row],['#_male hygiene promoters]]+WWWW[[#This Row],['#_female hygiene promoters]])&gt;WWWW[[#This Row],[Total PoP ]],WWWW[[#This Row],[Total PoP ]],500*(WWWW[[#This Row],['#_male hygiene promoters]]+WWWW[[#This Row],['#_female hygiene promoters]]))</f>
        <v>742</v>
      </c>
      <c r="DN297"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97"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97" s="960">
        <f>IF(WWWW[[#This Row],['# People with access to soap]]&gt;WWWW[[#This Row],['# People with access to Sanity Pads]],WWWW[[#This Row],['# People with access to soap]],WWWW[[#This Row],['# People with access to Sanity Pads]])</f>
        <v>0</v>
      </c>
      <c r="DQ297" s="960">
        <f>IF(WWWW[[#This Row],['# people reached by regular dedicated hygiene promotion_5]]&gt;WWWW[[#This Row],['# People received regular supply of hygiene items_6]],WWWW[[#This Row],['# people reached by regular dedicated hygiene promotion_5]],WWWW[[#This Row],['# People received regular supply of hygiene items_6]])</f>
        <v>742</v>
      </c>
      <c r="DR297" s="962">
        <f>IF(WWWW[[#This Row],[HRP3]]/WWWW[[#This Row],[Total PoP ]]&gt;1,1,WWWW[[#This Row],[HRP3]]/WWWW[[#This Row],[Total PoP ]])</f>
        <v>1</v>
      </c>
      <c r="DS297" s="961">
        <f>1-WWWW[[#This Row],[Hygiene Coverage%]]</f>
        <v>0</v>
      </c>
      <c r="DT297" s="959">
        <f>WWWW[[#This Row],['# people reached by regular dedicated hygiene promotion_5]]/WWWW[[#This Row],[Total PoP ]]</f>
        <v>1</v>
      </c>
      <c r="DU297"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97"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97" s="960">
        <f>WWWW[[#This Row],['#_Constructed/Existing hand washing stations]]-WWWW[[#This Row],['#_Non-Functional_hand_washing_stations]]</f>
        <v>7</v>
      </c>
      <c r="DX297" s="957">
        <f>IF(WWWW[[#This Row],['# Functional hand washing stations during reporting period]]*20&gt;WWWW[[#This Row],[Total HH]],WWWW[[#This Row],[Total HH]],WWWW[[#This Row],['# Functional hand washing stations during reporting period]]*20)</f>
        <v>136</v>
      </c>
      <c r="DY297" s="957">
        <f>IF(WWWW[[#This Row],[Is sufficient soap available for TLS? (Yes/No)]]="yes",WWWW[[#This Row],['#_Constructed/Existing hand washing stations at TLS/CFS/THF]],0)</f>
        <v>0</v>
      </c>
      <c r="DZ297" s="421">
        <f>IF(WWWW[[#This Row],['# Functional hand washing stations during reporting period]]*100&gt;WWWW[[#This Row],[Total PoP ]],WWWW[[#This Row],[Total PoP ]],WWWW[[#This Row],['# Functional hand washing stations during reporting period]]*100)</f>
        <v>700</v>
      </c>
      <c r="EA297" s="421" t="str">
        <f>IF(OR(WWWW[[#This Row],['#_students at TLS_CFS]]="",WWWW[[#This Row],['#_students at TLS_CFS]]=0),"No","Yes")</f>
        <v>No</v>
      </c>
      <c r="EB29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97" s="566">
        <f>WWWW[[#This Row],[%_of_affected_people_surveyed_who_report_feeling_satistfied_with_the_latrine_design_and_sanitation_service]]*WWWW[[#This Row],[Total PoP ]]</f>
        <v>0</v>
      </c>
      <c r="ED297" s="566">
        <f>WWWW[[#This Row],[%_of_affected_people_surveyed_who_report_feeling_satistfied_with_the_water_point_design_and_water_service]]*WWWW[[#This Row],[Total PoP ]]</f>
        <v>0</v>
      </c>
      <c r="EE297" s="566">
        <f>WWWW[[#This Row],[%_of_complaints_received_that_result_in_timely_corrective_action_and_feedback_to_the_community]]*WWWW[[#This Row],[Total PoP ]]</f>
        <v>0</v>
      </c>
      <c r="EF29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9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9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97" s="953" t="str">
        <f>VLOOKUP(WWWW[[#This Row],[Site Name]],SiteDB6[[Site Name]:[CCCM Management]],6,FALSE)</f>
        <v>Yes</v>
      </c>
      <c r="EJ297" s="953" t="str">
        <f>VLOOKUP(WWWW[[#This Row],[Site Name]],SiteDB6[[Site Name]:[CCCM Focal Agency]],7,FALSE)</f>
        <v>KBC-MYT</v>
      </c>
      <c r="EK297" s="953" t="str">
        <f>VLOOKUP(WWWW[[#This Row],[Site Name]],SiteDB6[[Site Name]:[Location Type 1]],9,FALSE)</f>
        <v>Camp</v>
      </c>
      <c r="EL297" s="953" t="str">
        <f>VLOOKUP(WWWW[[#This Row],[Site Name]],SiteDB6[[Site Name]:[Type of Accommodation]],10,FALSE)</f>
        <v>Camp</v>
      </c>
      <c r="EM297" s="953" t="str">
        <f>VLOOKUP(WWWW[[#This Row],[Site Name]],SiteDB6[[Site Name]:[Ethnic or GCA/NGCA]],11,FALSE)</f>
        <v>GCA</v>
      </c>
      <c r="EN297" s="953">
        <f>VLOOKUP(WWWW[[#This Row],[Site Name]],SiteDB6[[Site Name]:[Lat]],12,FALSE)</f>
        <v>25.397850999999999</v>
      </c>
      <c r="EO297" s="953">
        <f>VLOOKUP(WWWW[[#This Row],[Site Name]],SiteDB6[[Site Name]:[Long]],13,FALSE)</f>
        <v>97.370900000000006</v>
      </c>
      <c r="EP297" s="953" t="str">
        <f>VLOOKUP(WWWW[[#This Row],[Site Name]],SiteDB6[[Site Name]:[Pcode]],3,FALSE)</f>
        <v>MMR001CMP018</v>
      </c>
      <c r="EQ297" s="958" t="str">
        <f t="shared" si="6"/>
        <v>Covered</v>
      </c>
      <c r="ER297" s="950" t="s">
        <v>3126</v>
      </c>
      <c r="ES297" s="950" t="s">
        <v>3267</v>
      </c>
      <c r="ET297" s="953">
        <f>VLOOKUP(WWWW[[#This Row],[Site Name]],SiteDB6[[Site Name]:[Pop
(Kachin/Shan-CCCM as of May 2023)]],16,FALSE)</f>
        <v>134</v>
      </c>
      <c r="EU297" s="953">
        <f>VLOOKUP(WWWW[[#This Row],[Site Name]],SiteDB6[[Site Name]:[Pop
(Kachin/Shan-CCCM as of May 2023)]],17,FALSE)</f>
        <v>732</v>
      </c>
    </row>
    <row r="298" spans="1:151">
      <c r="A298" s="946" t="s">
        <v>2962</v>
      </c>
      <c r="B298" s="1004" t="s">
        <v>36</v>
      </c>
      <c r="C298" s="1005" t="s">
        <v>36</v>
      </c>
      <c r="D298" s="1005" t="s">
        <v>241</v>
      </c>
      <c r="E298" s="1005" t="s">
        <v>37</v>
      </c>
      <c r="F298" s="1005" t="s">
        <v>159</v>
      </c>
      <c r="G298" s="902" t="str">
        <f>VLOOKUP(WWWW[[#This Row],[Site Name]],SiteDB6[[Site Name]:[Location Type]],8,FALSE)</f>
        <v>Camp</v>
      </c>
      <c r="H298" s="1005" t="s">
        <v>233</v>
      </c>
      <c r="I298" s="954">
        <v>53</v>
      </c>
      <c r="J298" s="954">
        <v>278</v>
      </c>
      <c r="K298" s="955">
        <v>44973</v>
      </c>
      <c r="L298" s="956">
        <v>45337</v>
      </c>
      <c r="M298" s="954"/>
      <c r="N298" s="954">
        <v>3</v>
      </c>
      <c r="O298" s="954"/>
      <c r="P298" s="954"/>
      <c r="Q298" s="957" t="s">
        <v>41</v>
      </c>
      <c r="R298" s="954">
        <v>2</v>
      </c>
      <c r="S298" s="954">
        <v>8</v>
      </c>
      <c r="T298" s="441">
        <v>1</v>
      </c>
      <c r="U298" s="954"/>
      <c r="V298" s="954"/>
      <c r="W298" s="954"/>
      <c r="X298" s="954"/>
      <c r="Y298" s="954"/>
      <c r="Z298" s="954"/>
      <c r="AA298" s="954"/>
      <c r="AB298" s="954"/>
      <c r="AC298" s="954"/>
      <c r="AD298" s="954"/>
      <c r="AE298" s="954"/>
      <c r="AF298" s="954"/>
      <c r="AG298" s="954"/>
      <c r="AH298" s="954"/>
      <c r="AI298" s="954">
        <v>2</v>
      </c>
      <c r="AJ298" s="954">
        <v>1</v>
      </c>
      <c r="AK298" s="954">
        <v>2</v>
      </c>
      <c r="AL298" s="954">
        <v>1</v>
      </c>
      <c r="AM298" s="954">
        <v>5</v>
      </c>
      <c r="AN298" s="954"/>
      <c r="AO298" s="441"/>
      <c r="AP298" s="958"/>
      <c r="AQ298" s="954">
        <v>22</v>
      </c>
      <c r="AR298" s="954"/>
      <c r="AS298" s="959"/>
      <c r="AT298" s="954"/>
      <c r="AU298" s="954"/>
      <c r="AV298" s="954"/>
      <c r="AW298" s="954"/>
      <c r="AX298" s="954"/>
      <c r="AY298" s="953" t="s">
        <v>41</v>
      </c>
      <c r="AZ298" s="958" t="s">
        <v>137</v>
      </c>
      <c r="BA298" s="954"/>
      <c r="BB298" s="954"/>
      <c r="BC298" s="954"/>
      <c r="BD298" s="441"/>
      <c r="BE298" s="441"/>
      <c r="BF298" s="953"/>
      <c r="BG298" s="954">
        <v>7</v>
      </c>
      <c r="BH298" s="954"/>
      <c r="BI298" s="954"/>
      <c r="BJ298" s="954">
        <v>3</v>
      </c>
      <c r="BK298" s="954"/>
      <c r="BL298" s="954"/>
      <c r="BM298" s="954">
        <v>2</v>
      </c>
      <c r="BN298" s="954"/>
      <c r="BO298" s="954"/>
      <c r="BP298" s="953" t="s">
        <v>41</v>
      </c>
      <c r="BQ298" s="960"/>
      <c r="BR298" s="959"/>
      <c r="BS298" s="953"/>
      <c r="BT298" s="416"/>
      <c r="BU298" s="416"/>
      <c r="BV298" s="418"/>
      <c r="BW298" s="416"/>
      <c r="BX298" s="441"/>
      <c r="BY298" s="441"/>
      <c r="BZ298" s="441"/>
      <c r="CA298" s="441"/>
      <c r="CB298" s="441"/>
      <c r="CC298" s="693"/>
      <c r="CD298" s="441"/>
      <c r="CE298" s="961">
        <f>IFERROR(WWWW[[#This Row],['#_Water sources passed]]/WWWW[[#This Row],['#_Water sources tested for fecal coliform ]],"no test")</f>
        <v>0.5</v>
      </c>
      <c r="CF298" s="959">
        <f>IFERROR(WWWW[[#This Row],['#_Household passed]]/WWWW[[#This Row],['#_Household water samples tested for fecal coliform]],"no test")</f>
        <v>0.5</v>
      </c>
      <c r="CG298" s="960" t="str">
        <f>IF(AND(WWWW[[#This Row],[% of water sources passed]]="no test",WWWW[[#This Row],[% Household passed]]="no test"),"No Test","Tested")</f>
        <v>Tested</v>
      </c>
      <c r="CH298" s="960">
        <f>WWWW[[#This Row],['#_Constructed/existing protected hand dug well]]-WWWW[[#This Row],['#_Non-functional protected hand dug well]]</f>
        <v>1</v>
      </c>
      <c r="CI298" s="960">
        <f>(WWWW[[#This Row],['#_Constructed/Existing tube wells/boreholes/handpumps_WASH_agency]]+WWWW[[#This Row],['#_Non-Cluster partner water tube-wells/boreholes/handpumps]])-WWWW[[#This Row],['#_Non-functional tube wells/boreholes/handpumps]]</f>
        <v>0</v>
      </c>
      <c r="CJ298" s="960">
        <f>WWWW[[#This Row],['#_Constructed/Existingwater storage tank with gravity fed reticulation system]]-WWWW[[#This Row],['#_Non-functional storage tank gravity fed reticulation system]]</f>
        <v>0</v>
      </c>
      <c r="CK298" s="960">
        <f>(WWWW[[#This Row],['#_Water_Liters_supplied_by_Water boating or water trucking]]/90)/15</f>
        <v>0</v>
      </c>
      <c r="CL298" s="960">
        <f>WWWW[[#This Row],['#_Water_Liters_from_Constructed/Existing water distribution system from river or natural spring]]/90/15</f>
        <v>0</v>
      </c>
      <c r="CM298" s="417">
        <f>IF(WWWW[[#This Row],['#_of water points in TLS/CFS]]*500&gt;WWWW[[#This Row],[Total PoP ]],WWWW[[#This Row],[Total PoP ]],WWWW[[#This Row],['#_of water points in TLS/CFS]]*500)</f>
        <v>0</v>
      </c>
      <c r="CN298" s="417">
        <f>IF(WWWW[[#This Row],['#_of water points in THF]]*500&gt;WWWW[[#This Row],[Total PoP ]],WWWW[[#This Row],[Total PoP ]],WWWW[[#This Row],['#_of water points in THF]]*500)</f>
        <v>0</v>
      </c>
      <c r="CO298" s="417"/>
      <c r="CP298"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98"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0.89928057553956831</v>
      </c>
      <c r="CR298" s="959">
        <f>IF(WWWW[[#This Row],[Location Type 1]]="Village",WWWW[[#This Row],[Access to safe drinking water for Village]],WWWW[[#This Row],[Access to safe drinking water for Camp]])</f>
        <v>1</v>
      </c>
      <c r="CS298" s="957">
        <f>WWWW[[#This Row],[%Equitable and continuous access to sufficient quantity of safe drinking water]]*WWWW[[#This Row],[Total PoP ]]</f>
        <v>278</v>
      </c>
      <c r="CT298" s="959">
        <f>IF((WWWW[[#This Row],['#_Constructed/Existing protected/fenced ponds]]*250)/WWWW[[#This Row],[Total PoP ]]&gt;1,1,(WWWW[[#This Row],['#_Constructed/Existing protected/fenced ponds]]*250)/WWWW[[#This Row],[Total PoP ]])</f>
        <v>0</v>
      </c>
      <c r="CU298" s="957">
        <f>WWWW[[#This Row],[% Access to unimproved water points]]*WWWW[[#This Row],[Total PoP ]]</f>
        <v>0</v>
      </c>
      <c r="CV298"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98"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278</v>
      </c>
      <c r="CX298" s="957">
        <f>WWWW[[#This Row],[HRP1]]/500</f>
        <v>0.55600000000000005</v>
      </c>
      <c r="CY298" s="962">
        <f>1-WWWW[[#This Row],[% Equitable and continuous access to sufficient quantity of domestic water]]</f>
        <v>0</v>
      </c>
      <c r="CZ298" s="957">
        <f>WWWW[[#This Row],[%equitable and continuous access to sufficient quantity of safe drinking and domestic water''s GAP]]*WWWW[[#This Row],[Total PoP ]]</f>
        <v>0</v>
      </c>
      <c r="DA298" s="960">
        <f>IF(WWWW[[#This Row],[Total required water points]]-WWWW[[#This Row],['#Water points coverage]]&lt;0,0,WWWW[[#This Row],[Total required water points]]-WWWW[[#This Row],['#Water points coverage]])</f>
        <v>0.44399999999999995</v>
      </c>
      <c r="DB298" s="960">
        <f>ROUND(IF(WWWW[[#This Row],[Total PoP ]]&lt;500,1,WWWW[[#This Row],[Total PoP ]]/500),0)</f>
        <v>1</v>
      </c>
      <c r="DC298" s="960">
        <f>(WWWW[[#This Row],['#_Constructed latrines_by_WASHAgencies]]+WWWW[[#This Row],['#_Non Cluster partner latrines]])-WWWW[[#This Row],['#_Non-functional latrines]]</f>
        <v>22</v>
      </c>
      <c r="DD298" s="615">
        <f>WWWW[[#This Row],[HRP2]]/WWWW[[#This Row],[Total PoP ]]</f>
        <v>1</v>
      </c>
      <c r="DE298"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278</v>
      </c>
      <c r="DF298"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98"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98" s="417">
        <f>IF(WWWW[[#This Row],['# of functional latrines in THF supported by WASH partners during the reporting period2]]="",0,WWWW[[#This Row],['# of functional latrines in THF supported by WASH partners during the reporting period2]]*50)</f>
        <v>0</v>
      </c>
      <c r="DI298" s="960">
        <f>ROUND(IF(WWWW[[#This Row],[Location Type 1]]="camp",WWWW[[#This Row],[Total PoP ]]/20,IF(WWWW[[#This Row],[Location Type 1]]="Temporary Location",WWWW[[#This Row],[Total PoP ]]/50,(WWWW[[#This Row],[Total PoP ]]/6))),0)</f>
        <v>14</v>
      </c>
      <c r="DJ298" s="960">
        <f>IF(WWWW[[#This Row],[Total required Latrines]]-(WWWW[[#This Row],['#_Constructed latrines_by_WASHAgencies]]+WWWW[[#This Row],['#_Non Cluster partner latrines]])&lt;0,0,WWWW[[#This Row],[Total required Latrines]]-(WWWW[[#This Row],['#_Constructed latrines_by_WASHAgencies]]+WWWW[[#This Row],['#_Non Cluster partner latrines]]))</f>
        <v>0</v>
      </c>
      <c r="DK298" s="962">
        <f>1-WWWW[[#This Row],[% people access to functioning Latrine]]</f>
        <v>0</v>
      </c>
      <c r="DL298" s="961">
        <f>IF(OR(WWWW[[#This Row],['#_Non-functional latrines]]="",WWWW[[#This Row],['#_Non-functional latrines]]=0),0,WWWW[[#This Row],['#_Non-functional latrines]]/(WWWW[[#This Row],['#_Constructed latrines_by_WASHAgencies]]+WWWW[[#This Row],['#_Non Cluster partner latrines]]))</f>
        <v>0</v>
      </c>
      <c r="DM298" s="957">
        <f>IF(500*(WWWW[[#This Row],['#_male hygiene promoters]]+WWWW[[#This Row],['#_female hygiene promoters]])&gt;WWWW[[#This Row],[Total PoP ]],WWWW[[#This Row],[Total PoP ]],500*(WWWW[[#This Row],['#_male hygiene promoters]]+WWWW[[#This Row],['#_female hygiene promoters]]))</f>
        <v>278</v>
      </c>
      <c r="DN298"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98"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98" s="960">
        <f>IF(WWWW[[#This Row],['# People with access to soap]]&gt;WWWW[[#This Row],['# People with access to Sanity Pads]],WWWW[[#This Row],['# People with access to soap]],WWWW[[#This Row],['# People with access to Sanity Pads]])</f>
        <v>0</v>
      </c>
      <c r="DQ298" s="960">
        <f>IF(WWWW[[#This Row],['# people reached by regular dedicated hygiene promotion_5]]&gt;WWWW[[#This Row],['# People received regular supply of hygiene items_6]],WWWW[[#This Row],['# people reached by regular dedicated hygiene promotion_5]],WWWW[[#This Row],['# People received regular supply of hygiene items_6]])</f>
        <v>278</v>
      </c>
      <c r="DR298" s="962">
        <f>IF(WWWW[[#This Row],[HRP3]]/WWWW[[#This Row],[Total PoP ]]&gt;1,1,WWWW[[#This Row],[HRP3]]/WWWW[[#This Row],[Total PoP ]])</f>
        <v>1</v>
      </c>
      <c r="DS298" s="961">
        <f>1-WWWW[[#This Row],[Hygiene Coverage%]]</f>
        <v>0</v>
      </c>
      <c r="DT298" s="959">
        <f>WWWW[[#This Row],['# people reached by regular dedicated hygiene promotion_5]]/WWWW[[#This Row],[Total PoP ]]</f>
        <v>1</v>
      </c>
      <c r="DU298"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98"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98" s="960">
        <f>WWWW[[#This Row],['#_Constructed/Existing hand washing stations]]-WWWW[[#This Row],['#_Non-Functional_hand_washing_stations]]</f>
        <v>7</v>
      </c>
      <c r="DX298" s="957">
        <f>IF(WWWW[[#This Row],['# Functional hand washing stations during reporting period]]*20&gt;WWWW[[#This Row],[Total HH]],WWWW[[#This Row],[Total HH]],WWWW[[#This Row],['# Functional hand washing stations during reporting period]]*20)</f>
        <v>53</v>
      </c>
      <c r="DY298" s="957">
        <f>IF(WWWW[[#This Row],[Is sufficient soap available for TLS? (Yes/No)]]="yes",WWWW[[#This Row],['#_Constructed/Existing hand washing stations at TLS/CFS/THF]],0)</f>
        <v>5</v>
      </c>
      <c r="DZ298" s="421">
        <f>IF(WWWW[[#This Row],['# Functional hand washing stations during reporting period]]*100&gt;WWWW[[#This Row],[Total PoP ]],WWWW[[#This Row],[Total PoP ]],WWWW[[#This Row],['# Functional hand washing stations during reporting period]]*100)</f>
        <v>278</v>
      </c>
      <c r="EA298" s="421" t="str">
        <f>IF(OR(WWWW[[#This Row],['#_students at TLS_CFS]]="",WWWW[[#This Row],['#_students at TLS_CFS]]=0),"No","Yes")</f>
        <v>No</v>
      </c>
      <c r="EB29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98" s="566">
        <f>WWWW[[#This Row],[%_of_affected_people_surveyed_who_report_feeling_satistfied_with_the_latrine_design_and_sanitation_service]]*WWWW[[#This Row],[Total PoP ]]</f>
        <v>0</v>
      </c>
      <c r="ED298" s="566">
        <f>WWWW[[#This Row],[%_of_affected_people_surveyed_who_report_feeling_satistfied_with_the_water_point_design_and_water_service]]*WWWW[[#This Row],[Total PoP ]]</f>
        <v>0</v>
      </c>
      <c r="EE298" s="566">
        <f>WWWW[[#This Row],[%_of_complaints_received_that_result_in_timely_corrective_action_and_feedback_to_the_community]]*WWWW[[#This Row],[Total PoP ]]</f>
        <v>0</v>
      </c>
      <c r="EF29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9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9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98" s="953" t="str">
        <f>VLOOKUP(WWWW[[#This Row],[Site Name]],SiteDB6[[Site Name]:[CCCM Management]],6,FALSE)</f>
        <v>Yes</v>
      </c>
      <c r="EJ298" s="953" t="str">
        <f>VLOOKUP(WWWW[[#This Row],[Site Name]],SiteDB6[[Site Name]:[CCCM Focal Agency]],7,FALSE)</f>
        <v>KMSS-MYT</v>
      </c>
      <c r="EK298" s="953" t="str">
        <f>VLOOKUP(WWWW[[#This Row],[Site Name]],SiteDB6[[Site Name]:[Location Type 1]],9,FALSE)</f>
        <v>Camp</v>
      </c>
      <c r="EL298" s="953" t="str">
        <f>VLOOKUP(WWWW[[#This Row],[Site Name]],SiteDB6[[Site Name]:[Type of Accommodation]],10,FALSE)</f>
        <v>Camp</v>
      </c>
      <c r="EM298" s="953" t="str">
        <f>VLOOKUP(WWWW[[#This Row],[Site Name]],SiteDB6[[Site Name]:[Ethnic or GCA/NGCA]],11,FALSE)</f>
        <v>GCA</v>
      </c>
      <c r="EN298" s="953">
        <f>VLOOKUP(WWWW[[#This Row],[Site Name]],SiteDB6[[Site Name]:[Lat]],12,FALSE)</f>
        <v>25.403476999999999</v>
      </c>
      <c r="EO298" s="953">
        <f>VLOOKUP(WWWW[[#This Row],[Site Name]],SiteDB6[[Site Name]:[Long]],13,FALSE)</f>
        <v>97.373361000000003</v>
      </c>
      <c r="EP298" s="953" t="str">
        <f>VLOOKUP(WWWW[[#This Row],[Site Name]],SiteDB6[[Site Name]:[Pcode]],3,FALSE)</f>
        <v>MMR001CMP019</v>
      </c>
      <c r="EQ298" s="958" t="str">
        <f t="shared" si="6"/>
        <v>Covered</v>
      </c>
      <c r="ER298" s="950" t="s">
        <v>3126</v>
      </c>
      <c r="ES298" s="972" t="s">
        <v>3288</v>
      </c>
      <c r="ET298" s="953">
        <f>VLOOKUP(WWWW[[#This Row],[Site Name]],SiteDB6[[Site Name]:[Pop
(Kachin/Shan-CCCM as of May 2023)]],16,FALSE)</f>
        <v>53</v>
      </c>
      <c r="EU298" s="953">
        <f>VLOOKUP(WWWW[[#This Row],[Site Name]],SiteDB6[[Site Name]:[Pop
(Kachin/Shan-CCCM as of May 2023)]],17,FALSE)</f>
        <v>279</v>
      </c>
    </row>
    <row r="299" spans="1:151">
      <c r="A299" s="946" t="s">
        <v>2962</v>
      </c>
      <c r="B299" s="938" t="s">
        <v>3347</v>
      </c>
      <c r="C299" s="1005" t="s">
        <v>3349</v>
      </c>
      <c r="D299" s="1005" t="s">
        <v>3093</v>
      </c>
      <c r="E299" s="1005" t="s">
        <v>37</v>
      </c>
      <c r="F299" s="1005" t="s">
        <v>159</v>
      </c>
      <c r="G299" s="902" t="str">
        <f>VLOOKUP(WWWW[[#This Row],[Site Name]],SiteDB6[[Site Name]:[Location Type]],8,FALSE)</f>
        <v>Camp</v>
      </c>
      <c r="H299" s="1005" t="s">
        <v>1599</v>
      </c>
      <c r="I299" s="954">
        <v>132</v>
      </c>
      <c r="J299" s="954">
        <v>686</v>
      </c>
      <c r="K299" s="955">
        <v>44811</v>
      </c>
      <c r="L299" s="956">
        <v>45175</v>
      </c>
      <c r="M299" s="954"/>
      <c r="N299" s="954">
        <v>2</v>
      </c>
      <c r="O299" s="954"/>
      <c r="P299" s="954"/>
      <c r="Q299" s="957" t="s">
        <v>41</v>
      </c>
      <c r="R299" s="954">
        <v>2</v>
      </c>
      <c r="S299" s="954">
        <v>4</v>
      </c>
      <c r="T299" s="441">
        <v>4</v>
      </c>
      <c r="U299" s="976">
        <v>1</v>
      </c>
      <c r="V299" s="954"/>
      <c r="W299" s="973">
        <v>1</v>
      </c>
      <c r="X299" s="954"/>
      <c r="Y299" s="954"/>
      <c r="Z299" s="954"/>
      <c r="AA299" s="954"/>
      <c r="AB299" s="954"/>
      <c r="AC299" s="954"/>
      <c r="AD299" s="954"/>
      <c r="AE299" s="954"/>
      <c r="AF299" s="954"/>
      <c r="AG299" s="954"/>
      <c r="AH299" s="976">
        <v>5</v>
      </c>
      <c r="AI299" s="954"/>
      <c r="AJ299" s="954"/>
      <c r="AK299" s="954"/>
      <c r="AL299" s="954"/>
      <c r="AM299" s="954"/>
      <c r="AN299" s="954"/>
      <c r="AO299" s="441"/>
      <c r="AP299" s="958"/>
      <c r="AQ299" s="954">
        <v>28</v>
      </c>
      <c r="AR299" s="954"/>
      <c r="AS299" s="959"/>
      <c r="AT299" s="954"/>
      <c r="AU299" s="954"/>
      <c r="AV299" s="954"/>
      <c r="AW299" s="954"/>
      <c r="AX299" s="954">
        <v>28</v>
      </c>
      <c r="AY299" s="953" t="s">
        <v>41</v>
      </c>
      <c r="AZ299" s="958" t="s">
        <v>137</v>
      </c>
      <c r="BA299" s="954"/>
      <c r="BB299" s="954"/>
      <c r="BC299" s="954"/>
      <c r="BD299" s="441"/>
      <c r="BE299" s="441"/>
      <c r="BF299" s="953"/>
      <c r="BG299" s="954">
        <v>5</v>
      </c>
      <c r="BH299" s="954"/>
      <c r="BI299" s="954"/>
      <c r="BJ299" s="954">
        <v>9</v>
      </c>
      <c r="BK299" s="954"/>
      <c r="BL299" s="954">
        <v>1</v>
      </c>
      <c r="BM299" s="954">
        <v>1</v>
      </c>
      <c r="BN299" s="954"/>
      <c r="BO299" s="954"/>
      <c r="BP299" s="953"/>
      <c r="BQ299" s="960"/>
      <c r="BR299" s="959"/>
      <c r="BS299" s="953"/>
      <c r="BT299" s="416"/>
      <c r="BU299" s="416"/>
      <c r="BV299" s="418"/>
      <c r="BW299" s="416"/>
      <c r="BX299" s="441"/>
      <c r="BY299" s="441"/>
      <c r="BZ299" s="441"/>
      <c r="CA299" s="441"/>
      <c r="CB299" s="441"/>
      <c r="CC299" s="693"/>
      <c r="CD299" s="441"/>
      <c r="CE299" s="961" t="str">
        <f>IFERROR(WWWW[[#This Row],['#_Water sources passed]]/WWWW[[#This Row],['#_Water sources tested for fecal coliform ]],"no test")</f>
        <v>no test</v>
      </c>
      <c r="CF299" s="959" t="str">
        <f>IFERROR(WWWW[[#This Row],['#_Household passed]]/WWWW[[#This Row],['#_Household water samples tested for fecal coliform]],"no test")</f>
        <v>no test</v>
      </c>
      <c r="CG299" s="960" t="str">
        <f>IF(AND(WWWW[[#This Row],[% of water sources passed]]="no test",WWWW[[#This Row],[% Household passed]]="no test"),"No Test","Tested")</f>
        <v>No Test</v>
      </c>
      <c r="CH299" s="960">
        <f>WWWW[[#This Row],['#_Constructed/existing protected hand dug well]]-WWWW[[#This Row],['#_Non-functional protected hand dug well]]</f>
        <v>3</v>
      </c>
      <c r="CI299" s="960">
        <f>(WWWW[[#This Row],['#_Constructed/Existing tube wells/boreholes/handpumps_WASH_agency]]+WWWW[[#This Row],['#_Non-Cluster partner water tube-wells/boreholes/handpumps]])-WWWW[[#This Row],['#_Non-functional tube wells/boreholes/handpumps]]</f>
        <v>1</v>
      </c>
      <c r="CJ299" s="960">
        <f>WWWW[[#This Row],['#_Constructed/Existingwater storage tank with gravity fed reticulation system]]-WWWW[[#This Row],['#_Non-functional storage tank gravity fed reticulation system]]</f>
        <v>0</v>
      </c>
      <c r="CK299" s="960">
        <f>(WWWW[[#This Row],['#_Water_Liters_supplied_by_Water boating or water trucking]]/90)/15</f>
        <v>0</v>
      </c>
      <c r="CL299" s="960">
        <f>WWWW[[#This Row],['#_Water_Liters_from_Constructed/Existing water distribution system from river or natural spring]]/90/15</f>
        <v>0</v>
      </c>
      <c r="CM299" s="417">
        <f>IF(WWWW[[#This Row],['#_of water points in TLS/CFS]]*500&gt;WWWW[[#This Row],[Total PoP ]],WWWW[[#This Row],[Total PoP ]],WWWW[[#This Row],['#_of water points in TLS/CFS]]*500)</f>
        <v>0</v>
      </c>
      <c r="CN299" s="417">
        <f>IF(WWWW[[#This Row],['#_of water points in THF]]*500&gt;WWWW[[#This Row],[Total PoP ]],WWWW[[#This Row],[Total PoP ]],WWWW[[#This Row],['#_of water points in THF]]*500)</f>
        <v>0</v>
      </c>
      <c r="CO299" s="417"/>
      <c r="CP299"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299"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299" s="959">
        <f>IF(WWWW[[#This Row],[Location Type 1]]="Village",WWWW[[#This Row],[Access to safe drinking water for Village]],WWWW[[#This Row],[Access to safe drinking water for Camp]])</f>
        <v>1</v>
      </c>
      <c r="CS299" s="957">
        <f>WWWW[[#This Row],[%Equitable and continuous access to sufficient quantity of safe drinking water]]*WWWW[[#This Row],[Total PoP ]]</f>
        <v>686</v>
      </c>
      <c r="CT299" s="959">
        <f>IF((WWWW[[#This Row],['#_Constructed/Existing protected/fenced ponds]]*250)/WWWW[[#This Row],[Total PoP ]]&gt;1,1,(WWWW[[#This Row],['#_Constructed/Existing protected/fenced ponds]]*250)/WWWW[[#This Row],[Total PoP ]])</f>
        <v>0</v>
      </c>
      <c r="CU299" s="957">
        <f>WWWW[[#This Row],[% Access to unimproved water points]]*WWWW[[#This Row],[Total PoP ]]</f>
        <v>0</v>
      </c>
      <c r="CV299"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299"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686</v>
      </c>
      <c r="CX299" s="957">
        <f>WWWW[[#This Row],[HRP1]]/500</f>
        <v>1.3720000000000001</v>
      </c>
      <c r="CY299" s="962">
        <f>1-WWWW[[#This Row],[% Equitable and continuous access to sufficient quantity of domestic water]]</f>
        <v>0</v>
      </c>
      <c r="CZ299" s="957">
        <f>WWWW[[#This Row],[%equitable and continuous access to sufficient quantity of safe drinking and domestic water''s GAP]]*WWWW[[#This Row],[Total PoP ]]</f>
        <v>0</v>
      </c>
      <c r="DA299" s="960">
        <f>IF(WWWW[[#This Row],[Total required water points]]-WWWW[[#This Row],['#Water points coverage]]&lt;0,0,WWWW[[#This Row],[Total required water points]]-WWWW[[#This Row],['#Water points coverage]])</f>
        <v>0</v>
      </c>
      <c r="DB299" s="960">
        <f>ROUND(IF(WWWW[[#This Row],[Total PoP ]]&lt;500,1,WWWW[[#This Row],[Total PoP ]]/500),0)</f>
        <v>1</v>
      </c>
      <c r="DC299" s="960">
        <f>(WWWW[[#This Row],['#_Constructed latrines_by_WASHAgencies]]+WWWW[[#This Row],['#_Non Cluster partner latrines]])-WWWW[[#This Row],['#_Non-functional latrines]]</f>
        <v>28</v>
      </c>
      <c r="DD299" s="615">
        <f>WWWW[[#This Row],[HRP2]]/WWWW[[#This Row],[Total PoP ]]</f>
        <v>0.81632653061224492</v>
      </c>
      <c r="DE299"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560</v>
      </c>
      <c r="DF299"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299"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299" s="417">
        <f>IF(WWWW[[#This Row],['# of functional latrines in THF supported by WASH partners during the reporting period2]]="",0,WWWW[[#This Row],['# of functional latrines in THF supported by WASH partners during the reporting period2]]*50)</f>
        <v>0</v>
      </c>
      <c r="DI299" s="960">
        <f>ROUND(IF(WWWW[[#This Row],[Location Type 1]]="camp",WWWW[[#This Row],[Total PoP ]]/20,IF(WWWW[[#This Row],[Location Type 1]]="Temporary Location",WWWW[[#This Row],[Total PoP ]]/50,(WWWW[[#This Row],[Total PoP ]]/6))),0)</f>
        <v>34</v>
      </c>
      <c r="DJ299" s="960">
        <f>IF(WWWW[[#This Row],[Total required Latrines]]-(WWWW[[#This Row],['#_Constructed latrines_by_WASHAgencies]]+WWWW[[#This Row],['#_Non Cluster partner latrines]])&lt;0,0,WWWW[[#This Row],[Total required Latrines]]-(WWWW[[#This Row],['#_Constructed latrines_by_WASHAgencies]]+WWWW[[#This Row],['#_Non Cluster partner latrines]]))</f>
        <v>6</v>
      </c>
      <c r="DK299" s="962">
        <f>1-WWWW[[#This Row],[% people access to functioning Latrine]]</f>
        <v>0.18367346938775508</v>
      </c>
      <c r="DL299" s="961">
        <f>IF(OR(WWWW[[#This Row],['#_Non-functional latrines]]="",WWWW[[#This Row],['#_Non-functional latrines]]=0),0,WWWW[[#This Row],['#_Non-functional latrines]]/(WWWW[[#This Row],['#_Constructed latrines_by_WASHAgencies]]+WWWW[[#This Row],['#_Non Cluster partner latrines]]))</f>
        <v>0</v>
      </c>
      <c r="DM299" s="957">
        <f>IF(500*(WWWW[[#This Row],['#_male hygiene promoters]]+WWWW[[#This Row],['#_female hygiene promoters]])&gt;WWWW[[#This Row],[Total PoP ]],WWWW[[#This Row],[Total PoP ]],500*(WWWW[[#This Row],['#_male hygiene promoters]]+WWWW[[#This Row],['#_female hygiene promoters]]))</f>
        <v>686</v>
      </c>
      <c r="DN299"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299"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299" s="960">
        <f>IF(WWWW[[#This Row],['# People with access to soap]]&gt;WWWW[[#This Row],['# People with access to Sanity Pads]],WWWW[[#This Row],['# People with access to soap]],WWWW[[#This Row],['# People with access to Sanity Pads]])</f>
        <v>0</v>
      </c>
      <c r="DQ299" s="960">
        <f>IF(WWWW[[#This Row],['# people reached by regular dedicated hygiene promotion_5]]&gt;WWWW[[#This Row],['# People received regular supply of hygiene items_6]],WWWW[[#This Row],['# people reached by regular dedicated hygiene promotion_5]],WWWW[[#This Row],['# People received regular supply of hygiene items_6]])</f>
        <v>686</v>
      </c>
      <c r="DR299" s="962">
        <f>IF(WWWW[[#This Row],[HRP3]]/WWWW[[#This Row],[Total PoP ]]&gt;1,1,WWWW[[#This Row],[HRP3]]/WWWW[[#This Row],[Total PoP ]])</f>
        <v>1</v>
      </c>
      <c r="DS299" s="961">
        <f>1-WWWW[[#This Row],[Hygiene Coverage%]]</f>
        <v>0</v>
      </c>
      <c r="DT299" s="959">
        <f>WWWW[[#This Row],['# people reached by regular dedicated hygiene promotion_5]]/WWWW[[#This Row],[Total PoP ]]</f>
        <v>1</v>
      </c>
      <c r="DU299"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299"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299" s="960">
        <f>WWWW[[#This Row],['#_Constructed/Existing hand washing stations]]-WWWW[[#This Row],['#_Non-Functional_hand_washing_stations]]</f>
        <v>5</v>
      </c>
      <c r="DX299" s="957">
        <f>IF(WWWW[[#This Row],['# Functional hand washing stations during reporting period]]*20&gt;WWWW[[#This Row],[Total HH]],WWWW[[#This Row],[Total HH]],WWWW[[#This Row],['# Functional hand washing stations during reporting period]]*20)</f>
        <v>100</v>
      </c>
      <c r="DY299" s="957">
        <f>IF(WWWW[[#This Row],[Is sufficient soap available for TLS? (Yes/No)]]="yes",WWWW[[#This Row],['#_Constructed/Existing hand washing stations at TLS/CFS/THF]],0)</f>
        <v>0</v>
      </c>
      <c r="DZ299" s="421">
        <f>IF(WWWW[[#This Row],['# Functional hand washing stations during reporting period]]*100&gt;WWWW[[#This Row],[Total PoP ]],WWWW[[#This Row],[Total PoP ]],WWWW[[#This Row],['# Functional hand washing stations during reporting period]]*100)</f>
        <v>500</v>
      </c>
      <c r="EA299" s="421" t="str">
        <f>IF(OR(WWWW[[#This Row],['#_students at TLS_CFS]]="",WWWW[[#This Row],['#_students at TLS_CFS]]=0),"No","Yes")</f>
        <v>No</v>
      </c>
      <c r="EB29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299" s="566">
        <f>WWWW[[#This Row],[%_of_affected_people_surveyed_who_report_feeling_satistfied_with_the_latrine_design_and_sanitation_service]]*WWWW[[#This Row],[Total PoP ]]</f>
        <v>0</v>
      </c>
      <c r="ED299" s="566">
        <f>WWWW[[#This Row],[%_of_affected_people_surveyed_who_report_feeling_satistfied_with_the_water_point_design_and_water_service]]*WWWW[[#This Row],[Total PoP ]]</f>
        <v>0</v>
      </c>
      <c r="EE299" s="566">
        <f>WWWW[[#This Row],[%_of_complaints_received_that_result_in_timely_corrective_action_and_feedback_to_the_community]]*WWWW[[#This Row],[Total PoP ]]</f>
        <v>0</v>
      </c>
      <c r="EF29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29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29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299" s="953">
        <f>VLOOKUP(WWWW[[#This Row],[Site Name]],SiteDB6[[Site Name]:[CCCM Management]],6,FALSE)</f>
        <v>0</v>
      </c>
      <c r="EJ299" s="953" t="str">
        <f>VLOOKUP(WWWW[[#This Row],[Site Name]],SiteDB6[[Site Name]:[CCCM Focal Agency]],7,FALSE)</f>
        <v>KBC-MYT</v>
      </c>
      <c r="EK299" s="953" t="str">
        <f>VLOOKUP(WWWW[[#This Row],[Site Name]],SiteDB6[[Site Name]:[Location Type 1]],9,FALSE)</f>
        <v>Camp</v>
      </c>
      <c r="EL299" s="953" t="str">
        <f>VLOOKUP(WWWW[[#This Row],[Site Name]],SiteDB6[[Site Name]:[Type of Accommodation]],10,FALSE)</f>
        <v>Camp</v>
      </c>
      <c r="EM299" s="953" t="str">
        <f>VLOOKUP(WWWW[[#This Row],[Site Name]],SiteDB6[[Site Name]:[Ethnic or GCA/NGCA]],11,FALSE)</f>
        <v>GCA</v>
      </c>
      <c r="EN299" s="953">
        <f>VLOOKUP(WWWW[[#This Row],[Site Name]],SiteDB6[[Site Name]:[Lat]],12,FALSE)</f>
        <v>25.489669799804702</v>
      </c>
      <c r="EO299" s="953">
        <f>VLOOKUP(WWWW[[#This Row],[Site Name]],SiteDB6[[Site Name]:[Long]],13,FALSE)</f>
        <v>97.458778381347699</v>
      </c>
      <c r="EP299" s="953" t="str">
        <f>VLOOKUP(WWWW[[#This Row],[Site Name]],SiteDB6[[Site Name]:[Pcode]],3,FALSE)</f>
        <v>MMR001CMP265</v>
      </c>
      <c r="EQ299" s="958" t="str">
        <f t="shared" si="6"/>
        <v>Covered</v>
      </c>
      <c r="ER299" s="950" t="s">
        <v>3126</v>
      </c>
      <c r="ES299" s="950" t="s">
        <v>3267</v>
      </c>
      <c r="ET299" s="953">
        <f>VLOOKUP(WWWW[[#This Row],[Site Name]],SiteDB6[[Site Name]:[Pop
(Kachin/Shan-CCCM as of May 2023)]],16,FALSE)</f>
        <v>138</v>
      </c>
      <c r="EU299" s="953">
        <f>VLOOKUP(WWWW[[#This Row],[Site Name]],SiteDB6[[Site Name]:[Pop
(Kachin/Shan-CCCM as of May 2023)]],17,FALSE)</f>
        <v>667</v>
      </c>
    </row>
    <row r="300" spans="1:151">
      <c r="A300" s="946" t="s">
        <v>2962</v>
      </c>
      <c r="B300" s="1004" t="s">
        <v>36</v>
      </c>
      <c r="C300" s="1005" t="s">
        <v>36</v>
      </c>
      <c r="D300" s="1005" t="s">
        <v>241</v>
      </c>
      <c r="E300" s="1005" t="s">
        <v>37</v>
      </c>
      <c r="F300" s="1005" t="s">
        <v>159</v>
      </c>
      <c r="G300" s="902" t="str">
        <f>VLOOKUP(WWWW[[#This Row],[Site Name]],SiteDB6[[Site Name]:[Location Type]],8,FALSE)</f>
        <v>Camp</v>
      </c>
      <c r="H300" s="1005" t="s">
        <v>823</v>
      </c>
      <c r="I300" s="954">
        <v>18</v>
      </c>
      <c r="J300" s="954">
        <v>64</v>
      </c>
      <c r="K300" s="955">
        <v>44973</v>
      </c>
      <c r="L300" s="956">
        <v>45337</v>
      </c>
      <c r="M300" s="954"/>
      <c r="N300" s="954">
        <v>2</v>
      </c>
      <c r="O300" s="954"/>
      <c r="P300" s="954"/>
      <c r="Q300" s="957" t="s">
        <v>41</v>
      </c>
      <c r="R300" s="954">
        <v>1</v>
      </c>
      <c r="S300" s="954">
        <v>2</v>
      </c>
      <c r="T300" s="441">
        <v>1</v>
      </c>
      <c r="U300" s="954"/>
      <c r="V300" s="954"/>
      <c r="W300" s="954">
        <v>1</v>
      </c>
      <c r="X300" s="954"/>
      <c r="Y300" s="954"/>
      <c r="Z300" s="954"/>
      <c r="AA300" s="954"/>
      <c r="AB300" s="954"/>
      <c r="AC300" s="954"/>
      <c r="AD300" s="954"/>
      <c r="AE300" s="954"/>
      <c r="AF300" s="954"/>
      <c r="AG300" s="954"/>
      <c r="AH300" s="954"/>
      <c r="AI300" s="954">
        <v>1</v>
      </c>
      <c r="AJ300" s="954"/>
      <c r="AK300" s="954">
        <v>1</v>
      </c>
      <c r="AL300" s="954"/>
      <c r="AM300" s="954">
        <v>4</v>
      </c>
      <c r="AN300" s="954"/>
      <c r="AO300" s="441"/>
      <c r="AP300" s="958"/>
      <c r="AQ300" s="954">
        <v>4</v>
      </c>
      <c r="AR300" s="954"/>
      <c r="AS300" s="959"/>
      <c r="AT300" s="954"/>
      <c r="AU300" s="954"/>
      <c r="AV300" s="954"/>
      <c r="AW300" s="954"/>
      <c r="AX300" s="954"/>
      <c r="AY300" s="953" t="s">
        <v>41</v>
      </c>
      <c r="AZ300" s="958" t="s">
        <v>137</v>
      </c>
      <c r="BA300" s="954"/>
      <c r="BB300" s="954"/>
      <c r="BC300" s="954"/>
      <c r="BD300" s="441"/>
      <c r="BE300" s="441"/>
      <c r="BF300" s="953"/>
      <c r="BG300" s="954">
        <v>2</v>
      </c>
      <c r="BH300" s="954"/>
      <c r="BI300" s="954"/>
      <c r="BJ300" s="954">
        <v>1</v>
      </c>
      <c r="BK300" s="954"/>
      <c r="BL300" s="954"/>
      <c r="BM300" s="954">
        <v>1</v>
      </c>
      <c r="BN300" s="954"/>
      <c r="BO300" s="954"/>
      <c r="BP300" s="953" t="s">
        <v>41</v>
      </c>
      <c r="BQ300" s="960"/>
      <c r="BR300" s="959"/>
      <c r="BS300" s="953"/>
      <c r="BT300" s="416"/>
      <c r="BU300" s="416"/>
      <c r="BV300" s="418"/>
      <c r="BW300" s="416"/>
      <c r="BX300" s="441"/>
      <c r="BY300" s="441"/>
      <c r="BZ300" s="441"/>
      <c r="CA300" s="441"/>
      <c r="CB300" s="441"/>
      <c r="CC300" s="693"/>
      <c r="CD300" s="441"/>
      <c r="CE300" s="961">
        <f>IFERROR(WWWW[[#This Row],['#_Water sources passed]]/WWWW[[#This Row],['#_Water sources tested for fecal coliform ]],"no test")</f>
        <v>0</v>
      </c>
      <c r="CF300" s="959">
        <f>IFERROR(WWWW[[#This Row],['#_Household passed]]/WWWW[[#This Row],['#_Household water samples tested for fecal coliform]],"no test")</f>
        <v>0</v>
      </c>
      <c r="CG300" s="960" t="str">
        <f>IF(AND(WWWW[[#This Row],[% of water sources passed]]="no test",WWWW[[#This Row],[% Household passed]]="no test"),"No Test","Tested")</f>
        <v>Tested</v>
      </c>
      <c r="CH300" s="960">
        <f>WWWW[[#This Row],['#_Constructed/existing protected hand dug well]]-WWWW[[#This Row],['#_Non-functional protected hand dug well]]</f>
        <v>1</v>
      </c>
      <c r="CI300" s="960">
        <f>(WWWW[[#This Row],['#_Constructed/Existing tube wells/boreholes/handpumps_WASH_agency]]+WWWW[[#This Row],['#_Non-Cluster partner water tube-wells/boreholes/handpumps]])-WWWW[[#This Row],['#_Non-functional tube wells/boreholes/handpumps]]</f>
        <v>1</v>
      </c>
      <c r="CJ300" s="960">
        <f>WWWW[[#This Row],['#_Constructed/Existingwater storage tank with gravity fed reticulation system]]-WWWW[[#This Row],['#_Non-functional storage tank gravity fed reticulation system]]</f>
        <v>0</v>
      </c>
      <c r="CK300" s="960">
        <f>(WWWW[[#This Row],['#_Water_Liters_supplied_by_Water boating or water trucking]]/90)/15</f>
        <v>0</v>
      </c>
      <c r="CL300" s="960">
        <f>WWWW[[#This Row],['#_Water_Liters_from_Constructed/Existing water distribution system from river or natural spring]]/90/15</f>
        <v>0</v>
      </c>
      <c r="CM300" s="417">
        <f>IF(WWWW[[#This Row],['#_of water points in TLS/CFS]]*500&gt;WWWW[[#This Row],[Total PoP ]],WWWW[[#This Row],[Total PoP ]],WWWW[[#This Row],['#_of water points in TLS/CFS]]*500)</f>
        <v>0</v>
      </c>
      <c r="CN300" s="417">
        <f>IF(WWWW[[#This Row],['#_of water points in THF]]*500&gt;WWWW[[#This Row],[Total PoP ]],WWWW[[#This Row],[Total PoP ]],WWWW[[#This Row],['#_of water points in THF]]*500)</f>
        <v>0</v>
      </c>
      <c r="CO300" s="417"/>
      <c r="CP300"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00"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00" s="959">
        <f>IF(WWWW[[#This Row],[Location Type 1]]="Village",WWWW[[#This Row],[Access to safe drinking water for Village]],WWWW[[#This Row],[Access to safe drinking water for Camp]])</f>
        <v>1</v>
      </c>
      <c r="CS300" s="957">
        <f>WWWW[[#This Row],[%Equitable and continuous access to sufficient quantity of safe drinking water]]*WWWW[[#This Row],[Total PoP ]]</f>
        <v>64</v>
      </c>
      <c r="CT300" s="959">
        <f>IF((WWWW[[#This Row],['#_Constructed/Existing protected/fenced ponds]]*250)/WWWW[[#This Row],[Total PoP ]]&gt;1,1,(WWWW[[#This Row],['#_Constructed/Existing protected/fenced ponds]]*250)/WWWW[[#This Row],[Total PoP ]])</f>
        <v>0</v>
      </c>
      <c r="CU300" s="957">
        <f>WWWW[[#This Row],[% Access to unimproved water points]]*WWWW[[#This Row],[Total PoP ]]</f>
        <v>0</v>
      </c>
      <c r="CV300"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00"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64</v>
      </c>
      <c r="CX300" s="957">
        <f>WWWW[[#This Row],[HRP1]]/500</f>
        <v>0.128</v>
      </c>
      <c r="CY300" s="962">
        <f>1-WWWW[[#This Row],[% Equitable and continuous access to sufficient quantity of domestic water]]</f>
        <v>0</v>
      </c>
      <c r="CZ300" s="957">
        <f>WWWW[[#This Row],[%equitable and continuous access to sufficient quantity of safe drinking and domestic water''s GAP]]*WWWW[[#This Row],[Total PoP ]]</f>
        <v>0</v>
      </c>
      <c r="DA300" s="960">
        <f>IF(WWWW[[#This Row],[Total required water points]]-WWWW[[#This Row],['#Water points coverage]]&lt;0,0,WWWW[[#This Row],[Total required water points]]-WWWW[[#This Row],['#Water points coverage]])</f>
        <v>0.872</v>
      </c>
      <c r="DB300" s="960">
        <f>ROUND(IF(WWWW[[#This Row],[Total PoP ]]&lt;500,1,WWWW[[#This Row],[Total PoP ]]/500),0)</f>
        <v>1</v>
      </c>
      <c r="DC300" s="960">
        <f>(WWWW[[#This Row],['#_Constructed latrines_by_WASHAgencies]]+WWWW[[#This Row],['#_Non Cluster partner latrines]])-WWWW[[#This Row],['#_Non-functional latrines]]</f>
        <v>4</v>
      </c>
      <c r="DD300" s="615">
        <f>WWWW[[#This Row],[HRP2]]/WWWW[[#This Row],[Total PoP ]]</f>
        <v>1</v>
      </c>
      <c r="DE300"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64</v>
      </c>
      <c r="DF300"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00"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00" s="417">
        <f>IF(WWWW[[#This Row],['# of functional latrines in THF supported by WASH partners during the reporting period2]]="",0,WWWW[[#This Row],['# of functional latrines in THF supported by WASH partners during the reporting period2]]*50)</f>
        <v>0</v>
      </c>
      <c r="DI300" s="960">
        <f>ROUND(IF(WWWW[[#This Row],[Location Type 1]]="camp",WWWW[[#This Row],[Total PoP ]]/20,IF(WWWW[[#This Row],[Location Type 1]]="Temporary Location",WWWW[[#This Row],[Total PoP ]]/50,(WWWW[[#This Row],[Total PoP ]]/6))),0)</f>
        <v>3</v>
      </c>
      <c r="DJ300" s="960">
        <f>IF(WWWW[[#This Row],[Total required Latrines]]-(WWWW[[#This Row],['#_Constructed latrines_by_WASHAgencies]]+WWWW[[#This Row],['#_Non Cluster partner latrines]])&lt;0,0,WWWW[[#This Row],[Total required Latrines]]-(WWWW[[#This Row],['#_Constructed latrines_by_WASHAgencies]]+WWWW[[#This Row],['#_Non Cluster partner latrines]]))</f>
        <v>0</v>
      </c>
      <c r="DK300" s="962">
        <f>1-WWWW[[#This Row],[% people access to functioning Latrine]]</f>
        <v>0</v>
      </c>
      <c r="DL300" s="961">
        <f>IF(OR(WWWW[[#This Row],['#_Non-functional latrines]]="",WWWW[[#This Row],['#_Non-functional latrines]]=0),0,WWWW[[#This Row],['#_Non-functional latrines]]/(WWWW[[#This Row],['#_Constructed latrines_by_WASHAgencies]]+WWWW[[#This Row],['#_Non Cluster partner latrines]]))</f>
        <v>0</v>
      </c>
      <c r="DM300" s="957">
        <f>IF(500*(WWWW[[#This Row],['#_male hygiene promoters]]+WWWW[[#This Row],['#_female hygiene promoters]])&gt;WWWW[[#This Row],[Total PoP ]],WWWW[[#This Row],[Total PoP ]],500*(WWWW[[#This Row],['#_male hygiene promoters]]+WWWW[[#This Row],['#_female hygiene promoters]]))</f>
        <v>64</v>
      </c>
      <c r="DN300"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00"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00" s="960">
        <f>IF(WWWW[[#This Row],['# People with access to soap]]&gt;WWWW[[#This Row],['# People with access to Sanity Pads]],WWWW[[#This Row],['# People with access to soap]],WWWW[[#This Row],['# People with access to Sanity Pads]])</f>
        <v>0</v>
      </c>
      <c r="DQ300" s="960">
        <f>IF(WWWW[[#This Row],['# people reached by regular dedicated hygiene promotion_5]]&gt;WWWW[[#This Row],['# People received regular supply of hygiene items_6]],WWWW[[#This Row],['# people reached by regular dedicated hygiene promotion_5]],WWWW[[#This Row],['# People received regular supply of hygiene items_6]])</f>
        <v>64</v>
      </c>
      <c r="DR300" s="962">
        <f>IF(WWWW[[#This Row],[HRP3]]/WWWW[[#This Row],[Total PoP ]]&gt;1,1,WWWW[[#This Row],[HRP3]]/WWWW[[#This Row],[Total PoP ]])</f>
        <v>1</v>
      </c>
      <c r="DS300" s="961">
        <f>1-WWWW[[#This Row],[Hygiene Coverage%]]</f>
        <v>0</v>
      </c>
      <c r="DT300" s="959">
        <f>WWWW[[#This Row],['# people reached by regular dedicated hygiene promotion_5]]/WWWW[[#This Row],[Total PoP ]]</f>
        <v>1</v>
      </c>
      <c r="DU300"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00"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00" s="960">
        <f>WWWW[[#This Row],['#_Constructed/Existing hand washing stations]]-WWWW[[#This Row],['#_Non-Functional_hand_washing_stations]]</f>
        <v>2</v>
      </c>
      <c r="DX300" s="957">
        <f>IF(WWWW[[#This Row],['# Functional hand washing stations during reporting period]]*20&gt;WWWW[[#This Row],[Total HH]],WWWW[[#This Row],[Total HH]],WWWW[[#This Row],['# Functional hand washing stations during reporting period]]*20)</f>
        <v>18</v>
      </c>
      <c r="DY300" s="957">
        <f>IF(WWWW[[#This Row],[Is sufficient soap available for TLS? (Yes/No)]]="yes",WWWW[[#This Row],['#_Constructed/Existing hand washing stations at TLS/CFS/THF]],0)</f>
        <v>4</v>
      </c>
      <c r="DZ300" s="421">
        <f>IF(WWWW[[#This Row],['# Functional hand washing stations during reporting period]]*100&gt;WWWW[[#This Row],[Total PoP ]],WWWW[[#This Row],[Total PoP ]],WWWW[[#This Row],['# Functional hand washing stations during reporting period]]*100)</f>
        <v>64</v>
      </c>
      <c r="EA300" s="421" t="str">
        <f>IF(OR(WWWW[[#This Row],['#_students at TLS_CFS]]="",WWWW[[#This Row],['#_students at TLS_CFS]]=0),"No","Yes")</f>
        <v>No</v>
      </c>
      <c r="EB30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00" s="566">
        <f>WWWW[[#This Row],[%_of_affected_people_surveyed_who_report_feeling_satistfied_with_the_latrine_design_and_sanitation_service]]*WWWW[[#This Row],[Total PoP ]]</f>
        <v>0</v>
      </c>
      <c r="ED300" s="566">
        <f>WWWW[[#This Row],[%_of_affected_people_surveyed_who_report_feeling_satistfied_with_the_water_point_design_and_water_service]]*WWWW[[#This Row],[Total PoP ]]</f>
        <v>0</v>
      </c>
      <c r="EE300" s="566">
        <f>WWWW[[#This Row],[%_of_complaints_received_that_result_in_timely_corrective_action_and_feedback_to_the_community]]*WWWW[[#This Row],[Total PoP ]]</f>
        <v>0</v>
      </c>
      <c r="EF30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0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0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00" s="953">
        <f>VLOOKUP(WWWW[[#This Row],[Site Name]],SiteDB6[[Site Name]:[CCCM Management]],6,FALSE)</f>
        <v>0</v>
      </c>
      <c r="EJ300" s="953" t="str">
        <f>VLOOKUP(WWWW[[#This Row],[Site Name]],SiteDB6[[Site Name]:[CCCM Focal Agency]],7,FALSE)</f>
        <v>KMSS-MYT</v>
      </c>
      <c r="EK300" s="953" t="str">
        <f>VLOOKUP(WWWW[[#This Row],[Site Name]],SiteDB6[[Site Name]:[Location Type 1]],9,FALSE)</f>
        <v>Camp</v>
      </c>
      <c r="EL300" s="953" t="str">
        <f>VLOOKUP(WWWW[[#This Row],[Site Name]],SiteDB6[[Site Name]:[Type of Accommodation]],10,FALSE)</f>
        <v>Camp</v>
      </c>
      <c r="EM300" s="953" t="str">
        <f>VLOOKUP(WWWW[[#This Row],[Site Name]],SiteDB6[[Site Name]:[Ethnic or GCA/NGCA]],11,FALSE)</f>
        <v>GCA</v>
      </c>
      <c r="EN300" s="953">
        <f>VLOOKUP(WWWW[[#This Row],[Site Name]],SiteDB6[[Site Name]:[Lat]],12,FALSE)</f>
        <v>25.244700000000002</v>
      </c>
      <c r="EO300" s="953">
        <f>VLOOKUP(WWWW[[#This Row],[Site Name]],SiteDB6[[Site Name]:[Long]],13,FALSE)</f>
        <v>97.2209</v>
      </c>
      <c r="EP300" s="953" t="str">
        <f>VLOOKUP(WWWW[[#This Row],[Site Name]],SiteDB6[[Site Name]:[Pcode]],3,FALSE)</f>
        <v>MMR001CMP256</v>
      </c>
      <c r="EQ300" s="958" t="str">
        <f t="shared" si="6"/>
        <v>Covered</v>
      </c>
      <c r="ER300" s="950" t="s">
        <v>3126</v>
      </c>
      <c r="ES300" s="972" t="s">
        <v>3288</v>
      </c>
      <c r="ET300" s="953">
        <f>VLOOKUP(WWWW[[#This Row],[Site Name]],SiteDB6[[Site Name]:[Pop
(Kachin/Shan-CCCM as of May 2023)]],16,FALSE)</f>
        <v>18</v>
      </c>
      <c r="EU300" s="953">
        <f>VLOOKUP(WWWW[[#This Row],[Site Name]],SiteDB6[[Site Name]:[Pop
(Kachin/Shan-CCCM as of May 2023)]],17,FALSE)</f>
        <v>64</v>
      </c>
    </row>
    <row r="301" spans="1:151">
      <c r="A301" s="946" t="s">
        <v>2962</v>
      </c>
      <c r="B301" s="938" t="s">
        <v>3347</v>
      </c>
      <c r="C301" s="938" t="s">
        <v>3347</v>
      </c>
      <c r="D301" s="1005" t="s">
        <v>241</v>
      </c>
      <c r="E301" s="1005" t="s">
        <v>37</v>
      </c>
      <c r="F301" s="1005" t="s">
        <v>159</v>
      </c>
      <c r="G301" s="902" t="str">
        <f>VLOOKUP(WWWW[[#This Row],[Site Name]],SiteDB6[[Site Name]:[Location Type]],8,FALSE)</f>
        <v>Camp</v>
      </c>
      <c r="H301" s="1005" t="s">
        <v>163</v>
      </c>
      <c r="I301" s="954">
        <v>110</v>
      </c>
      <c r="J301" s="954">
        <v>564</v>
      </c>
      <c r="K301" s="955">
        <v>44811</v>
      </c>
      <c r="L301" s="956">
        <v>45175</v>
      </c>
      <c r="M301" s="954"/>
      <c r="N301" s="954">
        <v>2</v>
      </c>
      <c r="O301" s="954"/>
      <c r="P301" s="954"/>
      <c r="Q301" s="957" t="s">
        <v>41</v>
      </c>
      <c r="R301" s="954">
        <v>2</v>
      </c>
      <c r="S301" s="954">
        <v>3</v>
      </c>
      <c r="T301" s="441">
        <v>1</v>
      </c>
      <c r="U301" s="954"/>
      <c r="V301" s="954"/>
      <c r="W301" s="976">
        <v>2</v>
      </c>
      <c r="X301" s="954"/>
      <c r="Y301" s="954"/>
      <c r="Z301" s="954"/>
      <c r="AA301" s="954"/>
      <c r="AB301" s="954"/>
      <c r="AC301" s="954"/>
      <c r="AD301" s="954"/>
      <c r="AE301" s="954"/>
      <c r="AF301" s="954"/>
      <c r="AG301" s="954"/>
      <c r="AH301" s="976">
        <v>3</v>
      </c>
      <c r="AI301" s="954"/>
      <c r="AJ301" s="954"/>
      <c r="AK301" s="954"/>
      <c r="AL301" s="954"/>
      <c r="AM301" s="954"/>
      <c r="AN301" s="954"/>
      <c r="AO301" s="441"/>
      <c r="AP301" s="958"/>
      <c r="AQ301" s="954">
        <v>14</v>
      </c>
      <c r="AR301" s="954"/>
      <c r="AS301" s="959"/>
      <c r="AT301" s="954"/>
      <c r="AU301" s="954"/>
      <c r="AV301" s="954"/>
      <c r="AW301" s="954"/>
      <c r="AX301" s="954">
        <v>14</v>
      </c>
      <c r="AY301" s="953" t="s">
        <v>41</v>
      </c>
      <c r="AZ301" s="958" t="s">
        <v>137</v>
      </c>
      <c r="BA301" s="954"/>
      <c r="BB301" s="954"/>
      <c r="BC301" s="954"/>
      <c r="BD301" s="441"/>
      <c r="BE301" s="441"/>
      <c r="BF301" s="953"/>
      <c r="BG301" s="954">
        <v>3</v>
      </c>
      <c r="BH301" s="954"/>
      <c r="BI301" s="954"/>
      <c r="BJ301" s="954">
        <v>4</v>
      </c>
      <c r="BK301" s="954"/>
      <c r="BL301" s="954"/>
      <c r="BM301" s="954">
        <v>2</v>
      </c>
      <c r="BN301" s="954"/>
      <c r="BO301" s="954"/>
      <c r="BP301" s="953"/>
      <c r="BQ301" s="960"/>
      <c r="BR301" s="959"/>
      <c r="BS301" s="953"/>
      <c r="BT301" s="416"/>
      <c r="BU301" s="416"/>
      <c r="BV301" s="418"/>
      <c r="BW301" s="416"/>
      <c r="BX301" s="441"/>
      <c r="BY301" s="441"/>
      <c r="BZ301" s="441"/>
      <c r="CA301" s="441"/>
      <c r="CB301" s="441"/>
      <c r="CC301" s="693"/>
      <c r="CD301" s="441"/>
      <c r="CE301" s="961" t="str">
        <f>IFERROR(WWWW[[#This Row],['#_Water sources passed]]/WWWW[[#This Row],['#_Water sources tested for fecal coliform ]],"no test")</f>
        <v>no test</v>
      </c>
      <c r="CF301" s="959" t="str">
        <f>IFERROR(WWWW[[#This Row],['#_Household passed]]/WWWW[[#This Row],['#_Household water samples tested for fecal coliform]],"no test")</f>
        <v>no test</v>
      </c>
      <c r="CG301" s="960" t="str">
        <f>IF(AND(WWWW[[#This Row],[% of water sources passed]]="no test",WWWW[[#This Row],[% Household passed]]="no test"),"No Test","Tested")</f>
        <v>No Test</v>
      </c>
      <c r="CH301" s="960">
        <f>WWWW[[#This Row],['#_Constructed/existing protected hand dug well]]-WWWW[[#This Row],['#_Non-functional protected hand dug well]]</f>
        <v>1</v>
      </c>
      <c r="CI301" s="960">
        <f>(WWWW[[#This Row],['#_Constructed/Existing tube wells/boreholes/handpumps_WASH_agency]]+WWWW[[#This Row],['#_Non-Cluster partner water tube-wells/boreholes/handpumps]])-WWWW[[#This Row],['#_Non-functional tube wells/boreholes/handpumps]]</f>
        <v>2</v>
      </c>
      <c r="CJ301" s="960">
        <f>WWWW[[#This Row],['#_Constructed/Existingwater storage tank with gravity fed reticulation system]]-WWWW[[#This Row],['#_Non-functional storage tank gravity fed reticulation system]]</f>
        <v>0</v>
      </c>
      <c r="CK301" s="960">
        <f>(WWWW[[#This Row],['#_Water_Liters_supplied_by_Water boating or water trucking]]/90)/15</f>
        <v>0</v>
      </c>
      <c r="CL301" s="960">
        <f>WWWW[[#This Row],['#_Water_Liters_from_Constructed/Existing water distribution system from river or natural spring]]/90/15</f>
        <v>0</v>
      </c>
      <c r="CM301" s="417">
        <f>IF(WWWW[[#This Row],['#_of water points in TLS/CFS]]*500&gt;WWWW[[#This Row],[Total PoP ]],WWWW[[#This Row],[Total PoP ]],WWWW[[#This Row],['#_of water points in TLS/CFS]]*500)</f>
        <v>0</v>
      </c>
      <c r="CN301" s="417">
        <f>IF(WWWW[[#This Row],['#_of water points in THF]]*500&gt;WWWW[[#This Row],[Total PoP ]],WWWW[[#This Row],[Total PoP ]],WWWW[[#This Row],['#_of water points in THF]]*500)</f>
        <v>0</v>
      </c>
      <c r="CO301" s="417"/>
      <c r="CP301"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01"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01" s="959">
        <f>IF(WWWW[[#This Row],[Location Type 1]]="Village",WWWW[[#This Row],[Access to safe drinking water for Village]],WWWW[[#This Row],[Access to safe drinking water for Camp]])</f>
        <v>1</v>
      </c>
      <c r="CS301" s="957">
        <f>WWWW[[#This Row],[%Equitable and continuous access to sufficient quantity of safe drinking water]]*WWWW[[#This Row],[Total PoP ]]</f>
        <v>564</v>
      </c>
      <c r="CT301" s="959">
        <f>IF((WWWW[[#This Row],['#_Constructed/Existing protected/fenced ponds]]*250)/WWWW[[#This Row],[Total PoP ]]&gt;1,1,(WWWW[[#This Row],['#_Constructed/Existing protected/fenced ponds]]*250)/WWWW[[#This Row],[Total PoP ]])</f>
        <v>0</v>
      </c>
      <c r="CU301" s="957">
        <f>WWWW[[#This Row],[% Access to unimproved water points]]*WWWW[[#This Row],[Total PoP ]]</f>
        <v>0</v>
      </c>
      <c r="CV301"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01"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564</v>
      </c>
      <c r="CX301" s="957">
        <f>WWWW[[#This Row],[HRP1]]/500</f>
        <v>1.1279999999999999</v>
      </c>
      <c r="CY301" s="962">
        <f>1-WWWW[[#This Row],[% Equitable and continuous access to sufficient quantity of domestic water]]</f>
        <v>0</v>
      </c>
      <c r="CZ301" s="957">
        <f>WWWW[[#This Row],[%equitable and continuous access to sufficient quantity of safe drinking and domestic water''s GAP]]*WWWW[[#This Row],[Total PoP ]]</f>
        <v>0</v>
      </c>
      <c r="DA301" s="960">
        <f>IF(WWWW[[#This Row],[Total required water points]]-WWWW[[#This Row],['#Water points coverage]]&lt;0,0,WWWW[[#This Row],[Total required water points]]-WWWW[[#This Row],['#Water points coverage]])</f>
        <v>0</v>
      </c>
      <c r="DB301" s="960">
        <f>ROUND(IF(WWWW[[#This Row],[Total PoP ]]&lt;500,1,WWWW[[#This Row],[Total PoP ]]/500),0)</f>
        <v>1</v>
      </c>
      <c r="DC301" s="960">
        <f>(WWWW[[#This Row],['#_Constructed latrines_by_WASHAgencies]]+WWWW[[#This Row],['#_Non Cluster partner latrines]])-WWWW[[#This Row],['#_Non-functional latrines]]</f>
        <v>14</v>
      </c>
      <c r="DD301" s="615">
        <f>WWWW[[#This Row],[HRP2]]/WWWW[[#This Row],[Total PoP ]]</f>
        <v>0.49645390070921985</v>
      </c>
      <c r="DE301"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280</v>
      </c>
      <c r="DF301"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01"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01" s="417">
        <f>IF(WWWW[[#This Row],['# of functional latrines in THF supported by WASH partners during the reporting period2]]="",0,WWWW[[#This Row],['# of functional latrines in THF supported by WASH partners during the reporting period2]]*50)</f>
        <v>0</v>
      </c>
      <c r="DI301" s="960">
        <f>ROUND(IF(WWWW[[#This Row],[Location Type 1]]="camp",WWWW[[#This Row],[Total PoP ]]/20,IF(WWWW[[#This Row],[Location Type 1]]="Temporary Location",WWWW[[#This Row],[Total PoP ]]/50,(WWWW[[#This Row],[Total PoP ]]/6))),0)</f>
        <v>28</v>
      </c>
      <c r="DJ301" s="960">
        <f>IF(WWWW[[#This Row],[Total required Latrines]]-(WWWW[[#This Row],['#_Constructed latrines_by_WASHAgencies]]+WWWW[[#This Row],['#_Non Cluster partner latrines]])&lt;0,0,WWWW[[#This Row],[Total required Latrines]]-(WWWW[[#This Row],['#_Constructed latrines_by_WASHAgencies]]+WWWW[[#This Row],['#_Non Cluster partner latrines]]))</f>
        <v>14</v>
      </c>
      <c r="DK301" s="962">
        <f>1-WWWW[[#This Row],[% people access to functioning Latrine]]</f>
        <v>0.50354609929078009</v>
      </c>
      <c r="DL301" s="961">
        <f>IF(OR(WWWW[[#This Row],['#_Non-functional latrines]]="",WWWW[[#This Row],['#_Non-functional latrines]]=0),0,WWWW[[#This Row],['#_Non-functional latrines]]/(WWWW[[#This Row],['#_Constructed latrines_by_WASHAgencies]]+WWWW[[#This Row],['#_Non Cluster partner latrines]]))</f>
        <v>0</v>
      </c>
      <c r="DM301" s="957">
        <f>IF(500*(WWWW[[#This Row],['#_male hygiene promoters]]+WWWW[[#This Row],['#_female hygiene promoters]])&gt;WWWW[[#This Row],[Total PoP ]],WWWW[[#This Row],[Total PoP ]],500*(WWWW[[#This Row],['#_male hygiene promoters]]+WWWW[[#This Row],['#_female hygiene promoters]]))</f>
        <v>564</v>
      </c>
      <c r="DN301"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01"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01" s="960">
        <f>IF(WWWW[[#This Row],['# People with access to soap]]&gt;WWWW[[#This Row],['# People with access to Sanity Pads]],WWWW[[#This Row],['# People with access to soap]],WWWW[[#This Row],['# People with access to Sanity Pads]])</f>
        <v>0</v>
      </c>
      <c r="DQ301" s="960">
        <f>IF(WWWW[[#This Row],['# people reached by regular dedicated hygiene promotion_5]]&gt;WWWW[[#This Row],['# People received regular supply of hygiene items_6]],WWWW[[#This Row],['# people reached by regular dedicated hygiene promotion_5]],WWWW[[#This Row],['# People received regular supply of hygiene items_6]])</f>
        <v>564</v>
      </c>
      <c r="DR301" s="962">
        <f>IF(WWWW[[#This Row],[HRP3]]/WWWW[[#This Row],[Total PoP ]]&gt;1,1,WWWW[[#This Row],[HRP3]]/WWWW[[#This Row],[Total PoP ]])</f>
        <v>1</v>
      </c>
      <c r="DS301" s="961">
        <f>1-WWWW[[#This Row],[Hygiene Coverage%]]</f>
        <v>0</v>
      </c>
      <c r="DT301" s="959">
        <f>WWWW[[#This Row],['# people reached by regular dedicated hygiene promotion_5]]/WWWW[[#This Row],[Total PoP ]]</f>
        <v>1</v>
      </c>
      <c r="DU301"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01"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01" s="960">
        <f>WWWW[[#This Row],['#_Constructed/Existing hand washing stations]]-WWWW[[#This Row],['#_Non-Functional_hand_washing_stations]]</f>
        <v>3</v>
      </c>
      <c r="DX301" s="957">
        <f>IF(WWWW[[#This Row],['# Functional hand washing stations during reporting period]]*20&gt;WWWW[[#This Row],[Total HH]],WWWW[[#This Row],[Total HH]],WWWW[[#This Row],['# Functional hand washing stations during reporting period]]*20)</f>
        <v>60</v>
      </c>
      <c r="DY301" s="957">
        <f>IF(WWWW[[#This Row],[Is sufficient soap available for TLS? (Yes/No)]]="yes",WWWW[[#This Row],['#_Constructed/Existing hand washing stations at TLS/CFS/THF]],0)</f>
        <v>0</v>
      </c>
      <c r="DZ301" s="421">
        <f>IF(WWWW[[#This Row],['# Functional hand washing stations during reporting period]]*100&gt;WWWW[[#This Row],[Total PoP ]],WWWW[[#This Row],[Total PoP ]],WWWW[[#This Row],['# Functional hand washing stations during reporting period]]*100)</f>
        <v>300</v>
      </c>
      <c r="EA301" s="421" t="str">
        <f>IF(OR(WWWW[[#This Row],['#_students at TLS_CFS]]="",WWWW[[#This Row],['#_students at TLS_CFS]]=0),"No","Yes")</f>
        <v>No</v>
      </c>
      <c r="EB30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01" s="566">
        <f>WWWW[[#This Row],[%_of_affected_people_surveyed_who_report_feeling_satistfied_with_the_latrine_design_and_sanitation_service]]*WWWW[[#This Row],[Total PoP ]]</f>
        <v>0</v>
      </c>
      <c r="ED301" s="566">
        <f>WWWW[[#This Row],[%_of_affected_people_surveyed_who_report_feeling_satistfied_with_the_water_point_design_and_water_service]]*WWWW[[#This Row],[Total PoP ]]</f>
        <v>0</v>
      </c>
      <c r="EE301" s="566">
        <f>WWWW[[#This Row],[%_of_complaints_received_that_result_in_timely_corrective_action_and_feedback_to_the_community]]*WWWW[[#This Row],[Total PoP ]]</f>
        <v>0</v>
      </c>
      <c r="EF30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0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0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01" s="953" t="str">
        <f>VLOOKUP(WWWW[[#This Row],[Site Name]],SiteDB6[[Site Name]:[CCCM Management]],6,FALSE)</f>
        <v>Yes</v>
      </c>
      <c r="EJ301" s="953" t="str">
        <f>VLOOKUP(WWWW[[#This Row],[Site Name]],SiteDB6[[Site Name]:[CCCM Focal Agency]],7,FALSE)</f>
        <v>KBC-MYT</v>
      </c>
      <c r="EK301" s="953" t="str">
        <f>VLOOKUP(WWWW[[#This Row],[Site Name]],SiteDB6[[Site Name]:[Location Type 1]],9,FALSE)</f>
        <v>Camp</v>
      </c>
      <c r="EL301" s="953" t="str">
        <f>VLOOKUP(WWWW[[#This Row],[Site Name]],SiteDB6[[Site Name]:[Type of Accommodation]],10,FALSE)</f>
        <v>Camp</v>
      </c>
      <c r="EM301" s="953" t="str">
        <f>VLOOKUP(WWWW[[#This Row],[Site Name]],SiteDB6[[Site Name]:[Ethnic or GCA/NGCA]],11,FALSE)</f>
        <v>GCA</v>
      </c>
      <c r="EN301" s="953">
        <f>VLOOKUP(WWWW[[#This Row],[Site Name]],SiteDB6[[Site Name]:[Lat]],12,FALSE)</f>
        <v>25.362420757575801</v>
      </c>
      <c r="EO301" s="953">
        <f>VLOOKUP(WWWW[[#This Row],[Site Name]],SiteDB6[[Site Name]:[Long]],13,FALSE)</f>
        <v>97.409035000000003</v>
      </c>
      <c r="EP301" s="953" t="str">
        <f>VLOOKUP(WWWW[[#This Row],[Site Name]],SiteDB6[[Site Name]:[Pcode]],3,FALSE)</f>
        <v>MMR001CMP015</v>
      </c>
      <c r="EQ301" s="958" t="str">
        <f t="shared" si="6"/>
        <v>Covered</v>
      </c>
      <c r="ER301" s="950" t="s">
        <v>3126</v>
      </c>
      <c r="ES301" s="950" t="s">
        <v>3267</v>
      </c>
      <c r="ET301" s="953">
        <f>VLOOKUP(WWWW[[#This Row],[Site Name]],SiteDB6[[Site Name]:[Pop
(Kachin/Shan-CCCM as of May 2023)]],16,FALSE)</f>
        <v>122</v>
      </c>
      <c r="EU301" s="953">
        <f>VLOOKUP(WWWW[[#This Row],[Site Name]],SiteDB6[[Site Name]:[Pop
(Kachin/Shan-CCCM as of May 2023)]],17,FALSE)</f>
        <v>625</v>
      </c>
    </row>
    <row r="302" spans="1:151">
      <c r="A302" s="946" t="s">
        <v>2962</v>
      </c>
      <c r="B302" s="938" t="s">
        <v>3347</v>
      </c>
      <c r="C302" s="1005" t="s">
        <v>3349</v>
      </c>
      <c r="D302" s="1005" t="s">
        <v>3095</v>
      </c>
      <c r="E302" s="1005" t="s">
        <v>37</v>
      </c>
      <c r="F302" s="1005" t="s">
        <v>159</v>
      </c>
      <c r="G302" s="902" t="str">
        <f>VLOOKUP(WWWW[[#This Row],[Site Name]],SiteDB6[[Site Name]:[Location Type]],8,FALSE)</f>
        <v>Camp</v>
      </c>
      <c r="H302" s="1005" t="s">
        <v>164</v>
      </c>
      <c r="I302" s="954">
        <v>115</v>
      </c>
      <c r="J302" s="954">
        <v>572</v>
      </c>
      <c r="K302" s="955">
        <v>44811</v>
      </c>
      <c r="L302" s="956">
        <v>45175</v>
      </c>
      <c r="M302" s="954"/>
      <c r="N302" s="954">
        <v>3</v>
      </c>
      <c r="O302" s="954"/>
      <c r="P302" s="954"/>
      <c r="Q302" s="957" t="s">
        <v>41</v>
      </c>
      <c r="R302" s="954">
        <v>2</v>
      </c>
      <c r="S302" s="954">
        <v>3</v>
      </c>
      <c r="T302" s="441">
        <v>1</v>
      </c>
      <c r="U302" s="954"/>
      <c r="V302" s="954"/>
      <c r="W302" s="976">
        <v>2</v>
      </c>
      <c r="X302" s="954"/>
      <c r="Y302" s="954"/>
      <c r="Z302" s="954"/>
      <c r="AA302" s="954"/>
      <c r="AB302" s="954"/>
      <c r="AC302" s="954"/>
      <c r="AD302" s="954"/>
      <c r="AE302" s="954"/>
      <c r="AF302" s="954"/>
      <c r="AG302" s="954"/>
      <c r="AH302" s="954">
        <v>2</v>
      </c>
      <c r="AI302" s="954"/>
      <c r="AJ302" s="954"/>
      <c r="AK302" s="954"/>
      <c r="AL302" s="954"/>
      <c r="AM302" s="954"/>
      <c r="AN302" s="954"/>
      <c r="AO302" s="441"/>
      <c r="AP302" s="958"/>
      <c r="AQ302" s="954">
        <v>29</v>
      </c>
      <c r="AR302" s="954"/>
      <c r="AS302" s="959"/>
      <c r="AT302" s="954">
        <v>1</v>
      </c>
      <c r="AU302" s="954">
        <v>8</v>
      </c>
      <c r="AV302" s="954"/>
      <c r="AW302" s="954"/>
      <c r="AX302" s="954">
        <v>32</v>
      </c>
      <c r="AY302" s="953" t="s">
        <v>41</v>
      </c>
      <c r="AZ302" s="958" t="s">
        <v>137</v>
      </c>
      <c r="BA302" s="954"/>
      <c r="BB302" s="954"/>
      <c r="BC302" s="954"/>
      <c r="BD302" s="441"/>
      <c r="BE302" s="441"/>
      <c r="BF302" s="953"/>
      <c r="BG302" s="954">
        <v>3</v>
      </c>
      <c r="BH302" s="954"/>
      <c r="BI302" s="954"/>
      <c r="BJ302" s="954">
        <v>3</v>
      </c>
      <c r="BK302" s="954"/>
      <c r="BL302" s="954">
        <v>1</v>
      </c>
      <c r="BM302" s="954">
        <v>2</v>
      </c>
      <c r="BN302" s="954"/>
      <c r="BO302" s="954"/>
      <c r="BP302" s="953"/>
      <c r="BQ302" s="960"/>
      <c r="BR302" s="959"/>
      <c r="BS302" s="953"/>
      <c r="BT302" s="416"/>
      <c r="BU302" s="416"/>
      <c r="BV302" s="418"/>
      <c r="BW302" s="416"/>
      <c r="BX302" s="441"/>
      <c r="BY302" s="441"/>
      <c r="BZ302" s="441"/>
      <c r="CA302" s="441"/>
      <c r="CB302" s="441"/>
      <c r="CC302" s="693"/>
      <c r="CD302" s="441"/>
      <c r="CE302" s="961" t="str">
        <f>IFERROR(WWWW[[#This Row],['#_Water sources passed]]/WWWW[[#This Row],['#_Water sources tested for fecal coliform ]],"no test")</f>
        <v>no test</v>
      </c>
      <c r="CF302" s="959" t="str">
        <f>IFERROR(WWWW[[#This Row],['#_Household passed]]/WWWW[[#This Row],['#_Household water samples tested for fecal coliform]],"no test")</f>
        <v>no test</v>
      </c>
      <c r="CG302" s="960" t="str">
        <f>IF(AND(WWWW[[#This Row],[% of water sources passed]]="no test",WWWW[[#This Row],[% Household passed]]="no test"),"No Test","Tested")</f>
        <v>No Test</v>
      </c>
      <c r="CH302" s="960">
        <f>WWWW[[#This Row],['#_Constructed/existing protected hand dug well]]-WWWW[[#This Row],['#_Non-functional protected hand dug well]]</f>
        <v>1</v>
      </c>
      <c r="CI302" s="960">
        <f>(WWWW[[#This Row],['#_Constructed/Existing tube wells/boreholes/handpumps_WASH_agency]]+WWWW[[#This Row],['#_Non-Cluster partner water tube-wells/boreholes/handpumps]])-WWWW[[#This Row],['#_Non-functional tube wells/boreholes/handpumps]]</f>
        <v>2</v>
      </c>
      <c r="CJ302" s="960">
        <f>WWWW[[#This Row],['#_Constructed/Existingwater storage tank with gravity fed reticulation system]]-WWWW[[#This Row],['#_Non-functional storage tank gravity fed reticulation system]]</f>
        <v>0</v>
      </c>
      <c r="CK302" s="960">
        <f>(WWWW[[#This Row],['#_Water_Liters_supplied_by_Water boating or water trucking]]/90)/15</f>
        <v>0</v>
      </c>
      <c r="CL302" s="960">
        <f>WWWW[[#This Row],['#_Water_Liters_from_Constructed/Existing water distribution system from river or natural spring]]/90/15</f>
        <v>0</v>
      </c>
      <c r="CM302" s="417">
        <f>IF(WWWW[[#This Row],['#_of water points in TLS/CFS]]*500&gt;WWWW[[#This Row],[Total PoP ]],WWWW[[#This Row],[Total PoP ]],WWWW[[#This Row],['#_of water points in TLS/CFS]]*500)</f>
        <v>0</v>
      </c>
      <c r="CN302" s="417">
        <f>IF(WWWW[[#This Row],['#_of water points in THF]]*500&gt;WWWW[[#This Row],[Total PoP ]],WWWW[[#This Row],[Total PoP ]],WWWW[[#This Row],['#_of water points in THF]]*500)</f>
        <v>0</v>
      </c>
      <c r="CO302" s="417"/>
      <c r="CP302"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02"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02" s="959">
        <f>IF(WWWW[[#This Row],[Location Type 1]]="Village",WWWW[[#This Row],[Access to safe drinking water for Village]],WWWW[[#This Row],[Access to safe drinking water for Camp]])</f>
        <v>1</v>
      </c>
      <c r="CS302" s="957">
        <f>WWWW[[#This Row],[%Equitable and continuous access to sufficient quantity of safe drinking water]]*WWWW[[#This Row],[Total PoP ]]</f>
        <v>572</v>
      </c>
      <c r="CT302" s="959">
        <f>IF((WWWW[[#This Row],['#_Constructed/Existing protected/fenced ponds]]*250)/WWWW[[#This Row],[Total PoP ]]&gt;1,1,(WWWW[[#This Row],['#_Constructed/Existing protected/fenced ponds]]*250)/WWWW[[#This Row],[Total PoP ]])</f>
        <v>0</v>
      </c>
      <c r="CU302" s="957">
        <f>WWWW[[#This Row],[% Access to unimproved water points]]*WWWW[[#This Row],[Total PoP ]]</f>
        <v>0</v>
      </c>
      <c r="CV302"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02"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572</v>
      </c>
      <c r="CX302" s="957">
        <f>WWWW[[#This Row],[HRP1]]/500</f>
        <v>1.1439999999999999</v>
      </c>
      <c r="CY302" s="962">
        <f>1-WWWW[[#This Row],[% Equitable and continuous access to sufficient quantity of domestic water]]</f>
        <v>0</v>
      </c>
      <c r="CZ302" s="957">
        <f>WWWW[[#This Row],[%equitable and continuous access to sufficient quantity of safe drinking and domestic water''s GAP]]*WWWW[[#This Row],[Total PoP ]]</f>
        <v>0</v>
      </c>
      <c r="DA302" s="960">
        <f>IF(WWWW[[#This Row],[Total required water points]]-WWWW[[#This Row],['#Water points coverage]]&lt;0,0,WWWW[[#This Row],[Total required water points]]-WWWW[[#This Row],['#Water points coverage]])</f>
        <v>0</v>
      </c>
      <c r="DB302" s="960">
        <f>ROUND(IF(WWWW[[#This Row],[Total PoP ]]&lt;500,1,WWWW[[#This Row],[Total PoP ]]/500),0)</f>
        <v>1</v>
      </c>
      <c r="DC302" s="960">
        <f>(WWWW[[#This Row],['#_Constructed latrines_by_WASHAgencies]]+WWWW[[#This Row],['#_Non Cluster partner latrines]])-WWWW[[#This Row],['#_Non-functional latrines]]</f>
        <v>28</v>
      </c>
      <c r="DD302" s="615">
        <f>WWWW[[#This Row],[HRP2]]/WWWW[[#This Row],[Total PoP ]]</f>
        <v>0.97902097902097907</v>
      </c>
      <c r="DE302"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560</v>
      </c>
      <c r="DF302"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02"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02" s="417">
        <f>IF(WWWW[[#This Row],['# of functional latrines in THF supported by WASH partners during the reporting period2]]="",0,WWWW[[#This Row],['# of functional latrines in THF supported by WASH partners during the reporting period2]]*50)</f>
        <v>0</v>
      </c>
      <c r="DI302" s="960">
        <f>ROUND(IF(WWWW[[#This Row],[Location Type 1]]="camp",WWWW[[#This Row],[Total PoP ]]/20,IF(WWWW[[#This Row],[Location Type 1]]="Temporary Location",WWWW[[#This Row],[Total PoP ]]/50,(WWWW[[#This Row],[Total PoP ]]/6))),0)</f>
        <v>29</v>
      </c>
      <c r="DJ302" s="960">
        <f>IF(WWWW[[#This Row],[Total required Latrines]]-(WWWW[[#This Row],['#_Constructed latrines_by_WASHAgencies]]+WWWW[[#This Row],['#_Non Cluster partner latrines]])&lt;0,0,WWWW[[#This Row],[Total required Latrines]]-(WWWW[[#This Row],['#_Constructed latrines_by_WASHAgencies]]+WWWW[[#This Row],['#_Non Cluster partner latrines]]))</f>
        <v>0</v>
      </c>
      <c r="DK302" s="962">
        <f>1-WWWW[[#This Row],[% people access to functioning Latrine]]</f>
        <v>2.0979020979020935E-2</v>
      </c>
      <c r="DL302" s="961">
        <f>IF(OR(WWWW[[#This Row],['#_Non-functional latrines]]="",WWWW[[#This Row],['#_Non-functional latrines]]=0),0,WWWW[[#This Row],['#_Non-functional latrines]]/(WWWW[[#This Row],['#_Constructed latrines_by_WASHAgencies]]+WWWW[[#This Row],['#_Non Cluster partner latrines]]))</f>
        <v>3.4482758620689655E-2</v>
      </c>
      <c r="DM302" s="957">
        <f>IF(500*(WWWW[[#This Row],['#_male hygiene promoters]]+WWWW[[#This Row],['#_female hygiene promoters]])&gt;WWWW[[#This Row],[Total PoP ]],WWWW[[#This Row],[Total PoP ]],500*(WWWW[[#This Row],['#_male hygiene promoters]]+WWWW[[#This Row],['#_female hygiene promoters]]))</f>
        <v>572</v>
      </c>
      <c r="DN302"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02"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02" s="960">
        <f>IF(WWWW[[#This Row],['# People with access to soap]]&gt;WWWW[[#This Row],['# People with access to Sanity Pads]],WWWW[[#This Row],['# People with access to soap]],WWWW[[#This Row],['# People with access to Sanity Pads]])</f>
        <v>0</v>
      </c>
      <c r="DQ302" s="960">
        <f>IF(WWWW[[#This Row],['# people reached by regular dedicated hygiene promotion_5]]&gt;WWWW[[#This Row],['# People received regular supply of hygiene items_6]],WWWW[[#This Row],['# people reached by regular dedicated hygiene promotion_5]],WWWW[[#This Row],['# People received regular supply of hygiene items_6]])</f>
        <v>572</v>
      </c>
      <c r="DR302" s="962">
        <f>IF(WWWW[[#This Row],[HRP3]]/WWWW[[#This Row],[Total PoP ]]&gt;1,1,WWWW[[#This Row],[HRP3]]/WWWW[[#This Row],[Total PoP ]])</f>
        <v>1</v>
      </c>
      <c r="DS302" s="961">
        <f>1-WWWW[[#This Row],[Hygiene Coverage%]]</f>
        <v>0</v>
      </c>
      <c r="DT302" s="959">
        <f>WWWW[[#This Row],['# people reached by regular dedicated hygiene promotion_5]]/WWWW[[#This Row],[Total PoP ]]</f>
        <v>1</v>
      </c>
      <c r="DU302"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02"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02" s="960">
        <f>WWWW[[#This Row],['#_Constructed/Existing hand washing stations]]-WWWW[[#This Row],['#_Non-Functional_hand_washing_stations]]</f>
        <v>3</v>
      </c>
      <c r="DX302" s="957">
        <f>IF(WWWW[[#This Row],['# Functional hand washing stations during reporting period]]*20&gt;WWWW[[#This Row],[Total HH]],WWWW[[#This Row],[Total HH]],WWWW[[#This Row],['# Functional hand washing stations during reporting period]]*20)</f>
        <v>60</v>
      </c>
      <c r="DY302" s="957">
        <f>IF(WWWW[[#This Row],[Is sufficient soap available for TLS? (Yes/No)]]="yes",WWWW[[#This Row],['#_Constructed/Existing hand washing stations at TLS/CFS/THF]],0)</f>
        <v>0</v>
      </c>
      <c r="DZ302" s="421">
        <f>IF(WWWW[[#This Row],['# Functional hand washing stations during reporting period]]*100&gt;WWWW[[#This Row],[Total PoP ]],WWWW[[#This Row],[Total PoP ]],WWWW[[#This Row],['# Functional hand washing stations during reporting period]]*100)</f>
        <v>300</v>
      </c>
      <c r="EA302" s="421" t="str">
        <f>IF(OR(WWWW[[#This Row],['#_students at TLS_CFS]]="",WWWW[[#This Row],['#_students at TLS_CFS]]=0),"No","Yes")</f>
        <v>No</v>
      </c>
      <c r="EB30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02" s="566">
        <f>WWWW[[#This Row],[%_of_affected_people_surveyed_who_report_feeling_satistfied_with_the_latrine_design_and_sanitation_service]]*WWWW[[#This Row],[Total PoP ]]</f>
        <v>0</v>
      </c>
      <c r="ED302" s="566">
        <f>WWWW[[#This Row],[%_of_affected_people_surveyed_who_report_feeling_satistfied_with_the_water_point_design_and_water_service]]*WWWW[[#This Row],[Total PoP ]]</f>
        <v>0</v>
      </c>
      <c r="EE302" s="566">
        <f>WWWW[[#This Row],[%_of_complaints_received_that_result_in_timely_corrective_action_and_feedback_to_the_community]]*WWWW[[#This Row],[Total PoP ]]</f>
        <v>0</v>
      </c>
      <c r="EF30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0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0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02" s="953" t="str">
        <f>VLOOKUP(WWWW[[#This Row],[Site Name]],SiteDB6[[Site Name]:[CCCM Management]],6,FALSE)</f>
        <v>Yes</v>
      </c>
      <c r="EJ302" s="953" t="str">
        <f>VLOOKUP(WWWW[[#This Row],[Site Name]],SiteDB6[[Site Name]:[CCCM Focal Agency]],7,FALSE)</f>
        <v>KBC-MYT</v>
      </c>
      <c r="EK302" s="953" t="str">
        <f>VLOOKUP(WWWW[[#This Row],[Site Name]],SiteDB6[[Site Name]:[Location Type 1]],9,FALSE)</f>
        <v>Camp</v>
      </c>
      <c r="EL302" s="953" t="str">
        <f>VLOOKUP(WWWW[[#This Row],[Site Name]],SiteDB6[[Site Name]:[Type of Accommodation]],10,FALSE)</f>
        <v>Camp</v>
      </c>
      <c r="EM302" s="953" t="str">
        <f>VLOOKUP(WWWW[[#This Row],[Site Name]],SiteDB6[[Site Name]:[Ethnic or GCA/NGCA]],11,FALSE)</f>
        <v>GCA</v>
      </c>
      <c r="EN302" s="953">
        <f>VLOOKUP(WWWW[[#This Row],[Site Name]],SiteDB6[[Site Name]:[Lat]],12,FALSE)</f>
        <v>25.3510167948718</v>
      </c>
      <c r="EO302" s="953">
        <f>VLOOKUP(WWWW[[#This Row],[Site Name]],SiteDB6[[Site Name]:[Long]],13,FALSE)</f>
        <v>97.403402307692303</v>
      </c>
      <c r="EP302" s="953" t="str">
        <f>VLOOKUP(WWWW[[#This Row],[Site Name]],SiteDB6[[Site Name]:[Pcode]],3,FALSE)</f>
        <v>MMR001CMP014</v>
      </c>
      <c r="EQ302" s="958" t="str">
        <f t="shared" si="6"/>
        <v>Covered</v>
      </c>
      <c r="ER302" s="950" t="s">
        <v>3126</v>
      </c>
      <c r="ES302" s="950" t="s">
        <v>3267</v>
      </c>
      <c r="ET302" s="953">
        <f>VLOOKUP(WWWW[[#This Row],[Site Name]],SiteDB6[[Site Name]:[Pop
(Kachin/Shan-CCCM as of May 2023)]],16,FALSE)</f>
        <v>126</v>
      </c>
      <c r="EU302" s="953">
        <f>VLOOKUP(WWWW[[#This Row],[Site Name]],SiteDB6[[Site Name]:[Pop
(Kachin/Shan-CCCM as of May 2023)]],17,FALSE)</f>
        <v>623</v>
      </c>
    </row>
    <row r="303" spans="1:151">
      <c r="A303" s="946" t="s">
        <v>2962</v>
      </c>
      <c r="B303" s="938" t="s">
        <v>3347</v>
      </c>
      <c r="C303" s="938" t="s">
        <v>3347</v>
      </c>
      <c r="D303" s="1005" t="s">
        <v>241</v>
      </c>
      <c r="E303" s="1005" t="s">
        <v>37</v>
      </c>
      <c r="F303" s="1005" t="s">
        <v>159</v>
      </c>
      <c r="G303" s="902" t="str">
        <f>VLOOKUP(WWWW[[#This Row],[Site Name]],SiteDB6[[Site Name]:[Location Type]],8,FALSE)</f>
        <v>Camp</v>
      </c>
      <c r="H303" s="1005" t="s">
        <v>165</v>
      </c>
      <c r="I303" s="954">
        <v>29</v>
      </c>
      <c r="J303" s="954">
        <v>166</v>
      </c>
      <c r="K303" s="955">
        <v>44811</v>
      </c>
      <c r="L303" s="956">
        <v>45175</v>
      </c>
      <c r="M303" s="954"/>
      <c r="N303" s="954">
        <v>1</v>
      </c>
      <c r="O303" s="954"/>
      <c r="P303" s="954"/>
      <c r="Q303" s="957" t="s">
        <v>41</v>
      </c>
      <c r="R303" s="954">
        <v>1</v>
      </c>
      <c r="S303" s="954">
        <v>2</v>
      </c>
      <c r="T303" s="441">
        <v>3</v>
      </c>
      <c r="U303" s="954"/>
      <c r="V303" s="954"/>
      <c r="W303" s="954">
        <v>3</v>
      </c>
      <c r="X303" s="954"/>
      <c r="Y303" s="954"/>
      <c r="Z303" s="954"/>
      <c r="AA303" s="954"/>
      <c r="AB303" s="954"/>
      <c r="AC303" s="954"/>
      <c r="AD303" s="954"/>
      <c r="AE303" s="954"/>
      <c r="AF303" s="954"/>
      <c r="AG303" s="954"/>
      <c r="AH303" s="976">
        <v>6</v>
      </c>
      <c r="AI303" s="954"/>
      <c r="AJ303" s="954"/>
      <c r="AK303" s="954"/>
      <c r="AL303" s="954"/>
      <c r="AM303" s="954"/>
      <c r="AN303" s="954"/>
      <c r="AO303" s="441"/>
      <c r="AP303" s="958"/>
      <c r="AQ303" s="954">
        <v>7</v>
      </c>
      <c r="AR303" s="954"/>
      <c r="AS303" s="959"/>
      <c r="AT303" s="954">
        <v>3</v>
      </c>
      <c r="AU303" s="954"/>
      <c r="AV303" s="954"/>
      <c r="AW303" s="954"/>
      <c r="AX303" s="954">
        <v>4</v>
      </c>
      <c r="AY303" s="953" t="s">
        <v>41</v>
      </c>
      <c r="AZ303" s="958" t="s">
        <v>137</v>
      </c>
      <c r="BA303" s="954"/>
      <c r="BB303" s="954"/>
      <c r="BC303" s="954"/>
      <c r="BD303" s="441"/>
      <c r="BE303" s="441"/>
      <c r="BF303" s="953"/>
      <c r="BG303" s="954">
        <v>3</v>
      </c>
      <c r="BH303" s="954"/>
      <c r="BI303" s="954"/>
      <c r="BJ303" s="954">
        <v>3</v>
      </c>
      <c r="BK303" s="954"/>
      <c r="BL303" s="954"/>
      <c r="BM303" s="954">
        <v>1</v>
      </c>
      <c r="BN303" s="954"/>
      <c r="BO303" s="954"/>
      <c r="BP303" s="953"/>
      <c r="BQ303" s="960"/>
      <c r="BR303" s="959"/>
      <c r="BS303" s="953"/>
      <c r="BT303" s="416"/>
      <c r="BU303" s="416"/>
      <c r="BV303" s="418"/>
      <c r="BW303" s="416"/>
      <c r="BX303" s="441"/>
      <c r="BY303" s="441"/>
      <c r="BZ303" s="441"/>
      <c r="CA303" s="441"/>
      <c r="CB303" s="441"/>
      <c r="CC303" s="693"/>
      <c r="CD303" s="441"/>
      <c r="CE303" s="961" t="str">
        <f>IFERROR(WWWW[[#This Row],['#_Water sources passed]]/WWWW[[#This Row],['#_Water sources tested for fecal coliform ]],"no test")</f>
        <v>no test</v>
      </c>
      <c r="CF303" s="959" t="str">
        <f>IFERROR(WWWW[[#This Row],['#_Household passed]]/WWWW[[#This Row],['#_Household water samples tested for fecal coliform]],"no test")</f>
        <v>no test</v>
      </c>
      <c r="CG303" s="960" t="str">
        <f>IF(AND(WWWW[[#This Row],[% of water sources passed]]="no test",WWWW[[#This Row],[% Household passed]]="no test"),"No Test","Tested")</f>
        <v>No Test</v>
      </c>
      <c r="CH303" s="960">
        <f>WWWW[[#This Row],['#_Constructed/existing protected hand dug well]]-WWWW[[#This Row],['#_Non-functional protected hand dug well]]</f>
        <v>3</v>
      </c>
      <c r="CI303" s="960">
        <f>(WWWW[[#This Row],['#_Constructed/Existing tube wells/boreholes/handpumps_WASH_agency]]+WWWW[[#This Row],['#_Non-Cluster partner water tube-wells/boreholes/handpumps]])-WWWW[[#This Row],['#_Non-functional tube wells/boreholes/handpumps]]</f>
        <v>3</v>
      </c>
      <c r="CJ303" s="960">
        <f>WWWW[[#This Row],['#_Constructed/Existingwater storage tank with gravity fed reticulation system]]-WWWW[[#This Row],['#_Non-functional storage tank gravity fed reticulation system]]</f>
        <v>0</v>
      </c>
      <c r="CK303" s="960">
        <f>(WWWW[[#This Row],['#_Water_Liters_supplied_by_Water boating or water trucking]]/90)/15</f>
        <v>0</v>
      </c>
      <c r="CL303" s="960">
        <f>WWWW[[#This Row],['#_Water_Liters_from_Constructed/Existing water distribution system from river or natural spring]]/90/15</f>
        <v>0</v>
      </c>
      <c r="CM303" s="417">
        <f>IF(WWWW[[#This Row],['#_of water points in TLS/CFS]]*500&gt;WWWW[[#This Row],[Total PoP ]],WWWW[[#This Row],[Total PoP ]],WWWW[[#This Row],['#_of water points in TLS/CFS]]*500)</f>
        <v>0</v>
      </c>
      <c r="CN303" s="417">
        <f>IF(WWWW[[#This Row],['#_of water points in THF]]*500&gt;WWWW[[#This Row],[Total PoP ]],WWWW[[#This Row],[Total PoP ]],WWWW[[#This Row],['#_of water points in THF]]*500)</f>
        <v>0</v>
      </c>
      <c r="CO303" s="417"/>
      <c r="CP303"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03"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03" s="959">
        <f>IF(WWWW[[#This Row],[Location Type 1]]="Village",WWWW[[#This Row],[Access to safe drinking water for Village]],WWWW[[#This Row],[Access to safe drinking water for Camp]])</f>
        <v>1</v>
      </c>
      <c r="CS303" s="957">
        <f>WWWW[[#This Row],[%Equitable and continuous access to sufficient quantity of safe drinking water]]*WWWW[[#This Row],[Total PoP ]]</f>
        <v>166</v>
      </c>
      <c r="CT303" s="959">
        <f>IF((WWWW[[#This Row],['#_Constructed/Existing protected/fenced ponds]]*250)/WWWW[[#This Row],[Total PoP ]]&gt;1,1,(WWWW[[#This Row],['#_Constructed/Existing protected/fenced ponds]]*250)/WWWW[[#This Row],[Total PoP ]])</f>
        <v>0</v>
      </c>
      <c r="CU303" s="957">
        <f>WWWW[[#This Row],[% Access to unimproved water points]]*WWWW[[#This Row],[Total PoP ]]</f>
        <v>0</v>
      </c>
      <c r="CV303"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03"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166</v>
      </c>
      <c r="CX303" s="957">
        <f>WWWW[[#This Row],[HRP1]]/500</f>
        <v>0.33200000000000002</v>
      </c>
      <c r="CY303" s="962">
        <f>1-WWWW[[#This Row],[% Equitable and continuous access to sufficient quantity of domestic water]]</f>
        <v>0</v>
      </c>
      <c r="CZ303" s="957">
        <f>WWWW[[#This Row],[%equitable and continuous access to sufficient quantity of safe drinking and domestic water''s GAP]]*WWWW[[#This Row],[Total PoP ]]</f>
        <v>0</v>
      </c>
      <c r="DA303" s="960">
        <f>IF(WWWW[[#This Row],[Total required water points]]-WWWW[[#This Row],['#Water points coverage]]&lt;0,0,WWWW[[#This Row],[Total required water points]]-WWWW[[#This Row],['#Water points coverage]])</f>
        <v>0.66799999999999993</v>
      </c>
      <c r="DB303" s="960">
        <f>ROUND(IF(WWWW[[#This Row],[Total PoP ]]&lt;500,1,WWWW[[#This Row],[Total PoP ]]/500),0)</f>
        <v>1</v>
      </c>
      <c r="DC303" s="960">
        <f>(WWWW[[#This Row],['#_Constructed latrines_by_WASHAgencies]]+WWWW[[#This Row],['#_Non Cluster partner latrines]])-WWWW[[#This Row],['#_Non-functional latrines]]</f>
        <v>4</v>
      </c>
      <c r="DD303" s="615">
        <f>WWWW[[#This Row],[HRP2]]/WWWW[[#This Row],[Total PoP ]]</f>
        <v>0.48192771084337349</v>
      </c>
      <c r="DE303"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80</v>
      </c>
      <c r="DF303"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03"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03" s="417">
        <f>IF(WWWW[[#This Row],['# of functional latrines in THF supported by WASH partners during the reporting period2]]="",0,WWWW[[#This Row],['# of functional latrines in THF supported by WASH partners during the reporting period2]]*50)</f>
        <v>0</v>
      </c>
      <c r="DI303" s="960">
        <f>ROUND(IF(WWWW[[#This Row],[Location Type 1]]="camp",WWWW[[#This Row],[Total PoP ]]/20,IF(WWWW[[#This Row],[Location Type 1]]="Temporary Location",WWWW[[#This Row],[Total PoP ]]/50,(WWWW[[#This Row],[Total PoP ]]/6))),0)</f>
        <v>8</v>
      </c>
      <c r="DJ303" s="960">
        <f>IF(WWWW[[#This Row],[Total required Latrines]]-(WWWW[[#This Row],['#_Constructed latrines_by_WASHAgencies]]+WWWW[[#This Row],['#_Non Cluster partner latrines]])&lt;0,0,WWWW[[#This Row],[Total required Latrines]]-(WWWW[[#This Row],['#_Constructed latrines_by_WASHAgencies]]+WWWW[[#This Row],['#_Non Cluster partner latrines]]))</f>
        <v>1</v>
      </c>
      <c r="DK303" s="962">
        <f>1-WWWW[[#This Row],[% people access to functioning Latrine]]</f>
        <v>0.51807228915662651</v>
      </c>
      <c r="DL303" s="961">
        <f>IF(OR(WWWW[[#This Row],['#_Non-functional latrines]]="",WWWW[[#This Row],['#_Non-functional latrines]]=0),0,WWWW[[#This Row],['#_Non-functional latrines]]/(WWWW[[#This Row],['#_Constructed latrines_by_WASHAgencies]]+WWWW[[#This Row],['#_Non Cluster partner latrines]]))</f>
        <v>0.42857142857142855</v>
      </c>
      <c r="DM303" s="957">
        <f>IF(500*(WWWW[[#This Row],['#_male hygiene promoters]]+WWWW[[#This Row],['#_female hygiene promoters]])&gt;WWWW[[#This Row],[Total PoP ]],WWWW[[#This Row],[Total PoP ]],500*(WWWW[[#This Row],['#_male hygiene promoters]]+WWWW[[#This Row],['#_female hygiene promoters]]))</f>
        <v>166</v>
      </c>
      <c r="DN303"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03"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03" s="960">
        <f>IF(WWWW[[#This Row],['# People with access to soap]]&gt;WWWW[[#This Row],['# People with access to Sanity Pads]],WWWW[[#This Row],['# People with access to soap]],WWWW[[#This Row],['# People with access to Sanity Pads]])</f>
        <v>0</v>
      </c>
      <c r="DQ303" s="960">
        <f>IF(WWWW[[#This Row],['# people reached by regular dedicated hygiene promotion_5]]&gt;WWWW[[#This Row],['# People received regular supply of hygiene items_6]],WWWW[[#This Row],['# people reached by regular dedicated hygiene promotion_5]],WWWW[[#This Row],['# People received regular supply of hygiene items_6]])</f>
        <v>166</v>
      </c>
      <c r="DR303" s="962">
        <f>IF(WWWW[[#This Row],[HRP3]]/WWWW[[#This Row],[Total PoP ]]&gt;1,1,WWWW[[#This Row],[HRP3]]/WWWW[[#This Row],[Total PoP ]])</f>
        <v>1</v>
      </c>
      <c r="DS303" s="961">
        <f>1-WWWW[[#This Row],[Hygiene Coverage%]]</f>
        <v>0</v>
      </c>
      <c r="DT303" s="959">
        <f>WWWW[[#This Row],['# people reached by regular dedicated hygiene promotion_5]]/WWWW[[#This Row],[Total PoP ]]</f>
        <v>1</v>
      </c>
      <c r="DU303"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03"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03" s="960">
        <f>WWWW[[#This Row],['#_Constructed/Existing hand washing stations]]-WWWW[[#This Row],['#_Non-Functional_hand_washing_stations]]</f>
        <v>3</v>
      </c>
      <c r="DX303" s="957">
        <f>IF(WWWW[[#This Row],['# Functional hand washing stations during reporting period]]*20&gt;WWWW[[#This Row],[Total HH]],WWWW[[#This Row],[Total HH]],WWWW[[#This Row],['# Functional hand washing stations during reporting period]]*20)</f>
        <v>29</v>
      </c>
      <c r="DY303" s="957">
        <f>IF(WWWW[[#This Row],[Is sufficient soap available for TLS? (Yes/No)]]="yes",WWWW[[#This Row],['#_Constructed/Existing hand washing stations at TLS/CFS/THF]],0)</f>
        <v>0</v>
      </c>
      <c r="DZ303" s="421">
        <f>IF(WWWW[[#This Row],['# Functional hand washing stations during reporting period]]*100&gt;WWWW[[#This Row],[Total PoP ]],WWWW[[#This Row],[Total PoP ]],WWWW[[#This Row],['# Functional hand washing stations during reporting period]]*100)</f>
        <v>166</v>
      </c>
      <c r="EA303" s="421" t="str">
        <f>IF(OR(WWWW[[#This Row],['#_students at TLS_CFS]]="",WWWW[[#This Row],['#_students at TLS_CFS]]=0),"No","Yes")</f>
        <v>No</v>
      </c>
      <c r="EB30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03" s="566">
        <f>WWWW[[#This Row],[%_of_affected_people_surveyed_who_report_feeling_satistfied_with_the_latrine_design_and_sanitation_service]]*WWWW[[#This Row],[Total PoP ]]</f>
        <v>0</v>
      </c>
      <c r="ED303" s="566">
        <f>WWWW[[#This Row],[%_of_affected_people_surveyed_who_report_feeling_satistfied_with_the_water_point_design_and_water_service]]*WWWW[[#This Row],[Total PoP ]]</f>
        <v>0</v>
      </c>
      <c r="EE303" s="566">
        <f>WWWW[[#This Row],[%_of_complaints_received_that_result_in_timely_corrective_action_and_feedback_to_the_community]]*WWWW[[#This Row],[Total PoP ]]</f>
        <v>0</v>
      </c>
      <c r="EF30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0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0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03" s="953" t="str">
        <f>VLOOKUP(WWWW[[#This Row],[Site Name]],SiteDB6[[Site Name]:[CCCM Management]],6,FALSE)</f>
        <v>Yes</v>
      </c>
      <c r="EJ303" s="953" t="str">
        <f>VLOOKUP(WWWW[[#This Row],[Site Name]],SiteDB6[[Site Name]:[CCCM Focal Agency]],7,FALSE)</f>
        <v>KBC-MYT</v>
      </c>
      <c r="EK303" s="953" t="str">
        <f>VLOOKUP(WWWW[[#This Row],[Site Name]],SiteDB6[[Site Name]:[Location Type 1]],9,FALSE)</f>
        <v>Camp</v>
      </c>
      <c r="EL303" s="953" t="str">
        <f>VLOOKUP(WWWW[[#This Row],[Site Name]],SiteDB6[[Site Name]:[Type of Accommodation]],10,FALSE)</f>
        <v>Camp</v>
      </c>
      <c r="EM303" s="953" t="str">
        <f>VLOOKUP(WWWW[[#This Row],[Site Name]],SiteDB6[[Site Name]:[Ethnic or GCA/NGCA]],11,FALSE)</f>
        <v>GCA</v>
      </c>
      <c r="EN303" s="953">
        <f>VLOOKUP(WWWW[[#This Row],[Site Name]],SiteDB6[[Site Name]:[Lat]],12,FALSE)</f>
        <v>25.360463124999999</v>
      </c>
      <c r="EO303" s="953">
        <f>VLOOKUP(WWWW[[#This Row],[Site Name]],SiteDB6[[Site Name]:[Long]],13,FALSE)</f>
        <v>97.4113064583333</v>
      </c>
      <c r="EP303" s="953" t="str">
        <f>VLOOKUP(WWWW[[#This Row],[Site Name]],SiteDB6[[Site Name]:[Pcode]],3,FALSE)</f>
        <v>MMR001CMP016</v>
      </c>
      <c r="EQ303" s="958" t="str">
        <f t="shared" si="6"/>
        <v>Covered</v>
      </c>
      <c r="ER303" s="950" t="s">
        <v>3126</v>
      </c>
      <c r="ES303" s="950" t="s">
        <v>3267</v>
      </c>
      <c r="ET303" s="953">
        <f>VLOOKUP(WWWW[[#This Row],[Site Name]],SiteDB6[[Site Name]:[Pop
(Kachin/Shan-CCCM as of May 2023)]],16,FALSE)</f>
        <v>49</v>
      </c>
      <c r="EU303" s="953">
        <f>VLOOKUP(WWWW[[#This Row],[Site Name]],SiteDB6[[Site Name]:[Pop
(Kachin/Shan-CCCM as of May 2023)]],17,FALSE)</f>
        <v>277</v>
      </c>
    </row>
    <row r="304" spans="1:151">
      <c r="A304" s="946" t="s">
        <v>2962</v>
      </c>
      <c r="B304" s="938" t="s">
        <v>3347</v>
      </c>
      <c r="C304" s="938" t="s">
        <v>3347</v>
      </c>
      <c r="D304" s="938" t="s">
        <v>3093</v>
      </c>
      <c r="E304" s="938" t="s">
        <v>37</v>
      </c>
      <c r="F304" s="938" t="s">
        <v>159</v>
      </c>
      <c r="G304" s="902" t="str">
        <f>VLOOKUP(WWWW[[#This Row],[Site Name]],SiteDB6[[Site Name]:[Location Type]],8,FALSE)</f>
        <v>Camp</v>
      </c>
      <c r="H304" s="938" t="s">
        <v>166</v>
      </c>
      <c r="I304" s="976">
        <v>63</v>
      </c>
      <c r="J304" s="976">
        <v>328</v>
      </c>
      <c r="K304" s="948">
        <v>44811</v>
      </c>
      <c r="L304" s="949">
        <v>45175</v>
      </c>
      <c r="M304" s="441"/>
      <c r="N304" s="441">
        <v>2</v>
      </c>
      <c r="O304" s="441"/>
      <c r="P304" s="441"/>
      <c r="Q304" s="421" t="s">
        <v>41</v>
      </c>
      <c r="R304" s="441">
        <v>2</v>
      </c>
      <c r="S304" s="441">
        <v>3</v>
      </c>
      <c r="T304" s="441">
        <v>3</v>
      </c>
      <c r="U304" s="441"/>
      <c r="V304" s="441"/>
      <c r="W304" s="976">
        <v>1</v>
      </c>
      <c r="X304" s="441"/>
      <c r="Y304" s="441"/>
      <c r="Z304" s="441"/>
      <c r="AA304" s="441"/>
      <c r="AB304" s="441"/>
      <c r="AC304" s="441"/>
      <c r="AD304" s="441"/>
      <c r="AE304" s="441"/>
      <c r="AF304" s="441"/>
      <c r="AG304" s="441"/>
      <c r="AH304" s="976">
        <v>4</v>
      </c>
      <c r="AI304" s="441"/>
      <c r="AJ304" s="441"/>
      <c r="AK304" s="441"/>
      <c r="AL304" s="441"/>
      <c r="AM304" s="441"/>
      <c r="AN304" s="441"/>
      <c r="AO304" s="441"/>
      <c r="AP304" s="950"/>
      <c r="AQ304" s="976">
        <v>30</v>
      </c>
      <c r="AR304" s="441"/>
      <c r="AS304" s="416"/>
      <c r="AT304" s="976">
        <v>10</v>
      </c>
      <c r="AU304" s="976">
        <v>4</v>
      </c>
      <c r="AV304" s="441"/>
      <c r="AW304" s="441"/>
      <c r="AX304" s="976">
        <v>16</v>
      </c>
      <c r="AY304" s="418" t="s">
        <v>41</v>
      </c>
      <c r="AZ304" s="950" t="s">
        <v>899</v>
      </c>
      <c r="BA304" s="441"/>
      <c r="BB304" s="441"/>
      <c r="BC304" s="441"/>
      <c r="BD304" s="441"/>
      <c r="BE304" s="441"/>
      <c r="BF304" s="418"/>
      <c r="BG304" s="976">
        <v>4</v>
      </c>
      <c r="BH304" s="441"/>
      <c r="BI304" s="441"/>
      <c r="BJ304" s="976">
        <v>3</v>
      </c>
      <c r="BK304" s="976">
        <v>1</v>
      </c>
      <c r="BL304" s="441"/>
      <c r="BM304" s="976">
        <v>2</v>
      </c>
      <c r="BN304" s="441"/>
      <c r="BO304" s="441"/>
      <c r="BP304" s="418"/>
      <c r="BQ304" s="417"/>
      <c r="BR304" s="416"/>
      <c r="BS304" s="418"/>
      <c r="BT304" s="416"/>
      <c r="BU304" s="416"/>
      <c r="BV304" s="418"/>
      <c r="BW304" s="416"/>
      <c r="BX304" s="441"/>
      <c r="BY304" s="441"/>
      <c r="BZ304" s="441"/>
      <c r="CA304" s="441"/>
      <c r="CB304" s="441"/>
      <c r="CC304" s="693"/>
      <c r="CD304" s="441"/>
      <c r="CE304" s="615" t="str">
        <f>IFERROR(WWWW[[#This Row],['#_Water sources passed]]/WWWW[[#This Row],['#_Water sources tested for fecal coliform ]],"no test")</f>
        <v>no test</v>
      </c>
      <c r="CF304" s="416" t="str">
        <f>IFERROR(WWWW[[#This Row],['#_Household passed]]/WWWW[[#This Row],['#_Household water samples tested for fecal coliform]],"no test")</f>
        <v>no test</v>
      </c>
      <c r="CG304" s="417" t="str">
        <f>IF(AND(WWWW[[#This Row],[% of water sources passed]]="no test",WWWW[[#This Row],[% Household passed]]="no test"),"No Test","Tested")</f>
        <v>No Test</v>
      </c>
      <c r="CH304" s="417">
        <f>WWWW[[#This Row],['#_Constructed/existing protected hand dug well]]-WWWW[[#This Row],['#_Non-functional protected hand dug well]]</f>
        <v>3</v>
      </c>
      <c r="CI304" s="417">
        <f>(WWWW[[#This Row],['#_Constructed/Existing tube wells/boreholes/handpumps_WASH_agency]]+WWWW[[#This Row],['#_Non-Cluster partner water tube-wells/boreholes/handpumps]])-WWWW[[#This Row],['#_Non-functional tube wells/boreholes/handpumps]]</f>
        <v>1</v>
      </c>
      <c r="CJ304" s="417">
        <f>WWWW[[#This Row],['#_Constructed/Existingwater storage tank with gravity fed reticulation system]]-WWWW[[#This Row],['#_Non-functional storage tank gravity fed reticulation system]]</f>
        <v>0</v>
      </c>
      <c r="CK304" s="417">
        <f>(WWWW[[#This Row],['#_Water_Liters_supplied_by_Water boating or water trucking]]/90)/15</f>
        <v>0</v>
      </c>
      <c r="CL304" s="417">
        <f>WWWW[[#This Row],['#_Water_Liters_from_Constructed/Existing water distribution system from river or natural spring]]/90/15</f>
        <v>0</v>
      </c>
      <c r="CM304" s="417">
        <f>IF(WWWW[[#This Row],['#_of water points in TLS/CFS]]*500&gt;WWWW[[#This Row],[Total PoP ]],WWWW[[#This Row],[Total PoP ]],WWWW[[#This Row],['#_of water points in TLS/CFS]]*500)</f>
        <v>0</v>
      </c>
      <c r="CN304" s="417">
        <f>IF(WWWW[[#This Row],['#_of water points in THF]]*500&gt;WWWW[[#This Row],[Total PoP ]],WWWW[[#This Row],[Total PoP ]],WWWW[[#This Row],['#_of water points in THF]]*500)</f>
        <v>0</v>
      </c>
      <c r="CO304" s="417"/>
      <c r="CP304"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04"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04" s="416">
        <f>IF(WWWW[[#This Row],[Location Type 1]]="Village",WWWW[[#This Row],[Access to safe drinking water for Village]],WWWW[[#This Row],[Access to safe drinking water for Camp]])</f>
        <v>1</v>
      </c>
      <c r="CS304" s="421">
        <f>WWWW[[#This Row],[%Equitable and continuous access to sufficient quantity of safe drinking water]]*WWWW[[#This Row],[Total PoP ]]</f>
        <v>328</v>
      </c>
      <c r="CT304" s="416">
        <f>IF((WWWW[[#This Row],['#_Constructed/Existing protected/fenced ponds]]*250)/WWWW[[#This Row],[Total PoP ]]&gt;1,1,(WWWW[[#This Row],['#_Constructed/Existing protected/fenced ponds]]*250)/WWWW[[#This Row],[Total PoP ]])</f>
        <v>0</v>
      </c>
      <c r="CU304" s="421">
        <f>WWWW[[#This Row],[% Access to unimproved water points]]*WWWW[[#This Row],[Total PoP ]]</f>
        <v>0</v>
      </c>
      <c r="CV304"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04"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328</v>
      </c>
      <c r="CX304" s="421">
        <f>WWWW[[#This Row],[HRP1]]/500</f>
        <v>0.65600000000000003</v>
      </c>
      <c r="CY304" s="951">
        <f>1-WWWW[[#This Row],[% Equitable and continuous access to sufficient quantity of domestic water]]</f>
        <v>0</v>
      </c>
      <c r="CZ304" s="421">
        <f>WWWW[[#This Row],[%equitable and continuous access to sufficient quantity of safe drinking and domestic water''s GAP]]*WWWW[[#This Row],[Total PoP ]]</f>
        <v>0</v>
      </c>
      <c r="DA304" s="417">
        <f>IF(WWWW[[#This Row],[Total required water points]]-WWWW[[#This Row],['#Water points coverage]]&lt;0,0,WWWW[[#This Row],[Total required water points]]-WWWW[[#This Row],['#Water points coverage]])</f>
        <v>0.34399999999999997</v>
      </c>
      <c r="DB304" s="417">
        <f>ROUND(IF(WWWW[[#This Row],[Total PoP ]]&lt;500,1,WWWW[[#This Row],[Total PoP ]]/500),0)</f>
        <v>1</v>
      </c>
      <c r="DC304" s="417">
        <f>(WWWW[[#This Row],['#_Constructed latrines_by_WASHAgencies]]+WWWW[[#This Row],['#_Non Cluster partner latrines]])-WWWW[[#This Row],['#_Non-functional latrines]]</f>
        <v>20</v>
      </c>
      <c r="DD304" s="615">
        <f>WWWW[[#This Row],[HRP2]]/WWWW[[#This Row],[Total PoP ]]</f>
        <v>1</v>
      </c>
      <c r="DE304"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328</v>
      </c>
      <c r="DF304"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04"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04" s="417">
        <f>IF(WWWW[[#This Row],['# of functional latrines in THF supported by WASH partners during the reporting period2]]="",0,WWWW[[#This Row],['# of functional latrines in THF supported by WASH partners during the reporting period2]]*50)</f>
        <v>0</v>
      </c>
      <c r="DI304" s="417">
        <f>ROUND(IF(WWWW[[#This Row],[Location Type 1]]="camp",WWWW[[#This Row],[Total PoP ]]/20,IF(WWWW[[#This Row],[Location Type 1]]="Temporary Location",WWWW[[#This Row],[Total PoP ]]/50,(WWWW[[#This Row],[Total PoP ]]/6))),0)</f>
        <v>16</v>
      </c>
      <c r="DJ304" s="417">
        <f>IF(WWWW[[#This Row],[Total required Latrines]]-(WWWW[[#This Row],['#_Constructed latrines_by_WASHAgencies]]+WWWW[[#This Row],['#_Non Cluster partner latrines]])&lt;0,0,WWWW[[#This Row],[Total required Latrines]]-(WWWW[[#This Row],['#_Constructed latrines_by_WASHAgencies]]+WWWW[[#This Row],['#_Non Cluster partner latrines]]))</f>
        <v>0</v>
      </c>
      <c r="DK304" s="951">
        <f>1-WWWW[[#This Row],[% people access to functioning Latrine]]</f>
        <v>0</v>
      </c>
      <c r="DL304" s="615">
        <f>IF(OR(WWWW[[#This Row],['#_Non-functional latrines]]="",WWWW[[#This Row],['#_Non-functional latrines]]=0),0,WWWW[[#This Row],['#_Non-functional latrines]]/(WWWW[[#This Row],['#_Constructed latrines_by_WASHAgencies]]+WWWW[[#This Row],['#_Non Cluster partner latrines]]))</f>
        <v>0.33333333333333331</v>
      </c>
      <c r="DM304" s="421">
        <f>IF(500*(WWWW[[#This Row],['#_male hygiene promoters]]+WWWW[[#This Row],['#_female hygiene promoters]])&gt;WWWW[[#This Row],[Total PoP ]],WWWW[[#This Row],[Total PoP ]],500*(WWWW[[#This Row],['#_male hygiene promoters]]+WWWW[[#This Row],['#_female hygiene promoters]]))</f>
        <v>328</v>
      </c>
      <c r="DN304"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04"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04" s="417">
        <f>IF(WWWW[[#This Row],['# People with access to soap]]&gt;WWWW[[#This Row],['# People with access to Sanity Pads]],WWWW[[#This Row],['# People with access to soap]],WWWW[[#This Row],['# People with access to Sanity Pads]])</f>
        <v>0</v>
      </c>
      <c r="DQ304" s="417">
        <f>IF(WWWW[[#This Row],['# people reached by regular dedicated hygiene promotion_5]]&gt;WWWW[[#This Row],['# People received regular supply of hygiene items_6]],WWWW[[#This Row],['# people reached by regular dedicated hygiene promotion_5]],WWWW[[#This Row],['# People received regular supply of hygiene items_6]])</f>
        <v>328</v>
      </c>
      <c r="DR304" s="951">
        <f>IF(WWWW[[#This Row],[HRP3]]/WWWW[[#This Row],[Total PoP ]]&gt;1,1,WWWW[[#This Row],[HRP3]]/WWWW[[#This Row],[Total PoP ]])</f>
        <v>1</v>
      </c>
      <c r="DS304" s="615">
        <f>1-WWWW[[#This Row],[Hygiene Coverage%]]</f>
        <v>0</v>
      </c>
      <c r="DT304" s="416">
        <f>WWWW[[#This Row],['# people reached by regular dedicated hygiene promotion_5]]/WWWW[[#This Row],[Total PoP ]]</f>
        <v>1</v>
      </c>
      <c r="DU304"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04"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04" s="417">
        <f>WWWW[[#This Row],['#_Constructed/Existing hand washing stations]]-WWWW[[#This Row],['#_Non-Functional_hand_washing_stations]]</f>
        <v>4</v>
      </c>
      <c r="DX304" s="421">
        <f>IF(WWWW[[#This Row],['# Functional hand washing stations during reporting period]]*20&gt;WWWW[[#This Row],[Total HH]],WWWW[[#This Row],[Total HH]],WWWW[[#This Row],['# Functional hand washing stations during reporting period]]*20)</f>
        <v>63</v>
      </c>
      <c r="DY304" s="421">
        <f>IF(WWWW[[#This Row],[Is sufficient soap available for TLS? (Yes/No)]]="yes",WWWW[[#This Row],['#_Constructed/Existing hand washing stations at TLS/CFS/THF]],0)</f>
        <v>0</v>
      </c>
      <c r="DZ304" s="421">
        <f>IF(WWWW[[#This Row],['# Functional hand washing stations during reporting period]]*100&gt;WWWW[[#This Row],[Total PoP ]],WWWW[[#This Row],[Total PoP ]],WWWW[[#This Row],['# Functional hand washing stations during reporting period]]*100)</f>
        <v>328</v>
      </c>
      <c r="EA304" s="421" t="str">
        <f>IF(OR(WWWW[[#This Row],['#_students at TLS_CFS]]="",WWWW[[#This Row],['#_students at TLS_CFS]]=0),"No","Yes")</f>
        <v>No</v>
      </c>
      <c r="EB30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04" s="566">
        <f>WWWW[[#This Row],[%_of_affected_people_surveyed_who_report_feeling_satistfied_with_the_latrine_design_and_sanitation_service]]*WWWW[[#This Row],[Total PoP ]]</f>
        <v>0</v>
      </c>
      <c r="ED304" s="566">
        <f>WWWW[[#This Row],[%_of_affected_people_surveyed_who_report_feeling_satistfied_with_the_water_point_design_and_water_service]]*WWWW[[#This Row],[Total PoP ]]</f>
        <v>0</v>
      </c>
      <c r="EE304" s="566">
        <f>WWWW[[#This Row],[%_of_complaints_received_that_result_in_timely_corrective_action_and_feedback_to_the_community]]*WWWW[[#This Row],[Total PoP ]]</f>
        <v>0</v>
      </c>
      <c r="EF30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0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0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04" s="418" t="str">
        <f>VLOOKUP(WWWW[[#This Row],[Site Name]],SiteDB6[[Site Name]:[CCCM Management]],6,FALSE)</f>
        <v>Yes</v>
      </c>
      <c r="EJ304" s="418" t="str">
        <f>VLOOKUP(WWWW[[#This Row],[Site Name]],SiteDB6[[Site Name]:[CCCM Focal Agency]],7,FALSE)</f>
        <v>KBC-MYT</v>
      </c>
      <c r="EK304" s="418" t="str">
        <f>VLOOKUP(WWWW[[#This Row],[Site Name]],SiteDB6[[Site Name]:[Location Type 1]],9,FALSE)</f>
        <v>Camp</v>
      </c>
      <c r="EL304" s="418" t="str">
        <f>VLOOKUP(WWWW[[#This Row],[Site Name]],SiteDB6[[Site Name]:[Type of Accommodation]],10,FALSE)</f>
        <v>Camp</v>
      </c>
      <c r="EM304" s="418" t="str">
        <f>VLOOKUP(WWWW[[#This Row],[Site Name]],SiteDB6[[Site Name]:[Ethnic or GCA/NGCA]],11,FALSE)</f>
        <v>GCA</v>
      </c>
      <c r="EN304" s="418">
        <f>VLOOKUP(WWWW[[#This Row],[Site Name]],SiteDB6[[Site Name]:[Lat]],12,FALSE)</f>
        <v>25.428910999999999</v>
      </c>
      <c r="EO304" s="418">
        <f>VLOOKUP(WWWW[[#This Row],[Site Name]],SiteDB6[[Site Name]:[Long]],13,FALSE)</f>
        <v>97.418694000000002</v>
      </c>
      <c r="EP304" s="418" t="str">
        <f>VLOOKUP(WWWW[[#This Row],[Site Name]],SiteDB6[[Site Name]:[Pcode]],3,FALSE)</f>
        <v>MMR001CMP008</v>
      </c>
      <c r="EQ304" s="950" t="str">
        <f t="shared" si="6"/>
        <v>Covered</v>
      </c>
      <c r="ER304" s="950" t="s">
        <v>3126</v>
      </c>
      <c r="ES304" s="950" t="s">
        <v>3267</v>
      </c>
      <c r="ET304" s="418">
        <f>VLOOKUP(WWWW[[#This Row],[Site Name]],SiteDB6[[Site Name]:[Pop
(Kachin/Shan-CCCM as of May 2023)]],16,FALSE)</f>
        <v>86</v>
      </c>
      <c r="EU304" s="418">
        <f>VLOOKUP(WWWW[[#This Row],[Site Name]],SiteDB6[[Site Name]:[Pop
(Kachin/Shan-CCCM as of May 2023)]],17,FALSE)</f>
        <v>502</v>
      </c>
    </row>
    <row r="305" spans="1:151">
      <c r="A305" s="946" t="s">
        <v>2962</v>
      </c>
      <c r="B305" s="946" t="s">
        <v>242</v>
      </c>
      <c r="C305" s="938" t="s">
        <v>242</v>
      </c>
      <c r="D305" s="938" t="s">
        <v>3184</v>
      </c>
      <c r="E305" s="938" t="s">
        <v>37</v>
      </c>
      <c r="F305" s="938" t="s">
        <v>159</v>
      </c>
      <c r="G305" s="902" t="str">
        <f>VLOOKUP(WWWW[[#This Row],[Site Name]],SiteDB6[[Site Name]:[Location Type]],8,FALSE)</f>
        <v>Camp</v>
      </c>
      <c r="H305" s="938" t="s">
        <v>263</v>
      </c>
      <c r="I305" s="441">
        <v>22</v>
      </c>
      <c r="J305" s="441">
        <v>82</v>
      </c>
      <c r="K305" s="948">
        <v>44927</v>
      </c>
      <c r="L305" s="949">
        <v>45382</v>
      </c>
      <c r="M305" s="441"/>
      <c r="N305" s="441"/>
      <c r="O305" s="441">
        <v>1</v>
      </c>
      <c r="P305" s="441"/>
      <c r="Q305" s="421" t="s">
        <v>41</v>
      </c>
      <c r="R305" s="441">
        <v>3</v>
      </c>
      <c r="S305" s="441">
        <v>2</v>
      </c>
      <c r="T305" s="441">
        <v>1</v>
      </c>
      <c r="U305" s="441">
        <v>1</v>
      </c>
      <c r="V305" s="441">
        <v>1</v>
      </c>
      <c r="W305" s="441">
        <v>2</v>
      </c>
      <c r="X305" s="441">
        <v>2</v>
      </c>
      <c r="Y305" s="441">
        <v>1</v>
      </c>
      <c r="Z305" s="441"/>
      <c r="AA305" s="441">
        <v>2</v>
      </c>
      <c r="AB305" s="441"/>
      <c r="AC305" s="441">
        <v>2</v>
      </c>
      <c r="AD305" s="441"/>
      <c r="AE305" s="441"/>
      <c r="AF305" s="441"/>
      <c r="AG305" s="441"/>
      <c r="AH305" s="441">
        <v>1</v>
      </c>
      <c r="AI305" s="441"/>
      <c r="AJ305" s="441"/>
      <c r="AK305" s="441"/>
      <c r="AL305" s="441"/>
      <c r="AM305" s="441"/>
      <c r="AN305" s="441"/>
      <c r="AO305" s="441"/>
      <c r="AP305" s="950"/>
      <c r="AQ305" s="441">
        <v>5</v>
      </c>
      <c r="AR305" s="441"/>
      <c r="AS305" s="416"/>
      <c r="AT305" s="441"/>
      <c r="AU305" s="441"/>
      <c r="AV305" s="441"/>
      <c r="AW305" s="441"/>
      <c r="AX305" s="441">
        <v>5</v>
      </c>
      <c r="AY305" s="418" t="s">
        <v>41</v>
      </c>
      <c r="AZ305" s="950" t="s">
        <v>137</v>
      </c>
      <c r="BA305" s="441"/>
      <c r="BB305" s="441"/>
      <c r="BC305" s="441"/>
      <c r="BD305" s="441"/>
      <c r="BE305" s="441"/>
      <c r="BF305" s="418"/>
      <c r="BG305" s="441">
        <v>5</v>
      </c>
      <c r="BH305" s="441"/>
      <c r="BI305" s="441">
        <v>2</v>
      </c>
      <c r="BJ305" s="441">
        <v>2</v>
      </c>
      <c r="BK305" s="441"/>
      <c r="BL305" s="441"/>
      <c r="BM305" s="441">
        <v>1</v>
      </c>
      <c r="BN305" s="441"/>
      <c r="BO305" s="441"/>
      <c r="BP305" s="418" t="s">
        <v>41</v>
      </c>
      <c r="BQ305" s="417">
        <v>1</v>
      </c>
      <c r="BR305" s="416">
        <v>0.5</v>
      </c>
      <c r="BS305" s="418"/>
      <c r="BT305" s="416">
        <v>0.75</v>
      </c>
      <c r="BU305" s="416"/>
      <c r="BV305" s="418"/>
      <c r="BW305" s="416"/>
      <c r="BX305" s="441"/>
      <c r="BY305" s="441"/>
      <c r="BZ305" s="441"/>
      <c r="CA305" s="441"/>
      <c r="CB305" s="441"/>
      <c r="CC305" s="693"/>
      <c r="CD305" s="441"/>
      <c r="CE305" s="615" t="str">
        <f>IFERROR(WWWW[[#This Row],['#_Water sources passed]]/WWWW[[#This Row],['#_Water sources tested for fecal coliform ]],"no test")</f>
        <v>no test</v>
      </c>
      <c r="CF305" s="416" t="str">
        <f>IFERROR(WWWW[[#This Row],['#_Household passed]]/WWWW[[#This Row],['#_Household water samples tested for fecal coliform]],"no test")</f>
        <v>no test</v>
      </c>
      <c r="CG305" s="417" t="str">
        <f>IF(AND(WWWW[[#This Row],[% of water sources passed]]="no test",WWWW[[#This Row],[% Household passed]]="no test"),"No Test","Tested")</f>
        <v>No Test</v>
      </c>
      <c r="CH305" s="417">
        <f>WWWW[[#This Row],['#_Constructed/existing protected hand dug well]]-WWWW[[#This Row],['#_Non-functional protected hand dug well]]</f>
        <v>0</v>
      </c>
      <c r="CI305" s="417">
        <f>(WWWW[[#This Row],['#_Constructed/Existing tube wells/boreholes/handpumps_WASH_agency]]+WWWW[[#This Row],['#_Non-Cluster partner water tube-wells/boreholes/handpumps]])-WWWW[[#This Row],['#_Non-functional tube wells/boreholes/handpumps]]</f>
        <v>3</v>
      </c>
      <c r="CJ305" s="417">
        <f>WWWW[[#This Row],['#_Constructed/Existingwater storage tank with gravity fed reticulation system]]-WWWW[[#This Row],['#_Non-functional storage tank gravity fed reticulation system]]</f>
        <v>2</v>
      </c>
      <c r="CK305" s="417">
        <f>(WWWW[[#This Row],['#_Water_Liters_supplied_by_Water boating or water trucking]]/90)/15</f>
        <v>0</v>
      </c>
      <c r="CL305" s="417">
        <f>WWWW[[#This Row],['#_Water_Liters_from_Constructed/Existing water distribution system from river or natural spring]]/90/15</f>
        <v>0</v>
      </c>
      <c r="CM305" s="417">
        <f>IF(WWWW[[#This Row],['#_of water points in TLS/CFS]]*500&gt;WWWW[[#This Row],[Total PoP ]],WWWW[[#This Row],[Total PoP ]],WWWW[[#This Row],['#_of water points in TLS/CFS]]*500)</f>
        <v>0</v>
      </c>
      <c r="CN305" s="417">
        <f>IF(WWWW[[#This Row],['#_of water points in THF]]*500&gt;WWWW[[#This Row],[Total PoP ]],WWWW[[#This Row],[Total PoP ]],WWWW[[#This Row],['#_of water points in THF]]*500)</f>
        <v>0</v>
      </c>
      <c r="CO305" s="417"/>
      <c r="CP305"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05"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05" s="416">
        <f>IF(WWWW[[#This Row],[Location Type 1]]="Village",WWWW[[#This Row],[Access to safe drinking water for Village]],WWWW[[#This Row],[Access to safe drinking water for Camp]])</f>
        <v>1</v>
      </c>
      <c r="CS305" s="421">
        <f>WWWW[[#This Row],[%Equitable and continuous access to sufficient quantity of safe drinking water]]*WWWW[[#This Row],[Total PoP ]]</f>
        <v>82</v>
      </c>
      <c r="CT305" s="416">
        <f>IF((WWWW[[#This Row],['#_Constructed/Existing protected/fenced ponds]]*250)/WWWW[[#This Row],[Total PoP ]]&gt;1,1,(WWWW[[#This Row],['#_Constructed/Existing protected/fenced ponds]]*250)/WWWW[[#This Row],[Total PoP ]])</f>
        <v>0</v>
      </c>
      <c r="CU305" s="421">
        <f>WWWW[[#This Row],[% Access to unimproved water points]]*WWWW[[#This Row],[Total PoP ]]</f>
        <v>0</v>
      </c>
      <c r="CV305"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05"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82</v>
      </c>
      <c r="CX305" s="421">
        <f>WWWW[[#This Row],[HRP1]]/500</f>
        <v>0.16400000000000001</v>
      </c>
      <c r="CY305" s="951">
        <f>1-WWWW[[#This Row],[% Equitable and continuous access to sufficient quantity of domestic water]]</f>
        <v>0</v>
      </c>
      <c r="CZ305" s="421">
        <f>WWWW[[#This Row],[%equitable and continuous access to sufficient quantity of safe drinking and domestic water''s GAP]]*WWWW[[#This Row],[Total PoP ]]</f>
        <v>0</v>
      </c>
      <c r="DA305" s="417">
        <f>IF(WWWW[[#This Row],[Total required water points]]-WWWW[[#This Row],['#Water points coverage]]&lt;0,0,WWWW[[#This Row],[Total required water points]]-WWWW[[#This Row],['#Water points coverage]])</f>
        <v>0.83599999999999997</v>
      </c>
      <c r="DB305" s="417">
        <f>ROUND(IF(WWWW[[#This Row],[Total PoP ]]&lt;500,1,WWWW[[#This Row],[Total PoP ]]/500),0)</f>
        <v>1</v>
      </c>
      <c r="DC305" s="417">
        <f>(WWWW[[#This Row],['#_Constructed latrines_by_WASHAgencies]]+WWWW[[#This Row],['#_Non Cluster partner latrines]])-WWWW[[#This Row],['#_Non-functional latrines]]</f>
        <v>5</v>
      </c>
      <c r="DD305" s="615">
        <f>WWWW[[#This Row],[HRP2]]/WWWW[[#This Row],[Total PoP ]]</f>
        <v>1</v>
      </c>
      <c r="DE305"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82</v>
      </c>
      <c r="DF305"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05"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05" s="417">
        <f>IF(WWWW[[#This Row],['# of functional latrines in THF supported by WASH partners during the reporting period2]]="",0,WWWW[[#This Row],['# of functional latrines in THF supported by WASH partners during the reporting period2]]*50)</f>
        <v>0</v>
      </c>
      <c r="DI305" s="417">
        <f>ROUND(IF(WWWW[[#This Row],[Location Type 1]]="camp",WWWW[[#This Row],[Total PoP ]]/20,IF(WWWW[[#This Row],[Location Type 1]]="Temporary Location",WWWW[[#This Row],[Total PoP ]]/50,(WWWW[[#This Row],[Total PoP ]]/6))),0)</f>
        <v>4</v>
      </c>
      <c r="DJ305" s="417">
        <f>IF(WWWW[[#This Row],[Total required Latrines]]-(WWWW[[#This Row],['#_Constructed latrines_by_WASHAgencies]]+WWWW[[#This Row],['#_Non Cluster partner latrines]])&lt;0,0,WWWW[[#This Row],[Total required Latrines]]-(WWWW[[#This Row],['#_Constructed latrines_by_WASHAgencies]]+WWWW[[#This Row],['#_Non Cluster partner latrines]]))</f>
        <v>0</v>
      </c>
      <c r="DK305" s="951">
        <f>1-WWWW[[#This Row],[% people access to functioning Latrine]]</f>
        <v>0</v>
      </c>
      <c r="DL305" s="615">
        <f>IF(OR(WWWW[[#This Row],['#_Non-functional latrines]]="",WWWW[[#This Row],['#_Non-functional latrines]]=0),0,WWWW[[#This Row],['#_Non-functional latrines]]/(WWWW[[#This Row],['#_Constructed latrines_by_WASHAgencies]]+WWWW[[#This Row],['#_Non Cluster partner latrines]]))</f>
        <v>0</v>
      </c>
      <c r="DM305" s="421">
        <f>IF(500*(WWWW[[#This Row],['#_male hygiene promoters]]+WWWW[[#This Row],['#_female hygiene promoters]])&gt;WWWW[[#This Row],[Total PoP ]],WWWW[[#This Row],[Total PoP ]],500*(WWWW[[#This Row],['#_male hygiene promoters]]+WWWW[[#This Row],['#_female hygiene promoters]]))</f>
        <v>82</v>
      </c>
      <c r="DN305"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05"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05" s="417">
        <f>IF(WWWW[[#This Row],['# People with access to soap]]&gt;WWWW[[#This Row],['# People with access to Sanity Pads]],WWWW[[#This Row],['# People with access to soap]],WWWW[[#This Row],['# People with access to Sanity Pads]])</f>
        <v>0</v>
      </c>
      <c r="DQ305" s="417">
        <f>IF(WWWW[[#This Row],['# people reached by regular dedicated hygiene promotion_5]]&gt;WWWW[[#This Row],['# People received regular supply of hygiene items_6]],WWWW[[#This Row],['# people reached by regular dedicated hygiene promotion_5]],WWWW[[#This Row],['# People received regular supply of hygiene items_6]])</f>
        <v>82</v>
      </c>
      <c r="DR305" s="951">
        <f>IF(WWWW[[#This Row],[HRP3]]/WWWW[[#This Row],[Total PoP ]]&gt;1,1,WWWW[[#This Row],[HRP3]]/WWWW[[#This Row],[Total PoP ]])</f>
        <v>1</v>
      </c>
      <c r="DS305" s="615">
        <f>1-WWWW[[#This Row],[Hygiene Coverage%]]</f>
        <v>0</v>
      </c>
      <c r="DT305" s="416">
        <f>WWWW[[#This Row],['# people reached by regular dedicated hygiene promotion_5]]/WWWW[[#This Row],[Total PoP ]]</f>
        <v>1</v>
      </c>
      <c r="DU305"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05"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05" s="417">
        <f>WWWW[[#This Row],['#_Constructed/Existing hand washing stations]]-WWWW[[#This Row],['#_Non-Functional_hand_washing_stations]]</f>
        <v>5</v>
      </c>
      <c r="DX305" s="421">
        <f>IF(WWWW[[#This Row],['# Functional hand washing stations during reporting period]]*20&gt;WWWW[[#This Row],[Total HH]],WWWW[[#This Row],[Total HH]],WWWW[[#This Row],['# Functional hand washing stations during reporting period]]*20)</f>
        <v>22</v>
      </c>
      <c r="DY305" s="421">
        <f>IF(WWWW[[#This Row],[Is sufficient soap available for TLS? (Yes/No)]]="yes",WWWW[[#This Row],['#_Constructed/Existing hand washing stations at TLS/CFS/THF]],0)</f>
        <v>0</v>
      </c>
      <c r="DZ305" s="421">
        <f>IF(WWWW[[#This Row],['# Functional hand washing stations during reporting period]]*100&gt;WWWW[[#This Row],[Total PoP ]],WWWW[[#This Row],[Total PoP ]],WWWW[[#This Row],['# Functional hand washing stations during reporting period]]*100)</f>
        <v>82</v>
      </c>
      <c r="EA305" s="421" t="str">
        <f>IF(OR(WWWW[[#This Row],['#_students at TLS_CFS]]="",WWWW[[#This Row],['#_students at TLS_CFS]]=0),"No","Yes")</f>
        <v>No</v>
      </c>
      <c r="EB30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05" s="566">
        <f>WWWW[[#This Row],[%_of_affected_people_surveyed_who_report_feeling_satistfied_with_the_latrine_design_and_sanitation_service]]*WWWW[[#This Row],[Total PoP ]]</f>
        <v>61.5</v>
      </c>
      <c r="ED305" s="566">
        <f>WWWW[[#This Row],[%_of_affected_people_surveyed_who_report_feeling_satistfied_with_the_water_point_design_and_water_service]]*WWWW[[#This Row],[Total PoP ]]</f>
        <v>0</v>
      </c>
      <c r="EE305" s="566">
        <f>WWWW[[#This Row],[%_of_complaints_received_that_result_in_timely_corrective_action_and_feedback_to_the_community]]*WWWW[[#This Row],[Total PoP ]]</f>
        <v>0</v>
      </c>
      <c r="EF30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61.5</v>
      </c>
      <c r="EG30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0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05" s="418" t="str">
        <f>VLOOKUP(WWWW[[#This Row],[Site Name]],SiteDB6[[Site Name]:[CCCM Management]],6,FALSE)</f>
        <v>Yes</v>
      </c>
      <c r="EJ305" s="418" t="str">
        <f>VLOOKUP(WWWW[[#This Row],[Site Name]],SiteDB6[[Site Name]:[CCCM Focal Agency]],7,FALSE)</f>
        <v>Shalom</v>
      </c>
      <c r="EK305" s="418" t="str">
        <f>VLOOKUP(WWWW[[#This Row],[Site Name]],SiteDB6[[Site Name]:[Location Type 1]],9,FALSE)</f>
        <v>Camp</v>
      </c>
      <c r="EL305" s="418" t="str">
        <f>VLOOKUP(WWWW[[#This Row],[Site Name]],SiteDB6[[Site Name]:[Type of Accommodation]],10,FALSE)</f>
        <v>Camp</v>
      </c>
      <c r="EM305" s="418" t="str">
        <f>VLOOKUP(WWWW[[#This Row],[Site Name]],SiteDB6[[Site Name]:[Ethnic or GCA/NGCA]],11,FALSE)</f>
        <v>GCA</v>
      </c>
      <c r="EN305" s="418">
        <f>VLOOKUP(WWWW[[#This Row],[Site Name]],SiteDB6[[Site Name]:[Lat]],12,FALSE)</f>
        <v>25.374343974359</v>
      </c>
      <c r="EO305" s="418">
        <f>VLOOKUP(WWWW[[#This Row],[Site Name]],SiteDB6[[Site Name]:[Long]],13,FALSE)</f>
        <v>97.2843958974359</v>
      </c>
      <c r="EP305" s="418" t="str">
        <f>VLOOKUP(WWWW[[#This Row],[Site Name]],SiteDB6[[Site Name]:[Pcode]],3,FALSE)</f>
        <v>MMR001CMP020</v>
      </c>
      <c r="EQ305" s="950" t="str">
        <f t="shared" si="6"/>
        <v>Covered</v>
      </c>
      <c r="ER305" s="950" t="s">
        <v>136</v>
      </c>
      <c r="ES305" s="950" t="s">
        <v>3263</v>
      </c>
      <c r="ET305" s="418">
        <f>VLOOKUP(WWWW[[#This Row],[Site Name]],SiteDB6[[Site Name]:[Pop
(Kachin/Shan-CCCM as of May 2023)]],16,FALSE)</f>
        <v>18</v>
      </c>
      <c r="EU305" s="418">
        <f>VLOOKUP(WWWW[[#This Row],[Site Name]],SiteDB6[[Site Name]:[Pop
(Kachin/Shan-CCCM as of May 2023)]],17,FALSE)</f>
        <v>74</v>
      </c>
    </row>
    <row r="306" spans="1:151">
      <c r="A306" s="946" t="s">
        <v>2962</v>
      </c>
      <c r="B306" s="946" t="s">
        <v>242</v>
      </c>
      <c r="C306" s="938" t="s">
        <v>242</v>
      </c>
      <c r="D306" s="938" t="s">
        <v>3184</v>
      </c>
      <c r="E306" s="938" t="s">
        <v>37</v>
      </c>
      <c r="F306" s="938" t="s">
        <v>159</v>
      </c>
      <c r="G306" s="902" t="str">
        <f>VLOOKUP(WWWW[[#This Row],[Site Name]],SiteDB6[[Site Name]:[Location Type]],8,FALSE)</f>
        <v>Camp</v>
      </c>
      <c r="H306" s="938" t="s">
        <v>264</v>
      </c>
      <c r="I306" s="441">
        <v>18</v>
      </c>
      <c r="J306" s="441">
        <v>78</v>
      </c>
      <c r="K306" s="948">
        <v>44927</v>
      </c>
      <c r="L306" s="949">
        <v>45382</v>
      </c>
      <c r="M306" s="441"/>
      <c r="N306" s="441"/>
      <c r="O306" s="441">
        <v>1</v>
      </c>
      <c r="P306" s="441"/>
      <c r="Q306" s="421" t="s">
        <v>41</v>
      </c>
      <c r="R306" s="441">
        <v>2</v>
      </c>
      <c r="S306" s="441">
        <v>4</v>
      </c>
      <c r="T306" s="441">
        <v>3</v>
      </c>
      <c r="U306" s="441">
        <v>1</v>
      </c>
      <c r="V306" s="441"/>
      <c r="W306" s="441">
        <v>2</v>
      </c>
      <c r="X306" s="441">
        <v>2</v>
      </c>
      <c r="Y306" s="441">
        <v>1</v>
      </c>
      <c r="Z306" s="441"/>
      <c r="AA306" s="441"/>
      <c r="AB306" s="441"/>
      <c r="AC306" s="441"/>
      <c r="AD306" s="441"/>
      <c r="AE306" s="441">
        <v>2</v>
      </c>
      <c r="AF306" s="441"/>
      <c r="AG306" s="441"/>
      <c r="AH306" s="441">
        <v>3</v>
      </c>
      <c r="AI306" s="441"/>
      <c r="AJ306" s="441"/>
      <c r="AK306" s="441"/>
      <c r="AL306" s="441"/>
      <c r="AM306" s="441">
        <v>4</v>
      </c>
      <c r="AN306" s="441">
        <v>1</v>
      </c>
      <c r="AO306" s="441"/>
      <c r="AP306" s="950"/>
      <c r="AQ306" s="441">
        <v>6</v>
      </c>
      <c r="AR306" s="441"/>
      <c r="AS306" s="416" t="s">
        <v>242</v>
      </c>
      <c r="AT306" s="441">
        <v>1</v>
      </c>
      <c r="AU306" s="441">
        <v>1</v>
      </c>
      <c r="AV306" s="441"/>
      <c r="AW306" s="441"/>
      <c r="AX306" s="441"/>
      <c r="AY306" s="418" t="s">
        <v>41</v>
      </c>
      <c r="AZ306" s="950" t="s">
        <v>137</v>
      </c>
      <c r="BA306" s="441"/>
      <c r="BB306" s="441"/>
      <c r="BC306" s="441"/>
      <c r="BD306" s="441"/>
      <c r="BE306" s="441">
        <v>78</v>
      </c>
      <c r="BF306" s="418"/>
      <c r="BG306" s="441">
        <v>4</v>
      </c>
      <c r="BH306" s="441">
        <v>2</v>
      </c>
      <c r="BI306" s="441"/>
      <c r="BJ306" s="441">
        <v>2</v>
      </c>
      <c r="BK306" s="441"/>
      <c r="BL306" s="441"/>
      <c r="BM306" s="441">
        <v>1</v>
      </c>
      <c r="BN306" s="441">
        <v>18</v>
      </c>
      <c r="BO306" s="441">
        <v>24</v>
      </c>
      <c r="BP306" s="418" t="s">
        <v>41</v>
      </c>
      <c r="BQ306" s="417">
        <v>1</v>
      </c>
      <c r="BR306" s="416">
        <v>0.8</v>
      </c>
      <c r="BS306" s="418"/>
      <c r="BT306" s="416">
        <v>0.8</v>
      </c>
      <c r="BU306" s="416">
        <v>0.8</v>
      </c>
      <c r="BV306" s="418"/>
      <c r="BW306" s="416">
        <v>0.8</v>
      </c>
      <c r="BX306" s="441"/>
      <c r="BY306" s="441"/>
      <c r="BZ306" s="441"/>
      <c r="CA306" s="441"/>
      <c r="CB306" s="441"/>
      <c r="CC306" s="693"/>
      <c r="CD306" s="441"/>
      <c r="CE306" s="615" t="str">
        <f>IFERROR(WWWW[[#This Row],['#_Water sources passed]]/WWWW[[#This Row],['#_Water sources tested for fecal coliform ]],"no test")</f>
        <v>no test</v>
      </c>
      <c r="CF306" s="416" t="str">
        <f>IFERROR(WWWW[[#This Row],['#_Household passed]]/WWWW[[#This Row],['#_Household water samples tested for fecal coliform]],"no test")</f>
        <v>no test</v>
      </c>
      <c r="CG306" s="417" t="str">
        <f>IF(AND(WWWW[[#This Row],[% of water sources passed]]="no test",WWWW[[#This Row],[% Household passed]]="no test"),"No Test","Tested")</f>
        <v>No Test</v>
      </c>
      <c r="CH306" s="417">
        <f>WWWW[[#This Row],['#_Constructed/existing protected hand dug well]]-WWWW[[#This Row],['#_Non-functional protected hand dug well]]</f>
        <v>2</v>
      </c>
      <c r="CI306" s="417">
        <f>(WWWW[[#This Row],['#_Constructed/Existing tube wells/boreholes/handpumps_WASH_agency]]+WWWW[[#This Row],['#_Non-Cluster partner water tube-wells/boreholes/handpumps]])-WWWW[[#This Row],['#_Non-functional tube wells/boreholes/handpumps]]</f>
        <v>3</v>
      </c>
      <c r="CJ306" s="417">
        <f>WWWW[[#This Row],['#_Constructed/Existingwater storage tank with gravity fed reticulation system]]-WWWW[[#This Row],['#_Non-functional storage tank gravity fed reticulation system]]</f>
        <v>0</v>
      </c>
      <c r="CK306" s="417">
        <f>(WWWW[[#This Row],['#_Water_Liters_supplied_by_Water boating or water trucking]]/90)/15</f>
        <v>0</v>
      </c>
      <c r="CL306" s="417">
        <f>WWWW[[#This Row],['#_Water_Liters_from_Constructed/Existing water distribution system from river or natural spring]]/90/15</f>
        <v>0</v>
      </c>
      <c r="CM306" s="417">
        <f>IF(WWWW[[#This Row],['#_of water points in TLS/CFS]]*500&gt;WWWW[[#This Row],[Total PoP ]],WWWW[[#This Row],[Total PoP ]],WWWW[[#This Row],['#_of water points in TLS/CFS]]*500)</f>
        <v>78</v>
      </c>
      <c r="CN306" s="417">
        <f>IF(WWWW[[#This Row],['#_of water points in THF]]*500&gt;WWWW[[#This Row],[Total PoP ]],WWWW[[#This Row],[Total PoP ]],WWWW[[#This Row],['#_of water points in THF]]*500)</f>
        <v>0</v>
      </c>
      <c r="CO306" s="417"/>
      <c r="CP306"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06"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06" s="416">
        <f>IF(WWWW[[#This Row],[Location Type 1]]="Village",WWWW[[#This Row],[Access to safe drinking water for Village]],WWWW[[#This Row],[Access to safe drinking water for Camp]])</f>
        <v>1</v>
      </c>
      <c r="CS306" s="421">
        <f>WWWW[[#This Row],[%Equitable and continuous access to sufficient quantity of safe drinking water]]*WWWW[[#This Row],[Total PoP ]]</f>
        <v>78</v>
      </c>
      <c r="CT306" s="416">
        <f>IF((WWWW[[#This Row],['#_Constructed/Existing protected/fenced ponds]]*250)/WWWW[[#This Row],[Total PoP ]]&gt;1,1,(WWWW[[#This Row],['#_Constructed/Existing protected/fenced ponds]]*250)/WWWW[[#This Row],[Total PoP ]])</f>
        <v>1</v>
      </c>
      <c r="CU306" s="421">
        <f>WWWW[[#This Row],[% Access to unimproved water points]]*WWWW[[#This Row],[Total PoP ]]</f>
        <v>78</v>
      </c>
      <c r="CV306"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06"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78</v>
      </c>
      <c r="CX306" s="421">
        <f>WWWW[[#This Row],[HRP1]]/500</f>
        <v>0.156</v>
      </c>
      <c r="CY306" s="951">
        <f>1-WWWW[[#This Row],[% Equitable and continuous access to sufficient quantity of domestic water]]</f>
        <v>0</v>
      </c>
      <c r="CZ306" s="421">
        <f>WWWW[[#This Row],[%equitable and continuous access to sufficient quantity of safe drinking and domestic water''s GAP]]*WWWW[[#This Row],[Total PoP ]]</f>
        <v>0</v>
      </c>
      <c r="DA306" s="417">
        <f>IF(WWWW[[#This Row],[Total required water points]]-WWWW[[#This Row],['#Water points coverage]]&lt;0,0,WWWW[[#This Row],[Total required water points]]-WWWW[[#This Row],['#Water points coverage]])</f>
        <v>0.84399999999999997</v>
      </c>
      <c r="DB306" s="417">
        <f>ROUND(IF(WWWW[[#This Row],[Total PoP ]]&lt;500,1,WWWW[[#This Row],[Total PoP ]]/500),0)</f>
        <v>1</v>
      </c>
      <c r="DC306" s="417">
        <f>(WWWW[[#This Row],['#_Constructed latrines_by_WASHAgencies]]+WWWW[[#This Row],['#_Non Cluster partner latrines]])-WWWW[[#This Row],['#_Non-functional latrines]]</f>
        <v>5</v>
      </c>
      <c r="DD306" s="615">
        <f>WWWW[[#This Row],[HRP2]]/WWWW[[#This Row],[Total PoP ]]</f>
        <v>1</v>
      </c>
      <c r="DE306"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78</v>
      </c>
      <c r="DF306"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06"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06" s="417">
        <f>IF(WWWW[[#This Row],['# of functional latrines in THF supported by WASH partners during the reporting period2]]="",0,WWWW[[#This Row],['# of functional latrines in THF supported by WASH partners during the reporting period2]]*50)</f>
        <v>0</v>
      </c>
      <c r="DI306" s="417">
        <f>ROUND(IF(WWWW[[#This Row],[Location Type 1]]="camp",WWWW[[#This Row],[Total PoP ]]/20,IF(WWWW[[#This Row],[Location Type 1]]="Temporary Location",WWWW[[#This Row],[Total PoP ]]/50,(WWWW[[#This Row],[Total PoP ]]/6))),0)</f>
        <v>4</v>
      </c>
      <c r="DJ306" s="417">
        <f>IF(WWWW[[#This Row],[Total required Latrines]]-(WWWW[[#This Row],['#_Constructed latrines_by_WASHAgencies]]+WWWW[[#This Row],['#_Non Cluster partner latrines]])&lt;0,0,WWWW[[#This Row],[Total required Latrines]]-(WWWW[[#This Row],['#_Constructed latrines_by_WASHAgencies]]+WWWW[[#This Row],['#_Non Cluster partner latrines]]))</f>
        <v>0</v>
      </c>
      <c r="DK306" s="951">
        <f>1-WWWW[[#This Row],[% people access to functioning Latrine]]</f>
        <v>0</v>
      </c>
      <c r="DL306" s="615">
        <f>IF(OR(WWWW[[#This Row],['#_Non-functional latrines]]="",WWWW[[#This Row],['#_Non-functional latrines]]=0),0,WWWW[[#This Row],['#_Non-functional latrines]]/(WWWW[[#This Row],['#_Constructed latrines_by_WASHAgencies]]+WWWW[[#This Row],['#_Non Cluster partner latrines]]))</f>
        <v>0.16666666666666666</v>
      </c>
      <c r="DM306" s="421">
        <f>IF(500*(WWWW[[#This Row],['#_male hygiene promoters]]+WWWW[[#This Row],['#_female hygiene promoters]])&gt;WWWW[[#This Row],[Total PoP ]],WWWW[[#This Row],[Total PoP ]],500*(WWWW[[#This Row],['#_male hygiene promoters]]+WWWW[[#This Row],['#_female hygiene promoters]]))</f>
        <v>78</v>
      </c>
      <c r="DN306"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78</v>
      </c>
      <c r="DO306"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24</v>
      </c>
      <c r="DP306" s="417">
        <f>IF(WWWW[[#This Row],['# People with access to soap]]&gt;WWWW[[#This Row],['# People with access to Sanity Pads]],WWWW[[#This Row],['# People with access to soap]],WWWW[[#This Row],['# People with access to Sanity Pads]])</f>
        <v>78</v>
      </c>
      <c r="DQ306" s="417">
        <f>IF(WWWW[[#This Row],['# people reached by regular dedicated hygiene promotion_5]]&gt;WWWW[[#This Row],['# People received regular supply of hygiene items_6]],WWWW[[#This Row],['# people reached by regular dedicated hygiene promotion_5]],WWWW[[#This Row],['# People received regular supply of hygiene items_6]])</f>
        <v>78</v>
      </c>
      <c r="DR306" s="951">
        <f>IF(WWWW[[#This Row],[HRP3]]/WWWW[[#This Row],[Total PoP ]]&gt;1,1,WWWW[[#This Row],[HRP3]]/WWWW[[#This Row],[Total PoP ]])</f>
        <v>1</v>
      </c>
      <c r="DS306" s="615">
        <f>1-WWWW[[#This Row],[Hygiene Coverage%]]</f>
        <v>0</v>
      </c>
      <c r="DT306" s="416">
        <f>WWWW[[#This Row],['# people reached by regular dedicated hygiene promotion_5]]/WWWW[[#This Row],[Total PoP ]]</f>
        <v>1</v>
      </c>
      <c r="DU306"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306"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306" s="417">
        <f>WWWW[[#This Row],['#_Constructed/Existing hand washing stations]]-WWWW[[#This Row],['#_Non-Functional_hand_washing_stations]]</f>
        <v>2</v>
      </c>
      <c r="DX306" s="421">
        <f>IF(WWWW[[#This Row],['# Functional hand washing stations during reporting period]]*20&gt;WWWW[[#This Row],[Total HH]],WWWW[[#This Row],[Total HH]],WWWW[[#This Row],['# Functional hand washing stations during reporting period]]*20)</f>
        <v>18</v>
      </c>
      <c r="DY306" s="421">
        <f>IF(WWWW[[#This Row],[Is sufficient soap available for TLS? (Yes/No)]]="yes",WWWW[[#This Row],['#_Constructed/Existing hand washing stations at TLS/CFS/THF]],0)</f>
        <v>4</v>
      </c>
      <c r="DZ306" s="421">
        <f>IF(WWWW[[#This Row],['# Functional hand washing stations during reporting period]]*100&gt;WWWW[[#This Row],[Total PoP ]],WWWW[[#This Row],[Total PoP ]],WWWW[[#This Row],['# Functional hand washing stations during reporting period]]*100)</f>
        <v>78</v>
      </c>
      <c r="EA306" s="421" t="str">
        <f>IF(OR(WWWW[[#This Row],['#_students at TLS_CFS]]="",WWWW[[#This Row],['#_students at TLS_CFS]]=0),"No","Yes")</f>
        <v>No</v>
      </c>
      <c r="EB30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06" s="566">
        <f>WWWW[[#This Row],[%_of_affected_people_surveyed_who_report_feeling_satistfied_with_the_latrine_design_and_sanitation_service]]*WWWW[[#This Row],[Total PoP ]]</f>
        <v>62.400000000000006</v>
      </c>
      <c r="ED306" s="566">
        <f>WWWW[[#This Row],[%_of_affected_people_surveyed_who_report_feeling_satistfied_with_the_water_point_design_and_water_service]]*WWWW[[#This Row],[Total PoP ]]</f>
        <v>62.400000000000006</v>
      </c>
      <c r="EE306" s="566">
        <f>WWWW[[#This Row],[%_of_complaints_received_that_result_in_timely_corrective_action_and_feedback_to_the_community]]*WWWW[[#This Row],[Total PoP ]]</f>
        <v>62.400000000000006</v>
      </c>
      <c r="EF30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62.400000000000006</v>
      </c>
      <c r="EG30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78</v>
      </c>
      <c r="EH30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06" s="418" t="str">
        <f>VLOOKUP(WWWW[[#This Row],[Site Name]],SiteDB6[[Site Name]:[CCCM Management]],6,FALSE)</f>
        <v>Yes</v>
      </c>
      <c r="EJ306" s="418" t="str">
        <f>VLOOKUP(WWWW[[#This Row],[Site Name]],SiteDB6[[Site Name]:[CCCM Focal Agency]],7,FALSE)</f>
        <v>Shalom</v>
      </c>
      <c r="EK306" s="418" t="str">
        <f>VLOOKUP(WWWW[[#This Row],[Site Name]],SiteDB6[[Site Name]:[Location Type 1]],9,FALSE)</f>
        <v>Camp</v>
      </c>
      <c r="EL306" s="418" t="str">
        <f>VLOOKUP(WWWW[[#This Row],[Site Name]],SiteDB6[[Site Name]:[Type of Accommodation]],10,FALSE)</f>
        <v>Camp</v>
      </c>
      <c r="EM306" s="418" t="str">
        <f>VLOOKUP(WWWW[[#This Row],[Site Name]],SiteDB6[[Site Name]:[Ethnic or GCA/NGCA]],11,FALSE)</f>
        <v>GCA</v>
      </c>
      <c r="EN306" s="418">
        <f>VLOOKUP(WWWW[[#This Row],[Site Name]],SiteDB6[[Site Name]:[Lat]],12,FALSE)</f>
        <v>25.371049444444399</v>
      </c>
      <c r="EO306" s="418">
        <f>VLOOKUP(WWWW[[#This Row],[Site Name]],SiteDB6[[Site Name]:[Long]],13,FALSE)</f>
        <v>97.290952037037002</v>
      </c>
      <c r="EP306" s="418" t="str">
        <f>VLOOKUP(WWWW[[#This Row],[Site Name]],SiteDB6[[Site Name]:[Pcode]],3,FALSE)</f>
        <v>MMR001CMP021</v>
      </c>
      <c r="EQ306" s="950" t="str">
        <f t="shared" si="6"/>
        <v>Covered</v>
      </c>
      <c r="ER306" s="950" t="s">
        <v>136</v>
      </c>
      <c r="ES306" s="950" t="s">
        <v>3263</v>
      </c>
      <c r="ET306" s="418">
        <f>VLOOKUP(WWWW[[#This Row],[Site Name]],SiteDB6[[Site Name]:[Pop
(Kachin/Shan-CCCM as of May 2023)]],16,FALSE)</f>
        <v>29</v>
      </c>
      <c r="EU306" s="418">
        <f>VLOOKUP(WWWW[[#This Row],[Site Name]],SiteDB6[[Site Name]:[Pop
(Kachin/Shan-CCCM as of May 2023)]],17,FALSE)</f>
        <v>174</v>
      </c>
    </row>
    <row r="307" spans="1:151">
      <c r="A307" s="946" t="s">
        <v>2962</v>
      </c>
      <c r="B307" s="1004" t="s">
        <v>36</v>
      </c>
      <c r="C307" s="1005" t="s">
        <v>36</v>
      </c>
      <c r="D307" s="1005" t="s">
        <v>241</v>
      </c>
      <c r="E307" s="1005" t="s">
        <v>37</v>
      </c>
      <c r="F307" s="1005" t="s">
        <v>159</v>
      </c>
      <c r="G307" s="902" t="str">
        <f>VLOOKUP(WWWW[[#This Row],[Site Name]],SiteDB6[[Site Name]:[Location Type]],8,FALSE)</f>
        <v>Camp</v>
      </c>
      <c r="H307" s="1005" t="s">
        <v>234</v>
      </c>
      <c r="I307" s="954">
        <v>29</v>
      </c>
      <c r="J307" s="954">
        <v>274</v>
      </c>
      <c r="K307" s="955">
        <v>44973</v>
      </c>
      <c r="L307" s="956">
        <v>45337</v>
      </c>
      <c r="M307" s="954"/>
      <c r="N307" s="954">
        <v>2</v>
      </c>
      <c r="O307" s="954"/>
      <c r="P307" s="954"/>
      <c r="Q307" s="957" t="s">
        <v>41</v>
      </c>
      <c r="R307" s="954">
        <v>2</v>
      </c>
      <c r="S307" s="954">
        <v>9</v>
      </c>
      <c r="T307" s="441"/>
      <c r="U307" s="954"/>
      <c r="V307" s="954"/>
      <c r="W307" s="954">
        <v>4</v>
      </c>
      <c r="X307" s="954"/>
      <c r="Y307" s="954"/>
      <c r="Z307" s="954"/>
      <c r="AA307" s="954"/>
      <c r="AB307" s="954"/>
      <c r="AC307" s="954"/>
      <c r="AD307" s="954"/>
      <c r="AE307" s="954"/>
      <c r="AF307" s="954"/>
      <c r="AG307" s="954"/>
      <c r="AH307" s="954"/>
      <c r="AI307" s="954">
        <v>1</v>
      </c>
      <c r="AJ307" s="954"/>
      <c r="AK307" s="954">
        <v>1</v>
      </c>
      <c r="AL307" s="954">
        <v>1</v>
      </c>
      <c r="AM307" s="954">
        <v>4</v>
      </c>
      <c r="AN307" s="954"/>
      <c r="AO307" s="441"/>
      <c r="AP307" s="958"/>
      <c r="AQ307" s="954">
        <v>20</v>
      </c>
      <c r="AR307" s="954"/>
      <c r="AS307" s="959"/>
      <c r="AT307" s="954"/>
      <c r="AU307" s="954"/>
      <c r="AV307" s="954">
        <v>2</v>
      </c>
      <c r="AW307" s="954"/>
      <c r="AX307" s="954"/>
      <c r="AY307" s="953" t="s">
        <v>41</v>
      </c>
      <c r="AZ307" s="958" t="s">
        <v>137</v>
      </c>
      <c r="BA307" s="954"/>
      <c r="BB307" s="954"/>
      <c r="BC307" s="954"/>
      <c r="BD307" s="441"/>
      <c r="BE307" s="441"/>
      <c r="BF307" s="953"/>
      <c r="BG307" s="954">
        <v>7</v>
      </c>
      <c r="BH307" s="954"/>
      <c r="BI307" s="954"/>
      <c r="BJ307" s="954">
        <v>2</v>
      </c>
      <c r="BK307" s="954"/>
      <c r="BL307" s="954"/>
      <c r="BM307" s="954">
        <v>1</v>
      </c>
      <c r="BN307" s="954"/>
      <c r="BO307" s="954"/>
      <c r="BP307" s="953" t="s">
        <v>41</v>
      </c>
      <c r="BQ307" s="960"/>
      <c r="BR307" s="959"/>
      <c r="BS307" s="953"/>
      <c r="BT307" s="416"/>
      <c r="BU307" s="416"/>
      <c r="BV307" s="418"/>
      <c r="BW307" s="416"/>
      <c r="BX307" s="441"/>
      <c r="BY307" s="441"/>
      <c r="BZ307" s="441"/>
      <c r="CA307" s="441"/>
      <c r="CB307" s="441"/>
      <c r="CC307" s="693"/>
      <c r="CD307" s="441"/>
      <c r="CE307" s="961">
        <f>IFERROR(WWWW[[#This Row],['#_Water sources passed]]/WWWW[[#This Row],['#_Water sources tested for fecal coliform ]],"no test")</f>
        <v>0</v>
      </c>
      <c r="CF307" s="959">
        <f>IFERROR(WWWW[[#This Row],['#_Household passed]]/WWWW[[#This Row],['#_Household water samples tested for fecal coliform]],"no test")</f>
        <v>1</v>
      </c>
      <c r="CG307" s="960" t="str">
        <f>IF(AND(WWWW[[#This Row],[% of water sources passed]]="no test",WWWW[[#This Row],[% Household passed]]="no test"),"No Test","Tested")</f>
        <v>Tested</v>
      </c>
      <c r="CH307" s="960">
        <f>WWWW[[#This Row],['#_Constructed/existing protected hand dug well]]-WWWW[[#This Row],['#_Non-functional protected hand dug well]]</f>
        <v>0</v>
      </c>
      <c r="CI307" s="960">
        <f>(WWWW[[#This Row],['#_Constructed/Existing tube wells/boreholes/handpumps_WASH_agency]]+WWWW[[#This Row],['#_Non-Cluster partner water tube-wells/boreholes/handpumps]])-WWWW[[#This Row],['#_Non-functional tube wells/boreholes/handpumps]]</f>
        <v>4</v>
      </c>
      <c r="CJ307" s="960">
        <f>WWWW[[#This Row],['#_Constructed/Existingwater storage tank with gravity fed reticulation system]]-WWWW[[#This Row],['#_Non-functional storage tank gravity fed reticulation system]]</f>
        <v>0</v>
      </c>
      <c r="CK307" s="960">
        <f>(WWWW[[#This Row],['#_Water_Liters_supplied_by_Water boating or water trucking]]/90)/15</f>
        <v>0</v>
      </c>
      <c r="CL307" s="960">
        <f>WWWW[[#This Row],['#_Water_Liters_from_Constructed/Existing water distribution system from river or natural spring]]/90/15</f>
        <v>0</v>
      </c>
      <c r="CM307" s="417">
        <f>IF(WWWW[[#This Row],['#_of water points in TLS/CFS]]*500&gt;WWWW[[#This Row],[Total PoP ]],WWWW[[#This Row],[Total PoP ]],WWWW[[#This Row],['#_of water points in TLS/CFS]]*500)</f>
        <v>0</v>
      </c>
      <c r="CN307" s="417">
        <f>IF(WWWW[[#This Row],['#_of water points in THF]]*500&gt;WWWW[[#This Row],[Total PoP ]],WWWW[[#This Row],[Total PoP ]],WWWW[[#This Row],['#_of water points in THF]]*500)</f>
        <v>0</v>
      </c>
      <c r="CO307" s="417"/>
      <c r="CP307"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07"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07" s="959">
        <f>IF(WWWW[[#This Row],[Location Type 1]]="Village",WWWW[[#This Row],[Access to safe drinking water for Village]],WWWW[[#This Row],[Access to safe drinking water for Camp]])</f>
        <v>1</v>
      </c>
      <c r="CS307" s="957">
        <f>WWWW[[#This Row],[%Equitable and continuous access to sufficient quantity of safe drinking water]]*WWWW[[#This Row],[Total PoP ]]</f>
        <v>274</v>
      </c>
      <c r="CT307" s="959">
        <f>IF((WWWW[[#This Row],['#_Constructed/Existing protected/fenced ponds]]*250)/WWWW[[#This Row],[Total PoP ]]&gt;1,1,(WWWW[[#This Row],['#_Constructed/Existing protected/fenced ponds]]*250)/WWWW[[#This Row],[Total PoP ]])</f>
        <v>0</v>
      </c>
      <c r="CU307" s="957">
        <f>WWWW[[#This Row],[% Access to unimproved water points]]*WWWW[[#This Row],[Total PoP ]]</f>
        <v>0</v>
      </c>
      <c r="CV307"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07"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274</v>
      </c>
      <c r="CX307" s="957">
        <f>WWWW[[#This Row],[HRP1]]/500</f>
        <v>0.54800000000000004</v>
      </c>
      <c r="CY307" s="962">
        <f>1-WWWW[[#This Row],[% Equitable and continuous access to sufficient quantity of domestic water]]</f>
        <v>0</v>
      </c>
      <c r="CZ307" s="957">
        <f>WWWW[[#This Row],[%equitable and continuous access to sufficient quantity of safe drinking and domestic water''s GAP]]*WWWW[[#This Row],[Total PoP ]]</f>
        <v>0</v>
      </c>
      <c r="DA307" s="960">
        <f>IF(WWWW[[#This Row],[Total required water points]]-WWWW[[#This Row],['#Water points coverage]]&lt;0,0,WWWW[[#This Row],[Total required water points]]-WWWW[[#This Row],['#Water points coverage]])</f>
        <v>0.45199999999999996</v>
      </c>
      <c r="DB307" s="960">
        <f>ROUND(IF(WWWW[[#This Row],[Total PoP ]]&lt;500,1,WWWW[[#This Row],[Total PoP ]]/500),0)</f>
        <v>1</v>
      </c>
      <c r="DC307" s="960">
        <f>(WWWW[[#This Row],['#_Constructed latrines_by_WASHAgencies]]+WWWW[[#This Row],['#_Non Cluster partner latrines]])-WWWW[[#This Row],['#_Non-functional latrines]]</f>
        <v>20</v>
      </c>
      <c r="DD307" s="615">
        <f>WWWW[[#This Row],[HRP2]]/WWWW[[#This Row],[Total PoP ]]</f>
        <v>1</v>
      </c>
      <c r="DE307"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274</v>
      </c>
      <c r="DF307"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DG307"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07" s="417">
        <f>IF(WWWW[[#This Row],['# of functional latrines in THF supported by WASH partners during the reporting period2]]="",0,WWWW[[#This Row],['# of functional latrines in THF supported by WASH partners during the reporting period2]]*50)</f>
        <v>0</v>
      </c>
      <c r="DI307" s="960">
        <f>ROUND(IF(WWWW[[#This Row],[Location Type 1]]="camp",WWWW[[#This Row],[Total PoP ]]/20,IF(WWWW[[#This Row],[Location Type 1]]="Temporary Location",WWWW[[#This Row],[Total PoP ]]/50,(WWWW[[#This Row],[Total PoP ]]/6))),0)</f>
        <v>14</v>
      </c>
      <c r="DJ307" s="960">
        <f>IF(WWWW[[#This Row],[Total required Latrines]]-(WWWW[[#This Row],['#_Constructed latrines_by_WASHAgencies]]+WWWW[[#This Row],['#_Non Cluster partner latrines]])&lt;0,0,WWWW[[#This Row],[Total required Latrines]]-(WWWW[[#This Row],['#_Constructed latrines_by_WASHAgencies]]+WWWW[[#This Row],['#_Non Cluster partner latrines]]))</f>
        <v>0</v>
      </c>
      <c r="DK307" s="962">
        <f>1-WWWW[[#This Row],[% people access to functioning Latrine]]</f>
        <v>0</v>
      </c>
      <c r="DL307" s="961">
        <f>IF(OR(WWWW[[#This Row],['#_Non-functional latrines]]="",WWWW[[#This Row],['#_Non-functional latrines]]=0),0,WWWW[[#This Row],['#_Non-functional latrines]]/(WWWW[[#This Row],['#_Constructed latrines_by_WASHAgencies]]+WWWW[[#This Row],['#_Non Cluster partner latrines]]))</f>
        <v>0</v>
      </c>
      <c r="DM307" s="957">
        <f>IF(500*(WWWW[[#This Row],['#_male hygiene promoters]]+WWWW[[#This Row],['#_female hygiene promoters]])&gt;WWWW[[#This Row],[Total PoP ]],WWWW[[#This Row],[Total PoP ]],500*(WWWW[[#This Row],['#_male hygiene promoters]]+WWWW[[#This Row],['#_female hygiene promoters]]))</f>
        <v>274</v>
      </c>
      <c r="DN307"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07"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07" s="960">
        <f>IF(WWWW[[#This Row],['# People with access to soap]]&gt;WWWW[[#This Row],['# People with access to Sanity Pads]],WWWW[[#This Row],['# People with access to soap]],WWWW[[#This Row],['# People with access to Sanity Pads]])</f>
        <v>0</v>
      </c>
      <c r="DQ307" s="960">
        <f>IF(WWWW[[#This Row],['# people reached by regular dedicated hygiene promotion_5]]&gt;WWWW[[#This Row],['# People received regular supply of hygiene items_6]],WWWW[[#This Row],['# people reached by regular dedicated hygiene promotion_5]],WWWW[[#This Row],['# People received regular supply of hygiene items_6]])</f>
        <v>274</v>
      </c>
      <c r="DR307" s="962">
        <f>IF(WWWW[[#This Row],[HRP3]]/WWWW[[#This Row],[Total PoP ]]&gt;1,1,WWWW[[#This Row],[HRP3]]/WWWW[[#This Row],[Total PoP ]])</f>
        <v>1</v>
      </c>
      <c r="DS307" s="961">
        <f>1-WWWW[[#This Row],[Hygiene Coverage%]]</f>
        <v>0</v>
      </c>
      <c r="DT307" s="959">
        <f>WWWW[[#This Row],['# people reached by regular dedicated hygiene promotion_5]]/WWWW[[#This Row],[Total PoP ]]</f>
        <v>1</v>
      </c>
      <c r="DU307"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07"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07" s="960">
        <f>WWWW[[#This Row],['#_Constructed/Existing hand washing stations]]-WWWW[[#This Row],['#_Non-Functional_hand_washing_stations]]</f>
        <v>7</v>
      </c>
      <c r="DX307" s="957">
        <f>IF(WWWW[[#This Row],['# Functional hand washing stations during reporting period]]*20&gt;WWWW[[#This Row],[Total HH]],WWWW[[#This Row],[Total HH]],WWWW[[#This Row],['# Functional hand washing stations during reporting period]]*20)</f>
        <v>29</v>
      </c>
      <c r="DY307" s="957">
        <f>IF(WWWW[[#This Row],[Is sufficient soap available for TLS? (Yes/No)]]="yes",WWWW[[#This Row],['#_Constructed/Existing hand washing stations at TLS/CFS/THF]],0)</f>
        <v>4</v>
      </c>
      <c r="DZ307" s="421">
        <f>IF(WWWW[[#This Row],['# Functional hand washing stations during reporting period]]*100&gt;WWWW[[#This Row],[Total PoP ]],WWWW[[#This Row],[Total PoP ]],WWWW[[#This Row],['# Functional hand washing stations during reporting period]]*100)</f>
        <v>274</v>
      </c>
      <c r="EA307" s="421" t="str">
        <f>IF(OR(WWWW[[#This Row],['#_students at TLS_CFS]]="",WWWW[[#This Row],['#_students at TLS_CFS]]=0),"No","Yes")</f>
        <v>No</v>
      </c>
      <c r="EB30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07" s="566">
        <f>WWWW[[#This Row],[%_of_affected_people_surveyed_who_report_feeling_satistfied_with_the_latrine_design_and_sanitation_service]]*WWWW[[#This Row],[Total PoP ]]</f>
        <v>0</v>
      </c>
      <c r="ED307" s="566">
        <f>WWWW[[#This Row],[%_of_affected_people_surveyed_who_report_feeling_satistfied_with_the_water_point_design_and_water_service]]*WWWW[[#This Row],[Total PoP ]]</f>
        <v>0</v>
      </c>
      <c r="EE307" s="566">
        <f>WWWW[[#This Row],[%_of_complaints_received_that_result_in_timely_corrective_action_and_feedback_to_the_community]]*WWWW[[#This Row],[Total PoP ]]</f>
        <v>0</v>
      </c>
      <c r="EF30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0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0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07" s="953" t="str">
        <f>VLOOKUP(WWWW[[#This Row],[Site Name]],SiteDB6[[Site Name]:[CCCM Management]],6,FALSE)</f>
        <v>Yes</v>
      </c>
      <c r="EJ307" s="953" t="str">
        <f>VLOOKUP(WWWW[[#This Row],[Site Name]],SiteDB6[[Site Name]:[CCCM Focal Agency]],7,FALSE)</f>
        <v>KMSS-MYT</v>
      </c>
      <c r="EK307" s="953" t="str">
        <f>VLOOKUP(WWWW[[#This Row],[Site Name]],SiteDB6[[Site Name]:[Location Type 1]],9,FALSE)</f>
        <v>Camp</v>
      </c>
      <c r="EL307" s="953" t="str">
        <f>VLOOKUP(WWWW[[#This Row],[Site Name]],SiteDB6[[Site Name]:[Type of Accommodation]],10,FALSE)</f>
        <v>Camp</v>
      </c>
      <c r="EM307" s="953" t="str">
        <f>VLOOKUP(WWWW[[#This Row],[Site Name]],SiteDB6[[Site Name]:[Ethnic or GCA/NGCA]],11,FALSE)</f>
        <v>GCA</v>
      </c>
      <c r="EN307" s="953">
        <f>VLOOKUP(WWWW[[#This Row],[Site Name]],SiteDB6[[Site Name]:[Lat]],12,FALSE)</f>
        <v>25.410569299999999</v>
      </c>
      <c r="EO307" s="953">
        <f>VLOOKUP(WWWW[[#This Row],[Site Name]],SiteDB6[[Site Name]:[Long]],13,FALSE)</f>
        <v>97.359320179999997</v>
      </c>
      <c r="EP307" s="953" t="str">
        <f>VLOOKUP(WWWW[[#This Row],[Site Name]],SiteDB6[[Site Name]:[Pcode]],3,FALSE)</f>
        <v>MMR001CMP024</v>
      </c>
      <c r="EQ307" s="958" t="str">
        <f t="shared" si="6"/>
        <v>Covered</v>
      </c>
      <c r="ER307" s="950" t="s">
        <v>3126</v>
      </c>
      <c r="ES307" s="972" t="s">
        <v>3288</v>
      </c>
      <c r="ET307" s="953">
        <f>VLOOKUP(WWWW[[#This Row],[Site Name]],SiteDB6[[Site Name]:[Pop
(Kachin/Shan-CCCM as of May 2023)]],16,FALSE)</f>
        <v>59</v>
      </c>
      <c r="EU307" s="953">
        <f>VLOOKUP(WWWW[[#This Row],[Site Name]],SiteDB6[[Site Name]:[Pop
(Kachin/Shan-CCCM as of May 2023)]],17,FALSE)</f>
        <v>275</v>
      </c>
    </row>
    <row r="308" spans="1:151">
      <c r="A308" s="946" t="s">
        <v>2962</v>
      </c>
      <c r="B308" s="938" t="s">
        <v>3347</v>
      </c>
      <c r="C308" s="938" t="s">
        <v>3347</v>
      </c>
      <c r="D308" s="1005" t="s">
        <v>241</v>
      </c>
      <c r="E308" s="1005" t="s">
        <v>37</v>
      </c>
      <c r="F308" s="1005" t="s">
        <v>159</v>
      </c>
      <c r="G308" s="902" t="str">
        <f>VLOOKUP(WWWW[[#This Row],[Site Name]],SiteDB6[[Site Name]:[Location Type]],8,FALSE)</f>
        <v>Camp</v>
      </c>
      <c r="H308" s="1005" t="s">
        <v>167</v>
      </c>
      <c r="I308" s="954">
        <v>72</v>
      </c>
      <c r="J308" s="954">
        <v>320</v>
      </c>
      <c r="K308" s="955">
        <v>44811</v>
      </c>
      <c r="L308" s="956">
        <v>45175</v>
      </c>
      <c r="M308" s="954"/>
      <c r="N308" s="954">
        <v>1</v>
      </c>
      <c r="O308" s="954"/>
      <c r="P308" s="954"/>
      <c r="Q308" s="957" t="s">
        <v>41</v>
      </c>
      <c r="R308" s="954">
        <v>2</v>
      </c>
      <c r="S308" s="954">
        <v>2</v>
      </c>
      <c r="T308" s="441">
        <v>2</v>
      </c>
      <c r="U308" s="954"/>
      <c r="V308" s="954"/>
      <c r="W308" s="954">
        <v>2</v>
      </c>
      <c r="X308" s="954"/>
      <c r="Y308" s="954"/>
      <c r="Z308" s="954"/>
      <c r="AA308" s="954"/>
      <c r="AB308" s="954"/>
      <c r="AC308" s="954"/>
      <c r="AD308" s="954"/>
      <c r="AE308" s="954"/>
      <c r="AF308" s="954"/>
      <c r="AG308" s="954"/>
      <c r="AH308" s="976">
        <v>4</v>
      </c>
      <c r="AI308" s="954"/>
      <c r="AJ308" s="954"/>
      <c r="AK308" s="954"/>
      <c r="AL308" s="954"/>
      <c r="AM308" s="954"/>
      <c r="AN308" s="954"/>
      <c r="AO308" s="441"/>
      <c r="AP308" s="958"/>
      <c r="AQ308" s="954">
        <v>15</v>
      </c>
      <c r="AR308" s="954"/>
      <c r="AS308" s="959"/>
      <c r="AT308" s="954"/>
      <c r="AU308" s="954"/>
      <c r="AV308" s="954"/>
      <c r="AW308" s="954"/>
      <c r="AX308" s="954">
        <v>15</v>
      </c>
      <c r="AY308" s="953" t="s">
        <v>41</v>
      </c>
      <c r="AZ308" s="958" t="s">
        <v>137</v>
      </c>
      <c r="BA308" s="954"/>
      <c r="BB308" s="954"/>
      <c r="BC308" s="954"/>
      <c r="BD308" s="441"/>
      <c r="BE308" s="441"/>
      <c r="BF308" s="953"/>
      <c r="BG308" s="954">
        <v>1</v>
      </c>
      <c r="BH308" s="954"/>
      <c r="BI308" s="954"/>
      <c r="BJ308" s="954">
        <v>1</v>
      </c>
      <c r="BK308" s="954"/>
      <c r="BL308" s="954"/>
      <c r="BM308" s="954">
        <v>1</v>
      </c>
      <c r="BN308" s="954"/>
      <c r="BO308" s="954"/>
      <c r="BP308" s="953"/>
      <c r="BQ308" s="960"/>
      <c r="BR308" s="959"/>
      <c r="BS308" s="953"/>
      <c r="BT308" s="416"/>
      <c r="BU308" s="416"/>
      <c r="BV308" s="418"/>
      <c r="BW308" s="416"/>
      <c r="BX308" s="441"/>
      <c r="BY308" s="441"/>
      <c r="BZ308" s="441"/>
      <c r="CA308" s="441"/>
      <c r="CB308" s="441"/>
      <c r="CC308" s="693"/>
      <c r="CD308" s="441"/>
      <c r="CE308" s="961" t="str">
        <f>IFERROR(WWWW[[#This Row],['#_Water sources passed]]/WWWW[[#This Row],['#_Water sources tested for fecal coliform ]],"no test")</f>
        <v>no test</v>
      </c>
      <c r="CF308" s="959" t="str">
        <f>IFERROR(WWWW[[#This Row],['#_Household passed]]/WWWW[[#This Row],['#_Household water samples tested for fecal coliform]],"no test")</f>
        <v>no test</v>
      </c>
      <c r="CG308" s="960" t="str">
        <f>IF(AND(WWWW[[#This Row],[% of water sources passed]]="no test",WWWW[[#This Row],[% Household passed]]="no test"),"No Test","Tested")</f>
        <v>No Test</v>
      </c>
      <c r="CH308" s="960">
        <f>WWWW[[#This Row],['#_Constructed/existing protected hand dug well]]-WWWW[[#This Row],['#_Non-functional protected hand dug well]]</f>
        <v>2</v>
      </c>
      <c r="CI308" s="960">
        <f>(WWWW[[#This Row],['#_Constructed/Existing tube wells/boreholes/handpumps_WASH_agency]]+WWWW[[#This Row],['#_Non-Cluster partner water tube-wells/boreholes/handpumps]])-WWWW[[#This Row],['#_Non-functional tube wells/boreholes/handpumps]]</f>
        <v>2</v>
      </c>
      <c r="CJ308" s="960">
        <f>WWWW[[#This Row],['#_Constructed/Existingwater storage tank with gravity fed reticulation system]]-WWWW[[#This Row],['#_Non-functional storage tank gravity fed reticulation system]]</f>
        <v>0</v>
      </c>
      <c r="CK308" s="960">
        <f>(WWWW[[#This Row],['#_Water_Liters_supplied_by_Water boating or water trucking]]/90)/15</f>
        <v>0</v>
      </c>
      <c r="CL308" s="960">
        <f>WWWW[[#This Row],['#_Water_Liters_from_Constructed/Existing water distribution system from river or natural spring]]/90/15</f>
        <v>0</v>
      </c>
      <c r="CM308" s="417">
        <f>IF(WWWW[[#This Row],['#_of water points in TLS/CFS]]*500&gt;WWWW[[#This Row],[Total PoP ]],WWWW[[#This Row],[Total PoP ]],WWWW[[#This Row],['#_of water points in TLS/CFS]]*500)</f>
        <v>0</v>
      </c>
      <c r="CN308" s="417">
        <f>IF(WWWW[[#This Row],['#_of water points in THF]]*500&gt;WWWW[[#This Row],[Total PoP ]],WWWW[[#This Row],[Total PoP ]],WWWW[[#This Row],['#_of water points in THF]]*500)</f>
        <v>0</v>
      </c>
      <c r="CO308" s="417"/>
      <c r="CP308"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08"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08" s="959">
        <f>IF(WWWW[[#This Row],[Location Type 1]]="Village",WWWW[[#This Row],[Access to safe drinking water for Village]],WWWW[[#This Row],[Access to safe drinking water for Camp]])</f>
        <v>1</v>
      </c>
      <c r="CS308" s="957">
        <f>WWWW[[#This Row],[%Equitable and continuous access to sufficient quantity of safe drinking water]]*WWWW[[#This Row],[Total PoP ]]</f>
        <v>320</v>
      </c>
      <c r="CT308" s="959">
        <f>IF((WWWW[[#This Row],['#_Constructed/Existing protected/fenced ponds]]*250)/WWWW[[#This Row],[Total PoP ]]&gt;1,1,(WWWW[[#This Row],['#_Constructed/Existing protected/fenced ponds]]*250)/WWWW[[#This Row],[Total PoP ]])</f>
        <v>0</v>
      </c>
      <c r="CU308" s="957">
        <f>WWWW[[#This Row],[% Access to unimproved water points]]*WWWW[[#This Row],[Total PoP ]]</f>
        <v>0</v>
      </c>
      <c r="CV308"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08"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320</v>
      </c>
      <c r="CX308" s="957">
        <f>WWWW[[#This Row],[HRP1]]/500</f>
        <v>0.64</v>
      </c>
      <c r="CY308" s="962">
        <f>1-WWWW[[#This Row],[% Equitable and continuous access to sufficient quantity of domestic water]]</f>
        <v>0</v>
      </c>
      <c r="CZ308" s="957">
        <f>WWWW[[#This Row],[%equitable and continuous access to sufficient quantity of safe drinking and domestic water''s GAP]]*WWWW[[#This Row],[Total PoP ]]</f>
        <v>0</v>
      </c>
      <c r="DA308" s="960">
        <f>IF(WWWW[[#This Row],[Total required water points]]-WWWW[[#This Row],['#Water points coverage]]&lt;0,0,WWWW[[#This Row],[Total required water points]]-WWWW[[#This Row],['#Water points coverage]])</f>
        <v>0.36</v>
      </c>
      <c r="DB308" s="960">
        <f>ROUND(IF(WWWW[[#This Row],[Total PoP ]]&lt;500,1,WWWW[[#This Row],[Total PoP ]]/500),0)</f>
        <v>1</v>
      </c>
      <c r="DC308" s="960">
        <f>(WWWW[[#This Row],['#_Constructed latrines_by_WASHAgencies]]+WWWW[[#This Row],['#_Non Cluster partner latrines]])-WWWW[[#This Row],['#_Non-functional latrines]]</f>
        <v>15</v>
      </c>
      <c r="DD308" s="615">
        <f>WWWW[[#This Row],[HRP2]]/WWWW[[#This Row],[Total PoP ]]</f>
        <v>0.9375</v>
      </c>
      <c r="DE308"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300</v>
      </c>
      <c r="DF308"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08"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08" s="417">
        <f>IF(WWWW[[#This Row],['# of functional latrines in THF supported by WASH partners during the reporting period2]]="",0,WWWW[[#This Row],['# of functional latrines in THF supported by WASH partners during the reporting period2]]*50)</f>
        <v>0</v>
      </c>
      <c r="DI308" s="960">
        <f>ROUND(IF(WWWW[[#This Row],[Location Type 1]]="camp",WWWW[[#This Row],[Total PoP ]]/20,IF(WWWW[[#This Row],[Location Type 1]]="Temporary Location",WWWW[[#This Row],[Total PoP ]]/50,(WWWW[[#This Row],[Total PoP ]]/6))),0)</f>
        <v>16</v>
      </c>
      <c r="DJ308" s="960">
        <f>IF(WWWW[[#This Row],[Total required Latrines]]-(WWWW[[#This Row],['#_Constructed latrines_by_WASHAgencies]]+WWWW[[#This Row],['#_Non Cluster partner latrines]])&lt;0,0,WWWW[[#This Row],[Total required Latrines]]-(WWWW[[#This Row],['#_Constructed latrines_by_WASHAgencies]]+WWWW[[#This Row],['#_Non Cluster partner latrines]]))</f>
        <v>1</v>
      </c>
      <c r="DK308" s="962">
        <f>1-WWWW[[#This Row],[% people access to functioning Latrine]]</f>
        <v>6.25E-2</v>
      </c>
      <c r="DL308" s="961">
        <f>IF(OR(WWWW[[#This Row],['#_Non-functional latrines]]="",WWWW[[#This Row],['#_Non-functional latrines]]=0),0,WWWW[[#This Row],['#_Non-functional latrines]]/(WWWW[[#This Row],['#_Constructed latrines_by_WASHAgencies]]+WWWW[[#This Row],['#_Non Cluster partner latrines]]))</f>
        <v>0</v>
      </c>
      <c r="DM308" s="957">
        <f>IF(500*(WWWW[[#This Row],['#_male hygiene promoters]]+WWWW[[#This Row],['#_female hygiene promoters]])&gt;WWWW[[#This Row],[Total PoP ]],WWWW[[#This Row],[Total PoP ]],500*(WWWW[[#This Row],['#_male hygiene promoters]]+WWWW[[#This Row],['#_female hygiene promoters]]))</f>
        <v>320</v>
      </c>
      <c r="DN308"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08"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08" s="960">
        <f>IF(WWWW[[#This Row],['# People with access to soap]]&gt;WWWW[[#This Row],['# People with access to Sanity Pads]],WWWW[[#This Row],['# People with access to soap]],WWWW[[#This Row],['# People with access to Sanity Pads]])</f>
        <v>0</v>
      </c>
      <c r="DQ308" s="960">
        <f>IF(WWWW[[#This Row],['# people reached by regular dedicated hygiene promotion_5]]&gt;WWWW[[#This Row],['# People received regular supply of hygiene items_6]],WWWW[[#This Row],['# people reached by regular dedicated hygiene promotion_5]],WWWW[[#This Row],['# People received regular supply of hygiene items_6]])</f>
        <v>320</v>
      </c>
      <c r="DR308" s="962">
        <f>IF(WWWW[[#This Row],[HRP3]]/WWWW[[#This Row],[Total PoP ]]&gt;1,1,WWWW[[#This Row],[HRP3]]/WWWW[[#This Row],[Total PoP ]])</f>
        <v>1</v>
      </c>
      <c r="DS308" s="961">
        <f>1-WWWW[[#This Row],[Hygiene Coverage%]]</f>
        <v>0</v>
      </c>
      <c r="DT308" s="959">
        <f>WWWW[[#This Row],['# people reached by regular dedicated hygiene promotion_5]]/WWWW[[#This Row],[Total PoP ]]</f>
        <v>1</v>
      </c>
      <c r="DU308"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08"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08" s="960">
        <f>WWWW[[#This Row],['#_Constructed/Existing hand washing stations]]-WWWW[[#This Row],['#_Non-Functional_hand_washing_stations]]</f>
        <v>1</v>
      </c>
      <c r="DX308" s="957">
        <f>IF(WWWW[[#This Row],['# Functional hand washing stations during reporting period]]*20&gt;WWWW[[#This Row],[Total HH]],WWWW[[#This Row],[Total HH]],WWWW[[#This Row],['# Functional hand washing stations during reporting period]]*20)</f>
        <v>20</v>
      </c>
      <c r="DY308" s="957">
        <f>IF(WWWW[[#This Row],[Is sufficient soap available for TLS? (Yes/No)]]="yes",WWWW[[#This Row],['#_Constructed/Existing hand washing stations at TLS/CFS/THF]],0)</f>
        <v>0</v>
      </c>
      <c r="DZ308" s="421">
        <f>IF(WWWW[[#This Row],['# Functional hand washing stations during reporting period]]*100&gt;WWWW[[#This Row],[Total PoP ]],WWWW[[#This Row],[Total PoP ]],WWWW[[#This Row],['# Functional hand washing stations during reporting period]]*100)</f>
        <v>100</v>
      </c>
      <c r="EA308" s="421" t="str">
        <f>IF(OR(WWWW[[#This Row],['#_students at TLS_CFS]]="",WWWW[[#This Row],['#_students at TLS_CFS]]=0),"No","Yes")</f>
        <v>No</v>
      </c>
      <c r="EB30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08" s="566">
        <f>WWWW[[#This Row],[%_of_affected_people_surveyed_who_report_feeling_satistfied_with_the_latrine_design_and_sanitation_service]]*WWWW[[#This Row],[Total PoP ]]</f>
        <v>0</v>
      </c>
      <c r="ED308" s="566">
        <f>WWWW[[#This Row],[%_of_affected_people_surveyed_who_report_feeling_satistfied_with_the_water_point_design_and_water_service]]*WWWW[[#This Row],[Total PoP ]]</f>
        <v>0</v>
      </c>
      <c r="EE308" s="566">
        <f>WWWW[[#This Row],[%_of_complaints_received_that_result_in_timely_corrective_action_and_feedback_to_the_community]]*WWWW[[#This Row],[Total PoP ]]</f>
        <v>0</v>
      </c>
      <c r="EF30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0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0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08" s="953" t="str">
        <f>VLOOKUP(WWWW[[#This Row],[Site Name]],SiteDB6[[Site Name]:[CCCM Management]],6,FALSE)</f>
        <v>Yes</v>
      </c>
      <c r="EJ308" s="953" t="str">
        <f>VLOOKUP(WWWW[[#This Row],[Site Name]],SiteDB6[[Site Name]:[CCCM Focal Agency]],7,FALSE)</f>
        <v>KBC-MYT</v>
      </c>
      <c r="EK308" s="953" t="str">
        <f>VLOOKUP(WWWW[[#This Row],[Site Name]],SiteDB6[[Site Name]:[Location Type 1]],9,FALSE)</f>
        <v>Camp</v>
      </c>
      <c r="EL308" s="953" t="str">
        <f>VLOOKUP(WWWW[[#This Row],[Site Name]],SiteDB6[[Site Name]:[Type of Accommodation]],10,FALSE)</f>
        <v>Camp</v>
      </c>
      <c r="EM308" s="953" t="str">
        <f>VLOOKUP(WWWW[[#This Row],[Site Name]],SiteDB6[[Site Name]:[Ethnic or GCA/NGCA]],11,FALSE)</f>
        <v>GCA</v>
      </c>
      <c r="EN308" s="953">
        <f>VLOOKUP(WWWW[[#This Row],[Site Name]],SiteDB6[[Site Name]:[Lat]],12,FALSE)</f>
        <v>25.422194000000001</v>
      </c>
      <c r="EO308" s="953">
        <f>VLOOKUP(WWWW[[#This Row],[Site Name]],SiteDB6[[Site Name]:[Long]],13,FALSE)</f>
        <v>97.394547000000003</v>
      </c>
      <c r="EP308" s="953" t="str">
        <f>VLOOKUP(WWWW[[#This Row],[Site Name]],SiteDB6[[Site Name]:[Pcode]],3,FALSE)</f>
        <v>MMR001CMP002</v>
      </c>
      <c r="EQ308" s="958" t="str">
        <f t="shared" si="6"/>
        <v>Covered</v>
      </c>
      <c r="ER308" s="950" t="s">
        <v>3126</v>
      </c>
      <c r="ES308" s="950" t="s">
        <v>3267</v>
      </c>
      <c r="ET308" s="953">
        <f>VLOOKUP(WWWW[[#This Row],[Site Name]],SiteDB6[[Site Name]:[Pop
(Kachin/Shan-CCCM as of May 2023)]],16,FALSE)</f>
        <v>39</v>
      </c>
      <c r="EU308" s="953">
        <f>VLOOKUP(WWWW[[#This Row],[Site Name]],SiteDB6[[Site Name]:[Pop
(Kachin/Shan-CCCM as of May 2023)]],17,FALSE)</f>
        <v>180</v>
      </c>
    </row>
    <row r="309" spans="1:151">
      <c r="A309" s="946" t="s">
        <v>2962</v>
      </c>
      <c r="B309" s="1004" t="s">
        <v>36</v>
      </c>
      <c r="C309" s="1005" t="s">
        <v>36</v>
      </c>
      <c r="D309" s="1005" t="s">
        <v>241</v>
      </c>
      <c r="E309" s="1005" t="s">
        <v>37</v>
      </c>
      <c r="F309" s="1005" t="s">
        <v>159</v>
      </c>
      <c r="G309" s="902" t="str">
        <f>VLOOKUP(WWWW[[#This Row],[Site Name]],SiteDB6[[Site Name]:[Location Type]],8,FALSE)</f>
        <v>Camp</v>
      </c>
      <c r="H309" s="1005" t="s">
        <v>235</v>
      </c>
      <c r="I309" s="954">
        <v>139</v>
      </c>
      <c r="J309" s="954">
        <v>959</v>
      </c>
      <c r="K309" s="955">
        <v>44973</v>
      </c>
      <c r="L309" s="956">
        <v>45337</v>
      </c>
      <c r="M309" s="954"/>
      <c r="N309" s="954">
        <v>4</v>
      </c>
      <c r="O309" s="954"/>
      <c r="P309" s="954"/>
      <c r="Q309" s="957" t="s">
        <v>41</v>
      </c>
      <c r="R309" s="954">
        <v>1</v>
      </c>
      <c r="S309" s="954">
        <v>4</v>
      </c>
      <c r="T309" s="441">
        <v>4</v>
      </c>
      <c r="U309" s="954"/>
      <c r="V309" s="954"/>
      <c r="W309" s="954">
        <v>2</v>
      </c>
      <c r="X309" s="954"/>
      <c r="Y309" s="954"/>
      <c r="Z309" s="954"/>
      <c r="AA309" s="954">
        <v>1</v>
      </c>
      <c r="AB309" s="954"/>
      <c r="AC309" s="954"/>
      <c r="AD309" s="954"/>
      <c r="AE309" s="954"/>
      <c r="AF309" s="954"/>
      <c r="AG309" s="954"/>
      <c r="AH309" s="954"/>
      <c r="AI309" s="954">
        <v>4</v>
      </c>
      <c r="AJ309" s="954"/>
      <c r="AK309" s="954"/>
      <c r="AL309" s="954"/>
      <c r="AM309" s="954">
        <v>12</v>
      </c>
      <c r="AN309" s="954"/>
      <c r="AO309" s="441"/>
      <c r="AP309" s="958"/>
      <c r="AQ309" s="954">
        <v>33</v>
      </c>
      <c r="AR309" s="954"/>
      <c r="AS309" s="959"/>
      <c r="AT309" s="954"/>
      <c r="AU309" s="954"/>
      <c r="AV309" s="954">
        <v>2</v>
      </c>
      <c r="AW309" s="954"/>
      <c r="AX309" s="954"/>
      <c r="AY309" s="953" t="s">
        <v>41</v>
      </c>
      <c r="AZ309" s="958" t="s">
        <v>137</v>
      </c>
      <c r="BA309" s="954"/>
      <c r="BB309" s="954"/>
      <c r="BC309" s="954"/>
      <c r="BD309" s="441"/>
      <c r="BE309" s="441"/>
      <c r="BF309" s="953"/>
      <c r="BG309" s="954">
        <v>8</v>
      </c>
      <c r="BH309" s="954"/>
      <c r="BI309" s="954"/>
      <c r="BJ309" s="954">
        <v>5</v>
      </c>
      <c r="BK309" s="954"/>
      <c r="BL309" s="954"/>
      <c r="BM309" s="954">
        <v>2</v>
      </c>
      <c r="BN309" s="954"/>
      <c r="BO309" s="954"/>
      <c r="BP309" s="953" t="s">
        <v>41</v>
      </c>
      <c r="BQ309" s="960"/>
      <c r="BR309" s="959"/>
      <c r="BS309" s="953"/>
      <c r="BT309" s="416"/>
      <c r="BU309" s="416"/>
      <c r="BV309" s="418"/>
      <c r="BW309" s="416"/>
      <c r="BX309" s="441"/>
      <c r="BY309" s="441"/>
      <c r="BZ309" s="441"/>
      <c r="CA309" s="441"/>
      <c r="CB309" s="441"/>
      <c r="CC309" s="693"/>
      <c r="CD309" s="441"/>
      <c r="CE309" s="961">
        <f>IFERROR(WWWW[[#This Row],['#_Water sources passed]]/WWWW[[#This Row],['#_Water sources tested for fecal coliform ]],"no test")</f>
        <v>0</v>
      </c>
      <c r="CF309" s="959" t="str">
        <f>IFERROR(WWWW[[#This Row],['#_Household passed]]/WWWW[[#This Row],['#_Household water samples tested for fecal coliform]],"no test")</f>
        <v>no test</v>
      </c>
      <c r="CG309" s="960" t="str">
        <f>IF(AND(WWWW[[#This Row],[% of water sources passed]]="no test",WWWW[[#This Row],[% Household passed]]="no test"),"No Test","Tested")</f>
        <v>Tested</v>
      </c>
      <c r="CH309" s="960">
        <f>WWWW[[#This Row],['#_Constructed/existing protected hand dug well]]-WWWW[[#This Row],['#_Non-functional protected hand dug well]]</f>
        <v>4</v>
      </c>
      <c r="CI309" s="960">
        <f>(WWWW[[#This Row],['#_Constructed/Existing tube wells/boreholes/handpumps_WASH_agency]]+WWWW[[#This Row],['#_Non-Cluster partner water tube-wells/boreholes/handpumps]])-WWWW[[#This Row],['#_Non-functional tube wells/boreholes/handpumps]]</f>
        <v>2</v>
      </c>
      <c r="CJ309" s="960">
        <f>WWWW[[#This Row],['#_Constructed/Existingwater storage tank with gravity fed reticulation system]]-WWWW[[#This Row],['#_Non-functional storage tank gravity fed reticulation system]]</f>
        <v>1</v>
      </c>
      <c r="CK309" s="960">
        <f>(WWWW[[#This Row],['#_Water_Liters_supplied_by_Water boating or water trucking]]/90)/15</f>
        <v>0</v>
      </c>
      <c r="CL309" s="960">
        <f>WWWW[[#This Row],['#_Water_Liters_from_Constructed/Existing water distribution system from river or natural spring]]/90/15</f>
        <v>0</v>
      </c>
      <c r="CM309" s="417">
        <f>IF(WWWW[[#This Row],['#_of water points in TLS/CFS]]*500&gt;WWWW[[#This Row],[Total PoP ]],WWWW[[#This Row],[Total PoP ]],WWWW[[#This Row],['#_of water points in TLS/CFS]]*500)</f>
        <v>0</v>
      </c>
      <c r="CN309" s="417">
        <f>IF(WWWW[[#This Row],['#_of water points in THF]]*500&gt;WWWW[[#This Row],[Total PoP ]],WWWW[[#This Row],[Total PoP ]],WWWW[[#This Row],['#_of water points in THF]]*500)</f>
        <v>0</v>
      </c>
      <c r="CO309" s="417"/>
      <c r="CP309"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09"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09" s="959">
        <f>IF(WWWW[[#This Row],[Location Type 1]]="Village",WWWW[[#This Row],[Access to safe drinking water for Village]],WWWW[[#This Row],[Access to safe drinking water for Camp]])</f>
        <v>1</v>
      </c>
      <c r="CS309" s="957">
        <f>WWWW[[#This Row],[%Equitable and continuous access to sufficient quantity of safe drinking water]]*WWWW[[#This Row],[Total PoP ]]</f>
        <v>959</v>
      </c>
      <c r="CT309" s="959">
        <f>IF((WWWW[[#This Row],['#_Constructed/Existing protected/fenced ponds]]*250)/WWWW[[#This Row],[Total PoP ]]&gt;1,1,(WWWW[[#This Row],['#_Constructed/Existing protected/fenced ponds]]*250)/WWWW[[#This Row],[Total PoP ]])</f>
        <v>0</v>
      </c>
      <c r="CU309" s="957">
        <f>WWWW[[#This Row],[% Access to unimproved water points]]*WWWW[[#This Row],[Total PoP ]]</f>
        <v>0</v>
      </c>
      <c r="CV309"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09"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959</v>
      </c>
      <c r="CX309" s="957">
        <f>WWWW[[#This Row],[HRP1]]/500</f>
        <v>1.9179999999999999</v>
      </c>
      <c r="CY309" s="962">
        <f>1-WWWW[[#This Row],[% Equitable and continuous access to sufficient quantity of domestic water]]</f>
        <v>0</v>
      </c>
      <c r="CZ309" s="957">
        <f>WWWW[[#This Row],[%equitable and continuous access to sufficient quantity of safe drinking and domestic water''s GAP]]*WWWW[[#This Row],[Total PoP ]]</f>
        <v>0</v>
      </c>
      <c r="DA309" s="960">
        <f>IF(WWWW[[#This Row],[Total required water points]]-WWWW[[#This Row],['#Water points coverage]]&lt;0,0,WWWW[[#This Row],[Total required water points]]-WWWW[[#This Row],['#Water points coverage]])</f>
        <v>8.2000000000000073E-2</v>
      </c>
      <c r="DB309" s="960">
        <f>ROUND(IF(WWWW[[#This Row],[Total PoP ]]&lt;500,1,WWWW[[#This Row],[Total PoP ]]/500),0)</f>
        <v>2</v>
      </c>
      <c r="DC309" s="960">
        <f>(WWWW[[#This Row],['#_Constructed latrines_by_WASHAgencies]]+WWWW[[#This Row],['#_Non Cluster partner latrines]])-WWWW[[#This Row],['#_Non-functional latrines]]</f>
        <v>33</v>
      </c>
      <c r="DD309" s="615">
        <f>WWWW[[#This Row],[HRP2]]/WWWW[[#This Row],[Total PoP ]]</f>
        <v>0.68821689259645469</v>
      </c>
      <c r="DE309"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660</v>
      </c>
      <c r="DF309"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DG309"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09" s="417">
        <f>IF(WWWW[[#This Row],['# of functional latrines in THF supported by WASH partners during the reporting period2]]="",0,WWWW[[#This Row],['# of functional latrines in THF supported by WASH partners during the reporting period2]]*50)</f>
        <v>0</v>
      </c>
      <c r="DI309" s="960">
        <f>ROUND(IF(WWWW[[#This Row],[Location Type 1]]="camp",WWWW[[#This Row],[Total PoP ]]/20,IF(WWWW[[#This Row],[Location Type 1]]="Temporary Location",WWWW[[#This Row],[Total PoP ]]/50,(WWWW[[#This Row],[Total PoP ]]/6))),0)</f>
        <v>48</v>
      </c>
      <c r="DJ309" s="960">
        <f>IF(WWWW[[#This Row],[Total required Latrines]]-(WWWW[[#This Row],['#_Constructed latrines_by_WASHAgencies]]+WWWW[[#This Row],['#_Non Cluster partner latrines]])&lt;0,0,WWWW[[#This Row],[Total required Latrines]]-(WWWW[[#This Row],['#_Constructed latrines_by_WASHAgencies]]+WWWW[[#This Row],['#_Non Cluster partner latrines]]))</f>
        <v>15</v>
      </c>
      <c r="DK309" s="962">
        <f>1-WWWW[[#This Row],[% people access to functioning Latrine]]</f>
        <v>0.31178310740354531</v>
      </c>
      <c r="DL309" s="961">
        <f>IF(OR(WWWW[[#This Row],['#_Non-functional latrines]]="",WWWW[[#This Row],['#_Non-functional latrines]]=0),0,WWWW[[#This Row],['#_Non-functional latrines]]/(WWWW[[#This Row],['#_Constructed latrines_by_WASHAgencies]]+WWWW[[#This Row],['#_Non Cluster partner latrines]]))</f>
        <v>0</v>
      </c>
      <c r="DM309" s="957">
        <f>IF(500*(WWWW[[#This Row],['#_male hygiene promoters]]+WWWW[[#This Row],['#_female hygiene promoters]])&gt;WWWW[[#This Row],[Total PoP ]],WWWW[[#This Row],[Total PoP ]],500*(WWWW[[#This Row],['#_male hygiene promoters]]+WWWW[[#This Row],['#_female hygiene promoters]]))</f>
        <v>959</v>
      </c>
      <c r="DN309"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09"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09" s="960">
        <f>IF(WWWW[[#This Row],['# People with access to soap]]&gt;WWWW[[#This Row],['# People with access to Sanity Pads]],WWWW[[#This Row],['# People with access to soap]],WWWW[[#This Row],['# People with access to Sanity Pads]])</f>
        <v>0</v>
      </c>
      <c r="DQ309" s="960">
        <f>IF(WWWW[[#This Row],['# people reached by regular dedicated hygiene promotion_5]]&gt;WWWW[[#This Row],['# People received regular supply of hygiene items_6]],WWWW[[#This Row],['# people reached by regular dedicated hygiene promotion_5]],WWWW[[#This Row],['# People received regular supply of hygiene items_6]])</f>
        <v>959</v>
      </c>
      <c r="DR309" s="962">
        <f>IF(WWWW[[#This Row],[HRP3]]/WWWW[[#This Row],[Total PoP ]]&gt;1,1,WWWW[[#This Row],[HRP3]]/WWWW[[#This Row],[Total PoP ]])</f>
        <v>1</v>
      </c>
      <c r="DS309" s="961">
        <f>1-WWWW[[#This Row],[Hygiene Coverage%]]</f>
        <v>0</v>
      </c>
      <c r="DT309" s="959">
        <f>WWWW[[#This Row],['# people reached by regular dedicated hygiene promotion_5]]/WWWW[[#This Row],[Total PoP ]]</f>
        <v>1</v>
      </c>
      <c r="DU309"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09"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09" s="960">
        <f>WWWW[[#This Row],['#_Constructed/Existing hand washing stations]]-WWWW[[#This Row],['#_Non-Functional_hand_washing_stations]]</f>
        <v>8</v>
      </c>
      <c r="DX309" s="957">
        <f>IF(WWWW[[#This Row],['# Functional hand washing stations during reporting period]]*20&gt;WWWW[[#This Row],[Total HH]],WWWW[[#This Row],[Total HH]],WWWW[[#This Row],['# Functional hand washing stations during reporting period]]*20)</f>
        <v>139</v>
      </c>
      <c r="DY309" s="957">
        <f>IF(WWWW[[#This Row],[Is sufficient soap available for TLS? (Yes/No)]]="yes",WWWW[[#This Row],['#_Constructed/Existing hand washing stations at TLS/CFS/THF]],0)</f>
        <v>12</v>
      </c>
      <c r="DZ309" s="421">
        <f>IF(WWWW[[#This Row],['# Functional hand washing stations during reporting period]]*100&gt;WWWW[[#This Row],[Total PoP ]],WWWW[[#This Row],[Total PoP ]],WWWW[[#This Row],['# Functional hand washing stations during reporting period]]*100)</f>
        <v>800</v>
      </c>
      <c r="EA309" s="421" t="str">
        <f>IF(OR(WWWW[[#This Row],['#_students at TLS_CFS]]="",WWWW[[#This Row],['#_students at TLS_CFS]]=0),"No","Yes")</f>
        <v>No</v>
      </c>
      <c r="EB30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09" s="566">
        <f>WWWW[[#This Row],[%_of_affected_people_surveyed_who_report_feeling_satistfied_with_the_latrine_design_and_sanitation_service]]*WWWW[[#This Row],[Total PoP ]]</f>
        <v>0</v>
      </c>
      <c r="ED309" s="566">
        <f>WWWW[[#This Row],[%_of_affected_people_surveyed_who_report_feeling_satistfied_with_the_water_point_design_and_water_service]]*WWWW[[#This Row],[Total PoP ]]</f>
        <v>0</v>
      </c>
      <c r="EE309" s="566">
        <f>WWWW[[#This Row],[%_of_complaints_received_that_result_in_timely_corrective_action_and_feedback_to_the_community]]*WWWW[[#This Row],[Total PoP ]]</f>
        <v>0</v>
      </c>
      <c r="EF30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0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0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09" s="953" t="str">
        <f>VLOOKUP(WWWW[[#This Row],[Site Name]],SiteDB6[[Site Name]:[CCCM Management]],6,FALSE)</f>
        <v>Yes</v>
      </c>
      <c r="EJ309" s="953" t="str">
        <f>VLOOKUP(WWWW[[#This Row],[Site Name]],SiteDB6[[Site Name]:[CCCM Focal Agency]],7,FALSE)</f>
        <v>KMSS-MYT</v>
      </c>
      <c r="EK309" s="953" t="str">
        <f>VLOOKUP(WWWW[[#This Row],[Site Name]],SiteDB6[[Site Name]:[Location Type 1]],9,FALSE)</f>
        <v>Camp</v>
      </c>
      <c r="EL309" s="953" t="str">
        <f>VLOOKUP(WWWW[[#This Row],[Site Name]],SiteDB6[[Site Name]:[Type of Accommodation]],10,FALSE)</f>
        <v>Camp</v>
      </c>
      <c r="EM309" s="953" t="str">
        <f>VLOOKUP(WWWW[[#This Row],[Site Name]],SiteDB6[[Site Name]:[Ethnic or GCA/NGCA]],11,FALSE)</f>
        <v>GCA</v>
      </c>
      <c r="EN309" s="953">
        <f>VLOOKUP(WWWW[[#This Row],[Site Name]],SiteDB6[[Site Name]:[Lat]],12,FALSE)</f>
        <v>25.493819999999999</v>
      </c>
      <c r="EO309" s="953">
        <f>VLOOKUP(WWWW[[#This Row],[Site Name]],SiteDB6[[Site Name]:[Long]],13,FALSE)</f>
        <v>97.4345</v>
      </c>
      <c r="EP309" s="953" t="str">
        <f>VLOOKUP(WWWW[[#This Row],[Site Name]],SiteDB6[[Site Name]:[Pcode]],3,FALSE)</f>
        <v>MMR001CMP162</v>
      </c>
      <c r="EQ309" s="958" t="str">
        <f t="shared" si="6"/>
        <v>Covered</v>
      </c>
      <c r="ER309" s="950" t="s">
        <v>3126</v>
      </c>
      <c r="ES309" s="972" t="s">
        <v>3288</v>
      </c>
      <c r="ET309" s="953">
        <f>VLOOKUP(WWWW[[#This Row],[Site Name]],SiteDB6[[Site Name]:[Pop
(Kachin/Shan-CCCM as of May 2023)]],16,FALSE)</f>
        <v>141</v>
      </c>
      <c r="EU309" s="953">
        <f>VLOOKUP(WWWW[[#This Row],[Site Name]],SiteDB6[[Site Name]:[Pop
(Kachin/Shan-CCCM as of May 2023)]],17,FALSE)</f>
        <v>972</v>
      </c>
    </row>
    <row r="310" spans="1:151">
      <c r="A310" s="946" t="s">
        <v>2962</v>
      </c>
      <c r="B310" s="1004" t="s">
        <v>36</v>
      </c>
      <c r="C310" s="1005" t="s">
        <v>36</v>
      </c>
      <c r="D310" s="1005" t="s">
        <v>241</v>
      </c>
      <c r="E310" s="1005" t="s">
        <v>37</v>
      </c>
      <c r="F310" s="1005" t="s">
        <v>159</v>
      </c>
      <c r="G310" s="902" t="str">
        <f>VLOOKUP(WWWW[[#This Row],[Site Name]],SiteDB6[[Site Name]:[Location Type]],8,FALSE)</f>
        <v>Camp</v>
      </c>
      <c r="H310" s="1005" t="s">
        <v>1600</v>
      </c>
      <c r="I310" s="954">
        <v>216</v>
      </c>
      <c r="J310" s="954">
        <v>1215</v>
      </c>
      <c r="K310" s="955">
        <v>44973</v>
      </c>
      <c r="L310" s="956">
        <v>45337</v>
      </c>
      <c r="M310" s="954"/>
      <c r="N310" s="954">
        <v>2</v>
      </c>
      <c r="O310" s="954"/>
      <c r="P310" s="954"/>
      <c r="Q310" s="957" t="s">
        <v>41</v>
      </c>
      <c r="R310" s="954">
        <v>2</v>
      </c>
      <c r="S310" s="954">
        <v>4</v>
      </c>
      <c r="T310" s="441">
        <v>4</v>
      </c>
      <c r="U310" s="954"/>
      <c r="V310" s="954"/>
      <c r="W310" s="954"/>
      <c r="X310" s="954"/>
      <c r="Y310" s="954"/>
      <c r="Z310" s="954"/>
      <c r="AA310" s="954"/>
      <c r="AB310" s="954"/>
      <c r="AC310" s="954"/>
      <c r="AD310" s="954"/>
      <c r="AE310" s="954"/>
      <c r="AF310" s="954"/>
      <c r="AG310" s="954"/>
      <c r="AH310" s="954"/>
      <c r="AI310" s="954">
        <v>3</v>
      </c>
      <c r="AJ310" s="954">
        <v>1</v>
      </c>
      <c r="AK310" s="954">
        <v>3</v>
      </c>
      <c r="AL310" s="954">
        <v>1</v>
      </c>
      <c r="AM310" s="954"/>
      <c r="AN310" s="954"/>
      <c r="AO310" s="441"/>
      <c r="AP310" s="958"/>
      <c r="AQ310" s="954">
        <v>66</v>
      </c>
      <c r="AR310" s="954"/>
      <c r="AS310" s="959"/>
      <c r="AT310" s="954"/>
      <c r="AU310" s="954"/>
      <c r="AV310" s="954">
        <v>2</v>
      </c>
      <c r="AW310" s="954"/>
      <c r="AX310" s="954"/>
      <c r="AY310" s="953" t="s">
        <v>41</v>
      </c>
      <c r="AZ310" s="958" t="s">
        <v>137</v>
      </c>
      <c r="BA310" s="954"/>
      <c r="BB310" s="954"/>
      <c r="BC310" s="954"/>
      <c r="BD310" s="441"/>
      <c r="BE310" s="441"/>
      <c r="BF310" s="953"/>
      <c r="BG310" s="954">
        <v>4</v>
      </c>
      <c r="BH310" s="954"/>
      <c r="BI310" s="954">
        <v>7</v>
      </c>
      <c r="BJ310" s="954">
        <v>11</v>
      </c>
      <c r="BK310" s="954"/>
      <c r="BL310" s="954"/>
      <c r="BM310" s="954">
        <v>1</v>
      </c>
      <c r="BN310" s="954"/>
      <c r="BO310" s="954"/>
      <c r="BP310" s="953" t="s">
        <v>41</v>
      </c>
      <c r="BQ310" s="960"/>
      <c r="BR310" s="959"/>
      <c r="BS310" s="953"/>
      <c r="BT310" s="416"/>
      <c r="BU310" s="416"/>
      <c r="BV310" s="418"/>
      <c r="BW310" s="416"/>
      <c r="BX310" s="441"/>
      <c r="BY310" s="441"/>
      <c r="BZ310" s="441"/>
      <c r="CA310" s="441"/>
      <c r="CB310" s="441"/>
      <c r="CC310" s="693"/>
      <c r="CD310" s="441"/>
      <c r="CE310" s="961">
        <f>IFERROR(WWWW[[#This Row],['#_Water sources passed]]/WWWW[[#This Row],['#_Water sources tested for fecal coliform ]],"no test")</f>
        <v>0.33333333333333331</v>
      </c>
      <c r="CF310" s="959">
        <f>IFERROR(WWWW[[#This Row],['#_Household passed]]/WWWW[[#This Row],['#_Household water samples tested for fecal coliform]],"no test")</f>
        <v>0.33333333333333331</v>
      </c>
      <c r="CG310" s="960" t="str">
        <f>IF(AND(WWWW[[#This Row],[% of water sources passed]]="no test",WWWW[[#This Row],[% Household passed]]="no test"),"No Test","Tested")</f>
        <v>Tested</v>
      </c>
      <c r="CH310" s="960">
        <f>WWWW[[#This Row],['#_Constructed/existing protected hand dug well]]-WWWW[[#This Row],['#_Non-functional protected hand dug well]]</f>
        <v>4</v>
      </c>
      <c r="CI310" s="960">
        <f>(WWWW[[#This Row],['#_Constructed/Existing tube wells/boreholes/handpumps_WASH_agency]]+WWWW[[#This Row],['#_Non-Cluster partner water tube-wells/boreholes/handpumps]])-WWWW[[#This Row],['#_Non-functional tube wells/boreholes/handpumps]]</f>
        <v>0</v>
      </c>
      <c r="CJ310" s="960">
        <f>WWWW[[#This Row],['#_Constructed/Existingwater storage tank with gravity fed reticulation system]]-WWWW[[#This Row],['#_Non-functional storage tank gravity fed reticulation system]]</f>
        <v>0</v>
      </c>
      <c r="CK310" s="960">
        <f>(WWWW[[#This Row],['#_Water_Liters_supplied_by_Water boating or water trucking]]/90)/15</f>
        <v>0</v>
      </c>
      <c r="CL310" s="960">
        <f>WWWW[[#This Row],['#_Water_Liters_from_Constructed/Existing water distribution system from river or natural spring]]/90/15</f>
        <v>0</v>
      </c>
      <c r="CM310" s="417">
        <f>IF(WWWW[[#This Row],['#_of water points in TLS/CFS]]*500&gt;WWWW[[#This Row],[Total PoP ]],WWWW[[#This Row],[Total PoP ]],WWWW[[#This Row],['#_of water points in TLS/CFS]]*500)</f>
        <v>0</v>
      </c>
      <c r="CN310" s="417">
        <f>IF(WWWW[[#This Row],['#_of water points in THF]]*500&gt;WWWW[[#This Row],[Total PoP ]],WWWW[[#This Row],[Total PoP ]],WWWW[[#This Row],['#_of water points in THF]]*500)</f>
        <v>0</v>
      </c>
      <c r="CO310" s="417"/>
      <c r="CP310"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10"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0.82304526748971196</v>
      </c>
      <c r="CR310" s="959">
        <f>IF(WWWW[[#This Row],[Location Type 1]]="Village",WWWW[[#This Row],[Access to safe drinking water for Village]],WWWW[[#This Row],[Access to safe drinking water for Camp]])</f>
        <v>1</v>
      </c>
      <c r="CS310" s="957">
        <f>WWWW[[#This Row],[%Equitable and continuous access to sufficient quantity of safe drinking water]]*WWWW[[#This Row],[Total PoP ]]</f>
        <v>1215</v>
      </c>
      <c r="CT310" s="959">
        <f>IF((WWWW[[#This Row],['#_Constructed/Existing protected/fenced ponds]]*250)/WWWW[[#This Row],[Total PoP ]]&gt;1,1,(WWWW[[#This Row],['#_Constructed/Existing protected/fenced ponds]]*250)/WWWW[[#This Row],[Total PoP ]])</f>
        <v>0</v>
      </c>
      <c r="CU310" s="957">
        <f>WWWW[[#This Row],[% Access to unimproved water points]]*WWWW[[#This Row],[Total PoP ]]</f>
        <v>0</v>
      </c>
      <c r="CV310"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10"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1215</v>
      </c>
      <c r="CX310" s="957">
        <f>WWWW[[#This Row],[HRP1]]/500</f>
        <v>2.4300000000000002</v>
      </c>
      <c r="CY310" s="962">
        <f>1-WWWW[[#This Row],[% Equitable and continuous access to sufficient quantity of domestic water]]</f>
        <v>0</v>
      </c>
      <c r="CZ310" s="957">
        <f>WWWW[[#This Row],[%equitable and continuous access to sufficient quantity of safe drinking and domestic water''s GAP]]*WWWW[[#This Row],[Total PoP ]]</f>
        <v>0</v>
      </c>
      <c r="DA310" s="960">
        <f>IF(WWWW[[#This Row],[Total required water points]]-WWWW[[#This Row],['#Water points coverage]]&lt;0,0,WWWW[[#This Row],[Total required water points]]-WWWW[[#This Row],['#Water points coverage]])</f>
        <v>0</v>
      </c>
      <c r="DB310" s="960">
        <f>ROUND(IF(WWWW[[#This Row],[Total PoP ]]&lt;500,1,WWWW[[#This Row],[Total PoP ]]/500),0)</f>
        <v>2</v>
      </c>
      <c r="DC310" s="960">
        <f>(WWWW[[#This Row],['#_Constructed latrines_by_WASHAgencies]]+WWWW[[#This Row],['#_Non Cluster partner latrines]])-WWWW[[#This Row],['#_Non-functional latrines]]</f>
        <v>66</v>
      </c>
      <c r="DD310" s="615">
        <f>WWWW[[#This Row],[HRP2]]/WWWW[[#This Row],[Total PoP ]]</f>
        <v>1</v>
      </c>
      <c r="DE310"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1215</v>
      </c>
      <c r="DF310"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40</v>
      </c>
      <c r="DG310"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10" s="417">
        <f>IF(WWWW[[#This Row],['# of functional latrines in THF supported by WASH partners during the reporting period2]]="",0,WWWW[[#This Row],['# of functional latrines in THF supported by WASH partners during the reporting period2]]*50)</f>
        <v>0</v>
      </c>
      <c r="DI310" s="960">
        <f>ROUND(IF(WWWW[[#This Row],[Location Type 1]]="camp",WWWW[[#This Row],[Total PoP ]]/20,IF(WWWW[[#This Row],[Location Type 1]]="Temporary Location",WWWW[[#This Row],[Total PoP ]]/50,(WWWW[[#This Row],[Total PoP ]]/6))),0)</f>
        <v>61</v>
      </c>
      <c r="DJ310" s="960">
        <f>IF(WWWW[[#This Row],[Total required Latrines]]-(WWWW[[#This Row],['#_Constructed latrines_by_WASHAgencies]]+WWWW[[#This Row],['#_Non Cluster partner latrines]])&lt;0,0,WWWW[[#This Row],[Total required Latrines]]-(WWWW[[#This Row],['#_Constructed latrines_by_WASHAgencies]]+WWWW[[#This Row],['#_Non Cluster partner latrines]]))</f>
        <v>0</v>
      </c>
      <c r="DK310" s="962">
        <f>1-WWWW[[#This Row],[% people access to functioning Latrine]]</f>
        <v>0</v>
      </c>
      <c r="DL310" s="961">
        <f>IF(OR(WWWW[[#This Row],['#_Non-functional latrines]]="",WWWW[[#This Row],['#_Non-functional latrines]]=0),0,WWWW[[#This Row],['#_Non-functional latrines]]/(WWWW[[#This Row],['#_Constructed latrines_by_WASHAgencies]]+WWWW[[#This Row],['#_Non Cluster partner latrines]]))</f>
        <v>0</v>
      </c>
      <c r="DM310" s="957">
        <f>IF(500*(WWWW[[#This Row],['#_male hygiene promoters]]+WWWW[[#This Row],['#_female hygiene promoters]])&gt;WWWW[[#This Row],[Total PoP ]],WWWW[[#This Row],[Total PoP ]],500*(WWWW[[#This Row],['#_male hygiene promoters]]+WWWW[[#This Row],['#_female hygiene promoters]]))</f>
        <v>500</v>
      </c>
      <c r="DN310"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10"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10" s="960">
        <f>IF(WWWW[[#This Row],['# People with access to soap]]&gt;WWWW[[#This Row],['# People with access to Sanity Pads]],WWWW[[#This Row],['# People with access to soap]],WWWW[[#This Row],['# People with access to Sanity Pads]])</f>
        <v>0</v>
      </c>
      <c r="DQ310" s="960">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310" s="962">
        <f>IF(WWWW[[#This Row],[HRP3]]/WWWW[[#This Row],[Total PoP ]]&gt;1,1,WWWW[[#This Row],[HRP3]]/WWWW[[#This Row],[Total PoP ]])</f>
        <v>0.41152263374485598</v>
      </c>
      <c r="DS310" s="961">
        <f>1-WWWW[[#This Row],[Hygiene Coverage%]]</f>
        <v>0.58847736625514402</v>
      </c>
      <c r="DT310" s="959">
        <f>WWWW[[#This Row],['# people reached by regular dedicated hygiene promotion_5]]/WWWW[[#This Row],[Total PoP ]]</f>
        <v>0.41152263374485598</v>
      </c>
      <c r="DU310"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10"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10" s="960">
        <f>WWWW[[#This Row],['#_Constructed/Existing hand washing stations]]-WWWW[[#This Row],['#_Non-Functional_hand_washing_stations]]</f>
        <v>4</v>
      </c>
      <c r="DX310" s="957">
        <f>IF(WWWW[[#This Row],['# Functional hand washing stations during reporting period]]*20&gt;WWWW[[#This Row],[Total HH]],WWWW[[#This Row],[Total HH]],WWWW[[#This Row],['# Functional hand washing stations during reporting period]]*20)</f>
        <v>80</v>
      </c>
      <c r="DY310" s="957">
        <f>IF(WWWW[[#This Row],[Is sufficient soap available for TLS? (Yes/No)]]="yes",WWWW[[#This Row],['#_Constructed/Existing hand washing stations at TLS/CFS/THF]],0)</f>
        <v>0</v>
      </c>
      <c r="DZ310" s="421">
        <f>IF(WWWW[[#This Row],['# Functional hand washing stations during reporting period]]*100&gt;WWWW[[#This Row],[Total PoP ]],WWWW[[#This Row],[Total PoP ]],WWWW[[#This Row],['# Functional hand washing stations during reporting period]]*100)</f>
        <v>400</v>
      </c>
      <c r="EA310" s="421" t="str">
        <f>IF(OR(WWWW[[#This Row],['#_students at TLS_CFS]]="",WWWW[[#This Row],['#_students at TLS_CFS]]=0),"No","Yes")</f>
        <v>No</v>
      </c>
      <c r="EB31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10" s="566">
        <f>WWWW[[#This Row],[%_of_affected_people_surveyed_who_report_feeling_satistfied_with_the_latrine_design_and_sanitation_service]]*WWWW[[#This Row],[Total PoP ]]</f>
        <v>0</v>
      </c>
      <c r="ED310" s="566">
        <f>WWWW[[#This Row],[%_of_affected_people_surveyed_who_report_feeling_satistfied_with_the_water_point_design_and_water_service]]*WWWW[[#This Row],[Total PoP ]]</f>
        <v>0</v>
      </c>
      <c r="EE310" s="566">
        <f>WWWW[[#This Row],[%_of_complaints_received_that_result_in_timely_corrective_action_and_feedback_to_the_community]]*WWWW[[#This Row],[Total PoP ]]</f>
        <v>0</v>
      </c>
      <c r="EF31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1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1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10" s="953" t="str">
        <f>VLOOKUP(WWWW[[#This Row],[Site Name]],SiteDB6[[Site Name]:[CCCM Management]],6,FALSE)</f>
        <v>Yes</v>
      </c>
      <c r="EJ310" s="953" t="str">
        <f>VLOOKUP(WWWW[[#This Row],[Site Name]],SiteDB6[[Site Name]:[CCCM Focal Agency]],7,FALSE)</f>
        <v>KMSS-MYT</v>
      </c>
      <c r="EK310" s="953" t="str">
        <f>VLOOKUP(WWWW[[#This Row],[Site Name]],SiteDB6[[Site Name]:[Location Type 1]],9,FALSE)</f>
        <v>Camp</v>
      </c>
      <c r="EL310" s="953" t="str">
        <f>VLOOKUP(WWWW[[#This Row],[Site Name]],SiteDB6[[Site Name]:[Type of Accommodation]],10,FALSE)</f>
        <v>Camp</v>
      </c>
      <c r="EM310" s="953" t="str">
        <f>VLOOKUP(WWWW[[#This Row],[Site Name]],SiteDB6[[Site Name]:[Ethnic or GCA/NGCA]],11,FALSE)</f>
        <v>GCA</v>
      </c>
      <c r="EN310" s="953">
        <f>VLOOKUP(WWWW[[#This Row],[Site Name]],SiteDB6[[Site Name]:[Lat]],12,FALSE)</f>
        <v>25.493819999999999</v>
      </c>
      <c r="EO310" s="953">
        <f>VLOOKUP(WWWW[[#This Row],[Site Name]],SiteDB6[[Site Name]:[Long]],13,FALSE)</f>
        <v>97.4345</v>
      </c>
      <c r="EP310" s="953" t="str">
        <f>VLOOKUP(WWWW[[#This Row],[Site Name]],SiteDB6[[Site Name]:[Pcode]],3,FALSE)</f>
        <v>MMR001CMP271</v>
      </c>
      <c r="EQ310" s="958" t="str">
        <f t="shared" si="6"/>
        <v>Covered</v>
      </c>
      <c r="ER310" s="950" t="s">
        <v>3126</v>
      </c>
      <c r="ES310" s="972" t="s">
        <v>3288</v>
      </c>
      <c r="ET310" s="953">
        <f>VLOOKUP(WWWW[[#This Row],[Site Name]],SiteDB6[[Site Name]:[Pop
(Kachin/Shan-CCCM as of May 2023)]],16,FALSE)</f>
        <v>216</v>
      </c>
      <c r="EU310" s="953">
        <f>VLOOKUP(WWWW[[#This Row],[Site Name]],SiteDB6[[Site Name]:[Pop
(Kachin/Shan-CCCM as of May 2023)]],17,FALSE)</f>
        <v>1213</v>
      </c>
    </row>
    <row r="311" spans="1:151">
      <c r="A311" s="946" t="s">
        <v>2962</v>
      </c>
      <c r="B311" s="946" t="s">
        <v>242</v>
      </c>
      <c r="C311" s="938" t="s">
        <v>242</v>
      </c>
      <c r="D311" s="938" t="s">
        <v>3184</v>
      </c>
      <c r="E311" s="938" t="s">
        <v>37</v>
      </c>
      <c r="F311" s="938" t="s">
        <v>159</v>
      </c>
      <c r="G311" s="902" t="str">
        <f>VLOOKUP(WWWW[[#This Row],[Site Name]],SiteDB6[[Site Name]:[Location Type]],8,FALSE)</f>
        <v>Camp</v>
      </c>
      <c r="H311" s="938" t="s">
        <v>2868</v>
      </c>
      <c r="I311" s="441">
        <v>16</v>
      </c>
      <c r="J311" s="441">
        <v>94</v>
      </c>
      <c r="K311" s="948">
        <v>44927</v>
      </c>
      <c r="L311" s="949">
        <v>45382</v>
      </c>
      <c r="M311" s="441"/>
      <c r="N311" s="441"/>
      <c r="O311" s="441">
        <v>1</v>
      </c>
      <c r="P311" s="441"/>
      <c r="Q311" s="421" t="s">
        <v>41</v>
      </c>
      <c r="R311" s="441">
        <v>2</v>
      </c>
      <c r="S311" s="441">
        <v>2</v>
      </c>
      <c r="T311" s="441">
        <v>1</v>
      </c>
      <c r="U311" s="441">
        <v>1</v>
      </c>
      <c r="V311" s="441"/>
      <c r="W311" s="441">
        <v>2</v>
      </c>
      <c r="X311" s="441"/>
      <c r="Y311" s="441"/>
      <c r="Z311" s="441"/>
      <c r="AA311" s="441"/>
      <c r="AB311" s="441"/>
      <c r="AC311" s="441"/>
      <c r="AD311" s="441"/>
      <c r="AE311" s="441">
        <v>2</v>
      </c>
      <c r="AF311" s="441"/>
      <c r="AG311" s="441"/>
      <c r="AH311" s="441"/>
      <c r="AI311" s="441"/>
      <c r="AJ311" s="441"/>
      <c r="AK311" s="441"/>
      <c r="AL311" s="441"/>
      <c r="AM311" s="441">
        <v>3</v>
      </c>
      <c r="AN311" s="441"/>
      <c r="AO311" s="441"/>
      <c r="AP311" s="950"/>
      <c r="AQ311" s="441">
        <v>7</v>
      </c>
      <c r="AR311" s="441"/>
      <c r="AS311" s="416" t="s">
        <v>2129</v>
      </c>
      <c r="AT311" s="441"/>
      <c r="AU311" s="441"/>
      <c r="AV311" s="441"/>
      <c r="AW311" s="441"/>
      <c r="AX311" s="441">
        <v>7</v>
      </c>
      <c r="AY311" s="418" t="s">
        <v>41</v>
      </c>
      <c r="AZ311" s="950" t="s">
        <v>137</v>
      </c>
      <c r="BA311" s="441"/>
      <c r="BB311" s="441"/>
      <c r="BC311" s="441"/>
      <c r="BD311" s="441"/>
      <c r="BE311" s="441">
        <v>3</v>
      </c>
      <c r="BF311" s="418"/>
      <c r="BG311" s="441">
        <v>3</v>
      </c>
      <c r="BH311" s="441"/>
      <c r="BI311" s="441"/>
      <c r="BJ311" s="441">
        <v>2</v>
      </c>
      <c r="BK311" s="441"/>
      <c r="BL311" s="441">
        <v>1</v>
      </c>
      <c r="BM311" s="441"/>
      <c r="BN311" s="441">
        <v>16</v>
      </c>
      <c r="BO311" s="441"/>
      <c r="BP311" s="418" t="s">
        <v>41</v>
      </c>
      <c r="BQ311" s="417">
        <v>1</v>
      </c>
      <c r="BR311" s="416">
        <v>1</v>
      </c>
      <c r="BS311" s="418"/>
      <c r="BT311" s="416">
        <v>0.9</v>
      </c>
      <c r="BU311" s="416">
        <v>0.9</v>
      </c>
      <c r="BV311" s="418"/>
      <c r="BW311" s="416"/>
      <c r="BX311" s="441"/>
      <c r="BY311" s="441"/>
      <c r="BZ311" s="441"/>
      <c r="CA311" s="441"/>
      <c r="CB311" s="441"/>
      <c r="CC311" s="693"/>
      <c r="CD311" s="441"/>
      <c r="CE311" s="615" t="str">
        <f>IFERROR(WWWW[[#This Row],['#_Water sources passed]]/WWWW[[#This Row],['#_Water sources tested for fecal coliform ]],"no test")</f>
        <v>no test</v>
      </c>
      <c r="CF311" s="416" t="str">
        <f>IFERROR(WWWW[[#This Row],['#_Household passed]]/WWWW[[#This Row],['#_Household water samples tested for fecal coliform]],"no test")</f>
        <v>no test</v>
      </c>
      <c r="CG311" s="417" t="str">
        <f>IF(AND(WWWW[[#This Row],[% of water sources passed]]="no test",WWWW[[#This Row],[% Household passed]]="no test"),"No Test","Tested")</f>
        <v>No Test</v>
      </c>
      <c r="CH311" s="417">
        <f>WWWW[[#This Row],['#_Constructed/existing protected hand dug well]]-WWWW[[#This Row],['#_Non-functional protected hand dug well]]</f>
        <v>0</v>
      </c>
      <c r="CI311" s="417">
        <f>(WWWW[[#This Row],['#_Constructed/Existing tube wells/boreholes/handpumps_WASH_agency]]+WWWW[[#This Row],['#_Non-Cluster partner water tube-wells/boreholes/handpumps]])-WWWW[[#This Row],['#_Non-functional tube wells/boreholes/handpumps]]</f>
        <v>2</v>
      </c>
      <c r="CJ311" s="417">
        <f>WWWW[[#This Row],['#_Constructed/Existingwater storage tank with gravity fed reticulation system]]-WWWW[[#This Row],['#_Non-functional storage tank gravity fed reticulation system]]</f>
        <v>0</v>
      </c>
      <c r="CK311" s="417">
        <f>(WWWW[[#This Row],['#_Water_Liters_supplied_by_Water boating or water trucking]]/90)/15</f>
        <v>0</v>
      </c>
      <c r="CL311" s="417">
        <f>WWWW[[#This Row],['#_Water_Liters_from_Constructed/Existing water distribution system from river or natural spring]]/90/15</f>
        <v>0</v>
      </c>
      <c r="CM311" s="417">
        <f>IF(WWWW[[#This Row],['#_of water points in TLS/CFS]]*500&gt;WWWW[[#This Row],[Total PoP ]],WWWW[[#This Row],[Total PoP ]],WWWW[[#This Row],['#_of water points in TLS/CFS]]*500)</f>
        <v>0</v>
      </c>
      <c r="CN311" s="417">
        <f>IF(WWWW[[#This Row],['#_of water points in THF]]*500&gt;WWWW[[#This Row],[Total PoP ]],WWWW[[#This Row],[Total PoP ]],WWWW[[#This Row],['#_of water points in THF]]*500)</f>
        <v>0</v>
      </c>
      <c r="CO311" s="417"/>
      <c r="CP311"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11"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11" s="416">
        <f>IF(WWWW[[#This Row],[Location Type 1]]="Village",WWWW[[#This Row],[Access to safe drinking water for Village]],WWWW[[#This Row],[Access to safe drinking water for Camp]])</f>
        <v>1</v>
      </c>
      <c r="CS311" s="421">
        <f>WWWW[[#This Row],[%Equitable and continuous access to sufficient quantity of safe drinking water]]*WWWW[[#This Row],[Total PoP ]]</f>
        <v>94</v>
      </c>
      <c r="CT311" s="416">
        <f>IF((WWWW[[#This Row],['#_Constructed/Existing protected/fenced ponds]]*250)/WWWW[[#This Row],[Total PoP ]]&gt;1,1,(WWWW[[#This Row],['#_Constructed/Existing protected/fenced ponds]]*250)/WWWW[[#This Row],[Total PoP ]])</f>
        <v>1</v>
      </c>
      <c r="CU311" s="421">
        <f>WWWW[[#This Row],[% Access to unimproved water points]]*WWWW[[#This Row],[Total PoP ]]</f>
        <v>94</v>
      </c>
      <c r="CV311"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11"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94</v>
      </c>
      <c r="CX311" s="421">
        <f>WWWW[[#This Row],[HRP1]]/500</f>
        <v>0.188</v>
      </c>
      <c r="CY311" s="951">
        <f>1-WWWW[[#This Row],[% Equitable and continuous access to sufficient quantity of domestic water]]</f>
        <v>0</v>
      </c>
      <c r="CZ311" s="421">
        <f>WWWW[[#This Row],[%equitable and continuous access to sufficient quantity of safe drinking and domestic water''s GAP]]*WWWW[[#This Row],[Total PoP ]]</f>
        <v>0</v>
      </c>
      <c r="DA311" s="417">
        <f>IF(WWWW[[#This Row],[Total required water points]]-WWWW[[#This Row],['#Water points coverage]]&lt;0,0,WWWW[[#This Row],[Total required water points]]-WWWW[[#This Row],['#Water points coverage]])</f>
        <v>0.81200000000000006</v>
      </c>
      <c r="DB311" s="417">
        <f>ROUND(IF(WWWW[[#This Row],[Total PoP ]]&lt;500,1,WWWW[[#This Row],[Total PoP ]]/500),0)</f>
        <v>1</v>
      </c>
      <c r="DC311" s="417">
        <f>(WWWW[[#This Row],['#_Constructed latrines_by_WASHAgencies]]+WWWW[[#This Row],['#_Non Cluster partner latrines]])-WWWW[[#This Row],['#_Non-functional latrines]]</f>
        <v>7</v>
      </c>
      <c r="DD311" s="615">
        <f>WWWW[[#This Row],[HRP2]]/WWWW[[#This Row],[Total PoP ]]</f>
        <v>1</v>
      </c>
      <c r="DE311"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94</v>
      </c>
      <c r="DF311"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11"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11" s="417">
        <f>IF(WWWW[[#This Row],['# of functional latrines in THF supported by WASH partners during the reporting period2]]="",0,WWWW[[#This Row],['# of functional latrines in THF supported by WASH partners during the reporting period2]]*50)</f>
        <v>0</v>
      </c>
      <c r="DI311" s="417">
        <f>ROUND(IF(WWWW[[#This Row],[Location Type 1]]="camp",WWWW[[#This Row],[Total PoP ]]/20,IF(WWWW[[#This Row],[Location Type 1]]="Temporary Location",WWWW[[#This Row],[Total PoP ]]/50,(WWWW[[#This Row],[Total PoP ]]/6))),0)</f>
        <v>5</v>
      </c>
      <c r="DJ311" s="417">
        <f>IF(WWWW[[#This Row],[Total required Latrines]]-(WWWW[[#This Row],['#_Constructed latrines_by_WASHAgencies]]+WWWW[[#This Row],['#_Non Cluster partner latrines]])&lt;0,0,WWWW[[#This Row],[Total required Latrines]]-(WWWW[[#This Row],['#_Constructed latrines_by_WASHAgencies]]+WWWW[[#This Row],['#_Non Cluster partner latrines]]))</f>
        <v>0</v>
      </c>
      <c r="DK311" s="951">
        <f>1-WWWW[[#This Row],[% people access to functioning Latrine]]</f>
        <v>0</v>
      </c>
      <c r="DL311" s="615">
        <f>IF(OR(WWWW[[#This Row],['#_Non-functional latrines]]="",WWWW[[#This Row],['#_Non-functional latrines]]=0),0,WWWW[[#This Row],['#_Non-functional latrines]]/(WWWW[[#This Row],['#_Constructed latrines_by_WASHAgencies]]+WWWW[[#This Row],['#_Non Cluster partner latrines]]))</f>
        <v>0</v>
      </c>
      <c r="DM311" s="421">
        <f>IF(500*(WWWW[[#This Row],['#_male hygiene promoters]]+WWWW[[#This Row],['#_female hygiene promoters]])&gt;WWWW[[#This Row],[Total PoP ]],WWWW[[#This Row],[Total PoP ]],500*(WWWW[[#This Row],['#_male hygiene promoters]]+WWWW[[#This Row],['#_female hygiene promoters]]))</f>
        <v>94</v>
      </c>
      <c r="DN311"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94</v>
      </c>
      <c r="DO311"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11" s="417">
        <f>IF(WWWW[[#This Row],['# People with access to soap]]&gt;WWWW[[#This Row],['# People with access to Sanity Pads]],WWWW[[#This Row],['# People with access to soap]],WWWW[[#This Row],['# People with access to Sanity Pads]])</f>
        <v>94</v>
      </c>
      <c r="DQ311" s="417">
        <f>IF(WWWW[[#This Row],['# people reached by regular dedicated hygiene promotion_5]]&gt;WWWW[[#This Row],['# People received regular supply of hygiene items_6]],WWWW[[#This Row],['# people reached by regular dedicated hygiene promotion_5]],WWWW[[#This Row],['# People received regular supply of hygiene items_6]])</f>
        <v>94</v>
      </c>
      <c r="DR311" s="951">
        <f>IF(WWWW[[#This Row],[HRP3]]/WWWW[[#This Row],[Total PoP ]]&gt;1,1,WWWW[[#This Row],[HRP3]]/WWWW[[#This Row],[Total PoP ]])</f>
        <v>1</v>
      </c>
      <c r="DS311" s="615">
        <f>1-WWWW[[#This Row],[Hygiene Coverage%]]</f>
        <v>0</v>
      </c>
      <c r="DT311" s="416">
        <f>WWWW[[#This Row],['# people reached by regular dedicated hygiene promotion_5]]/WWWW[[#This Row],[Total PoP ]]</f>
        <v>1</v>
      </c>
      <c r="DU311"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311"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11" s="417">
        <f>WWWW[[#This Row],['#_Constructed/Existing hand washing stations]]-WWWW[[#This Row],['#_Non-Functional_hand_washing_stations]]</f>
        <v>3</v>
      </c>
      <c r="DX311" s="421">
        <f>IF(WWWW[[#This Row],['# Functional hand washing stations during reporting period]]*20&gt;WWWW[[#This Row],[Total HH]],WWWW[[#This Row],[Total HH]],WWWW[[#This Row],['# Functional hand washing stations during reporting period]]*20)</f>
        <v>16</v>
      </c>
      <c r="DY311" s="421">
        <f>IF(WWWW[[#This Row],[Is sufficient soap available for TLS? (Yes/No)]]="yes",WWWW[[#This Row],['#_Constructed/Existing hand washing stations at TLS/CFS/THF]],0)</f>
        <v>3</v>
      </c>
      <c r="DZ311" s="421">
        <f>IF(WWWW[[#This Row],['# Functional hand washing stations during reporting period]]*100&gt;WWWW[[#This Row],[Total PoP ]],WWWW[[#This Row],[Total PoP ]],WWWW[[#This Row],['# Functional hand washing stations during reporting period]]*100)</f>
        <v>94</v>
      </c>
      <c r="EA311" s="421" t="str">
        <f>IF(OR(WWWW[[#This Row],['#_students at TLS_CFS]]="",WWWW[[#This Row],['#_students at TLS_CFS]]=0),"No","Yes")</f>
        <v>No</v>
      </c>
      <c r="EB31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11" s="566">
        <f>WWWW[[#This Row],[%_of_affected_people_surveyed_who_report_feeling_satistfied_with_the_latrine_design_and_sanitation_service]]*WWWW[[#This Row],[Total PoP ]]</f>
        <v>84.600000000000009</v>
      </c>
      <c r="ED311" s="566">
        <f>WWWW[[#This Row],[%_of_affected_people_surveyed_who_report_feeling_satistfied_with_the_water_point_design_and_water_service]]*WWWW[[#This Row],[Total PoP ]]</f>
        <v>84.600000000000009</v>
      </c>
      <c r="EE311" s="566">
        <f>WWWW[[#This Row],[%_of_complaints_received_that_result_in_timely_corrective_action_and_feedback_to_the_community]]*WWWW[[#This Row],[Total PoP ]]</f>
        <v>0</v>
      </c>
      <c r="EF31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84.600000000000009</v>
      </c>
      <c r="EG31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1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11" s="418" t="str">
        <f>VLOOKUP(WWWW[[#This Row],[Site Name]],SiteDB6[[Site Name]:[CCCM Management]],6,FALSE)</f>
        <v>Yes</v>
      </c>
      <c r="EJ311" s="418" t="str">
        <f>VLOOKUP(WWWW[[#This Row],[Site Name]],SiteDB6[[Site Name]:[CCCM Focal Agency]],7,FALSE)</f>
        <v>Shalom</v>
      </c>
      <c r="EK311" s="418" t="str">
        <f>VLOOKUP(WWWW[[#This Row],[Site Name]],SiteDB6[[Site Name]:[Location Type 1]],9,FALSE)</f>
        <v>Camp</v>
      </c>
      <c r="EL311" s="418" t="str">
        <f>VLOOKUP(WWWW[[#This Row],[Site Name]],SiteDB6[[Site Name]:[Type of Accommodation]],10,FALSE)</f>
        <v>Camp</v>
      </c>
      <c r="EM311" s="418" t="str">
        <f>VLOOKUP(WWWW[[#This Row],[Site Name]],SiteDB6[[Site Name]:[Ethnic or GCA/NGCA]],11,FALSE)</f>
        <v>GCA</v>
      </c>
      <c r="EN311" s="418">
        <f>VLOOKUP(WWWW[[#This Row],[Site Name]],SiteDB6[[Site Name]:[Lat]],12,FALSE)</f>
        <v>25.417733999999999</v>
      </c>
      <c r="EO311" s="418">
        <f>VLOOKUP(WWWW[[#This Row],[Site Name]],SiteDB6[[Site Name]:[Long]],13,FALSE)</f>
        <v>97.389778000000007</v>
      </c>
      <c r="EP311" s="418" t="str">
        <f>VLOOKUP(WWWW[[#This Row],[Site Name]],SiteDB6[[Site Name]:[Pcode]],3,FALSE)</f>
        <v>MMR001CMP004</v>
      </c>
      <c r="EQ311" s="950" t="str">
        <f t="shared" si="6"/>
        <v>Covered</v>
      </c>
      <c r="ER311" s="950" t="s">
        <v>136</v>
      </c>
      <c r="ES311" s="950" t="s">
        <v>3263</v>
      </c>
      <c r="ET311" s="418">
        <f>VLOOKUP(WWWW[[#This Row],[Site Name]],SiteDB6[[Site Name]:[Pop
(Kachin/Shan-CCCM as of May 2023)]],16,FALSE)</f>
        <v>18</v>
      </c>
      <c r="EU311" s="418">
        <f>VLOOKUP(WWWW[[#This Row],[Site Name]],SiteDB6[[Site Name]:[Pop
(Kachin/Shan-CCCM as of May 2023)]],17,FALSE)</f>
        <v>93</v>
      </c>
    </row>
    <row r="312" spans="1:151">
      <c r="A312" s="946" t="s">
        <v>2962</v>
      </c>
      <c r="B312" s="1004" t="s">
        <v>36</v>
      </c>
      <c r="C312" s="1005" t="s">
        <v>36</v>
      </c>
      <c r="D312" s="1005" t="s">
        <v>241</v>
      </c>
      <c r="E312" s="1005" t="s">
        <v>37</v>
      </c>
      <c r="F312" s="1005" t="s">
        <v>159</v>
      </c>
      <c r="G312" s="902" t="str">
        <f>VLOOKUP(WWWW[[#This Row],[Site Name]],SiteDB6[[Site Name]:[Location Type]],8,FALSE)</f>
        <v>Camp</v>
      </c>
      <c r="H312" s="1005" t="s">
        <v>2224</v>
      </c>
      <c r="I312" s="954">
        <v>25</v>
      </c>
      <c r="J312" s="954">
        <v>127</v>
      </c>
      <c r="K312" s="955">
        <v>44973</v>
      </c>
      <c r="L312" s="956">
        <v>45337</v>
      </c>
      <c r="M312" s="954"/>
      <c r="N312" s="954">
        <v>2</v>
      </c>
      <c r="O312" s="954"/>
      <c r="P312" s="954"/>
      <c r="Q312" s="957" t="s">
        <v>41</v>
      </c>
      <c r="R312" s="954">
        <v>2</v>
      </c>
      <c r="S312" s="954">
        <v>2</v>
      </c>
      <c r="T312" s="441"/>
      <c r="U312" s="954"/>
      <c r="V312" s="954"/>
      <c r="W312" s="954">
        <v>2</v>
      </c>
      <c r="X312" s="954"/>
      <c r="Y312" s="954"/>
      <c r="Z312" s="954"/>
      <c r="AA312" s="954"/>
      <c r="AB312" s="954"/>
      <c r="AC312" s="954"/>
      <c r="AD312" s="954"/>
      <c r="AE312" s="954"/>
      <c r="AF312" s="954"/>
      <c r="AG312" s="954"/>
      <c r="AH312" s="954"/>
      <c r="AI312" s="954">
        <v>1</v>
      </c>
      <c r="AJ312" s="954">
        <v>1</v>
      </c>
      <c r="AK312" s="954">
        <v>1</v>
      </c>
      <c r="AL312" s="954">
        <v>1</v>
      </c>
      <c r="AM312" s="954">
        <v>1</v>
      </c>
      <c r="AN312" s="954"/>
      <c r="AO312" s="441"/>
      <c r="AP312" s="958"/>
      <c r="AQ312" s="954">
        <v>6</v>
      </c>
      <c r="AR312" s="954"/>
      <c r="AS312" s="959"/>
      <c r="AT312" s="954"/>
      <c r="AU312" s="954"/>
      <c r="AV312" s="954"/>
      <c r="AW312" s="954"/>
      <c r="AX312" s="954"/>
      <c r="AY312" s="953" t="s">
        <v>41</v>
      </c>
      <c r="AZ312" s="958" t="s">
        <v>136</v>
      </c>
      <c r="BA312" s="954"/>
      <c r="BB312" s="954"/>
      <c r="BC312" s="954"/>
      <c r="BD312" s="441"/>
      <c r="BE312" s="441"/>
      <c r="BF312" s="953"/>
      <c r="BG312" s="954">
        <v>3</v>
      </c>
      <c r="BH312" s="954"/>
      <c r="BI312" s="954"/>
      <c r="BJ312" s="954">
        <v>2</v>
      </c>
      <c r="BK312" s="954"/>
      <c r="BL312" s="954"/>
      <c r="BM312" s="954">
        <v>1</v>
      </c>
      <c r="BN312" s="954"/>
      <c r="BO312" s="954"/>
      <c r="BP312" s="953" t="s">
        <v>41</v>
      </c>
      <c r="BQ312" s="960"/>
      <c r="BR312" s="959"/>
      <c r="BS312" s="953"/>
      <c r="BT312" s="416"/>
      <c r="BU312" s="416"/>
      <c r="BV312" s="418"/>
      <c r="BW312" s="416"/>
      <c r="BX312" s="441"/>
      <c r="BY312" s="441"/>
      <c r="BZ312" s="441"/>
      <c r="CA312" s="441"/>
      <c r="CB312" s="441"/>
      <c r="CC312" s="693"/>
      <c r="CD312" s="441"/>
      <c r="CE312" s="961">
        <f>IFERROR(WWWW[[#This Row],['#_Water sources passed]]/WWWW[[#This Row],['#_Water sources tested for fecal coliform ]],"no test")</f>
        <v>1</v>
      </c>
      <c r="CF312" s="959">
        <f>IFERROR(WWWW[[#This Row],['#_Household passed]]/WWWW[[#This Row],['#_Household water samples tested for fecal coliform]],"no test")</f>
        <v>1</v>
      </c>
      <c r="CG312" s="960" t="str">
        <f>IF(AND(WWWW[[#This Row],[% of water sources passed]]="no test",WWWW[[#This Row],[% Household passed]]="no test"),"No Test","Tested")</f>
        <v>Tested</v>
      </c>
      <c r="CH312" s="960">
        <f>WWWW[[#This Row],['#_Constructed/existing protected hand dug well]]-WWWW[[#This Row],['#_Non-functional protected hand dug well]]</f>
        <v>0</v>
      </c>
      <c r="CI312" s="960">
        <f>(WWWW[[#This Row],['#_Constructed/Existing tube wells/boreholes/handpumps_WASH_agency]]+WWWW[[#This Row],['#_Non-Cluster partner water tube-wells/boreholes/handpumps]])-WWWW[[#This Row],['#_Non-functional tube wells/boreholes/handpumps]]</f>
        <v>2</v>
      </c>
      <c r="CJ312" s="960">
        <f>WWWW[[#This Row],['#_Constructed/Existingwater storage tank with gravity fed reticulation system]]-WWWW[[#This Row],['#_Non-functional storage tank gravity fed reticulation system]]</f>
        <v>0</v>
      </c>
      <c r="CK312" s="960">
        <f>(WWWW[[#This Row],['#_Water_Liters_supplied_by_Water boating or water trucking]]/90)/15</f>
        <v>0</v>
      </c>
      <c r="CL312" s="960">
        <f>WWWW[[#This Row],['#_Water_Liters_from_Constructed/Existing water distribution system from river or natural spring]]/90/15</f>
        <v>0</v>
      </c>
      <c r="CM312" s="417">
        <f>IF(WWWW[[#This Row],['#_of water points in TLS/CFS]]*500&gt;WWWW[[#This Row],[Total PoP ]],WWWW[[#This Row],[Total PoP ]],WWWW[[#This Row],['#_of water points in TLS/CFS]]*500)</f>
        <v>0</v>
      </c>
      <c r="CN312" s="417">
        <f>IF(WWWW[[#This Row],['#_of water points in THF]]*500&gt;WWWW[[#This Row],[Total PoP ]],WWWW[[#This Row],[Total PoP ]],WWWW[[#This Row],['#_of water points in THF]]*500)</f>
        <v>0</v>
      </c>
      <c r="CO312" s="417"/>
      <c r="CP312"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12"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12" s="959">
        <f>IF(WWWW[[#This Row],[Location Type 1]]="Village",WWWW[[#This Row],[Access to safe drinking water for Village]],WWWW[[#This Row],[Access to safe drinking water for Camp]])</f>
        <v>1</v>
      </c>
      <c r="CS312" s="957">
        <f>WWWW[[#This Row],[%Equitable and continuous access to sufficient quantity of safe drinking water]]*WWWW[[#This Row],[Total PoP ]]</f>
        <v>127</v>
      </c>
      <c r="CT312" s="959">
        <f>IF((WWWW[[#This Row],['#_Constructed/Existing protected/fenced ponds]]*250)/WWWW[[#This Row],[Total PoP ]]&gt;1,1,(WWWW[[#This Row],['#_Constructed/Existing protected/fenced ponds]]*250)/WWWW[[#This Row],[Total PoP ]])</f>
        <v>0</v>
      </c>
      <c r="CU312" s="957">
        <f>WWWW[[#This Row],[% Access to unimproved water points]]*WWWW[[#This Row],[Total PoP ]]</f>
        <v>0</v>
      </c>
      <c r="CV312"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12"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127</v>
      </c>
      <c r="CX312" s="957">
        <f>WWWW[[#This Row],[HRP1]]/500</f>
        <v>0.254</v>
      </c>
      <c r="CY312" s="962">
        <f>1-WWWW[[#This Row],[% Equitable and continuous access to sufficient quantity of domestic water]]</f>
        <v>0</v>
      </c>
      <c r="CZ312" s="957">
        <f>WWWW[[#This Row],[%equitable and continuous access to sufficient quantity of safe drinking and domestic water''s GAP]]*WWWW[[#This Row],[Total PoP ]]</f>
        <v>0</v>
      </c>
      <c r="DA312" s="960">
        <f>IF(WWWW[[#This Row],[Total required water points]]-WWWW[[#This Row],['#Water points coverage]]&lt;0,0,WWWW[[#This Row],[Total required water points]]-WWWW[[#This Row],['#Water points coverage]])</f>
        <v>0.746</v>
      </c>
      <c r="DB312" s="960">
        <f>ROUND(IF(WWWW[[#This Row],[Total PoP ]]&lt;500,1,WWWW[[#This Row],[Total PoP ]]/500),0)</f>
        <v>1</v>
      </c>
      <c r="DC312" s="960">
        <f>(WWWW[[#This Row],['#_Constructed latrines_by_WASHAgencies]]+WWWW[[#This Row],['#_Non Cluster partner latrines]])-WWWW[[#This Row],['#_Non-functional latrines]]</f>
        <v>6</v>
      </c>
      <c r="DD312" s="615">
        <f>WWWW[[#This Row],[HRP2]]/WWWW[[#This Row],[Total PoP ]]</f>
        <v>0.94488188976377951</v>
      </c>
      <c r="DE312"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120</v>
      </c>
      <c r="DF312"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12"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12" s="417">
        <f>IF(WWWW[[#This Row],['# of functional latrines in THF supported by WASH partners during the reporting period2]]="",0,WWWW[[#This Row],['# of functional latrines in THF supported by WASH partners during the reporting period2]]*50)</f>
        <v>0</v>
      </c>
      <c r="DI312" s="960">
        <f>ROUND(IF(WWWW[[#This Row],[Location Type 1]]="camp",WWWW[[#This Row],[Total PoP ]]/20,IF(WWWW[[#This Row],[Location Type 1]]="Temporary Location",WWWW[[#This Row],[Total PoP ]]/50,(WWWW[[#This Row],[Total PoP ]]/6))),0)</f>
        <v>6</v>
      </c>
      <c r="DJ312" s="960">
        <f>IF(WWWW[[#This Row],[Total required Latrines]]-(WWWW[[#This Row],['#_Constructed latrines_by_WASHAgencies]]+WWWW[[#This Row],['#_Non Cluster partner latrines]])&lt;0,0,WWWW[[#This Row],[Total required Latrines]]-(WWWW[[#This Row],['#_Constructed latrines_by_WASHAgencies]]+WWWW[[#This Row],['#_Non Cluster partner latrines]]))</f>
        <v>0</v>
      </c>
      <c r="DK312" s="962">
        <f>1-WWWW[[#This Row],[% people access to functioning Latrine]]</f>
        <v>5.5118110236220486E-2</v>
      </c>
      <c r="DL312" s="961">
        <f>IF(OR(WWWW[[#This Row],['#_Non-functional latrines]]="",WWWW[[#This Row],['#_Non-functional latrines]]=0),0,WWWW[[#This Row],['#_Non-functional latrines]]/(WWWW[[#This Row],['#_Constructed latrines_by_WASHAgencies]]+WWWW[[#This Row],['#_Non Cluster partner latrines]]))</f>
        <v>0</v>
      </c>
      <c r="DM312" s="957">
        <f>IF(500*(WWWW[[#This Row],['#_male hygiene promoters]]+WWWW[[#This Row],['#_female hygiene promoters]])&gt;WWWW[[#This Row],[Total PoP ]],WWWW[[#This Row],[Total PoP ]],500*(WWWW[[#This Row],['#_male hygiene promoters]]+WWWW[[#This Row],['#_female hygiene promoters]]))</f>
        <v>127</v>
      </c>
      <c r="DN312"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12"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12" s="960">
        <f>IF(WWWW[[#This Row],['# People with access to soap]]&gt;WWWW[[#This Row],['# People with access to Sanity Pads]],WWWW[[#This Row],['# People with access to soap]],WWWW[[#This Row],['# People with access to Sanity Pads]])</f>
        <v>0</v>
      </c>
      <c r="DQ312" s="960">
        <f>IF(WWWW[[#This Row],['# people reached by regular dedicated hygiene promotion_5]]&gt;WWWW[[#This Row],['# People received regular supply of hygiene items_6]],WWWW[[#This Row],['# people reached by regular dedicated hygiene promotion_5]],WWWW[[#This Row],['# People received regular supply of hygiene items_6]])</f>
        <v>127</v>
      </c>
      <c r="DR312" s="962">
        <f>IF(WWWW[[#This Row],[HRP3]]/WWWW[[#This Row],[Total PoP ]]&gt;1,1,WWWW[[#This Row],[HRP3]]/WWWW[[#This Row],[Total PoP ]])</f>
        <v>1</v>
      </c>
      <c r="DS312" s="961">
        <f>1-WWWW[[#This Row],[Hygiene Coverage%]]</f>
        <v>0</v>
      </c>
      <c r="DT312" s="959">
        <f>WWWW[[#This Row],['# people reached by regular dedicated hygiene promotion_5]]/WWWW[[#This Row],[Total PoP ]]</f>
        <v>1</v>
      </c>
      <c r="DU312"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12"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12" s="960">
        <f>WWWW[[#This Row],['#_Constructed/Existing hand washing stations]]-WWWW[[#This Row],['#_Non-Functional_hand_washing_stations]]</f>
        <v>3</v>
      </c>
      <c r="DX312" s="957">
        <f>IF(WWWW[[#This Row],['# Functional hand washing stations during reporting period]]*20&gt;WWWW[[#This Row],[Total HH]],WWWW[[#This Row],[Total HH]],WWWW[[#This Row],['# Functional hand washing stations during reporting period]]*20)</f>
        <v>25</v>
      </c>
      <c r="DY312" s="957">
        <f>IF(WWWW[[#This Row],[Is sufficient soap available for TLS? (Yes/No)]]="yes",WWWW[[#This Row],['#_Constructed/Existing hand washing stations at TLS/CFS/THF]],0)</f>
        <v>1</v>
      </c>
      <c r="DZ312" s="421">
        <f>IF(WWWW[[#This Row],['# Functional hand washing stations during reporting period]]*100&gt;WWWW[[#This Row],[Total PoP ]],WWWW[[#This Row],[Total PoP ]],WWWW[[#This Row],['# Functional hand washing stations during reporting period]]*100)</f>
        <v>127</v>
      </c>
      <c r="EA312" s="421" t="str">
        <f>IF(OR(WWWW[[#This Row],['#_students at TLS_CFS]]="",WWWW[[#This Row],['#_students at TLS_CFS]]=0),"No","Yes")</f>
        <v>No</v>
      </c>
      <c r="EB31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12" s="566">
        <f>WWWW[[#This Row],[%_of_affected_people_surveyed_who_report_feeling_satistfied_with_the_latrine_design_and_sanitation_service]]*WWWW[[#This Row],[Total PoP ]]</f>
        <v>0</v>
      </c>
      <c r="ED312" s="566">
        <f>WWWW[[#This Row],[%_of_affected_people_surveyed_who_report_feeling_satistfied_with_the_water_point_design_and_water_service]]*WWWW[[#This Row],[Total PoP ]]</f>
        <v>0</v>
      </c>
      <c r="EE312" s="566">
        <f>WWWW[[#This Row],[%_of_complaints_received_that_result_in_timely_corrective_action_and_feedback_to_the_community]]*WWWW[[#This Row],[Total PoP ]]</f>
        <v>0</v>
      </c>
      <c r="EF31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1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1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12" s="953">
        <f>VLOOKUP(WWWW[[#This Row],[Site Name]],SiteDB6[[Site Name]:[CCCM Management]],6,FALSE)</f>
        <v>0</v>
      </c>
      <c r="EJ312" s="953" t="str">
        <f>VLOOKUP(WWWW[[#This Row],[Site Name]],SiteDB6[[Site Name]:[CCCM Focal Agency]],7,FALSE)</f>
        <v>uncovered</v>
      </c>
      <c r="EK312" s="953" t="str">
        <f>VLOOKUP(WWWW[[#This Row],[Site Name]],SiteDB6[[Site Name]:[Location Type 1]],9,FALSE)</f>
        <v>Camp</v>
      </c>
      <c r="EL312" s="953" t="str">
        <f>VLOOKUP(WWWW[[#This Row],[Site Name]],SiteDB6[[Site Name]:[Type of Accommodation]],10,FALSE)</f>
        <v>Camp</v>
      </c>
      <c r="EM312" s="953" t="str">
        <f>VLOOKUP(WWWW[[#This Row],[Site Name]],SiteDB6[[Site Name]:[Ethnic or GCA/NGCA]],11,FALSE)</f>
        <v>GCA</v>
      </c>
      <c r="EN312" s="953">
        <f>VLOOKUP(WWWW[[#This Row],[Site Name]],SiteDB6[[Site Name]:[Lat]],12,FALSE)</f>
        <v>25.387892000000001</v>
      </c>
      <c r="EO312" s="953">
        <f>VLOOKUP(WWWW[[#This Row],[Site Name]],SiteDB6[[Site Name]:[Long]],13,FALSE)</f>
        <v>97.325181999999998</v>
      </c>
      <c r="EP312" s="953" t="str">
        <f>VLOOKUP(WWWW[[#This Row],[Site Name]],SiteDB6[[Site Name]:[Pcode]],3,FALSE)</f>
        <v>MMR001CMP276</v>
      </c>
      <c r="EQ312" s="958" t="str">
        <f t="shared" si="6"/>
        <v>Covered</v>
      </c>
      <c r="ER312" s="950" t="s">
        <v>3126</v>
      </c>
      <c r="ES312" s="972" t="s">
        <v>3288</v>
      </c>
      <c r="ET312" s="953">
        <f>VLOOKUP(WWWW[[#This Row],[Site Name]],SiteDB6[[Site Name]:[Pop
(Kachin/Shan-CCCM as of May 2023)]],16,FALSE)</f>
        <v>25</v>
      </c>
      <c r="EU312" s="953">
        <f>VLOOKUP(WWWW[[#This Row],[Site Name]],SiteDB6[[Site Name]:[Pop
(Kachin/Shan-CCCM as of May 2023)]],17,FALSE)</f>
        <v>127</v>
      </c>
    </row>
    <row r="313" spans="1:151">
      <c r="A313" s="946" t="s">
        <v>2962</v>
      </c>
      <c r="B313" s="938" t="s">
        <v>3347</v>
      </c>
      <c r="C313" s="1005" t="s">
        <v>3349</v>
      </c>
      <c r="D313" s="1005" t="s">
        <v>3093</v>
      </c>
      <c r="E313" s="1005" t="s">
        <v>37</v>
      </c>
      <c r="F313" s="1005" t="s">
        <v>159</v>
      </c>
      <c r="G313" s="902" t="str">
        <f>VLOOKUP(WWWW[[#This Row],[Site Name]],SiteDB6[[Site Name]:[Location Type]],8,FALSE)</f>
        <v>Camp</v>
      </c>
      <c r="H313" s="1005" t="s">
        <v>168</v>
      </c>
      <c r="I313" s="954">
        <v>26</v>
      </c>
      <c r="J313" s="954">
        <v>120</v>
      </c>
      <c r="K313" s="955">
        <v>44811</v>
      </c>
      <c r="L313" s="956">
        <v>45175</v>
      </c>
      <c r="M313" s="954"/>
      <c r="N313" s="954">
        <v>2</v>
      </c>
      <c r="O313" s="954"/>
      <c r="P313" s="954"/>
      <c r="Q313" s="957" t="s">
        <v>41</v>
      </c>
      <c r="R313" s="954">
        <v>2</v>
      </c>
      <c r="S313" s="954">
        <v>2</v>
      </c>
      <c r="T313" s="441">
        <v>1</v>
      </c>
      <c r="U313" s="954"/>
      <c r="V313" s="954"/>
      <c r="W313" s="976">
        <v>2</v>
      </c>
      <c r="X313" s="954"/>
      <c r="Y313" s="954">
        <v>1</v>
      </c>
      <c r="Z313" s="954"/>
      <c r="AA313" s="954"/>
      <c r="AB313" s="954"/>
      <c r="AC313" s="954"/>
      <c r="AD313" s="954"/>
      <c r="AE313" s="954"/>
      <c r="AF313" s="954"/>
      <c r="AG313" s="954"/>
      <c r="AH313" s="976">
        <v>3</v>
      </c>
      <c r="AI313" s="954"/>
      <c r="AJ313" s="954"/>
      <c r="AK313" s="954"/>
      <c r="AL313" s="954"/>
      <c r="AM313" s="954"/>
      <c r="AN313" s="954"/>
      <c r="AO313" s="441"/>
      <c r="AP313" s="958"/>
      <c r="AQ313" s="954">
        <v>15</v>
      </c>
      <c r="AR313" s="954"/>
      <c r="AS313" s="959"/>
      <c r="AT313" s="954">
        <v>3</v>
      </c>
      <c r="AU313" s="954"/>
      <c r="AV313" s="954"/>
      <c r="AW313" s="954"/>
      <c r="AX313" s="954">
        <v>12</v>
      </c>
      <c r="AY313" s="953" t="s">
        <v>41</v>
      </c>
      <c r="AZ313" s="958" t="s">
        <v>137</v>
      </c>
      <c r="BA313" s="954"/>
      <c r="BB313" s="954"/>
      <c r="BC313" s="954"/>
      <c r="BD313" s="441"/>
      <c r="BE313" s="441"/>
      <c r="BF313" s="953"/>
      <c r="BG313" s="954">
        <v>1</v>
      </c>
      <c r="BH313" s="954"/>
      <c r="BI313" s="954"/>
      <c r="BJ313" s="954">
        <v>2</v>
      </c>
      <c r="BK313" s="954"/>
      <c r="BL313" s="954"/>
      <c r="BM313" s="954">
        <v>2</v>
      </c>
      <c r="BN313" s="954"/>
      <c r="BO313" s="954"/>
      <c r="BP313" s="953"/>
      <c r="BQ313" s="960"/>
      <c r="BR313" s="959"/>
      <c r="BS313" s="953"/>
      <c r="BT313" s="416"/>
      <c r="BU313" s="416"/>
      <c r="BV313" s="418"/>
      <c r="BW313" s="416"/>
      <c r="BX313" s="441"/>
      <c r="BY313" s="441"/>
      <c r="BZ313" s="441"/>
      <c r="CA313" s="441"/>
      <c r="CB313" s="441"/>
      <c r="CC313" s="693"/>
      <c r="CD313" s="441"/>
      <c r="CE313" s="961" t="str">
        <f>IFERROR(WWWW[[#This Row],['#_Water sources passed]]/WWWW[[#This Row],['#_Water sources tested for fecal coliform ]],"no test")</f>
        <v>no test</v>
      </c>
      <c r="CF313" s="959" t="str">
        <f>IFERROR(WWWW[[#This Row],['#_Household passed]]/WWWW[[#This Row],['#_Household water samples tested for fecal coliform]],"no test")</f>
        <v>no test</v>
      </c>
      <c r="CG313" s="960" t="str">
        <f>IF(AND(WWWW[[#This Row],[% of water sources passed]]="no test",WWWW[[#This Row],[% Household passed]]="no test"),"No Test","Tested")</f>
        <v>No Test</v>
      </c>
      <c r="CH313" s="960">
        <f>WWWW[[#This Row],['#_Constructed/existing protected hand dug well]]-WWWW[[#This Row],['#_Non-functional protected hand dug well]]</f>
        <v>1</v>
      </c>
      <c r="CI313" s="960">
        <f>(WWWW[[#This Row],['#_Constructed/Existing tube wells/boreholes/handpumps_WASH_agency]]+WWWW[[#This Row],['#_Non-Cluster partner water tube-wells/boreholes/handpumps]])-WWWW[[#This Row],['#_Non-functional tube wells/boreholes/handpumps]]</f>
        <v>1</v>
      </c>
      <c r="CJ313" s="960">
        <f>WWWW[[#This Row],['#_Constructed/Existingwater storage tank with gravity fed reticulation system]]-WWWW[[#This Row],['#_Non-functional storage tank gravity fed reticulation system]]</f>
        <v>0</v>
      </c>
      <c r="CK313" s="960">
        <f>(WWWW[[#This Row],['#_Water_Liters_supplied_by_Water boating or water trucking]]/90)/15</f>
        <v>0</v>
      </c>
      <c r="CL313" s="960">
        <f>WWWW[[#This Row],['#_Water_Liters_from_Constructed/Existing water distribution system from river or natural spring]]/90/15</f>
        <v>0</v>
      </c>
      <c r="CM313" s="417">
        <f>IF(WWWW[[#This Row],['#_of water points in TLS/CFS]]*500&gt;WWWW[[#This Row],[Total PoP ]],WWWW[[#This Row],[Total PoP ]],WWWW[[#This Row],['#_of water points in TLS/CFS]]*500)</f>
        <v>0</v>
      </c>
      <c r="CN313" s="417">
        <f>IF(WWWW[[#This Row],['#_of water points in THF]]*500&gt;WWWW[[#This Row],[Total PoP ]],WWWW[[#This Row],[Total PoP ]],WWWW[[#This Row],['#_of water points in THF]]*500)</f>
        <v>0</v>
      </c>
      <c r="CO313" s="417"/>
      <c r="CP313"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13"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13" s="959">
        <f>IF(WWWW[[#This Row],[Location Type 1]]="Village",WWWW[[#This Row],[Access to safe drinking water for Village]],WWWW[[#This Row],[Access to safe drinking water for Camp]])</f>
        <v>1</v>
      </c>
      <c r="CS313" s="957">
        <f>WWWW[[#This Row],[%Equitable and continuous access to sufficient quantity of safe drinking water]]*WWWW[[#This Row],[Total PoP ]]</f>
        <v>120</v>
      </c>
      <c r="CT313" s="959">
        <f>IF((WWWW[[#This Row],['#_Constructed/Existing protected/fenced ponds]]*250)/WWWW[[#This Row],[Total PoP ]]&gt;1,1,(WWWW[[#This Row],['#_Constructed/Existing protected/fenced ponds]]*250)/WWWW[[#This Row],[Total PoP ]])</f>
        <v>0</v>
      </c>
      <c r="CU313" s="957">
        <f>WWWW[[#This Row],[% Access to unimproved water points]]*WWWW[[#This Row],[Total PoP ]]</f>
        <v>0</v>
      </c>
      <c r="CV313"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13"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120</v>
      </c>
      <c r="CX313" s="957">
        <f>WWWW[[#This Row],[HRP1]]/500</f>
        <v>0.24</v>
      </c>
      <c r="CY313" s="962">
        <f>1-WWWW[[#This Row],[% Equitable and continuous access to sufficient quantity of domestic water]]</f>
        <v>0</v>
      </c>
      <c r="CZ313" s="957">
        <f>WWWW[[#This Row],[%equitable and continuous access to sufficient quantity of safe drinking and domestic water''s GAP]]*WWWW[[#This Row],[Total PoP ]]</f>
        <v>0</v>
      </c>
      <c r="DA313" s="960">
        <f>IF(WWWW[[#This Row],[Total required water points]]-WWWW[[#This Row],['#Water points coverage]]&lt;0,0,WWWW[[#This Row],[Total required water points]]-WWWW[[#This Row],['#Water points coverage]])</f>
        <v>0.76</v>
      </c>
      <c r="DB313" s="960">
        <f>ROUND(IF(WWWW[[#This Row],[Total PoP ]]&lt;500,1,WWWW[[#This Row],[Total PoP ]]/500),0)</f>
        <v>1</v>
      </c>
      <c r="DC313" s="960">
        <f>(WWWW[[#This Row],['#_Constructed latrines_by_WASHAgencies]]+WWWW[[#This Row],['#_Non Cluster partner latrines]])-WWWW[[#This Row],['#_Non-functional latrines]]</f>
        <v>12</v>
      </c>
      <c r="DD313" s="615">
        <f>WWWW[[#This Row],[HRP2]]/WWWW[[#This Row],[Total PoP ]]</f>
        <v>1</v>
      </c>
      <c r="DE313"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120</v>
      </c>
      <c r="DF313"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13"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13" s="417">
        <f>IF(WWWW[[#This Row],['# of functional latrines in THF supported by WASH partners during the reporting period2]]="",0,WWWW[[#This Row],['# of functional latrines in THF supported by WASH partners during the reporting period2]]*50)</f>
        <v>0</v>
      </c>
      <c r="DI313" s="960">
        <f>ROUND(IF(WWWW[[#This Row],[Location Type 1]]="camp",WWWW[[#This Row],[Total PoP ]]/20,IF(WWWW[[#This Row],[Location Type 1]]="Temporary Location",WWWW[[#This Row],[Total PoP ]]/50,(WWWW[[#This Row],[Total PoP ]]/6))),0)</f>
        <v>6</v>
      </c>
      <c r="DJ313" s="960">
        <f>IF(WWWW[[#This Row],[Total required Latrines]]-(WWWW[[#This Row],['#_Constructed latrines_by_WASHAgencies]]+WWWW[[#This Row],['#_Non Cluster partner latrines]])&lt;0,0,WWWW[[#This Row],[Total required Latrines]]-(WWWW[[#This Row],['#_Constructed latrines_by_WASHAgencies]]+WWWW[[#This Row],['#_Non Cluster partner latrines]]))</f>
        <v>0</v>
      </c>
      <c r="DK313" s="962">
        <f>1-WWWW[[#This Row],[% people access to functioning Latrine]]</f>
        <v>0</v>
      </c>
      <c r="DL313" s="961">
        <f>IF(OR(WWWW[[#This Row],['#_Non-functional latrines]]="",WWWW[[#This Row],['#_Non-functional latrines]]=0),0,WWWW[[#This Row],['#_Non-functional latrines]]/(WWWW[[#This Row],['#_Constructed latrines_by_WASHAgencies]]+WWWW[[#This Row],['#_Non Cluster partner latrines]]))</f>
        <v>0.2</v>
      </c>
      <c r="DM313" s="957">
        <f>IF(500*(WWWW[[#This Row],['#_male hygiene promoters]]+WWWW[[#This Row],['#_female hygiene promoters]])&gt;WWWW[[#This Row],[Total PoP ]],WWWW[[#This Row],[Total PoP ]],500*(WWWW[[#This Row],['#_male hygiene promoters]]+WWWW[[#This Row],['#_female hygiene promoters]]))</f>
        <v>120</v>
      </c>
      <c r="DN313"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13"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13" s="960">
        <f>IF(WWWW[[#This Row],['# People with access to soap]]&gt;WWWW[[#This Row],['# People with access to Sanity Pads]],WWWW[[#This Row],['# People with access to soap]],WWWW[[#This Row],['# People with access to Sanity Pads]])</f>
        <v>0</v>
      </c>
      <c r="DQ313" s="960">
        <f>IF(WWWW[[#This Row],['# people reached by regular dedicated hygiene promotion_5]]&gt;WWWW[[#This Row],['# People received regular supply of hygiene items_6]],WWWW[[#This Row],['# people reached by regular dedicated hygiene promotion_5]],WWWW[[#This Row],['# People received regular supply of hygiene items_6]])</f>
        <v>120</v>
      </c>
      <c r="DR313" s="962">
        <f>IF(WWWW[[#This Row],[HRP3]]/WWWW[[#This Row],[Total PoP ]]&gt;1,1,WWWW[[#This Row],[HRP3]]/WWWW[[#This Row],[Total PoP ]])</f>
        <v>1</v>
      </c>
      <c r="DS313" s="961">
        <f>1-WWWW[[#This Row],[Hygiene Coverage%]]</f>
        <v>0</v>
      </c>
      <c r="DT313" s="959">
        <f>WWWW[[#This Row],['# people reached by regular dedicated hygiene promotion_5]]/WWWW[[#This Row],[Total PoP ]]</f>
        <v>1</v>
      </c>
      <c r="DU313"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13"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13" s="960">
        <f>WWWW[[#This Row],['#_Constructed/Existing hand washing stations]]-WWWW[[#This Row],['#_Non-Functional_hand_washing_stations]]</f>
        <v>1</v>
      </c>
      <c r="DX313" s="957">
        <f>IF(WWWW[[#This Row],['# Functional hand washing stations during reporting period]]*20&gt;WWWW[[#This Row],[Total HH]],WWWW[[#This Row],[Total HH]],WWWW[[#This Row],['# Functional hand washing stations during reporting period]]*20)</f>
        <v>20</v>
      </c>
      <c r="DY313" s="957">
        <f>IF(WWWW[[#This Row],[Is sufficient soap available for TLS? (Yes/No)]]="yes",WWWW[[#This Row],['#_Constructed/Existing hand washing stations at TLS/CFS/THF]],0)</f>
        <v>0</v>
      </c>
      <c r="DZ313" s="421">
        <f>IF(WWWW[[#This Row],['# Functional hand washing stations during reporting period]]*100&gt;WWWW[[#This Row],[Total PoP ]],WWWW[[#This Row],[Total PoP ]],WWWW[[#This Row],['# Functional hand washing stations during reporting period]]*100)</f>
        <v>100</v>
      </c>
      <c r="EA313" s="421" t="str">
        <f>IF(OR(WWWW[[#This Row],['#_students at TLS_CFS]]="",WWWW[[#This Row],['#_students at TLS_CFS]]=0),"No","Yes")</f>
        <v>No</v>
      </c>
      <c r="EB31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13" s="566">
        <f>WWWW[[#This Row],[%_of_affected_people_surveyed_who_report_feeling_satistfied_with_the_latrine_design_and_sanitation_service]]*WWWW[[#This Row],[Total PoP ]]</f>
        <v>0</v>
      </c>
      <c r="ED313" s="566">
        <f>WWWW[[#This Row],[%_of_affected_people_surveyed_who_report_feeling_satistfied_with_the_water_point_design_and_water_service]]*WWWW[[#This Row],[Total PoP ]]</f>
        <v>0</v>
      </c>
      <c r="EE313" s="566">
        <f>WWWW[[#This Row],[%_of_complaints_received_that_result_in_timely_corrective_action_and_feedback_to_the_community]]*WWWW[[#This Row],[Total PoP ]]</f>
        <v>0</v>
      </c>
      <c r="EF31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1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1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13" s="953" t="str">
        <f>VLOOKUP(WWWW[[#This Row],[Site Name]],SiteDB6[[Site Name]:[CCCM Management]],6,FALSE)</f>
        <v>Yes</v>
      </c>
      <c r="EJ313" s="953" t="str">
        <f>VLOOKUP(WWWW[[#This Row],[Site Name]],SiteDB6[[Site Name]:[CCCM Focal Agency]],7,FALSE)</f>
        <v>KBC-MYT</v>
      </c>
      <c r="EK313" s="953" t="str">
        <f>VLOOKUP(WWWW[[#This Row],[Site Name]],SiteDB6[[Site Name]:[Location Type 1]],9,FALSE)</f>
        <v>Camp</v>
      </c>
      <c r="EL313" s="953" t="str">
        <f>VLOOKUP(WWWW[[#This Row],[Site Name]],SiteDB6[[Site Name]:[Type of Accommodation]],10,FALSE)</f>
        <v>Camp</v>
      </c>
      <c r="EM313" s="953" t="str">
        <f>VLOOKUP(WWWW[[#This Row],[Site Name]],SiteDB6[[Site Name]:[Ethnic or GCA/NGCA]],11,FALSE)</f>
        <v>GCA</v>
      </c>
      <c r="EN313" s="953">
        <f>VLOOKUP(WWWW[[#This Row],[Site Name]],SiteDB6[[Site Name]:[Lat]],12,FALSE)</f>
        <v>25.412313000000001</v>
      </c>
      <c r="EO313" s="953">
        <f>VLOOKUP(WWWW[[#This Row],[Site Name]],SiteDB6[[Site Name]:[Long]],13,FALSE)</f>
        <v>97.399628000000007</v>
      </c>
      <c r="EP313" s="953" t="str">
        <f>VLOOKUP(WWWW[[#This Row],[Site Name]],SiteDB6[[Site Name]:[Pcode]],3,FALSE)</f>
        <v>MMR001CMP006</v>
      </c>
      <c r="EQ313" s="958" t="str">
        <f t="shared" si="6"/>
        <v>Covered</v>
      </c>
      <c r="ER313" s="950" t="s">
        <v>3126</v>
      </c>
      <c r="ES313" s="950" t="s">
        <v>3267</v>
      </c>
      <c r="ET313" s="953">
        <f>VLOOKUP(WWWW[[#This Row],[Site Name]],SiteDB6[[Site Name]:[Pop
(Kachin/Shan-CCCM as of May 2023)]],16,FALSE)</f>
        <v>111</v>
      </c>
      <c r="EU313" s="953">
        <f>VLOOKUP(WWWW[[#This Row],[Site Name]],SiteDB6[[Site Name]:[Pop
(Kachin/Shan-CCCM as of May 2023)]],17,FALSE)</f>
        <v>569</v>
      </c>
    </row>
    <row r="314" spans="1:151">
      <c r="A314" s="946" t="s">
        <v>2962</v>
      </c>
      <c r="B314" s="946" t="s">
        <v>242</v>
      </c>
      <c r="C314" s="938" t="s">
        <v>242</v>
      </c>
      <c r="D314" s="938" t="s">
        <v>3184</v>
      </c>
      <c r="E314" s="938" t="s">
        <v>37</v>
      </c>
      <c r="F314" s="938" t="s">
        <v>159</v>
      </c>
      <c r="G314" s="902" t="str">
        <f>VLOOKUP(WWWW[[#This Row],[Site Name]],SiteDB6[[Site Name]:[Location Type]],8,FALSE)</f>
        <v>Camp</v>
      </c>
      <c r="H314" s="938" t="s">
        <v>265</v>
      </c>
      <c r="I314" s="441">
        <v>21</v>
      </c>
      <c r="J314" s="441">
        <v>101</v>
      </c>
      <c r="K314" s="948">
        <v>44927</v>
      </c>
      <c r="L314" s="949">
        <v>45382</v>
      </c>
      <c r="M314" s="441"/>
      <c r="N314" s="441"/>
      <c r="O314" s="441">
        <v>1</v>
      </c>
      <c r="P314" s="441"/>
      <c r="Q314" s="421" t="s">
        <v>41</v>
      </c>
      <c r="R314" s="441">
        <v>1</v>
      </c>
      <c r="S314" s="441">
        <v>4</v>
      </c>
      <c r="T314" s="441">
        <v>1</v>
      </c>
      <c r="U314" s="441"/>
      <c r="V314" s="441"/>
      <c r="W314" s="441"/>
      <c r="X314" s="441"/>
      <c r="Y314" s="441"/>
      <c r="Z314" s="441"/>
      <c r="AA314" s="441"/>
      <c r="AB314" s="441"/>
      <c r="AC314" s="441"/>
      <c r="AD314" s="441"/>
      <c r="AE314" s="441"/>
      <c r="AF314" s="441"/>
      <c r="AG314" s="441">
        <v>2</v>
      </c>
      <c r="AH314" s="441"/>
      <c r="AI314" s="441"/>
      <c r="AJ314" s="441"/>
      <c r="AK314" s="441"/>
      <c r="AL314" s="441"/>
      <c r="AM314" s="441">
        <v>1</v>
      </c>
      <c r="AN314" s="441">
        <v>1</v>
      </c>
      <c r="AO314" s="441">
        <v>1</v>
      </c>
      <c r="AP314" s="950"/>
      <c r="AQ314" s="441">
        <v>5</v>
      </c>
      <c r="AR314" s="441"/>
      <c r="AS314" s="416" t="s">
        <v>3191</v>
      </c>
      <c r="AT314" s="441"/>
      <c r="AU314" s="441"/>
      <c r="AV314" s="441"/>
      <c r="AW314" s="441"/>
      <c r="AX314" s="441"/>
      <c r="AY314" s="418" t="s">
        <v>41</v>
      </c>
      <c r="AZ314" s="950" t="s">
        <v>137</v>
      </c>
      <c r="BA314" s="441"/>
      <c r="BB314" s="441"/>
      <c r="BC314" s="441"/>
      <c r="BD314" s="441"/>
      <c r="BE314" s="441"/>
      <c r="BF314" s="418"/>
      <c r="BG314" s="441">
        <v>5</v>
      </c>
      <c r="BH314" s="441">
        <v>2</v>
      </c>
      <c r="BI314" s="441"/>
      <c r="BJ314" s="441">
        <v>3</v>
      </c>
      <c r="BK314" s="441"/>
      <c r="BL314" s="441"/>
      <c r="BM314" s="441">
        <v>1</v>
      </c>
      <c r="BN314" s="441">
        <v>26</v>
      </c>
      <c r="BO314" s="441"/>
      <c r="BP314" s="418" t="s">
        <v>41</v>
      </c>
      <c r="BQ314" s="417">
        <v>1</v>
      </c>
      <c r="BR314" s="416">
        <v>0.08</v>
      </c>
      <c r="BS314" s="418" t="s">
        <v>3192</v>
      </c>
      <c r="BT314" s="416">
        <v>1</v>
      </c>
      <c r="BU314" s="416">
        <v>1</v>
      </c>
      <c r="BV314" s="418"/>
      <c r="BW314" s="416">
        <v>1</v>
      </c>
      <c r="BX314" s="441"/>
      <c r="BY314" s="441"/>
      <c r="BZ314" s="441"/>
      <c r="CA314" s="441"/>
      <c r="CB314" s="441"/>
      <c r="CC314" s="693"/>
      <c r="CD314" s="441"/>
      <c r="CE314" s="615" t="str">
        <f>IFERROR(WWWW[[#This Row],['#_Water sources passed]]/WWWW[[#This Row],['#_Water sources tested for fecal coliform ]],"no test")</f>
        <v>no test</v>
      </c>
      <c r="CF314" s="416" t="str">
        <f>IFERROR(WWWW[[#This Row],['#_Household passed]]/WWWW[[#This Row],['#_Household water samples tested for fecal coliform]],"no test")</f>
        <v>no test</v>
      </c>
      <c r="CG314" s="417" t="str">
        <f>IF(AND(WWWW[[#This Row],[% of water sources passed]]="no test",WWWW[[#This Row],[% Household passed]]="no test"),"No Test","Tested")</f>
        <v>No Test</v>
      </c>
      <c r="CH314" s="417">
        <f>WWWW[[#This Row],['#_Constructed/existing protected hand dug well]]-WWWW[[#This Row],['#_Non-functional protected hand dug well]]</f>
        <v>1</v>
      </c>
      <c r="CI314" s="417">
        <f>(WWWW[[#This Row],['#_Constructed/Existing tube wells/boreholes/handpumps_WASH_agency]]+WWWW[[#This Row],['#_Non-Cluster partner water tube-wells/boreholes/handpumps]])-WWWW[[#This Row],['#_Non-functional tube wells/boreholes/handpumps]]</f>
        <v>0</v>
      </c>
      <c r="CJ314" s="417">
        <f>WWWW[[#This Row],['#_Constructed/Existingwater storage tank with gravity fed reticulation system]]-WWWW[[#This Row],['#_Non-functional storage tank gravity fed reticulation system]]</f>
        <v>0</v>
      </c>
      <c r="CK314" s="417">
        <f>(WWWW[[#This Row],['#_Water_Liters_supplied_by_Water boating or water trucking]]/90)/15</f>
        <v>0</v>
      </c>
      <c r="CL314" s="417">
        <f>WWWW[[#This Row],['#_Water_Liters_from_Constructed/Existing water distribution system from river or natural spring]]/90/15</f>
        <v>0</v>
      </c>
      <c r="CM314" s="417">
        <f>IF(WWWW[[#This Row],['#_of water points in TLS/CFS]]*500&gt;WWWW[[#This Row],[Total PoP ]],WWWW[[#This Row],[Total PoP ]],WWWW[[#This Row],['#_of water points in TLS/CFS]]*500)</f>
        <v>101</v>
      </c>
      <c r="CN314" s="417">
        <f>IF(WWWW[[#This Row],['#_of water points in THF]]*500&gt;WWWW[[#This Row],[Total PoP ]],WWWW[[#This Row],[Total PoP ]],WWWW[[#This Row],['#_of water points in THF]]*500)</f>
        <v>101</v>
      </c>
      <c r="CO314" s="417"/>
      <c r="CP314"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14"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14" s="416">
        <f>IF(WWWW[[#This Row],[Location Type 1]]="Village",WWWW[[#This Row],[Access to safe drinking water for Village]],WWWW[[#This Row],[Access to safe drinking water for Camp]])</f>
        <v>1</v>
      </c>
      <c r="CS314" s="421">
        <f>WWWW[[#This Row],[%Equitable and continuous access to sufficient quantity of safe drinking water]]*WWWW[[#This Row],[Total PoP ]]</f>
        <v>101</v>
      </c>
      <c r="CT314" s="416">
        <f>IF((WWWW[[#This Row],['#_Constructed/Existing protected/fenced ponds]]*250)/WWWW[[#This Row],[Total PoP ]]&gt;1,1,(WWWW[[#This Row],['#_Constructed/Existing protected/fenced ponds]]*250)/WWWW[[#This Row],[Total PoP ]])</f>
        <v>0</v>
      </c>
      <c r="CU314" s="421">
        <f>WWWW[[#This Row],[% Access to unimproved water points]]*WWWW[[#This Row],[Total PoP ]]</f>
        <v>0</v>
      </c>
      <c r="CV314"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14"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101</v>
      </c>
      <c r="CX314" s="421">
        <f>WWWW[[#This Row],[HRP1]]/500</f>
        <v>0.20200000000000001</v>
      </c>
      <c r="CY314" s="951">
        <f>1-WWWW[[#This Row],[% Equitable and continuous access to sufficient quantity of domestic water]]</f>
        <v>0</v>
      </c>
      <c r="CZ314" s="421">
        <f>WWWW[[#This Row],[%equitable and continuous access to sufficient quantity of safe drinking and domestic water''s GAP]]*WWWW[[#This Row],[Total PoP ]]</f>
        <v>0</v>
      </c>
      <c r="DA314" s="417">
        <f>IF(WWWW[[#This Row],[Total required water points]]-WWWW[[#This Row],['#Water points coverage]]&lt;0,0,WWWW[[#This Row],[Total required water points]]-WWWW[[#This Row],['#Water points coverage]])</f>
        <v>0.79800000000000004</v>
      </c>
      <c r="DB314" s="417">
        <f>ROUND(IF(WWWW[[#This Row],[Total PoP ]]&lt;500,1,WWWW[[#This Row],[Total PoP ]]/500),0)</f>
        <v>1</v>
      </c>
      <c r="DC314" s="417">
        <f>(WWWW[[#This Row],['#_Constructed latrines_by_WASHAgencies]]+WWWW[[#This Row],['#_Non Cluster partner latrines]])-WWWW[[#This Row],['#_Non-functional latrines]]</f>
        <v>5</v>
      </c>
      <c r="DD314" s="615">
        <f>WWWW[[#This Row],[HRP2]]/WWWW[[#This Row],[Total PoP ]]</f>
        <v>0.99009900990099009</v>
      </c>
      <c r="DE314"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314"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14"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14" s="417">
        <f>IF(WWWW[[#This Row],['# of functional latrines in THF supported by WASH partners during the reporting period2]]="",0,WWWW[[#This Row],['# of functional latrines in THF supported by WASH partners during the reporting period2]]*50)</f>
        <v>0</v>
      </c>
      <c r="DI314" s="417">
        <f>ROUND(IF(WWWW[[#This Row],[Location Type 1]]="camp",WWWW[[#This Row],[Total PoP ]]/20,IF(WWWW[[#This Row],[Location Type 1]]="Temporary Location",WWWW[[#This Row],[Total PoP ]]/50,(WWWW[[#This Row],[Total PoP ]]/6))),0)</f>
        <v>5</v>
      </c>
      <c r="DJ314" s="417">
        <f>IF(WWWW[[#This Row],[Total required Latrines]]-(WWWW[[#This Row],['#_Constructed latrines_by_WASHAgencies]]+WWWW[[#This Row],['#_Non Cluster partner latrines]])&lt;0,0,WWWW[[#This Row],[Total required Latrines]]-(WWWW[[#This Row],['#_Constructed latrines_by_WASHAgencies]]+WWWW[[#This Row],['#_Non Cluster partner latrines]]))</f>
        <v>0</v>
      </c>
      <c r="DK314" s="951">
        <f>1-WWWW[[#This Row],[% people access to functioning Latrine]]</f>
        <v>9.9009900990099098E-3</v>
      </c>
      <c r="DL314" s="615">
        <f>IF(OR(WWWW[[#This Row],['#_Non-functional latrines]]="",WWWW[[#This Row],['#_Non-functional latrines]]=0),0,WWWW[[#This Row],['#_Non-functional latrines]]/(WWWW[[#This Row],['#_Constructed latrines_by_WASHAgencies]]+WWWW[[#This Row],['#_Non Cluster partner latrines]]))</f>
        <v>0</v>
      </c>
      <c r="DM314" s="421">
        <f>IF(500*(WWWW[[#This Row],['#_male hygiene promoters]]+WWWW[[#This Row],['#_female hygiene promoters]])&gt;WWWW[[#This Row],[Total PoP ]],WWWW[[#This Row],[Total PoP ]],500*(WWWW[[#This Row],['#_male hygiene promoters]]+WWWW[[#This Row],['#_female hygiene promoters]]))</f>
        <v>101</v>
      </c>
      <c r="DN314"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101</v>
      </c>
      <c r="DO314"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14" s="417">
        <f>IF(WWWW[[#This Row],['# People with access to soap]]&gt;WWWW[[#This Row],['# People with access to Sanity Pads]],WWWW[[#This Row],['# People with access to soap]],WWWW[[#This Row],['# People with access to Sanity Pads]])</f>
        <v>101</v>
      </c>
      <c r="DQ314" s="417">
        <f>IF(WWWW[[#This Row],['# people reached by regular dedicated hygiene promotion_5]]&gt;WWWW[[#This Row],['# People received regular supply of hygiene items_6]],WWWW[[#This Row],['# people reached by regular dedicated hygiene promotion_5]],WWWW[[#This Row],['# People received regular supply of hygiene items_6]])</f>
        <v>101</v>
      </c>
      <c r="DR314" s="951">
        <f>IF(WWWW[[#This Row],[HRP3]]/WWWW[[#This Row],[Total PoP ]]&gt;1,1,WWWW[[#This Row],[HRP3]]/WWWW[[#This Row],[Total PoP ]])</f>
        <v>1</v>
      </c>
      <c r="DS314" s="615">
        <f>1-WWWW[[#This Row],[Hygiene Coverage%]]</f>
        <v>0</v>
      </c>
      <c r="DT314" s="416">
        <f>WWWW[[#This Row],['# people reached by regular dedicated hygiene promotion_5]]/WWWW[[#This Row],[Total PoP ]]</f>
        <v>1</v>
      </c>
      <c r="DU314"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314"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14" s="417">
        <f>WWWW[[#This Row],['#_Constructed/Existing hand washing stations]]-WWWW[[#This Row],['#_Non-Functional_hand_washing_stations]]</f>
        <v>3</v>
      </c>
      <c r="DX314" s="421">
        <f>IF(WWWW[[#This Row],['# Functional hand washing stations during reporting period]]*20&gt;WWWW[[#This Row],[Total HH]],WWWW[[#This Row],[Total HH]],WWWW[[#This Row],['# Functional hand washing stations during reporting period]]*20)</f>
        <v>21</v>
      </c>
      <c r="DY314" s="421">
        <f>IF(WWWW[[#This Row],[Is sufficient soap available for TLS? (Yes/No)]]="yes",WWWW[[#This Row],['#_Constructed/Existing hand washing stations at TLS/CFS/THF]],0)</f>
        <v>1</v>
      </c>
      <c r="DZ314" s="421">
        <f>IF(WWWW[[#This Row],['# Functional hand washing stations during reporting period]]*100&gt;WWWW[[#This Row],[Total PoP ]],WWWW[[#This Row],[Total PoP ]],WWWW[[#This Row],['# Functional hand washing stations during reporting period]]*100)</f>
        <v>101</v>
      </c>
      <c r="EA314" s="421" t="str">
        <f>IF(OR(WWWW[[#This Row],['#_students at TLS_CFS]]="",WWWW[[#This Row],['#_students at TLS_CFS]]=0),"No","Yes")</f>
        <v>No</v>
      </c>
      <c r="EB31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14" s="566">
        <f>WWWW[[#This Row],[%_of_affected_people_surveyed_who_report_feeling_satistfied_with_the_latrine_design_and_sanitation_service]]*WWWW[[#This Row],[Total PoP ]]</f>
        <v>101</v>
      </c>
      <c r="ED314" s="566">
        <f>WWWW[[#This Row],[%_of_affected_people_surveyed_who_report_feeling_satistfied_with_the_water_point_design_and_water_service]]*WWWW[[#This Row],[Total PoP ]]</f>
        <v>101</v>
      </c>
      <c r="EE314" s="566">
        <f>WWWW[[#This Row],[%_of_complaints_received_that_result_in_timely_corrective_action_and_feedback_to_the_community]]*WWWW[[#This Row],[Total PoP ]]</f>
        <v>101</v>
      </c>
      <c r="EF31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101</v>
      </c>
      <c r="EG31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101</v>
      </c>
      <c r="EH31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101</v>
      </c>
      <c r="EI314" s="418" t="str">
        <f>VLOOKUP(WWWW[[#This Row],[Site Name]],SiteDB6[[Site Name]:[CCCM Management]],6,FALSE)</f>
        <v>Yes</v>
      </c>
      <c r="EJ314" s="418" t="str">
        <f>VLOOKUP(WWWW[[#This Row],[Site Name]],SiteDB6[[Site Name]:[CCCM Focal Agency]],7,FALSE)</f>
        <v>Shalom</v>
      </c>
      <c r="EK314" s="418" t="str">
        <f>VLOOKUP(WWWW[[#This Row],[Site Name]],SiteDB6[[Site Name]:[Location Type 1]],9,FALSE)</f>
        <v>Camp</v>
      </c>
      <c r="EL314" s="418" t="str">
        <f>VLOOKUP(WWWW[[#This Row],[Site Name]],SiteDB6[[Site Name]:[Type of Accommodation]],10,FALSE)</f>
        <v>Camp</v>
      </c>
      <c r="EM314" s="418" t="str">
        <f>VLOOKUP(WWWW[[#This Row],[Site Name]],SiteDB6[[Site Name]:[Ethnic or GCA/NGCA]],11,FALSE)</f>
        <v>GCA</v>
      </c>
      <c r="EN314" s="418">
        <f>VLOOKUP(WWWW[[#This Row],[Site Name]],SiteDB6[[Site Name]:[Lat]],12,FALSE)</f>
        <v>25.423817</v>
      </c>
      <c r="EO314" s="418">
        <f>VLOOKUP(WWWW[[#This Row],[Site Name]],SiteDB6[[Site Name]:[Long]],13,FALSE)</f>
        <v>97.418004999999994</v>
      </c>
      <c r="EP314" s="418" t="str">
        <f>VLOOKUP(WWWW[[#This Row],[Site Name]],SiteDB6[[Site Name]:[Pcode]],3,FALSE)</f>
        <v>MMR001CMP007</v>
      </c>
      <c r="EQ314" s="950" t="str">
        <f t="shared" si="6"/>
        <v>Covered</v>
      </c>
      <c r="ER314" s="950" t="s">
        <v>136</v>
      </c>
      <c r="ES314" s="950" t="s">
        <v>3263</v>
      </c>
      <c r="ET314" s="418">
        <f>VLOOKUP(WWWW[[#This Row],[Site Name]],SiteDB6[[Site Name]:[Pop
(Kachin/Shan-CCCM as of May 2023)]],16,FALSE)</f>
        <v>26</v>
      </c>
      <c r="EU314" s="418">
        <f>VLOOKUP(WWWW[[#This Row],[Site Name]],SiteDB6[[Site Name]:[Pop
(Kachin/Shan-CCCM as of May 2023)]],17,FALSE)</f>
        <v>124</v>
      </c>
    </row>
    <row r="315" spans="1:151">
      <c r="A315" s="946" t="s">
        <v>2962</v>
      </c>
      <c r="B315" s="938" t="s">
        <v>3347</v>
      </c>
      <c r="C315" s="938" t="s">
        <v>3347</v>
      </c>
      <c r="D315" s="938" t="s">
        <v>3097</v>
      </c>
      <c r="E315" s="938" t="s">
        <v>37</v>
      </c>
      <c r="F315" s="938" t="s">
        <v>159</v>
      </c>
      <c r="G315" s="902" t="str">
        <f>VLOOKUP(WWWW[[#This Row],[Site Name]],SiteDB6[[Site Name]:[Location Type]],8,FALSE)</f>
        <v>Camp</v>
      </c>
      <c r="H315" s="938" t="s">
        <v>169</v>
      </c>
      <c r="I315" s="976">
        <v>72</v>
      </c>
      <c r="J315" s="976">
        <v>432</v>
      </c>
      <c r="K315" s="948">
        <v>44811</v>
      </c>
      <c r="L315" s="949">
        <v>45175</v>
      </c>
      <c r="M315" s="441"/>
      <c r="N315" s="441">
        <v>2</v>
      </c>
      <c r="O315" s="441"/>
      <c r="P315" s="441"/>
      <c r="Q315" s="421" t="s">
        <v>41</v>
      </c>
      <c r="R315" s="441">
        <v>2</v>
      </c>
      <c r="S315" s="441">
        <v>2</v>
      </c>
      <c r="T315" s="441">
        <v>1</v>
      </c>
      <c r="U315" s="441"/>
      <c r="V315" s="441"/>
      <c r="W315" s="976">
        <v>1</v>
      </c>
      <c r="X315" s="441"/>
      <c r="Y315" s="441"/>
      <c r="Z315" s="441"/>
      <c r="AA315" s="441"/>
      <c r="AB315" s="441"/>
      <c r="AC315" s="441"/>
      <c r="AD315" s="441"/>
      <c r="AE315" s="441"/>
      <c r="AF315" s="441"/>
      <c r="AG315" s="441"/>
      <c r="AH315" s="441">
        <v>2</v>
      </c>
      <c r="AI315" s="441"/>
      <c r="AJ315" s="441"/>
      <c r="AK315" s="441"/>
      <c r="AL315" s="441"/>
      <c r="AM315" s="441"/>
      <c r="AN315" s="441"/>
      <c r="AO315" s="441"/>
      <c r="AP315" s="950"/>
      <c r="AQ315" s="976">
        <v>10</v>
      </c>
      <c r="AR315" s="973"/>
      <c r="AS315" s="416"/>
      <c r="AT315" s="441"/>
      <c r="AU315" s="441"/>
      <c r="AV315" s="441"/>
      <c r="AW315" s="441"/>
      <c r="AX315" s="976">
        <v>10</v>
      </c>
      <c r="AY315" s="418" t="s">
        <v>41</v>
      </c>
      <c r="AZ315" s="950" t="s">
        <v>137</v>
      </c>
      <c r="BA315" s="441"/>
      <c r="BB315" s="441"/>
      <c r="BC315" s="441"/>
      <c r="BD315" s="441"/>
      <c r="BE315" s="441"/>
      <c r="BF315" s="418"/>
      <c r="BG315" s="441">
        <v>3</v>
      </c>
      <c r="BH315" s="441"/>
      <c r="BI315" s="441"/>
      <c r="BJ315" s="441">
        <v>2</v>
      </c>
      <c r="BK315" s="441"/>
      <c r="BL315" s="441"/>
      <c r="BM315" s="976">
        <v>2</v>
      </c>
      <c r="BN315" s="441"/>
      <c r="BO315" s="441"/>
      <c r="BP315" s="418"/>
      <c r="BQ315" s="417"/>
      <c r="BR315" s="416"/>
      <c r="BS315" s="418"/>
      <c r="BT315" s="416"/>
      <c r="BU315" s="416"/>
      <c r="BV315" s="418"/>
      <c r="BW315" s="416"/>
      <c r="BX315" s="441"/>
      <c r="BY315" s="441"/>
      <c r="BZ315" s="441"/>
      <c r="CA315" s="441"/>
      <c r="CB315" s="441"/>
      <c r="CC315" s="693"/>
      <c r="CD315" s="441"/>
      <c r="CE315" s="615" t="str">
        <f>IFERROR(WWWW[[#This Row],['#_Water sources passed]]/WWWW[[#This Row],['#_Water sources tested for fecal coliform ]],"no test")</f>
        <v>no test</v>
      </c>
      <c r="CF315" s="416" t="str">
        <f>IFERROR(WWWW[[#This Row],['#_Household passed]]/WWWW[[#This Row],['#_Household water samples tested for fecal coliform]],"no test")</f>
        <v>no test</v>
      </c>
      <c r="CG315" s="417" t="str">
        <f>IF(AND(WWWW[[#This Row],[% of water sources passed]]="no test",WWWW[[#This Row],[% Household passed]]="no test"),"No Test","Tested")</f>
        <v>No Test</v>
      </c>
      <c r="CH315" s="417">
        <f>WWWW[[#This Row],['#_Constructed/existing protected hand dug well]]-WWWW[[#This Row],['#_Non-functional protected hand dug well]]</f>
        <v>1</v>
      </c>
      <c r="CI315" s="417">
        <f>(WWWW[[#This Row],['#_Constructed/Existing tube wells/boreholes/handpumps_WASH_agency]]+WWWW[[#This Row],['#_Non-Cluster partner water tube-wells/boreholes/handpumps]])-WWWW[[#This Row],['#_Non-functional tube wells/boreholes/handpumps]]</f>
        <v>1</v>
      </c>
      <c r="CJ315" s="417">
        <f>WWWW[[#This Row],['#_Constructed/Existingwater storage tank with gravity fed reticulation system]]-WWWW[[#This Row],['#_Non-functional storage tank gravity fed reticulation system]]</f>
        <v>0</v>
      </c>
      <c r="CK315" s="417">
        <f>(WWWW[[#This Row],['#_Water_Liters_supplied_by_Water boating or water trucking]]/90)/15</f>
        <v>0</v>
      </c>
      <c r="CL315" s="417">
        <f>WWWW[[#This Row],['#_Water_Liters_from_Constructed/Existing water distribution system from river or natural spring]]/90/15</f>
        <v>0</v>
      </c>
      <c r="CM315" s="417">
        <f>IF(WWWW[[#This Row],['#_of water points in TLS/CFS]]*500&gt;WWWW[[#This Row],[Total PoP ]],WWWW[[#This Row],[Total PoP ]],WWWW[[#This Row],['#_of water points in TLS/CFS]]*500)</f>
        <v>0</v>
      </c>
      <c r="CN315" s="417">
        <f>IF(WWWW[[#This Row],['#_of water points in THF]]*500&gt;WWWW[[#This Row],[Total PoP ]],WWWW[[#This Row],[Total PoP ]],WWWW[[#This Row],['#_of water points in THF]]*500)</f>
        <v>0</v>
      </c>
      <c r="CO315" s="417"/>
      <c r="CP315"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15"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15" s="416">
        <f>IF(WWWW[[#This Row],[Location Type 1]]="Village",WWWW[[#This Row],[Access to safe drinking water for Village]],WWWW[[#This Row],[Access to safe drinking water for Camp]])</f>
        <v>1</v>
      </c>
      <c r="CS315" s="421">
        <f>WWWW[[#This Row],[%Equitable and continuous access to sufficient quantity of safe drinking water]]*WWWW[[#This Row],[Total PoP ]]</f>
        <v>432</v>
      </c>
      <c r="CT315" s="416">
        <f>IF((WWWW[[#This Row],['#_Constructed/Existing protected/fenced ponds]]*250)/WWWW[[#This Row],[Total PoP ]]&gt;1,1,(WWWW[[#This Row],['#_Constructed/Existing protected/fenced ponds]]*250)/WWWW[[#This Row],[Total PoP ]])</f>
        <v>0</v>
      </c>
      <c r="CU315" s="421">
        <f>WWWW[[#This Row],[% Access to unimproved water points]]*WWWW[[#This Row],[Total PoP ]]</f>
        <v>0</v>
      </c>
      <c r="CV315"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15"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432</v>
      </c>
      <c r="CX315" s="421">
        <f>WWWW[[#This Row],[HRP1]]/500</f>
        <v>0.86399999999999999</v>
      </c>
      <c r="CY315" s="951">
        <f>1-WWWW[[#This Row],[% Equitable and continuous access to sufficient quantity of domestic water]]</f>
        <v>0</v>
      </c>
      <c r="CZ315" s="421">
        <f>WWWW[[#This Row],[%equitable and continuous access to sufficient quantity of safe drinking and domestic water''s GAP]]*WWWW[[#This Row],[Total PoP ]]</f>
        <v>0</v>
      </c>
      <c r="DA315" s="417">
        <f>IF(WWWW[[#This Row],[Total required water points]]-WWWW[[#This Row],['#Water points coverage]]&lt;0,0,WWWW[[#This Row],[Total required water points]]-WWWW[[#This Row],['#Water points coverage]])</f>
        <v>0.13600000000000001</v>
      </c>
      <c r="DB315" s="417">
        <f>ROUND(IF(WWWW[[#This Row],[Total PoP ]]&lt;500,1,WWWW[[#This Row],[Total PoP ]]/500),0)</f>
        <v>1</v>
      </c>
      <c r="DC315" s="417">
        <f>(WWWW[[#This Row],['#_Constructed latrines_by_WASHAgencies]]+WWWW[[#This Row],['#_Non Cluster partner latrines]])-WWWW[[#This Row],['#_Non-functional latrines]]</f>
        <v>10</v>
      </c>
      <c r="DD315" s="615">
        <f>WWWW[[#This Row],[HRP2]]/WWWW[[#This Row],[Total PoP ]]</f>
        <v>0.46296296296296297</v>
      </c>
      <c r="DE315"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200</v>
      </c>
      <c r="DF315"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15"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15" s="417">
        <f>IF(WWWW[[#This Row],['# of functional latrines in THF supported by WASH partners during the reporting period2]]="",0,WWWW[[#This Row],['# of functional latrines in THF supported by WASH partners during the reporting period2]]*50)</f>
        <v>0</v>
      </c>
      <c r="DI315" s="417">
        <f>ROUND(IF(WWWW[[#This Row],[Location Type 1]]="camp",WWWW[[#This Row],[Total PoP ]]/20,IF(WWWW[[#This Row],[Location Type 1]]="Temporary Location",WWWW[[#This Row],[Total PoP ]]/50,(WWWW[[#This Row],[Total PoP ]]/6))),0)</f>
        <v>22</v>
      </c>
      <c r="DJ315" s="417">
        <f>IF(WWWW[[#This Row],[Total required Latrines]]-(WWWW[[#This Row],['#_Constructed latrines_by_WASHAgencies]]+WWWW[[#This Row],['#_Non Cluster partner latrines]])&lt;0,0,WWWW[[#This Row],[Total required Latrines]]-(WWWW[[#This Row],['#_Constructed latrines_by_WASHAgencies]]+WWWW[[#This Row],['#_Non Cluster partner latrines]]))</f>
        <v>12</v>
      </c>
      <c r="DK315" s="951">
        <f>1-WWWW[[#This Row],[% people access to functioning Latrine]]</f>
        <v>0.53703703703703698</v>
      </c>
      <c r="DL315" s="615">
        <f>IF(OR(WWWW[[#This Row],['#_Non-functional latrines]]="",WWWW[[#This Row],['#_Non-functional latrines]]=0),0,WWWW[[#This Row],['#_Non-functional latrines]]/(WWWW[[#This Row],['#_Constructed latrines_by_WASHAgencies]]+WWWW[[#This Row],['#_Non Cluster partner latrines]]))</f>
        <v>0</v>
      </c>
      <c r="DM315" s="421">
        <f>IF(500*(WWWW[[#This Row],['#_male hygiene promoters]]+WWWW[[#This Row],['#_female hygiene promoters]])&gt;WWWW[[#This Row],[Total PoP ]],WWWW[[#This Row],[Total PoP ]],500*(WWWW[[#This Row],['#_male hygiene promoters]]+WWWW[[#This Row],['#_female hygiene promoters]]))</f>
        <v>432</v>
      </c>
      <c r="DN315"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15"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15" s="417">
        <f>IF(WWWW[[#This Row],['# People with access to soap]]&gt;WWWW[[#This Row],['# People with access to Sanity Pads]],WWWW[[#This Row],['# People with access to soap]],WWWW[[#This Row],['# People with access to Sanity Pads]])</f>
        <v>0</v>
      </c>
      <c r="DQ315" s="417">
        <f>IF(WWWW[[#This Row],['# people reached by regular dedicated hygiene promotion_5]]&gt;WWWW[[#This Row],['# People received regular supply of hygiene items_6]],WWWW[[#This Row],['# people reached by regular dedicated hygiene promotion_5]],WWWW[[#This Row],['# People received regular supply of hygiene items_6]])</f>
        <v>432</v>
      </c>
      <c r="DR315" s="951">
        <f>IF(WWWW[[#This Row],[HRP3]]/WWWW[[#This Row],[Total PoP ]]&gt;1,1,WWWW[[#This Row],[HRP3]]/WWWW[[#This Row],[Total PoP ]])</f>
        <v>1</v>
      </c>
      <c r="DS315" s="615">
        <f>1-WWWW[[#This Row],[Hygiene Coverage%]]</f>
        <v>0</v>
      </c>
      <c r="DT315" s="416">
        <f>WWWW[[#This Row],['# people reached by regular dedicated hygiene promotion_5]]/WWWW[[#This Row],[Total PoP ]]</f>
        <v>1</v>
      </c>
      <c r="DU315"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15"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15" s="417">
        <f>WWWW[[#This Row],['#_Constructed/Existing hand washing stations]]-WWWW[[#This Row],['#_Non-Functional_hand_washing_stations]]</f>
        <v>3</v>
      </c>
      <c r="DX315" s="421">
        <f>IF(WWWW[[#This Row],['# Functional hand washing stations during reporting period]]*20&gt;WWWW[[#This Row],[Total HH]],WWWW[[#This Row],[Total HH]],WWWW[[#This Row],['# Functional hand washing stations during reporting period]]*20)</f>
        <v>60</v>
      </c>
      <c r="DY315" s="421">
        <f>IF(WWWW[[#This Row],[Is sufficient soap available for TLS? (Yes/No)]]="yes",WWWW[[#This Row],['#_Constructed/Existing hand washing stations at TLS/CFS/THF]],0)</f>
        <v>0</v>
      </c>
      <c r="DZ315" s="421">
        <f>IF(WWWW[[#This Row],['# Functional hand washing stations during reporting period]]*100&gt;WWWW[[#This Row],[Total PoP ]],WWWW[[#This Row],[Total PoP ]],WWWW[[#This Row],['# Functional hand washing stations during reporting period]]*100)</f>
        <v>300</v>
      </c>
      <c r="EA315" s="421" t="str">
        <f>IF(OR(WWWW[[#This Row],['#_students at TLS_CFS]]="",WWWW[[#This Row],['#_students at TLS_CFS]]=0),"No","Yes")</f>
        <v>No</v>
      </c>
      <c r="EB31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15" s="566">
        <f>WWWW[[#This Row],[%_of_affected_people_surveyed_who_report_feeling_satistfied_with_the_latrine_design_and_sanitation_service]]*WWWW[[#This Row],[Total PoP ]]</f>
        <v>0</v>
      </c>
      <c r="ED315" s="566">
        <f>WWWW[[#This Row],[%_of_affected_people_surveyed_who_report_feeling_satistfied_with_the_water_point_design_and_water_service]]*WWWW[[#This Row],[Total PoP ]]</f>
        <v>0</v>
      </c>
      <c r="EE315" s="566">
        <f>WWWW[[#This Row],[%_of_complaints_received_that_result_in_timely_corrective_action_and_feedback_to_the_community]]*WWWW[[#This Row],[Total PoP ]]</f>
        <v>0</v>
      </c>
      <c r="EF31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1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1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15" s="418" t="str">
        <f>VLOOKUP(WWWW[[#This Row],[Site Name]],SiteDB6[[Site Name]:[CCCM Management]],6,FALSE)</f>
        <v>Yes</v>
      </c>
      <c r="EJ315" s="418" t="str">
        <f>VLOOKUP(WWWW[[#This Row],[Site Name]],SiteDB6[[Site Name]:[CCCM Focal Agency]],7,FALSE)</f>
        <v>KBC-MYT</v>
      </c>
      <c r="EK315" s="418" t="str">
        <f>VLOOKUP(WWWW[[#This Row],[Site Name]],SiteDB6[[Site Name]:[Location Type 1]],9,FALSE)</f>
        <v>Camp</v>
      </c>
      <c r="EL315" s="418" t="str">
        <f>VLOOKUP(WWWW[[#This Row],[Site Name]],SiteDB6[[Site Name]:[Type of Accommodation]],10,FALSE)</f>
        <v>Camp</v>
      </c>
      <c r="EM315" s="418" t="str">
        <f>VLOOKUP(WWWW[[#This Row],[Site Name]],SiteDB6[[Site Name]:[Ethnic or GCA/NGCA]],11,FALSE)</f>
        <v>GCA</v>
      </c>
      <c r="EN315" s="418">
        <f>VLOOKUP(WWWW[[#This Row],[Site Name]],SiteDB6[[Site Name]:[Lat]],12,FALSE)</f>
        <v>25.440928</v>
      </c>
      <c r="EO315" s="418">
        <f>VLOOKUP(WWWW[[#This Row],[Site Name]],SiteDB6[[Site Name]:[Long]],13,FALSE)</f>
        <v>97.419403000000003</v>
      </c>
      <c r="EP315" s="418" t="str">
        <f>VLOOKUP(WWWW[[#This Row],[Site Name]],SiteDB6[[Site Name]:[Pcode]],3,FALSE)</f>
        <v>MMR001CMP009</v>
      </c>
      <c r="EQ315" s="950" t="str">
        <f t="shared" si="6"/>
        <v>Covered</v>
      </c>
      <c r="ER315" s="950" t="s">
        <v>3126</v>
      </c>
      <c r="ES315" s="950" t="s">
        <v>3267</v>
      </c>
      <c r="ET315" s="418">
        <f>VLOOKUP(WWWW[[#This Row],[Site Name]],SiteDB6[[Site Name]:[Pop
(Kachin/Shan-CCCM as of May 2023)]],16,FALSE)</f>
        <v>105</v>
      </c>
      <c r="EU315" s="418">
        <f>VLOOKUP(WWWW[[#This Row],[Site Name]],SiteDB6[[Site Name]:[Pop
(Kachin/Shan-CCCM as of May 2023)]],17,FALSE)</f>
        <v>624</v>
      </c>
    </row>
    <row r="316" spans="1:151">
      <c r="A316" s="946" t="s">
        <v>2962</v>
      </c>
      <c r="B316" s="938" t="s">
        <v>3347</v>
      </c>
      <c r="C316" s="938" t="s">
        <v>3347</v>
      </c>
      <c r="D316" s="1005" t="s">
        <v>241</v>
      </c>
      <c r="E316" s="1005" t="s">
        <v>37</v>
      </c>
      <c r="F316" s="1005" t="s">
        <v>159</v>
      </c>
      <c r="G316" s="902" t="str">
        <f>VLOOKUP(WWWW[[#This Row],[Site Name]],SiteDB6[[Site Name]:[Location Type]],8,FALSE)</f>
        <v>Camp</v>
      </c>
      <c r="H316" s="1005" t="s">
        <v>170</v>
      </c>
      <c r="I316" s="954">
        <v>37</v>
      </c>
      <c r="J316" s="954">
        <v>207</v>
      </c>
      <c r="K316" s="955">
        <v>44811</v>
      </c>
      <c r="L316" s="956">
        <v>45175</v>
      </c>
      <c r="M316" s="954"/>
      <c r="N316" s="954">
        <v>1</v>
      </c>
      <c r="O316" s="954"/>
      <c r="P316" s="954"/>
      <c r="Q316" s="957" t="s">
        <v>41</v>
      </c>
      <c r="R316" s="954">
        <v>2</v>
      </c>
      <c r="S316" s="954">
        <v>2</v>
      </c>
      <c r="T316" s="441">
        <v>2</v>
      </c>
      <c r="U316" s="954"/>
      <c r="V316" s="954"/>
      <c r="W316" s="954">
        <v>3</v>
      </c>
      <c r="X316" s="954"/>
      <c r="Y316" s="954"/>
      <c r="Z316" s="954"/>
      <c r="AA316" s="954"/>
      <c r="AB316" s="954"/>
      <c r="AC316" s="954"/>
      <c r="AD316" s="954"/>
      <c r="AE316" s="954"/>
      <c r="AF316" s="954"/>
      <c r="AG316" s="954"/>
      <c r="AH316" s="976">
        <v>5</v>
      </c>
      <c r="AI316" s="954"/>
      <c r="AJ316" s="954"/>
      <c r="AK316" s="954"/>
      <c r="AL316" s="954"/>
      <c r="AM316" s="954"/>
      <c r="AN316" s="954"/>
      <c r="AO316" s="441"/>
      <c r="AP316" s="958"/>
      <c r="AQ316" s="954">
        <v>11</v>
      </c>
      <c r="AR316" s="954"/>
      <c r="AS316" s="959"/>
      <c r="AT316" s="954"/>
      <c r="AU316" s="954"/>
      <c r="AV316" s="954"/>
      <c r="AW316" s="954"/>
      <c r="AX316" s="954">
        <v>11</v>
      </c>
      <c r="AY316" s="953" t="s">
        <v>41</v>
      </c>
      <c r="AZ316" s="958" t="s">
        <v>137</v>
      </c>
      <c r="BA316" s="954"/>
      <c r="BB316" s="954"/>
      <c r="BC316" s="954"/>
      <c r="BD316" s="441"/>
      <c r="BE316" s="441"/>
      <c r="BF316" s="953"/>
      <c r="BG316" s="954">
        <v>3</v>
      </c>
      <c r="BH316" s="954"/>
      <c r="BI316" s="954"/>
      <c r="BJ316" s="954">
        <v>2</v>
      </c>
      <c r="BK316" s="954"/>
      <c r="BL316" s="954">
        <v>1</v>
      </c>
      <c r="BM316" s="954"/>
      <c r="BN316" s="954"/>
      <c r="BO316" s="954"/>
      <c r="BP316" s="953"/>
      <c r="BQ316" s="960"/>
      <c r="BR316" s="959"/>
      <c r="BS316" s="953"/>
      <c r="BT316" s="416"/>
      <c r="BU316" s="416"/>
      <c r="BV316" s="418"/>
      <c r="BW316" s="416"/>
      <c r="BX316" s="441"/>
      <c r="BY316" s="441"/>
      <c r="BZ316" s="441"/>
      <c r="CA316" s="441"/>
      <c r="CB316" s="441"/>
      <c r="CC316" s="693"/>
      <c r="CD316" s="441"/>
      <c r="CE316" s="961" t="str">
        <f>IFERROR(WWWW[[#This Row],['#_Water sources passed]]/WWWW[[#This Row],['#_Water sources tested for fecal coliform ]],"no test")</f>
        <v>no test</v>
      </c>
      <c r="CF316" s="959" t="str">
        <f>IFERROR(WWWW[[#This Row],['#_Household passed]]/WWWW[[#This Row],['#_Household water samples tested for fecal coliform]],"no test")</f>
        <v>no test</v>
      </c>
      <c r="CG316" s="960" t="str">
        <f>IF(AND(WWWW[[#This Row],[% of water sources passed]]="no test",WWWW[[#This Row],[% Household passed]]="no test"),"No Test","Tested")</f>
        <v>No Test</v>
      </c>
      <c r="CH316" s="960">
        <f>WWWW[[#This Row],['#_Constructed/existing protected hand dug well]]-WWWW[[#This Row],['#_Non-functional protected hand dug well]]</f>
        <v>2</v>
      </c>
      <c r="CI316" s="960">
        <f>(WWWW[[#This Row],['#_Constructed/Existing tube wells/boreholes/handpumps_WASH_agency]]+WWWW[[#This Row],['#_Non-Cluster partner water tube-wells/boreholes/handpumps]])-WWWW[[#This Row],['#_Non-functional tube wells/boreholes/handpumps]]</f>
        <v>3</v>
      </c>
      <c r="CJ316" s="960">
        <f>WWWW[[#This Row],['#_Constructed/Existingwater storage tank with gravity fed reticulation system]]-WWWW[[#This Row],['#_Non-functional storage tank gravity fed reticulation system]]</f>
        <v>0</v>
      </c>
      <c r="CK316" s="960">
        <f>(WWWW[[#This Row],['#_Water_Liters_supplied_by_Water boating or water trucking]]/90)/15</f>
        <v>0</v>
      </c>
      <c r="CL316" s="960">
        <f>WWWW[[#This Row],['#_Water_Liters_from_Constructed/Existing water distribution system from river or natural spring]]/90/15</f>
        <v>0</v>
      </c>
      <c r="CM316" s="417">
        <f>IF(WWWW[[#This Row],['#_of water points in TLS/CFS]]*500&gt;WWWW[[#This Row],[Total PoP ]],WWWW[[#This Row],[Total PoP ]],WWWW[[#This Row],['#_of water points in TLS/CFS]]*500)</f>
        <v>0</v>
      </c>
      <c r="CN316" s="417">
        <f>IF(WWWW[[#This Row],['#_of water points in THF]]*500&gt;WWWW[[#This Row],[Total PoP ]],WWWW[[#This Row],[Total PoP ]],WWWW[[#This Row],['#_of water points in THF]]*500)</f>
        <v>0</v>
      </c>
      <c r="CO316" s="417"/>
      <c r="CP316"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16"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16" s="959">
        <f>IF(WWWW[[#This Row],[Location Type 1]]="Village",WWWW[[#This Row],[Access to safe drinking water for Village]],WWWW[[#This Row],[Access to safe drinking water for Camp]])</f>
        <v>1</v>
      </c>
      <c r="CS316" s="957">
        <f>WWWW[[#This Row],[%Equitable and continuous access to sufficient quantity of safe drinking water]]*WWWW[[#This Row],[Total PoP ]]</f>
        <v>207</v>
      </c>
      <c r="CT316" s="959">
        <f>IF((WWWW[[#This Row],['#_Constructed/Existing protected/fenced ponds]]*250)/WWWW[[#This Row],[Total PoP ]]&gt;1,1,(WWWW[[#This Row],['#_Constructed/Existing protected/fenced ponds]]*250)/WWWW[[#This Row],[Total PoP ]])</f>
        <v>0</v>
      </c>
      <c r="CU316" s="957">
        <f>WWWW[[#This Row],[% Access to unimproved water points]]*WWWW[[#This Row],[Total PoP ]]</f>
        <v>0</v>
      </c>
      <c r="CV316"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16"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207</v>
      </c>
      <c r="CX316" s="957">
        <f>WWWW[[#This Row],[HRP1]]/500</f>
        <v>0.41399999999999998</v>
      </c>
      <c r="CY316" s="962">
        <f>1-WWWW[[#This Row],[% Equitable and continuous access to sufficient quantity of domestic water]]</f>
        <v>0</v>
      </c>
      <c r="CZ316" s="957">
        <f>WWWW[[#This Row],[%equitable and continuous access to sufficient quantity of safe drinking and domestic water''s GAP]]*WWWW[[#This Row],[Total PoP ]]</f>
        <v>0</v>
      </c>
      <c r="DA316" s="960">
        <f>IF(WWWW[[#This Row],[Total required water points]]-WWWW[[#This Row],['#Water points coverage]]&lt;0,0,WWWW[[#This Row],[Total required water points]]-WWWW[[#This Row],['#Water points coverage]])</f>
        <v>0.58600000000000008</v>
      </c>
      <c r="DB316" s="960">
        <f>ROUND(IF(WWWW[[#This Row],[Total PoP ]]&lt;500,1,WWWW[[#This Row],[Total PoP ]]/500),0)</f>
        <v>1</v>
      </c>
      <c r="DC316" s="960">
        <f>(WWWW[[#This Row],['#_Constructed latrines_by_WASHAgencies]]+WWWW[[#This Row],['#_Non Cluster partner latrines]])-WWWW[[#This Row],['#_Non-functional latrines]]</f>
        <v>11</v>
      </c>
      <c r="DD316" s="615">
        <f>WWWW[[#This Row],[HRP2]]/WWWW[[#This Row],[Total PoP ]]</f>
        <v>1</v>
      </c>
      <c r="DE316"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207</v>
      </c>
      <c r="DF316"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16"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16" s="417">
        <f>IF(WWWW[[#This Row],['# of functional latrines in THF supported by WASH partners during the reporting period2]]="",0,WWWW[[#This Row],['# of functional latrines in THF supported by WASH partners during the reporting period2]]*50)</f>
        <v>0</v>
      </c>
      <c r="DI316" s="960">
        <f>ROUND(IF(WWWW[[#This Row],[Location Type 1]]="camp",WWWW[[#This Row],[Total PoP ]]/20,IF(WWWW[[#This Row],[Location Type 1]]="Temporary Location",WWWW[[#This Row],[Total PoP ]]/50,(WWWW[[#This Row],[Total PoP ]]/6))),0)</f>
        <v>10</v>
      </c>
      <c r="DJ316" s="960">
        <f>IF(WWWW[[#This Row],[Total required Latrines]]-(WWWW[[#This Row],['#_Constructed latrines_by_WASHAgencies]]+WWWW[[#This Row],['#_Non Cluster partner latrines]])&lt;0,0,WWWW[[#This Row],[Total required Latrines]]-(WWWW[[#This Row],['#_Constructed latrines_by_WASHAgencies]]+WWWW[[#This Row],['#_Non Cluster partner latrines]]))</f>
        <v>0</v>
      </c>
      <c r="DK316" s="962">
        <f>1-WWWW[[#This Row],[% people access to functioning Latrine]]</f>
        <v>0</v>
      </c>
      <c r="DL316" s="961">
        <f>IF(OR(WWWW[[#This Row],['#_Non-functional latrines]]="",WWWW[[#This Row],['#_Non-functional latrines]]=0),0,WWWW[[#This Row],['#_Non-functional latrines]]/(WWWW[[#This Row],['#_Constructed latrines_by_WASHAgencies]]+WWWW[[#This Row],['#_Non Cluster partner latrines]]))</f>
        <v>0</v>
      </c>
      <c r="DM316" s="957">
        <f>IF(500*(WWWW[[#This Row],['#_male hygiene promoters]]+WWWW[[#This Row],['#_female hygiene promoters]])&gt;WWWW[[#This Row],[Total PoP ]],WWWW[[#This Row],[Total PoP ]],500*(WWWW[[#This Row],['#_male hygiene promoters]]+WWWW[[#This Row],['#_female hygiene promoters]]))</f>
        <v>207</v>
      </c>
      <c r="DN316"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16"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16" s="960">
        <f>IF(WWWW[[#This Row],['# People with access to soap]]&gt;WWWW[[#This Row],['# People with access to Sanity Pads]],WWWW[[#This Row],['# People with access to soap]],WWWW[[#This Row],['# People with access to Sanity Pads]])</f>
        <v>0</v>
      </c>
      <c r="DQ316" s="960">
        <f>IF(WWWW[[#This Row],['# people reached by regular dedicated hygiene promotion_5]]&gt;WWWW[[#This Row],['# People received regular supply of hygiene items_6]],WWWW[[#This Row],['# people reached by regular dedicated hygiene promotion_5]],WWWW[[#This Row],['# People received regular supply of hygiene items_6]])</f>
        <v>207</v>
      </c>
      <c r="DR316" s="962">
        <f>IF(WWWW[[#This Row],[HRP3]]/WWWW[[#This Row],[Total PoP ]]&gt;1,1,WWWW[[#This Row],[HRP3]]/WWWW[[#This Row],[Total PoP ]])</f>
        <v>1</v>
      </c>
      <c r="DS316" s="961">
        <f>1-WWWW[[#This Row],[Hygiene Coverage%]]</f>
        <v>0</v>
      </c>
      <c r="DT316" s="959">
        <f>WWWW[[#This Row],['# people reached by regular dedicated hygiene promotion_5]]/WWWW[[#This Row],[Total PoP ]]</f>
        <v>1</v>
      </c>
      <c r="DU316"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16"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16" s="960">
        <f>WWWW[[#This Row],['#_Constructed/Existing hand washing stations]]-WWWW[[#This Row],['#_Non-Functional_hand_washing_stations]]</f>
        <v>3</v>
      </c>
      <c r="DX316" s="957">
        <f>IF(WWWW[[#This Row],['# Functional hand washing stations during reporting period]]*20&gt;WWWW[[#This Row],[Total HH]],WWWW[[#This Row],[Total HH]],WWWW[[#This Row],['# Functional hand washing stations during reporting period]]*20)</f>
        <v>37</v>
      </c>
      <c r="DY316" s="957">
        <f>IF(WWWW[[#This Row],[Is sufficient soap available for TLS? (Yes/No)]]="yes",WWWW[[#This Row],['#_Constructed/Existing hand washing stations at TLS/CFS/THF]],0)</f>
        <v>0</v>
      </c>
      <c r="DZ316" s="421">
        <f>IF(WWWW[[#This Row],['# Functional hand washing stations during reporting period]]*100&gt;WWWW[[#This Row],[Total PoP ]],WWWW[[#This Row],[Total PoP ]],WWWW[[#This Row],['# Functional hand washing stations during reporting period]]*100)</f>
        <v>207</v>
      </c>
      <c r="EA316" s="421" t="str">
        <f>IF(OR(WWWW[[#This Row],['#_students at TLS_CFS]]="",WWWW[[#This Row],['#_students at TLS_CFS]]=0),"No","Yes")</f>
        <v>No</v>
      </c>
      <c r="EB31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16" s="566">
        <f>WWWW[[#This Row],[%_of_affected_people_surveyed_who_report_feeling_satistfied_with_the_latrine_design_and_sanitation_service]]*WWWW[[#This Row],[Total PoP ]]</f>
        <v>0</v>
      </c>
      <c r="ED316" s="566">
        <f>WWWW[[#This Row],[%_of_affected_people_surveyed_who_report_feeling_satistfied_with_the_water_point_design_and_water_service]]*WWWW[[#This Row],[Total PoP ]]</f>
        <v>0</v>
      </c>
      <c r="EE316" s="566">
        <f>WWWW[[#This Row],[%_of_complaints_received_that_result_in_timely_corrective_action_and_feedback_to_the_community]]*WWWW[[#This Row],[Total PoP ]]</f>
        <v>0</v>
      </c>
      <c r="EF31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1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1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16" s="953" t="str">
        <f>VLOOKUP(WWWW[[#This Row],[Site Name]],SiteDB6[[Site Name]:[CCCM Management]],6,FALSE)</f>
        <v>Yes</v>
      </c>
      <c r="EJ316" s="953" t="str">
        <f>VLOOKUP(WWWW[[#This Row],[Site Name]],SiteDB6[[Site Name]:[CCCM Focal Agency]],7,FALSE)</f>
        <v>KBC-MYT</v>
      </c>
      <c r="EK316" s="953" t="str">
        <f>VLOOKUP(WWWW[[#This Row],[Site Name]],SiteDB6[[Site Name]:[Location Type 1]],9,FALSE)</f>
        <v>Camp</v>
      </c>
      <c r="EL316" s="953" t="str">
        <f>VLOOKUP(WWWW[[#This Row],[Site Name]],SiteDB6[[Site Name]:[Type of Accommodation]],10,FALSE)</f>
        <v>Camp</v>
      </c>
      <c r="EM316" s="953" t="str">
        <f>VLOOKUP(WWWW[[#This Row],[Site Name]],SiteDB6[[Site Name]:[Ethnic or GCA/NGCA]],11,FALSE)</f>
        <v>GCA</v>
      </c>
      <c r="EN316" s="953">
        <f>VLOOKUP(WWWW[[#This Row],[Site Name]],SiteDB6[[Site Name]:[Lat]],12,FALSE)</f>
        <v>25.415482000000001</v>
      </c>
      <c r="EO316" s="953">
        <f>VLOOKUP(WWWW[[#This Row],[Site Name]],SiteDB6[[Site Name]:[Long]],13,FALSE)</f>
        <v>97.386718999999999</v>
      </c>
      <c r="EP316" s="953" t="str">
        <f>VLOOKUP(WWWW[[#This Row],[Site Name]],SiteDB6[[Site Name]:[Pcode]],3,FALSE)</f>
        <v>MMR001CMP001</v>
      </c>
      <c r="EQ316" s="958" t="str">
        <f t="shared" ref="EQ316:EQ345" si="7">IF(C316="none","Notcovered","Covered")</f>
        <v>Covered</v>
      </c>
      <c r="ER316" s="950" t="s">
        <v>3126</v>
      </c>
      <c r="ES316" s="950" t="s">
        <v>3267</v>
      </c>
      <c r="ET316" s="953">
        <f>VLOOKUP(WWWW[[#This Row],[Site Name]],SiteDB6[[Site Name]:[Pop
(Kachin/Shan-CCCM as of May 2023)]],16,FALSE)</f>
        <v>97</v>
      </c>
      <c r="EU316" s="953">
        <f>VLOOKUP(WWWW[[#This Row],[Site Name]],SiteDB6[[Site Name]:[Pop
(Kachin/Shan-CCCM as of May 2023)]],17,FALSE)</f>
        <v>539</v>
      </c>
    </row>
    <row r="317" spans="1:151">
      <c r="A317" s="946" t="s">
        <v>2962</v>
      </c>
      <c r="B317" s="946" t="s">
        <v>242</v>
      </c>
      <c r="C317" s="938" t="s">
        <v>242</v>
      </c>
      <c r="D317" s="938" t="s">
        <v>3184</v>
      </c>
      <c r="E317" s="938" t="s">
        <v>37</v>
      </c>
      <c r="F317" s="938" t="s">
        <v>159</v>
      </c>
      <c r="G317" s="902" t="str">
        <f>VLOOKUP(WWWW[[#This Row],[Site Name]],SiteDB6[[Site Name]:[Location Type]],8,FALSE)</f>
        <v>Camp</v>
      </c>
      <c r="H317" s="938" t="s">
        <v>266</v>
      </c>
      <c r="I317" s="441">
        <v>56</v>
      </c>
      <c r="J317" s="441">
        <v>268</v>
      </c>
      <c r="K317" s="948">
        <v>44927</v>
      </c>
      <c r="L317" s="949">
        <v>45382</v>
      </c>
      <c r="M317" s="441"/>
      <c r="N317" s="441"/>
      <c r="O317" s="441">
        <v>1</v>
      </c>
      <c r="P317" s="441"/>
      <c r="Q317" s="421" t="s">
        <v>41</v>
      </c>
      <c r="R317" s="441">
        <v>3</v>
      </c>
      <c r="S317" s="441">
        <v>3</v>
      </c>
      <c r="T317" s="441">
        <v>1</v>
      </c>
      <c r="U317" s="441"/>
      <c r="V317" s="441"/>
      <c r="W317" s="441">
        <v>5</v>
      </c>
      <c r="X317" s="441"/>
      <c r="Y317" s="441"/>
      <c r="Z317" s="441"/>
      <c r="AA317" s="441"/>
      <c r="AB317" s="441"/>
      <c r="AC317" s="441"/>
      <c r="AD317" s="441"/>
      <c r="AE317" s="441"/>
      <c r="AF317" s="441"/>
      <c r="AG317" s="441">
        <v>2</v>
      </c>
      <c r="AH317" s="441">
        <v>4</v>
      </c>
      <c r="AI317" s="441"/>
      <c r="AJ317" s="441"/>
      <c r="AK317" s="441"/>
      <c r="AL317" s="441"/>
      <c r="AM317" s="441">
        <v>2</v>
      </c>
      <c r="AN317" s="441">
        <v>2</v>
      </c>
      <c r="AO317" s="441">
        <v>2</v>
      </c>
      <c r="AP317" s="950"/>
      <c r="AQ317" s="441">
        <v>19</v>
      </c>
      <c r="AR317" s="441"/>
      <c r="AS317" s="416"/>
      <c r="AT317" s="441"/>
      <c r="AU317" s="441"/>
      <c r="AV317" s="441">
        <v>3</v>
      </c>
      <c r="AW317" s="441"/>
      <c r="AX317" s="441"/>
      <c r="AY317" s="418" t="s">
        <v>41</v>
      </c>
      <c r="AZ317" s="950" t="s">
        <v>137</v>
      </c>
      <c r="BA317" s="441"/>
      <c r="BB317" s="441"/>
      <c r="BC317" s="441"/>
      <c r="BD317" s="441"/>
      <c r="BE317" s="441">
        <v>6</v>
      </c>
      <c r="BF317" s="418"/>
      <c r="BG317" s="441">
        <v>4</v>
      </c>
      <c r="BH317" s="441"/>
      <c r="BI317" s="441"/>
      <c r="BJ317" s="441">
        <v>4</v>
      </c>
      <c r="BK317" s="441">
        <v>4</v>
      </c>
      <c r="BL317" s="441"/>
      <c r="BM317" s="441">
        <v>1</v>
      </c>
      <c r="BN317" s="441"/>
      <c r="BO317" s="441"/>
      <c r="BP317" s="418" t="s">
        <v>41</v>
      </c>
      <c r="BQ317" s="417">
        <v>1</v>
      </c>
      <c r="BR317" s="416">
        <v>0.6</v>
      </c>
      <c r="BS317" s="418"/>
      <c r="BT317" s="416">
        <v>0.6</v>
      </c>
      <c r="BU317" s="416">
        <v>0.7</v>
      </c>
      <c r="BV317" s="418">
        <v>10</v>
      </c>
      <c r="BW317" s="416">
        <v>0.6</v>
      </c>
      <c r="BX317" s="441"/>
      <c r="BY317" s="441"/>
      <c r="BZ317" s="441"/>
      <c r="CA317" s="441"/>
      <c r="CB317" s="441"/>
      <c r="CC317" s="693"/>
      <c r="CD317" s="441"/>
      <c r="CE317" s="615" t="str">
        <f>IFERROR(WWWW[[#This Row],['#_Water sources passed]]/WWWW[[#This Row],['#_Water sources tested for fecal coliform ]],"no test")</f>
        <v>no test</v>
      </c>
      <c r="CF317" s="416" t="str">
        <f>IFERROR(WWWW[[#This Row],['#_Household passed]]/WWWW[[#This Row],['#_Household water samples tested for fecal coliform]],"no test")</f>
        <v>no test</v>
      </c>
      <c r="CG317" s="417" t="str">
        <f>IF(AND(WWWW[[#This Row],[% of water sources passed]]="no test",WWWW[[#This Row],[% Household passed]]="no test"),"No Test","Tested")</f>
        <v>No Test</v>
      </c>
      <c r="CH317" s="417">
        <f>WWWW[[#This Row],['#_Constructed/existing protected hand dug well]]-WWWW[[#This Row],['#_Non-functional protected hand dug well]]</f>
        <v>1</v>
      </c>
      <c r="CI317" s="417">
        <f>(WWWW[[#This Row],['#_Constructed/Existing tube wells/boreholes/handpumps_WASH_agency]]+WWWW[[#This Row],['#_Non-Cluster partner water tube-wells/boreholes/handpumps]])-WWWW[[#This Row],['#_Non-functional tube wells/boreholes/handpumps]]</f>
        <v>5</v>
      </c>
      <c r="CJ317" s="417">
        <f>WWWW[[#This Row],['#_Constructed/Existingwater storage tank with gravity fed reticulation system]]-WWWW[[#This Row],['#_Non-functional storage tank gravity fed reticulation system]]</f>
        <v>0</v>
      </c>
      <c r="CK317" s="417">
        <f>(WWWW[[#This Row],['#_Water_Liters_supplied_by_Water boating or water trucking]]/90)/15</f>
        <v>0</v>
      </c>
      <c r="CL317" s="417">
        <f>WWWW[[#This Row],['#_Water_Liters_from_Constructed/Existing water distribution system from river or natural spring]]/90/15</f>
        <v>0</v>
      </c>
      <c r="CM317" s="417">
        <f>IF(WWWW[[#This Row],['#_of water points in TLS/CFS]]*500&gt;WWWW[[#This Row],[Total PoP ]],WWWW[[#This Row],[Total PoP ]],WWWW[[#This Row],['#_of water points in TLS/CFS]]*500)</f>
        <v>268</v>
      </c>
      <c r="CN317" s="417">
        <f>IF(WWWW[[#This Row],['#_of water points in THF]]*500&gt;WWWW[[#This Row],[Total PoP ]],WWWW[[#This Row],[Total PoP ]],WWWW[[#This Row],['#_of water points in THF]]*500)</f>
        <v>268</v>
      </c>
      <c r="CO317" s="417"/>
      <c r="CP317"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17"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17" s="416">
        <f>IF(WWWW[[#This Row],[Location Type 1]]="Village",WWWW[[#This Row],[Access to safe drinking water for Village]],WWWW[[#This Row],[Access to safe drinking water for Camp]])</f>
        <v>1</v>
      </c>
      <c r="CS317" s="421">
        <f>WWWW[[#This Row],[%Equitable and continuous access to sufficient quantity of safe drinking water]]*WWWW[[#This Row],[Total PoP ]]</f>
        <v>268</v>
      </c>
      <c r="CT317" s="416">
        <f>IF((WWWW[[#This Row],['#_Constructed/Existing protected/fenced ponds]]*250)/WWWW[[#This Row],[Total PoP ]]&gt;1,1,(WWWW[[#This Row],['#_Constructed/Existing protected/fenced ponds]]*250)/WWWW[[#This Row],[Total PoP ]])</f>
        <v>0</v>
      </c>
      <c r="CU317" s="421">
        <f>WWWW[[#This Row],[% Access to unimproved water points]]*WWWW[[#This Row],[Total PoP ]]</f>
        <v>0</v>
      </c>
      <c r="CV317"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17"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268</v>
      </c>
      <c r="CX317" s="421">
        <f>WWWW[[#This Row],[HRP1]]/500</f>
        <v>0.53600000000000003</v>
      </c>
      <c r="CY317" s="951">
        <f>1-WWWW[[#This Row],[% Equitable and continuous access to sufficient quantity of domestic water]]</f>
        <v>0</v>
      </c>
      <c r="CZ317" s="421">
        <f>WWWW[[#This Row],[%equitable and continuous access to sufficient quantity of safe drinking and domestic water''s GAP]]*WWWW[[#This Row],[Total PoP ]]</f>
        <v>0</v>
      </c>
      <c r="DA317" s="417">
        <f>IF(WWWW[[#This Row],[Total required water points]]-WWWW[[#This Row],['#Water points coverage]]&lt;0,0,WWWW[[#This Row],[Total required water points]]-WWWW[[#This Row],['#Water points coverage]])</f>
        <v>0.46399999999999997</v>
      </c>
      <c r="DB317" s="417">
        <f>ROUND(IF(WWWW[[#This Row],[Total PoP ]]&lt;500,1,WWWW[[#This Row],[Total PoP ]]/500),0)</f>
        <v>1</v>
      </c>
      <c r="DC317" s="417">
        <f>(WWWW[[#This Row],['#_Constructed latrines_by_WASHAgencies]]+WWWW[[#This Row],['#_Non Cluster partner latrines]])-WWWW[[#This Row],['#_Non-functional latrines]]</f>
        <v>19</v>
      </c>
      <c r="DD317" s="615">
        <f>WWWW[[#This Row],[HRP2]]/WWWW[[#This Row],[Total PoP ]]</f>
        <v>1</v>
      </c>
      <c r="DE317"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268</v>
      </c>
      <c r="DF317"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60</v>
      </c>
      <c r="DG317"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17" s="417">
        <f>IF(WWWW[[#This Row],['# of functional latrines in THF supported by WASH partners during the reporting period2]]="",0,WWWW[[#This Row],['# of functional latrines in THF supported by WASH partners during the reporting period2]]*50)</f>
        <v>0</v>
      </c>
      <c r="DI317" s="417">
        <f>ROUND(IF(WWWW[[#This Row],[Location Type 1]]="camp",WWWW[[#This Row],[Total PoP ]]/20,IF(WWWW[[#This Row],[Location Type 1]]="Temporary Location",WWWW[[#This Row],[Total PoP ]]/50,(WWWW[[#This Row],[Total PoP ]]/6))),0)</f>
        <v>13</v>
      </c>
      <c r="DJ317" s="417">
        <f>IF(WWWW[[#This Row],[Total required Latrines]]-(WWWW[[#This Row],['#_Constructed latrines_by_WASHAgencies]]+WWWW[[#This Row],['#_Non Cluster partner latrines]])&lt;0,0,WWWW[[#This Row],[Total required Latrines]]-(WWWW[[#This Row],['#_Constructed latrines_by_WASHAgencies]]+WWWW[[#This Row],['#_Non Cluster partner latrines]]))</f>
        <v>0</v>
      </c>
      <c r="DK317" s="951">
        <f>1-WWWW[[#This Row],[% people access to functioning Latrine]]</f>
        <v>0</v>
      </c>
      <c r="DL317" s="615">
        <f>IF(OR(WWWW[[#This Row],['#_Non-functional latrines]]="",WWWW[[#This Row],['#_Non-functional latrines]]=0),0,WWWW[[#This Row],['#_Non-functional latrines]]/(WWWW[[#This Row],['#_Constructed latrines_by_WASHAgencies]]+WWWW[[#This Row],['#_Non Cluster partner latrines]]))</f>
        <v>0</v>
      </c>
      <c r="DM317" s="421">
        <f>IF(500*(WWWW[[#This Row],['#_male hygiene promoters]]+WWWW[[#This Row],['#_female hygiene promoters]])&gt;WWWW[[#This Row],[Total PoP ]],WWWW[[#This Row],[Total PoP ]],500*(WWWW[[#This Row],['#_male hygiene promoters]]+WWWW[[#This Row],['#_female hygiene promoters]]))</f>
        <v>268</v>
      </c>
      <c r="DN317"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17"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17" s="417">
        <f>IF(WWWW[[#This Row],['# People with access to soap]]&gt;WWWW[[#This Row],['# People with access to Sanity Pads]],WWWW[[#This Row],['# People with access to soap]],WWWW[[#This Row],['# People with access to Sanity Pads]])</f>
        <v>0</v>
      </c>
      <c r="DQ317" s="417">
        <f>IF(WWWW[[#This Row],['# people reached by regular dedicated hygiene promotion_5]]&gt;WWWW[[#This Row],['# People received regular supply of hygiene items_6]],WWWW[[#This Row],['# people reached by regular dedicated hygiene promotion_5]],WWWW[[#This Row],['# People received regular supply of hygiene items_6]])</f>
        <v>268</v>
      </c>
      <c r="DR317" s="951">
        <f>IF(WWWW[[#This Row],[HRP3]]/WWWW[[#This Row],[Total PoP ]]&gt;1,1,WWWW[[#This Row],[HRP3]]/WWWW[[#This Row],[Total PoP ]])</f>
        <v>1</v>
      </c>
      <c r="DS317" s="615">
        <f>1-WWWW[[#This Row],[Hygiene Coverage%]]</f>
        <v>0</v>
      </c>
      <c r="DT317" s="416">
        <f>WWWW[[#This Row],['# people reached by regular dedicated hygiene promotion_5]]/WWWW[[#This Row],[Total PoP ]]</f>
        <v>1</v>
      </c>
      <c r="DU317"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17"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17" s="417">
        <f>WWWW[[#This Row],['#_Constructed/Existing hand washing stations]]-WWWW[[#This Row],['#_Non-Functional_hand_washing_stations]]</f>
        <v>4</v>
      </c>
      <c r="DX317" s="421">
        <f>IF(WWWW[[#This Row],['# Functional hand washing stations during reporting period]]*20&gt;WWWW[[#This Row],[Total HH]],WWWW[[#This Row],[Total HH]],WWWW[[#This Row],['# Functional hand washing stations during reporting period]]*20)</f>
        <v>56</v>
      </c>
      <c r="DY317" s="421">
        <f>IF(WWWW[[#This Row],[Is sufficient soap available for TLS? (Yes/No)]]="yes",WWWW[[#This Row],['#_Constructed/Existing hand washing stations at TLS/CFS/THF]],0)</f>
        <v>2</v>
      </c>
      <c r="DZ317" s="421">
        <f>IF(WWWW[[#This Row],['# Functional hand washing stations during reporting period]]*100&gt;WWWW[[#This Row],[Total PoP ]],WWWW[[#This Row],[Total PoP ]],WWWW[[#This Row],['# Functional hand washing stations during reporting period]]*100)</f>
        <v>268</v>
      </c>
      <c r="EA317" s="421" t="str">
        <f>IF(OR(WWWW[[#This Row],['#_students at TLS_CFS]]="",WWWW[[#This Row],['#_students at TLS_CFS]]=0),"No","Yes")</f>
        <v>No</v>
      </c>
      <c r="EB317" s="615">
        <f>IF(WWWW[[#This Row],['#_of_affected_people_surveyed_who_report_feeling_informed_about_the_different_WASH_services_available_to_them]]="","",WWWW[[#This Row],['#_of_affected_people_surveyed_who_report_feeling_informed_about_the_different_WASH_services_available_to_them]]/WWWW[[#This Row],[Total PoP ]])</f>
        <v>3.7313432835820892E-2</v>
      </c>
      <c r="EC317" s="566">
        <f>WWWW[[#This Row],[%_of_affected_people_surveyed_who_report_feeling_satistfied_with_the_latrine_design_and_sanitation_service]]*WWWW[[#This Row],[Total PoP ]]</f>
        <v>160.79999999999998</v>
      </c>
      <c r="ED317" s="566">
        <f>WWWW[[#This Row],[%_of_affected_people_surveyed_who_report_feeling_satistfied_with_the_water_point_design_and_water_service]]*WWWW[[#This Row],[Total PoP ]]</f>
        <v>187.6</v>
      </c>
      <c r="EE317" s="566">
        <f>WWWW[[#This Row],[%_of_complaints_received_that_result_in_timely_corrective_action_and_feedback_to_the_community]]*WWWW[[#This Row],[Total PoP ]]</f>
        <v>160.79999999999998</v>
      </c>
      <c r="EF31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187.6</v>
      </c>
      <c r="EG31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268</v>
      </c>
      <c r="EH31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268</v>
      </c>
      <c r="EI317" s="418" t="str">
        <f>VLOOKUP(WWWW[[#This Row],[Site Name]],SiteDB6[[Site Name]:[CCCM Management]],6,FALSE)</f>
        <v>Yes</v>
      </c>
      <c r="EJ317" s="418" t="str">
        <f>VLOOKUP(WWWW[[#This Row],[Site Name]],SiteDB6[[Site Name]:[CCCM Focal Agency]],7,FALSE)</f>
        <v>Shalom</v>
      </c>
      <c r="EK317" s="418" t="str">
        <f>VLOOKUP(WWWW[[#This Row],[Site Name]],SiteDB6[[Site Name]:[Location Type 1]],9,FALSE)</f>
        <v>Camp</v>
      </c>
      <c r="EL317" s="418" t="str">
        <f>VLOOKUP(WWWW[[#This Row],[Site Name]],SiteDB6[[Site Name]:[Type of Accommodation]],10,FALSE)</f>
        <v>Camp</v>
      </c>
      <c r="EM317" s="418" t="str">
        <f>VLOOKUP(WWWW[[#This Row],[Site Name]],SiteDB6[[Site Name]:[Ethnic or GCA/NGCA]],11,FALSE)</f>
        <v>GCA</v>
      </c>
      <c r="EN317" s="418">
        <f>VLOOKUP(WWWW[[#This Row],[Site Name]],SiteDB6[[Site Name]:[Lat]],12,FALSE)</f>
        <v>25.423209</v>
      </c>
      <c r="EO317" s="418">
        <f>VLOOKUP(WWWW[[#This Row],[Site Name]],SiteDB6[[Site Name]:[Long]],13,FALSE)</f>
        <v>97.379987</v>
      </c>
      <c r="EP317" s="418" t="str">
        <f>VLOOKUP(WWWW[[#This Row],[Site Name]],SiteDB6[[Site Name]:[Pcode]],3,FALSE)</f>
        <v>MMR001CMP023</v>
      </c>
      <c r="EQ317" s="950" t="str">
        <f t="shared" si="7"/>
        <v>Covered</v>
      </c>
      <c r="ER317" s="950" t="s">
        <v>136</v>
      </c>
      <c r="ES317" s="950" t="s">
        <v>3263</v>
      </c>
      <c r="ET317" s="418">
        <f>VLOOKUP(WWWW[[#This Row],[Site Name]],SiteDB6[[Site Name]:[Pop
(Kachin/Shan-CCCM as of May 2023)]],16,FALSE)</f>
        <v>56</v>
      </c>
      <c r="EU317" s="418">
        <f>VLOOKUP(WWWW[[#This Row],[Site Name]],SiteDB6[[Site Name]:[Pop
(Kachin/Shan-CCCM as of May 2023)]],17,FALSE)</f>
        <v>269</v>
      </c>
    </row>
    <row r="318" spans="1:151">
      <c r="A318" s="946" t="s">
        <v>2962</v>
      </c>
      <c r="B318" s="938" t="s">
        <v>3347</v>
      </c>
      <c r="C318" s="938" t="s">
        <v>3347</v>
      </c>
      <c r="D318" s="1005" t="s">
        <v>241</v>
      </c>
      <c r="E318" s="1005" t="s">
        <v>37</v>
      </c>
      <c r="F318" s="1005" t="s">
        <v>159</v>
      </c>
      <c r="G318" s="902" t="str">
        <f>VLOOKUP(WWWW[[#This Row],[Site Name]],SiteDB6[[Site Name]:[Location Type]],8,FALSE)</f>
        <v>Camp</v>
      </c>
      <c r="H318" s="1005" t="s">
        <v>171</v>
      </c>
      <c r="I318" s="954">
        <v>24</v>
      </c>
      <c r="J318" s="954">
        <v>121</v>
      </c>
      <c r="K318" s="955">
        <v>44811</v>
      </c>
      <c r="L318" s="956">
        <v>45175</v>
      </c>
      <c r="M318" s="954"/>
      <c r="N318" s="954">
        <v>1</v>
      </c>
      <c r="O318" s="954"/>
      <c r="P318" s="954"/>
      <c r="Q318" s="957" t="s">
        <v>41</v>
      </c>
      <c r="R318" s="954">
        <v>2</v>
      </c>
      <c r="S318" s="954">
        <v>2</v>
      </c>
      <c r="T318" s="441">
        <v>3</v>
      </c>
      <c r="U318" s="954"/>
      <c r="V318" s="954"/>
      <c r="W318" s="976">
        <v>1</v>
      </c>
      <c r="X318" s="954"/>
      <c r="Y318" s="954"/>
      <c r="Z318" s="954"/>
      <c r="AA318" s="954"/>
      <c r="AB318" s="954"/>
      <c r="AC318" s="954"/>
      <c r="AD318" s="954"/>
      <c r="AE318" s="954"/>
      <c r="AF318" s="954"/>
      <c r="AG318" s="954"/>
      <c r="AH318" s="976">
        <v>4</v>
      </c>
      <c r="AI318" s="954"/>
      <c r="AJ318" s="954"/>
      <c r="AK318" s="954"/>
      <c r="AL318" s="954"/>
      <c r="AM318" s="954"/>
      <c r="AN318" s="954"/>
      <c r="AO318" s="441"/>
      <c r="AP318" s="958"/>
      <c r="AQ318" s="954">
        <v>5</v>
      </c>
      <c r="AR318" s="954"/>
      <c r="AS318" s="959"/>
      <c r="AT318" s="954"/>
      <c r="AU318" s="954"/>
      <c r="AV318" s="954"/>
      <c r="AW318" s="954"/>
      <c r="AX318" s="954">
        <v>5</v>
      </c>
      <c r="AY318" s="953" t="s">
        <v>41</v>
      </c>
      <c r="AZ318" s="958" t="s">
        <v>137</v>
      </c>
      <c r="BA318" s="954"/>
      <c r="BB318" s="954"/>
      <c r="BC318" s="954"/>
      <c r="BD318" s="441"/>
      <c r="BE318" s="441"/>
      <c r="BF318" s="953"/>
      <c r="BG318" s="954">
        <v>1</v>
      </c>
      <c r="BH318" s="954"/>
      <c r="BI318" s="954"/>
      <c r="BJ318" s="954">
        <v>3</v>
      </c>
      <c r="BK318" s="954"/>
      <c r="BL318" s="954"/>
      <c r="BM318" s="954"/>
      <c r="BN318" s="954"/>
      <c r="BO318" s="954"/>
      <c r="BP318" s="953"/>
      <c r="BQ318" s="960"/>
      <c r="BR318" s="959"/>
      <c r="BS318" s="953"/>
      <c r="BT318" s="416"/>
      <c r="BU318" s="416"/>
      <c r="BV318" s="418"/>
      <c r="BW318" s="416"/>
      <c r="BX318" s="441"/>
      <c r="BY318" s="441"/>
      <c r="BZ318" s="441"/>
      <c r="CA318" s="441"/>
      <c r="CB318" s="441"/>
      <c r="CC318" s="693"/>
      <c r="CD318" s="441"/>
      <c r="CE318" s="961" t="str">
        <f>IFERROR(WWWW[[#This Row],['#_Water sources passed]]/WWWW[[#This Row],['#_Water sources tested for fecal coliform ]],"no test")</f>
        <v>no test</v>
      </c>
      <c r="CF318" s="959" t="str">
        <f>IFERROR(WWWW[[#This Row],['#_Household passed]]/WWWW[[#This Row],['#_Household water samples tested for fecal coliform]],"no test")</f>
        <v>no test</v>
      </c>
      <c r="CG318" s="960" t="str">
        <f>IF(AND(WWWW[[#This Row],[% of water sources passed]]="no test",WWWW[[#This Row],[% Household passed]]="no test"),"No Test","Tested")</f>
        <v>No Test</v>
      </c>
      <c r="CH318" s="960">
        <f>WWWW[[#This Row],['#_Constructed/existing protected hand dug well]]-WWWW[[#This Row],['#_Non-functional protected hand dug well]]</f>
        <v>3</v>
      </c>
      <c r="CI318" s="960">
        <f>(WWWW[[#This Row],['#_Constructed/Existing tube wells/boreholes/handpumps_WASH_agency]]+WWWW[[#This Row],['#_Non-Cluster partner water tube-wells/boreholes/handpumps]])-WWWW[[#This Row],['#_Non-functional tube wells/boreholes/handpumps]]</f>
        <v>1</v>
      </c>
      <c r="CJ318" s="960">
        <f>WWWW[[#This Row],['#_Constructed/Existingwater storage tank with gravity fed reticulation system]]-WWWW[[#This Row],['#_Non-functional storage tank gravity fed reticulation system]]</f>
        <v>0</v>
      </c>
      <c r="CK318" s="960">
        <f>(WWWW[[#This Row],['#_Water_Liters_supplied_by_Water boating or water trucking]]/90)/15</f>
        <v>0</v>
      </c>
      <c r="CL318" s="960">
        <f>WWWW[[#This Row],['#_Water_Liters_from_Constructed/Existing water distribution system from river or natural spring]]/90/15</f>
        <v>0</v>
      </c>
      <c r="CM318" s="417">
        <f>IF(WWWW[[#This Row],['#_of water points in TLS/CFS]]*500&gt;WWWW[[#This Row],[Total PoP ]],WWWW[[#This Row],[Total PoP ]],WWWW[[#This Row],['#_of water points in TLS/CFS]]*500)</f>
        <v>0</v>
      </c>
      <c r="CN318" s="417">
        <f>IF(WWWW[[#This Row],['#_of water points in THF]]*500&gt;WWWW[[#This Row],[Total PoP ]],WWWW[[#This Row],[Total PoP ]],WWWW[[#This Row],['#_of water points in THF]]*500)</f>
        <v>0</v>
      </c>
      <c r="CO318" s="417"/>
      <c r="CP318"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18"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18" s="959">
        <f>IF(WWWW[[#This Row],[Location Type 1]]="Village",WWWW[[#This Row],[Access to safe drinking water for Village]],WWWW[[#This Row],[Access to safe drinking water for Camp]])</f>
        <v>1</v>
      </c>
      <c r="CS318" s="957">
        <f>WWWW[[#This Row],[%Equitable and continuous access to sufficient quantity of safe drinking water]]*WWWW[[#This Row],[Total PoP ]]</f>
        <v>121</v>
      </c>
      <c r="CT318" s="959">
        <f>IF((WWWW[[#This Row],['#_Constructed/Existing protected/fenced ponds]]*250)/WWWW[[#This Row],[Total PoP ]]&gt;1,1,(WWWW[[#This Row],['#_Constructed/Existing protected/fenced ponds]]*250)/WWWW[[#This Row],[Total PoP ]])</f>
        <v>0</v>
      </c>
      <c r="CU318" s="957">
        <f>WWWW[[#This Row],[% Access to unimproved water points]]*WWWW[[#This Row],[Total PoP ]]</f>
        <v>0</v>
      </c>
      <c r="CV318"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18"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121</v>
      </c>
      <c r="CX318" s="957">
        <f>WWWW[[#This Row],[HRP1]]/500</f>
        <v>0.24199999999999999</v>
      </c>
      <c r="CY318" s="962">
        <f>1-WWWW[[#This Row],[% Equitable and continuous access to sufficient quantity of domestic water]]</f>
        <v>0</v>
      </c>
      <c r="CZ318" s="957">
        <f>WWWW[[#This Row],[%equitable and continuous access to sufficient quantity of safe drinking and domestic water''s GAP]]*WWWW[[#This Row],[Total PoP ]]</f>
        <v>0</v>
      </c>
      <c r="DA318" s="960">
        <f>IF(WWWW[[#This Row],[Total required water points]]-WWWW[[#This Row],['#Water points coverage]]&lt;0,0,WWWW[[#This Row],[Total required water points]]-WWWW[[#This Row],['#Water points coverage]])</f>
        <v>0.75800000000000001</v>
      </c>
      <c r="DB318" s="960">
        <f>ROUND(IF(WWWW[[#This Row],[Total PoP ]]&lt;500,1,WWWW[[#This Row],[Total PoP ]]/500),0)</f>
        <v>1</v>
      </c>
      <c r="DC318" s="960">
        <f>(WWWW[[#This Row],['#_Constructed latrines_by_WASHAgencies]]+WWWW[[#This Row],['#_Non Cluster partner latrines]])-WWWW[[#This Row],['#_Non-functional latrines]]</f>
        <v>5</v>
      </c>
      <c r="DD318" s="615">
        <f>WWWW[[#This Row],[HRP2]]/WWWW[[#This Row],[Total PoP ]]</f>
        <v>0.82644628099173556</v>
      </c>
      <c r="DE318"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318"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18"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18" s="417">
        <f>IF(WWWW[[#This Row],['# of functional latrines in THF supported by WASH partners during the reporting period2]]="",0,WWWW[[#This Row],['# of functional latrines in THF supported by WASH partners during the reporting period2]]*50)</f>
        <v>0</v>
      </c>
      <c r="DI318" s="960">
        <f>ROUND(IF(WWWW[[#This Row],[Location Type 1]]="camp",WWWW[[#This Row],[Total PoP ]]/20,IF(WWWW[[#This Row],[Location Type 1]]="Temporary Location",WWWW[[#This Row],[Total PoP ]]/50,(WWWW[[#This Row],[Total PoP ]]/6))),0)</f>
        <v>6</v>
      </c>
      <c r="DJ318" s="960">
        <f>IF(WWWW[[#This Row],[Total required Latrines]]-(WWWW[[#This Row],['#_Constructed latrines_by_WASHAgencies]]+WWWW[[#This Row],['#_Non Cluster partner latrines]])&lt;0,0,WWWW[[#This Row],[Total required Latrines]]-(WWWW[[#This Row],['#_Constructed latrines_by_WASHAgencies]]+WWWW[[#This Row],['#_Non Cluster partner latrines]]))</f>
        <v>1</v>
      </c>
      <c r="DK318" s="962">
        <f>1-WWWW[[#This Row],[% people access to functioning Latrine]]</f>
        <v>0.17355371900826444</v>
      </c>
      <c r="DL318" s="961">
        <f>IF(OR(WWWW[[#This Row],['#_Non-functional latrines]]="",WWWW[[#This Row],['#_Non-functional latrines]]=0),0,WWWW[[#This Row],['#_Non-functional latrines]]/(WWWW[[#This Row],['#_Constructed latrines_by_WASHAgencies]]+WWWW[[#This Row],['#_Non Cluster partner latrines]]))</f>
        <v>0</v>
      </c>
      <c r="DM318" s="957">
        <f>IF(500*(WWWW[[#This Row],['#_male hygiene promoters]]+WWWW[[#This Row],['#_female hygiene promoters]])&gt;WWWW[[#This Row],[Total PoP ]],WWWW[[#This Row],[Total PoP ]],500*(WWWW[[#This Row],['#_male hygiene promoters]]+WWWW[[#This Row],['#_female hygiene promoters]]))</f>
        <v>0</v>
      </c>
      <c r="DN318"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18"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18" s="960">
        <f>IF(WWWW[[#This Row],['# People with access to soap]]&gt;WWWW[[#This Row],['# People with access to Sanity Pads]],WWWW[[#This Row],['# People with access to soap]],WWWW[[#This Row],['# People with access to Sanity Pads]])</f>
        <v>0</v>
      </c>
      <c r="DQ318" s="960">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18" s="962">
        <f>IF(WWWW[[#This Row],[HRP3]]/WWWW[[#This Row],[Total PoP ]]&gt;1,1,WWWW[[#This Row],[HRP3]]/WWWW[[#This Row],[Total PoP ]])</f>
        <v>0</v>
      </c>
      <c r="DS318" s="961">
        <f>1-WWWW[[#This Row],[Hygiene Coverage%]]</f>
        <v>1</v>
      </c>
      <c r="DT318" s="959">
        <f>WWWW[[#This Row],['# people reached by regular dedicated hygiene promotion_5]]/WWWW[[#This Row],[Total PoP ]]</f>
        <v>0</v>
      </c>
      <c r="DU318"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18"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18" s="960">
        <f>WWWW[[#This Row],['#_Constructed/Existing hand washing stations]]-WWWW[[#This Row],['#_Non-Functional_hand_washing_stations]]</f>
        <v>1</v>
      </c>
      <c r="DX318" s="957">
        <f>IF(WWWW[[#This Row],['# Functional hand washing stations during reporting period]]*20&gt;WWWW[[#This Row],[Total HH]],WWWW[[#This Row],[Total HH]],WWWW[[#This Row],['# Functional hand washing stations during reporting period]]*20)</f>
        <v>20</v>
      </c>
      <c r="DY318" s="957">
        <f>IF(WWWW[[#This Row],[Is sufficient soap available for TLS? (Yes/No)]]="yes",WWWW[[#This Row],['#_Constructed/Existing hand washing stations at TLS/CFS/THF]],0)</f>
        <v>0</v>
      </c>
      <c r="DZ318" s="421">
        <f>IF(WWWW[[#This Row],['# Functional hand washing stations during reporting period]]*100&gt;WWWW[[#This Row],[Total PoP ]],WWWW[[#This Row],[Total PoP ]],WWWW[[#This Row],['# Functional hand washing stations during reporting period]]*100)</f>
        <v>100</v>
      </c>
      <c r="EA318" s="421" t="str">
        <f>IF(OR(WWWW[[#This Row],['#_students at TLS_CFS]]="",WWWW[[#This Row],['#_students at TLS_CFS]]=0),"No","Yes")</f>
        <v>No</v>
      </c>
      <c r="EB31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18" s="566">
        <f>WWWW[[#This Row],[%_of_affected_people_surveyed_who_report_feeling_satistfied_with_the_latrine_design_and_sanitation_service]]*WWWW[[#This Row],[Total PoP ]]</f>
        <v>0</v>
      </c>
      <c r="ED318" s="566">
        <f>WWWW[[#This Row],[%_of_affected_people_surveyed_who_report_feeling_satistfied_with_the_water_point_design_and_water_service]]*WWWW[[#This Row],[Total PoP ]]</f>
        <v>0</v>
      </c>
      <c r="EE318" s="566">
        <f>WWWW[[#This Row],[%_of_complaints_received_that_result_in_timely_corrective_action_and_feedback_to_the_community]]*WWWW[[#This Row],[Total PoP ]]</f>
        <v>0</v>
      </c>
      <c r="EF31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1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1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18" s="953" t="str">
        <f>VLOOKUP(WWWW[[#This Row],[Site Name]],SiteDB6[[Site Name]:[CCCM Management]],6,FALSE)</f>
        <v>Yes</v>
      </c>
      <c r="EJ318" s="953" t="str">
        <f>VLOOKUP(WWWW[[#This Row],[Site Name]],SiteDB6[[Site Name]:[CCCM Focal Agency]],7,FALSE)</f>
        <v>KBC-MYT</v>
      </c>
      <c r="EK318" s="953" t="str">
        <f>VLOOKUP(WWWW[[#This Row],[Site Name]],SiteDB6[[Site Name]:[Location Type 1]],9,FALSE)</f>
        <v>Camp</v>
      </c>
      <c r="EL318" s="953" t="str">
        <f>VLOOKUP(WWWW[[#This Row],[Site Name]],SiteDB6[[Site Name]:[Type of Accommodation]],10,FALSE)</f>
        <v>Camp</v>
      </c>
      <c r="EM318" s="953" t="str">
        <f>VLOOKUP(WWWW[[#This Row],[Site Name]],SiteDB6[[Site Name]:[Ethnic or GCA/NGCA]],11,FALSE)</f>
        <v>GCA</v>
      </c>
      <c r="EN318" s="953">
        <f>VLOOKUP(WWWW[[#This Row],[Site Name]],SiteDB6[[Site Name]:[Lat]],12,FALSE)</f>
        <v>25.404752999999999</v>
      </c>
      <c r="EO318" s="953">
        <f>VLOOKUP(WWWW[[#This Row],[Site Name]],SiteDB6[[Site Name]:[Long]],13,FALSE)</f>
        <v>97.377662999999998</v>
      </c>
      <c r="EP318" s="953" t="str">
        <f>VLOOKUP(WWWW[[#This Row],[Site Name]],SiteDB6[[Site Name]:[Pcode]],3,FALSE)</f>
        <v>MMR001CMP003</v>
      </c>
      <c r="EQ318" s="958" t="str">
        <f t="shared" si="7"/>
        <v>Covered</v>
      </c>
      <c r="ER318" s="950" t="s">
        <v>3126</v>
      </c>
      <c r="ES318" s="950" t="s">
        <v>3267</v>
      </c>
      <c r="ET318" s="953">
        <f>VLOOKUP(WWWW[[#This Row],[Site Name]],SiteDB6[[Site Name]:[Pop
(Kachin/Shan-CCCM as of May 2023)]],16,FALSE)</f>
        <v>28</v>
      </c>
      <c r="EU318" s="953">
        <f>VLOOKUP(WWWW[[#This Row],[Site Name]],SiteDB6[[Site Name]:[Pop
(Kachin/Shan-CCCM as of May 2023)]],17,FALSE)</f>
        <v>137</v>
      </c>
    </row>
    <row r="319" spans="1:151">
      <c r="A319" s="946" t="s">
        <v>2962</v>
      </c>
      <c r="B319" s="938" t="s">
        <v>3347</v>
      </c>
      <c r="C319" s="938" t="s">
        <v>3347</v>
      </c>
      <c r="D319" s="1005" t="s">
        <v>241</v>
      </c>
      <c r="E319" s="1005" t="s">
        <v>37</v>
      </c>
      <c r="F319" s="1005" t="s">
        <v>159</v>
      </c>
      <c r="G319" s="902" t="str">
        <f>VLOOKUP(WWWW[[#This Row],[Site Name]],SiteDB6[[Site Name]:[Location Type]],8,FALSE)</f>
        <v>Camp</v>
      </c>
      <c r="H319" s="1005" t="s">
        <v>172</v>
      </c>
      <c r="I319" s="954">
        <v>14</v>
      </c>
      <c r="J319" s="954">
        <v>62</v>
      </c>
      <c r="K319" s="955">
        <v>44811</v>
      </c>
      <c r="L319" s="956">
        <v>45175</v>
      </c>
      <c r="M319" s="954"/>
      <c r="N319" s="954">
        <v>1</v>
      </c>
      <c r="O319" s="954"/>
      <c r="P319" s="954"/>
      <c r="Q319" s="957" t="s">
        <v>41</v>
      </c>
      <c r="R319" s="954">
        <v>2</v>
      </c>
      <c r="S319" s="954">
        <v>3</v>
      </c>
      <c r="T319" s="441">
        <v>2</v>
      </c>
      <c r="U319" s="954"/>
      <c r="V319" s="954"/>
      <c r="W319" s="954">
        <v>1</v>
      </c>
      <c r="X319" s="954"/>
      <c r="Y319" s="954"/>
      <c r="Z319" s="954"/>
      <c r="AA319" s="954"/>
      <c r="AB319" s="954"/>
      <c r="AC319" s="954"/>
      <c r="AD319" s="954"/>
      <c r="AE319" s="954"/>
      <c r="AF319" s="954"/>
      <c r="AG319" s="954"/>
      <c r="AH319" s="954">
        <v>3</v>
      </c>
      <c r="AI319" s="954"/>
      <c r="AJ319" s="954"/>
      <c r="AK319" s="954"/>
      <c r="AL319" s="954"/>
      <c r="AM319" s="954"/>
      <c r="AN319" s="954"/>
      <c r="AO319" s="441"/>
      <c r="AP319" s="958"/>
      <c r="AQ319" s="954">
        <v>13</v>
      </c>
      <c r="AR319" s="954"/>
      <c r="AS319" s="959"/>
      <c r="AT319" s="954"/>
      <c r="AU319" s="954"/>
      <c r="AV319" s="954"/>
      <c r="AW319" s="954"/>
      <c r="AX319" s="954">
        <v>13</v>
      </c>
      <c r="AY319" s="953" t="s">
        <v>41</v>
      </c>
      <c r="AZ319" s="958" t="s">
        <v>137</v>
      </c>
      <c r="BA319" s="954"/>
      <c r="BB319" s="954"/>
      <c r="BC319" s="954"/>
      <c r="BD319" s="441"/>
      <c r="BE319" s="441"/>
      <c r="BF319" s="953"/>
      <c r="BG319" s="954">
        <v>1</v>
      </c>
      <c r="BH319" s="954"/>
      <c r="BI319" s="954"/>
      <c r="BJ319" s="954">
        <v>1</v>
      </c>
      <c r="BK319" s="954"/>
      <c r="BL319" s="954"/>
      <c r="BM319" s="954"/>
      <c r="BN319" s="954"/>
      <c r="BO319" s="954"/>
      <c r="BP319" s="953"/>
      <c r="BQ319" s="960"/>
      <c r="BR319" s="959"/>
      <c r="BS319" s="953"/>
      <c r="BT319" s="416"/>
      <c r="BU319" s="416"/>
      <c r="BV319" s="418"/>
      <c r="BW319" s="416"/>
      <c r="BX319" s="441"/>
      <c r="BY319" s="441"/>
      <c r="BZ319" s="441"/>
      <c r="CA319" s="441"/>
      <c r="CB319" s="441"/>
      <c r="CC319" s="693"/>
      <c r="CD319" s="441"/>
      <c r="CE319" s="961" t="str">
        <f>IFERROR(WWWW[[#This Row],['#_Water sources passed]]/WWWW[[#This Row],['#_Water sources tested for fecal coliform ]],"no test")</f>
        <v>no test</v>
      </c>
      <c r="CF319" s="959" t="str">
        <f>IFERROR(WWWW[[#This Row],['#_Household passed]]/WWWW[[#This Row],['#_Household water samples tested for fecal coliform]],"no test")</f>
        <v>no test</v>
      </c>
      <c r="CG319" s="960" t="str">
        <f>IF(AND(WWWW[[#This Row],[% of water sources passed]]="no test",WWWW[[#This Row],[% Household passed]]="no test"),"No Test","Tested")</f>
        <v>No Test</v>
      </c>
      <c r="CH319" s="960">
        <f>WWWW[[#This Row],['#_Constructed/existing protected hand dug well]]-WWWW[[#This Row],['#_Non-functional protected hand dug well]]</f>
        <v>2</v>
      </c>
      <c r="CI319" s="960">
        <f>(WWWW[[#This Row],['#_Constructed/Existing tube wells/boreholes/handpumps_WASH_agency]]+WWWW[[#This Row],['#_Non-Cluster partner water tube-wells/boreholes/handpumps]])-WWWW[[#This Row],['#_Non-functional tube wells/boreholes/handpumps]]</f>
        <v>1</v>
      </c>
      <c r="CJ319" s="960">
        <f>WWWW[[#This Row],['#_Constructed/Existingwater storage tank with gravity fed reticulation system]]-WWWW[[#This Row],['#_Non-functional storage tank gravity fed reticulation system]]</f>
        <v>0</v>
      </c>
      <c r="CK319" s="960">
        <f>(WWWW[[#This Row],['#_Water_Liters_supplied_by_Water boating or water trucking]]/90)/15</f>
        <v>0</v>
      </c>
      <c r="CL319" s="960">
        <f>WWWW[[#This Row],['#_Water_Liters_from_Constructed/Existing water distribution system from river or natural spring]]/90/15</f>
        <v>0</v>
      </c>
      <c r="CM319" s="417">
        <f>IF(WWWW[[#This Row],['#_of water points in TLS/CFS]]*500&gt;WWWW[[#This Row],[Total PoP ]],WWWW[[#This Row],[Total PoP ]],WWWW[[#This Row],['#_of water points in TLS/CFS]]*500)</f>
        <v>0</v>
      </c>
      <c r="CN319" s="417">
        <f>IF(WWWW[[#This Row],['#_of water points in THF]]*500&gt;WWWW[[#This Row],[Total PoP ]],WWWW[[#This Row],[Total PoP ]],WWWW[[#This Row],['#_of water points in THF]]*500)</f>
        <v>0</v>
      </c>
      <c r="CO319" s="417"/>
      <c r="CP319"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19"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19" s="959">
        <f>IF(WWWW[[#This Row],[Location Type 1]]="Village",WWWW[[#This Row],[Access to safe drinking water for Village]],WWWW[[#This Row],[Access to safe drinking water for Camp]])</f>
        <v>1</v>
      </c>
      <c r="CS319" s="957">
        <f>WWWW[[#This Row],[%Equitable and continuous access to sufficient quantity of safe drinking water]]*WWWW[[#This Row],[Total PoP ]]</f>
        <v>62</v>
      </c>
      <c r="CT319" s="959">
        <f>IF((WWWW[[#This Row],['#_Constructed/Existing protected/fenced ponds]]*250)/WWWW[[#This Row],[Total PoP ]]&gt;1,1,(WWWW[[#This Row],['#_Constructed/Existing protected/fenced ponds]]*250)/WWWW[[#This Row],[Total PoP ]])</f>
        <v>0</v>
      </c>
      <c r="CU319" s="957">
        <f>WWWW[[#This Row],[% Access to unimproved water points]]*WWWW[[#This Row],[Total PoP ]]</f>
        <v>0</v>
      </c>
      <c r="CV319"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19"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v>
      </c>
      <c r="CX319" s="957">
        <f>WWWW[[#This Row],[HRP1]]/500</f>
        <v>0.124</v>
      </c>
      <c r="CY319" s="962">
        <f>1-WWWW[[#This Row],[% Equitable and continuous access to sufficient quantity of domestic water]]</f>
        <v>0</v>
      </c>
      <c r="CZ319" s="957">
        <f>WWWW[[#This Row],[%equitable and continuous access to sufficient quantity of safe drinking and domestic water''s GAP]]*WWWW[[#This Row],[Total PoP ]]</f>
        <v>0</v>
      </c>
      <c r="DA319" s="960">
        <f>IF(WWWW[[#This Row],[Total required water points]]-WWWW[[#This Row],['#Water points coverage]]&lt;0,0,WWWW[[#This Row],[Total required water points]]-WWWW[[#This Row],['#Water points coverage]])</f>
        <v>0.876</v>
      </c>
      <c r="DB319" s="960">
        <f>ROUND(IF(WWWW[[#This Row],[Total PoP ]]&lt;500,1,WWWW[[#This Row],[Total PoP ]]/500),0)</f>
        <v>1</v>
      </c>
      <c r="DC319" s="960">
        <f>(WWWW[[#This Row],['#_Constructed latrines_by_WASHAgencies]]+WWWW[[#This Row],['#_Non Cluster partner latrines]])-WWWW[[#This Row],['#_Non-functional latrines]]</f>
        <v>13</v>
      </c>
      <c r="DD319" s="615">
        <f>WWWW[[#This Row],[HRP2]]/WWWW[[#This Row],[Total PoP ]]</f>
        <v>1</v>
      </c>
      <c r="DE319"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62</v>
      </c>
      <c r="DF319"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19"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19" s="417">
        <f>IF(WWWW[[#This Row],['# of functional latrines in THF supported by WASH partners during the reporting period2]]="",0,WWWW[[#This Row],['# of functional latrines in THF supported by WASH partners during the reporting period2]]*50)</f>
        <v>0</v>
      </c>
      <c r="DI319" s="960">
        <f>ROUND(IF(WWWW[[#This Row],[Location Type 1]]="camp",WWWW[[#This Row],[Total PoP ]]/20,IF(WWWW[[#This Row],[Location Type 1]]="Temporary Location",WWWW[[#This Row],[Total PoP ]]/50,(WWWW[[#This Row],[Total PoP ]]/6))),0)</f>
        <v>3</v>
      </c>
      <c r="DJ319" s="960">
        <f>IF(WWWW[[#This Row],[Total required Latrines]]-(WWWW[[#This Row],['#_Constructed latrines_by_WASHAgencies]]+WWWW[[#This Row],['#_Non Cluster partner latrines]])&lt;0,0,WWWW[[#This Row],[Total required Latrines]]-(WWWW[[#This Row],['#_Constructed latrines_by_WASHAgencies]]+WWWW[[#This Row],['#_Non Cluster partner latrines]]))</f>
        <v>0</v>
      </c>
      <c r="DK319" s="962">
        <f>1-WWWW[[#This Row],[% people access to functioning Latrine]]</f>
        <v>0</v>
      </c>
      <c r="DL319" s="961">
        <f>IF(OR(WWWW[[#This Row],['#_Non-functional latrines]]="",WWWW[[#This Row],['#_Non-functional latrines]]=0),0,WWWW[[#This Row],['#_Non-functional latrines]]/(WWWW[[#This Row],['#_Constructed latrines_by_WASHAgencies]]+WWWW[[#This Row],['#_Non Cluster partner latrines]]))</f>
        <v>0</v>
      </c>
      <c r="DM319" s="957">
        <f>IF(500*(WWWW[[#This Row],['#_male hygiene promoters]]+WWWW[[#This Row],['#_female hygiene promoters]])&gt;WWWW[[#This Row],[Total PoP ]],WWWW[[#This Row],[Total PoP ]],500*(WWWW[[#This Row],['#_male hygiene promoters]]+WWWW[[#This Row],['#_female hygiene promoters]]))</f>
        <v>0</v>
      </c>
      <c r="DN319"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19"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19" s="960">
        <f>IF(WWWW[[#This Row],['# People with access to soap]]&gt;WWWW[[#This Row],['# People with access to Sanity Pads]],WWWW[[#This Row],['# People with access to soap]],WWWW[[#This Row],['# People with access to Sanity Pads]])</f>
        <v>0</v>
      </c>
      <c r="DQ319" s="960">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19" s="962">
        <f>IF(WWWW[[#This Row],[HRP3]]/WWWW[[#This Row],[Total PoP ]]&gt;1,1,WWWW[[#This Row],[HRP3]]/WWWW[[#This Row],[Total PoP ]])</f>
        <v>0</v>
      </c>
      <c r="DS319" s="961">
        <f>1-WWWW[[#This Row],[Hygiene Coverage%]]</f>
        <v>1</v>
      </c>
      <c r="DT319" s="959">
        <f>WWWW[[#This Row],['# people reached by regular dedicated hygiene promotion_5]]/WWWW[[#This Row],[Total PoP ]]</f>
        <v>0</v>
      </c>
      <c r="DU319"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19"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19" s="960">
        <f>WWWW[[#This Row],['#_Constructed/Existing hand washing stations]]-WWWW[[#This Row],['#_Non-Functional_hand_washing_stations]]</f>
        <v>1</v>
      </c>
      <c r="DX319" s="957">
        <f>IF(WWWW[[#This Row],['# Functional hand washing stations during reporting period]]*20&gt;WWWW[[#This Row],[Total HH]],WWWW[[#This Row],[Total HH]],WWWW[[#This Row],['# Functional hand washing stations during reporting period]]*20)</f>
        <v>14</v>
      </c>
      <c r="DY319" s="957">
        <f>IF(WWWW[[#This Row],[Is sufficient soap available for TLS? (Yes/No)]]="yes",WWWW[[#This Row],['#_Constructed/Existing hand washing stations at TLS/CFS/THF]],0)</f>
        <v>0</v>
      </c>
      <c r="DZ319" s="421">
        <f>IF(WWWW[[#This Row],['# Functional hand washing stations during reporting period]]*100&gt;WWWW[[#This Row],[Total PoP ]],WWWW[[#This Row],[Total PoP ]],WWWW[[#This Row],['# Functional hand washing stations during reporting period]]*100)</f>
        <v>62</v>
      </c>
      <c r="EA319" s="421" t="str">
        <f>IF(OR(WWWW[[#This Row],['#_students at TLS_CFS]]="",WWWW[[#This Row],['#_students at TLS_CFS]]=0),"No","Yes")</f>
        <v>No</v>
      </c>
      <c r="EB31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19" s="566">
        <f>WWWW[[#This Row],[%_of_affected_people_surveyed_who_report_feeling_satistfied_with_the_latrine_design_and_sanitation_service]]*WWWW[[#This Row],[Total PoP ]]</f>
        <v>0</v>
      </c>
      <c r="ED319" s="566">
        <f>WWWW[[#This Row],[%_of_affected_people_surveyed_who_report_feeling_satistfied_with_the_water_point_design_and_water_service]]*WWWW[[#This Row],[Total PoP ]]</f>
        <v>0</v>
      </c>
      <c r="EE319" s="566">
        <f>WWWW[[#This Row],[%_of_complaints_received_that_result_in_timely_corrective_action_and_feedback_to_the_community]]*WWWW[[#This Row],[Total PoP ]]</f>
        <v>0</v>
      </c>
      <c r="EF31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1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1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19" s="953" t="str">
        <f>VLOOKUP(WWWW[[#This Row],[Site Name]],SiteDB6[[Site Name]:[CCCM Management]],6,FALSE)</f>
        <v>Yes</v>
      </c>
      <c r="EJ319" s="953" t="str">
        <f>VLOOKUP(WWWW[[#This Row],[Site Name]],SiteDB6[[Site Name]:[CCCM Focal Agency]],7,FALSE)</f>
        <v>KBC-MYT</v>
      </c>
      <c r="EK319" s="953" t="str">
        <f>VLOOKUP(WWWW[[#This Row],[Site Name]],SiteDB6[[Site Name]:[Location Type 1]],9,FALSE)</f>
        <v>Camp</v>
      </c>
      <c r="EL319" s="953" t="str">
        <f>VLOOKUP(WWWW[[#This Row],[Site Name]],SiteDB6[[Site Name]:[Type of Accommodation]],10,FALSE)</f>
        <v>Camp</v>
      </c>
      <c r="EM319" s="953" t="str">
        <f>VLOOKUP(WWWW[[#This Row],[Site Name]],SiteDB6[[Site Name]:[Ethnic or GCA/NGCA]],11,FALSE)</f>
        <v>GCA</v>
      </c>
      <c r="EN319" s="953">
        <f>VLOOKUP(WWWW[[#This Row],[Site Name]],SiteDB6[[Site Name]:[Lat]],12,FALSE)</f>
        <v>25.437125999999999</v>
      </c>
      <c r="EO319" s="953">
        <f>VLOOKUP(WWWW[[#This Row],[Site Name]],SiteDB6[[Site Name]:[Long]],13,FALSE)</f>
        <v>97.387276</v>
      </c>
      <c r="EP319" s="953" t="str">
        <f>VLOOKUP(WWWW[[#This Row],[Site Name]],SiteDB6[[Site Name]:[Pcode]],3,FALSE)</f>
        <v>MMR001CMP005</v>
      </c>
      <c r="EQ319" s="958" t="str">
        <f t="shared" si="7"/>
        <v>Covered</v>
      </c>
      <c r="ER319" s="950" t="s">
        <v>3126</v>
      </c>
      <c r="ES319" s="950" t="s">
        <v>3267</v>
      </c>
      <c r="ET319" s="953">
        <f>VLOOKUP(WWWW[[#This Row],[Site Name]],SiteDB6[[Site Name]:[Pop
(Kachin/Shan-CCCM as of May 2023)]],16,FALSE)</f>
        <v>47</v>
      </c>
      <c r="EU319" s="953">
        <f>VLOOKUP(WWWW[[#This Row],[Site Name]],SiteDB6[[Site Name]:[Pop
(Kachin/Shan-CCCM as of May 2023)]],17,FALSE)</f>
        <v>240</v>
      </c>
    </row>
    <row r="320" spans="1:151">
      <c r="A320" s="946" t="s">
        <v>2962</v>
      </c>
      <c r="B320" s="938" t="s">
        <v>3347</v>
      </c>
      <c r="C320" s="938" t="s">
        <v>3347</v>
      </c>
      <c r="D320" s="1005" t="s">
        <v>241</v>
      </c>
      <c r="E320" s="1005" t="s">
        <v>37</v>
      </c>
      <c r="F320" s="1005" t="s">
        <v>159</v>
      </c>
      <c r="G320" s="902" t="str">
        <f>VLOOKUP(WWWW[[#This Row],[Site Name]],SiteDB6[[Site Name]:[Location Type]],8,FALSE)</f>
        <v>Camp</v>
      </c>
      <c r="H320" s="1005" t="s">
        <v>1609</v>
      </c>
      <c r="I320" s="954">
        <v>198</v>
      </c>
      <c r="J320" s="954">
        <v>1148</v>
      </c>
      <c r="K320" s="955">
        <v>44811</v>
      </c>
      <c r="L320" s="956">
        <v>45175</v>
      </c>
      <c r="M320" s="954"/>
      <c r="N320" s="954">
        <v>2</v>
      </c>
      <c r="O320" s="954"/>
      <c r="P320" s="954"/>
      <c r="Q320" s="957" t="s">
        <v>41</v>
      </c>
      <c r="R320" s="954">
        <v>2</v>
      </c>
      <c r="S320" s="954">
        <v>3</v>
      </c>
      <c r="T320" s="441">
        <v>2</v>
      </c>
      <c r="U320" s="954"/>
      <c r="V320" s="954"/>
      <c r="W320" s="954">
        <v>3</v>
      </c>
      <c r="X320" s="954"/>
      <c r="Y320" s="954"/>
      <c r="Z320" s="954"/>
      <c r="AA320" s="954"/>
      <c r="AB320" s="954"/>
      <c r="AC320" s="954"/>
      <c r="AD320" s="954"/>
      <c r="AE320" s="954"/>
      <c r="AF320" s="954"/>
      <c r="AG320" s="954"/>
      <c r="AH320" s="976">
        <v>5</v>
      </c>
      <c r="AI320" s="954"/>
      <c r="AJ320" s="954"/>
      <c r="AK320" s="954"/>
      <c r="AL320" s="954"/>
      <c r="AM320" s="954"/>
      <c r="AN320" s="954"/>
      <c r="AO320" s="441"/>
      <c r="AP320" s="958"/>
      <c r="AQ320" s="954">
        <v>28</v>
      </c>
      <c r="AR320" s="954"/>
      <c r="AS320" s="959"/>
      <c r="AT320" s="954"/>
      <c r="AU320" s="954"/>
      <c r="AV320" s="954"/>
      <c r="AW320" s="954"/>
      <c r="AX320" s="954">
        <v>10</v>
      </c>
      <c r="AY320" s="953" t="s">
        <v>41</v>
      </c>
      <c r="AZ320" s="958" t="s">
        <v>137</v>
      </c>
      <c r="BA320" s="954"/>
      <c r="BB320" s="954"/>
      <c r="BC320" s="954"/>
      <c r="BD320" s="441"/>
      <c r="BE320" s="441"/>
      <c r="BF320" s="953"/>
      <c r="BG320" s="954">
        <v>3</v>
      </c>
      <c r="BH320" s="954"/>
      <c r="BI320" s="954"/>
      <c r="BJ320" s="954">
        <v>2</v>
      </c>
      <c r="BK320" s="954"/>
      <c r="BL320" s="954">
        <v>1</v>
      </c>
      <c r="BM320" s="954"/>
      <c r="BN320" s="954"/>
      <c r="BO320" s="954"/>
      <c r="BP320" s="953"/>
      <c r="BQ320" s="960"/>
      <c r="BR320" s="959"/>
      <c r="BS320" s="953"/>
      <c r="BT320" s="416"/>
      <c r="BU320" s="416"/>
      <c r="BV320" s="418"/>
      <c r="BW320" s="416"/>
      <c r="BX320" s="441"/>
      <c r="BY320" s="441"/>
      <c r="BZ320" s="441"/>
      <c r="CA320" s="441"/>
      <c r="CB320" s="441"/>
      <c r="CC320" s="693"/>
      <c r="CD320" s="441"/>
      <c r="CE320" s="961" t="str">
        <f>IFERROR(WWWW[[#This Row],['#_Water sources passed]]/WWWW[[#This Row],['#_Water sources tested for fecal coliform ]],"no test")</f>
        <v>no test</v>
      </c>
      <c r="CF320" s="959" t="str">
        <f>IFERROR(WWWW[[#This Row],['#_Household passed]]/WWWW[[#This Row],['#_Household water samples tested for fecal coliform]],"no test")</f>
        <v>no test</v>
      </c>
      <c r="CG320" s="960" t="str">
        <f>IF(AND(WWWW[[#This Row],[% of water sources passed]]="no test",WWWW[[#This Row],[% Household passed]]="no test"),"No Test","Tested")</f>
        <v>No Test</v>
      </c>
      <c r="CH320" s="960">
        <f>WWWW[[#This Row],['#_Constructed/existing protected hand dug well]]-WWWW[[#This Row],['#_Non-functional protected hand dug well]]</f>
        <v>2</v>
      </c>
      <c r="CI320" s="960">
        <f>(WWWW[[#This Row],['#_Constructed/Existing tube wells/boreholes/handpumps_WASH_agency]]+WWWW[[#This Row],['#_Non-Cluster partner water tube-wells/boreholes/handpumps]])-WWWW[[#This Row],['#_Non-functional tube wells/boreholes/handpumps]]</f>
        <v>3</v>
      </c>
      <c r="CJ320" s="960">
        <f>WWWW[[#This Row],['#_Constructed/Existingwater storage tank with gravity fed reticulation system]]-WWWW[[#This Row],['#_Non-functional storage tank gravity fed reticulation system]]</f>
        <v>0</v>
      </c>
      <c r="CK320" s="960">
        <f>(WWWW[[#This Row],['#_Water_Liters_supplied_by_Water boating or water trucking]]/90)/15</f>
        <v>0</v>
      </c>
      <c r="CL320" s="960">
        <f>WWWW[[#This Row],['#_Water_Liters_from_Constructed/Existing water distribution system from river or natural spring]]/90/15</f>
        <v>0</v>
      </c>
      <c r="CM320" s="417">
        <f>IF(WWWW[[#This Row],['#_of water points in TLS/CFS]]*500&gt;WWWW[[#This Row],[Total PoP ]],WWWW[[#This Row],[Total PoP ]],WWWW[[#This Row],['#_of water points in TLS/CFS]]*500)</f>
        <v>0</v>
      </c>
      <c r="CN320" s="417">
        <f>IF(WWWW[[#This Row],['#_of water points in THF]]*500&gt;WWWW[[#This Row],[Total PoP ]],WWWW[[#This Row],[Total PoP ]],WWWW[[#This Row],['#_of water points in THF]]*500)</f>
        <v>0</v>
      </c>
      <c r="CO320" s="417"/>
      <c r="CP320"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20"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20" s="959">
        <f>IF(WWWW[[#This Row],[Location Type 1]]="Village",WWWW[[#This Row],[Access to safe drinking water for Village]],WWWW[[#This Row],[Access to safe drinking water for Camp]])</f>
        <v>1</v>
      </c>
      <c r="CS320" s="957">
        <f>WWWW[[#This Row],[%Equitable and continuous access to sufficient quantity of safe drinking water]]*WWWW[[#This Row],[Total PoP ]]</f>
        <v>1148</v>
      </c>
      <c r="CT320" s="959">
        <f>IF((WWWW[[#This Row],['#_Constructed/Existing protected/fenced ponds]]*250)/WWWW[[#This Row],[Total PoP ]]&gt;1,1,(WWWW[[#This Row],['#_Constructed/Existing protected/fenced ponds]]*250)/WWWW[[#This Row],[Total PoP ]])</f>
        <v>0</v>
      </c>
      <c r="CU320" s="957">
        <f>WWWW[[#This Row],[% Access to unimproved water points]]*WWWW[[#This Row],[Total PoP ]]</f>
        <v>0</v>
      </c>
      <c r="CV320"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20"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1148</v>
      </c>
      <c r="CX320" s="957">
        <f>WWWW[[#This Row],[HRP1]]/500</f>
        <v>2.2959999999999998</v>
      </c>
      <c r="CY320" s="962">
        <f>1-WWWW[[#This Row],[% Equitable and continuous access to sufficient quantity of domestic water]]</f>
        <v>0</v>
      </c>
      <c r="CZ320" s="957">
        <f>WWWW[[#This Row],[%equitable and continuous access to sufficient quantity of safe drinking and domestic water''s GAP]]*WWWW[[#This Row],[Total PoP ]]</f>
        <v>0</v>
      </c>
      <c r="DA320" s="960">
        <f>IF(WWWW[[#This Row],[Total required water points]]-WWWW[[#This Row],['#Water points coverage]]&lt;0,0,WWWW[[#This Row],[Total required water points]]-WWWW[[#This Row],['#Water points coverage]])</f>
        <v>0</v>
      </c>
      <c r="DB320" s="960">
        <f>ROUND(IF(WWWW[[#This Row],[Total PoP ]]&lt;500,1,WWWW[[#This Row],[Total PoP ]]/500),0)</f>
        <v>2</v>
      </c>
      <c r="DC320" s="960">
        <f>(WWWW[[#This Row],['#_Constructed latrines_by_WASHAgencies]]+WWWW[[#This Row],['#_Non Cluster partner latrines]])-WWWW[[#This Row],['#_Non-functional latrines]]</f>
        <v>28</v>
      </c>
      <c r="DD320" s="615">
        <f>WWWW[[#This Row],[HRP2]]/WWWW[[#This Row],[Total PoP ]]</f>
        <v>0.48780487804878048</v>
      </c>
      <c r="DE320"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560</v>
      </c>
      <c r="DF320"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20"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20" s="417">
        <f>IF(WWWW[[#This Row],['# of functional latrines in THF supported by WASH partners during the reporting period2]]="",0,WWWW[[#This Row],['# of functional latrines in THF supported by WASH partners during the reporting period2]]*50)</f>
        <v>0</v>
      </c>
      <c r="DI320" s="960">
        <f>ROUND(IF(WWWW[[#This Row],[Location Type 1]]="camp",WWWW[[#This Row],[Total PoP ]]/20,IF(WWWW[[#This Row],[Location Type 1]]="Temporary Location",WWWW[[#This Row],[Total PoP ]]/50,(WWWW[[#This Row],[Total PoP ]]/6))),0)</f>
        <v>57</v>
      </c>
      <c r="DJ320" s="960">
        <f>IF(WWWW[[#This Row],[Total required Latrines]]-(WWWW[[#This Row],['#_Constructed latrines_by_WASHAgencies]]+WWWW[[#This Row],['#_Non Cluster partner latrines]])&lt;0,0,WWWW[[#This Row],[Total required Latrines]]-(WWWW[[#This Row],['#_Constructed latrines_by_WASHAgencies]]+WWWW[[#This Row],['#_Non Cluster partner latrines]]))</f>
        <v>29</v>
      </c>
      <c r="DK320" s="962">
        <f>1-WWWW[[#This Row],[% people access to functioning Latrine]]</f>
        <v>0.51219512195121952</v>
      </c>
      <c r="DL320" s="961">
        <f>IF(OR(WWWW[[#This Row],['#_Non-functional latrines]]="",WWWW[[#This Row],['#_Non-functional latrines]]=0),0,WWWW[[#This Row],['#_Non-functional latrines]]/(WWWW[[#This Row],['#_Constructed latrines_by_WASHAgencies]]+WWWW[[#This Row],['#_Non Cluster partner latrines]]))</f>
        <v>0</v>
      </c>
      <c r="DM320" s="957">
        <f>IF(500*(WWWW[[#This Row],['#_male hygiene promoters]]+WWWW[[#This Row],['#_female hygiene promoters]])&gt;WWWW[[#This Row],[Total PoP ]],WWWW[[#This Row],[Total PoP ]],500*(WWWW[[#This Row],['#_male hygiene promoters]]+WWWW[[#This Row],['#_female hygiene promoters]]))</f>
        <v>500</v>
      </c>
      <c r="DN320"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20"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20" s="960">
        <f>IF(WWWW[[#This Row],['# People with access to soap]]&gt;WWWW[[#This Row],['# People with access to Sanity Pads]],WWWW[[#This Row],['# People with access to soap]],WWWW[[#This Row],['# People with access to Sanity Pads]])</f>
        <v>0</v>
      </c>
      <c r="DQ320" s="960">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320" s="962">
        <f>IF(WWWW[[#This Row],[HRP3]]/WWWW[[#This Row],[Total PoP ]]&gt;1,1,WWWW[[#This Row],[HRP3]]/WWWW[[#This Row],[Total PoP ]])</f>
        <v>0.43554006968641112</v>
      </c>
      <c r="DS320" s="961">
        <f>1-WWWW[[#This Row],[Hygiene Coverage%]]</f>
        <v>0.56445993031358888</v>
      </c>
      <c r="DT320" s="959">
        <f>WWWW[[#This Row],['# people reached by regular dedicated hygiene promotion_5]]/WWWW[[#This Row],[Total PoP ]]</f>
        <v>0.43554006968641112</v>
      </c>
      <c r="DU320"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20"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20" s="960">
        <f>WWWW[[#This Row],['#_Constructed/Existing hand washing stations]]-WWWW[[#This Row],['#_Non-Functional_hand_washing_stations]]</f>
        <v>3</v>
      </c>
      <c r="DX320" s="957">
        <f>IF(WWWW[[#This Row],['# Functional hand washing stations during reporting period]]*20&gt;WWWW[[#This Row],[Total HH]],WWWW[[#This Row],[Total HH]],WWWW[[#This Row],['# Functional hand washing stations during reporting period]]*20)</f>
        <v>60</v>
      </c>
      <c r="DY320" s="957">
        <f>IF(WWWW[[#This Row],[Is sufficient soap available for TLS? (Yes/No)]]="yes",WWWW[[#This Row],['#_Constructed/Existing hand washing stations at TLS/CFS/THF]],0)</f>
        <v>0</v>
      </c>
      <c r="DZ320" s="421">
        <f>IF(WWWW[[#This Row],['# Functional hand washing stations during reporting period]]*100&gt;WWWW[[#This Row],[Total PoP ]],WWWW[[#This Row],[Total PoP ]],WWWW[[#This Row],['# Functional hand washing stations during reporting period]]*100)</f>
        <v>300</v>
      </c>
      <c r="EA320" s="421" t="str">
        <f>IF(OR(WWWW[[#This Row],['#_students at TLS_CFS]]="",WWWW[[#This Row],['#_students at TLS_CFS]]=0),"No","Yes")</f>
        <v>No</v>
      </c>
      <c r="EB32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20" s="566">
        <f>WWWW[[#This Row],[%_of_affected_people_surveyed_who_report_feeling_satistfied_with_the_latrine_design_and_sanitation_service]]*WWWW[[#This Row],[Total PoP ]]</f>
        <v>0</v>
      </c>
      <c r="ED320" s="566">
        <f>WWWW[[#This Row],[%_of_affected_people_surveyed_who_report_feeling_satistfied_with_the_water_point_design_and_water_service]]*WWWW[[#This Row],[Total PoP ]]</f>
        <v>0</v>
      </c>
      <c r="EE320" s="566">
        <f>WWWW[[#This Row],[%_of_complaints_received_that_result_in_timely_corrective_action_and_feedback_to_the_community]]*WWWW[[#This Row],[Total PoP ]]</f>
        <v>0</v>
      </c>
      <c r="EF32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2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2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20" s="953" t="str">
        <f>VLOOKUP(WWWW[[#This Row],[Site Name]],SiteDB6[[Site Name]:[CCCM Management]],6,FALSE)</f>
        <v>Yes</v>
      </c>
      <c r="EJ320" s="953" t="str">
        <f>VLOOKUP(WWWW[[#This Row],[Site Name]],SiteDB6[[Site Name]:[CCCM Focal Agency]],7,FALSE)</f>
        <v>KBC-MYT</v>
      </c>
      <c r="EK320" s="953" t="str">
        <f>VLOOKUP(WWWW[[#This Row],[Site Name]],SiteDB6[[Site Name]:[Location Type 1]],9,FALSE)</f>
        <v>Camp</v>
      </c>
      <c r="EL320" s="953" t="str">
        <f>VLOOKUP(WWWW[[#This Row],[Site Name]],SiteDB6[[Site Name]:[Type of Accommodation]],10,FALSE)</f>
        <v>Camp</v>
      </c>
      <c r="EM320" s="953" t="str">
        <f>VLOOKUP(WWWW[[#This Row],[Site Name]],SiteDB6[[Site Name]:[Ethnic or GCA/NGCA]],11,FALSE)</f>
        <v>GCA</v>
      </c>
      <c r="EN320" s="953">
        <f>VLOOKUP(WWWW[[#This Row],[Site Name]],SiteDB6[[Site Name]:[Lat]],12,FALSE)</f>
        <v>25.480989999999998</v>
      </c>
      <c r="EO320" s="953">
        <f>VLOOKUP(WWWW[[#This Row],[Site Name]],SiteDB6[[Site Name]:[Long]],13,FALSE)</f>
        <v>97.431079999999994</v>
      </c>
      <c r="EP320" s="953" t="str">
        <f>VLOOKUP(WWWW[[#This Row],[Site Name]],SiteDB6[[Site Name]:[Pcode]],3,FALSE)</f>
        <v>MMR001CMP263</v>
      </c>
      <c r="EQ320" s="958" t="str">
        <f t="shared" si="7"/>
        <v>Covered</v>
      </c>
      <c r="ER320" s="950" t="s">
        <v>3126</v>
      </c>
      <c r="ES320" s="950" t="s">
        <v>3267</v>
      </c>
      <c r="ET320" s="953">
        <f>VLOOKUP(WWWW[[#This Row],[Site Name]],SiteDB6[[Site Name]:[Pop
(Kachin/Shan-CCCM as of May 2023)]],16,FALSE)</f>
        <v>197</v>
      </c>
      <c r="EU320" s="953">
        <f>VLOOKUP(WWWW[[#This Row],[Site Name]],SiteDB6[[Site Name]:[Pop
(Kachin/Shan-CCCM as of May 2023)]],17,FALSE)</f>
        <v>981</v>
      </c>
    </row>
    <row r="321" spans="1:151">
      <c r="A321" s="946" t="s">
        <v>2962</v>
      </c>
      <c r="B321" s="946" t="s">
        <v>309</v>
      </c>
      <c r="C321" s="946" t="s">
        <v>309</v>
      </c>
      <c r="D321" s="938" t="s">
        <v>2945</v>
      </c>
      <c r="E321" s="938" t="s">
        <v>37</v>
      </c>
      <c r="F321" s="938" t="s">
        <v>214</v>
      </c>
      <c r="G321" s="902" t="str">
        <f>VLOOKUP(WWWW[[#This Row],[Site Name]],SiteDB6[[Site Name]:[Location Type]],8,FALSE)</f>
        <v>Camp</v>
      </c>
      <c r="H321" s="938" t="s">
        <v>1585</v>
      </c>
      <c r="I321" s="441">
        <v>386</v>
      </c>
      <c r="J321" s="441">
        <v>1397</v>
      </c>
      <c r="K321" s="948">
        <v>44811</v>
      </c>
      <c r="L321" s="949">
        <v>45175</v>
      </c>
      <c r="M321" s="441"/>
      <c r="N321" s="441"/>
      <c r="O321" s="441"/>
      <c r="P321" s="441"/>
      <c r="Q321" s="421"/>
      <c r="R321" s="441">
        <v>19</v>
      </c>
      <c r="S321" s="441">
        <v>55</v>
      </c>
      <c r="T321" s="441">
        <v>13</v>
      </c>
      <c r="U321" s="441"/>
      <c r="V321" s="441"/>
      <c r="W321" s="441">
        <v>1</v>
      </c>
      <c r="X321" s="441"/>
      <c r="Y321" s="441"/>
      <c r="Z321" s="441"/>
      <c r="AA321" s="441"/>
      <c r="AB321" s="441"/>
      <c r="AC321" s="441"/>
      <c r="AD321" s="441"/>
      <c r="AE321" s="441"/>
      <c r="AF321" s="441"/>
      <c r="AG321" s="441"/>
      <c r="AH321" s="441"/>
      <c r="AI321" s="441"/>
      <c r="AJ321" s="441"/>
      <c r="AK321" s="441"/>
      <c r="AL321" s="441"/>
      <c r="AM321" s="441"/>
      <c r="AN321" s="441"/>
      <c r="AO321" s="441"/>
      <c r="AP321" s="950"/>
      <c r="AQ321" s="441">
        <v>5</v>
      </c>
      <c r="AR321" s="441"/>
      <c r="AS321" s="416"/>
      <c r="AT321" s="441"/>
      <c r="AU321" s="441"/>
      <c r="AV321" s="441"/>
      <c r="AW321" s="441"/>
      <c r="AX321" s="441"/>
      <c r="AY321" s="418" t="s">
        <v>41</v>
      </c>
      <c r="AZ321" s="950" t="s">
        <v>140</v>
      </c>
      <c r="BA321" s="441"/>
      <c r="BB321" s="441"/>
      <c r="BC321" s="441"/>
      <c r="BD321" s="441"/>
      <c r="BE321" s="441"/>
      <c r="BF321" s="418"/>
      <c r="BG321" s="441">
        <v>1</v>
      </c>
      <c r="BH321" s="441"/>
      <c r="BI321" s="441"/>
      <c r="BJ321" s="441">
        <v>3</v>
      </c>
      <c r="BK321" s="441"/>
      <c r="BL321" s="441"/>
      <c r="BM321" s="441"/>
      <c r="BN321" s="441"/>
      <c r="BO321" s="441"/>
      <c r="BP321" s="418"/>
      <c r="BQ321" s="417"/>
      <c r="BR321" s="416"/>
      <c r="BS321" s="418"/>
      <c r="BT321" s="416"/>
      <c r="BU321" s="416"/>
      <c r="BV321" s="418"/>
      <c r="BW321" s="416"/>
      <c r="BX321" s="441"/>
      <c r="BY321" s="441"/>
      <c r="BZ321" s="441"/>
      <c r="CA321" s="441"/>
      <c r="CB321" s="441"/>
      <c r="CC321" s="693"/>
      <c r="CD321" s="441"/>
      <c r="CE321" s="615" t="str">
        <f>IFERROR(WWWW[[#This Row],['#_Water sources passed]]/WWWW[[#This Row],['#_Water sources tested for fecal coliform ]],"no test")</f>
        <v>no test</v>
      </c>
      <c r="CF321" s="416" t="str">
        <f>IFERROR(WWWW[[#This Row],['#_Household passed]]/WWWW[[#This Row],['#_Household water samples tested for fecal coliform]],"no test")</f>
        <v>no test</v>
      </c>
      <c r="CG321" s="417" t="str">
        <f>IF(AND(WWWW[[#This Row],[% of water sources passed]]="no test",WWWW[[#This Row],[% Household passed]]="no test"),"No Test","Tested")</f>
        <v>No Test</v>
      </c>
      <c r="CH321" s="417">
        <f>WWWW[[#This Row],['#_Constructed/existing protected hand dug well]]-WWWW[[#This Row],['#_Non-functional protected hand dug well]]</f>
        <v>13</v>
      </c>
      <c r="CI321" s="417">
        <f>(WWWW[[#This Row],['#_Constructed/Existing tube wells/boreholes/handpumps_WASH_agency]]+WWWW[[#This Row],['#_Non-Cluster partner water tube-wells/boreholes/handpumps]])-WWWW[[#This Row],['#_Non-functional tube wells/boreholes/handpumps]]</f>
        <v>1</v>
      </c>
      <c r="CJ321" s="417">
        <f>WWWW[[#This Row],['#_Constructed/Existingwater storage tank with gravity fed reticulation system]]-WWWW[[#This Row],['#_Non-functional storage tank gravity fed reticulation system]]</f>
        <v>0</v>
      </c>
      <c r="CK321" s="417">
        <f>(WWWW[[#This Row],['#_Water_Liters_supplied_by_Water boating or water trucking]]/90)/15</f>
        <v>0</v>
      </c>
      <c r="CL321" s="417">
        <f>WWWW[[#This Row],['#_Water_Liters_from_Constructed/Existing water distribution system from river or natural spring]]/90/15</f>
        <v>0</v>
      </c>
      <c r="CM321" s="417">
        <f>IF(WWWW[[#This Row],['#_of water points in TLS/CFS]]*500&gt;WWWW[[#This Row],[Total PoP ]],WWWW[[#This Row],[Total PoP ]],WWWW[[#This Row],['#_of water points in TLS/CFS]]*500)</f>
        <v>0</v>
      </c>
      <c r="CN321" s="417">
        <f>IF(WWWW[[#This Row],['#_of water points in THF]]*500&gt;WWWW[[#This Row],[Total PoP ]],WWWW[[#This Row],[Total PoP ]],WWWW[[#This Row],['#_of water points in THF]]*500)</f>
        <v>0</v>
      </c>
      <c r="CO321" s="417"/>
      <c r="CP321"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21"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21" s="416">
        <f>IF(WWWW[[#This Row],[Location Type 1]]="Village",WWWW[[#This Row],[Access to safe drinking water for Village]],WWWW[[#This Row],[Access to safe drinking water for Camp]])</f>
        <v>1</v>
      </c>
      <c r="CS321" s="421">
        <f>WWWW[[#This Row],[%Equitable and continuous access to sufficient quantity of safe drinking water]]*WWWW[[#This Row],[Total PoP ]]</f>
        <v>1397</v>
      </c>
      <c r="CT321" s="416">
        <f>IF((WWWW[[#This Row],['#_Constructed/Existing protected/fenced ponds]]*250)/WWWW[[#This Row],[Total PoP ]]&gt;1,1,(WWWW[[#This Row],['#_Constructed/Existing protected/fenced ponds]]*250)/WWWW[[#This Row],[Total PoP ]])</f>
        <v>0</v>
      </c>
      <c r="CU321" s="421">
        <f>WWWW[[#This Row],[% Access to unimproved water points]]*WWWW[[#This Row],[Total PoP ]]</f>
        <v>0</v>
      </c>
      <c r="CV321"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21"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1397</v>
      </c>
      <c r="CX321" s="421">
        <f>WWWW[[#This Row],[HRP1]]/500</f>
        <v>2.794</v>
      </c>
      <c r="CY321" s="951">
        <f>1-WWWW[[#This Row],[% Equitable and continuous access to sufficient quantity of domestic water]]</f>
        <v>0</v>
      </c>
      <c r="CZ321" s="421">
        <f>WWWW[[#This Row],[%equitable and continuous access to sufficient quantity of safe drinking and domestic water''s GAP]]*WWWW[[#This Row],[Total PoP ]]</f>
        <v>0</v>
      </c>
      <c r="DA321" s="417">
        <f>IF(WWWW[[#This Row],[Total required water points]]-WWWW[[#This Row],['#Water points coverage]]&lt;0,0,WWWW[[#This Row],[Total required water points]]-WWWW[[#This Row],['#Water points coverage]])</f>
        <v>0.20599999999999996</v>
      </c>
      <c r="DB321" s="417">
        <f>ROUND(IF(WWWW[[#This Row],[Total PoP ]]&lt;500,1,WWWW[[#This Row],[Total PoP ]]/500),0)</f>
        <v>3</v>
      </c>
      <c r="DC321" s="417">
        <f>(WWWW[[#This Row],['#_Constructed latrines_by_WASHAgencies]]+WWWW[[#This Row],['#_Non Cluster partner latrines]])-WWWW[[#This Row],['#_Non-functional latrines]]</f>
        <v>5</v>
      </c>
      <c r="DD321" s="615">
        <f>WWWW[[#This Row],[HRP2]]/WWWW[[#This Row],[Total PoP ]]</f>
        <v>7.158196134574088E-2</v>
      </c>
      <c r="DE321"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321"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21"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21" s="417">
        <f>IF(WWWW[[#This Row],['# of functional latrines in THF supported by WASH partners during the reporting period2]]="",0,WWWW[[#This Row],['# of functional latrines in THF supported by WASH partners during the reporting period2]]*50)</f>
        <v>0</v>
      </c>
      <c r="DI321" s="417">
        <f>ROUND(IF(WWWW[[#This Row],[Location Type 1]]="camp",WWWW[[#This Row],[Total PoP ]]/20,IF(WWWW[[#This Row],[Location Type 1]]="Temporary Location",WWWW[[#This Row],[Total PoP ]]/50,(WWWW[[#This Row],[Total PoP ]]/6))),0)</f>
        <v>70</v>
      </c>
      <c r="DJ321" s="417">
        <f>IF(WWWW[[#This Row],[Total required Latrines]]-(WWWW[[#This Row],['#_Constructed latrines_by_WASHAgencies]]+WWWW[[#This Row],['#_Non Cluster partner latrines]])&lt;0,0,WWWW[[#This Row],[Total required Latrines]]-(WWWW[[#This Row],['#_Constructed latrines_by_WASHAgencies]]+WWWW[[#This Row],['#_Non Cluster partner latrines]]))</f>
        <v>65</v>
      </c>
      <c r="DK321" s="951">
        <f>1-WWWW[[#This Row],[% people access to functioning Latrine]]</f>
        <v>0.92841803865425909</v>
      </c>
      <c r="DL321" s="615">
        <f>IF(OR(WWWW[[#This Row],['#_Non-functional latrines]]="",WWWW[[#This Row],['#_Non-functional latrines]]=0),0,WWWW[[#This Row],['#_Non-functional latrines]]/(WWWW[[#This Row],['#_Constructed latrines_by_WASHAgencies]]+WWWW[[#This Row],['#_Non Cluster partner latrines]]))</f>
        <v>0</v>
      </c>
      <c r="DM321" s="421">
        <f>IF(500*(WWWW[[#This Row],['#_male hygiene promoters]]+WWWW[[#This Row],['#_female hygiene promoters]])&gt;WWWW[[#This Row],[Total PoP ]],WWWW[[#This Row],[Total PoP ]],500*(WWWW[[#This Row],['#_male hygiene promoters]]+WWWW[[#This Row],['#_female hygiene promoters]]))</f>
        <v>0</v>
      </c>
      <c r="DN321"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21"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21" s="417">
        <f>IF(WWWW[[#This Row],['# People with access to soap]]&gt;WWWW[[#This Row],['# People with access to Sanity Pads]],WWWW[[#This Row],['# People with access to soap]],WWWW[[#This Row],['# People with access to Sanity Pads]])</f>
        <v>0</v>
      </c>
      <c r="DQ321"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21" s="951">
        <f>IF(WWWW[[#This Row],[HRP3]]/WWWW[[#This Row],[Total PoP ]]&gt;1,1,WWWW[[#This Row],[HRP3]]/WWWW[[#This Row],[Total PoP ]])</f>
        <v>0</v>
      </c>
      <c r="DS321" s="615">
        <f>1-WWWW[[#This Row],[Hygiene Coverage%]]</f>
        <v>1</v>
      </c>
      <c r="DT321" s="416">
        <f>WWWW[[#This Row],['# people reached by regular dedicated hygiene promotion_5]]/WWWW[[#This Row],[Total PoP ]]</f>
        <v>0</v>
      </c>
      <c r="DU321"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21"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21" s="417">
        <f>WWWW[[#This Row],['#_Constructed/Existing hand washing stations]]-WWWW[[#This Row],['#_Non-Functional_hand_washing_stations]]</f>
        <v>1</v>
      </c>
      <c r="DX321" s="421">
        <f>IF(WWWW[[#This Row],['# Functional hand washing stations during reporting period]]*20&gt;WWWW[[#This Row],[Total HH]],WWWW[[#This Row],[Total HH]],WWWW[[#This Row],['# Functional hand washing stations during reporting period]]*20)</f>
        <v>20</v>
      </c>
      <c r="DY321" s="421">
        <f>IF(WWWW[[#This Row],[Is sufficient soap available for TLS? (Yes/No)]]="yes",WWWW[[#This Row],['#_Constructed/Existing hand washing stations at TLS/CFS/THF]],0)</f>
        <v>0</v>
      </c>
      <c r="DZ321" s="421">
        <f>IF(WWWW[[#This Row],['# Functional hand washing stations during reporting period]]*100&gt;WWWW[[#This Row],[Total PoP ]],WWWW[[#This Row],[Total PoP ]],WWWW[[#This Row],['# Functional hand washing stations during reporting period]]*100)</f>
        <v>100</v>
      </c>
      <c r="EA321" s="421" t="str">
        <f>IF(OR(WWWW[[#This Row],['#_students at TLS_CFS]]="",WWWW[[#This Row],['#_students at TLS_CFS]]=0),"No","Yes")</f>
        <v>No</v>
      </c>
      <c r="EB32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21" s="566">
        <f>WWWW[[#This Row],[%_of_affected_people_surveyed_who_report_feeling_satistfied_with_the_latrine_design_and_sanitation_service]]*WWWW[[#This Row],[Total PoP ]]</f>
        <v>0</v>
      </c>
      <c r="ED321" s="566">
        <f>WWWW[[#This Row],[%_of_affected_people_surveyed_who_report_feeling_satistfied_with_the_water_point_design_and_water_service]]*WWWW[[#This Row],[Total PoP ]]</f>
        <v>0</v>
      </c>
      <c r="EE321" s="566">
        <f>WWWW[[#This Row],[%_of_complaints_received_that_result_in_timely_corrective_action_and_feedback_to_the_community]]*WWWW[[#This Row],[Total PoP ]]</f>
        <v>0</v>
      </c>
      <c r="EF32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2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2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21" s="418">
        <f>VLOOKUP(WWWW[[#This Row],[Site Name]],SiteDB6[[Site Name]:[CCCM Management]],6,FALSE)</f>
        <v>0</v>
      </c>
      <c r="EJ321" s="418" t="str">
        <f>VLOOKUP(WWWW[[#This Row],[Site Name]],SiteDB6[[Site Name]:[CCCM Focal Agency]],7,FALSE)</f>
        <v>uncovered</v>
      </c>
      <c r="EK321" s="418" t="str">
        <f>VLOOKUP(WWWW[[#This Row],[Site Name]],SiteDB6[[Site Name]:[Location Type 1]],9,FALSE)</f>
        <v>Camp</v>
      </c>
      <c r="EL321" s="418" t="str">
        <f>VLOOKUP(WWWW[[#This Row],[Site Name]],SiteDB6[[Site Name]:[Type of Accommodation]],10,FALSE)</f>
        <v>Camp like setting</v>
      </c>
      <c r="EM321" s="418" t="str">
        <f>VLOOKUP(WWWW[[#This Row],[Site Name]],SiteDB6[[Site Name]:[Ethnic or GCA/NGCA]],11,FALSE)</f>
        <v>NGCA</v>
      </c>
      <c r="EN321" s="418">
        <f>VLOOKUP(WWWW[[#This Row],[Site Name]],SiteDB6[[Site Name]:[Lat]],12,FALSE)</f>
        <v>24.590350000000001</v>
      </c>
      <c r="EO321" s="418">
        <f>VLOOKUP(WWWW[[#This Row],[Site Name]],SiteDB6[[Site Name]:[Long]],13,FALSE)</f>
        <v>96.95626</v>
      </c>
      <c r="EP321" s="418" t="str">
        <f>VLOOKUP(WWWW[[#This Row],[Site Name]],SiteDB6[[Site Name]:[Pcode]],3,FALSE)</f>
        <v>MMR001CMP273</v>
      </c>
      <c r="EQ321" s="950" t="str">
        <f t="shared" si="7"/>
        <v>Notcovered</v>
      </c>
      <c r="ER321" s="950"/>
      <c r="ES321" s="950" t="s">
        <v>3279</v>
      </c>
      <c r="ET321" s="418">
        <f>VLOOKUP(WWWW[[#This Row],[Site Name]],SiteDB6[[Site Name]:[Pop
(Kachin/Shan-CCCM as of May 2023)]],16,FALSE)</f>
        <v>292</v>
      </c>
      <c r="EU321" s="418">
        <f>VLOOKUP(WWWW[[#This Row],[Site Name]],SiteDB6[[Site Name]:[Pop
(Kachin/Shan-CCCM as of May 2023)]],17,FALSE)</f>
        <v>1299</v>
      </c>
    </row>
    <row r="322" spans="1:151">
      <c r="A322" s="1004" t="s">
        <v>2962</v>
      </c>
      <c r="B322" s="1004" t="s">
        <v>192</v>
      </c>
      <c r="C322" s="1004" t="s">
        <v>192</v>
      </c>
      <c r="D322" s="1005" t="s">
        <v>3339</v>
      </c>
      <c r="E322" s="1005" t="s">
        <v>37</v>
      </c>
      <c r="F322" s="1005" t="s">
        <v>214</v>
      </c>
      <c r="G322" s="902" t="str">
        <f>VLOOKUP(WWWW[[#This Row],[Site Name]],SiteDB6[[Site Name]:[Location Type]],8,FALSE)</f>
        <v>Camp</v>
      </c>
      <c r="H322" s="1005" t="s">
        <v>215</v>
      </c>
      <c r="I322" s="954">
        <v>60</v>
      </c>
      <c r="J322" s="954">
        <v>300</v>
      </c>
      <c r="K322" s="955" t="s">
        <v>3340</v>
      </c>
      <c r="L322" s="956" t="s">
        <v>3319</v>
      </c>
      <c r="M322" s="954"/>
      <c r="N322" s="954"/>
      <c r="O322" s="954"/>
      <c r="P322" s="954"/>
      <c r="Q322" s="957" t="s">
        <v>41</v>
      </c>
      <c r="R322" s="954">
        <v>2</v>
      </c>
      <c r="S322" s="954">
        <v>4</v>
      </c>
      <c r="T322" s="441">
        <v>1</v>
      </c>
      <c r="U322" s="954"/>
      <c r="V322" s="954"/>
      <c r="W322" s="954">
        <v>2</v>
      </c>
      <c r="X322" s="954">
        <v>2</v>
      </c>
      <c r="Y322" s="954"/>
      <c r="Z322" s="954"/>
      <c r="AA322" s="954"/>
      <c r="AB322" s="954"/>
      <c r="AC322" s="971">
        <v>2</v>
      </c>
      <c r="AD322" s="954"/>
      <c r="AE322" s="954"/>
      <c r="AF322" s="954"/>
      <c r="AG322" s="954"/>
      <c r="AH322" s="954"/>
      <c r="AI322" s="954"/>
      <c r="AJ322" s="954"/>
      <c r="AK322" s="954"/>
      <c r="AL322" s="954"/>
      <c r="AM322" s="971">
        <v>2</v>
      </c>
      <c r="AN322" s="954"/>
      <c r="AO322" s="441"/>
      <c r="AP322" s="958"/>
      <c r="AQ322" s="954">
        <v>13</v>
      </c>
      <c r="AR322" s="954"/>
      <c r="AS322" s="959"/>
      <c r="AT322" s="954"/>
      <c r="AU322" s="971">
        <v>2</v>
      </c>
      <c r="AV322" s="971">
        <v>8</v>
      </c>
      <c r="AW322" s="954"/>
      <c r="AX322" s="954"/>
      <c r="AY322" s="953" t="s">
        <v>41</v>
      </c>
      <c r="AZ322" s="958" t="s">
        <v>137</v>
      </c>
      <c r="BA322" s="954"/>
      <c r="BB322" s="954"/>
      <c r="BC322" s="954"/>
      <c r="BD322" s="441"/>
      <c r="BE322" s="441">
        <v>4</v>
      </c>
      <c r="BF322" s="953"/>
      <c r="BG322" s="954">
        <v>15</v>
      </c>
      <c r="BH322" s="954"/>
      <c r="BI322" s="954">
        <v>2</v>
      </c>
      <c r="BJ322" s="954">
        <v>9</v>
      </c>
      <c r="BK322" s="954"/>
      <c r="BL322" s="954"/>
      <c r="BM322" s="954"/>
      <c r="BN322" s="971">
        <v>46</v>
      </c>
      <c r="BO322" s="971">
        <v>91</v>
      </c>
      <c r="BP322" s="953" t="s">
        <v>41</v>
      </c>
      <c r="BQ322" s="960"/>
      <c r="BR322" s="959"/>
      <c r="BS322" s="953"/>
      <c r="BT322" s="416"/>
      <c r="BU322" s="416"/>
      <c r="BV322" s="418"/>
      <c r="BW322" s="416"/>
      <c r="BX322" s="441"/>
      <c r="BY322" s="441"/>
      <c r="BZ322" s="441"/>
      <c r="CA322" s="441"/>
      <c r="CB322" s="441"/>
      <c r="CC322" s="693"/>
      <c r="CD322" s="441"/>
      <c r="CE322" s="961" t="str">
        <f>IFERROR(WWWW[[#This Row],['#_Water sources passed]]/WWWW[[#This Row],['#_Water sources tested for fecal coliform ]],"no test")</f>
        <v>no test</v>
      </c>
      <c r="CF322" s="959" t="str">
        <f>IFERROR(WWWW[[#This Row],['#_Household passed]]/WWWW[[#This Row],['#_Household water samples tested for fecal coliform]],"no test")</f>
        <v>no test</v>
      </c>
      <c r="CG322" s="960" t="str">
        <f>IF(AND(WWWW[[#This Row],[% of water sources passed]]="no test",WWWW[[#This Row],[% Household passed]]="no test"),"No Test","Tested")</f>
        <v>No Test</v>
      </c>
      <c r="CH322" s="960">
        <f>WWWW[[#This Row],['#_Constructed/existing protected hand dug well]]-WWWW[[#This Row],['#_Non-functional protected hand dug well]]</f>
        <v>1</v>
      </c>
      <c r="CI322" s="960">
        <f>(WWWW[[#This Row],['#_Constructed/Existing tube wells/boreholes/handpumps_WASH_agency]]+WWWW[[#This Row],['#_Non-Cluster partner water tube-wells/boreholes/handpumps]])-WWWW[[#This Row],['#_Non-functional tube wells/boreholes/handpumps]]</f>
        <v>4</v>
      </c>
      <c r="CJ322" s="960">
        <f>WWWW[[#This Row],['#_Constructed/Existingwater storage tank with gravity fed reticulation system]]-WWWW[[#This Row],['#_Non-functional storage tank gravity fed reticulation system]]</f>
        <v>0</v>
      </c>
      <c r="CK322" s="960">
        <f>(WWWW[[#This Row],['#_Water_Liters_supplied_by_Water boating or water trucking]]/90)/15</f>
        <v>0</v>
      </c>
      <c r="CL322" s="960">
        <f>WWWW[[#This Row],['#_Water_Liters_from_Constructed/Existing water distribution system from river or natural spring]]/90/15</f>
        <v>0</v>
      </c>
      <c r="CM322" s="417">
        <f>IF(WWWW[[#This Row],['#_of water points in TLS/CFS]]*500&gt;WWWW[[#This Row],[Total PoP ]],WWWW[[#This Row],[Total PoP ]],WWWW[[#This Row],['#_of water points in TLS/CFS]]*500)</f>
        <v>0</v>
      </c>
      <c r="CN322" s="417">
        <f>IF(WWWW[[#This Row],['#_of water points in THF]]*500&gt;WWWW[[#This Row],[Total PoP ]],WWWW[[#This Row],[Total PoP ]],WWWW[[#This Row],['#_of water points in THF]]*500)</f>
        <v>0</v>
      </c>
      <c r="CO322" s="417"/>
      <c r="CP322"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22"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22" s="959">
        <f>IF(WWWW[[#This Row],[Location Type 1]]="Village",WWWW[[#This Row],[Access to safe drinking water for Village]],WWWW[[#This Row],[Access to safe drinking water for Camp]])</f>
        <v>1</v>
      </c>
      <c r="CS322" s="957">
        <f>WWWW[[#This Row],[%Equitable and continuous access to sufficient quantity of safe drinking water]]*WWWW[[#This Row],[Total PoP ]]</f>
        <v>300</v>
      </c>
      <c r="CT322" s="959">
        <f>IF((WWWW[[#This Row],['#_Constructed/Existing protected/fenced ponds]]*250)/WWWW[[#This Row],[Total PoP ]]&gt;1,1,(WWWW[[#This Row],['#_Constructed/Existing protected/fenced ponds]]*250)/WWWW[[#This Row],[Total PoP ]])</f>
        <v>0</v>
      </c>
      <c r="CU322" s="957">
        <f>WWWW[[#This Row],[% Access to unimproved water points]]*WWWW[[#This Row],[Total PoP ]]</f>
        <v>0</v>
      </c>
      <c r="CV322"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22"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300</v>
      </c>
      <c r="CX322" s="957">
        <f>WWWW[[#This Row],[HRP1]]/500</f>
        <v>0.6</v>
      </c>
      <c r="CY322" s="962">
        <f>1-WWWW[[#This Row],[% Equitable and continuous access to sufficient quantity of domestic water]]</f>
        <v>0</v>
      </c>
      <c r="CZ322" s="957">
        <f>WWWW[[#This Row],[%equitable and continuous access to sufficient quantity of safe drinking and domestic water''s GAP]]*WWWW[[#This Row],[Total PoP ]]</f>
        <v>0</v>
      </c>
      <c r="DA322" s="960">
        <f>IF(WWWW[[#This Row],[Total required water points]]-WWWW[[#This Row],['#Water points coverage]]&lt;0,0,WWWW[[#This Row],[Total required water points]]-WWWW[[#This Row],['#Water points coverage]])</f>
        <v>0.4</v>
      </c>
      <c r="DB322" s="960">
        <f>ROUND(IF(WWWW[[#This Row],[Total PoP ]]&lt;500,1,WWWW[[#This Row],[Total PoP ]]/500),0)</f>
        <v>1</v>
      </c>
      <c r="DC322" s="960">
        <f>(WWWW[[#This Row],['#_Constructed latrines_by_WASHAgencies]]+WWWW[[#This Row],['#_Non Cluster partner latrines]])-WWWW[[#This Row],['#_Non-functional latrines]]</f>
        <v>13</v>
      </c>
      <c r="DD322" s="615">
        <f>WWWW[[#This Row],[HRP2]]/WWWW[[#This Row],[Total PoP ]]</f>
        <v>0.88</v>
      </c>
      <c r="DE322"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264</v>
      </c>
      <c r="DF322"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160</v>
      </c>
      <c r="DG322"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22" s="417">
        <f>IF(WWWW[[#This Row],['# of functional latrines in THF supported by WASH partners during the reporting period2]]="",0,WWWW[[#This Row],['# of functional latrines in THF supported by WASH partners during the reporting period2]]*50)</f>
        <v>0</v>
      </c>
      <c r="DI322" s="960">
        <f>ROUND(IF(WWWW[[#This Row],[Location Type 1]]="camp",WWWW[[#This Row],[Total PoP ]]/20,IF(WWWW[[#This Row],[Location Type 1]]="Temporary Location",WWWW[[#This Row],[Total PoP ]]/50,(WWWW[[#This Row],[Total PoP ]]/6))),0)</f>
        <v>15</v>
      </c>
      <c r="DJ322" s="960">
        <f>IF(WWWW[[#This Row],[Total required Latrines]]-(WWWW[[#This Row],['#_Constructed latrines_by_WASHAgencies]]+WWWW[[#This Row],['#_Non Cluster partner latrines]])&lt;0,0,WWWW[[#This Row],[Total required Latrines]]-(WWWW[[#This Row],['#_Constructed latrines_by_WASHAgencies]]+WWWW[[#This Row],['#_Non Cluster partner latrines]]))</f>
        <v>2</v>
      </c>
      <c r="DK322" s="962">
        <f>1-WWWW[[#This Row],[% people access to functioning Latrine]]</f>
        <v>0.12</v>
      </c>
      <c r="DL322" s="961">
        <f>IF(OR(WWWW[[#This Row],['#_Non-functional latrines]]="",WWWW[[#This Row],['#_Non-functional latrines]]=0),0,WWWW[[#This Row],['#_Non-functional latrines]]/(WWWW[[#This Row],['#_Constructed latrines_by_WASHAgencies]]+WWWW[[#This Row],['#_Non Cluster partner latrines]]))</f>
        <v>0</v>
      </c>
      <c r="DM322" s="957">
        <f>IF(500*(WWWW[[#This Row],['#_male hygiene promoters]]+WWWW[[#This Row],['#_female hygiene promoters]])&gt;WWWW[[#This Row],[Total PoP ]],WWWW[[#This Row],[Total PoP ]],500*(WWWW[[#This Row],['#_male hygiene promoters]]+WWWW[[#This Row],['#_female hygiene promoters]]))</f>
        <v>0</v>
      </c>
      <c r="DN322"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230</v>
      </c>
      <c r="DO322"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91</v>
      </c>
      <c r="DP322" s="960">
        <f>IF(WWWW[[#This Row],['# People with access to soap]]&gt;WWWW[[#This Row],['# People with access to Sanity Pads]],WWWW[[#This Row],['# People with access to soap]],WWWW[[#This Row],['# People with access to Sanity Pads]])</f>
        <v>230</v>
      </c>
      <c r="DQ322" s="960">
        <f>IF(WWWW[[#This Row],['# people reached by regular dedicated hygiene promotion_5]]&gt;WWWW[[#This Row],['# People received regular supply of hygiene items_6]],WWWW[[#This Row],['# people reached by regular dedicated hygiene promotion_5]],WWWW[[#This Row],['# People received regular supply of hygiene items_6]])</f>
        <v>230</v>
      </c>
      <c r="DR322" s="962">
        <f>IF(WWWW[[#This Row],[HRP3]]/WWWW[[#This Row],[Total PoP ]]&gt;1,1,WWWW[[#This Row],[HRP3]]/WWWW[[#This Row],[Total PoP ]])</f>
        <v>0.76666666666666672</v>
      </c>
      <c r="DS322" s="961">
        <f>1-WWWW[[#This Row],[Hygiene Coverage%]]</f>
        <v>0.23333333333333328</v>
      </c>
      <c r="DT322" s="959">
        <f>WWWW[[#This Row],['# people reached by regular dedicated hygiene promotion_5]]/WWWW[[#This Row],[Total PoP ]]</f>
        <v>0</v>
      </c>
      <c r="DU322"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322"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322" s="960">
        <f>WWWW[[#This Row],['#_Constructed/Existing hand washing stations]]-WWWW[[#This Row],['#_Non-Functional_hand_washing_stations]]</f>
        <v>15</v>
      </c>
      <c r="DX322" s="957">
        <f>IF(WWWW[[#This Row],['# Functional hand washing stations during reporting period]]*20&gt;WWWW[[#This Row],[Total HH]],WWWW[[#This Row],[Total HH]],WWWW[[#This Row],['# Functional hand washing stations during reporting period]]*20)</f>
        <v>60</v>
      </c>
      <c r="DY322" s="957">
        <f>IF(WWWW[[#This Row],[Is sufficient soap available for TLS? (Yes/No)]]="yes",WWWW[[#This Row],['#_Constructed/Existing hand washing stations at TLS/CFS/THF]],0)</f>
        <v>2</v>
      </c>
      <c r="DZ322" s="421">
        <f>IF(WWWW[[#This Row],['# Functional hand washing stations during reporting period]]*100&gt;WWWW[[#This Row],[Total PoP ]],WWWW[[#This Row],[Total PoP ]],WWWW[[#This Row],['# Functional hand washing stations during reporting period]]*100)</f>
        <v>300</v>
      </c>
      <c r="EA322" s="421" t="str">
        <f>IF(OR(WWWW[[#This Row],['#_students at TLS_CFS]]="",WWWW[[#This Row],['#_students at TLS_CFS]]=0),"No","Yes")</f>
        <v>No</v>
      </c>
      <c r="EB32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22" s="566">
        <f>WWWW[[#This Row],[%_of_affected_people_surveyed_who_report_feeling_satistfied_with_the_latrine_design_and_sanitation_service]]*WWWW[[#This Row],[Total PoP ]]</f>
        <v>0</v>
      </c>
      <c r="ED322" s="566">
        <f>WWWW[[#This Row],[%_of_affected_people_surveyed_who_report_feeling_satistfied_with_the_water_point_design_and_water_service]]*WWWW[[#This Row],[Total PoP ]]</f>
        <v>0</v>
      </c>
      <c r="EE322" s="566">
        <f>WWWW[[#This Row],[%_of_complaints_received_that_result_in_timely_corrective_action_and_feedback_to_the_community]]*WWWW[[#This Row],[Total PoP ]]</f>
        <v>0</v>
      </c>
      <c r="EF32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2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2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22" s="953" t="str">
        <f>VLOOKUP(WWWW[[#This Row],[Site Name]],SiteDB6[[Site Name]:[CCCM Management]],6,FALSE)</f>
        <v>Yes</v>
      </c>
      <c r="EJ322" s="953" t="str">
        <f>VLOOKUP(WWWW[[#This Row],[Site Name]],SiteDB6[[Site Name]:[CCCM Focal Agency]],7,FALSE)</f>
        <v>KBC-BMO</v>
      </c>
      <c r="EK322" s="953" t="str">
        <f>VLOOKUP(WWWW[[#This Row],[Site Name]],SiteDB6[[Site Name]:[Location Type 1]],9,FALSE)</f>
        <v>Camp</v>
      </c>
      <c r="EL322" s="953" t="str">
        <f>VLOOKUP(WWWW[[#This Row],[Site Name]],SiteDB6[[Site Name]:[Type of Accommodation]],10,FALSE)</f>
        <v>Camp</v>
      </c>
      <c r="EM322" s="953" t="str">
        <f>VLOOKUP(WWWW[[#This Row],[Site Name]],SiteDB6[[Site Name]:[Ethnic or GCA/NGCA]],11,FALSE)</f>
        <v>GCA</v>
      </c>
      <c r="EN322" s="953">
        <f>VLOOKUP(WWWW[[#This Row],[Site Name]],SiteDB6[[Site Name]:[Lat]],12,FALSE)</f>
        <v>24.200361000000001</v>
      </c>
      <c r="EO322" s="953">
        <f>VLOOKUP(WWWW[[#This Row],[Site Name]],SiteDB6[[Site Name]:[Long]],13,FALSE)</f>
        <v>96.807353000000006</v>
      </c>
      <c r="EP322" s="953" t="str">
        <f>VLOOKUP(WWWW[[#This Row],[Site Name]],SiteDB6[[Site Name]:[Pcode]],3,FALSE)</f>
        <v>MMR001CMP067</v>
      </c>
      <c r="EQ322" s="958" t="str">
        <f t="shared" si="7"/>
        <v>Covered</v>
      </c>
      <c r="ER322" s="950" t="s">
        <v>3126</v>
      </c>
      <c r="ES322" s="950" t="s">
        <v>3278</v>
      </c>
      <c r="ET322" s="953">
        <f>VLOOKUP(WWWW[[#This Row],[Site Name]],SiteDB6[[Site Name]:[Pop
(Kachin/Shan-CCCM as of May 2023)]],16,FALSE)</f>
        <v>46</v>
      </c>
      <c r="EU322" s="953">
        <f>VLOOKUP(WWWW[[#This Row],[Site Name]],SiteDB6[[Site Name]:[Pop
(Kachin/Shan-CCCM as of May 2023)]],17,FALSE)</f>
        <v>249</v>
      </c>
    </row>
    <row r="323" spans="1:151">
      <c r="A323" s="1004" t="s">
        <v>2962</v>
      </c>
      <c r="B323" s="1004" t="s">
        <v>192</v>
      </c>
      <c r="C323" s="1005" t="s">
        <v>192</v>
      </c>
      <c r="D323" s="1005" t="s">
        <v>3341</v>
      </c>
      <c r="E323" s="1005" t="s">
        <v>37</v>
      </c>
      <c r="F323" s="1005" t="s">
        <v>214</v>
      </c>
      <c r="G323" s="902" t="str">
        <f>VLOOKUP(WWWW[[#This Row],[Site Name]],SiteDB6[[Site Name]:[Location Type]],8,FALSE)</f>
        <v>Camp</v>
      </c>
      <c r="H323" s="1005" t="s">
        <v>216</v>
      </c>
      <c r="I323" s="954">
        <v>43</v>
      </c>
      <c r="J323" s="954">
        <v>182</v>
      </c>
      <c r="K323" s="955" t="s">
        <v>3340</v>
      </c>
      <c r="L323" s="956" t="s">
        <v>3342</v>
      </c>
      <c r="M323" s="954"/>
      <c r="N323" s="954"/>
      <c r="O323" s="954"/>
      <c r="P323" s="954"/>
      <c r="Q323" s="957" t="s">
        <v>41</v>
      </c>
      <c r="R323" s="954">
        <v>1</v>
      </c>
      <c r="S323" s="954">
        <v>3</v>
      </c>
      <c r="T323" s="441"/>
      <c r="U323" s="954"/>
      <c r="V323" s="954"/>
      <c r="W323" s="954">
        <v>2</v>
      </c>
      <c r="X323" s="954"/>
      <c r="Y323" s="954"/>
      <c r="Z323" s="971">
        <v>1</v>
      </c>
      <c r="AA323" s="954"/>
      <c r="AB323" s="954"/>
      <c r="AC323" s="971">
        <v>2</v>
      </c>
      <c r="AD323" s="954"/>
      <c r="AE323" s="954"/>
      <c r="AF323" s="954"/>
      <c r="AG323" s="954"/>
      <c r="AH323" s="954"/>
      <c r="AI323" s="954"/>
      <c r="AJ323" s="954"/>
      <c r="AK323" s="954"/>
      <c r="AL323" s="954"/>
      <c r="AM323" s="954"/>
      <c r="AN323" s="954"/>
      <c r="AO323" s="441"/>
      <c r="AP323" s="958"/>
      <c r="AQ323" s="954">
        <v>10</v>
      </c>
      <c r="AR323" s="954"/>
      <c r="AS323" s="959"/>
      <c r="AT323" s="954"/>
      <c r="AU323" s="971">
        <v>2</v>
      </c>
      <c r="AV323" s="954"/>
      <c r="AW323" s="954"/>
      <c r="AX323" s="954"/>
      <c r="AY323" s="953" t="s">
        <v>41</v>
      </c>
      <c r="AZ323" s="958" t="s">
        <v>137</v>
      </c>
      <c r="BA323" s="954"/>
      <c r="BB323" s="954"/>
      <c r="BC323" s="954"/>
      <c r="BD323" s="441"/>
      <c r="BE323" s="441"/>
      <c r="BF323" s="953"/>
      <c r="BG323" s="954">
        <v>3</v>
      </c>
      <c r="BH323" s="954"/>
      <c r="BI323" s="954"/>
      <c r="BJ323" s="954">
        <v>2</v>
      </c>
      <c r="BK323" s="954"/>
      <c r="BL323" s="954"/>
      <c r="BM323" s="954"/>
      <c r="BN323" s="971">
        <v>33</v>
      </c>
      <c r="BO323" s="971">
        <v>55</v>
      </c>
      <c r="BP323" s="953"/>
      <c r="BQ323" s="960"/>
      <c r="BR323" s="959"/>
      <c r="BS323" s="953"/>
      <c r="BT323" s="416"/>
      <c r="BU323" s="416"/>
      <c r="BV323" s="418"/>
      <c r="BW323" s="416"/>
      <c r="BX323" s="441"/>
      <c r="BY323" s="441"/>
      <c r="BZ323" s="441"/>
      <c r="CA323" s="441"/>
      <c r="CB323" s="441"/>
      <c r="CC323" s="693"/>
      <c r="CD323" s="441"/>
      <c r="CE323" s="961" t="str">
        <f>IFERROR(WWWW[[#This Row],['#_Water sources passed]]/WWWW[[#This Row],['#_Water sources tested for fecal coliform ]],"no test")</f>
        <v>no test</v>
      </c>
      <c r="CF323" s="959" t="str">
        <f>IFERROR(WWWW[[#This Row],['#_Household passed]]/WWWW[[#This Row],['#_Household water samples tested for fecal coliform]],"no test")</f>
        <v>no test</v>
      </c>
      <c r="CG323" s="960" t="str">
        <f>IF(AND(WWWW[[#This Row],[% of water sources passed]]="no test",WWWW[[#This Row],[% Household passed]]="no test"),"No Test","Tested")</f>
        <v>No Test</v>
      </c>
      <c r="CH323" s="960">
        <f>WWWW[[#This Row],['#_Constructed/existing protected hand dug well]]-WWWW[[#This Row],['#_Non-functional protected hand dug well]]</f>
        <v>0</v>
      </c>
      <c r="CI323" s="960">
        <f>(WWWW[[#This Row],['#_Constructed/Existing tube wells/boreholes/handpumps_WASH_agency]]+WWWW[[#This Row],['#_Non-Cluster partner water tube-wells/boreholes/handpumps]])-WWWW[[#This Row],['#_Non-functional tube wells/boreholes/handpumps]]</f>
        <v>2</v>
      </c>
      <c r="CJ323" s="960">
        <f>WWWW[[#This Row],['#_Constructed/Existingwater storage tank with gravity fed reticulation system]]-WWWW[[#This Row],['#_Non-functional storage tank gravity fed reticulation system]]</f>
        <v>0</v>
      </c>
      <c r="CK323" s="960">
        <f>(WWWW[[#This Row],['#_Water_Liters_supplied_by_Water boating or water trucking]]/90)/15</f>
        <v>0</v>
      </c>
      <c r="CL323" s="960">
        <f>WWWW[[#This Row],['#_Water_Liters_from_Constructed/Existing water distribution system from river or natural spring]]/90/15</f>
        <v>0</v>
      </c>
      <c r="CM323" s="417">
        <f>IF(WWWW[[#This Row],['#_of water points in TLS/CFS]]*500&gt;WWWW[[#This Row],[Total PoP ]],WWWW[[#This Row],[Total PoP ]],WWWW[[#This Row],['#_of water points in TLS/CFS]]*500)</f>
        <v>0</v>
      </c>
      <c r="CN323" s="417">
        <f>IF(WWWW[[#This Row],['#_of water points in THF]]*500&gt;WWWW[[#This Row],[Total PoP ]],WWWW[[#This Row],[Total PoP ]],WWWW[[#This Row],['#_of water points in THF]]*500)</f>
        <v>0</v>
      </c>
      <c r="CO323" s="417"/>
      <c r="CP323"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23"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23" s="959">
        <f>IF(WWWW[[#This Row],[Location Type 1]]="Village",WWWW[[#This Row],[Access to safe drinking water for Village]],WWWW[[#This Row],[Access to safe drinking water for Camp]])</f>
        <v>1</v>
      </c>
      <c r="CS323" s="957">
        <f>WWWW[[#This Row],[%Equitable and continuous access to sufficient quantity of safe drinking water]]*WWWW[[#This Row],[Total PoP ]]</f>
        <v>182</v>
      </c>
      <c r="CT323" s="959">
        <f>IF((WWWW[[#This Row],['#_Constructed/Existing protected/fenced ponds]]*250)/WWWW[[#This Row],[Total PoP ]]&gt;1,1,(WWWW[[#This Row],['#_Constructed/Existing protected/fenced ponds]]*250)/WWWW[[#This Row],[Total PoP ]])</f>
        <v>0</v>
      </c>
      <c r="CU323" s="957">
        <f>WWWW[[#This Row],[% Access to unimproved water points]]*WWWW[[#This Row],[Total PoP ]]</f>
        <v>0</v>
      </c>
      <c r="CV323"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23"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182</v>
      </c>
      <c r="CX323" s="957">
        <f>WWWW[[#This Row],[HRP1]]/500</f>
        <v>0.36399999999999999</v>
      </c>
      <c r="CY323" s="962">
        <f>1-WWWW[[#This Row],[% Equitable and continuous access to sufficient quantity of domestic water]]</f>
        <v>0</v>
      </c>
      <c r="CZ323" s="957">
        <f>WWWW[[#This Row],[%equitable and continuous access to sufficient quantity of safe drinking and domestic water''s GAP]]*WWWW[[#This Row],[Total PoP ]]</f>
        <v>0</v>
      </c>
      <c r="DA323" s="960">
        <f>IF(WWWW[[#This Row],[Total required water points]]-WWWW[[#This Row],['#Water points coverage]]&lt;0,0,WWWW[[#This Row],[Total required water points]]-WWWW[[#This Row],['#Water points coverage]])</f>
        <v>0.63600000000000001</v>
      </c>
      <c r="DB323" s="960">
        <f>ROUND(IF(WWWW[[#This Row],[Total PoP ]]&lt;500,1,WWWW[[#This Row],[Total PoP ]]/500),0)</f>
        <v>1</v>
      </c>
      <c r="DC323" s="960">
        <f>(WWWW[[#This Row],['#_Constructed latrines_by_WASHAgencies]]+WWWW[[#This Row],['#_Non Cluster partner latrines]])-WWWW[[#This Row],['#_Non-functional latrines]]</f>
        <v>10</v>
      </c>
      <c r="DD323" s="615">
        <f>WWWW[[#This Row],[HRP2]]/WWWW[[#This Row],[Total PoP ]]</f>
        <v>1</v>
      </c>
      <c r="DE323"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182</v>
      </c>
      <c r="DF323"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23"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23" s="417">
        <f>IF(WWWW[[#This Row],['# of functional latrines in THF supported by WASH partners during the reporting period2]]="",0,WWWW[[#This Row],['# of functional latrines in THF supported by WASH partners during the reporting period2]]*50)</f>
        <v>0</v>
      </c>
      <c r="DI323" s="960">
        <f>ROUND(IF(WWWW[[#This Row],[Location Type 1]]="camp",WWWW[[#This Row],[Total PoP ]]/20,IF(WWWW[[#This Row],[Location Type 1]]="Temporary Location",WWWW[[#This Row],[Total PoP ]]/50,(WWWW[[#This Row],[Total PoP ]]/6))),0)</f>
        <v>9</v>
      </c>
      <c r="DJ323" s="960">
        <f>IF(WWWW[[#This Row],[Total required Latrines]]-(WWWW[[#This Row],['#_Constructed latrines_by_WASHAgencies]]+WWWW[[#This Row],['#_Non Cluster partner latrines]])&lt;0,0,WWWW[[#This Row],[Total required Latrines]]-(WWWW[[#This Row],['#_Constructed latrines_by_WASHAgencies]]+WWWW[[#This Row],['#_Non Cluster partner latrines]]))</f>
        <v>0</v>
      </c>
      <c r="DK323" s="962">
        <f>1-WWWW[[#This Row],[% people access to functioning Latrine]]</f>
        <v>0</v>
      </c>
      <c r="DL323" s="961">
        <f>IF(OR(WWWW[[#This Row],['#_Non-functional latrines]]="",WWWW[[#This Row],['#_Non-functional latrines]]=0),0,WWWW[[#This Row],['#_Non-functional latrines]]/(WWWW[[#This Row],['#_Constructed latrines_by_WASHAgencies]]+WWWW[[#This Row],['#_Non Cluster partner latrines]]))</f>
        <v>0</v>
      </c>
      <c r="DM323" s="957">
        <f>IF(500*(WWWW[[#This Row],['#_male hygiene promoters]]+WWWW[[#This Row],['#_female hygiene promoters]])&gt;WWWW[[#This Row],[Total PoP ]],WWWW[[#This Row],[Total PoP ]],500*(WWWW[[#This Row],['#_male hygiene promoters]]+WWWW[[#This Row],['#_female hygiene promoters]]))</f>
        <v>0</v>
      </c>
      <c r="DN323"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165</v>
      </c>
      <c r="DO323"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55</v>
      </c>
      <c r="DP323" s="960">
        <f>IF(WWWW[[#This Row],['# People with access to soap]]&gt;WWWW[[#This Row],['# People with access to Sanity Pads]],WWWW[[#This Row],['# People with access to soap]],WWWW[[#This Row],['# People with access to Sanity Pads]])</f>
        <v>165</v>
      </c>
      <c r="DQ323" s="960">
        <f>IF(WWWW[[#This Row],['# people reached by regular dedicated hygiene promotion_5]]&gt;WWWW[[#This Row],['# People received regular supply of hygiene items_6]],WWWW[[#This Row],['# people reached by regular dedicated hygiene promotion_5]],WWWW[[#This Row],['# People received regular supply of hygiene items_6]])</f>
        <v>165</v>
      </c>
      <c r="DR323" s="962">
        <f>IF(WWWW[[#This Row],[HRP3]]/WWWW[[#This Row],[Total PoP ]]&gt;1,1,WWWW[[#This Row],[HRP3]]/WWWW[[#This Row],[Total PoP ]])</f>
        <v>0.90659340659340659</v>
      </c>
      <c r="DS323" s="961">
        <f>1-WWWW[[#This Row],[Hygiene Coverage%]]</f>
        <v>9.3406593406593408E-2</v>
      </c>
      <c r="DT323" s="959">
        <f>WWWW[[#This Row],['# people reached by regular dedicated hygiene promotion_5]]/WWWW[[#This Row],[Total PoP ]]</f>
        <v>0</v>
      </c>
      <c r="DU323"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323"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1</v>
      </c>
      <c r="DW323" s="960">
        <f>WWWW[[#This Row],['#_Constructed/Existing hand washing stations]]-WWWW[[#This Row],['#_Non-Functional_hand_washing_stations]]</f>
        <v>3</v>
      </c>
      <c r="DX323" s="957">
        <f>IF(WWWW[[#This Row],['# Functional hand washing stations during reporting period]]*20&gt;WWWW[[#This Row],[Total HH]],WWWW[[#This Row],[Total HH]],WWWW[[#This Row],['# Functional hand washing stations during reporting period]]*20)</f>
        <v>43</v>
      </c>
      <c r="DY323" s="957">
        <f>IF(WWWW[[#This Row],[Is sufficient soap available for TLS? (Yes/No)]]="yes",WWWW[[#This Row],['#_Constructed/Existing hand washing stations at TLS/CFS/THF]],0)</f>
        <v>0</v>
      </c>
      <c r="DZ323" s="421">
        <f>IF(WWWW[[#This Row],['# Functional hand washing stations during reporting period]]*100&gt;WWWW[[#This Row],[Total PoP ]],WWWW[[#This Row],[Total PoP ]],WWWW[[#This Row],['# Functional hand washing stations during reporting period]]*100)</f>
        <v>182</v>
      </c>
      <c r="EA323" s="421" t="str">
        <f>IF(OR(WWWW[[#This Row],['#_students at TLS_CFS]]="",WWWW[[#This Row],['#_students at TLS_CFS]]=0),"No","Yes")</f>
        <v>No</v>
      </c>
      <c r="EB32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23" s="566">
        <f>WWWW[[#This Row],[%_of_affected_people_surveyed_who_report_feeling_satistfied_with_the_latrine_design_and_sanitation_service]]*WWWW[[#This Row],[Total PoP ]]</f>
        <v>0</v>
      </c>
      <c r="ED323" s="566">
        <f>WWWW[[#This Row],[%_of_affected_people_surveyed_who_report_feeling_satistfied_with_the_water_point_design_and_water_service]]*WWWW[[#This Row],[Total PoP ]]</f>
        <v>0</v>
      </c>
      <c r="EE323" s="566">
        <f>WWWW[[#This Row],[%_of_complaints_received_that_result_in_timely_corrective_action_and_feedback_to_the_community]]*WWWW[[#This Row],[Total PoP ]]</f>
        <v>0</v>
      </c>
      <c r="EF32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2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2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23" s="953" t="str">
        <f>VLOOKUP(WWWW[[#This Row],[Site Name]],SiteDB6[[Site Name]:[CCCM Management]],6,FALSE)</f>
        <v>Yes</v>
      </c>
      <c r="EJ323" s="953" t="str">
        <f>VLOOKUP(WWWW[[#This Row],[Site Name]],SiteDB6[[Site Name]:[CCCM Focal Agency]],7,FALSE)</f>
        <v>KMSS-BMO</v>
      </c>
      <c r="EK323" s="953" t="str">
        <f>VLOOKUP(WWWW[[#This Row],[Site Name]],SiteDB6[[Site Name]:[Location Type 1]],9,FALSE)</f>
        <v>Camp</v>
      </c>
      <c r="EL323" s="953" t="str">
        <f>VLOOKUP(WWWW[[#This Row],[Site Name]],SiteDB6[[Site Name]:[Type of Accommodation]],10,FALSE)</f>
        <v>Camp</v>
      </c>
      <c r="EM323" s="953" t="str">
        <f>VLOOKUP(WWWW[[#This Row],[Site Name]],SiteDB6[[Site Name]:[Ethnic or GCA/NGCA]],11,FALSE)</f>
        <v>GCA</v>
      </c>
      <c r="EN323" s="953">
        <f>VLOOKUP(WWWW[[#This Row],[Site Name]],SiteDB6[[Site Name]:[Lat]],12,FALSE)</f>
        <v>24.200367</v>
      </c>
      <c r="EO323" s="953">
        <f>VLOOKUP(WWWW[[#This Row],[Site Name]],SiteDB6[[Site Name]:[Long]],13,FALSE)</f>
        <v>96.807353000000006</v>
      </c>
      <c r="EP323" s="953" t="str">
        <f>VLOOKUP(WWWW[[#This Row],[Site Name]],SiteDB6[[Site Name]:[Pcode]],3,FALSE)</f>
        <v>MMR001CMP068</v>
      </c>
      <c r="EQ323" s="958" t="str">
        <f t="shared" si="7"/>
        <v>Covered</v>
      </c>
      <c r="ER323" s="950" t="s">
        <v>3126</v>
      </c>
      <c r="ES323" s="950" t="s">
        <v>3278</v>
      </c>
      <c r="ET323" s="953">
        <f>VLOOKUP(WWWW[[#This Row],[Site Name]],SiteDB6[[Site Name]:[Pop
(Kachin/Shan-CCCM as of May 2023)]],16,FALSE)</f>
        <v>33</v>
      </c>
      <c r="EU323" s="953">
        <f>VLOOKUP(WWWW[[#This Row],[Site Name]],SiteDB6[[Site Name]:[Pop
(Kachin/Shan-CCCM as of May 2023)]],17,FALSE)</f>
        <v>152</v>
      </c>
    </row>
    <row r="324" spans="1:151">
      <c r="A324" s="946" t="s">
        <v>2962</v>
      </c>
      <c r="B324" s="938" t="s">
        <v>3347</v>
      </c>
      <c r="C324" s="938" t="s">
        <v>3347</v>
      </c>
      <c r="D324" s="1005" t="s">
        <v>241</v>
      </c>
      <c r="E324" s="1005" t="s">
        <v>37</v>
      </c>
      <c r="F324" s="1005" t="s">
        <v>184</v>
      </c>
      <c r="G324" s="902" t="str">
        <f>VLOOKUP(WWWW[[#This Row],[Site Name]],SiteDB6[[Site Name]:[Location Type]],8,FALSE)</f>
        <v>Camp</v>
      </c>
      <c r="H324" s="1005" t="s">
        <v>185</v>
      </c>
      <c r="I324" s="954">
        <v>116</v>
      </c>
      <c r="J324" s="954">
        <v>584</v>
      </c>
      <c r="K324" s="955">
        <v>44811</v>
      </c>
      <c r="L324" s="956">
        <v>45175</v>
      </c>
      <c r="M324" s="954"/>
      <c r="N324" s="954">
        <v>2</v>
      </c>
      <c r="O324" s="954"/>
      <c r="P324" s="954"/>
      <c r="Q324" s="957" t="s">
        <v>41</v>
      </c>
      <c r="R324" s="954">
        <v>3</v>
      </c>
      <c r="S324" s="954">
        <v>1</v>
      </c>
      <c r="T324" s="441">
        <v>2</v>
      </c>
      <c r="U324" s="441"/>
      <c r="V324" s="954"/>
      <c r="W324" s="954"/>
      <c r="X324" s="954"/>
      <c r="Y324" s="954"/>
      <c r="Z324" s="954"/>
      <c r="AA324" s="954">
        <v>2</v>
      </c>
      <c r="AB324" s="954"/>
      <c r="AC324" s="954"/>
      <c r="AD324" s="954"/>
      <c r="AE324" s="954"/>
      <c r="AF324" s="954"/>
      <c r="AG324" s="954"/>
      <c r="AH324" s="954">
        <v>2</v>
      </c>
      <c r="AI324" s="954"/>
      <c r="AJ324" s="954"/>
      <c r="AK324" s="954"/>
      <c r="AL324" s="954"/>
      <c r="AM324" s="954"/>
      <c r="AN324" s="954"/>
      <c r="AO324" s="441"/>
      <c r="AP324" s="958"/>
      <c r="AQ324" s="954">
        <v>110</v>
      </c>
      <c r="AR324" s="441">
        <v>15</v>
      </c>
      <c r="AS324" s="959"/>
      <c r="AT324" s="954"/>
      <c r="AU324" s="954"/>
      <c r="AV324" s="954"/>
      <c r="AW324" s="954"/>
      <c r="AX324" s="954">
        <v>110</v>
      </c>
      <c r="AY324" s="953" t="s">
        <v>41</v>
      </c>
      <c r="AZ324" s="958" t="s">
        <v>136</v>
      </c>
      <c r="BA324" s="954"/>
      <c r="BB324" s="954"/>
      <c r="BC324" s="954"/>
      <c r="BD324" s="441"/>
      <c r="BE324" s="441"/>
      <c r="BF324" s="953"/>
      <c r="BG324" s="954">
        <v>3</v>
      </c>
      <c r="BH324" s="954"/>
      <c r="BI324" s="954"/>
      <c r="BJ324" s="954">
        <v>2</v>
      </c>
      <c r="BK324" s="954"/>
      <c r="BL324" s="954">
        <v>1</v>
      </c>
      <c r="BM324" s="954">
        <v>1</v>
      </c>
      <c r="BN324" s="954"/>
      <c r="BO324" s="954"/>
      <c r="BP324" s="953"/>
      <c r="BQ324" s="960"/>
      <c r="BR324" s="959"/>
      <c r="BS324" s="953"/>
      <c r="BT324" s="416"/>
      <c r="BU324" s="416"/>
      <c r="BV324" s="418"/>
      <c r="BW324" s="416"/>
      <c r="BX324" s="441"/>
      <c r="BY324" s="441"/>
      <c r="BZ324" s="441"/>
      <c r="CA324" s="441"/>
      <c r="CB324" s="441"/>
      <c r="CC324" s="693"/>
      <c r="CD324" s="441"/>
      <c r="CE324" s="961" t="str">
        <f>IFERROR(WWWW[[#This Row],['#_Water sources passed]]/WWWW[[#This Row],['#_Water sources tested for fecal coliform ]],"no test")</f>
        <v>no test</v>
      </c>
      <c r="CF324" s="959" t="str">
        <f>IFERROR(WWWW[[#This Row],['#_Household passed]]/WWWW[[#This Row],['#_Household water samples tested for fecal coliform]],"no test")</f>
        <v>no test</v>
      </c>
      <c r="CG324" s="960" t="str">
        <f>IF(AND(WWWW[[#This Row],[% of water sources passed]]="no test",WWWW[[#This Row],[% Household passed]]="no test"),"No Test","Tested")</f>
        <v>No Test</v>
      </c>
      <c r="CH324" s="960">
        <f>WWWW[[#This Row],['#_Constructed/existing protected hand dug well]]-WWWW[[#This Row],['#_Non-functional protected hand dug well]]</f>
        <v>2</v>
      </c>
      <c r="CI324" s="960">
        <f>(WWWW[[#This Row],['#_Constructed/Existing tube wells/boreholes/handpumps_WASH_agency]]+WWWW[[#This Row],['#_Non-Cluster partner water tube-wells/boreholes/handpumps]])-WWWW[[#This Row],['#_Non-functional tube wells/boreholes/handpumps]]</f>
        <v>0</v>
      </c>
      <c r="CJ324" s="960">
        <f>WWWW[[#This Row],['#_Constructed/Existingwater storage tank with gravity fed reticulation system]]-WWWW[[#This Row],['#_Non-functional storage tank gravity fed reticulation system]]</f>
        <v>2</v>
      </c>
      <c r="CK324" s="960">
        <f>(WWWW[[#This Row],['#_Water_Liters_supplied_by_Water boating or water trucking]]/90)/15</f>
        <v>0</v>
      </c>
      <c r="CL324" s="960">
        <f>WWWW[[#This Row],['#_Water_Liters_from_Constructed/Existing water distribution system from river or natural spring]]/90/15</f>
        <v>0</v>
      </c>
      <c r="CM324" s="417">
        <f>IF(WWWW[[#This Row],['#_of water points in TLS/CFS]]*500&gt;WWWW[[#This Row],[Total PoP ]],WWWW[[#This Row],[Total PoP ]],WWWW[[#This Row],['#_of water points in TLS/CFS]]*500)</f>
        <v>0</v>
      </c>
      <c r="CN324" s="417">
        <f>IF(WWWW[[#This Row],['#_of water points in THF]]*500&gt;WWWW[[#This Row],[Total PoP ]],WWWW[[#This Row],[Total PoP ]],WWWW[[#This Row],['#_of water points in THF]]*500)</f>
        <v>0</v>
      </c>
      <c r="CO324" s="417"/>
      <c r="CP324"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24"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24" s="959">
        <f>IF(WWWW[[#This Row],[Location Type 1]]="Village",WWWW[[#This Row],[Access to safe drinking water for Village]],WWWW[[#This Row],[Access to safe drinking water for Camp]])</f>
        <v>1</v>
      </c>
      <c r="CS324" s="957">
        <f>WWWW[[#This Row],[%Equitable and continuous access to sufficient quantity of safe drinking water]]*WWWW[[#This Row],[Total PoP ]]</f>
        <v>584</v>
      </c>
      <c r="CT324" s="959">
        <f>IF((WWWW[[#This Row],['#_Constructed/Existing protected/fenced ponds]]*250)/WWWW[[#This Row],[Total PoP ]]&gt;1,1,(WWWW[[#This Row],['#_Constructed/Existing protected/fenced ponds]]*250)/WWWW[[#This Row],[Total PoP ]])</f>
        <v>0</v>
      </c>
      <c r="CU324" s="957">
        <f>WWWW[[#This Row],[% Access to unimproved water points]]*WWWW[[#This Row],[Total PoP ]]</f>
        <v>0</v>
      </c>
      <c r="CV324"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24"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584</v>
      </c>
      <c r="CX324" s="957">
        <f>WWWW[[#This Row],[HRP1]]/500</f>
        <v>1.1679999999999999</v>
      </c>
      <c r="CY324" s="962">
        <f>1-WWWW[[#This Row],[% Equitable and continuous access to sufficient quantity of domestic water]]</f>
        <v>0</v>
      </c>
      <c r="CZ324" s="957">
        <f>WWWW[[#This Row],[%equitable and continuous access to sufficient quantity of safe drinking and domestic water''s GAP]]*WWWW[[#This Row],[Total PoP ]]</f>
        <v>0</v>
      </c>
      <c r="DA324" s="960">
        <f>IF(WWWW[[#This Row],[Total required water points]]-WWWW[[#This Row],['#Water points coverage]]&lt;0,0,WWWW[[#This Row],[Total required water points]]-WWWW[[#This Row],['#Water points coverage]])</f>
        <v>0</v>
      </c>
      <c r="DB324" s="960">
        <f>ROUND(IF(WWWW[[#This Row],[Total PoP ]]&lt;500,1,WWWW[[#This Row],[Total PoP ]]/500),0)</f>
        <v>1</v>
      </c>
      <c r="DC324" s="960">
        <f>(WWWW[[#This Row],['#_Constructed latrines_by_WASHAgencies]]+WWWW[[#This Row],['#_Non Cluster partner latrines]])-WWWW[[#This Row],['#_Non-functional latrines]]</f>
        <v>125</v>
      </c>
      <c r="DD324" s="615">
        <f>WWWW[[#This Row],[HRP2]]/WWWW[[#This Row],[Total PoP ]]</f>
        <v>1</v>
      </c>
      <c r="DE324"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584</v>
      </c>
      <c r="DF324"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24"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24" s="417">
        <f>IF(WWWW[[#This Row],['# of functional latrines in THF supported by WASH partners during the reporting period2]]="",0,WWWW[[#This Row],['# of functional latrines in THF supported by WASH partners during the reporting period2]]*50)</f>
        <v>0</v>
      </c>
      <c r="DI324" s="960">
        <f>ROUND(IF(WWWW[[#This Row],[Location Type 1]]="camp",WWWW[[#This Row],[Total PoP ]]/20,IF(WWWW[[#This Row],[Location Type 1]]="Temporary Location",WWWW[[#This Row],[Total PoP ]]/50,(WWWW[[#This Row],[Total PoP ]]/6))),0)</f>
        <v>29</v>
      </c>
      <c r="DJ324" s="960">
        <f>IF(WWWW[[#This Row],[Total required Latrines]]-(WWWW[[#This Row],['#_Constructed latrines_by_WASHAgencies]]+WWWW[[#This Row],['#_Non Cluster partner latrines]])&lt;0,0,WWWW[[#This Row],[Total required Latrines]]-(WWWW[[#This Row],['#_Constructed latrines_by_WASHAgencies]]+WWWW[[#This Row],['#_Non Cluster partner latrines]]))</f>
        <v>0</v>
      </c>
      <c r="DK324" s="962">
        <f>1-WWWW[[#This Row],[% people access to functioning Latrine]]</f>
        <v>0</v>
      </c>
      <c r="DL324" s="961">
        <f>IF(OR(WWWW[[#This Row],['#_Non-functional latrines]]="",WWWW[[#This Row],['#_Non-functional latrines]]=0),0,WWWW[[#This Row],['#_Non-functional latrines]]/(WWWW[[#This Row],['#_Constructed latrines_by_WASHAgencies]]+WWWW[[#This Row],['#_Non Cluster partner latrines]]))</f>
        <v>0</v>
      </c>
      <c r="DM324" s="957">
        <f>IF(500*(WWWW[[#This Row],['#_male hygiene promoters]]+WWWW[[#This Row],['#_female hygiene promoters]])&gt;WWWW[[#This Row],[Total PoP ]],WWWW[[#This Row],[Total PoP ]],500*(WWWW[[#This Row],['#_male hygiene promoters]]+WWWW[[#This Row],['#_female hygiene promoters]]))</f>
        <v>584</v>
      </c>
      <c r="DN324"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24"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24" s="960">
        <f>IF(WWWW[[#This Row],['# People with access to soap]]&gt;WWWW[[#This Row],['# People with access to Sanity Pads]],WWWW[[#This Row],['# People with access to soap]],WWWW[[#This Row],['# People with access to Sanity Pads]])</f>
        <v>0</v>
      </c>
      <c r="DQ324" s="960">
        <f>IF(WWWW[[#This Row],['# people reached by regular dedicated hygiene promotion_5]]&gt;WWWW[[#This Row],['# People received regular supply of hygiene items_6]],WWWW[[#This Row],['# people reached by regular dedicated hygiene promotion_5]],WWWW[[#This Row],['# People received regular supply of hygiene items_6]])</f>
        <v>584</v>
      </c>
      <c r="DR324" s="962">
        <f>IF(WWWW[[#This Row],[HRP3]]/WWWW[[#This Row],[Total PoP ]]&gt;1,1,WWWW[[#This Row],[HRP3]]/WWWW[[#This Row],[Total PoP ]])</f>
        <v>1</v>
      </c>
      <c r="DS324" s="961">
        <f>1-WWWW[[#This Row],[Hygiene Coverage%]]</f>
        <v>0</v>
      </c>
      <c r="DT324" s="959">
        <f>WWWW[[#This Row],['# people reached by regular dedicated hygiene promotion_5]]/WWWW[[#This Row],[Total PoP ]]</f>
        <v>1</v>
      </c>
      <c r="DU324"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24"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24" s="960">
        <f>WWWW[[#This Row],['#_Constructed/Existing hand washing stations]]-WWWW[[#This Row],['#_Non-Functional_hand_washing_stations]]</f>
        <v>3</v>
      </c>
      <c r="DX324" s="957">
        <f>IF(WWWW[[#This Row],['# Functional hand washing stations during reporting period]]*20&gt;WWWW[[#This Row],[Total HH]],WWWW[[#This Row],[Total HH]],WWWW[[#This Row],['# Functional hand washing stations during reporting period]]*20)</f>
        <v>60</v>
      </c>
      <c r="DY324" s="957">
        <f>IF(WWWW[[#This Row],[Is sufficient soap available for TLS? (Yes/No)]]="yes",WWWW[[#This Row],['#_Constructed/Existing hand washing stations at TLS/CFS/THF]],0)</f>
        <v>0</v>
      </c>
      <c r="DZ324" s="421">
        <f>IF(WWWW[[#This Row],['# Functional hand washing stations during reporting period]]*100&gt;WWWW[[#This Row],[Total PoP ]],WWWW[[#This Row],[Total PoP ]],WWWW[[#This Row],['# Functional hand washing stations during reporting period]]*100)</f>
        <v>300</v>
      </c>
      <c r="EA324" s="421" t="str">
        <f>IF(OR(WWWW[[#This Row],['#_students at TLS_CFS]]="",WWWW[[#This Row],['#_students at TLS_CFS]]=0),"No","Yes")</f>
        <v>No</v>
      </c>
      <c r="EB32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24" s="566">
        <f>WWWW[[#This Row],[%_of_affected_people_surveyed_who_report_feeling_satistfied_with_the_latrine_design_and_sanitation_service]]*WWWW[[#This Row],[Total PoP ]]</f>
        <v>0</v>
      </c>
      <c r="ED324" s="566">
        <f>WWWW[[#This Row],[%_of_affected_people_surveyed_who_report_feeling_satistfied_with_the_water_point_design_and_water_service]]*WWWW[[#This Row],[Total PoP ]]</f>
        <v>0</v>
      </c>
      <c r="EE324" s="566">
        <f>WWWW[[#This Row],[%_of_complaints_received_that_result_in_timely_corrective_action_and_feedback_to_the_community]]*WWWW[[#This Row],[Total PoP ]]</f>
        <v>0</v>
      </c>
      <c r="EF32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2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2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24" s="953" t="str">
        <f>VLOOKUP(WWWW[[#This Row],[Site Name]],SiteDB6[[Site Name]:[CCCM Management]],6,FALSE)</f>
        <v>Yes</v>
      </c>
      <c r="EJ324" s="953" t="str">
        <f>VLOOKUP(WWWW[[#This Row],[Site Name]],SiteDB6[[Site Name]:[CCCM Focal Agency]],7,FALSE)</f>
        <v>KBC-MYT</v>
      </c>
      <c r="EK324" s="953" t="str">
        <f>VLOOKUP(WWWW[[#This Row],[Site Name]],SiteDB6[[Site Name]:[Location Type 1]],9,FALSE)</f>
        <v>Camp</v>
      </c>
      <c r="EL324" s="953" t="str">
        <f>VLOOKUP(WWWW[[#This Row],[Site Name]],SiteDB6[[Site Name]:[Type of Accommodation]],10,FALSE)</f>
        <v>Camp</v>
      </c>
      <c r="EM324" s="953" t="str">
        <f>VLOOKUP(WWWW[[#This Row],[Site Name]],SiteDB6[[Site Name]:[Ethnic or GCA/NGCA]],11,FALSE)</f>
        <v>NGCA</v>
      </c>
      <c r="EN324" s="953">
        <f>VLOOKUP(WWWW[[#This Row],[Site Name]],SiteDB6[[Site Name]:[Lat]],12,FALSE)</f>
        <v>26.569633</v>
      </c>
      <c r="EO324" s="953">
        <f>VLOOKUP(WWWW[[#This Row],[Site Name]],SiteDB6[[Site Name]:[Long]],13,FALSE)</f>
        <v>97.745480999999998</v>
      </c>
      <c r="EP324" s="953" t="str">
        <f>VLOOKUP(WWWW[[#This Row],[Site Name]],SiteDB6[[Site Name]:[Pcode]],3,FALSE)</f>
        <v>MMR001CMP238</v>
      </c>
      <c r="EQ324" s="958" t="str">
        <f t="shared" si="7"/>
        <v>Covered</v>
      </c>
      <c r="ER324" s="950" t="s">
        <v>3126</v>
      </c>
      <c r="ES324" s="950" t="s">
        <v>3267</v>
      </c>
      <c r="ET324" s="953">
        <f>VLOOKUP(WWWW[[#This Row],[Site Name]],SiteDB6[[Site Name]:[Pop
(Kachin/Shan-CCCM as of May 2023)]],16,FALSE)</f>
        <v>123</v>
      </c>
      <c r="EU324" s="953">
        <f>VLOOKUP(WWWW[[#This Row],[Site Name]],SiteDB6[[Site Name]:[Pop
(Kachin/Shan-CCCM as of May 2023)]],17,FALSE)</f>
        <v>646</v>
      </c>
    </row>
    <row r="325" spans="1:151">
      <c r="A325" s="946" t="s">
        <v>2962</v>
      </c>
      <c r="B325" s="938" t="s">
        <v>3347</v>
      </c>
      <c r="C325" s="938" t="s">
        <v>3347</v>
      </c>
      <c r="D325" s="1005" t="s">
        <v>241</v>
      </c>
      <c r="E325" s="1005" t="s">
        <v>37</v>
      </c>
      <c r="F325" s="1005" t="s">
        <v>184</v>
      </c>
      <c r="G325" s="902" t="str">
        <f>VLOOKUP(WWWW[[#This Row],[Site Name]],SiteDB6[[Site Name]:[Location Type]],8,FALSE)</f>
        <v>Camp</v>
      </c>
      <c r="H325" s="1005" t="s">
        <v>187</v>
      </c>
      <c r="I325" s="954">
        <v>71</v>
      </c>
      <c r="J325" s="954">
        <v>342</v>
      </c>
      <c r="K325" s="955">
        <v>44811</v>
      </c>
      <c r="L325" s="956">
        <v>45175</v>
      </c>
      <c r="M325" s="954"/>
      <c r="N325" s="954">
        <v>2</v>
      </c>
      <c r="O325" s="954"/>
      <c r="P325" s="954"/>
      <c r="Q325" s="957" t="s">
        <v>41</v>
      </c>
      <c r="R325" s="954">
        <v>3</v>
      </c>
      <c r="S325" s="954">
        <v>2</v>
      </c>
      <c r="T325" s="441">
        <v>5</v>
      </c>
      <c r="U325" s="441"/>
      <c r="V325" s="954"/>
      <c r="W325" s="954"/>
      <c r="X325" s="954"/>
      <c r="Y325" s="954"/>
      <c r="Z325" s="954"/>
      <c r="AA325" s="954">
        <v>5</v>
      </c>
      <c r="AB325" s="954"/>
      <c r="AC325" s="954"/>
      <c r="AD325" s="954"/>
      <c r="AE325" s="954"/>
      <c r="AF325" s="954"/>
      <c r="AG325" s="954"/>
      <c r="AH325" s="954">
        <v>5</v>
      </c>
      <c r="AI325" s="954"/>
      <c r="AJ325" s="954"/>
      <c r="AK325" s="954"/>
      <c r="AL325" s="954"/>
      <c r="AM325" s="954"/>
      <c r="AN325" s="954"/>
      <c r="AO325" s="441"/>
      <c r="AP325" s="958"/>
      <c r="AQ325" s="954">
        <v>66</v>
      </c>
      <c r="AR325" s="441">
        <v>23</v>
      </c>
      <c r="AS325" s="959"/>
      <c r="AT325" s="954"/>
      <c r="AU325" s="954"/>
      <c r="AV325" s="954"/>
      <c r="AW325" s="954"/>
      <c r="AX325" s="954">
        <v>66</v>
      </c>
      <c r="AY325" s="953" t="s">
        <v>41</v>
      </c>
      <c r="AZ325" s="958" t="s">
        <v>136</v>
      </c>
      <c r="BA325" s="954"/>
      <c r="BB325" s="954"/>
      <c r="BC325" s="954"/>
      <c r="BD325" s="441">
        <v>5</v>
      </c>
      <c r="BE325" s="441"/>
      <c r="BF325" s="953"/>
      <c r="BG325" s="954">
        <v>1</v>
      </c>
      <c r="BH325" s="954"/>
      <c r="BI325" s="954"/>
      <c r="BJ325" s="954">
        <v>1</v>
      </c>
      <c r="BK325" s="954"/>
      <c r="BL325" s="954">
        <v>1</v>
      </c>
      <c r="BM325" s="954">
        <v>1</v>
      </c>
      <c r="BN325" s="954"/>
      <c r="BO325" s="954"/>
      <c r="BP325" s="953"/>
      <c r="BQ325" s="960"/>
      <c r="BR325" s="959"/>
      <c r="BS325" s="953"/>
      <c r="BT325" s="416"/>
      <c r="BU325" s="416"/>
      <c r="BV325" s="418"/>
      <c r="BW325" s="416"/>
      <c r="BX325" s="441"/>
      <c r="BY325" s="441"/>
      <c r="BZ325" s="441"/>
      <c r="CA325" s="441"/>
      <c r="CB325" s="441"/>
      <c r="CC325" s="693"/>
      <c r="CD325" s="441"/>
      <c r="CE325" s="961" t="str">
        <f>IFERROR(WWWW[[#This Row],['#_Water sources passed]]/WWWW[[#This Row],['#_Water sources tested for fecal coliform ]],"no test")</f>
        <v>no test</v>
      </c>
      <c r="CF325" s="959" t="str">
        <f>IFERROR(WWWW[[#This Row],['#_Household passed]]/WWWW[[#This Row],['#_Household water samples tested for fecal coliform]],"no test")</f>
        <v>no test</v>
      </c>
      <c r="CG325" s="960" t="str">
        <f>IF(AND(WWWW[[#This Row],[% of water sources passed]]="no test",WWWW[[#This Row],[% Household passed]]="no test"),"No Test","Tested")</f>
        <v>No Test</v>
      </c>
      <c r="CH325" s="960">
        <f>WWWW[[#This Row],['#_Constructed/existing protected hand dug well]]-WWWW[[#This Row],['#_Non-functional protected hand dug well]]</f>
        <v>5</v>
      </c>
      <c r="CI325" s="960">
        <f>(WWWW[[#This Row],['#_Constructed/Existing tube wells/boreholes/handpumps_WASH_agency]]+WWWW[[#This Row],['#_Non-Cluster partner water tube-wells/boreholes/handpumps]])-WWWW[[#This Row],['#_Non-functional tube wells/boreholes/handpumps]]</f>
        <v>0</v>
      </c>
      <c r="CJ325" s="960">
        <f>WWWW[[#This Row],['#_Constructed/Existingwater storage tank with gravity fed reticulation system]]-WWWW[[#This Row],['#_Non-functional storage tank gravity fed reticulation system]]</f>
        <v>5</v>
      </c>
      <c r="CK325" s="960">
        <f>(WWWW[[#This Row],['#_Water_Liters_supplied_by_Water boating or water trucking]]/90)/15</f>
        <v>0</v>
      </c>
      <c r="CL325" s="960">
        <f>WWWW[[#This Row],['#_Water_Liters_from_Constructed/Existing water distribution system from river or natural spring]]/90/15</f>
        <v>0</v>
      </c>
      <c r="CM325" s="417">
        <f>IF(WWWW[[#This Row],['#_of water points in TLS/CFS]]*500&gt;WWWW[[#This Row],[Total PoP ]],WWWW[[#This Row],[Total PoP ]],WWWW[[#This Row],['#_of water points in TLS/CFS]]*500)</f>
        <v>0</v>
      </c>
      <c r="CN325" s="417">
        <f>IF(WWWW[[#This Row],['#_of water points in THF]]*500&gt;WWWW[[#This Row],[Total PoP ]],WWWW[[#This Row],[Total PoP ]],WWWW[[#This Row],['#_of water points in THF]]*500)</f>
        <v>0</v>
      </c>
      <c r="CO325" s="417"/>
      <c r="CP325"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25"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25" s="959">
        <f>IF(WWWW[[#This Row],[Location Type 1]]="Village",WWWW[[#This Row],[Access to safe drinking water for Village]],WWWW[[#This Row],[Access to safe drinking water for Camp]])</f>
        <v>1</v>
      </c>
      <c r="CS325" s="957">
        <f>WWWW[[#This Row],[%Equitable and continuous access to sufficient quantity of safe drinking water]]*WWWW[[#This Row],[Total PoP ]]</f>
        <v>342</v>
      </c>
      <c r="CT325" s="959">
        <f>IF((WWWW[[#This Row],['#_Constructed/Existing protected/fenced ponds]]*250)/WWWW[[#This Row],[Total PoP ]]&gt;1,1,(WWWW[[#This Row],['#_Constructed/Existing protected/fenced ponds]]*250)/WWWW[[#This Row],[Total PoP ]])</f>
        <v>0</v>
      </c>
      <c r="CU325" s="957">
        <f>WWWW[[#This Row],[% Access to unimproved water points]]*WWWW[[#This Row],[Total PoP ]]</f>
        <v>0</v>
      </c>
      <c r="CV325"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25"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342</v>
      </c>
      <c r="CX325" s="957">
        <f>WWWW[[#This Row],[HRP1]]/500</f>
        <v>0.68400000000000005</v>
      </c>
      <c r="CY325" s="962">
        <f>1-WWWW[[#This Row],[% Equitable and continuous access to sufficient quantity of domestic water]]</f>
        <v>0</v>
      </c>
      <c r="CZ325" s="957">
        <f>WWWW[[#This Row],[%equitable and continuous access to sufficient quantity of safe drinking and domestic water''s GAP]]*WWWW[[#This Row],[Total PoP ]]</f>
        <v>0</v>
      </c>
      <c r="DA325" s="960">
        <f>IF(WWWW[[#This Row],[Total required water points]]-WWWW[[#This Row],['#Water points coverage]]&lt;0,0,WWWW[[#This Row],[Total required water points]]-WWWW[[#This Row],['#Water points coverage]])</f>
        <v>0.31599999999999995</v>
      </c>
      <c r="DB325" s="960">
        <f>ROUND(IF(WWWW[[#This Row],[Total PoP ]]&lt;500,1,WWWW[[#This Row],[Total PoP ]]/500),0)</f>
        <v>1</v>
      </c>
      <c r="DC325" s="960">
        <f>(WWWW[[#This Row],['#_Constructed latrines_by_WASHAgencies]]+WWWW[[#This Row],['#_Non Cluster partner latrines]])-WWWW[[#This Row],['#_Non-functional latrines]]</f>
        <v>89</v>
      </c>
      <c r="DD325" s="615">
        <f>WWWW[[#This Row],[HRP2]]/WWWW[[#This Row],[Total PoP ]]</f>
        <v>1</v>
      </c>
      <c r="DE325"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342</v>
      </c>
      <c r="DF325"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25"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25" s="417">
        <f>IF(WWWW[[#This Row],['# of functional latrines in THF supported by WASH partners during the reporting period2]]="",0,WWWW[[#This Row],['# of functional latrines in THF supported by WASH partners during the reporting period2]]*50)</f>
        <v>250</v>
      </c>
      <c r="DI325" s="960">
        <f>ROUND(IF(WWWW[[#This Row],[Location Type 1]]="camp",WWWW[[#This Row],[Total PoP ]]/20,IF(WWWW[[#This Row],[Location Type 1]]="Temporary Location",WWWW[[#This Row],[Total PoP ]]/50,(WWWW[[#This Row],[Total PoP ]]/6))),0)</f>
        <v>17</v>
      </c>
      <c r="DJ325" s="960">
        <f>IF(WWWW[[#This Row],[Total required Latrines]]-(WWWW[[#This Row],['#_Constructed latrines_by_WASHAgencies]]+WWWW[[#This Row],['#_Non Cluster partner latrines]])&lt;0,0,WWWW[[#This Row],[Total required Latrines]]-(WWWW[[#This Row],['#_Constructed latrines_by_WASHAgencies]]+WWWW[[#This Row],['#_Non Cluster partner latrines]]))</f>
        <v>0</v>
      </c>
      <c r="DK325" s="962">
        <f>1-WWWW[[#This Row],[% people access to functioning Latrine]]</f>
        <v>0</v>
      </c>
      <c r="DL325" s="961">
        <f>IF(OR(WWWW[[#This Row],['#_Non-functional latrines]]="",WWWW[[#This Row],['#_Non-functional latrines]]=0),0,WWWW[[#This Row],['#_Non-functional latrines]]/(WWWW[[#This Row],['#_Constructed latrines_by_WASHAgencies]]+WWWW[[#This Row],['#_Non Cluster partner latrines]]))</f>
        <v>0</v>
      </c>
      <c r="DM325" s="957">
        <f>IF(500*(WWWW[[#This Row],['#_male hygiene promoters]]+WWWW[[#This Row],['#_female hygiene promoters]])&gt;WWWW[[#This Row],[Total PoP ]],WWWW[[#This Row],[Total PoP ]],500*(WWWW[[#This Row],['#_male hygiene promoters]]+WWWW[[#This Row],['#_female hygiene promoters]]))</f>
        <v>342</v>
      </c>
      <c r="DN325"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25"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25" s="960">
        <f>IF(WWWW[[#This Row],['# People with access to soap]]&gt;WWWW[[#This Row],['# People with access to Sanity Pads]],WWWW[[#This Row],['# People with access to soap]],WWWW[[#This Row],['# People with access to Sanity Pads]])</f>
        <v>0</v>
      </c>
      <c r="DQ325" s="960">
        <f>IF(WWWW[[#This Row],['# people reached by regular dedicated hygiene promotion_5]]&gt;WWWW[[#This Row],['# People received regular supply of hygiene items_6]],WWWW[[#This Row],['# people reached by regular dedicated hygiene promotion_5]],WWWW[[#This Row],['# People received regular supply of hygiene items_6]])</f>
        <v>342</v>
      </c>
      <c r="DR325" s="962">
        <f>IF(WWWW[[#This Row],[HRP3]]/WWWW[[#This Row],[Total PoP ]]&gt;1,1,WWWW[[#This Row],[HRP3]]/WWWW[[#This Row],[Total PoP ]])</f>
        <v>1</v>
      </c>
      <c r="DS325" s="961">
        <f>1-WWWW[[#This Row],[Hygiene Coverage%]]</f>
        <v>0</v>
      </c>
      <c r="DT325" s="959">
        <f>WWWW[[#This Row],['# people reached by regular dedicated hygiene promotion_5]]/WWWW[[#This Row],[Total PoP ]]</f>
        <v>1</v>
      </c>
      <c r="DU325"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25"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25" s="960">
        <f>WWWW[[#This Row],['#_Constructed/Existing hand washing stations]]-WWWW[[#This Row],['#_Non-Functional_hand_washing_stations]]</f>
        <v>1</v>
      </c>
      <c r="DX325" s="957">
        <f>IF(WWWW[[#This Row],['# Functional hand washing stations during reporting period]]*20&gt;WWWW[[#This Row],[Total HH]],WWWW[[#This Row],[Total HH]],WWWW[[#This Row],['# Functional hand washing stations during reporting period]]*20)</f>
        <v>20</v>
      </c>
      <c r="DY325" s="957">
        <f>IF(WWWW[[#This Row],[Is sufficient soap available for TLS? (Yes/No)]]="yes",WWWW[[#This Row],['#_Constructed/Existing hand washing stations at TLS/CFS/THF]],0)</f>
        <v>0</v>
      </c>
      <c r="DZ325" s="421">
        <f>IF(WWWW[[#This Row],['# Functional hand washing stations during reporting period]]*100&gt;WWWW[[#This Row],[Total PoP ]],WWWW[[#This Row],[Total PoP ]],WWWW[[#This Row],['# Functional hand washing stations during reporting period]]*100)</f>
        <v>100</v>
      </c>
      <c r="EA325" s="421" t="str">
        <f>IF(OR(WWWW[[#This Row],['#_students at TLS_CFS]]="",WWWW[[#This Row],['#_students at TLS_CFS]]=0),"No","Yes")</f>
        <v>No</v>
      </c>
      <c r="EB32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25" s="566">
        <f>WWWW[[#This Row],[%_of_affected_people_surveyed_who_report_feeling_satistfied_with_the_latrine_design_and_sanitation_service]]*WWWW[[#This Row],[Total PoP ]]</f>
        <v>0</v>
      </c>
      <c r="ED325" s="566">
        <f>WWWW[[#This Row],[%_of_affected_people_surveyed_who_report_feeling_satistfied_with_the_water_point_design_and_water_service]]*WWWW[[#This Row],[Total PoP ]]</f>
        <v>0</v>
      </c>
      <c r="EE325" s="566">
        <f>WWWW[[#This Row],[%_of_complaints_received_that_result_in_timely_corrective_action_and_feedback_to_the_community]]*WWWW[[#This Row],[Total PoP ]]</f>
        <v>0</v>
      </c>
      <c r="EF32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2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2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250</v>
      </c>
      <c r="EI325" s="953" t="str">
        <f>VLOOKUP(WWWW[[#This Row],[Site Name]],SiteDB6[[Site Name]:[CCCM Management]],6,FALSE)</f>
        <v>Yes</v>
      </c>
      <c r="EJ325" s="953" t="str">
        <f>VLOOKUP(WWWW[[#This Row],[Site Name]],SiteDB6[[Site Name]:[CCCM Focal Agency]],7,FALSE)</f>
        <v>KBC-MYT</v>
      </c>
      <c r="EK325" s="953" t="str">
        <f>VLOOKUP(WWWW[[#This Row],[Site Name]],SiteDB6[[Site Name]:[Location Type 1]],9,FALSE)</f>
        <v>Camp</v>
      </c>
      <c r="EL325" s="953" t="str">
        <f>VLOOKUP(WWWW[[#This Row],[Site Name]],SiteDB6[[Site Name]:[Type of Accommodation]],10,FALSE)</f>
        <v>Camp</v>
      </c>
      <c r="EM325" s="953" t="str">
        <f>VLOOKUP(WWWW[[#This Row],[Site Name]],SiteDB6[[Site Name]:[Ethnic or GCA/NGCA]],11,FALSE)</f>
        <v>NGCA</v>
      </c>
      <c r="EN325" s="953">
        <f>VLOOKUP(WWWW[[#This Row],[Site Name]],SiteDB6[[Site Name]:[Lat]],12,FALSE)</f>
        <v>26.548506</v>
      </c>
      <c r="EO325" s="953">
        <f>VLOOKUP(WWWW[[#This Row],[Site Name]],SiteDB6[[Site Name]:[Long]],13,FALSE)</f>
        <v>97.75609</v>
      </c>
      <c r="EP325" s="953" t="str">
        <f>VLOOKUP(WWWW[[#This Row],[Site Name]],SiteDB6[[Site Name]:[Pcode]],3,FALSE)</f>
        <v>MMR001CMP239</v>
      </c>
      <c r="EQ325" s="958" t="str">
        <f t="shared" si="7"/>
        <v>Covered</v>
      </c>
      <c r="ER325" s="950" t="s">
        <v>3126</v>
      </c>
      <c r="ES325" s="950" t="s">
        <v>3267</v>
      </c>
      <c r="ET325" s="953">
        <f>VLOOKUP(WWWW[[#This Row],[Site Name]],SiteDB6[[Site Name]:[Pop
(Kachin/Shan-CCCM as of May 2023)]],16,FALSE)</f>
        <v>72</v>
      </c>
      <c r="EU325" s="953">
        <f>VLOOKUP(WWWW[[#This Row],[Site Name]],SiteDB6[[Site Name]:[Pop
(Kachin/Shan-CCCM as of May 2023)]],17,FALSE)</f>
        <v>341</v>
      </c>
    </row>
    <row r="326" spans="1:151">
      <c r="A326" s="946" t="s">
        <v>2962</v>
      </c>
      <c r="B326" s="946" t="s">
        <v>36</v>
      </c>
      <c r="C326" s="938" t="s">
        <v>36</v>
      </c>
      <c r="D326" s="938" t="s">
        <v>241</v>
      </c>
      <c r="E326" s="938" t="s">
        <v>37</v>
      </c>
      <c r="F326" s="938" t="s">
        <v>858</v>
      </c>
      <c r="G326" s="902" t="str">
        <f>VLOOKUP(WWWW[[#This Row],[Site Name]],SiteDB6[[Site Name]:[Location Type]],8,FALSE)</f>
        <v>Camp</v>
      </c>
      <c r="H326" s="938" t="s">
        <v>1712</v>
      </c>
      <c r="I326" s="441">
        <v>133</v>
      </c>
      <c r="J326" s="441">
        <v>628</v>
      </c>
      <c r="K326" s="948">
        <v>44973</v>
      </c>
      <c r="L326" s="949">
        <v>45337</v>
      </c>
      <c r="M326" s="441"/>
      <c r="N326" s="441">
        <v>3</v>
      </c>
      <c r="O326" s="441"/>
      <c r="P326" s="441"/>
      <c r="Q326" s="421" t="s">
        <v>41</v>
      </c>
      <c r="R326" s="441">
        <v>4</v>
      </c>
      <c r="S326" s="441">
        <v>2</v>
      </c>
      <c r="T326" s="441">
        <v>1</v>
      </c>
      <c r="U326" s="441"/>
      <c r="V326" s="441"/>
      <c r="W326" s="441">
        <v>1</v>
      </c>
      <c r="X326" s="441"/>
      <c r="Y326" s="441"/>
      <c r="Z326" s="441"/>
      <c r="AA326" s="441"/>
      <c r="AB326" s="441"/>
      <c r="AC326" s="441"/>
      <c r="AD326" s="441"/>
      <c r="AE326" s="441"/>
      <c r="AF326" s="441"/>
      <c r="AG326" s="441"/>
      <c r="AH326" s="441"/>
      <c r="AI326" s="441"/>
      <c r="AJ326" s="441"/>
      <c r="AK326" s="441"/>
      <c r="AL326" s="441"/>
      <c r="AM326" s="441">
        <v>5</v>
      </c>
      <c r="AN326" s="441"/>
      <c r="AO326" s="441"/>
      <c r="AP326" s="950"/>
      <c r="AQ326" s="441">
        <v>1</v>
      </c>
      <c r="AR326" s="441"/>
      <c r="AS326" s="416"/>
      <c r="AT326" s="441"/>
      <c r="AU326" s="441"/>
      <c r="AV326" s="441"/>
      <c r="AW326" s="441"/>
      <c r="AX326" s="441"/>
      <c r="AY326" s="418" t="s">
        <v>41</v>
      </c>
      <c r="AZ326" s="950" t="s">
        <v>137</v>
      </c>
      <c r="BA326" s="441"/>
      <c r="BB326" s="441"/>
      <c r="BC326" s="441"/>
      <c r="BD326" s="441"/>
      <c r="BE326" s="441"/>
      <c r="BF326" s="418"/>
      <c r="BG326" s="441">
        <v>5</v>
      </c>
      <c r="BH326" s="441"/>
      <c r="BI326" s="441"/>
      <c r="BJ326" s="441">
        <v>7</v>
      </c>
      <c r="BK326" s="441"/>
      <c r="BL326" s="441"/>
      <c r="BM326" s="441">
        <v>1</v>
      </c>
      <c r="BN326" s="441"/>
      <c r="BO326" s="441"/>
      <c r="BP326" s="418" t="s">
        <v>41</v>
      </c>
      <c r="BQ326" s="417">
        <v>1</v>
      </c>
      <c r="BR326" s="416"/>
      <c r="BS326" s="418" t="s">
        <v>3130</v>
      </c>
      <c r="BT326" s="416"/>
      <c r="BU326" s="416"/>
      <c r="BV326" s="418"/>
      <c r="BW326" s="416"/>
      <c r="BX326" s="441"/>
      <c r="BY326" s="441"/>
      <c r="BZ326" s="441"/>
      <c r="CA326" s="441"/>
      <c r="CB326" s="441"/>
      <c r="CC326" s="693"/>
      <c r="CD326" s="441"/>
      <c r="CE326" s="615" t="str">
        <f>IFERROR(WWWW[[#This Row],['#_Water sources passed]]/WWWW[[#This Row],['#_Water sources tested for fecal coliform ]],"no test")</f>
        <v>no test</v>
      </c>
      <c r="CF326" s="416" t="str">
        <f>IFERROR(WWWW[[#This Row],['#_Household passed]]/WWWW[[#This Row],['#_Household water samples tested for fecal coliform]],"no test")</f>
        <v>no test</v>
      </c>
      <c r="CG326" s="417" t="str">
        <f>IF(AND(WWWW[[#This Row],[% of water sources passed]]="no test",WWWW[[#This Row],[% Household passed]]="no test"),"No Test","Tested")</f>
        <v>No Test</v>
      </c>
      <c r="CH326" s="417">
        <f>WWWW[[#This Row],['#_Constructed/existing protected hand dug well]]-WWWW[[#This Row],['#_Non-functional protected hand dug well]]</f>
        <v>1</v>
      </c>
      <c r="CI326" s="417">
        <f>(WWWW[[#This Row],['#_Constructed/Existing tube wells/boreholes/handpumps_WASH_agency]]+WWWW[[#This Row],['#_Non-Cluster partner water tube-wells/boreholes/handpumps]])-WWWW[[#This Row],['#_Non-functional tube wells/boreholes/handpumps]]</f>
        <v>1</v>
      </c>
      <c r="CJ326" s="417">
        <f>WWWW[[#This Row],['#_Constructed/Existingwater storage tank with gravity fed reticulation system]]-WWWW[[#This Row],['#_Non-functional storage tank gravity fed reticulation system]]</f>
        <v>0</v>
      </c>
      <c r="CK326" s="417">
        <f>(WWWW[[#This Row],['#_Water_Liters_supplied_by_Water boating or water trucking]]/90)/15</f>
        <v>0</v>
      </c>
      <c r="CL326" s="417">
        <f>WWWW[[#This Row],['#_Water_Liters_from_Constructed/Existing water distribution system from river or natural spring]]/90/15</f>
        <v>0</v>
      </c>
      <c r="CM326" s="417">
        <f>IF(WWWW[[#This Row],['#_of water points in TLS/CFS]]*500&gt;WWWW[[#This Row],[Total PoP ]],WWWW[[#This Row],[Total PoP ]],WWWW[[#This Row],['#_of water points in TLS/CFS]]*500)</f>
        <v>0</v>
      </c>
      <c r="CN326" s="417">
        <f>IF(WWWW[[#This Row],['#_of water points in THF]]*500&gt;WWWW[[#This Row],[Total PoP ]],WWWW[[#This Row],[Total PoP ]],WWWW[[#This Row],['#_of water points in THF]]*500)</f>
        <v>0</v>
      </c>
      <c r="CO326" s="417"/>
      <c r="CP326"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26"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0.79617834394904463</v>
      </c>
      <c r="CR326" s="416">
        <f>IF(WWWW[[#This Row],[Location Type 1]]="Village",WWWW[[#This Row],[Access to safe drinking water for Village]],WWWW[[#This Row],[Access to safe drinking water for Camp]])</f>
        <v>1</v>
      </c>
      <c r="CS326" s="421">
        <f>WWWW[[#This Row],[%Equitable and continuous access to sufficient quantity of safe drinking water]]*WWWW[[#This Row],[Total PoP ]]</f>
        <v>628</v>
      </c>
      <c r="CT326" s="416">
        <f>IF((WWWW[[#This Row],['#_Constructed/Existing protected/fenced ponds]]*250)/WWWW[[#This Row],[Total PoP ]]&gt;1,1,(WWWW[[#This Row],['#_Constructed/Existing protected/fenced ponds]]*250)/WWWW[[#This Row],[Total PoP ]])</f>
        <v>0</v>
      </c>
      <c r="CU326" s="421">
        <f>WWWW[[#This Row],[% Access to unimproved water points]]*WWWW[[#This Row],[Total PoP ]]</f>
        <v>0</v>
      </c>
      <c r="CV326"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26"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628</v>
      </c>
      <c r="CX326" s="421">
        <f>WWWW[[#This Row],[HRP1]]/500</f>
        <v>1.256</v>
      </c>
      <c r="CY326" s="951">
        <f>1-WWWW[[#This Row],[% Equitable and continuous access to sufficient quantity of domestic water]]</f>
        <v>0</v>
      </c>
      <c r="CZ326" s="421">
        <f>WWWW[[#This Row],[%equitable and continuous access to sufficient quantity of safe drinking and domestic water''s GAP]]*WWWW[[#This Row],[Total PoP ]]</f>
        <v>0</v>
      </c>
      <c r="DA326" s="417">
        <f>IF(WWWW[[#This Row],[Total required water points]]-WWWW[[#This Row],['#Water points coverage]]&lt;0,0,WWWW[[#This Row],[Total required water points]]-WWWW[[#This Row],['#Water points coverage]])</f>
        <v>0</v>
      </c>
      <c r="DB326" s="417">
        <f>ROUND(IF(WWWW[[#This Row],[Total PoP ]]&lt;500,1,WWWW[[#This Row],[Total PoP ]]/500),0)</f>
        <v>1</v>
      </c>
      <c r="DC326" s="417">
        <f>(WWWW[[#This Row],['#_Constructed latrines_by_WASHAgencies]]+WWWW[[#This Row],['#_Non Cluster partner latrines]])-WWWW[[#This Row],['#_Non-functional latrines]]</f>
        <v>1</v>
      </c>
      <c r="DD326" s="615">
        <f>WWWW[[#This Row],[HRP2]]/WWWW[[#This Row],[Total PoP ]]</f>
        <v>3.1847133757961783E-2</v>
      </c>
      <c r="DE326"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v>
      </c>
      <c r="DF326"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26"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26" s="417">
        <f>IF(WWWW[[#This Row],['# of functional latrines in THF supported by WASH partners during the reporting period2]]="",0,WWWW[[#This Row],['# of functional latrines in THF supported by WASH partners during the reporting period2]]*50)</f>
        <v>0</v>
      </c>
      <c r="DI326" s="417">
        <f>ROUND(IF(WWWW[[#This Row],[Location Type 1]]="camp",WWWW[[#This Row],[Total PoP ]]/20,IF(WWWW[[#This Row],[Location Type 1]]="Temporary Location",WWWW[[#This Row],[Total PoP ]]/50,(WWWW[[#This Row],[Total PoP ]]/6))),0)</f>
        <v>31</v>
      </c>
      <c r="DJ326" s="417">
        <f>IF(WWWW[[#This Row],[Total required Latrines]]-(WWWW[[#This Row],['#_Constructed latrines_by_WASHAgencies]]+WWWW[[#This Row],['#_Non Cluster partner latrines]])&lt;0,0,WWWW[[#This Row],[Total required Latrines]]-(WWWW[[#This Row],['#_Constructed latrines_by_WASHAgencies]]+WWWW[[#This Row],['#_Non Cluster partner latrines]]))</f>
        <v>30</v>
      </c>
      <c r="DK326" s="951">
        <f>1-WWWW[[#This Row],[% people access to functioning Latrine]]</f>
        <v>0.96815286624203822</v>
      </c>
      <c r="DL326" s="615">
        <f>IF(OR(WWWW[[#This Row],['#_Non-functional latrines]]="",WWWW[[#This Row],['#_Non-functional latrines]]=0),0,WWWW[[#This Row],['#_Non-functional latrines]]/(WWWW[[#This Row],['#_Constructed latrines_by_WASHAgencies]]+WWWW[[#This Row],['#_Non Cluster partner latrines]]))</f>
        <v>0</v>
      </c>
      <c r="DM326" s="421">
        <f>IF(500*(WWWW[[#This Row],['#_male hygiene promoters]]+WWWW[[#This Row],['#_female hygiene promoters]])&gt;WWWW[[#This Row],[Total PoP ]],WWWW[[#This Row],[Total PoP ]],500*(WWWW[[#This Row],['#_male hygiene promoters]]+WWWW[[#This Row],['#_female hygiene promoters]]))</f>
        <v>500</v>
      </c>
      <c r="DN326"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26"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26" s="417">
        <f>IF(WWWW[[#This Row],['# People with access to soap]]&gt;WWWW[[#This Row],['# People with access to Sanity Pads]],WWWW[[#This Row],['# People with access to soap]],WWWW[[#This Row],['# People with access to Sanity Pads]])</f>
        <v>0</v>
      </c>
      <c r="DQ326" s="41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326" s="951">
        <f>IF(WWWW[[#This Row],[HRP3]]/WWWW[[#This Row],[Total PoP ]]&gt;1,1,WWWW[[#This Row],[HRP3]]/WWWW[[#This Row],[Total PoP ]])</f>
        <v>0.79617834394904463</v>
      </c>
      <c r="DS326" s="615">
        <f>1-WWWW[[#This Row],[Hygiene Coverage%]]</f>
        <v>0.20382165605095537</v>
      </c>
      <c r="DT326" s="416">
        <f>WWWW[[#This Row],['# people reached by regular dedicated hygiene promotion_5]]/WWWW[[#This Row],[Total PoP ]]</f>
        <v>0.79617834394904463</v>
      </c>
      <c r="DU326"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26"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26" s="417">
        <f>WWWW[[#This Row],['#_Constructed/Existing hand washing stations]]-WWWW[[#This Row],['#_Non-Functional_hand_washing_stations]]</f>
        <v>5</v>
      </c>
      <c r="DX326" s="421">
        <f>IF(WWWW[[#This Row],['# Functional hand washing stations during reporting period]]*20&gt;WWWW[[#This Row],[Total HH]],WWWW[[#This Row],[Total HH]],WWWW[[#This Row],['# Functional hand washing stations during reporting period]]*20)</f>
        <v>100</v>
      </c>
      <c r="DY326" s="421">
        <f>IF(WWWW[[#This Row],[Is sufficient soap available for TLS? (Yes/No)]]="yes",WWWW[[#This Row],['#_Constructed/Existing hand washing stations at TLS/CFS/THF]],0)</f>
        <v>5</v>
      </c>
      <c r="DZ326" s="421">
        <f>IF(WWWW[[#This Row],['# Functional hand washing stations during reporting period]]*100&gt;WWWW[[#This Row],[Total PoP ]],WWWW[[#This Row],[Total PoP ]],WWWW[[#This Row],['# Functional hand washing stations during reporting period]]*100)</f>
        <v>500</v>
      </c>
      <c r="EA326" s="421" t="str">
        <f>IF(OR(WWWW[[#This Row],['#_students at TLS_CFS]]="",WWWW[[#This Row],['#_students at TLS_CFS]]=0),"No","Yes")</f>
        <v>No</v>
      </c>
      <c r="EB32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26" s="566">
        <f>WWWW[[#This Row],[%_of_affected_people_surveyed_who_report_feeling_satistfied_with_the_latrine_design_and_sanitation_service]]*WWWW[[#This Row],[Total PoP ]]</f>
        <v>0</v>
      </c>
      <c r="ED326" s="566">
        <f>WWWW[[#This Row],[%_of_affected_people_surveyed_who_report_feeling_satistfied_with_the_water_point_design_and_water_service]]*WWWW[[#This Row],[Total PoP ]]</f>
        <v>0</v>
      </c>
      <c r="EE326" s="566">
        <f>WWWW[[#This Row],[%_of_complaints_received_that_result_in_timely_corrective_action_and_feedback_to_the_community]]*WWWW[[#This Row],[Total PoP ]]</f>
        <v>0</v>
      </c>
      <c r="EF32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2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2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26" s="418" t="str">
        <f>VLOOKUP(WWWW[[#This Row],[Site Name]],SiteDB6[[Site Name]:[CCCM Management]],6,FALSE)</f>
        <v>Yes</v>
      </c>
      <c r="EJ326" s="418" t="str">
        <f>VLOOKUP(WWWW[[#This Row],[Site Name]],SiteDB6[[Site Name]:[CCCM Focal Agency]],7,FALSE)</f>
        <v>KMSS-MYT</v>
      </c>
      <c r="EK326" s="418" t="str">
        <f>VLOOKUP(WWWW[[#This Row],[Site Name]],SiteDB6[[Site Name]:[Location Type 1]],9,FALSE)</f>
        <v>Camp</v>
      </c>
      <c r="EL326" s="418" t="str">
        <f>VLOOKUP(WWWW[[#This Row],[Site Name]],SiteDB6[[Site Name]:[Type of Accommodation]],10,FALSE)</f>
        <v>Camp</v>
      </c>
      <c r="EM326" s="418" t="str">
        <f>VLOOKUP(WWWW[[#This Row],[Site Name]],SiteDB6[[Site Name]:[Ethnic or GCA/NGCA]],11,FALSE)</f>
        <v>GCA</v>
      </c>
      <c r="EN326" s="418">
        <f>VLOOKUP(WWWW[[#This Row],[Site Name]],SiteDB6[[Site Name]:[Lat]],12,FALSE)</f>
        <v>26.350176000000001</v>
      </c>
      <c r="EO326" s="418">
        <f>VLOOKUP(WWWW[[#This Row],[Site Name]],SiteDB6[[Site Name]:[Long]],13,FALSE)</f>
        <v>96.711387999999999</v>
      </c>
      <c r="EP326" s="418" t="str">
        <f>VLOOKUP(WWWW[[#This Row],[Site Name]],SiteDB6[[Site Name]:[Pcode]],3,FALSE)</f>
        <v>MMR001CMP251</v>
      </c>
      <c r="EQ326" s="950" t="str">
        <f t="shared" si="7"/>
        <v>Covered</v>
      </c>
      <c r="ER326" s="950" t="s">
        <v>3126</v>
      </c>
      <c r="ES326" s="950" t="s">
        <v>3288</v>
      </c>
      <c r="ET326" s="418">
        <f>VLOOKUP(WWWW[[#This Row],[Site Name]],SiteDB6[[Site Name]:[Pop
(Kachin/Shan-CCCM as of May 2023)]],16,FALSE)</f>
        <v>133</v>
      </c>
      <c r="EU326" s="418">
        <f>VLOOKUP(WWWW[[#This Row],[Site Name]],SiteDB6[[Site Name]:[Pop
(Kachin/Shan-CCCM as of May 2023)]],17,FALSE)</f>
        <v>628</v>
      </c>
    </row>
    <row r="327" spans="1:151">
      <c r="A327" s="946" t="s">
        <v>2962</v>
      </c>
      <c r="B327" s="946" t="s">
        <v>36</v>
      </c>
      <c r="C327" s="938" t="s">
        <v>36</v>
      </c>
      <c r="D327" s="938" t="s">
        <v>241</v>
      </c>
      <c r="E327" s="938" t="s">
        <v>37</v>
      </c>
      <c r="F327" s="938" t="s">
        <v>858</v>
      </c>
      <c r="G327" s="902" t="str">
        <f>VLOOKUP(WWWW[[#This Row],[Site Name]],SiteDB6[[Site Name]:[Location Type]],8,FALSE)</f>
        <v>Camp</v>
      </c>
      <c r="H327" s="938" t="s">
        <v>860</v>
      </c>
      <c r="I327" s="441">
        <v>36</v>
      </c>
      <c r="J327" s="441">
        <v>174</v>
      </c>
      <c r="K327" s="948">
        <v>44973</v>
      </c>
      <c r="L327" s="949">
        <v>45337</v>
      </c>
      <c r="M327" s="441"/>
      <c r="N327" s="441">
        <v>1</v>
      </c>
      <c r="O327" s="441"/>
      <c r="P327" s="441"/>
      <c r="Q327" s="421" t="s">
        <v>41</v>
      </c>
      <c r="R327" s="441">
        <v>4</v>
      </c>
      <c r="S327" s="441">
        <v>1</v>
      </c>
      <c r="T327" s="441"/>
      <c r="U327" s="441"/>
      <c r="V327" s="441"/>
      <c r="W327" s="441">
        <v>2</v>
      </c>
      <c r="X327" s="441"/>
      <c r="Y327" s="441"/>
      <c r="Z327" s="441"/>
      <c r="AA327" s="441"/>
      <c r="AB327" s="441"/>
      <c r="AC327" s="441"/>
      <c r="AD327" s="441"/>
      <c r="AE327" s="441"/>
      <c r="AF327" s="441"/>
      <c r="AG327" s="441"/>
      <c r="AH327" s="441"/>
      <c r="AI327" s="441"/>
      <c r="AJ327" s="441"/>
      <c r="AK327" s="441"/>
      <c r="AL327" s="441"/>
      <c r="AM327" s="441">
        <v>5</v>
      </c>
      <c r="AN327" s="441"/>
      <c r="AO327" s="441"/>
      <c r="AP327" s="950"/>
      <c r="AQ327" s="441">
        <v>2</v>
      </c>
      <c r="AR327" s="441"/>
      <c r="AS327" s="416"/>
      <c r="AT327" s="441"/>
      <c r="AU327" s="441"/>
      <c r="AV327" s="441"/>
      <c r="AW327" s="441"/>
      <c r="AX327" s="441"/>
      <c r="AY327" s="418" t="s">
        <v>41</v>
      </c>
      <c r="AZ327" s="950" t="s">
        <v>136</v>
      </c>
      <c r="BA327" s="441"/>
      <c r="BB327" s="441"/>
      <c r="BC327" s="441"/>
      <c r="BD327" s="441"/>
      <c r="BE327" s="441"/>
      <c r="BF327" s="418"/>
      <c r="BG327" s="441">
        <v>7</v>
      </c>
      <c r="BH327" s="441"/>
      <c r="BI327" s="441">
        <v>2</v>
      </c>
      <c r="BJ327" s="441">
        <v>2</v>
      </c>
      <c r="BK327" s="441"/>
      <c r="BL327" s="441"/>
      <c r="BM327" s="441">
        <v>1</v>
      </c>
      <c r="BN327" s="441"/>
      <c r="BO327" s="441"/>
      <c r="BP327" s="418" t="s">
        <v>41</v>
      </c>
      <c r="BQ327" s="417">
        <v>1</v>
      </c>
      <c r="BR327" s="416"/>
      <c r="BS327" s="418" t="s">
        <v>3130</v>
      </c>
      <c r="BT327" s="416"/>
      <c r="BU327" s="416"/>
      <c r="BV327" s="418"/>
      <c r="BW327" s="416"/>
      <c r="BX327" s="441"/>
      <c r="BY327" s="441"/>
      <c r="BZ327" s="441"/>
      <c r="CA327" s="441"/>
      <c r="CB327" s="441"/>
      <c r="CC327" s="693"/>
      <c r="CD327" s="441"/>
      <c r="CE327" s="615" t="str">
        <f>IFERROR(WWWW[[#This Row],['#_Water sources passed]]/WWWW[[#This Row],['#_Water sources tested for fecal coliform ]],"no test")</f>
        <v>no test</v>
      </c>
      <c r="CF327" s="416" t="str">
        <f>IFERROR(WWWW[[#This Row],['#_Household passed]]/WWWW[[#This Row],['#_Household water samples tested for fecal coliform]],"no test")</f>
        <v>no test</v>
      </c>
      <c r="CG327" s="417" t="str">
        <f>IF(AND(WWWW[[#This Row],[% of water sources passed]]="no test",WWWW[[#This Row],[% Household passed]]="no test"),"No Test","Tested")</f>
        <v>No Test</v>
      </c>
      <c r="CH327" s="417">
        <f>WWWW[[#This Row],['#_Constructed/existing protected hand dug well]]-WWWW[[#This Row],['#_Non-functional protected hand dug well]]</f>
        <v>0</v>
      </c>
      <c r="CI327" s="417">
        <f>(WWWW[[#This Row],['#_Constructed/Existing tube wells/boreholes/handpumps_WASH_agency]]+WWWW[[#This Row],['#_Non-Cluster partner water tube-wells/boreholes/handpumps]])-WWWW[[#This Row],['#_Non-functional tube wells/boreholes/handpumps]]</f>
        <v>2</v>
      </c>
      <c r="CJ327" s="417">
        <f>WWWW[[#This Row],['#_Constructed/Existingwater storage tank with gravity fed reticulation system]]-WWWW[[#This Row],['#_Non-functional storage tank gravity fed reticulation system]]</f>
        <v>0</v>
      </c>
      <c r="CK327" s="417">
        <f>(WWWW[[#This Row],['#_Water_Liters_supplied_by_Water boating or water trucking]]/90)/15</f>
        <v>0</v>
      </c>
      <c r="CL327" s="417">
        <f>WWWW[[#This Row],['#_Water_Liters_from_Constructed/Existing water distribution system from river or natural spring]]/90/15</f>
        <v>0</v>
      </c>
      <c r="CM327" s="417">
        <f>IF(WWWW[[#This Row],['#_of water points in TLS/CFS]]*500&gt;WWWW[[#This Row],[Total PoP ]],WWWW[[#This Row],[Total PoP ]],WWWW[[#This Row],['#_of water points in TLS/CFS]]*500)</f>
        <v>0</v>
      </c>
      <c r="CN327" s="417">
        <f>IF(WWWW[[#This Row],['#_of water points in THF]]*500&gt;WWWW[[#This Row],[Total PoP ]],WWWW[[#This Row],[Total PoP ]],WWWW[[#This Row],['#_of water points in THF]]*500)</f>
        <v>0</v>
      </c>
      <c r="CO327" s="417"/>
      <c r="CP327"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27"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27" s="416">
        <f>IF(WWWW[[#This Row],[Location Type 1]]="Village",WWWW[[#This Row],[Access to safe drinking water for Village]],WWWW[[#This Row],[Access to safe drinking water for Camp]])</f>
        <v>1</v>
      </c>
      <c r="CS327" s="421">
        <f>WWWW[[#This Row],[%Equitable and continuous access to sufficient quantity of safe drinking water]]*WWWW[[#This Row],[Total PoP ]]</f>
        <v>174</v>
      </c>
      <c r="CT327" s="416">
        <f>IF((WWWW[[#This Row],['#_Constructed/Existing protected/fenced ponds]]*250)/WWWW[[#This Row],[Total PoP ]]&gt;1,1,(WWWW[[#This Row],['#_Constructed/Existing protected/fenced ponds]]*250)/WWWW[[#This Row],[Total PoP ]])</f>
        <v>0</v>
      </c>
      <c r="CU327" s="421">
        <f>WWWW[[#This Row],[% Access to unimproved water points]]*WWWW[[#This Row],[Total PoP ]]</f>
        <v>0</v>
      </c>
      <c r="CV327"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27"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174</v>
      </c>
      <c r="CX327" s="421">
        <f>WWWW[[#This Row],[HRP1]]/500</f>
        <v>0.34799999999999998</v>
      </c>
      <c r="CY327" s="951">
        <f>1-WWWW[[#This Row],[% Equitable and continuous access to sufficient quantity of domestic water]]</f>
        <v>0</v>
      </c>
      <c r="CZ327" s="421">
        <f>WWWW[[#This Row],[%equitable and continuous access to sufficient quantity of safe drinking and domestic water''s GAP]]*WWWW[[#This Row],[Total PoP ]]</f>
        <v>0</v>
      </c>
      <c r="DA327" s="417">
        <f>IF(WWWW[[#This Row],[Total required water points]]-WWWW[[#This Row],['#Water points coverage]]&lt;0,0,WWWW[[#This Row],[Total required water points]]-WWWW[[#This Row],['#Water points coverage]])</f>
        <v>0.65200000000000002</v>
      </c>
      <c r="DB327" s="417">
        <f>ROUND(IF(WWWW[[#This Row],[Total PoP ]]&lt;500,1,WWWW[[#This Row],[Total PoP ]]/500),0)</f>
        <v>1</v>
      </c>
      <c r="DC327" s="417">
        <f>(WWWW[[#This Row],['#_Constructed latrines_by_WASHAgencies]]+WWWW[[#This Row],['#_Non Cluster partner latrines]])-WWWW[[#This Row],['#_Non-functional latrines]]</f>
        <v>2</v>
      </c>
      <c r="DD327" s="615">
        <f>WWWW[[#This Row],[HRP2]]/WWWW[[#This Row],[Total PoP ]]</f>
        <v>0.22988505747126436</v>
      </c>
      <c r="DE327"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327"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27"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27" s="417">
        <f>IF(WWWW[[#This Row],['# of functional latrines in THF supported by WASH partners during the reporting period2]]="",0,WWWW[[#This Row],['# of functional latrines in THF supported by WASH partners during the reporting period2]]*50)</f>
        <v>0</v>
      </c>
      <c r="DI327" s="417">
        <f>ROUND(IF(WWWW[[#This Row],[Location Type 1]]="camp",WWWW[[#This Row],[Total PoP ]]/20,IF(WWWW[[#This Row],[Location Type 1]]="Temporary Location",WWWW[[#This Row],[Total PoP ]]/50,(WWWW[[#This Row],[Total PoP ]]/6))),0)</f>
        <v>9</v>
      </c>
      <c r="DJ327" s="417">
        <f>IF(WWWW[[#This Row],[Total required Latrines]]-(WWWW[[#This Row],['#_Constructed latrines_by_WASHAgencies]]+WWWW[[#This Row],['#_Non Cluster partner latrines]])&lt;0,0,WWWW[[#This Row],[Total required Latrines]]-(WWWW[[#This Row],['#_Constructed latrines_by_WASHAgencies]]+WWWW[[#This Row],['#_Non Cluster partner latrines]]))</f>
        <v>7</v>
      </c>
      <c r="DK327" s="951">
        <f>1-WWWW[[#This Row],[% people access to functioning Latrine]]</f>
        <v>0.77011494252873569</v>
      </c>
      <c r="DL327" s="615">
        <f>IF(OR(WWWW[[#This Row],['#_Non-functional latrines]]="",WWWW[[#This Row],['#_Non-functional latrines]]=0),0,WWWW[[#This Row],['#_Non-functional latrines]]/(WWWW[[#This Row],['#_Constructed latrines_by_WASHAgencies]]+WWWW[[#This Row],['#_Non Cluster partner latrines]]))</f>
        <v>0</v>
      </c>
      <c r="DM327" s="421">
        <f>IF(500*(WWWW[[#This Row],['#_male hygiene promoters]]+WWWW[[#This Row],['#_female hygiene promoters]])&gt;WWWW[[#This Row],[Total PoP ]],WWWW[[#This Row],[Total PoP ]],500*(WWWW[[#This Row],['#_male hygiene promoters]]+WWWW[[#This Row],['#_female hygiene promoters]]))</f>
        <v>174</v>
      </c>
      <c r="DN327"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27"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27" s="417">
        <f>IF(WWWW[[#This Row],['# People with access to soap]]&gt;WWWW[[#This Row],['# People with access to Sanity Pads]],WWWW[[#This Row],['# People with access to soap]],WWWW[[#This Row],['# People with access to Sanity Pads]])</f>
        <v>0</v>
      </c>
      <c r="DQ327" s="417">
        <f>IF(WWWW[[#This Row],['# people reached by regular dedicated hygiene promotion_5]]&gt;WWWW[[#This Row],['# People received regular supply of hygiene items_6]],WWWW[[#This Row],['# people reached by regular dedicated hygiene promotion_5]],WWWW[[#This Row],['# People received regular supply of hygiene items_6]])</f>
        <v>174</v>
      </c>
      <c r="DR327" s="951">
        <f>IF(WWWW[[#This Row],[HRP3]]/WWWW[[#This Row],[Total PoP ]]&gt;1,1,WWWW[[#This Row],[HRP3]]/WWWW[[#This Row],[Total PoP ]])</f>
        <v>1</v>
      </c>
      <c r="DS327" s="615">
        <f>1-WWWW[[#This Row],[Hygiene Coverage%]]</f>
        <v>0</v>
      </c>
      <c r="DT327" s="416">
        <f>WWWW[[#This Row],['# people reached by regular dedicated hygiene promotion_5]]/WWWW[[#This Row],[Total PoP ]]</f>
        <v>1</v>
      </c>
      <c r="DU327"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27"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27" s="417">
        <f>WWWW[[#This Row],['#_Constructed/Existing hand washing stations]]-WWWW[[#This Row],['#_Non-Functional_hand_washing_stations]]</f>
        <v>7</v>
      </c>
      <c r="DX327" s="421">
        <f>IF(WWWW[[#This Row],['# Functional hand washing stations during reporting period]]*20&gt;WWWW[[#This Row],[Total HH]],WWWW[[#This Row],[Total HH]],WWWW[[#This Row],['# Functional hand washing stations during reporting period]]*20)</f>
        <v>36</v>
      </c>
      <c r="DY327" s="421">
        <f>IF(WWWW[[#This Row],[Is sufficient soap available for TLS? (Yes/No)]]="yes",WWWW[[#This Row],['#_Constructed/Existing hand washing stations at TLS/CFS/THF]],0)</f>
        <v>5</v>
      </c>
      <c r="DZ327" s="421">
        <f>IF(WWWW[[#This Row],['# Functional hand washing stations during reporting period]]*100&gt;WWWW[[#This Row],[Total PoP ]],WWWW[[#This Row],[Total PoP ]],WWWW[[#This Row],['# Functional hand washing stations during reporting period]]*100)</f>
        <v>174</v>
      </c>
      <c r="EA327" s="421" t="str">
        <f>IF(OR(WWWW[[#This Row],['#_students at TLS_CFS]]="",WWWW[[#This Row],['#_students at TLS_CFS]]=0),"No","Yes")</f>
        <v>No</v>
      </c>
      <c r="EB32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27" s="566">
        <f>WWWW[[#This Row],[%_of_affected_people_surveyed_who_report_feeling_satistfied_with_the_latrine_design_and_sanitation_service]]*WWWW[[#This Row],[Total PoP ]]</f>
        <v>0</v>
      </c>
      <c r="ED327" s="566">
        <f>WWWW[[#This Row],[%_of_affected_people_surveyed_who_report_feeling_satistfied_with_the_water_point_design_and_water_service]]*WWWW[[#This Row],[Total PoP ]]</f>
        <v>0</v>
      </c>
      <c r="EE327" s="566">
        <f>WWWW[[#This Row],[%_of_complaints_received_that_result_in_timely_corrective_action_and_feedback_to_the_community]]*WWWW[[#This Row],[Total PoP ]]</f>
        <v>0</v>
      </c>
      <c r="EF32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2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2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27" s="418" t="str">
        <f>VLOOKUP(WWWW[[#This Row],[Site Name]],SiteDB6[[Site Name]:[CCCM Management]],6,FALSE)</f>
        <v>Yes</v>
      </c>
      <c r="EJ327" s="418" t="str">
        <f>VLOOKUP(WWWW[[#This Row],[Site Name]],SiteDB6[[Site Name]:[CCCM Focal Agency]],7,FALSE)</f>
        <v>KMSS-MYT</v>
      </c>
      <c r="EK327" s="418" t="str">
        <f>VLOOKUP(WWWW[[#This Row],[Site Name]],SiteDB6[[Site Name]:[Location Type 1]],9,FALSE)</f>
        <v>Camp</v>
      </c>
      <c r="EL327" s="418" t="str">
        <f>VLOOKUP(WWWW[[#This Row],[Site Name]],SiteDB6[[Site Name]:[Type of Accommodation]],10,FALSE)</f>
        <v>Camp</v>
      </c>
      <c r="EM327" s="418" t="str">
        <f>VLOOKUP(WWWW[[#This Row],[Site Name]],SiteDB6[[Site Name]:[Ethnic or GCA/NGCA]],11,FALSE)</f>
        <v>GCA</v>
      </c>
      <c r="EN327" s="418">
        <f>VLOOKUP(WWWW[[#This Row],[Site Name]],SiteDB6[[Site Name]:[Lat]],12,FALSE)</f>
        <v>26.351690999999999</v>
      </c>
      <c r="EO327" s="418">
        <f>VLOOKUP(WWWW[[#This Row],[Site Name]],SiteDB6[[Site Name]:[Long]],13,FALSE)</f>
        <v>96.690871999999999</v>
      </c>
      <c r="EP327" s="418" t="str">
        <f>VLOOKUP(WWWW[[#This Row],[Site Name]],SiteDB6[[Site Name]:[Pcode]],3,FALSE)</f>
        <v>MMR001CMP254</v>
      </c>
      <c r="EQ327" s="950" t="str">
        <f t="shared" si="7"/>
        <v>Covered</v>
      </c>
      <c r="ER327" s="950" t="s">
        <v>3126</v>
      </c>
      <c r="ES327" s="950" t="s">
        <v>3289</v>
      </c>
      <c r="ET327" s="418">
        <f>VLOOKUP(WWWW[[#This Row],[Site Name]],SiteDB6[[Site Name]:[Pop
(Kachin/Shan-CCCM as of May 2023)]],16,FALSE)</f>
        <v>37</v>
      </c>
      <c r="EU327" s="418">
        <f>VLOOKUP(WWWW[[#This Row],[Site Name]],SiteDB6[[Site Name]:[Pop
(Kachin/Shan-CCCM as of May 2023)]],17,FALSE)</f>
        <v>175</v>
      </c>
    </row>
    <row r="328" spans="1:151">
      <c r="A328" s="946" t="s">
        <v>2962</v>
      </c>
      <c r="B328" s="938" t="s">
        <v>3347</v>
      </c>
      <c r="C328" s="938" t="s">
        <v>3347</v>
      </c>
      <c r="D328" s="938" t="s">
        <v>241</v>
      </c>
      <c r="E328" s="938" t="s">
        <v>37</v>
      </c>
      <c r="F328" s="938" t="s">
        <v>858</v>
      </c>
      <c r="G328" s="902" t="str">
        <f>VLOOKUP(WWWW[[#This Row],[Site Name]],SiteDB6[[Site Name]:[Location Type]],8,FALSE)</f>
        <v>Camp</v>
      </c>
      <c r="H328" s="938" t="s">
        <v>1610</v>
      </c>
      <c r="I328" s="976">
        <v>96</v>
      </c>
      <c r="J328" s="976">
        <v>275</v>
      </c>
      <c r="K328" s="977">
        <v>44811</v>
      </c>
      <c r="L328" s="978">
        <v>45175</v>
      </c>
      <c r="M328" s="441"/>
      <c r="N328" s="441">
        <v>2</v>
      </c>
      <c r="O328" s="441"/>
      <c r="P328" s="441"/>
      <c r="Q328" s="421" t="s">
        <v>41</v>
      </c>
      <c r="R328" s="441">
        <v>2</v>
      </c>
      <c r="S328" s="441">
        <v>2</v>
      </c>
      <c r="T328" s="441">
        <v>2</v>
      </c>
      <c r="U328" s="441"/>
      <c r="V328" s="441"/>
      <c r="W328" s="976">
        <v>2</v>
      </c>
      <c r="X328" s="441"/>
      <c r="Y328" s="441"/>
      <c r="Z328" s="441"/>
      <c r="AA328" s="441"/>
      <c r="AB328" s="441"/>
      <c r="AC328" s="441"/>
      <c r="AD328" s="441"/>
      <c r="AE328" s="441"/>
      <c r="AF328" s="441"/>
      <c r="AG328" s="441"/>
      <c r="AH328" s="976">
        <v>4</v>
      </c>
      <c r="AI328" s="441"/>
      <c r="AJ328" s="441"/>
      <c r="AK328" s="441"/>
      <c r="AL328" s="441"/>
      <c r="AM328" s="441"/>
      <c r="AN328" s="441"/>
      <c r="AO328" s="441"/>
      <c r="AP328" s="950"/>
      <c r="AQ328" s="976">
        <v>12</v>
      </c>
      <c r="AR328" s="973"/>
      <c r="AS328" s="416"/>
      <c r="AT328" s="976">
        <v>1</v>
      </c>
      <c r="AU328" s="441"/>
      <c r="AV328" s="441"/>
      <c r="AW328" s="441"/>
      <c r="AX328" s="976">
        <v>11</v>
      </c>
      <c r="AY328" s="418" t="s">
        <v>140</v>
      </c>
      <c r="AZ328" s="950" t="s">
        <v>140</v>
      </c>
      <c r="BA328" s="441"/>
      <c r="BB328" s="441"/>
      <c r="BC328" s="441"/>
      <c r="BD328" s="441"/>
      <c r="BE328" s="441"/>
      <c r="BF328" s="418"/>
      <c r="BG328" s="441">
        <v>3</v>
      </c>
      <c r="BH328" s="441"/>
      <c r="BI328" s="441">
        <v>5</v>
      </c>
      <c r="BJ328" s="441">
        <v>3</v>
      </c>
      <c r="BK328" s="976">
        <v>1</v>
      </c>
      <c r="BL328" s="976">
        <v>1</v>
      </c>
      <c r="BM328" s="441"/>
      <c r="BN328" s="441"/>
      <c r="BO328" s="441"/>
      <c r="BP328" s="418"/>
      <c r="BQ328" s="417"/>
      <c r="BR328" s="416"/>
      <c r="BS328" s="418"/>
      <c r="BT328" s="416"/>
      <c r="BU328" s="416"/>
      <c r="BV328" s="418"/>
      <c r="BW328" s="416"/>
      <c r="BX328" s="441"/>
      <c r="BY328" s="441"/>
      <c r="BZ328" s="441"/>
      <c r="CA328" s="441"/>
      <c r="CB328" s="441"/>
      <c r="CC328" s="693"/>
      <c r="CD328" s="441"/>
      <c r="CE328" s="615" t="str">
        <f>IFERROR(WWWW[[#This Row],['#_Water sources passed]]/WWWW[[#This Row],['#_Water sources tested for fecal coliform ]],"no test")</f>
        <v>no test</v>
      </c>
      <c r="CF328" s="416" t="str">
        <f>IFERROR(WWWW[[#This Row],['#_Household passed]]/WWWW[[#This Row],['#_Household water samples tested for fecal coliform]],"no test")</f>
        <v>no test</v>
      </c>
      <c r="CG328" s="417" t="str">
        <f>IF(AND(WWWW[[#This Row],[% of water sources passed]]="no test",WWWW[[#This Row],[% Household passed]]="no test"),"No Test","Tested")</f>
        <v>No Test</v>
      </c>
      <c r="CH328" s="417">
        <f>WWWW[[#This Row],['#_Constructed/existing protected hand dug well]]-WWWW[[#This Row],['#_Non-functional protected hand dug well]]</f>
        <v>2</v>
      </c>
      <c r="CI328" s="417">
        <f>(WWWW[[#This Row],['#_Constructed/Existing tube wells/boreholes/handpumps_WASH_agency]]+WWWW[[#This Row],['#_Non-Cluster partner water tube-wells/boreholes/handpumps]])-WWWW[[#This Row],['#_Non-functional tube wells/boreholes/handpumps]]</f>
        <v>2</v>
      </c>
      <c r="CJ328" s="417">
        <f>WWWW[[#This Row],['#_Constructed/Existingwater storage tank with gravity fed reticulation system]]-WWWW[[#This Row],['#_Non-functional storage tank gravity fed reticulation system]]</f>
        <v>0</v>
      </c>
      <c r="CK328" s="417">
        <f>(WWWW[[#This Row],['#_Water_Liters_supplied_by_Water boating or water trucking]]/90)/15</f>
        <v>0</v>
      </c>
      <c r="CL328" s="417">
        <f>WWWW[[#This Row],['#_Water_Liters_from_Constructed/Existing water distribution system from river or natural spring]]/90/15</f>
        <v>0</v>
      </c>
      <c r="CM328" s="417">
        <f>IF(WWWW[[#This Row],['#_of water points in TLS/CFS]]*500&gt;WWWW[[#This Row],[Total PoP ]],WWWW[[#This Row],[Total PoP ]],WWWW[[#This Row],['#_of water points in TLS/CFS]]*500)</f>
        <v>0</v>
      </c>
      <c r="CN328" s="417">
        <f>IF(WWWW[[#This Row],['#_of water points in THF]]*500&gt;WWWW[[#This Row],[Total PoP ]],WWWW[[#This Row],[Total PoP ]],WWWW[[#This Row],['#_of water points in THF]]*500)</f>
        <v>0</v>
      </c>
      <c r="CO328" s="417"/>
      <c r="CP328"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28"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28" s="416">
        <f>IF(WWWW[[#This Row],[Location Type 1]]="Village",WWWW[[#This Row],[Access to safe drinking water for Village]],WWWW[[#This Row],[Access to safe drinking water for Camp]])</f>
        <v>1</v>
      </c>
      <c r="CS328" s="421">
        <f>WWWW[[#This Row],[%Equitable and continuous access to sufficient quantity of safe drinking water]]*WWWW[[#This Row],[Total PoP ]]</f>
        <v>275</v>
      </c>
      <c r="CT328" s="416">
        <f>IF((WWWW[[#This Row],['#_Constructed/Existing protected/fenced ponds]]*250)/WWWW[[#This Row],[Total PoP ]]&gt;1,1,(WWWW[[#This Row],['#_Constructed/Existing protected/fenced ponds]]*250)/WWWW[[#This Row],[Total PoP ]])</f>
        <v>0</v>
      </c>
      <c r="CU328" s="421">
        <f>WWWW[[#This Row],[% Access to unimproved water points]]*WWWW[[#This Row],[Total PoP ]]</f>
        <v>0</v>
      </c>
      <c r="CV328"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28"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275</v>
      </c>
      <c r="CX328" s="421">
        <f>WWWW[[#This Row],[HRP1]]/500</f>
        <v>0.55000000000000004</v>
      </c>
      <c r="CY328" s="951">
        <f>1-WWWW[[#This Row],[% Equitable and continuous access to sufficient quantity of domestic water]]</f>
        <v>0</v>
      </c>
      <c r="CZ328" s="421">
        <f>WWWW[[#This Row],[%equitable and continuous access to sufficient quantity of safe drinking and domestic water''s GAP]]*WWWW[[#This Row],[Total PoP ]]</f>
        <v>0</v>
      </c>
      <c r="DA328" s="417">
        <f>IF(WWWW[[#This Row],[Total required water points]]-WWWW[[#This Row],['#Water points coverage]]&lt;0,0,WWWW[[#This Row],[Total required water points]]-WWWW[[#This Row],['#Water points coverage]])</f>
        <v>0.44999999999999996</v>
      </c>
      <c r="DB328" s="417">
        <f>ROUND(IF(WWWW[[#This Row],[Total PoP ]]&lt;500,1,WWWW[[#This Row],[Total PoP ]]/500),0)</f>
        <v>1</v>
      </c>
      <c r="DC328" s="417">
        <f>(WWWW[[#This Row],['#_Constructed latrines_by_WASHAgencies]]+WWWW[[#This Row],['#_Non Cluster partner latrines]])-WWWW[[#This Row],['#_Non-functional latrines]]</f>
        <v>11</v>
      </c>
      <c r="DD328" s="615">
        <f>WWWW[[#This Row],[HRP2]]/WWWW[[#This Row],[Total PoP ]]</f>
        <v>0.8</v>
      </c>
      <c r="DE328"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220</v>
      </c>
      <c r="DF328"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28"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28" s="417">
        <f>IF(WWWW[[#This Row],['# of functional latrines in THF supported by WASH partners during the reporting period2]]="",0,WWWW[[#This Row],['# of functional latrines in THF supported by WASH partners during the reporting period2]]*50)</f>
        <v>0</v>
      </c>
      <c r="DI328" s="417">
        <f>ROUND(IF(WWWW[[#This Row],[Location Type 1]]="camp",WWWW[[#This Row],[Total PoP ]]/20,IF(WWWW[[#This Row],[Location Type 1]]="Temporary Location",WWWW[[#This Row],[Total PoP ]]/50,(WWWW[[#This Row],[Total PoP ]]/6))),0)</f>
        <v>14</v>
      </c>
      <c r="DJ328" s="417">
        <f>IF(WWWW[[#This Row],[Total required Latrines]]-(WWWW[[#This Row],['#_Constructed latrines_by_WASHAgencies]]+WWWW[[#This Row],['#_Non Cluster partner latrines]])&lt;0,0,WWWW[[#This Row],[Total required Latrines]]-(WWWW[[#This Row],['#_Constructed latrines_by_WASHAgencies]]+WWWW[[#This Row],['#_Non Cluster partner latrines]]))</f>
        <v>2</v>
      </c>
      <c r="DK328" s="951">
        <f>1-WWWW[[#This Row],[% people access to functioning Latrine]]</f>
        <v>0.19999999999999996</v>
      </c>
      <c r="DL328" s="615">
        <f>IF(OR(WWWW[[#This Row],['#_Non-functional latrines]]="",WWWW[[#This Row],['#_Non-functional latrines]]=0),0,WWWW[[#This Row],['#_Non-functional latrines]]/(WWWW[[#This Row],['#_Constructed latrines_by_WASHAgencies]]+WWWW[[#This Row],['#_Non Cluster partner latrines]]))</f>
        <v>8.3333333333333329E-2</v>
      </c>
      <c r="DM328" s="421">
        <f>IF(500*(WWWW[[#This Row],['#_male hygiene promoters]]+WWWW[[#This Row],['#_female hygiene promoters]])&gt;WWWW[[#This Row],[Total PoP ]],WWWW[[#This Row],[Total PoP ]],500*(WWWW[[#This Row],['#_male hygiene promoters]]+WWWW[[#This Row],['#_female hygiene promoters]]))</f>
        <v>275</v>
      </c>
      <c r="DN328"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28"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28" s="417">
        <f>IF(WWWW[[#This Row],['# People with access to soap]]&gt;WWWW[[#This Row],['# People with access to Sanity Pads]],WWWW[[#This Row],['# People with access to soap]],WWWW[[#This Row],['# People with access to Sanity Pads]])</f>
        <v>0</v>
      </c>
      <c r="DQ328" s="417">
        <f>IF(WWWW[[#This Row],['# people reached by regular dedicated hygiene promotion_5]]&gt;WWWW[[#This Row],['# People received regular supply of hygiene items_6]],WWWW[[#This Row],['# people reached by regular dedicated hygiene promotion_5]],WWWW[[#This Row],['# People received regular supply of hygiene items_6]])</f>
        <v>275</v>
      </c>
      <c r="DR328" s="951">
        <f>IF(WWWW[[#This Row],[HRP3]]/WWWW[[#This Row],[Total PoP ]]&gt;1,1,WWWW[[#This Row],[HRP3]]/WWWW[[#This Row],[Total PoP ]])</f>
        <v>1</v>
      </c>
      <c r="DS328" s="615">
        <f>1-WWWW[[#This Row],[Hygiene Coverage%]]</f>
        <v>0</v>
      </c>
      <c r="DT328" s="416">
        <f>WWWW[[#This Row],['# people reached by regular dedicated hygiene promotion_5]]/WWWW[[#This Row],[Total PoP ]]</f>
        <v>1</v>
      </c>
      <c r="DU328"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28"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28" s="417">
        <f>WWWW[[#This Row],['#_Constructed/Existing hand washing stations]]-WWWW[[#This Row],['#_Non-Functional_hand_washing_stations]]</f>
        <v>3</v>
      </c>
      <c r="DX328" s="421">
        <f>IF(WWWW[[#This Row],['# Functional hand washing stations during reporting period]]*20&gt;WWWW[[#This Row],[Total HH]],WWWW[[#This Row],[Total HH]],WWWW[[#This Row],['# Functional hand washing stations during reporting period]]*20)</f>
        <v>60</v>
      </c>
      <c r="DY328" s="421">
        <f>IF(WWWW[[#This Row],[Is sufficient soap available for TLS? (Yes/No)]]="yes",WWWW[[#This Row],['#_Constructed/Existing hand washing stations at TLS/CFS/THF]],0)</f>
        <v>0</v>
      </c>
      <c r="DZ328" s="421">
        <f>IF(WWWW[[#This Row],['# Functional hand washing stations during reporting period]]*100&gt;WWWW[[#This Row],[Total PoP ]],WWWW[[#This Row],[Total PoP ]],WWWW[[#This Row],['# Functional hand washing stations during reporting period]]*100)</f>
        <v>275</v>
      </c>
      <c r="EA328" s="421" t="str">
        <f>IF(OR(WWWW[[#This Row],['#_students at TLS_CFS]]="",WWWW[[#This Row],['#_students at TLS_CFS]]=0),"No","Yes")</f>
        <v>No</v>
      </c>
      <c r="EB32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28" s="566">
        <f>WWWW[[#This Row],[%_of_affected_people_surveyed_who_report_feeling_satistfied_with_the_latrine_design_and_sanitation_service]]*WWWW[[#This Row],[Total PoP ]]</f>
        <v>0</v>
      </c>
      <c r="ED328" s="566">
        <f>WWWW[[#This Row],[%_of_affected_people_surveyed_who_report_feeling_satistfied_with_the_water_point_design_and_water_service]]*WWWW[[#This Row],[Total PoP ]]</f>
        <v>0</v>
      </c>
      <c r="EE328" s="566">
        <f>WWWW[[#This Row],[%_of_complaints_received_that_result_in_timely_corrective_action_and_feedback_to_the_community]]*WWWW[[#This Row],[Total PoP ]]</f>
        <v>0</v>
      </c>
      <c r="EF32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2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2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28" s="418" t="str">
        <f>VLOOKUP(WWWW[[#This Row],[Site Name]],SiteDB6[[Site Name]:[CCCM Management]],6,FALSE)</f>
        <v>Yes</v>
      </c>
      <c r="EJ328" s="418" t="str">
        <f>VLOOKUP(WWWW[[#This Row],[Site Name]],SiteDB6[[Site Name]:[CCCM Focal Agency]],7,FALSE)</f>
        <v>KBC-MYT</v>
      </c>
      <c r="EK328" s="418" t="str">
        <f>VLOOKUP(WWWW[[#This Row],[Site Name]],SiteDB6[[Site Name]:[Location Type 1]],9,FALSE)</f>
        <v>Camp</v>
      </c>
      <c r="EL328" s="418" t="str">
        <f>VLOOKUP(WWWW[[#This Row],[Site Name]],SiteDB6[[Site Name]:[Type of Accommodation]],10,FALSE)</f>
        <v>Camp</v>
      </c>
      <c r="EM328" s="418" t="str">
        <f>VLOOKUP(WWWW[[#This Row],[Site Name]],SiteDB6[[Site Name]:[Ethnic or GCA/NGCA]],11,FALSE)</f>
        <v>GCA</v>
      </c>
      <c r="EN328" s="418">
        <f>VLOOKUP(WWWW[[#This Row],[Site Name]],SiteDB6[[Site Name]:[Lat]],12,FALSE)</f>
        <v>26.356223</v>
      </c>
      <c r="EO328" s="418">
        <f>VLOOKUP(WWWW[[#This Row],[Site Name]],SiteDB6[[Site Name]:[Long]],13,FALSE)</f>
        <v>96.721439000000004</v>
      </c>
      <c r="EP328" s="418" t="str">
        <f>VLOOKUP(WWWW[[#This Row],[Site Name]],SiteDB6[[Site Name]:[Pcode]],3,FALSE)</f>
        <v>MMR001CMP253</v>
      </c>
      <c r="EQ328" s="950" t="str">
        <f t="shared" si="7"/>
        <v>Covered</v>
      </c>
      <c r="ER328" s="950" t="s">
        <v>3126</v>
      </c>
      <c r="ES328" s="950" t="s">
        <v>3291</v>
      </c>
      <c r="ET328" s="418">
        <f>VLOOKUP(WWWW[[#This Row],[Site Name]],SiteDB6[[Site Name]:[Pop
(Kachin/Shan-CCCM as of May 2023)]],16,FALSE)</f>
        <v>108</v>
      </c>
      <c r="EU328" s="418">
        <f>VLOOKUP(WWWW[[#This Row],[Site Name]],SiteDB6[[Site Name]:[Pop
(Kachin/Shan-CCCM as of May 2023)]],17,FALSE)</f>
        <v>479</v>
      </c>
    </row>
    <row r="329" spans="1:151">
      <c r="A329" s="946" t="s">
        <v>2962</v>
      </c>
      <c r="B329" s="1004" t="s">
        <v>36</v>
      </c>
      <c r="C329" s="1005" t="s">
        <v>36</v>
      </c>
      <c r="D329" s="1005" t="s">
        <v>241</v>
      </c>
      <c r="E329" s="1005" t="s">
        <v>37</v>
      </c>
      <c r="F329" s="1005" t="s">
        <v>142</v>
      </c>
      <c r="G329" s="902" t="str">
        <f>VLOOKUP(WWWW[[#This Row],[Site Name]],SiteDB6[[Site Name]:[Location Type]],8,FALSE)</f>
        <v>Camp</v>
      </c>
      <c r="H329" s="1005" t="s">
        <v>236</v>
      </c>
      <c r="I329" s="954">
        <v>48</v>
      </c>
      <c r="J329" s="954">
        <v>258</v>
      </c>
      <c r="K329" s="955">
        <v>44973</v>
      </c>
      <c r="L329" s="956">
        <v>45337</v>
      </c>
      <c r="M329" s="954"/>
      <c r="N329" s="954">
        <v>3</v>
      </c>
      <c r="O329" s="954"/>
      <c r="P329" s="954"/>
      <c r="Q329" s="957" t="s">
        <v>41</v>
      </c>
      <c r="R329" s="954">
        <v>4</v>
      </c>
      <c r="S329" s="954">
        <v>3</v>
      </c>
      <c r="T329" s="441">
        <v>3</v>
      </c>
      <c r="U329" s="954"/>
      <c r="V329" s="954"/>
      <c r="W329" s="954">
        <v>2</v>
      </c>
      <c r="X329" s="954"/>
      <c r="Y329" s="954"/>
      <c r="Z329" s="954"/>
      <c r="AA329" s="954">
        <v>1</v>
      </c>
      <c r="AB329" s="954"/>
      <c r="AC329" s="954"/>
      <c r="AD329" s="954"/>
      <c r="AE329" s="954"/>
      <c r="AF329" s="954"/>
      <c r="AG329" s="954"/>
      <c r="AH329" s="954"/>
      <c r="AI329" s="954"/>
      <c r="AJ329" s="954"/>
      <c r="AK329" s="954"/>
      <c r="AL329" s="954"/>
      <c r="AM329" s="954">
        <v>4</v>
      </c>
      <c r="AN329" s="954"/>
      <c r="AO329" s="441"/>
      <c r="AP329" s="958"/>
      <c r="AQ329" s="954">
        <v>90</v>
      </c>
      <c r="AR329" s="954"/>
      <c r="AS329" s="959"/>
      <c r="AT329" s="954"/>
      <c r="AU329" s="954"/>
      <c r="AV329" s="954"/>
      <c r="AW329" s="954"/>
      <c r="AX329" s="954"/>
      <c r="AY329" s="953" t="s">
        <v>41</v>
      </c>
      <c r="AZ329" s="958" t="s">
        <v>137</v>
      </c>
      <c r="BA329" s="954"/>
      <c r="BB329" s="954"/>
      <c r="BC329" s="954"/>
      <c r="BD329" s="441"/>
      <c r="BE329" s="441"/>
      <c r="BF329" s="953"/>
      <c r="BG329" s="954">
        <v>2</v>
      </c>
      <c r="BH329" s="954"/>
      <c r="BI329" s="954"/>
      <c r="BJ329" s="954">
        <v>3</v>
      </c>
      <c r="BK329" s="954"/>
      <c r="BL329" s="954"/>
      <c r="BM329" s="954">
        <v>2</v>
      </c>
      <c r="BN329" s="954"/>
      <c r="BO329" s="954"/>
      <c r="BP329" s="953" t="s">
        <v>41</v>
      </c>
      <c r="BQ329" s="960"/>
      <c r="BR329" s="959"/>
      <c r="BS329" s="953"/>
      <c r="BT329" s="416"/>
      <c r="BU329" s="416"/>
      <c r="BV329" s="418"/>
      <c r="BW329" s="416"/>
      <c r="BX329" s="441"/>
      <c r="BY329" s="441"/>
      <c r="BZ329" s="441"/>
      <c r="CA329" s="441"/>
      <c r="CB329" s="441"/>
      <c r="CC329" s="693"/>
      <c r="CD329" s="441"/>
      <c r="CE329" s="961" t="str">
        <f>IFERROR(WWWW[[#This Row],['#_Water sources passed]]/WWWW[[#This Row],['#_Water sources tested for fecal coliform ]],"no test")</f>
        <v>no test</v>
      </c>
      <c r="CF329" s="959" t="str">
        <f>IFERROR(WWWW[[#This Row],['#_Household passed]]/WWWW[[#This Row],['#_Household water samples tested for fecal coliform]],"no test")</f>
        <v>no test</v>
      </c>
      <c r="CG329" s="960" t="str">
        <f>IF(AND(WWWW[[#This Row],[% of water sources passed]]="no test",WWWW[[#This Row],[% Household passed]]="no test"),"No Test","Tested")</f>
        <v>No Test</v>
      </c>
      <c r="CH329" s="960">
        <f>WWWW[[#This Row],['#_Constructed/existing protected hand dug well]]-WWWW[[#This Row],['#_Non-functional protected hand dug well]]</f>
        <v>3</v>
      </c>
      <c r="CI329" s="960">
        <f>(WWWW[[#This Row],['#_Constructed/Existing tube wells/boreholes/handpumps_WASH_agency]]+WWWW[[#This Row],['#_Non-Cluster partner water tube-wells/boreholes/handpumps]])-WWWW[[#This Row],['#_Non-functional tube wells/boreholes/handpumps]]</f>
        <v>2</v>
      </c>
      <c r="CJ329" s="960">
        <f>WWWW[[#This Row],['#_Constructed/Existingwater storage tank with gravity fed reticulation system]]-WWWW[[#This Row],['#_Non-functional storage tank gravity fed reticulation system]]</f>
        <v>1</v>
      </c>
      <c r="CK329" s="960">
        <f>(WWWW[[#This Row],['#_Water_Liters_supplied_by_Water boating or water trucking]]/90)/15</f>
        <v>0</v>
      </c>
      <c r="CL329" s="960">
        <f>WWWW[[#This Row],['#_Water_Liters_from_Constructed/Existing water distribution system from river or natural spring]]/90/15</f>
        <v>0</v>
      </c>
      <c r="CM329" s="417">
        <f>IF(WWWW[[#This Row],['#_of water points in TLS/CFS]]*500&gt;WWWW[[#This Row],[Total PoP ]],WWWW[[#This Row],[Total PoP ]],WWWW[[#This Row],['#_of water points in TLS/CFS]]*500)</f>
        <v>0</v>
      </c>
      <c r="CN329" s="417">
        <f>IF(WWWW[[#This Row],['#_of water points in THF]]*500&gt;WWWW[[#This Row],[Total PoP ]],WWWW[[#This Row],[Total PoP ]],WWWW[[#This Row],['#_of water points in THF]]*500)</f>
        <v>0</v>
      </c>
      <c r="CO329" s="417"/>
      <c r="CP329"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29"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29" s="959">
        <f>IF(WWWW[[#This Row],[Location Type 1]]="Village",WWWW[[#This Row],[Access to safe drinking water for Village]],WWWW[[#This Row],[Access to safe drinking water for Camp]])</f>
        <v>1</v>
      </c>
      <c r="CS329" s="957">
        <f>WWWW[[#This Row],[%Equitable and continuous access to sufficient quantity of safe drinking water]]*WWWW[[#This Row],[Total PoP ]]</f>
        <v>258</v>
      </c>
      <c r="CT329" s="959">
        <f>IF((WWWW[[#This Row],['#_Constructed/Existing protected/fenced ponds]]*250)/WWWW[[#This Row],[Total PoP ]]&gt;1,1,(WWWW[[#This Row],['#_Constructed/Existing protected/fenced ponds]]*250)/WWWW[[#This Row],[Total PoP ]])</f>
        <v>0</v>
      </c>
      <c r="CU329" s="957">
        <f>WWWW[[#This Row],[% Access to unimproved water points]]*WWWW[[#This Row],[Total PoP ]]</f>
        <v>0</v>
      </c>
      <c r="CV329"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29"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258</v>
      </c>
      <c r="CX329" s="957">
        <f>WWWW[[#This Row],[HRP1]]/500</f>
        <v>0.51600000000000001</v>
      </c>
      <c r="CY329" s="962">
        <f>1-WWWW[[#This Row],[% Equitable and continuous access to sufficient quantity of domestic water]]</f>
        <v>0</v>
      </c>
      <c r="CZ329" s="957">
        <f>WWWW[[#This Row],[%equitable and continuous access to sufficient quantity of safe drinking and domestic water''s GAP]]*WWWW[[#This Row],[Total PoP ]]</f>
        <v>0</v>
      </c>
      <c r="DA329" s="960">
        <f>IF(WWWW[[#This Row],[Total required water points]]-WWWW[[#This Row],['#Water points coverage]]&lt;0,0,WWWW[[#This Row],[Total required water points]]-WWWW[[#This Row],['#Water points coverage]])</f>
        <v>0.48399999999999999</v>
      </c>
      <c r="DB329" s="960">
        <f>ROUND(IF(WWWW[[#This Row],[Total PoP ]]&lt;500,1,WWWW[[#This Row],[Total PoP ]]/500),0)</f>
        <v>1</v>
      </c>
      <c r="DC329" s="960">
        <f>(WWWW[[#This Row],['#_Constructed latrines_by_WASHAgencies]]+WWWW[[#This Row],['#_Non Cluster partner latrines]])-WWWW[[#This Row],['#_Non-functional latrines]]</f>
        <v>90</v>
      </c>
      <c r="DD329" s="615">
        <f>WWWW[[#This Row],[HRP2]]/WWWW[[#This Row],[Total PoP ]]</f>
        <v>1</v>
      </c>
      <c r="DE329"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258</v>
      </c>
      <c r="DF329"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29"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29" s="417">
        <f>IF(WWWW[[#This Row],['# of functional latrines in THF supported by WASH partners during the reporting period2]]="",0,WWWW[[#This Row],['# of functional latrines in THF supported by WASH partners during the reporting period2]]*50)</f>
        <v>0</v>
      </c>
      <c r="DI329" s="960">
        <f>ROUND(IF(WWWW[[#This Row],[Location Type 1]]="camp",WWWW[[#This Row],[Total PoP ]]/20,IF(WWWW[[#This Row],[Location Type 1]]="Temporary Location",WWWW[[#This Row],[Total PoP ]]/50,(WWWW[[#This Row],[Total PoP ]]/6))),0)</f>
        <v>13</v>
      </c>
      <c r="DJ329" s="960">
        <f>IF(WWWW[[#This Row],[Total required Latrines]]-(WWWW[[#This Row],['#_Constructed latrines_by_WASHAgencies]]+WWWW[[#This Row],['#_Non Cluster partner latrines]])&lt;0,0,WWWW[[#This Row],[Total required Latrines]]-(WWWW[[#This Row],['#_Constructed latrines_by_WASHAgencies]]+WWWW[[#This Row],['#_Non Cluster partner latrines]]))</f>
        <v>0</v>
      </c>
      <c r="DK329" s="962">
        <f>1-WWWW[[#This Row],[% people access to functioning Latrine]]</f>
        <v>0</v>
      </c>
      <c r="DL329" s="961">
        <f>IF(OR(WWWW[[#This Row],['#_Non-functional latrines]]="",WWWW[[#This Row],['#_Non-functional latrines]]=0),0,WWWW[[#This Row],['#_Non-functional latrines]]/(WWWW[[#This Row],['#_Constructed latrines_by_WASHAgencies]]+WWWW[[#This Row],['#_Non Cluster partner latrines]]))</f>
        <v>0</v>
      </c>
      <c r="DM329" s="957">
        <f>IF(500*(WWWW[[#This Row],['#_male hygiene promoters]]+WWWW[[#This Row],['#_female hygiene promoters]])&gt;WWWW[[#This Row],[Total PoP ]],WWWW[[#This Row],[Total PoP ]],500*(WWWW[[#This Row],['#_male hygiene promoters]]+WWWW[[#This Row],['#_female hygiene promoters]]))</f>
        <v>258</v>
      </c>
      <c r="DN329"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29"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29" s="960">
        <f>IF(WWWW[[#This Row],['# People with access to soap]]&gt;WWWW[[#This Row],['# People with access to Sanity Pads]],WWWW[[#This Row],['# People with access to soap]],WWWW[[#This Row],['# People with access to Sanity Pads]])</f>
        <v>0</v>
      </c>
      <c r="DQ329" s="960">
        <f>IF(WWWW[[#This Row],['# people reached by regular dedicated hygiene promotion_5]]&gt;WWWW[[#This Row],['# People received regular supply of hygiene items_6]],WWWW[[#This Row],['# people reached by regular dedicated hygiene promotion_5]],WWWW[[#This Row],['# People received regular supply of hygiene items_6]])</f>
        <v>258</v>
      </c>
      <c r="DR329" s="962">
        <f>IF(WWWW[[#This Row],[HRP3]]/WWWW[[#This Row],[Total PoP ]]&gt;1,1,WWWW[[#This Row],[HRP3]]/WWWW[[#This Row],[Total PoP ]])</f>
        <v>1</v>
      </c>
      <c r="DS329" s="961">
        <f>1-WWWW[[#This Row],[Hygiene Coverage%]]</f>
        <v>0</v>
      </c>
      <c r="DT329" s="959">
        <f>WWWW[[#This Row],['# people reached by regular dedicated hygiene promotion_5]]/WWWW[[#This Row],[Total PoP ]]</f>
        <v>1</v>
      </c>
      <c r="DU329"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29"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29" s="960">
        <f>WWWW[[#This Row],['#_Constructed/Existing hand washing stations]]-WWWW[[#This Row],['#_Non-Functional_hand_washing_stations]]</f>
        <v>2</v>
      </c>
      <c r="DX329" s="957">
        <f>IF(WWWW[[#This Row],['# Functional hand washing stations during reporting period]]*20&gt;WWWW[[#This Row],[Total HH]],WWWW[[#This Row],[Total HH]],WWWW[[#This Row],['# Functional hand washing stations during reporting period]]*20)</f>
        <v>40</v>
      </c>
      <c r="DY329" s="957">
        <f>IF(WWWW[[#This Row],[Is sufficient soap available for TLS? (Yes/No)]]="yes",WWWW[[#This Row],['#_Constructed/Existing hand washing stations at TLS/CFS/THF]],0)</f>
        <v>4</v>
      </c>
      <c r="DZ329" s="421">
        <f>IF(WWWW[[#This Row],['# Functional hand washing stations during reporting period]]*100&gt;WWWW[[#This Row],[Total PoP ]],WWWW[[#This Row],[Total PoP ]],WWWW[[#This Row],['# Functional hand washing stations during reporting period]]*100)</f>
        <v>200</v>
      </c>
      <c r="EA329" s="421" t="str">
        <f>IF(OR(WWWW[[#This Row],['#_students at TLS_CFS]]="",WWWW[[#This Row],['#_students at TLS_CFS]]=0),"No","Yes")</f>
        <v>No</v>
      </c>
      <c r="EB32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29" s="566">
        <f>WWWW[[#This Row],[%_of_affected_people_surveyed_who_report_feeling_satistfied_with_the_latrine_design_and_sanitation_service]]*WWWW[[#This Row],[Total PoP ]]</f>
        <v>0</v>
      </c>
      <c r="ED329" s="566">
        <f>WWWW[[#This Row],[%_of_affected_people_surveyed_who_report_feeling_satistfied_with_the_water_point_design_and_water_service]]*WWWW[[#This Row],[Total PoP ]]</f>
        <v>0</v>
      </c>
      <c r="EE329" s="566">
        <f>WWWW[[#This Row],[%_of_complaints_received_that_result_in_timely_corrective_action_and_feedback_to_the_community]]*WWWW[[#This Row],[Total PoP ]]</f>
        <v>0</v>
      </c>
      <c r="EF32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2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2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29" s="953" t="str">
        <f>VLOOKUP(WWWW[[#This Row],[Site Name]],SiteDB6[[Site Name]:[CCCM Management]],6,FALSE)</f>
        <v>Yes</v>
      </c>
      <c r="EJ329" s="953" t="str">
        <f>VLOOKUP(WWWW[[#This Row],[Site Name]],SiteDB6[[Site Name]:[CCCM Focal Agency]],7,FALSE)</f>
        <v>KMSS-MYT</v>
      </c>
      <c r="EK329" s="953" t="str">
        <f>VLOOKUP(WWWW[[#This Row],[Site Name]],SiteDB6[[Site Name]:[Location Type 1]],9,FALSE)</f>
        <v>Camp</v>
      </c>
      <c r="EL329" s="953" t="str">
        <f>VLOOKUP(WWWW[[#This Row],[Site Name]],SiteDB6[[Site Name]:[Type of Accommodation]],10,FALSE)</f>
        <v>Camp</v>
      </c>
      <c r="EM329" s="953" t="str">
        <f>VLOOKUP(WWWW[[#This Row],[Site Name]],SiteDB6[[Site Name]:[Ethnic or GCA/NGCA]],11,FALSE)</f>
        <v>NGCA</v>
      </c>
      <c r="EN329" s="953">
        <f>VLOOKUP(WWWW[[#This Row],[Site Name]],SiteDB6[[Site Name]:[Lat]],12,FALSE)</f>
        <v>25.220278</v>
      </c>
      <c r="EO329" s="953">
        <f>VLOOKUP(WWWW[[#This Row],[Site Name]],SiteDB6[[Site Name]:[Long]],13,FALSE)</f>
        <v>97.915833000000006</v>
      </c>
      <c r="EP329" s="953" t="str">
        <f>VLOOKUP(WWWW[[#This Row],[Site Name]],SiteDB6[[Site Name]:[Pcode]],3,FALSE)</f>
        <v>MMR001CMP113</v>
      </c>
      <c r="EQ329" s="958" t="str">
        <f t="shared" si="7"/>
        <v>Covered</v>
      </c>
      <c r="ER329" s="950" t="s">
        <v>3126</v>
      </c>
      <c r="ES329" s="972" t="s">
        <v>3346</v>
      </c>
      <c r="ET329" s="953">
        <f>VLOOKUP(WWWW[[#This Row],[Site Name]],SiteDB6[[Site Name]:[Pop
(Kachin/Shan-CCCM as of May 2023)]],16,FALSE)</f>
        <v>48</v>
      </c>
      <c r="EU329" s="953">
        <f>VLOOKUP(WWWW[[#This Row],[Site Name]],SiteDB6[[Site Name]:[Pop
(Kachin/Shan-CCCM as of May 2023)]],17,FALSE)</f>
        <v>258</v>
      </c>
    </row>
    <row r="330" spans="1:151">
      <c r="A330" s="946" t="s">
        <v>2962</v>
      </c>
      <c r="B330" s="946" t="s">
        <v>309</v>
      </c>
      <c r="C330" s="938" t="s">
        <v>309</v>
      </c>
      <c r="D330" s="938"/>
      <c r="E330" s="938" t="s">
        <v>37</v>
      </c>
      <c r="F330" s="938" t="s">
        <v>142</v>
      </c>
      <c r="G330" s="902" t="str">
        <f>VLOOKUP(WWWW[[#This Row],[Site Name]],SiteDB6[[Site Name]:[Location Type]],8,FALSE)</f>
        <v>Camp</v>
      </c>
      <c r="H330" s="938" t="s">
        <v>2711</v>
      </c>
      <c r="I330" s="441">
        <v>48</v>
      </c>
      <c r="J330" s="441">
        <v>240</v>
      </c>
      <c r="K330" s="948"/>
      <c r="L330" s="949"/>
      <c r="M330" s="441"/>
      <c r="N330" s="441"/>
      <c r="O330" s="441"/>
      <c r="P330" s="441"/>
      <c r="Q330" s="421"/>
      <c r="R330" s="441"/>
      <c r="S330" s="441"/>
      <c r="T330" s="441"/>
      <c r="U330" s="441"/>
      <c r="V330" s="441"/>
      <c r="W330" s="441"/>
      <c r="X330" s="441"/>
      <c r="Y330" s="441"/>
      <c r="Z330" s="441"/>
      <c r="AA330" s="441"/>
      <c r="AB330" s="441"/>
      <c r="AC330" s="441"/>
      <c r="AD330" s="441"/>
      <c r="AE330" s="441"/>
      <c r="AF330" s="441"/>
      <c r="AG330" s="441"/>
      <c r="AH330" s="441"/>
      <c r="AI330" s="441"/>
      <c r="AJ330" s="441"/>
      <c r="AK330" s="441"/>
      <c r="AL330" s="441"/>
      <c r="AM330" s="441"/>
      <c r="AN330" s="441"/>
      <c r="AO330" s="441"/>
      <c r="AP330" s="950"/>
      <c r="AQ330" s="441"/>
      <c r="AR330" s="441"/>
      <c r="AS330" s="416"/>
      <c r="AT330" s="441"/>
      <c r="AU330" s="441"/>
      <c r="AV330" s="441"/>
      <c r="AW330" s="441"/>
      <c r="AX330" s="441"/>
      <c r="AY330" s="418" t="s">
        <v>140</v>
      </c>
      <c r="AZ330" s="950" t="s">
        <v>140</v>
      </c>
      <c r="BA330" s="441"/>
      <c r="BB330" s="441"/>
      <c r="BC330" s="441"/>
      <c r="BD330" s="441"/>
      <c r="BE330" s="441"/>
      <c r="BF330" s="418"/>
      <c r="BG330" s="441">
        <v>7</v>
      </c>
      <c r="BH330" s="441"/>
      <c r="BI330" s="441"/>
      <c r="BJ330" s="441">
        <v>4</v>
      </c>
      <c r="BK330" s="441"/>
      <c r="BL330" s="441"/>
      <c r="BM330" s="441"/>
      <c r="BN330" s="441"/>
      <c r="BO330" s="441"/>
      <c r="BP330" s="418"/>
      <c r="BQ330" s="417"/>
      <c r="BR330" s="416"/>
      <c r="BS330" s="418"/>
      <c r="BT330" s="416"/>
      <c r="BU330" s="416"/>
      <c r="BV330" s="418"/>
      <c r="BW330" s="416"/>
      <c r="BX330" s="441"/>
      <c r="BY330" s="441"/>
      <c r="BZ330" s="441"/>
      <c r="CA330" s="441"/>
      <c r="CB330" s="441"/>
      <c r="CC330" s="693"/>
      <c r="CD330" s="441"/>
      <c r="CE330" s="615" t="str">
        <f>IFERROR(WWWW[[#This Row],['#_Water sources passed]]/WWWW[[#This Row],['#_Water sources tested for fecal coliform ]],"no test")</f>
        <v>no test</v>
      </c>
      <c r="CF330" s="416" t="str">
        <f>IFERROR(WWWW[[#This Row],['#_Household passed]]/WWWW[[#This Row],['#_Household water samples tested for fecal coliform]],"no test")</f>
        <v>no test</v>
      </c>
      <c r="CG330" s="417" t="str">
        <f>IF(AND(WWWW[[#This Row],[% of water sources passed]]="no test",WWWW[[#This Row],[% Household passed]]="no test"),"No Test","Tested")</f>
        <v>No Test</v>
      </c>
      <c r="CH330" s="417">
        <f>WWWW[[#This Row],['#_Constructed/existing protected hand dug well]]-WWWW[[#This Row],['#_Non-functional protected hand dug well]]</f>
        <v>0</v>
      </c>
      <c r="CI330" s="417">
        <f>(WWWW[[#This Row],['#_Constructed/Existing tube wells/boreholes/handpumps_WASH_agency]]+WWWW[[#This Row],['#_Non-Cluster partner water tube-wells/boreholes/handpumps]])-WWWW[[#This Row],['#_Non-functional tube wells/boreholes/handpumps]]</f>
        <v>0</v>
      </c>
      <c r="CJ330" s="417">
        <f>WWWW[[#This Row],['#_Constructed/Existingwater storage tank with gravity fed reticulation system]]-WWWW[[#This Row],['#_Non-functional storage tank gravity fed reticulation system]]</f>
        <v>0</v>
      </c>
      <c r="CK330" s="417">
        <f>(WWWW[[#This Row],['#_Water_Liters_supplied_by_Water boating or water trucking]]/90)/15</f>
        <v>0</v>
      </c>
      <c r="CL330" s="417">
        <f>WWWW[[#This Row],['#_Water_Liters_from_Constructed/Existing water distribution system from river or natural spring]]/90/15</f>
        <v>0</v>
      </c>
      <c r="CM330" s="417">
        <f>IF(WWWW[[#This Row],['#_of water points in TLS/CFS]]*500&gt;WWWW[[#This Row],[Total PoP ]],WWWW[[#This Row],[Total PoP ]],WWWW[[#This Row],['#_of water points in TLS/CFS]]*500)</f>
        <v>0</v>
      </c>
      <c r="CN330" s="417">
        <f>IF(WWWW[[#This Row],['#_of water points in THF]]*500&gt;WWWW[[#This Row],[Total PoP ]],WWWW[[#This Row],[Total PoP ]],WWWW[[#This Row],['#_of water points in THF]]*500)</f>
        <v>0</v>
      </c>
      <c r="CO330" s="417"/>
      <c r="CP330"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30"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30" s="416">
        <f>IF(WWWW[[#This Row],[Location Type 1]]="Village",WWWW[[#This Row],[Access to safe drinking water for Village]],WWWW[[#This Row],[Access to safe drinking water for Camp]])</f>
        <v>0</v>
      </c>
      <c r="CS330" s="421">
        <f>WWWW[[#This Row],[%Equitable and continuous access to sufficient quantity of safe drinking water]]*WWWW[[#This Row],[Total PoP ]]</f>
        <v>0</v>
      </c>
      <c r="CT330" s="416">
        <f>IF((WWWW[[#This Row],['#_Constructed/Existing protected/fenced ponds]]*250)/WWWW[[#This Row],[Total PoP ]]&gt;1,1,(WWWW[[#This Row],['#_Constructed/Existing protected/fenced ponds]]*250)/WWWW[[#This Row],[Total PoP ]])</f>
        <v>0</v>
      </c>
      <c r="CU330" s="421">
        <f>WWWW[[#This Row],[% Access to unimproved water points]]*WWWW[[#This Row],[Total PoP ]]</f>
        <v>0</v>
      </c>
      <c r="CV330"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30"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30" s="421">
        <f>WWWW[[#This Row],[HRP1]]/500</f>
        <v>0</v>
      </c>
      <c r="CY330" s="951">
        <f>1-WWWW[[#This Row],[% Equitable and continuous access to sufficient quantity of domestic water]]</f>
        <v>1</v>
      </c>
      <c r="CZ330" s="421">
        <f>WWWW[[#This Row],[%equitable and continuous access to sufficient quantity of safe drinking and domestic water''s GAP]]*WWWW[[#This Row],[Total PoP ]]</f>
        <v>240</v>
      </c>
      <c r="DA330" s="417">
        <f>IF(WWWW[[#This Row],[Total required water points]]-WWWW[[#This Row],['#Water points coverage]]&lt;0,0,WWWW[[#This Row],[Total required water points]]-WWWW[[#This Row],['#Water points coverage]])</f>
        <v>1</v>
      </c>
      <c r="DB330" s="417">
        <f>ROUND(IF(WWWW[[#This Row],[Total PoP ]]&lt;500,1,WWWW[[#This Row],[Total PoP ]]/500),0)</f>
        <v>1</v>
      </c>
      <c r="DC330" s="417">
        <f>(WWWW[[#This Row],['#_Constructed latrines_by_WASHAgencies]]+WWWW[[#This Row],['#_Non Cluster partner latrines]])-WWWW[[#This Row],['#_Non-functional latrines]]</f>
        <v>0</v>
      </c>
      <c r="DD330" s="615">
        <f>WWWW[[#This Row],[HRP2]]/WWWW[[#This Row],[Total PoP ]]</f>
        <v>0</v>
      </c>
      <c r="DE330"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30"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30"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30" s="417">
        <f>IF(WWWW[[#This Row],['# of functional latrines in THF supported by WASH partners during the reporting period2]]="",0,WWWW[[#This Row],['# of functional latrines in THF supported by WASH partners during the reporting period2]]*50)</f>
        <v>0</v>
      </c>
      <c r="DI330" s="417">
        <f>ROUND(IF(WWWW[[#This Row],[Location Type 1]]="camp",WWWW[[#This Row],[Total PoP ]]/20,IF(WWWW[[#This Row],[Location Type 1]]="Temporary Location",WWWW[[#This Row],[Total PoP ]]/50,(WWWW[[#This Row],[Total PoP ]]/6))),0)</f>
        <v>12</v>
      </c>
      <c r="DJ330" s="417">
        <f>IF(WWWW[[#This Row],[Total required Latrines]]-(WWWW[[#This Row],['#_Constructed latrines_by_WASHAgencies]]+WWWW[[#This Row],['#_Non Cluster partner latrines]])&lt;0,0,WWWW[[#This Row],[Total required Latrines]]-(WWWW[[#This Row],['#_Constructed latrines_by_WASHAgencies]]+WWWW[[#This Row],['#_Non Cluster partner latrines]]))</f>
        <v>12</v>
      </c>
      <c r="DK330" s="951">
        <f>1-WWWW[[#This Row],[% people access to functioning Latrine]]</f>
        <v>1</v>
      </c>
      <c r="DL330" s="615">
        <f>IF(OR(WWWW[[#This Row],['#_Non-functional latrines]]="",WWWW[[#This Row],['#_Non-functional latrines]]=0),0,WWWW[[#This Row],['#_Non-functional latrines]]/(WWWW[[#This Row],['#_Constructed latrines_by_WASHAgencies]]+WWWW[[#This Row],['#_Non Cluster partner latrines]]))</f>
        <v>0</v>
      </c>
      <c r="DM330" s="421">
        <f>IF(500*(WWWW[[#This Row],['#_male hygiene promoters]]+WWWW[[#This Row],['#_female hygiene promoters]])&gt;WWWW[[#This Row],[Total PoP ]],WWWW[[#This Row],[Total PoP ]],500*(WWWW[[#This Row],['#_male hygiene promoters]]+WWWW[[#This Row],['#_female hygiene promoters]]))</f>
        <v>0</v>
      </c>
      <c r="DN330"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30"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30" s="417">
        <f>IF(WWWW[[#This Row],['# People with access to soap]]&gt;WWWW[[#This Row],['# People with access to Sanity Pads]],WWWW[[#This Row],['# People with access to soap]],WWWW[[#This Row],['# People with access to Sanity Pads]])</f>
        <v>0</v>
      </c>
      <c r="DQ330"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30" s="951">
        <f>IF(WWWW[[#This Row],[HRP3]]/WWWW[[#This Row],[Total PoP ]]&gt;1,1,WWWW[[#This Row],[HRP3]]/WWWW[[#This Row],[Total PoP ]])</f>
        <v>0</v>
      </c>
      <c r="DS330" s="615">
        <f>1-WWWW[[#This Row],[Hygiene Coverage%]]</f>
        <v>1</v>
      </c>
      <c r="DT330" s="416">
        <f>WWWW[[#This Row],['# people reached by regular dedicated hygiene promotion_5]]/WWWW[[#This Row],[Total PoP ]]</f>
        <v>0</v>
      </c>
      <c r="DU330"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30"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30" s="417">
        <f>WWWW[[#This Row],['#_Constructed/Existing hand washing stations]]-WWWW[[#This Row],['#_Non-Functional_hand_washing_stations]]</f>
        <v>7</v>
      </c>
      <c r="DX330" s="421">
        <f>IF(WWWW[[#This Row],['# Functional hand washing stations during reporting period]]*20&gt;WWWW[[#This Row],[Total HH]],WWWW[[#This Row],[Total HH]],WWWW[[#This Row],['# Functional hand washing stations during reporting period]]*20)</f>
        <v>48</v>
      </c>
      <c r="DY330" s="421">
        <f>IF(WWWW[[#This Row],[Is sufficient soap available for TLS? (Yes/No)]]="yes",WWWW[[#This Row],['#_Constructed/Existing hand washing stations at TLS/CFS/THF]],0)</f>
        <v>0</v>
      </c>
      <c r="DZ330" s="421">
        <f>IF(WWWW[[#This Row],['# Functional hand washing stations during reporting period]]*100&gt;WWWW[[#This Row],[Total PoP ]],WWWW[[#This Row],[Total PoP ]],WWWW[[#This Row],['# Functional hand washing stations during reporting period]]*100)</f>
        <v>240</v>
      </c>
      <c r="EA330" s="421" t="str">
        <f>IF(OR(WWWW[[#This Row],['#_students at TLS_CFS]]="",WWWW[[#This Row],['#_students at TLS_CFS]]=0),"No","Yes")</f>
        <v>No</v>
      </c>
      <c r="EB33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30" s="566">
        <f>WWWW[[#This Row],[%_of_affected_people_surveyed_who_report_feeling_satistfied_with_the_latrine_design_and_sanitation_service]]*WWWW[[#This Row],[Total PoP ]]</f>
        <v>0</v>
      </c>
      <c r="ED330" s="566">
        <f>WWWW[[#This Row],[%_of_affected_people_surveyed_who_report_feeling_satistfied_with_the_water_point_design_and_water_service]]*WWWW[[#This Row],[Total PoP ]]</f>
        <v>0</v>
      </c>
      <c r="EE330" s="566">
        <f>WWWW[[#This Row],[%_of_complaints_received_that_result_in_timely_corrective_action_and_feedback_to_the_community]]*WWWW[[#This Row],[Total PoP ]]</f>
        <v>0</v>
      </c>
      <c r="EF33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3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3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30" s="418">
        <f>VLOOKUP(WWWW[[#This Row],[Site Name]],SiteDB6[[Site Name]:[CCCM Management]],6,FALSE)</f>
        <v>0</v>
      </c>
      <c r="EJ330" s="418" t="str">
        <f>VLOOKUP(WWWW[[#This Row],[Site Name]],SiteDB6[[Site Name]:[CCCM Focal Agency]],7,FALSE)</f>
        <v xml:space="preserve">Uncovered  </v>
      </c>
      <c r="EK330" s="418" t="str">
        <f>VLOOKUP(WWWW[[#This Row],[Site Name]],SiteDB6[[Site Name]:[Location Type 1]],9,FALSE)</f>
        <v>Camp</v>
      </c>
      <c r="EL330" s="418" t="str">
        <f>VLOOKUP(WWWW[[#This Row],[Site Name]],SiteDB6[[Site Name]:[Type of Accommodation]],10,FALSE)</f>
        <v>Camp like setting</v>
      </c>
      <c r="EM330" s="418" t="str">
        <f>VLOOKUP(WWWW[[#This Row],[Site Name]],SiteDB6[[Site Name]:[Ethnic or GCA/NGCA]],11,FALSE)</f>
        <v>GCA</v>
      </c>
      <c r="EN330" s="418">
        <f>VLOOKUP(WWWW[[#This Row],[Site Name]],SiteDB6[[Site Name]:[Lat]],12,FALSE)</f>
        <v>0</v>
      </c>
      <c r="EO330" s="418">
        <f>VLOOKUP(WWWW[[#This Row],[Site Name]],SiteDB6[[Site Name]:[Long]],13,FALSE)</f>
        <v>0</v>
      </c>
      <c r="EP330" s="418" t="str">
        <f>VLOOKUP(WWWW[[#This Row],[Site Name]],SiteDB6[[Site Name]:[Pcode]],3,FALSE)</f>
        <v>MMR001CMP293</v>
      </c>
      <c r="EQ330" s="950" t="str">
        <f t="shared" si="7"/>
        <v>Notcovered</v>
      </c>
      <c r="ER330" s="950"/>
      <c r="ES330" s="950" t="s">
        <v>41</v>
      </c>
      <c r="ET330" s="418">
        <f>VLOOKUP(WWWW[[#This Row],[Site Name]],SiteDB6[[Site Name]:[Pop
(Kachin/Shan-CCCM as of May 2023)]],16,FALSE)</f>
        <v>29</v>
      </c>
      <c r="EU330" s="418">
        <f>VLOOKUP(WWWW[[#This Row],[Site Name]],SiteDB6[[Site Name]:[Pop
(Kachin/Shan-CCCM as of May 2023)]],17,FALSE)</f>
        <v>166</v>
      </c>
    </row>
    <row r="331" spans="1:151">
      <c r="A331" s="946" t="s">
        <v>2962</v>
      </c>
      <c r="B331" s="946" t="s">
        <v>309</v>
      </c>
      <c r="C331" s="938" t="s">
        <v>309</v>
      </c>
      <c r="D331" s="938"/>
      <c r="E331" s="938" t="s">
        <v>37</v>
      </c>
      <c r="F331" s="938" t="s">
        <v>142</v>
      </c>
      <c r="G331" s="902" t="str">
        <f>VLOOKUP(WWWW[[#This Row],[Site Name]],SiteDB6[[Site Name]:[Location Type]],8,FALSE)</f>
        <v>Camp</v>
      </c>
      <c r="H331" s="938" t="s">
        <v>2712</v>
      </c>
      <c r="I331" s="441">
        <v>34</v>
      </c>
      <c r="J331" s="441">
        <v>189</v>
      </c>
      <c r="K331" s="948"/>
      <c r="L331" s="949"/>
      <c r="M331" s="441"/>
      <c r="N331" s="441"/>
      <c r="O331" s="441"/>
      <c r="P331" s="441"/>
      <c r="Q331" s="421"/>
      <c r="R331" s="441"/>
      <c r="S331" s="441"/>
      <c r="T331" s="441"/>
      <c r="U331" s="441"/>
      <c r="V331" s="441"/>
      <c r="W331" s="441"/>
      <c r="X331" s="441"/>
      <c r="Y331" s="441"/>
      <c r="Z331" s="441"/>
      <c r="AA331" s="441"/>
      <c r="AB331" s="441"/>
      <c r="AC331" s="441"/>
      <c r="AD331" s="441"/>
      <c r="AE331" s="441"/>
      <c r="AF331" s="441"/>
      <c r="AG331" s="441"/>
      <c r="AH331" s="441"/>
      <c r="AI331" s="441"/>
      <c r="AJ331" s="441"/>
      <c r="AK331" s="441"/>
      <c r="AL331" s="441"/>
      <c r="AM331" s="441"/>
      <c r="AN331" s="441"/>
      <c r="AO331" s="441"/>
      <c r="AP331" s="950"/>
      <c r="AQ331" s="441"/>
      <c r="AR331" s="441"/>
      <c r="AS331" s="416"/>
      <c r="AT331" s="441"/>
      <c r="AU331" s="441"/>
      <c r="AV331" s="441"/>
      <c r="AW331" s="441"/>
      <c r="AX331" s="441"/>
      <c r="AY331" s="418" t="s">
        <v>140</v>
      </c>
      <c r="AZ331" s="950" t="s">
        <v>140</v>
      </c>
      <c r="BA331" s="441"/>
      <c r="BB331" s="441"/>
      <c r="BC331" s="441"/>
      <c r="BD331" s="441"/>
      <c r="BE331" s="441"/>
      <c r="BF331" s="418"/>
      <c r="BG331" s="441">
        <v>3</v>
      </c>
      <c r="BH331" s="441"/>
      <c r="BI331" s="441"/>
      <c r="BJ331" s="441">
        <v>2</v>
      </c>
      <c r="BK331" s="441"/>
      <c r="BL331" s="441"/>
      <c r="BM331" s="441"/>
      <c r="BN331" s="441"/>
      <c r="BO331" s="441"/>
      <c r="BP331" s="418"/>
      <c r="BQ331" s="417"/>
      <c r="BR331" s="416"/>
      <c r="BS331" s="418"/>
      <c r="BT331" s="416"/>
      <c r="BU331" s="416"/>
      <c r="BV331" s="418"/>
      <c r="BW331" s="416"/>
      <c r="BX331" s="441"/>
      <c r="BY331" s="441"/>
      <c r="BZ331" s="441"/>
      <c r="CA331" s="441"/>
      <c r="CB331" s="441"/>
      <c r="CC331" s="693"/>
      <c r="CD331" s="441"/>
      <c r="CE331" s="615" t="str">
        <f>IFERROR(WWWW[[#This Row],['#_Water sources passed]]/WWWW[[#This Row],['#_Water sources tested for fecal coliform ]],"no test")</f>
        <v>no test</v>
      </c>
      <c r="CF331" s="416" t="str">
        <f>IFERROR(WWWW[[#This Row],['#_Household passed]]/WWWW[[#This Row],['#_Household water samples tested for fecal coliform]],"no test")</f>
        <v>no test</v>
      </c>
      <c r="CG331" s="417" t="str">
        <f>IF(AND(WWWW[[#This Row],[% of water sources passed]]="no test",WWWW[[#This Row],[% Household passed]]="no test"),"No Test","Tested")</f>
        <v>No Test</v>
      </c>
      <c r="CH331" s="417">
        <f>WWWW[[#This Row],['#_Constructed/existing protected hand dug well]]-WWWW[[#This Row],['#_Non-functional protected hand dug well]]</f>
        <v>0</v>
      </c>
      <c r="CI331" s="417">
        <f>(WWWW[[#This Row],['#_Constructed/Existing tube wells/boreholes/handpumps_WASH_agency]]+WWWW[[#This Row],['#_Non-Cluster partner water tube-wells/boreholes/handpumps]])-WWWW[[#This Row],['#_Non-functional tube wells/boreholes/handpumps]]</f>
        <v>0</v>
      </c>
      <c r="CJ331" s="417">
        <f>WWWW[[#This Row],['#_Constructed/Existingwater storage tank with gravity fed reticulation system]]-WWWW[[#This Row],['#_Non-functional storage tank gravity fed reticulation system]]</f>
        <v>0</v>
      </c>
      <c r="CK331" s="417">
        <f>(WWWW[[#This Row],['#_Water_Liters_supplied_by_Water boating or water trucking]]/90)/15</f>
        <v>0</v>
      </c>
      <c r="CL331" s="417">
        <f>WWWW[[#This Row],['#_Water_Liters_from_Constructed/Existing water distribution system from river or natural spring]]/90/15</f>
        <v>0</v>
      </c>
      <c r="CM331" s="417">
        <f>IF(WWWW[[#This Row],['#_of water points in TLS/CFS]]*500&gt;WWWW[[#This Row],[Total PoP ]],WWWW[[#This Row],[Total PoP ]],WWWW[[#This Row],['#_of water points in TLS/CFS]]*500)</f>
        <v>0</v>
      </c>
      <c r="CN331" s="417">
        <f>IF(WWWW[[#This Row],['#_of water points in THF]]*500&gt;WWWW[[#This Row],[Total PoP ]],WWWW[[#This Row],[Total PoP ]],WWWW[[#This Row],['#_of water points in THF]]*500)</f>
        <v>0</v>
      </c>
      <c r="CO331" s="417"/>
      <c r="CP331"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31"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31" s="416">
        <f>IF(WWWW[[#This Row],[Location Type 1]]="Village",WWWW[[#This Row],[Access to safe drinking water for Village]],WWWW[[#This Row],[Access to safe drinking water for Camp]])</f>
        <v>0</v>
      </c>
      <c r="CS331" s="421">
        <f>WWWW[[#This Row],[%Equitable and continuous access to sufficient quantity of safe drinking water]]*WWWW[[#This Row],[Total PoP ]]</f>
        <v>0</v>
      </c>
      <c r="CT331" s="416">
        <f>IF((WWWW[[#This Row],['#_Constructed/Existing protected/fenced ponds]]*250)/WWWW[[#This Row],[Total PoP ]]&gt;1,1,(WWWW[[#This Row],['#_Constructed/Existing protected/fenced ponds]]*250)/WWWW[[#This Row],[Total PoP ]])</f>
        <v>0</v>
      </c>
      <c r="CU331" s="421">
        <f>WWWW[[#This Row],[% Access to unimproved water points]]*WWWW[[#This Row],[Total PoP ]]</f>
        <v>0</v>
      </c>
      <c r="CV331"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31"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31" s="421">
        <f>WWWW[[#This Row],[HRP1]]/500</f>
        <v>0</v>
      </c>
      <c r="CY331" s="951">
        <f>1-WWWW[[#This Row],[% Equitable and continuous access to sufficient quantity of domestic water]]</f>
        <v>1</v>
      </c>
      <c r="CZ331" s="421">
        <f>WWWW[[#This Row],[%equitable and continuous access to sufficient quantity of safe drinking and domestic water''s GAP]]*WWWW[[#This Row],[Total PoP ]]</f>
        <v>189</v>
      </c>
      <c r="DA331" s="417">
        <f>IF(WWWW[[#This Row],[Total required water points]]-WWWW[[#This Row],['#Water points coverage]]&lt;0,0,WWWW[[#This Row],[Total required water points]]-WWWW[[#This Row],['#Water points coverage]])</f>
        <v>1</v>
      </c>
      <c r="DB331" s="417">
        <f>ROUND(IF(WWWW[[#This Row],[Total PoP ]]&lt;500,1,WWWW[[#This Row],[Total PoP ]]/500),0)</f>
        <v>1</v>
      </c>
      <c r="DC331" s="417">
        <f>(WWWW[[#This Row],['#_Constructed latrines_by_WASHAgencies]]+WWWW[[#This Row],['#_Non Cluster partner latrines]])-WWWW[[#This Row],['#_Non-functional latrines]]</f>
        <v>0</v>
      </c>
      <c r="DD331" s="615">
        <f>WWWW[[#This Row],[HRP2]]/WWWW[[#This Row],[Total PoP ]]</f>
        <v>0</v>
      </c>
      <c r="DE331"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31"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31"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31" s="417">
        <f>IF(WWWW[[#This Row],['# of functional latrines in THF supported by WASH partners during the reporting period2]]="",0,WWWW[[#This Row],['# of functional latrines in THF supported by WASH partners during the reporting period2]]*50)</f>
        <v>0</v>
      </c>
      <c r="DI331" s="417">
        <f>ROUND(IF(WWWW[[#This Row],[Location Type 1]]="camp",WWWW[[#This Row],[Total PoP ]]/20,IF(WWWW[[#This Row],[Location Type 1]]="Temporary Location",WWWW[[#This Row],[Total PoP ]]/50,(WWWW[[#This Row],[Total PoP ]]/6))),0)</f>
        <v>9</v>
      </c>
      <c r="DJ331" s="417">
        <f>IF(WWWW[[#This Row],[Total required Latrines]]-(WWWW[[#This Row],['#_Constructed latrines_by_WASHAgencies]]+WWWW[[#This Row],['#_Non Cluster partner latrines]])&lt;0,0,WWWW[[#This Row],[Total required Latrines]]-(WWWW[[#This Row],['#_Constructed latrines_by_WASHAgencies]]+WWWW[[#This Row],['#_Non Cluster partner latrines]]))</f>
        <v>9</v>
      </c>
      <c r="DK331" s="951">
        <f>1-WWWW[[#This Row],[% people access to functioning Latrine]]</f>
        <v>1</v>
      </c>
      <c r="DL331" s="615">
        <f>IF(OR(WWWW[[#This Row],['#_Non-functional latrines]]="",WWWW[[#This Row],['#_Non-functional latrines]]=0),0,WWWW[[#This Row],['#_Non-functional latrines]]/(WWWW[[#This Row],['#_Constructed latrines_by_WASHAgencies]]+WWWW[[#This Row],['#_Non Cluster partner latrines]]))</f>
        <v>0</v>
      </c>
      <c r="DM331" s="421">
        <f>IF(500*(WWWW[[#This Row],['#_male hygiene promoters]]+WWWW[[#This Row],['#_female hygiene promoters]])&gt;WWWW[[#This Row],[Total PoP ]],WWWW[[#This Row],[Total PoP ]],500*(WWWW[[#This Row],['#_male hygiene promoters]]+WWWW[[#This Row],['#_female hygiene promoters]]))</f>
        <v>0</v>
      </c>
      <c r="DN331"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31"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31" s="417">
        <f>IF(WWWW[[#This Row],['# People with access to soap]]&gt;WWWW[[#This Row],['# People with access to Sanity Pads]],WWWW[[#This Row],['# People with access to soap]],WWWW[[#This Row],['# People with access to Sanity Pads]])</f>
        <v>0</v>
      </c>
      <c r="DQ331"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31" s="951">
        <f>IF(WWWW[[#This Row],[HRP3]]/WWWW[[#This Row],[Total PoP ]]&gt;1,1,WWWW[[#This Row],[HRP3]]/WWWW[[#This Row],[Total PoP ]])</f>
        <v>0</v>
      </c>
      <c r="DS331" s="615">
        <f>1-WWWW[[#This Row],[Hygiene Coverage%]]</f>
        <v>1</v>
      </c>
      <c r="DT331" s="416">
        <f>WWWW[[#This Row],['# people reached by regular dedicated hygiene promotion_5]]/WWWW[[#This Row],[Total PoP ]]</f>
        <v>0</v>
      </c>
      <c r="DU331"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31"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31" s="417">
        <f>WWWW[[#This Row],['#_Constructed/Existing hand washing stations]]-WWWW[[#This Row],['#_Non-Functional_hand_washing_stations]]</f>
        <v>3</v>
      </c>
      <c r="DX331" s="421">
        <f>IF(WWWW[[#This Row],['# Functional hand washing stations during reporting period]]*20&gt;WWWW[[#This Row],[Total HH]],WWWW[[#This Row],[Total HH]],WWWW[[#This Row],['# Functional hand washing stations during reporting period]]*20)</f>
        <v>34</v>
      </c>
      <c r="DY331" s="421">
        <f>IF(WWWW[[#This Row],[Is sufficient soap available for TLS? (Yes/No)]]="yes",WWWW[[#This Row],['#_Constructed/Existing hand washing stations at TLS/CFS/THF]],0)</f>
        <v>0</v>
      </c>
      <c r="DZ331" s="421">
        <f>IF(WWWW[[#This Row],['# Functional hand washing stations during reporting period]]*100&gt;WWWW[[#This Row],[Total PoP ]],WWWW[[#This Row],[Total PoP ]],WWWW[[#This Row],['# Functional hand washing stations during reporting period]]*100)</f>
        <v>189</v>
      </c>
      <c r="EA331" s="421" t="str">
        <f>IF(OR(WWWW[[#This Row],['#_students at TLS_CFS]]="",WWWW[[#This Row],['#_students at TLS_CFS]]=0),"No","Yes")</f>
        <v>No</v>
      </c>
      <c r="EB33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31" s="566">
        <f>WWWW[[#This Row],[%_of_affected_people_surveyed_who_report_feeling_satistfied_with_the_latrine_design_and_sanitation_service]]*WWWW[[#This Row],[Total PoP ]]</f>
        <v>0</v>
      </c>
      <c r="ED331" s="566">
        <f>WWWW[[#This Row],[%_of_affected_people_surveyed_who_report_feeling_satistfied_with_the_water_point_design_and_water_service]]*WWWW[[#This Row],[Total PoP ]]</f>
        <v>0</v>
      </c>
      <c r="EE331" s="566">
        <f>WWWW[[#This Row],[%_of_complaints_received_that_result_in_timely_corrective_action_and_feedback_to_the_community]]*WWWW[[#This Row],[Total PoP ]]</f>
        <v>0</v>
      </c>
      <c r="EF33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3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3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31" s="418">
        <f>VLOOKUP(WWWW[[#This Row],[Site Name]],SiteDB6[[Site Name]:[CCCM Management]],6,FALSE)</f>
        <v>0</v>
      </c>
      <c r="EJ331" s="418" t="str">
        <f>VLOOKUP(WWWW[[#This Row],[Site Name]],SiteDB6[[Site Name]:[CCCM Focal Agency]],7,FALSE)</f>
        <v xml:space="preserve">Uncovered  </v>
      </c>
      <c r="EK331" s="418" t="str">
        <f>VLOOKUP(WWWW[[#This Row],[Site Name]],SiteDB6[[Site Name]:[Location Type 1]],9,FALSE)</f>
        <v>Camp</v>
      </c>
      <c r="EL331" s="418" t="str">
        <f>VLOOKUP(WWWW[[#This Row],[Site Name]],SiteDB6[[Site Name]:[Type of Accommodation]],10,FALSE)</f>
        <v>Camp like setting</v>
      </c>
      <c r="EM331" s="418" t="str">
        <f>VLOOKUP(WWWW[[#This Row],[Site Name]],SiteDB6[[Site Name]:[Ethnic or GCA/NGCA]],11,FALSE)</f>
        <v>GCA</v>
      </c>
      <c r="EN331" s="418">
        <f>VLOOKUP(WWWW[[#This Row],[Site Name]],SiteDB6[[Site Name]:[Lat]],12,FALSE)</f>
        <v>0</v>
      </c>
      <c r="EO331" s="418">
        <f>VLOOKUP(WWWW[[#This Row],[Site Name]],SiteDB6[[Site Name]:[Long]],13,FALSE)</f>
        <v>0</v>
      </c>
      <c r="EP331" s="418" t="str">
        <f>VLOOKUP(WWWW[[#This Row],[Site Name]],SiteDB6[[Site Name]:[Pcode]],3,FALSE)</f>
        <v>MMR001CMP294</v>
      </c>
      <c r="EQ331" s="950" t="str">
        <f t="shared" si="7"/>
        <v>Notcovered</v>
      </c>
      <c r="ER331" s="950"/>
      <c r="ES331" s="950" t="s">
        <v>41</v>
      </c>
      <c r="ET331" s="418">
        <f>VLOOKUP(WWWW[[#This Row],[Site Name]],SiteDB6[[Site Name]:[Pop
(Kachin/Shan-CCCM as of May 2023)]],16,FALSE)</f>
        <v>20</v>
      </c>
      <c r="EU331" s="418">
        <f>VLOOKUP(WWWW[[#This Row],[Site Name]],SiteDB6[[Site Name]:[Pop
(Kachin/Shan-CCCM as of May 2023)]],17,FALSE)</f>
        <v>133</v>
      </c>
    </row>
    <row r="332" spans="1:151">
      <c r="A332" s="946" t="s">
        <v>2962</v>
      </c>
      <c r="B332" s="946" t="s">
        <v>2634</v>
      </c>
      <c r="C332" s="938" t="s">
        <v>2634</v>
      </c>
      <c r="D332" s="938" t="s">
        <v>2637</v>
      </c>
      <c r="E332" s="938" t="s">
        <v>37</v>
      </c>
      <c r="F332" s="938" t="s">
        <v>142</v>
      </c>
      <c r="G332" s="902" t="str">
        <f>VLOOKUP(WWWW[[#This Row],[Site Name]],SiteDB6[[Site Name]:[Location Type]],8,FALSE)</f>
        <v>Camp</v>
      </c>
      <c r="H332" s="938" t="s">
        <v>768</v>
      </c>
      <c r="I332" s="441">
        <v>64</v>
      </c>
      <c r="J332" s="441">
        <v>381</v>
      </c>
      <c r="K332" s="948">
        <v>44562</v>
      </c>
      <c r="L332" s="949">
        <v>44926</v>
      </c>
      <c r="M332" s="441"/>
      <c r="N332" s="441"/>
      <c r="O332" s="441"/>
      <c r="P332" s="441"/>
      <c r="Q332" s="421" t="s">
        <v>41</v>
      </c>
      <c r="R332" s="441">
        <v>3</v>
      </c>
      <c r="S332" s="441">
        <v>8</v>
      </c>
      <c r="T332" s="441">
        <v>1</v>
      </c>
      <c r="U332" s="441"/>
      <c r="V332" s="441"/>
      <c r="W332" s="441">
        <v>2</v>
      </c>
      <c r="X332" s="441"/>
      <c r="Y332" s="441"/>
      <c r="Z332" s="441"/>
      <c r="AA332" s="441">
        <v>1</v>
      </c>
      <c r="AB332" s="441"/>
      <c r="AC332" s="441"/>
      <c r="AD332" s="441"/>
      <c r="AE332" s="441"/>
      <c r="AF332" s="441"/>
      <c r="AG332" s="441">
        <v>1</v>
      </c>
      <c r="AH332" s="441">
        <v>10</v>
      </c>
      <c r="AI332" s="441"/>
      <c r="AJ332" s="441"/>
      <c r="AK332" s="441"/>
      <c r="AL332" s="441"/>
      <c r="AM332" s="441"/>
      <c r="AN332" s="441"/>
      <c r="AO332" s="441"/>
      <c r="AP332" s="950"/>
      <c r="AQ332" s="441">
        <v>8</v>
      </c>
      <c r="AR332" s="441"/>
      <c r="AS332" s="416"/>
      <c r="AT332" s="441"/>
      <c r="AU332" s="441"/>
      <c r="AV332" s="441"/>
      <c r="AW332" s="441"/>
      <c r="AX332" s="441"/>
      <c r="AY332" s="418" t="s">
        <v>41</v>
      </c>
      <c r="AZ332" s="950" t="s">
        <v>137</v>
      </c>
      <c r="BA332" s="441"/>
      <c r="BB332" s="441"/>
      <c r="BC332" s="441"/>
      <c r="BD332" s="441"/>
      <c r="BE332" s="441">
        <v>4</v>
      </c>
      <c r="BF332" s="418"/>
      <c r="BG332" s="441">
        <v>3</v>
      </c>
      <c r="BH332" s="441"/>
      <c r="BI332" s="441">
        <v>2</v>
      </c>
      <c r="BJ332" s="441">
        <v>2</v>
      </c>
      <c r="BK332" s="441"/>
      <c r="BL332" s="441"/>
      <c r="BM332" s="441">
        <v>1</v>
      </c>
      <c r="BN332" s="441"/>
      <c r="BO332" s="441"/>
      <c r="BP332" s="418" t="s">
        <v>136</v>
      </c>
      <c r="BQ332" s="417"/>
      <c r="BR332" s="416"/>
      <c r="BS332" s="418"/>
      <c r="BT332" s="416"/>
      <c r="BU332" s="416"/>
      <c r="BV332" s="418"/>
      <c r="BW332" s="416"/>
      <c r="BX332" s="441"/>
      <c r="BY332" s="441"/>
      <c r="BZ332" s="441"/>
      <c r="CA332" s="441"/>
      <c r="CB332" s="441"/>
      <c r="CC332" s="693"/>
      <c r="CD332" s="441"/>
      <c r="CE332" s="615" t="str">
        <f>IFERROR(WWWW[[#This Row],['#_Water sources passed]]/WWWW[[#This Row],['#_Water sources tested for fecal coliform ]],"no test")</f>
        <v>no test</v>
      </c>
      <c r="CF332" s="416" t="str">
        <f>IFERROR(WWWW[[#This Row],['#_Household passed]]/WWWW[[#This Row],['#_Household water samples tested for fecal coliform]],"no test")</f>
        <v>no test</v>
      </c>
      <c r="CG332" s="417" t="str">
        <f>IF(AND(WWWW[[#This Row],[% of water sources passed]]="no test",WWWW[[#This Row],[% Household passed]]="no test"),"No Test","Tested")</f>
        <v>No Test</v>
      </c>
      <c r="CH332" s="417">
        <f>WWWW[[#This Row],['#_Constructed/existing protected hand dug well]]-WWWW[[#This Row],['#_Non-functional protected hand dug well]]</f>
        <v>1</v>
      </c>
      <c r="CI332" s="417">
        <f>(WWWW[[#This Row],['#_Constructed/Existing tube wells/boreholes/handpumps_WASH_agency]]+WWWW[[#This Row],['#_Non-Cluster partner water tube-wells/boreholes/handpumps]])-WWWW[[#This Row],['#_Non-functional tube wells/boreholes/handpumps]]</f>
        <v>2</v>
      </c>
      <c r="CJ332" s="417">
        <f>WWWW[[#This Row],['#_Constructed/Existingwater storage tank with gravity fed reticulation system]]-WWWW[[#This Row],['#_Non-functional storage tank gravity fed reticulation system]]</f>
        <v>1</v>
      </c>
      <c r="CK332" s="417">
        <f>(WWWW[[#This Row],['#_Water_Liters_supplied_by_Water boating or water trucking]]/90)/15</f>
        <v>0</v>
      </c>
      <c r="CL332" s="417">
        <f>WWWW[[#This Row],['#_Water_Liters_from_Constructed/Existing water distribution system from river or natural spring]]/90/15</f>
        <v>0</v>
      </c>
      <c r="CM332" s="417">
        <f>IF(WWWW[[#This Row],['#_of water points in TLS/CFS]]*500&gt;WWWW[[#This Row],[Total PoP ]],WWWW[[#This Row],[Total PoP ]],WWWW[[#This Row],['#_of water points in TLS/CFS]]*500)</f>
        <v>0</v>
      </c>
      <c r="CN332" s="417">
        <f>IF(WWWW[[#This Row],['#_of water points in THF]]*500&gt;WWWW[[#This Row],[Total PoP ]],WWWW[[#This Row],[Total PoP ]],WWWW[[#This Row],['#_of water points in THF]]*500)</f>
        <v>0</v>
      </c>
      <c r="CO332" s="417"/>
      <c r="CP332"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32"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32" s="416">
        <f>IF(WWWW[[#This Row],[Location Type 1]]="Village",WWWW[[#This Row],[Access to safe drinking water for Village]],WWWW[[#This Row],[Access to safe drinking water for Camp]])</f>
        <v>1</v>
      </c>
      <c r="CS332" s="421">
        <f>WWWW[[#This Row],[%Equitable and continuous access to sufficient quantity of safe drinking water]]*WWWW[[#This Row],[Total PoP ]]</f>
        <v>381</v>
      </c>
      <c r="CT332" s="416">
        <f>IF((WWWW[[#This Row],['#_Constructed/Existing protected/fenced ponds]]*250)/WWWW[[#This Row],[Total PoP ]]&gt;1,1,(WWWW[[#This Row],['#_Constructed/Existing protected/fenced ponds]]*250)/WWWW[[#This Row],[Total PoP ]])</f>
        <v>0</v>
      </c>
      <c r="CU332" s="421">
        <f>WWWW[[#This Row],[% Access to unimproved water points]]*WWWW[[#This Row],[Total PoP ]]</f>
        <v>0</v>
      </c>
      <c r="CV332"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32"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381</v>
      </c>
      <c r="CX332" s="421">
        <f>WWWW[[#This Row],[HRP1]]/500</f>
        <v>0.76200000000000001</v>
      </c>
      <c r="CY332" s="951">
        <f>1-WWWW[[#This Row],[% Equitable and continuous access to sufficient quantity of domestic water]]</f>
        <v>0</v>
      </c>
      <c r="CZ332" s="421">
        <f>WWWW[[#This Row],[%equitable and continuous access to sufficient quantity of safe drinking and domestic water''s GAP]]*WWWW[[#This Row],[Total PoP ]]</f>
        <v>0</v>
      </c>
      <c r="DA332" s="417">
        <f>IF(WWWW[[#This Row],[Total required water points]]-WWWW[[#This Row],['#Water points coverage]]&lt;0,0,WWWW[[#This Row],[Total required water points]]-WWWW[[#This Row],['#Water points coverage]])</f>
        <v>0.23799999999999999</v>
      </c>
      <c r="DB332" s="417">
        <f>ROUND(IF(WWWW[[#This Row],[Total PoP ]]&lt;500,1,WWWW[[#This Row],[Total PoP ]]/500),0)</f>
        <v>1</v>
      </c>
      <c r="DC332" s="417">
        <f>(WWWW[[#This Row],['#_Constructed latrines_by_WASHAgencies]]+WWWW[[#This Row],['#_Non Cluster partner latrines]])-WWWW[[#This Row],['#_Non-functional latrines]]</f>
        <v>8</v>
      </c>
      <c r="DD332" s="615">
        <f>WWWW[[#This Row],[HRP2]]/WWWW[[#This Row],[Total PoP ]]</f>
        <v>0.43044619422572178</v>
      </c>
      <c r="DE332"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164</v>
      </c>
      <c r="DF332"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32"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32" s="417">
        <f>IF(WWWW[[#This Row],['# of functional latrines in THF supported by WASH partners during the reporting period2]]="",0,WWWW[[#This Row],['# of functional latrines in THF supported by WASH partners during the reporting period2]]*50)</f>
        <v>0</v>
      </c>
      <c r="DI332" s="417">
        <f>ROUND(IF(WWWW[[#This Row],[Location Type 1]]="camp",WWWW[[#This Row],[Total PoP ]]/20,IF(WWWW[[#This Row],[Location Type 1]]="Temporary Location",WWWW[[#This Row],[Total PoP ]]/50,(WWWW[[#This Row],[Total PoP ]]/6))),0)</f>
        <v>19</v>
      </c>
      <c r="DJ332" s="417">
        <f>IF(WWWW[[#This Row],[Total required Latrines]]-(WWWW[[#This Row],['#_Constructed latrines_by_WASHAgencies]]+WWWW[[#This Row],['#_Non Cluster partner latrines]])&lt;0,0,WWWW[[#This Row],[Total required Latrines]]-(WWWW[[#This Row],['#_Constructed latrines_by_WASHAgencies]]+WWWW[[#This Row],['#_Non Cluster partner latrines]]))</f>
        <v>11</v>
      </c>
      <c r="DK332" s="951">
        <f>1-WWWW[[#This Row],[% people access to functioning Latrine]]</f>
        <v>0.56955380577427817</v>
      </c>
      <c r="DL332" s="615">
        <f>IF(OR(WWWW[[#This Row],['#_Non-functional latrines]]="",WWWW[[#This Row],['#_Non-functional latrines]]=0),0,WWWW[[#This Row],['#_Non-functional latrines]]/(WWWW[[#This Row],['#_Constructed latrines_by_WASHAgencies]]+WWWW[[#This Row],['#_Non Cluster partner latrines]]))</f>
        <v>0</v>
      </c>
      <c r="DM332" s="421">
        <f>IF(500*(WWWW[[#This Row],['#_male hygiene promoters]]+WWWW[[#This Row],['#_female hygiene promoters]])&gt;WWWW[[#This Row],[Total PoP ]],WWWW[[#This Row],[Total PoP ]],500*(WWWW[[#This Row],['#_male hygiene promoters]]+WWWW[[#This Row],['#_female hygiene promoters]]))</f>
        <v>381</v>
      </c>
      <c r="DN332"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32"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32" s="417">
        <f>IF(WWWW[[#This Row],['# People with access to soap]]&gt;WWWW[[#This Row],['# People with access to Sanity Pads]],WWWW[[#This Row],['# People with access to soap]],WWWW[[#This Row],['# People with access to Sanity Pads]])</f>
        <v>0</v>
      </c>
      <c r="DQ332" s="417">
        <f>IF(WWWW[[#This Row],['# people reached by regular dedicated hygiene promotion_5]]&gt;WWWW[[#This Row],['# People received regular supply of hygiene items_6]],WWWW[[#This Row],['# people reached by regular dedicated hygiene promotion_5]],WWWW[[#This Row],['# People received regular supply of hygiene items_6]])</f>
        <v>381</v>
      </c>
      <c r="DR332" s="951">
        <f>IF(WWWW[[#This Row],[HRP3]]/WWWW[[#This Row],[Total PoP ]]&gt;1,1,WWWW[[#This Row],[HRP3]]/WWWW[[#This Row],[Total PoP ]])</f>
        <v>1</v>
      </c>
      <c r="DS332" s="615">
        <f>1-WWWW[[#This Row],[Hygiene Coverage%]]</f>
        <v>0</v>
      </c>
      <c r="DT332" s="416">
        <f>WWWW[[#This Row],['# people reached by regular dedicated hygiene promotion_5]]/WWWW[[#This Row],[Total PoP ]]</f>
        <v>1</v>
      </c>
      <c r="DU332"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32"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32" s="417">
        <f>WWWW[[#This Row],['#_Constructed/Existing hand washing stations]]-WWWW[[#This Row],['#_Non-Functional_hand_washing_stations]]</f>
        <v>3</v>
      </c>
      <c r="DX332" s="421">
        <f>IF(WWWW[[#This Row],['# Functional hand washing stations during reporting period]]*20&gt;WWWW[[#This Row],[Total HH]],WWWW[[#This Row],[Total HH]],WWWW[[#This Row],['# Functional hand washing stations during reporting period]]*20)</f>
        <v>60</v>
      </c>
      <c r="DY332" s="421">
        <f>IF(WWWW[[#This Row],[Is sufficient soap available for TLS? (Yes/No)]]="yes",WWWW[[#This Row],['#_Constructed/Existing hand washing stations at TLS/CFS/THF]],0)</f>
        <v>0</v>
      </c>
      <c r="DZ332" s="421">
        <f>IF(WWWW[[#This Row],['# Functional hand washing stations during reporting period]]*100&gt;WWWW[[#This Row],[Total PoP ]],WWWW[[#This Row],[Total PoP ]],WWWW[[#This Row],['# Functional hand washing stations during reporting period]]*100)</f>
        <v>300</v>
      </c>
      <c r="EA332" s="421" t="str">
        <f>IF(OR(WWWW[[#This Row],['#_students at TLS_CFS]]="",WWWW[[#This Row],['#_students at TLS_CFS]]=0),"No","Yes")</f>
        <v>No</v>
      </c>
      <c r="EB33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32" s="566">
        <f>WWWW[[#This Row],[%_of_affected_people_surveyed_who_report_feeling_satistfied_with_the_latrine_design_and_sanitation_service]]*WWWW[[#This Row],[Total PoP ]]</f>
        <v>0</v>
      </c>
      <c r="ED332" s="566">
        <f>WWWW[[#This Row],[%_of_affected_people_surveyed_who_report_feeling_satistfied_with_the_water_point_design_and_water_service]]*WWWW[[#This Row],[Total PoP ]]</f>
        <v>0</v>
      </c>
      <c r="EE332" s="566">
        <f>WWWW[[#This Row],[%_of_complaints_received_that_result_in_timely_corrective_action_and_feedback_to_the_community]]*WWWW[[#This Row],[Total PoP ]]</f>
        <v>0</v>
      </c>
      <c r="EF33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3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3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32" s="418">
        <f>VLOOKUP(WWWW[[#This Row],[Site Name]],SiteDB6[[Site Name]:[CCCM Management]],6,FALSE)</f>
        <v>0</v>
      </c>
      <c r="EJ332" s="418" t="str">
        <f>VLOOKUP(WWWW[[#This Row],[Site Name]],SiteDB6[[Site Name]:[CCCM Focal Agency]],7,FALSE)</f>
        <v>uncovered</v>
      </c>
      <c r="EK332" s="418" t="str">
        <f>VLOOKUP(WWWW[[#This Row],[Site Name]],SiteDB6[[Site Name]:[Location Type 1]],9,FALSE)</f>
        <v>Camp</v>
      </c>
      <c r="EL332" s="418" t="str">
        <f>VLOOKUP(WWWW[[#This Row],[Site Name]],SiteDB6[[Site Name]:[Type of Accommodation]],10,FALSE)</f>
        <v>Camp like setting</v>
      </c>
      <c r="EM332" s="418" t="str">
        <f>VLOOKUP(WWWW[[#This Row],[Site Name]],SiteDB6[[Site Name]:[Ethnic or GCA/NGCA]],11,FALSE)</f>
        <v>GCA</v>
      </c>
      <c r="EN332" s="418">
        <f>VLOOKUP(WWWW[[#This Row],[Site Name]],SiteDB6[[Site Name]:[Lat]],12,FALSE)</f>
        <v>25.305008999999998</v>
      </c>
      <c r="EO332" s="418">
        <f>VLOOKUP(WWWW[[#This Row],[Site Name]],SiteDB6[[Site Name]:[Long]],13,FALSE)</f>
        <v>97.430321000000006</v>
      </c>
      <c r="EP332" s="418" t="str">
        <f>VLOOKUP(WWWW[[#This Row],[Site Name]],SiteDB6[[Site Name]:[Pcode]],3,FALSE)</f>
        <v>MMR001CMP248</v>
      </c>
      <c r="EQ332" s="950" t="str">
        <f t="shared" si="7"/>
        <v>Covered</v>
      </c>
      <c r="ER332" s="950" t="s">
        <v>136</v>
      </c>
      <c r="ES332" s="950" t="s">
        <v>41</v>
      </c>
      <c r="ET332" s="418">
        <f>VLOOKUP(WWWW[[#This Row],[Site Name]],SiteDB6[[Site Name]:[Pop
(Kachin/Shan-CCCM as of May 2023)]],16,FALSE)</f>
        <v>65</v>
      </c>
      <c r="EU332" s="418">
        <f>VLOOKUP(WWWW[[#This Row],[Site Name]],SiteDB6[[Site Name]:[Pop
(Kachin/Shan-CCCM as of May 2023)]],17,FALSE)</f>
        <v>382</v>
      </c>
    </row>
    <row r="333" spans="1:151">
      <c r="A333" s="946" t="s">
        <v>2962</v>
      </c>
      <c r="B333" s="946" t="s">
        <v>242</v>
      </c>
      <c r="C333" s="938" t="s">
        <v>242</v>
      </c>
      <c r="D333" s="938" t="s">
        <v>3184</v>
      </c>
      <c r="E333" s="938" t="s">
        <v>37</v>
      </c>
      <c r="F333" s="938" t="s">
        <v>142</v>
      </c>
      <c r="G333" s="902" t="str">
        <f>VLOOKUP(WWWW[[#This Row],[Site Name]],SiteDB6[[Site Name]:[Location Type]],8,FALSE)</f>
        <v>Camp</v>
      </c>
      <c r="H333" s="938" t="s">
        <v>268</v>
      </c>
      <c r="I333" s="441">
        <v>59</v>
      </c>
      <c r="J333" s="441">
        <v>298</v>
      </c>
      <c r="K333" s="948">
        <v>44927</v>
      </c>
      <c r="L333" s="949">
        <v>45382</v>
      </c>
      <c r="M333" s="441"/>
      <c r="N333" s="441"/>
      <c r="O333" s="441">
        <v>1</v>
      </c>
      <c r="P333" s="441"/>
      <c r="Q333" s="421" t="s">
        <v>41</v>
      </c>
      <c r="R333" s="441">
        <v>3</v>
      </c>
      <c r="S333" s="441">
        <v>6</v>
      </c>
      <c r="T333" s="441">
        <v>1</v>
      </c>
      <c r="U333" s="441">
        <v>1</v>
      </c>
      <c r="V333" s="441"/>
      <c r="W333" s="441">
        <v>1</v>
      </c>
      <c r="X333" s="441"/>
      <c r="Y333" s="441">
        <v>1</v>
      </c>
      <c r="Z333" s="441">
        <v>1</v>
      </c>
      <c r="AA333" s="441"/>
      <c r="AB333" s="441"/>
      <c r="AC333" s="441"/>
      <c r="AD333" s="441"/>
      <c r="AE333" s="441"/>
      <c r="AF333" s="441"/>
      <c r="AG333" s="441">
        <v>2</v>
      </c>
      <c r="AH333" s="441"/>
      <c r="AI333" s="441"/>
      <c r="AJ333" s="441"/>
      <c r="AK333" s="441"/>
      <c r="AL333" s="441"/>
      <c r="AM333" s="441">
        <v>2</v>
      </c>
      <c r="AN333" s="441"/>
      <c r="AO333" s="441"/>
      <c r="AP333" s="950"/>
      <c r="AQ333" s="441">
        <v>26</v>
      </c>
      <c r="AR333" s="441">
        <v>2</v>
      </c>
      <c r="AS333" s="416" t="s">
        <v>2886</v>
      </c>
      <c r="AT333" s="441">
        <v>26</v>
      </c>
      <c r="AU333" s="441"/>
      <c r="AV333" s="441"/>
      <c r="AW333" s="441"/>
      <c r="AX333" s="441"/>
      <c r="AY333" s="418" t="s">
        <v>41</v>
      </c>
      <c r="AZ333" s="950" t="s">
        <v>137</v>
      </c>
      <c r="BA333" s="441"/>
      <c r="BB333" s="441"/>
      <c r="BC333" s="441"/>
      <c r="BD333" s="441"/>
      <c r="BE333" s="441"/>
      <c r="BF333" s="418"/>
      <c r="BG333" s="441">
        <v>2</v>
      </c>
      <c r="BH333" s="441"/>
      <c r="BI333" s="441"/>
      <c r="BJ333" s="441"/>
      <c r="BK333" s="441"/>
      <c r="BL333" s="441"/>
      <c r="BM333" s="441">
        <v>1</v>
      </c>
      <c r="BN333" s="441"/>
      <c r="BO333" s="441"/>
      <c r="BP333" s="418"/>
      <c r="BQ333" s="417">
        <v>1</v>
      </c>
      <c r="BR333" s="416">
        <v>0.5</v>
      </c>
      <c r="BS333" s="418"/>
      <c r="BT333" s="416">
        <v>1</v>
      </c>
      <c r="BU333" s="416">
        <v>0.9</v>
      </c>
      <c r="BV333" s="418"/>
      <c r="BW333" s="416">
        <v>1</v>
      </c>
      <c r="BX333" s="441"/>
      <c r="BY333" s="441"/>
      <c r="BZ333" s="441"/>
      <c r="CA333" s="441"/>
      <c r="CB333" s="441"/>
      <c r="CC333" s="693"/>
      <c r="CD333" s="441"/>
      <c r="CE333" s="615" t="str">
        <f>IFERROR(WWWW[[#This Row],['#_Water sources passed]]/WWWW[[#This Row],['#_Water sources tested for fecal coliform ]],"no test")</f>
        <v>no test</v>
      </c>
      <c r="CF333" s="416" t="str">
        <f>IFERROR(WWWW[[#This Row],['#_Household passed]]/WWWW[[#This Row],['#_Household water samples tested for fecal coliform]],"no test")</f>
        <v>no test</v>
      </c>
      <c r="CG333" s="417" t="str">
        <f>IF(AND(WWWW[[#This Row],[% of water sources passed]]="no test",WWWW[[#This Row],[% Household passed]]="no test"),"No Test","Tested")</f>
        <v>No Test</v>
      </c>
      <c r="CH333" s="417">
        <f>WWWW[[#This Row],['#_Constructed/existing protected hand dug well]]-WWWW[[#This Row],['#_Non-functional protected hand dug well]]</f>
        <v>0</v>
      </c>
      <c r="CI333" s="417">
        <f>(WWWW[[#This Row],['#_Constructed/Existing tube wells/boreholes/handpumps_WASH_agency]]+WWWW[[#This Row],['#_Non-Cluster partner water tube-wells/boreholes/handpumps]])-WWWW[[#This Row],['#_Non-functional tube wells/boreholes/handpumps]]</f>
        <v>0</v>
      </c>
      <c r="CJ333" s="417">
        <f>WWWW[[#This Row],['#_Constructed/Existingwater storage tank with gravity fed reticulation system]]-WWWW[[#This Row],['#_Non-functional storage tank gravity fed reticulation system]]</f>
        <v>0</v>
      </c>
      <c r="CK333" s="417">
        <f>(WWWW[[#This Row],['#_Water_Liters_supplied_by_Water boating or water trucking]]/90)/15</f>
        <v>0</v>
      </c>
      <c r="CL333" s="417">
        <f>WWWW[[#This Row],['#_Water_Liters_from_Constructed/Existing water distribution system from river or natural spring]]/90/15</f>
        <v>0</v>
      </c>
      <c r="CM333" s="417">
        <f>IF(WWWW[[#This Row],['#_of water points in TLS/CFS]]*500&gt;WWWW[[#This Row],[Total PoP ]],WWWW[[#This Row],[Total PoP ]],WWWW[[#This Row],['#_of water points in TLS/CFS]]*500)</f>
        <v>0</v>
      </c>
      <c r="CN333" s="417">
        <f>IF(WWWW[[#This Row],['#_of water points in THF]]*500&gt;WWWW[[#This Row],[Total PoP ]],WWWW[[#This Row],[Total PoP ]],WWWW[[#This Row],['#_of water points in THF]]*500)</f>
        <v>0</v>
      </c>
      <c r="CO333" s="417"/>
      <c r="CP333"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33"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33" s="416">
        <f>IF(WWWW[[#This Row],[Location Type 1]]="Village",WWWW[[#This Row],[Access to safe drinking water for Village]],WWWW[[#This Row],[Access to safe drinking water for Camp]])</f>
        <v>0</v>
      </c>
      <c r="CS333" s="421">
        <f>WWWW[[#This Row],[%Equitable and continuous access to sufficient quantity of safe drinking water]]*WWWW[[#This Row],[Total PoP ]]</f>
        <v>0</v>
      </c>
      <c r="CT333" s="416">
        <f>IF((WWWW[[#This Row],['#_Constructed/Existing protected/fenced ponds]]*250)/WWWW[[#This Row],[Total PoP ]]&gt;1,1,(WWWW[[#This Row],['#_Constructed/Existing protected/fenced ponds]]*250)/WWWW[[#This Row],[Total PoP ]])</f>
        <v>0</v>
      </c>
      <c r="CU333" s="421">
        <f>WWWW[[#This Row],[% Access to unimproved water points]]*WWWW[[#This Row],[Total PoP ]]</f>
        <v>0</v>
      </c>
      <c r="CV333"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33"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33" s="421">
        <f>WWWW[[#This Row],[HRP1]]/500</f>
        <v>0</v>
      </c>
      <c r="CY333" s="951">
        <f>1-WWWW[[#This Row],[% Equitable and continuous access to sufficient quantity of domestic water]]</f>
        <v>1</v>
      </c>
      <c r="CZ333" s="421">
        <f>WWWW[[#This Row],[%equitable and continuous access to sufficient quantity of safe drinking and domestic water''s GAP]]*WWWW[[#This Row],[Total PoP ]]</f>
        <v>298</v>
      </c>
      <c r="DA333" s="417">
        <f>IF(WWWW[[#This Row],[Total required water points]]-WWWW[[#This Row],['#Water points coverage]]&lt;0,0,WWWW[[#This Row],[Total required water points]]-WWWW[[#This Row],['#Water points coverage]])</f>
        <v>1</v>
      </c>
      <c r="DB333" s="417">
        <f>ROUND(IF(WWWW[[#This Row],[Total PoP ]]&lt;500,1,WWWW[[#This Row],[Total PoP ]]/500),0)</f>
        <v>1</v>
      </c>
      <c r="DC333" s="417">
        <f>(WWWW[[#This Row],['#_Constructed latrines_by_WASHAgencies]]+WWWW[[#This Row],['#_Non Cluster partner latrines]])-WWWW[[#This Row],['#_Non-functional latrines]]</f>
        <v>2</v>
      </c>
      <c r="DD333" s="615">
        <f>WWWW[[#This Row],[HRP2]]/WWWW[[#This Row],[Total PoP ]]</f>
        <v>0.13422818791946309</v>
      </c>
      <c r="DE333"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333"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33"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33" s="417">
        <f>IF(WWWW[[#This Row],['# of functional latrines in THF supported by WASH partners during the reporting period2]]="",0,WWWW[[#This Row],['# of functional latrines in THF supported by WASH partners during the reporting period2]]*50)</f>
        <v>0</v>
      </c>
      <c r="DI333" s="417">
        <f>ROUND(IF(WWWW[[#This Row],[Location Type 1]]="camp",WWWW[[#This Row],[Total PoP ]]/20,IF(WWWW[[#This Row],[Location Type 1]]="Temporary Location",WWWW[[#This Row],[Total PoP ]]/50,(WWWW[[#This Row],[Total PoP ]]/6))),0)</f>
        <v>15</v>
      </c>
      <c r="DJ333" s="417">
        <f>IF(WWWW[[#This Row],[Total required Latrines]]-(WWWW[[#This Row],['#_Constructed latrines_by_WASHAgencies]]+WWWW[[#This Row],['#_Non Cluster partner latrines]])&lt;0,0,WWWW[[#This Row],[Total required Latrines]]-(WWWW[[#This Row],['#_Constructed latrines_by_WASHAgencies]]+WWWW[[#This Row],['#_Non Cluster partner latrines]]))</f>
        <v>0</v>
      </c>
      <c r="DK333" s="951">
        <f>1-WWWW[[#This Row],[% people access to functioning Latrine]]</f>
        <v>0.86577181208053688</v>
      </c>
      <c r="DL333" s="615">
        <f>IF(OR(WWWW[[#This Row],['#_Non-functional latrines]]="",WWWW[[#This Row],['#_Non-functional latrines]]=0),0,WWWW[[#This Row],['#_Non-functional latrines]]/(WWWW[[#This Row],['#_Constructed latrines_by_WASHAgencies]]+WWWW[[#This Row],['#_Non Cluster partner latrines]]))</f>
        <v>0.9285714285714286</v>
      </c>
      <c r="DM333" s="421">
        <f>IF(500*(WWWW[[#This Row],['#_male hygiene promoters]]+WWWW[[#This Row],['#_female hygiene promoters]])&gt;WWWW[[#This Row],[Total PoP ]],WWWW[[#This Row],[Total PoP ]],500*(WWWW[[#This Row],['#_male hygiene promoters]]+WWWW[[#This Row],['#_female hygiene promoters]]))</f>
        <v>298</v>
      </c>
      <c r="DN333"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33"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33" s="417">
        <f>IF(WWWW[[#This Row],['# People with access to soap]]&gt;WWWW[[#This Row],['# People with access to Sanity Pads]],WWWW[[#This Row],['# People with access to soap]],WWWW[[#This Row],['# People with access to Sanity Pads]])</f>
        <v>0</v>
      </c>
      <c r="DQ333" s="417">
        <f>IF(WWWW[[#This Row],['# people reached by regular dedicated hygiene promotion_5]]&gt;WWWW[[#This Row],['# People received regular supply of hygiene items_6]],WWWW[[#This Row],['# people reached by regular dedicated hygiene promotion_5]],WWWW[[#This Row],['# People received regular supply of hygiene items_6]])</f>
        <v>298</v>
      </c>
      <c r="DR333" s="951">
        <f>IF(WWWW[[#This Row],[HRP3]]/WWWW[[#This Row],[Total PoP ]]&gt;1,1,WWWW[[#This Row],[HRP3]]/WWWW[[#This Row],[Total PoP ]])</f>
        <v>1</v>
      </c>
      <c r="DS333" s="615">
        <f>1-WWWW[[#This Row],[Hygiene Coverage%]]</f>
        <v>0</v>
      </c>
      <c r="DT333" s="416">
        <f>WWWW[[#This Row],['# people reached by regular dedicated hygiene promotion_5]]/WWWW[[#This Row],[Total PoP ]]</f>
        <v>1</v>
      </c>
      <c r="DU333"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33"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33" s="417">
        <f>WWWW[[#This Row],['#_Constructed/Existing hand washing stations]]-WWWW[[#This Row],['#_Non-Functional_hand_washing_stations]]</f>
        <v>2</v>
      </c>
      <c r="DX333" s="421">
        <f>IF(WWWW[[#This Row],['# Functional hand washing stations during reporting period]]*20&gt;WWWW[[#This Row],[Total HH]],WWWW[[#This Row],[Total HH]],WWWW[[#This Row],['# Functional hand washing stations during reporting period]]*20)</f>
        <v>40</v>
      </c>
      <c r="DY333" s="421">
        <f>IF(WWWW[[#This Row],[Is sufficient soap available for TLS? (Yes/No)]]="yes",WWWW[[#This Row],['#_Constructed/Existing hand washing stations at TLS/CFS/THF]],0)</f>
        <v>0</v>
      </c>
      <c r="DZ333" s="421">
        <f>IF(WWWW[[#This Row],['# Functional hand washing stations during reporting period]]*100&gt;WWWW[[#This Row],[Total PoP ]],WWWW[[#This Row],[Total PoP ]],WWWW[[#This Row],['# Functional hand washing stations during reporting period]]*100)</f>
        <v>200</v>
      </c>
      <c r="EA333" s="421" t="str">
        <f>IF(OR(WWWW[[#This Row],['#_students at TLS_CFS]]="",WWWW[[#This Row],['#_students at TLS_CFS]]=0),"No","Yes")</f>
        <v>No</v>
      </c>
      <c r="EB33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33" s="566">
        <f>WWWW[[#This Row],[%_of_affected_people_surveyed_who_report_feeling_satistfied_with_the_latrine_design_and_sanitation_service]]*WWWW[[#This Row],[Total PoP ]]</f>
        <v>298</v>
      </c>
      <c r="ED333" s="566">
        <f>WWWW[[#This Row],[%_of_affected_people_surveyed_who_report_feeling_satistfied_with_the_water_point_design_and_water_service]]*WWWW[[#This Row],[Total PoP ]]</f>
        <v>268.2</v>
      </c>
      <c r="EE333" s="566">
        <f>WWWW[[#This Row],[%_of_complaints_received_that_result_in_timely_corrective_action_and_feedback_to_the_community]]*WWWW[[#This Row],[Total PoP ]]</f>
        <v>298</v>
      </c>
      <c r="EF33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298</v>
      </c>
      <c r="EG33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3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33" s="418" t="str">
        <f>VLOOKUP(WWWW[[#This Row],[Site Name]],SiteDB6[[Site Name]:[CCCM Management]],6,FALSE)</f>
        <v>Yes</v>
      </c>
      <c r="EJ333" s="418" t="str">
        <f>VLOOKUP(WWWW[[#This Row],[Site Name]],SiteDB6[[Site Name]:[CCCM Focal Agency]],7,FALSE)</f>
        <v>Shalom</v>
      </c>
      <c r="EK333" s="418" t="str">
        <f>VLOOKUP(WWWW[[#This Row],[Site Name]],SiteDB6[[Site Name]:[Location Type 1]],9,FALSE)</f>
        <v>Camp</v>
      </c>
      <c r="EL333" s="418" t="str">
        <f>VLOOKUP(WWWW[[#This Row],[Site Name]],SiteDB6[[Site Name]:[Type of Accommodation]],10,FALSE)</f>
        <v>Camp</v>
      </c>
      <c r="EM333" s="418" t="str">
        <f>VLOOKUP(WWWW[[#This Row],[Site Name]],SiteDB6[[Site Name]:[Ethnic or GCA/NGCA]],11,FALSE)</f>
        <v>GCA</v>
      </c>
      <c r="EN333" s="418">
        <f>VLOOKUP(WWWW[[#This Row],[Site Name]],SiteDB6[[Site Name]:[Lat]],12,FALSE)</f>
        <v>25.321710740740698</v>
      </c>
      <c r="EO333" s="418">
        <f>VLOOKUP(WWWW[[#This Row],[Site Name]],SiteDB6[[Site Name]:[Long]],13,FALSE)</f>
        <v>97.404195925926004</v>
      </c>
      <c r="EP333" s="418" t="str">
        <f>VLOOKUP(WWWW[[#This Row],[Site Name]],SiteDB6[[Site Name]:[Pcode]],3,FALSE)</f>
        <v>MMR001CMP028</v>
      </c>
      <c r="EQ333" s="950" t="str">
        <f t="shared" si="7"/>
        <v>Covered</v>
      </c>
      <c r="ER333" s="950" t="s">
        <v>136</v>
      </c>
      <c r="ES333" s="950" t="s">
        <v>3265</v>
      </c>
      <c r="ET333" s="418">
        <f>VLOOKUP(WWWW[[#This Row],[Site Name]],SiteDB6[[Site Name]:[Pop
(Kachin/Shan-CCCM as of May 2023)]],16,FALSE)</f>
        <v>59</v>
      </c>
      <c r="EU333" s="418">
        <f>VLOOKUP(WWWW[[#This Row],[Site Name]],SiteDB6[[Site Name]:[Pop
(Kachin/Shan-CCCM as of May 2023)]],17,FALSE)</f>
        <v>292</v>
      </c>
    </row>
    <row r="334" spans="1:151">
      <c r="A334" s="946" t="s">
        <v>2962</v>
      </c>
      <c r="B334" s="938" t="s">
        <v>3347</v>
      </c>
      <c r="C334" s="938" t="s">
        <v>3362</v>
      </c>
      <c r="D334" s="1005" t="s">
        <v>3093</v>
      </c>
      <c r="E334" s="1005" t="s">
        <v>37</v>
      </c>
      <c r="F334" s="1005" t="s">
        <v>142</v>
      </c>
      <c r="G334" s="902" t="str">
        <f>VLOOKUP(WWWW[[#This Row],[Site Name]],SiteDB6[[Site Name]:[Location Type]],8,FALSE)</f>
        <v>Camp</v>
      </c>
      <c r="H334" s="1005" t="s">
        <v>175</v>
      </c>
      <c r="I334" s="954">
        <v>138</v>
      </c>
      <c r="J334" s="954">
        <v>896</v>
      </c>
      <c r="K334" s="955">
        <v>44811</v>
      </c>
      <c r="L334" s="956">
        <v>45175</v>
      </c>
      <c r="M334" s="954"/>
      <c r="N334" s="954">
        <v>2</v>
      </c>
      <c r="O334" s="954"/>
      <c r="P334" s="954"/>
      <c r="Q334" s="957" t="s">
        <v>41</v>
      </c>
      <c r="R334" s="954">
        <v>2</v>
      </c>
      <c r="S334" s="954">
        <v>3</v>
      </c>
      <c r="T334" s="973"/>
      <c r="U334" s="954"/>
      <c r="V334" s="954"/>
      <c r="W334" s="954"/>
      <c r="X334" s="954"/>
      <c r="Y334" s="954"/>
      <c r="Z334" s="954"/>
      <c r="AA334" s="954">
        <v>1</v>
      </c>
      <c r="AB334" s="954"/>
      <c r="AC334" s="954"/>
      <c r="AD334" s="954"/>
      <c r="AE334" s="954"/>
      <c r="AF334" s="954"/>
      <c r="AG334" s="954"/>
      <c r="AH334" s="954"/>
      <c r="AI334" s="954"/>
      <c r="AJ334" s="954"/>
      <c r="AK334" s="954"/>
      <c r="AL334" s="954"/>
      <c r="AM334" s="954"/>
      <c r="AN334" s="954"/>
      <c r="AO334" s="441"/>
      <c r="AP334" s="958"/>
      <c r="AQ334" s="973">
        <v>86</v>
      </c>
      <c r="AR334" s="954"/>
      <c r="AS334" s="959"/>
      <c r="AT334" s="954"/>
      <c r="AU334" s="954"/>
      <c r="AV334" s="954"/>
      <c r="AW334" s="954"/>
      <c r="AX334" s="954">
        <v>86</v>
      </c>
      <c r="AY334" s="953" t="s">
        <v>41</v>
      </c>
      <c r="AZ334" s="958" t="s">
        <v>137</v>
      </c>
      <c r="BA334" s="954"/>
      <c r="BB334" s="954"/>
      <c r="BC334" s="954"/>
      <c r="BD334" s="441"/>
      <c r="BE334" s="441"/>
      <c r="BF334" s="953"/>
      <c r="BG334" s="954">
        <v>8</v>
      </c>
      <c r="BH334" s="954"/>
      <c r="BI334" s="954"/>
      <c r="BJ334" s="954">
        <v>2</v>
      </c>
      <c r="BK334" s="954"/>
      <c r="BL334" s="954">
        <v>1</v>
      </c>
      <c r="BM334" s="954">
        <v>1</v>
      </c>
      <c r="BN334" s="954"/>
      <c r="BO334" s="954"/>
      <c r="BP334" s="953"/>
      <c r="BQ334" s="960"/>
      <c r="BR334" s="959"/>
      <c r="BS334" s="953"/>
      <c r="BT334" s="416"/>
      <c r="BU334" s="416"/>
      <c r="BV334" s="418"/>
      <c r="BW334" s="416"/>
      <c r="BX334" s="441"/>
      <c r="BY334" s="441"/>
      <c r="BZ334" s="441"/>
      <c r="CA334" s="441"/>
      <c r="CB334" s="441"/>
      <c r="CC334" s="693"/>
      <c r="CD334" s="441"/>
      <c r="CE334" s="961" t="str">
        <f>IFERROR(WWWW[[#This Row],['#_Water sources passed]]/WWWW[[#This Row],['#_Water sources tested for fecal coliform ]],"no test")</f>
        <v>no test</v>
      </c>
      <c r="CF334" s="959" t="str">
        <f>IFERROR(WWWW[[#This Row],['#_Household passed]]/WWWW[[#This Row],['#_Household water samples tested for fecal coliform]],"no test")</f>
        <v>no test</v>
      </c>
      <c r="CG334" s="960" t="str">
        <f>IF(AND(WWWW[[#This Row],[% of water sources passed]]="no test",WWWW[[#This Row],[% Household passed]]="no test"),"No Test","Tested")</f>
        <v>No Test</v>
      </c>
      <c r="CH334" s="960">
        <f>WWWW[[#This Row],['#_Constructed/existing protected hand dug well]]-WWWW[[#This Row],['#_Non-functional protected hand dug well]]</f>
        <v>0</v>
      </c>
      <c r="CI334" s="960">
        <f>(WWWW[[#This Row],['#_Constructed/Existing tube wells/boreholes/handpumps_WASH_agency]]+WWWW[[#This Row],['#_Non-Cluster partner water tube-wells/boreholes/handpumps]])-WWWW[[#This Row],['#_Non-functional tube wells/boreholes/handpumps]]</f>
        <v>0</v>
      </c>
      <c r="CJ334" s="960">
        <f>WWWW[[#This Row],['#_Constructed/Existingwater storage tank with gravity fed reticulation system]]-WWWW[[#This Row],['#_Non-functional storage tank gravity fed reticulation system]]</f>
        <v>1</v>
      </c>
      <c r="CK334" s="960">
        <f>(WWWW[[#This Row],['#_Water_Liters_supplied_by_Water boating or water trucking]]/90)/15</f>
        <v>0</v>
      </c>
      <c r="CL334" s="960">
        <f>WWWW[[#This Row],['#_Water_Liters_from_Constructed/Existing water distribution system from river or natural spring]]/90/15</f>
        <v>0</v>
      </c>
      <c r="CM334" s="417">
        <f>IF(WWWW[[#This Row],['#_of water points in TLS/CFS]]*500&gt;WWWW[[#This Row],[Total PoP ]],WWWW[[#This Row],[Total PoP ]],WWWW[[#This Row],['#_of water points in TLS/CFS]]*500)</f>
        <v>0</v>
      </c>
      <c r="CN334" s="417">
        <f>IF(WWWW[[#This Row],['#_of water points in THF]]*500&gt;WWWW[[#This Row],[Total PoP ]],WWWW[[#This Row],[Total PoP ]],WWWW[[#This Row],['#_of water points in THF]]*500)</f>
        <v>0</v>
      </c>
      <c r="CO334" s="417"/>
      <c r="CP334"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7.4404761904761904E-2</v>
      </c>
      <c r="CQ334"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7.4404761904761904E-2</v>
      </c>
      <c r="CR334" s="959">
        <f>IF(WWWW[[#This Row],[Location Type 1]]="Village",WWWW[[#This Row],[Access to safe drinking water for Village]],WWWW[[#This Row],[Access to safe drinking water for Camp]])</f>
        <v>7.4404761904761904E-2</v>
      </c>
      <c r="CS334" s="957">
        <f>WWWW[[#This Row],[%Equitable and continuous access to sufficient quantity of safe drinking water]]*WWWW[[#This Row],[Total PoP ]]</f>
        <v>66.666666666666671</v>
      </c>
      <c r="CT334" s="959">
        <f>IF((WWWW[[#This Row],['#_Constructed/Existing protected/fenced ponds]]*250)/WWWW[[#This Row],[Total PoP ]]&gt;1,1,(WWWW[[#This Row],['#_Constructed/Existing protected/fenced ponds]]*250)/WWWW[[#This Row],[Total PoP ]])</f>
        <v>0</v>
      </c>
      <c r="CU334" s="957">
        <f>WWWW[[#This Row],[% Access to unimproved water points]]*WWWW[[#This Row],[Total PoP ]]</f>
        <v>0</v>
      </c>
      <c r="CV334"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7.4404761904761904E-2</v>
      </c>
      <c r="CW334"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X334" s="957">
        <f>WWWW[[#This Row],[HRP1]]/500</f>
        <v>0.13333333333333333</v>
      </c>
      <c r="CY334" s="962">
        <f>1-WWWW[[#This Row],[% Equitable and continuous access to sufficient quantity of domestic water]]</f>
        <v>0.92559523809523814</v>
      </c>
      <c r="CZ334" s="957">
        <f>WWWW[[#This Row],[%equitable and continuous access to sufficient quantity of safe drinking and domestic water''s GAP]]*WWWW[[#This Row],[Total PoP ]]</f>
        <v>829.33333333333337</v>
      </c>
      <c r="DA334" s="960">
        <f>IF(WWWW[[#This Row],[Total required water points]]-WWWW[[#This Row],['#Water points coverage]]&lt;0,0,WWWW[[#This Row],[Total required water points]]-WWWW[[#This Row],['#Water points coverage]])</f>
        <v>1.8666666666666667</v>
      </c>
      <c r="DB334" s="960">
        <f>ROUND(IF(WWWW[[#This Row],[Total PoP ]]&lt;500,1,WWWW[[#This Row],[Total PoP ]]/500),0)</f>
        <v>2</v>
      </c>
      <c r="DC334" s="960">
        <f>(WWWW[[#This Row],['#_Constructed latrines_by_WASHAgencies]]+WWWW[[#This Row],['#_Non Cluster partner latrines]])-WWWW[[#This Row],['#_Non-functional latrines]]</f>
        <v>86</v>
      </c>
      <c r="DD334" s="615">
        <f>WWWW[[#This Row],[HRP2]]/WWWW[[#This Row],[Total PoP ]]</f>
        <v>1</v>
      </c>
      <c r="DE334"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896</v>
      </c>
      <c r="DF334"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34"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34" s="417">
        <f>IF(WWWW[[#This Row],['# of functional latrines in THF supported by WASH partners during the reporting period2]]="",0,WWWW[[#This Row],['# of functional latrines in THF supported by WASH partners during the reporting period2]]*50)</f>
        <v>0</v>
      </c>
      <c r="DI334" s="960">
        <f>ROUND(IF(WWWW[[#This Row],[Location Type 1]]="camp",WWWW[[#This Row],[Total PoP ]]/20,IF(WWWW[[#This Row],[Location Type 1]]="Temporary Location",WWWW[[#This Row],[Total PoP ]]/50,(WWWW[[#This Row],[Total PoP ]]/6))),0)</f>
        <v>45</v>
      </c>
      <c r="DJ334" s="960">
        <f>IF(WWWW[[#This Row],[Total required Latrines]]-(WWWW[[#This Row],['#_Constructed latrines_by_WASHAgencies]]+WWWW[[#This Row],['#_Non Cluster partner latrines]])&lt;0,0,WWWW[[#This Row],[Total required Latrines]]-(WWWW[[#This Row],['#_Constructed latrines_by_WASHAgencies]]+WWWW[[#This Row],['#_Non Cluster partner latrines]]))</f>
        <v>0</v>
      </c>
      <c r="DK334" s="962">
        <f>1-WWWW[[#This Row],[% people access to functioning Latrine]]</f>
        <v>0</v>
      </c>
      <c r="DL334" s="961">
        <f>IF(OR(WWWW[[#This Row],['#_Non-functional latrines]]="",WWWW[[#This Row],['#_Non-functional latrines]]=0),0,WWWW[[#This Row],['#_Non-functional latrines]]/(WWWW[[#This Row],['#_Constructed latrines_by_WASHAgencies]]+WWWW[[#This Row],['#_Non Cluster partner latrines]]))</f>
        <v>0</v>
      </c>
      <c r="DM334" s="957">
        <f>IF(500*(WWWW[[#This Row],['#_male hygiene promoters]]+WWWW[[#This Row],['#_female hygiene promoters]])&gt;WWWW[[#This Row],[Total PoP ]],WWWW[[#This Row],[Total PoP ]],500*(WWWW[[#This Row],['#_male hygiene promoters]]+WWWW[[#This Row],['#_female hygiene promoters]]))</f>
        <v>896</v>
      </c>
      <c r="DN334"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34"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34" s="960">
        <f>IF(WWWW[[#This Row],['# People with access to soap]]&gt;WWWW[[#This Row],['# People with access to Sanity Pads]],WWWW[[#This Row],['# People with access to soap]],WWWW[[#This Row],['# People with access to Sanity Pads]])</f>
        <v>0</v>
      </c>
      <c r="DQ334" s="960">
        <f>IF(WWWW[[#This Row],['# people reached by regular dedicated hygiene promotion_5]]&gt;WWWW[[#This Row],['# People received regular supply of hygiene items_6]],WWWW[[#This Row],['# people reached by regular dedicated hygiene promotion_5]],WWWW[[#This Row],['# People received regular supply of hygiene items_6]])</f>
        <v>896</v>
      </c>
      <c r="DR334" s="962">
        <f>IF(WWWW[[#This Row],[HRP3]]/WWWW[[#This Row],[Total PoP ]]&gt;1,1,WWWW[[#This Row],[HRP3]]/WWWW[[#This Row],[Total PoP ]])</f>
        <v>1</v>
      </c>
      <c r="DS334" s="961">
        <f>1-WWWW[[#This Row],[Hygiene Coverage%]]</f>
        <v>0</v>
      </c>
      <c r="DT334" s="959">
        <f>WWWW[[#This Row],['# people reached by regular dedicated hygiene promotion_5]]/WWWW[[#This Row],[Total PoP ]]</f>
        <v>1</v>
      </c>
      <c r="DU334"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34"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34" s="960">
        <f>WWWW[[#This Row],['#_Constructed/Existing hand washing stations]]-WWWW[[#This Row],['#_Non-Functional_hand_washing_stations]]</f>
        <v>8</v>
      </c>
      <c r="DX334" s="957">
        <f>IF(WWWW[[#This Row],['# Functional hand washing stations during reporting period]]*20&gt;WWWW[[#This Row],[Total HH]],WWWW[[#This Row],[Total HH]],WWWW[[#This Row],['# Functional hand washing stations during reporting period]]*20)</f>
        <v>138</v>
      </c>
      <c r="DY334" s="957">
        <f>IF(WWWW[[#This Row],[Is sufficient soap available for TLS? (Yes/No)]]="yes",WWWW[[#This Row],['#_Constructed/Existing hand washing stations at TLS/CFS/THF]],0)</f>
        <v>0</v>
      </c>
      <c r="DZ334" s="421">
        <f>IF(WWWW[[#This Row],['# Functional hand washing stations during reporting period]]*100&gt;WWWW[[#This Row],[Total PoP ]],WWWW[[#This Row],[Total PoP ]],WWWW[[#This Row],['# Functional hand washing stations during reporting period]]*100)</f>
        <v>800</v>
      </c>
      <c r="EA334" s="421" t="str">
        <f>IF(OR(WWWW[[#This Row],['#_students at TLS_CFS]]="",WWWW[[#This Row],['#_students at TLS_CFS]]=0),"No","Yes")</f>
        <v>No</v>
      </c>
      <c r="EB33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34" s="566">
        <f>WWWW[[#This Row],[%_of_affected_people_surveyed_who_report_feeling_satistfied_with_the_latrine_design_and_sanitation_service]]*WWWW[[#This Row],[Total PoP ]]</f>
        <v>0</v>
      </c>
      <c r="ED334" s="566">
        <f>WWWW[[#This Row],[%_of_affected_people_surveyed_who_report_feeling_satistfied_with_the_water_point_design_and_water_service]]*WWWW[[#This Row],[Total PoP ]]</f>
        <v>0</v>
      </c>
      <c r="EE334" s="566">
        <f>WWWW[[#This Row],[%_of_complaints_received_that_result_in_timely_corrective_action_and_feedback_to_the_community]]*WWWW[[#This Row],[Total PoP ]]</f>
        <v>0</v>
      </c>
      <c r="EF33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3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3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34" s="953" t="str">
        <f>VLOOKUP(WWWW[[#This Row],[Site Name]],SiteDB6[[Site Name]:[CCCM Management]],6,FALSE)</f>
        <v>Yes</v>
      </c>
      <c r="EJ334" s="953" t="str">
        <f>VLOOKUP(WWWW[[#This Row],[Site Name]],SiteDB6[[Site Name]:[CCCM Focal Agency]],7,FALSE)</f>
        <v>KBC-MYT</v>
      </c>
      <c r="EK334" s="953" t="str">
        <f>VLOOKUP(WWWW[[#This Row],[Site Name]],SiteDB6[[Site Name]:[Location Type 1]],9,FALSE)</f>
        <v>Camp</v>
      </c>
      <c r="EL334" s="953" t="str">
        <f>VLOOKUP(WWWW[[#This Row],[Site Name]],SiteDB6[[Site Name]:[Type of Accommodation]],10,FALSE)</f>
        <v>Camp</v>
      </c>
      <c r="EM334" s="953" t="str">
        <f>VLOOKUP(WWWW[[#This Row],[Site Name]],SiteDB6[[Site Name]:[Ethnic or GCA/NGCA]],11,FALSE)</f>
        <v>NGCA</v>
      </c>
      <c r="EN334" s="953">
        <f>VLOOKUP(WWWW[[#This Row],[Site Name]],SiteDB6[[Site Name]:[Lat]],12,FALSE)</f>
        <v>25.200333000000001</v>
      </c>
      <c r="EO334" s="953">
        <f>VLOOKUP(WWWW[[#This Row],[Site Name]],SiteDB6[[Site Name]:[Long]],13,FALSE)</f>
        <v>97.807182999999995</v>
      </c>
      <c r="EP334" s="953" t="str">
        <f>VLOOKUP(WWWW[[#This Row],[Site Name]],SiteDB6[[Site Name]:[Pcode]],3,FALSE)</f>
        <v>MMR001CMP115</v>
      </c>
      <c r="EQ334" s="958" t="str">
        <f t="shared" si="7"/>
        <v>Covered</v>
      </c>
      <c r="ER334" s="950" t="s">
        <v>3126</v>
      </c>
      <c r="ES334" s="950" t="s">
        <v>3267</v>
      </c>
      <c r="ET334" s="953">
        <f>VLOOKUP(WWWW[[#This Row],[Site Name]],SiteDB6[[Site Name]:[Pop
(Kachin/Shan-CCCM as of May 2023)]],16,FALSE)</f>
        <v>138</v>
      </c>
      <c r="EU334" s="953">
        <f>VLOOKUP(WWWW[[#This Row],[Site Name]],SiteDB6[[Site Name]:[Pop
(Kachin/Shan-CCCM as of May 2023)]],17,FALSE)</f>
        <v>896</v>
      </c>
    </row>
    <row r="335" spans="1:151">
      <c r="A335" s="1004" t="s">
        <v>2962</v>
      </c>
      <c r="B335" s="1004" t="s">
        <v>192</v>
      </c>
      <c r="C335" s="1005" t="s">
        <v>192</v>
      </c>
      <c r="D335" s="1005" t="s">
        <v>3343</v>
      </c>
      <c r="E335" s="1005" t="s">
        <v>37</v>
      </c>
      <c r="F335" s="1005" t="s">
        <v>142</v>
      </c>
      <c r="G335" s="902" t="str">
        <f>VLOOKUP(WWWW[[#This Row],[Site Name]],SiteDB6[[Site Name]:[Location Type]],8,FALSE)</f>
        <v>Camp</v>
      </c>
      <c r="H335" s="1005" t="s">
        <v>224</v>
      </c>
      <c r="I335" s="954">
        <v>426.2</v>
      </c>
      <c r="J335" s="954">
        <v>2322</v>
      </c>
      <c r="K335" s="955" t="s">
        <v>3344</v>
      </c>
      <c r="L335" s="956" t="s">
        <v>3335</v>
      </c>
      <c r="M335" s="954"/>
      <c r="N335" s="954"/>
      <c r="O335" s="954"/>
      <c r="P335" s="954"/>
      <c r="Q335" s="957" t="s">
        <v>41</v>
      </c>
      <c r="R335" s="954">
        <v>3</v>
      </c>
      <c r="S335" s="954">
        <v>6</v>
      </c>
      <c r="T335" s="441"/>
      <c r="U335" s="954"/>
      <c r="V335" s="954"/>
      <c r="W335" s="954"/>
      <c r="X335" s="954"/>
      <c r="Y335" s="954"/>
      <c r="Z335" s="954"/>
      <c r="AA335" s="954">
        <v>8</v>
      </c>
      <c r="AB335" s="954"/>
      <c r="AC335" s="954"/>
      <c r="AD335" s="954"/>
      <c r="AE335" s="954"/>
      <c r="AF335" s="954"/>
      <c r="AG335" s="954"/>
      <c r="AH335" s="954"/>
      <c r="AI335" s="954"/>
      <c r="AJ335" s="954"/>
      <c r="AK335" s="954"/>
      <c r="AL335" s="954"/>
      <c r="AM335" s="954">
        <v>14</v>
      </c>
      <c r="AN335" s="954">
        <v>5</v>
      </c>
      <c r="AO335" s="441"/>
      <c r="AP335" s="958"/>
      <c r="AQ335" s="954">
        <v>110</v>
      </c>
      <c r="AR335" s="954"/>
      <c r="AS335" s="959"/>
      <c r="AT335" s="954"/>
      <c r="AU335" s="971">
        <v>38</v>
      </c>
      <c r="AV335" s="954"/>
      <c r="AW335" s="954"/>
      <c r="AX335" s="954"/>
      <c r="AY335" s="953" t="s">
        <v>41</v>
      </c>
      <c r="AZ335" s="958" t="s">
        <v>137</v>
      </c>
      <c r="BA335" s="971"/>
      <c r="BB335" s="954"/>
      <c r="BC335" s="954"/>
      <c r="BD335" s="441"/>
      <c r="BE335" s="441"/>
      <c r="BF335" s="953"/>
      <c r="BG335" s="954">
        <v>10</v>
      </c>
      <c r="BH335" s="954"/>
      <c r="BI335" s="954"/>
      <c r="BJ335" s="954">
        <v>8</v>
      </c>
      <c r="BK335" s="954"/>
      <c r="BL335" s="954"/>
      <c r="BM335" s="954"/>
      <c r="BN335" s="954"/>
      <c r="BO335" s="954"/>
      <c r="BP335" s="953"/>
      <c r="BQ335" s="960"/>
      <c r="BR335" s="959"/>
      <c r="BS335" s="953"/>
      <c r="BT335" s="416"/>
      <c r="BU335" s="416"/>
      <c r="BV335" s="418"/>
      <c r="BW335" s="416"/>
      <c r="BX335" s="441"/>
      <c r="BY335" s="441"/>
      <c r="BZ335" s="441"/>
      <c r="CA335" s="441"/>
      <c r="CB335" s="441"/>
      <c r="CC335" s="693"/>
      <c r="CD335" s="441"/>
      <c r="CE335" s="961" t="str">
        <f>IFERROR(WWWW[[#This Row],['#_Water sources passed]]/WWWW[[#This Row],['#_Water sources tested for fecal coliform ]],"no test")</f>
        <v>no test</v>
      </c>
      <c r="CF335" s="959" t="str">
        <f>IFERROR(WWWW[[#This Row],['#_Household passed]]/WWWW[[#This Row],['#_Household water samples tested for fecal coliform]],"no test")</f>
        <v>no test</v>
      </c>
      <c r="CG335" s="960" t="str">
        <f>IF(AND(WWWW[[#This Row],[% of water sources passed]]="no test",WWWW[[#This Row],[% Household passed]]="no test"),"No Test","Tested")</f>
        <v>No Test</v>
      </c>
      <c r="CH335" s="960">
        <f>WWWW[[#This Row],['#_Constructed/existing protected hand dug well]]-WWWW[[#This Row],['#_Non-functional protected hand dug well]]</f>
        <v>0</v>
      </c>
      <c r="CI335" s="960">
        <f>(WWWW[[#This Row],['#_Constructed/Existing tube wells/boreholes/handpumps_WASH_agency]]+WWWW[[#This Row],['#_Non-Cluster partner water tube-wells/boreholes/handpumps]])-WWWW[[#This Row],['#_Non-functional tube wells/boreholes/handpumps]]</f>
        <v>0</v>
      </c>
      <c r="CJ335" s="960">
        <f>WWWW[[#This Row],['#_Constructed/Existingwater storage tank with gravity fed reticulation system]]-WWWW[[#This Row],['#_Non-functional storage tank gravity fed reticulation system]]</f>
        <v>8</v>
      </c>
      <c r="CK335" s="960">
        <f>(WWWW[[#This Row],['#_Water_Liters_supplied_by_Water boating or water trucking]]/90)/15</f>
        <v>0</v>
      </c>
      <c r="CL335" s="960">
        <f>WWWW[[#This Row],['#_Water_Liters_from_Constructed/Existing water distribution system from river or natural spring]]/90/15</f>
        <v>0</v>
      </c>
      <c r="CM335" s="417">
        <f>IF(WWWW[[#This Row],['#_of water points in TLS/CFS]]*500&gt;WWWW[[#This Row],[Total PoP ]],WWWW[[#This Row],[Total PoP ]],WWWW[[#This Row],['#_of water points in TLS/CFS]]*500)</f>
        <v>2322</v>
      </c>
      <c r="CN335" s="417">
        <f>IF(WWWW[[#This Row],['#_of water points in THF]]*500&gt;WWWW[[#This Row],[Total PoP ]],WWWW[[#This Row],[Total PoP ]],WWWW[[#This Row],['#_of water points in THF]]*500)</f>
        <v>0</v>
      </c>
      <c r="CO335" s="417"/>
      <c r="CP335"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0.22968705139247778</v>
      </c>
      <c r="CQ335"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0.22968705139247778</v>
      </c>
      <c r="CR335" s="959">
        <f>IF(WWWW[[#This Row],[Location Type 1]]="Village",WWWW[[#This Row],[Access to safe drinking water for Village]],WWWW[[#This Row],[Access to safe drinking water for Camp]])</f>
        <v>0.22968705139247778</v>
      </c>
      <c r="CS335" s="957">
        <f>WWWW[[#This Row],[%Equitable and continuous access to sufficient quantity of safe drinking water]]*WWWW[[#This Row],[Total PoP ]]</f>
        <v>533.33333333333337</v>
      </c>
      <c r="CT335" s="959">
        <f>IF((WWWW[[#This Row],['#_Constructed/Existing protected/fenced ponds]]*250)/WWWW[[#This Row],[Total PoP ]]&gt;1,1,(WWWW[[#This Row],['#_Constructed/Existing protected/fenced ponds]]*250)/WWWW[[#This Row],[Total PoP ]])</f>
        <v>0</v>
      </c>
      <c r="CU335" s="957">
        <f>WWWW[[#This Row],[% Access to unimproved water points]]*WWWW[[#This Row],[Total PoP ]]</f>
        <v>0</v>
      </c>
      <c r="CV335"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0.22968705139247778</v>
      </c>
      <c r="CW335"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533.33333333333337</v>
      </c>
      <c r="CX335" s="957">
        <f>WWWW[[#This Row],[HRP1]]/500</f>
        <v>1.0666666666666667</v>
      </c>
      <c r="CY335" s="962">
        <f>1-WWWW[[#This Row],[% Equitable and continuous access to sufficient quantity of domestic water]]</f>
        <v>0.7703129486075222</v>
      </c>
      <c r="CZ335" s="957">
        <f>WWWW[[#This Row],[%equitable and continuous access to sufficient quantity of safe drinking and domestic water''s GAP]]*WWWW[[#This Row],[Total PoP ]]</f>
        <v>1788.6666666666665</v>
      </c>
      <c r="DA335" s="960">
        <f>IF(WWWW[[#This Row],[Total required water points]]-WWWW[[#This Row],['#Water points coverage]]&lt;0,0,WWWW[[#This Row],[Total required water points]]-WWWW[[#This Row],['#Water points coverage]])</f>
        <v>3.9333333333333336</v>
      </c>
      <c r="DB335" s="960">
        <f>ROUND(IF(WWWW[[#This Row],[Total PoP ]]&lt;500,1,WWWW[[#This Row],[Total PoP ]]/500),0)</f>
        <v>5</v>
      </c>
      <c r="DC335" s="960">
        <f>(WWWW[[#This Row],['#_Constructed latrines_by_WASHAgencies]]+WWWW[[#This Row],['#_Non Cluster partner latrines]])-WWWW[[#This Row],['#_Non-functional latrines]]</f>
        <v>110</v>
      </c>
      <c r="DD335" s="615">
        <f>WWWW[[#This Row],[HRP2]]/WWWW[[#This Row],[Total PoP ]]</f>
        <v>0.94745908699397074</v>
      </c>
      <c r="DE335"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2200</v>
      </c>
      <c r="DF335"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35"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35" s="417">
        <f>IF(WWWW[[#This Row],['# of functional latrines in THF supported by WASH partners during the reporting period2]]="",0,WWWW[[#This Row],['# of functional latrines in THF supported by WASH partners during the reporting period2]]*50)</f>
        <v>0</v>
      </c>
      <c r="DI335" s="960">
        <f>ROUND(IF(WWWW[[#This Row],[Location Type 1]]="camp",WWWW[[#This Row],[Total PoP ]]/20,IF(WWWW[[#This Row],[Location Type 1]]="Temporary Location",WWWW[[#This Row],[Total PoP ]]/50,(WWWW[[#This Row],[Total PoP ]]/6))),0)</f>
        <v>116</v>
      </c>
      <c r="DJ335" s="960">
        <f>IF(WWWW[[#This Row],[Total required Latrines]]-(WWWW[[#This Row],['#_Constructed latrines_by_WASHAgencies]]+WWWW[[#This Row],['#_Non Cluster partner latrines]])&lt;0,0,WWWW[[#This Row],[Total required Latrines]]-(WWWW[[#This Row],['#_Constructed latrines_by_WASHAgencies]]+WWWW[[#This Row],['#_Non Cluster partner latrines]]))</f>
        <v>6</v>
      </c>
      <c r="DK335" s="962">
        <f>1-WWWW[[#This Row],[% people access to functioning Latrine]]</f>
        <v>5.2540913006029255E-2</v>
      </c>
      <c r="DL335" s="961">
        <f>IF(OR(WWWW[[#This Row],['#_Non-functional latrines]]="",WWWW[[#This Row],['#_Non-functional latrines]]=0),0,WWWW[[#This Row],['#_Non-functional latrines]]/(WWWW[[#This Row],['#_Constructed latrines_by_WASHAgencies]]+WWWW[[#This Row],['#_Non Cluster partner latrines]]))</f>
        <v>0</v>
      </c>
      <c r="DM335" s="957">
        <f>IF(500*(WWWW[[#This Row],['#_male hygiene promoters]]+WWWW[[#This Row],['#_female hygiene promoters]])&gt;WWWW[[#This Row],[Total PoP ]],WWWW[[#This Row],[Total PoP ]],500*(WWWW[[#This Row],['#_male hygiene promoters]]+WWWW[[#This Row],['#_female hygiene promoters]]))</f>
        <v>0</v>
      </c>
      <c r="DN335"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35"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35" s="960">
        <f>IF(WWWW[[#This Row],['# People with access to soap]]&gt;WWWW[[#This Row],['# People with access to Sanity Pads]],WWWW[[#This Row],['# People with access to soap]],WWWW[[#This Row],['# People with access to Sanity Pads]])</f>
        <v>0</v>
      </c>
      <c r="DQ335" s="960">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35" s="962">
        <f>IF(WWWW[[#This Row],[HRP3]]/WWWW[[#This Row],[Total PoP ]]&gt;1,1,WWWW[[#This Row],[HRP3]]/WWWW[[#This Row],[Total PoP ]])</f>
        <v>0</v>
      </c>
      <c r="DS335" s="961">
        <f>1-WWWW[[#This Row],[Hygiene Coverage%]]</f>
        <v>1</v>
      </c>
      <c r="DT335" s="959">
        <f>WWWW[[#This Row],['# people reached by regular dedicated hygiene promotion_5]]/WWWW[[#This Row],[Total PoP ]]</f>
        <v>0</v>
      </c>
      <c r="DU335"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35"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35" s="960">
        <f>WWWW[[#This Row],['#_Constructed/Existing hand washing stations]]-WWWW[[#This Row],['#_Non-Functional_hand_washing_stations]]</f>
        <v>10</v>
      </c>
      <c r="DX335" s="957">
        <f>IF(WWWW[[#This Row],['# Functional hand washing stations during reporting period]]*20&gt;WWWW[[#This Row],[Total HH]],WWWW[[#This Row],[Total HH]],WWWW[[#This Row],['# Functional hand washing stations during reporting period]]*20)</f>
        <v>200</v>
      </c>
      <c r="DY335" s="957">
        <f>IF(WWWW[[#This Row],[Is sufficient soap available for TLS? (Yes/No)]]="yes",WWWW[[#This Row],['#_Constructed/Existing hand washing stations at TLS/CFS/THF]],0)</f>
        <v>0</v>
      </c>
      <c r="DZ335" s="421">
        <f>IF(WWWW[[#This Row],['# Functional hand washing stations during reporting period]]*100&gt;WWWW[[#This Row],[Total PoP ]],WWWW[[#This Row],[Total PoP ]],WWWW[[#This Row],['# Functional hand washing stations during reporting period]]*100)</f>
        <v>1000</v>
      </c>
      <c r="EA335" s="421" t="str">
        <f>IF(OR(WWWW[[#This Row],['#_students at TLS_CFS]]="",WWWW[[#This Row],['#_students at TLS_CFS]]=0),"No","Yes")</f>
        <v>No</v>
      </c>
      <c r="EB33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35" s="566">
        <f>WWWW[[#This Row],[%_of_affected_people_surveyed_who_report_feeling_satistfied_with_the_latrine_design_and_sanitation_service]]*WWWW[[#This Row],[Total PoP ]]</f>
        <v>0</v>
      </c>
      <c r="ED335" s="566">
        <f>WWWW[[#This Row],[%_of_affected_people_surveyed_who_report_feeling_satistfied_with_the_water_point_design_and_water_service]]*WWWW[[#This Row],[Total PoP ]]</f>
        <v>0</v>
      </c>
      <c r="EE335" s="566">
        <f>WWWW[[#This Row],[%_of_complaints_received_that_result_in_timely_corrective_action_and_feedback_to_the_community]]*WWWW[[#This Row],[Total PoP ]]</f>
        <v>0</v>
      </c>
      <c r="EF33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3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2322</v>
      </c>
      <c r="EH33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35" s="953">
        <f>VLOOKUP(WWWW[[#This Row],[Site Name]],SiteDB6[[Site Name]:[CCCM Management]],6,FALSE)</f>
        <v>0</v>
      </c>
      <c r="EJ335" s="953" t="str">
        <f>VLOOKUP(WWWW[[#This Row],[Site Name]],SiteDB6[[Site Name]:[CCCM Focal Agency]],7,FALSE)</f>
        <v>uncovered</v>
      </c>
      <c r="EK335" s="953" t="str">
        <f>VLOOKUP(WWWW[[#This Row],[Site Name]],SiteDB6[[Site Name]:[Location Type 1]],9,FALSE)</f>
        <v>Camp</v>
      </c>
      <c r="EL335" s="953" t="str">
        <f>VLOOKUP(WWWW[[#This Row],[Site Name]],SiteDB6[[Site Name]:[Type of Accommodation]],10,FALSE)</f>
        <v>Boarding School</v>
      </c>
      <c r="EM335" s="953" t="str">
        <f>VLOOKUP(WWWW[[#This Row],[Site Name]],SiteDB6[[Site Name]:[Ethnic or GCA/NGCA]],11,FALSE)</f>
        <v>NGCA</v>
      </c>
      <c r="EN335" s="953">
        <f>VLOOKUP(WWWW[[#This Row],[Site Name]],SiteDB6[[Site Name]:[Lat]],12,FALSE)</f>
        <v>24.752471</v>
      </c>
      <c r="EO335" s="953">
        <f>VLOOKUP(WWWW[[#This Row],[Site Name]],SiteDB6[[Site Name]:[Long]],13,FALSE)</f>
        <v>97.541793999999996</v>
      </c>
      <c r="EP335" s="953" t="str">
        <f>VLOOKUP(WWWW[[#This Row],[Site Name]],SiteDB6[[Site Name]:[Pcode]],3,FALSE)</f>
        <v>MMR001CMP208</v>
      </c>
      <c r="EQ335" s="958" t="str">
        <f t="shared" si="7"/>
        <v>Covered</v>
      </c>
      <c r="ER335" s="950" t="s">
        <v>3126</v>
      </c>
      <c r="ES335" s="958" t="s">
        <v>3278</v>
      </c>
      <c r="ET335" s="953">
        <f>VLOOKUP(WWWW[[#This Row],[Site Name]],SiteDB6[[Site Name]:[Pop
(Kachin/Shan-CCCM as of May 2023)]],16,FALSE)</f>
        <v>0</v>
      </c>
      <c r="EU335" s="953">
        <f>VLOOKUP(WWWW[[#This Row],[Site Name]],SiteDB6[[Site Name]:[Pop
(Kachin/Shan-CCCM as of May 2023)]],17,FALSE)</f>
        <v>366</v>
      </c>
    </row>
    <row r="336" spans="1:151">
      <c r="A336" s="946" t="s">
        <v>2962</v>
      </c>
      <c r="B336" s="946" t="s">
        <v>309</v>
      </c>
      <c r="C336" s="938" t="s">
        <v>309</v>
      </c>
      <c r="D336" s="938"/>
      <c r="E336" s="938" t="s">
        <v>37</v>
      </c>
      <c r="F336" s="938" t="s">
        <v>142</v>
      </c>
      <c r="G336" s="902" t="str">
        <f>VLOOKUP(WWWW[[#This Row],[Site Name]],SiteDB6[[Site Name]:[Location Type]],8,FALSE)</f>
        <v>Camp</v>
      </c>
      <c r="H336" s="938" t="s">
        <v>2988</v>
      </c>
      <c r="I336" s="441">
        <v>25</v>
      </c>
      <c r="J336" s="441">
        <v>115</v>
      </c>
      <c r="K336" s="948"/>
      <c r="L336" s="949"/>
      <c r="M336" s="441"/>
      <c r="N336" s="441"/>
      <c r="O336" s="441"/>
      <c r="P336" s="441"/>
      <c r="Q336" s="421"/>
      <c r="R336" s="441"/>
      <c r="S336" s="441"/>
      <c r="T336" s="441"/>
      <c r="U336" s="441"/>
      <c r="V336" s="441"/>
      <c r="W336" s="441"/>
      <c r="X336" s="441"/>
      <c r="Y336" s="441"/>
      <c r="Z336" s="441"/>
      <c r="AA336" s="441"/>
      <c r="AB336" s="441"/>
      <c r="AC336" s="441"/>
      <c r="AD336" s="441"/>
      <c r="AE336" s="441"/>
      <c r="AF336" s="441"/>
      <c r="AG336" s="441"/>
      <c r="AH336" s="441"/>
      <c r="AI336" s="441"/>
      <c r="AJ336" s="441"/>
      <c r="AK336" s="441"/>
      <c r="AL336" s="441"/>
      <c r="AM336" s="441"/>
      <c r="AN336" s="441"/>
      <c r="AO336" s="441"/>
      <c r="AP336" s="950"/>
      <c r="AQ336" s="441"/>
      <c r="AR336" s="441"/>
      <c r="AS336" s="416"/>
      <c r="AT336" s="441"/>
      <c r="AU336" s="441"/>
      <c r="AV336" s="441"/>
      <c r="AW336" s="441"/>
      <c r="AX336" s="441"/>
      <c r="AY336" s="418"/>
      <c r="AZ336" s="950"/>
      <c r="BA336" s="441"/>
      <c r="BB336" s="441"/>
      <c r="BC336" s="441"/>
      <c r="BD336" s="441"/>
      <c r="BE336" s="441"/>
      <c r="BF336" s="418"/>
      <c r="BG336" s="441"/>
      <c r="BH336" s="441"/>
      <c r="BI336" s="441"/>
      <c r="BJ336" s="441"/>
      <c r="BK336" s="441"/>
      <c r="BL336" s="441"/>
      <c r="BM336" s="441"/>
      <c r="BN336" s="441"/>
      <c r="BO336" s="441"/>
      <c r="BP336" s="418"/>
      <c r="BQ336" s="417"/>
      <c r="BR336" s="416"/>
      <c r="BS336" s="418"/>
      <c r="BT336" s="416"/>
      <c r="BU336" s="416"/>
      <c r="BV336" s="418"/>
      <c r="BW336" s="416"/>
      <c r="BX336" s="441"/>
      <c r="BY336" s="441"/>
      <c r="BZ336" s="441"/>
      <c r="CA336" s="441"/>
      <c r="CB336" s="441"/>
      <c r="CC336" s="693"/>
      <c r="CD336" s="441"/>
      <c r="CE336" s="615" t="str">
        <f>IFERROR(WWWW[[#This Row],['#_Water sources passed]]/WWWW[[#This Row],['#_Water sources tested for fecal coliform ]],"no test")</f>
        <v>no test</v>
      </c>
      <c r="CF336" s="416" t="str">
        <f>IFERROR(WWWW[[#This Row],['#_Household passed]]/WWWW[[#This Row],['#_Household water samples tested for fecal coliform]],"no test")</f>
        <v>no test</v>
      </c>
      <c r="CG336" s="417" t="str">
        <f>IF(AND(WWWW[[#This Row],[% of water sources passed]]="no test",WWWW[[#This Row],[% Household passed]]="no test"),"No Test","Tested")</f>
        <v>No Test</v>
      </c>
      <c r="CH336" s="417">
        <f>WWWW[[#This Row],['#_Constructed/existing protected hand dug well]]-WWWW[[#This Row],['#_Non-functional protected hand dug well]]</f>
        <v>0</v>
      </c>
      <c r="CI336" s="417">
        <f>(WWWW[[#This Row],['#_Constructed/Existing tube wells/boreholes/handpumps_WASH_agency]]+WWWW[[#This Row],['#_Non-Cluster partner water tube-wells/boreholes/handpumps]])-WWWW[[#This Row],['#_Non-functional tube wells/boreholes/handpumps]]</f>
        <v>0</v>
      </c>
      <c r="CJ336" s="417">
        <f>WWWW[[#This Row],['#_Constructed/Existingwater storage tank with gravity fed reticulation system]]-WWWW[[#This Row],['#_Non-functional storage tank gravity fed reticulation system]]</f>
        <v>0</v>
      </c>
      <c r="CK336" s="417">
        <f>(WWWW[[#This Row],['#_Water_Liters_supplied_by_Water boating or water trucking]]/90)/15</f>
        <v>0</v>
      </c>
      <c r="CL336" s="417">
        <f>WWWW[[#This Row],['#_Water_Liters_from_Constructed/Existing water distribution system from river or natural spring]]/90/15</f>
        <v>0</v>
      </c>
      <c r="CM336" s="417">
        <f>IF(WWWW[[#This Row],['#_of water points in TLS/CFS]]*500&gt;WWWW[[#This Row],[Total PoP ]],WWWW[[#This Row],[Total PoP ]],WWWW[[#This Row],['#_of water points in TLS/CFS]]*500)</f>
        <v>0</v>
      </c>
      <c r="CN336" s="417">
        <f>IF(WWWW[[#This Row],['#_of water points in THF]]*500&gt;WWWW[[#This Row],[Total PoP ]],WWWW[[#This Row],[Total PoP ]],WWWW[[#This Row],['#_of water points in THF]]*500)</f>
        <v>0</v>
      </c>
      <c r="CO336" s="417"/>
      <c r="CP336"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36"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36" s="416">
        <f>IF(WWWW[[#This Row],[Location Type 1]]="Village",WWWW[[#This Row],[Access to safe drinking water for Village]],WWWW[[#This Row],[Access to safe drinking water for Camp]])</f>
        <v>0</v>
      </c>
      <c r="CS336" s="421">
        <f>WWWW[[#This Row],[%Equitable and continuous access to sufficient quantity of safe drinking water]]*WWWW[[#This Row],[Total PoP ]]</f>
        <v>0</v>
      </c>
      <c r="CT336" s="416">
        <f>IF((WWWW[[#This Row],['#_Constructed/Existing protected/fenced ponds]]*250)/WWWW[[#This Row],[Total PoP ]]&gt;1,1,(WWWW[[#This Row],['#_Constructed/Existing protected/fenced ponds]]*250)/WWWW[[#This Row],[Total PoP ]])</f>
        <v>0</v>
      </c>
      <c r="CU336" s="421">
        <f>WWWW[[#This Row],[% Access to unimproved water points]]*WWWW[[#This Row],[Total PoP ]]</f>
        <v>0</v>
      </c>
      <c r="CV336"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36"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36" s="421">
        <f>WWWW[[#This Row],[HRP1]]/500</f>
        <v>0</v>
      </c>
      <c r="CY336" s="951">
        <f>1-WWWW[[#This Row],[% Equitable and continuous access to sufficient quantity of domestic water]]</f>
        <v>1</v>
      </c>
      <c r="CZ336" s="421">
        <f>WWWW[[#This Row],[%equitable and continuous access to sufficient quantity of safe drinking and domestic water''s GAP]]*WWWW[[#This Row],[Total PoP ]]</f>
        <v>115</v>
      </c>
      <c r="DA336" s="417">
        <f>IF(WWWW[[#This Row],[Total required water points]]-WWWW[[#This Row],['#Water points coverage]]&lt;0,0,WWWW[[#This Row],[Total required water points]]-WWWW[[#This Row],['#Water points coverage]])</f>
        <v>1</v>
      </c>
      <c r="DB336" s="417">
        <f>ROUND(IF(WWWW[[#This Row],[Total PoP ]]&lt;500,1,WWWW[[#This Row],[Total PoP ]]/500),0)</f>
        <v>1</v>
      </c>
      <c r="DC336" s="417">
        <f>(WWWW[[#This Row],['#_Constructed latrines_by_WASHAgencies]]+WWWW[[#This Row],['#_Non Cluster partner latrines]])-WWWW[[#This Row],['#_Non-functional latrines]]</f>
        <v>0</v>
      </c>
      <c r="DD336" s="615">
        <f>WWWW[[#This Row],[HRP2]]/WWWW[[#This Row],[Total PoP ]]</f>
        <v>0</v>
      </c>
      <c r="DE336"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36"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36"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36" s="417">
        <f>IF(WWWW[[#This Row],['# of functional latrines in THF supported by WASH partners during the reporting period2]]="",0,WWWW[[#This Row],['# of functional latrines in THF supported by WASH partners during the reporting period2]]*50)</f>
        <v>0</v>
      </c>
      <c r="DI336" s="417">
        <f>ROUND(IF(WWWW[[#This Row],[Location Type 1]]="camp",WWWW[[#This Row],[Total PoP ]]/20,IF(WWWW[[#This Row],[Location Type 1]]="Temporary Location",WWWW[[#This Row],[Total PoP ]]/50,(WWWW[[#This Row],[Total PoP ]]/6))),0)</f>
        <v>6</v>
      </c>
      <c r="DJ336" s="417">
        <f>IF(WWWW[[#This Row],[Total required Latrines]]-(WWWW[[#This Row],['#_Constructed latrines_by_WASHAgencies]]+WWWW[[#This Row],['#_Non Cluster partner latrines]])&lt;0,0,WWWW[[#This Row],[Total required Latrines]]-(WWWW[[#This Row],['#_Constructed latrines_by_WASHAgencies]]+WWWW[[#This Row],['#_Non Cluster partner latrines]]))</f>
        <v>6</v>
      </c>
      <c r="DK336" s="951">
        <f>1-WWWW[[#This Row],[% people access to functioning Latrine]]</f>
        <v>1</v>
      </c>
      <c r="DL336" s="615">
        <f>IF(OR(WWWW[[#This Row],['#_Non-functional latrines]]="",WWWW[[#This Row],['#_Non-functional latrines]]=0),0,WWWW[[#This Row],['#_Non-functional latrines]]/(WWWW[[#This Row],['#_Constructed latrines_by_WASHAgencies]]+WWWW[[#This Row],['#_Non Cluster partner latrines]]))</f>
        <v>0</v>
      </c>
      <c r="DM336" s="421">
        <f>IF(500*(WWWW[[#This Row],['#_male hygiene promoters]]+WWWW[[#This Row],['#_female hygiene promoters]])&gt;WWWW[[#This Row],[Total PoP ]],WWWW[[#This Row],[Total PoP ]],500*(WWWW[[#This Row],['#_male hygiene promoters]]+WWWW[[#This Row],['#_female hygiene promoters]]))</f>
        <v>0</v>
      </c>
      <c r="DN336"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36"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36" s="417">
        <f>IF(WWWW[[#This Row],['# People with access to soap]]&gt;WWWW[[#This Row],['# People with access to Sanity Pads]],WWWW[[#This Row],['# People with access to soap]],WWWW[[#This Row],['# People with access to Sanity Pads]])</f>
        <v>0</v>
      </c>
      <c r="DQ336"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36" s="951">
        <f>IF(WWWW[[#This Row],[HRP3]]/WWWW[[#This Row],[Total PoP ]]&gt;1,1,WWWW[[#This Row],[HRP3]]/WWWW[[#This Row],[Total PoP ]])</f>
        <v>0</v>
      </c>
      <c r="DS336" s="615">
        <f>1-WWWW[[#This Row],[Hygiene Coverage%]]</f>
        <v>1</v>
      </c>
      <c r="DT336" s="416">
        <f>WWWW[[#This Row],['# people reached by regular dedicated hygiene promotion_5]]/WWWW[[#This Row],[Total PoP ]]</f>
        <v>0</v>
      </c>
      <c r="DU336"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36"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36" s="417">
        <f>WWWW[[#This Row],['#_Constructed/Existing hand washing stations]]-WWWW[[#This Row],['#_Non-Functional_hand_washing_stations]]</f>
        <v>0</v>
      </c>
      <c r="DX336" s="421">
        <f>IF(WWWW[[#This Row],['# Functional hand washing stations during reporting period]]*20&gt;WWWW[[#This Row],[Total HH]],WWWW[[#This Row],[Total HH]],WWWW[[#This Row],['# Functional hand washing stations during reporting period]]*20)</f>
        <v>0</v>
      </c>
      <c r="DY336" s="421">
        <f>IF(WWWW[[#This Row],[Is sufficient soap available for TLS? (Yes/No)]]="yes",WWWW[[#This Row],['#_Constructed/Existing hand washing stations at TLS/CFS/THF]],0)</f>
        <v>0</v>
      </c>
      <c r="DZ336" s="421">
        <f>IF(WWWW[[#This Row],['# Functional hand washing stations during reporting period]]*100&gt;WWWW[[#This Row],[Total PoP ]],WWWW[[#This Row],[Total PoP ]],WWWW[[#This Row],['# Functional hand washing stations during reporting period]]*100)</f>
        <v>0</v>
      </c>
      <c r="EA336" s="421" t="str">
        <f>IF(OR(WWWW[[#This Row],['#_students at TLS_CFS]]="",WWWW[[#This Row],['#_students at TLS_CFS]]=0),"No","Yes")</f>
        <v>No</v>
      </c>
      <c r="EB33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36" s="566">
        <f>WWWW[[#This Row],[%_of_affected_people_surveyed_who_report_feeling_satistfied_with_the_latrine_design_and_sanitation_service]]*WWWW[[#This Row],[Total PoP ]]</f>
        <v>0</v>
      </c>
      <c r="ED336" s="566">
        <f>WWWW[[#This Row],[%_of_affected_people_surveyed_who_report_feeling_satistfied_with_the_water_point_design_and_water_service]]*WWWW[[#This Row],[Total PoP ]]</f>
        <v>0</v>
      </c>
      <c r="EE336" s="566">
        <f>WWWW[[#This Row],[%_of_complaints_received_that_result_in_timely_corrective_action_and_feedback_to_the_community]]*WWWW[[#This Row],[Total PoP ]]</f>
        <v>0</v>
      </c>
      <c r="EF33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3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3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36" s="418">
        <f>VLOOKUP(WWWW[[#This Row],[Site Name]],SiteDB6[[Site Name]:[CCCM Management]],6,FALSE)</f>
        <v>0</v>
      </c>
      <c r="EJ336" s="418" t="str">
        <f>VLOOKUP(WWWW[[#This Row],[Site Name]],SiteDB6[[Site Name]:[CCCM Focal Agency]],7,FALSE)</f>
        <v>DFSS</v>
      </c>
      <c r="EK336" s="418" t="str">
        <f>VLOOKUP(WWWW[[#This Row],[Site Name]],SiteDB6[[Site Name]:[Location Type 1]],9,FALSE)</f>
        <v>Camp</v>
      </c>
      <c r="EL336" s="418" t="str">
        <f>VLOOKUP(WWWW[[#This Row],[Site Name]],SiteDB6[[Site Name]:[Type of Accommodation]],10,FALSE)</f>
        <v>Camp like setting</v>
      </c>
      <c r="EM336" s="418" t="str">
        <f>VLOOKUP(WWWW[[#This Row],[Site Name]],SiteDB6[[Site Name]:[Ethnic or GCA/NGCA]],11,FALSE)</f>
        <v>GCA</v>
      </c>
      <c r="EN336" s="418">
        <f>VLOOKUP(WWWW[[#This Row],[Site Name]],SiteDB6[[Site Name]:[Lat]],12,FALSE)</f>
        <v>0</v>
      </c>
      <c r="EO336" s="418">
        <f>VLOOKUP(WWWW[[#This Row],[Site Name]],SiteDB6[[Site Name]:[Long]],13,FALSE)</f>
        <v>0</v>
      </c>
      <c r="EP336" s="418" t="str">
        <f>VLOOKUP(WWWW[[#This Row],[Site Name]],SiteDB6[[Site Name]:[Pcode]],3,FALSE)</f>
        <v>MMR001CMP300</v>
      </c>
      <c r="EQ336" s="950" t="str">
        <f t="shared" si="7"/>
        <v>Notcovered</v>
      </c>
      <c r="ER336" s="950"/>
      <c r="ES336" s="950" t="s">
        <v>41</v>
      </c>
      <c r="ET336" s="418">
        <f>VLOOKUP(WWWW[[#This Row],[Site Name]],SiteDB6[[Site Name]:[Pop
(Kachin/Shan-CCCM as of May 2023)]],16,FALSE)</f>
        <v>11</v>
      </c>
      <c r="EU336" s="418">
        <f>VLOOKUP(WWWW[[#This Row],[Site Name]],SiteDB6[[Site Name]:[Pop
(Kachin/Shan-CCCM as of May 2023)]],17,FALSE)</f>
        <v>59</v>
      </c>
    </row>
    <row r="337" spans="1:151">
      <c r="A337" s="946" t="s">
        <v>2962</v>
      </c>
      <c r="B337" s="946" t="s">
        <v>309</v>
      </c>
      <c r="C337" s="938" t="s">
        <v>309</v>
      </c>
      <c r="D337" s="938"/>
      <c r="E337" s="938" t="s">
        <v>37</v>
      </c>
      <c r="F337" s="938" t="s">
        <v>142</v>
      </c>
      <c r="G337" s="902" t="str">
        <f>VLOOKUP(WWWW[[#This Row],[Site Name]],SiteDB6[[Site Name]:[Location Type]],8,FALSE)</f>
        <v>Camp</v>
      </c>
      <c r="H337" s="938" t="s">
        <v>2991</v>
      </c>
      <c r="I337" s="441">
        <v>24</v>
      </c>
      <c r="J337" s="441">
        <v>130</v>
      </c>
      <c r="K337" s="948"/>
      <c r="L337" s="949"/>
      <c r="M337" s="441"/>
      <c r="N337" s="441"/>
      <c r="O337" s="441"/>
      <c r="P337" s="441"/>
      <c r="Q337" s="421"/>
      <c r="R337" s="441"/>
      <c r="S337" s="441"/>
      <c r="T337" s="441"/>
      <c r="U337" s="441"/>
      <c r="V337" s="441"/>
      <c r="W337" s="441"/>
      <c r="X337" s="441"/>
      <c r="Y337" s="441"/>
      <c r="Z337" s="441"/>
      <c r="AA337" s="441"/>
      <c r="AB337" s="441"/>
      <c r="AC337" s="441"/>
      <c r="AD337" s="441"/>
      <c r="AE337" s="441"/>
      <c r="AF337" s="441"/>
      <c r="AG337" s="441"/>
      <c r="AH337" s="441"/>
      <c r="AI337" s="441"/>
      <c r="AJ337" s="441"/>
      <c r="AK337" s="441"/>
      <c r="AL337" s="441"/>
      <c r="AM337" s="441"/>
      <c r="AN337" s="441"/>
      <c r="AO337" s="441"/>
      <c r="AP337" s="950"/>
      <c r="AQ337" s="441"/>
      <c r="AR337" s="441"/>
      <c r="AS337" s="416"/>
      <c r="AT337" s="441"/>
      <c r="AU337" s="441"/>
      <c r="AV337" s="441"/>
      <c r="AW337" s="441"/>
      <c r="AX337" s="441"/>
      <c r="AY337" s="418"/>
      <c r="AZ337" s="950"/>
      <c r="BA337" s="441"/>
      <c r="BB337" s="441"/>
      <c r="BC337" s="441"/>
      <c r="BD337" s="441"/>
      <c r="BE337" s="441"/>
      <c r="BF337" s="418"/>
      <c r="BG337" s="441"/>
      <c r="BH337" s="441"/>
      <c r="BI337" s="441"/>
      <c r="BJ337" s="441"/>
      <c r="BK337" s="441"/>
      <c r="BL337" s="441"/>
      <c r="BM337" s="441"/>
      <c r="BN337" s="441"/>
      <c r="BO337" s="441"/>
      <c r="BP337" s="418"/>
      <c r="BQ337" s="417"/>
      <c r="BR337" s="416"/>
      <c r="BS337" s="418"/>
      <c r="BT337" s="416"/>
      <c r="BU337" s="416"/>
      <c r="BV337" s="418"/>
      <c r="BW337" s="416"/>
      <c r="BX337" s="441"/>
      <c r="BY337" s="441"/>
      <c r="BZ337" s="441"/>
      <c r="CA337" s="441"/>
      <c r="CB337" s="441"/>
      <c r="CC337" s="693"/>
      <c r="CD337" s="441"/>
      <c r="CE337" s="615" t="str">
        <f>IFERROR(WWWW[[#This Row],['#_Water sources passed]]/WWWW[[#This Row],['#_Water sources tested for fecal coliform ]],"no test")</f>
        <v>no test</v>
      </c>
      <c r="CF337" s="416" t="str">
        <f>IFERROR(WWWW[[#This Row],['#_Household passed]]/WWWW[[#This Row],['#_Household water samples tested for fecal coliform]],"no test")</f>
        <v>no test</v>
      </c>
      <c r="CG337" s="417" t="str">
        <f>IF(AND(WWWW[[#This Row],[% of water sources passed]]="no test",WWWW[[#This Row],[% Household passed]]="no test"),"No Test","Tested")</f>
        <v>No Test</v>
      </c>
      <c r="CH337" s="417">
        <f>WWWW[[#This Row],['#_Constructed/existing protected hand dug well]]-WWWW[[#This Row],['#_Non-functional protected hand dug well]]</f>
        <v>0</v>
      </c>
      <c r="CI337" s="417">
        <f>(WWWW[[#This Row],['#_Constructed/Existing tube wells/boreholes/handpumps_WASH_agency]]+WWWW[[#This Row],['#_Non-Cluster partner water tube-wells/boreholes/handpumps]])-WWWW[[#This Row],['#_Non-functional tube wells/boreholes/handpumps]]</f>
        <v>0</v>
      </c>
      <c r="CJ337" s="417">
        <f>WWWW[[#This Row],['#_Constructed/Existingwater storage tank with gravity fed reticulation system]]-WWWW[[#This Row],['#_Non-functional storage tank gravity fed reticulation system]]</f>
        <v>0</v>
      </c>
      <c r="CK337" s="417">
        <f>(WWWW[[#This Row],['#_Water_Liters_supplied_by_Water boating or water trucking]]/90)/15</f>
        <v>0</v>
      </c>
      <c r="CL337" s="417">
        <f>WWWW[[#This Row],['#_Water_Liters_from_Constructed/Existing water distribution system from river or natural spring]]/90/15</f>
        <v>0</v>
      </c>
      <c r="CM337" s="417">
        <f>IF(WWWW[[#This Row],['#_of water points in TLS/CFS]]*500&gt;WWWW[[#This Row],[Total PoP ]],WWWW[[#This Row],[Total PoP ]],WWWW[[#This Row],['#_of water points in TLS/CFS]]*500)</f>
        <v>0</v>
      </c>
      <c r="CN337" s="417">
        <f>IF(WWWW[[#This Row],['#_of water points in THF]]*500&gt;WWWW[[#This Row],[Total PoP ]],WWWW[[#This Row],[Total PoP ]],WWWW[[#This Row],['#_of water points in THF]]*500)</f>
        <v>0</v>
      </c>
      <c r="CO337" s="417"/>
      <c r="CP337"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37"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37" s="416">
        <f>IF(WWWW[[#This Row],[Location Type 1]]="Village",WWWW[[#This Row],[Access to safe drinking water for Village]],WWWW[[#This Row],[Access to safe drinking water for Camp]])</f>
        <v>0</v>
      </c>
      <c r="CS337" s="421">
        <f>WWWW[[#This Row],[%Equitable and continuous access to sufficient quantity of safe drinking water]]*WWWW[[#This Row],[Total PoP ]]</f>
        <v>0</v>
      </c>
      <c r="CT337" s="416">
        <f>IF((WWWW[[#This Row],['#_Constructed/Existing protected/fenced ponds]]*250)/WWWW[[#This Row],[Total PoP ]]&gt;1,1,(WWWW[[#This Row],['#_Constructed/Existing protected/fenced ponds]]*250)/WWWW[[#This Row],[Total PoP ]])</f>
        <v>0</v>
      </c>
      <c r="CU337" s="421">
        <f>WWWW[[#This Row],[% Access to unimproved water points]]*WWWW[[#This Row],[Total PoP ]]</f>
        <v>0</v>
      </c>
      <c r="CV337"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37"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37" s="421">
        <f>WWWW[[#This Row],[HRP1]]/500</f>
        <v>0</v>
      </c>
      <c r="CY337" s="951">
        <f>1-WWWW[[#This Row],[% Equitable and continuous access to sufficient quantity of domestic water]]</f>
        <v>1</v>
      </c>
      <c r="CZ337" s="421">
        <f>WWWW[[#This Row],[%equitable and continuous access to sufficient quantity of safe drinking and domestic water''s GAP]]*WWWW[[#This Row],[Total PoP ]]</f>
        <v>130</v>
      </c>
      <c r="DA337" s="417">
        <f>IF(WWWW[[#This Row],[Total required water points]]-WWWW[[#This Row],['#Water points coverage]]&lt;0,0,WWWW[[#This Row],[Total required water points]]-WWWW[[#This Row],['#Water points coverage]])</f>
        <v>1</v>
      </c>
      <c r="DB337" s="417">
        <f>ROUND(IF(WWWW[[#This Row],[Total PoP ]]&lt;500,1,WWWW[[#This Row],[Total PoP ]]/500),0)</f>
        <v>1</v>
      </c>
      <c r="DC337" s="417">
        <f>(WWWW[[#This Row],['#_Constructed latrines_by_WASHAgencies]]+WWWW[[#This Row],['#_Non Cluster partner latrines]])-WWWW[[#This Row],['#_Non-functional latrines]]</f>
        <v>0</v>
      </c>
      <c r="DD337" s="615">
        <f>WWWW[[#This Row],[HRP2]]/WWWW[[#This Row],[Total PoP ]]</f>
        <v>0</v>
      </c>
      <c r="DE337"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37"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37"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37" s="417">
        <f>IF(WWWW[[#This Row],['# of functional latrines in THF supported by WASH partners during the reporting period2]]="",0,WWWW[[#This Row],['# of functional latrines in THF supported by WASH partners during the reporting period2]]*50)</f>
        <v>0</v>
      </c>
      <c r="DI337" s="417">
        <f>ROUND(IF(WWWW[[#This Row],[Location Type 1]]="camp",WWWW[[#This Row],[Total PoP ]]/20,IF(WWWW[[#This Row],[Location Type 1]]="Temporary Location",WWWW[[#This Row],[Total PoP ]]/50,(WWWW[[#This Row],[Total PoP ]]/6))),0)</f>
        <v>7</v>
      </c>
      <c r="DJ337" s="417">
        <f>IF(WWWW[[#This Row],[Total required Latrines]]-(WWWW[[#This Row],['#_Constructed latrines_by_WASHAgencies]]+WWWW[[#This Row],['#_Non Cluster partner latrines]])&lt;0,0,WWWW[[#This Row],[Total required Latrines]]-(WWWW[[#This Row],['#_Constructed latrines_by_WASHAgencies]]+WWWW[[#This Row],['#_Non Cluster partner latrines]]))</f>
        <v>7</v>
      </c>
      <c r="DK337" s="951">
        <f>1-WWWW[[#This Row],[% people access to functioning Latrine]]</f>
        <v>1</v>
      </c>
      <c r="DL337" s="615">
        <f>IF(OR(WWWW[[#This Row],['#_Non-functional latrines]]="",WWWW[[#This Row],['#_Non-functional latrines]]=0),0,WWWW[[#This Row],['#_Non-functional latrines]]/(WWWW[[#This Row],['#_Constructed latrines_by_WASHAgencies]]+WWWW[[#This Row],['#_Non Cluster partner latrines]]))</f>
        <v>0</v>
      </c>
      <c r="DM337" s="421">
        <f>IF(500*(WWWW[[#This Row],['#_male hygiene promoters]]+WWWW[[#This Row],['#_female hygiene promoters]])&gt;WWWW[[#This Row],[Total PoP ]],WWWW[[#This Row],[Total PoP ]],500*(WWWW[[#This Row],['#_male hygiene promoters]]+WWWW[[#This Row],['#_female hygiene promoters]]))</f>
        <v>0</v>
      </c>
      <c r="DN337"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37"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37" s="417">
        <f>IF(WWWW[[#This Row],['# People with access to soap]]&gt;WWWW[[#This Row],['# People with access to Sanity Pads]],WWWW[[#This Row],['# People with access to soap]],WWWW[[#This Row],['# People with access to Sanity Pads]])</f>
        <v>0</v>
      </c>
      <c r="DQ337"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37" s="951">
        <f>IF(WWWW[[#This Row],[HRP3]]/WWWW[[#This Row],[Total PoP ]]&gt;1,1,WWWW[[#This Row],[HRP3]]/WWWW[[#This Row],[Total PoP ]])</f>
        <v>0</v>
      </c>
      <c r="DS337" s="615">
        <f>1-WWWW[[#This Row],[Hygiene Coverage%]]</f>
        <v>1</v>
      </c>
      <c r="DT337" s="416">
        <f>WWWW[[#This Row],['# people reached by regular dedicated hygiene promotion_5]]/WWWW[[#This Row],[Total PoP ]]</f>
        <v>0</v>
      </c>
      <c r="DU337"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37"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37" s="417">
        <f>WWWW[[#This Row],['#_Constructed/Existing hand washing stations]]-WWWW[[#This Row],['#_Non-Functional_hand_washing_stations]]</f>
        <v>0</v>
      </c>
      <c r="DX337" s="421">
        <f>IF(WWWW[[#This Row],['# Functional hand washing stations during reporting period]]*20&gt;WWWW[[#This Row],[Total HH]],WWWW[[#This Row],[Total HH]],WWWW[[#This Row],['# Functional hand washing stations during reporting period]]*20)</f>
        <v>0</v>
      </c>
      <c r="DY337" s="421">
        <f>IF(WWWW[[#This Row],[Is sufficient soap available for TLS? (Yes/No)]]="yes",WWWW[[#This Row],['#_Constructed/Existing hand washing stations at TLS/CFS/THF]],0)</f>
        <v>0</v>
      </c>
      <c r="DZ337" s="421">
        <f>IF(WWWW[[#This Row],['# Functional hand washing stations during reporting period]]*100&gt;WWWW[[#This Row],[Total PoP ]],WWWW[[#This Row],[Total PoP ]],WWWW[[#This Row],['# Functional hand washing stations during reporting period]]*100)</f>
        <v>0</v>
      </c>
      <c r="EA337" s="421" t="str">
        <f>IF(OR(WWWW[[#This Row],['#_students at TLS_CFS]]="",WWWW[[#This Row],['#_students at TLS_CFS]]=0),"No","Yes")</f>
        <v>No</v>
      </c>
      <c r="EB33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37" s="566">
        <f>WWWW[[#This Row],[%_of_affected_people_surveyed_who_report_feeling_satistfied_with_the_latrine_design_and_sanitation_service]]*WWWW[[#This Row],[Total PoP ]]</f>
        <v>0</v>
      </c>
      <c r="ED337" s="566">
        <f>WWWW[[#This Row],[%_of_affected_people_surveyed_who_report_feeling_satistfied_with_the_water_point_design_and_water_service]]*WWWW[[#This Row],[Total PoP ]]</f>
        <v>0</v>
      </c>
      <c r="EE337" s="566">
        <f>WWWW[[#This Row],[%_of_complaints_received_that_result_in_timely_corrective_action_and_feedback_to_the_community]]*WWWW[[#This Row],[Total PoP ]]</f>
        <v>0</v>
      </c>
      <c r="EF33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3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3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37" s="418">
        <f>VLOOKUP(WWWW[[#This Row],[Site Name]],SiteDB6[[Site Name]:[CCCM Management]],6,FALSE)</f>
        <v>0</v>
      </c>
      <c r="EJ337" s="418" t="str">
        <f>VLOOKUP(WWWW[[#This Row],[Site Name]],SiteDB6[[Site Name]:[CCCM Focal Agency]],7,FALSE)</f>
        <v>DFSS</v>
      </c>
      <c r="EK337" s="418" t="str">
        <f>VLOOKUP(WWWW[[#This Row],[Site Name]],SiteDB6[[Site Name]:[Location Type 1]],9,FALSE)</f>
        <v>Camp</v>
      </c>
      <c r="EL337" s="418" t="str">
        <f>VLOOKUP(WWWW[[#This Row],[Site Name]],SiteDB6[[Site Name]:[Type of Accommodation]],10,FALSE)</f>
        <v>Camp like setting</v>
      </c>
      <c r="EM337" s="418" t="str">
        <f>VLOOKUP(WWWW[[#This Row],[Site Name]],SiteDB6[[Site Name]:[Ethnic or GCA/NGCA]],11,FALSE)</f>
        <v>GCA</v>
      </c>
      <c r="EN337" s="418">
        <f>VLOOKUP(WWWW[[#This Row],[Site Name]],SiteDB6[[Site Name]:[Lat]],12,FALSE)</f>
        <v>0</v>
      </c>
      <c r="EO337" s="418">
        <f>VLOOKUP(WWWW[[#This Row],[Site Name]],SiteDB6[[Site Name]:[Long]],13,FALSE)</f>
        <v>0</v>
      </c>
      <c r="EP337" s="418" t="str">
        <f>VLOOKUP(WWWW[[#This Row],[Site Name]],SiteDB6[[Site Name]:[Pcode]],3,FALSE)</f>
        <v>MMR001CMP303</v>
      </c>
      <c r="EQ337" s="950" t="str">
        <f t="shared" si="7"/>
        <v>Notcovered</v>
      </c>
      <c r="ER337" s="950"/>
      <c r="ES337" s="950" t="s">
        <v>41</v>
      </c>
      <c r="ET337" s="418">
        <f>VLOOKUP(WWWW[[#This Row],[Site Name]],SiteDB6[[Site Name]:[Pop
(Kachin/Shan-CCCM as of May 2023)]],16,FALSE)</f>
        <v>22</v>
      </c>
      <c r="EU337" s="418">
        <f>VLOOKUP(WWWW[[#This Row],[Site Name]],SiteDB6[[Site Name]:[Pop
(Kachin/Shan-CCCM as of May 2023)]],17,FALSE)</f>
        <v>118</v>
      </c>
    </row>
    <row r="338" spans="1:151">
      <c r="A338" s="946" t="s">
        <v>2962</v>
      </c>
      <c r="B338" s="938" t="s">
        <v>3347</v>
      </c>
      <c r="C338" s="1005" t="s">
        <v>3347</v>
      </c>
      <c r="D338" s="1005" t="s">
        <v>241</v>
      </c>
      <c r="E338" s="1005" t="s">
        <v>37</v>
      </c>
      <c r="F338" s="1005" t="s">
        <v>142</v>
      </c>
      <c r="G338" s="902" t="str">
        <f>VLOOKUP(WWWW[[#This Row],[Site Name]],SiteDB6[[Site Name]:[Location Type]],8,FALSE)</f>
        <v>Camp</v>
      </c>
      <c r="H338" s="1005" t="s">
        <v>176</v>
      </c>
      <c r="I338" s="954">
        <v>18</v>
      </c>
      <c r="J338" s="954">
        <v>114</v>
      </c>
      <c r="K338" s="955">
        <v>44811</v>
      </c>
      <c r="L338" s="956">
        <v>45175</v>
      </c>
      <c r="M338" s="954"/>
      <c r="N338" s="954">
        <v>1</v>
      </c>
      <c r="O338" s="954"/>
      <c r="P338" s="954"/>
      <c r="Q338" s="957" t="s">
        <v>41</v>
      </c>
      <c r="R338" s="954">
        <v>3</v>
      </c>
      <c r="S338" s="954">
        <v>4</v>
      </c>
      <c r="T338" s="441">
        <v>2</v>
      </c>
      <c r="U338" s="954"/>
      <c r="V338" s="954"/>
      <c r="W338" s="954">
        <v>1</v>
      </c>
      <c r="X338" s="954"/>
      <c r="Y338" s="954"/>
      <c r="Z338" s="954"/>
      <c r="AA338" s="954"/>
      <c r="AB338" s="954"/>
      <c r="AC338" s="954"/>
      <c r="AD338" s="954"/>
      <c r="AE338" s="954"/>
      <c r="AF338" s="954"/>
      <c r="AG338" s="954"/>
      <c r="AH338" s="954">
        <v>3</v>
      </c>
      <c r="AI338" s="954"/>
      <c r="AJ338" s="954"/>
      <c r="AK338" s="954"/>
      <c r="AL338" s="954"/>
      <c r="AM338" s="954"/>
      <c r="AN338" s="954"/>
      <c r="AO338" s="441"/>
      <c r="AP338" s="958"/>
      <c r="AQ338" s="954">
        <v>6</v>
      </c>
      <c r="AR338" s="954"/>
      <c r="AS338" s="959"/>
      <c r="AT338" s="954">
        <v>3</v>
      </c>
      <c r="AU338" s="954"/>
      <c r="AV338" s="954"/>
      <c r="AW338" s="954"/>
      <c r="AX338" s="954">
        <v>3</v>
      </c>
      <c r="AY338" s="953" t="s">
        <v>41</v>
      </c>
      <c r="AZ338" s="958" t="s">
        <v>137</v>
      </c>
      <c r="BA338" s="954"/>
      <c r="BB338" s="954"/>
      <c r="BC338" s="954"/>
      <c r="BD338" s="441"/>
      <c r="BE338" s="441"/>
      <c r="BF338" s="953"/>
      <c r="BG338" s="973">
        <v>5</v>
      </c>
      <c r="BH338" s="954">
        <v>2</v>
      </c>
      <c r="BI338" s="954"/>
      <c r="BJ338" s="954">
        <v>3</v>
      </c>
      <c r="BK338" s="954"/>
      <c r="BL338" s="954"/>
      <c r="BM338" s="954">
        <v>1</v>
      </c>
      <c r="BN338" s="954"/>
      <c r="BO338" s="954"/>
      <c r="BP338" s="953"/>
      <c r="BQ338" s="960"/>
      <c r="BR338" s="959"/>
      <c r="BS338" s="953"/>
      <c r="BT338" s="416"/>
      <c r="BU338" s="416"/>
      <c r="BV338" s="418"/>
      <c r="BW338" s="416"/>
      <c r="BX338" s="441"/>
      <c r="BY338" s="441"/>
      <c r="BZ338" s="441"/>
      <c r="CA338" s="441"/>
      <c r="CB338" s="441"/>
      <c r="CC338" s="693"/>
      <c r="CD338" s="441"/>
      <c r="CE338" s="961" t="str">
        <f>IFERROR(WWWW[[#This Row],['#_Water sources passed]]/WWWW[[#This Row],['#_Water sources tested for fecal coliform ]],"no test")</f>
        <v>no test</v>
      </c>
      <c r="CF338" s="959" t="str">
        <f>IFERROR(WWWW[[#This Row],['#_Household passed]]/WWWW[[#This Row],['#_Household water samples tested for fecal coliform]],"no test")</f>
        <v>no test</v>
      </c>
      <c r="CG338" s="960" t="str">
        <f>IF(AND(WWWW[[#This Row],[% of water sources passed]]="no test",WWWW[[#This Row],[% Household passed]]="no test"),"No Test","Tested")</f>
        <v>No Test</v>
      </c>
      <c r="CH338" s="960">
        <f>WWWW[[#This Row],['#_Constructed/existing protected hand dug well]]-WWWW[[#This Row],['#_Non-functional protected hand dug well]]</f>
        <v>2</v>
      </c>
      <c r="CI338" s="960">
        <f>(WWWW[[#This Row],['#_Constructed/Existing tube wells/boreholes/handpumps_WASH_agency]]+WWWW[[#This Row],['#_Non-Cluster partner water tube-wells/boreholes/handpumps]])-WWWW[[#This Row],['#_Non-functional tube wells/boreholes/handpumps]]</f>
        <v>1</v>
      </c>
      <c r="CJ338" s="960">
        <f>WWWW[[#This Row],['#_Constructed/Existingwater storage tank with gravity fed reticulation system]]-WWWW[[#This Row],['#_Non-functional storage tank gravity fed reticulation system]]</f>
        <v>0</v>
      </c>
      <c r="CK338" s="960">
        <f>(WWWW[[#This Row],['#_Water_Liters_supplied_by_Water boating or water trucking]]/90)/15</f>
        <v>0</v>
      </c>
      <c r="CL338" s="960">
        <f>WWWW[[#This Row],['#_Water_Liters_from_Constructed/Existing water distribution system from river or natural spring]]/90/15</f>
        <v>0</v>
      </c>
      <c r="CM338" s="417">
        <f>IF(WWWW[[#This Row],['#_of water points in TLS/CFS]]*500&gt;WWWW[[#This Row],[Total PoP ]],WWWW[[#This Row],[Total PoP ]],WWWW[[#This Row],['#_of water points in TLS/CFS]]*500)</f>
        <v>0</v>
      </c>
      <c r="CN338" s="417">
        <f>IF(WWWW[[#This Row],['#_of water points in THF]]*500&gt;WWWW[[#This Row],[Total PoP ]],WWWW[[#This Row],[Total PoP ]],WWWW[[#This Row],['#_of water points in THF]]*500)</f>
        <v>0</v>
      </c>
      <c r="CO338" s="417"/>
      <c r="CP338"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38"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38" s="959">
        <f>IF(WWWW[[#This Row],[Location Type 1]]="Village",WWWW[[#This Row],[Access to safe drinking water for Village]],WWWW[[#This Row],[Access to safe drinking water for Camp]])</f>
        <v>1</v>
      </c>
      <c r="CS338" s="957">
        <f>WWWW[[#This Row],[%Equitable and continuous access to sufficient quantity of safe drinking water]]*WWWW[[#This Row],[Total PoP ]]</f>
        <v>114</v>
      </c>
      <c r="CT338" s="959">
        <f>IF((WWWW[[#This Row],['#_Constructed/Existing protected/fenced ponds]]*250)/WWWW[[#This Row],[Total PoP ]]&gt;1,1,(WWWW[[#This Row],['#_Constructed/Existing protected/fenced ponds]]*250)/WWWW[[#This Row],[Total PoP ]])</f>
        <v>0</v>
      </c>
      <c r="CU338" s="957">
        <f>WWWW[[#This Row],[% Access to unimproved water points]]*WWWW[[#This Row],[Total PoP ]]</f>
        <v>0</v>
      </c>
      <c r="CV338"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38"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114</v>
      </c>
      <c r="CX338" s="957">
        <f>WWWW[[#This Row],[HRP1]]/500</f>
        <v>0.22800000000000001</v>
      </c>
      <c r="CY338" s="962">
        <f>1-WWWW[[#This Row],[% Equitable and continuous access to sufficient quantity of domestic water]]</f>
        <v>0</v>
      </c>
      <c r="CZ338" s="957">
        <f>WWWW[[#This Row],[%equitable and continuous access to sufficient quantity of safe drinking and domestic water''s GAP]]*WWWW[[#This Row],[Total PoP ]]</f>
        <v>0</v>
      </c>
      <c r="DA338" s="960">
        <f>IF(WWWW[[#This Row],[Total required water points]]-WWWW[[#This Row],['#Water points coverage]]&lt;0,0,WWWW[[#This Row],[Total required water points]]-WWWW[[#This Row],['#Water points coverage]])</f>
        <v>0.77200000000000002</v>
      </c>
      <c r="DB338" s="960">
        <f>ROUND(IF(WWWW[[#This Row],[Total PoP ]]&lt;500,1,WWWW[[#This Row],[Total PoP ]]/500),0)</f>
        <v>1</v>
      </c>
      <c r="DC338" s="960">
        <f>(WWWW[[#This Row],['#_Constructed latrines_by_WASHAgencies]]+WWWW[[#This Row],['#_Non Cluster partner latrines]])-WWWW[[#This Row],['#_Non-functional latrines]]</f>
        <v>3</v>
      </c>
      <c r="DD338" s="615">
        <f>WWWW[[#This Row],[HRP2]]/WWWW[[#This Row],[Total PoP ]]</f>
        <v>0.52631578947368418</v>
      </c>
      <c r="DE338"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60</v>
      </c>
      <c r="DF338"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38"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38" s="417">
        <f>IF(WWWW[[#This Row],['# of functional latrines in THF supported by WASH partners during the reporting period2]]="",0,WWWW[[#This Row],['# of functional latrines in THF supported by WASH partners during the reporting period2]]*50)</f>
        <v>0</v>
      </c>
      <c r="DI338" s="960">
        <f>ROUND(IF(WWWW[[#This Row],[Location Type 1]]="camp",WWWW[[#This Row],[Total PoP ]]/20,IF(WWWW[[#This Row],[Location Type 1]]="Temporary Location",WWWW[[#This Row],[Total PoP ]]/50,(WWWW[[#This Row],[Total PoP ]]/6))),0)</f>
        <v>6</v>
      </c>
      <c r="DJ338" s="960">
        <f>IF(WWWW[[#This Row],[Total required Latrines]]-(WWWW[[#This Row],['#_Constructed latrines_by_WASHAgencies]]+WWWW[[#This Row],['#_Non Cluster partner latrines]])&lt;0,0,WWWW[[#This Row],[Total required Latrines]]-(WWWW[[#This Row],['#_Constructed latrines_by_WASHAgencies]]+WWWW[[#This Row],['#_Non Cluster partner latrines]]))</f>
        <v>0</v>
      </c>
      <c r="DK338" s="962">
        <f>1-WWWW[[#This Row],[% people access to functioning Latrine]]</f>
        <v>0.47368421052631582</v>
      </c>
      <c r="DL338" s="961">
        <f>IF(OR(WWWW[[#This Row],['#_Non-functional latrines]]="",WWWW[[#This Row],['#_Non-functional latrines]]=0),0,WWWW[[#This Row],['#_Non-functional latrines]]/(WWWW[[#This Row],['#_Constructed latrines_by_WASHAgencies]]+WWWW[[#This Row],['#_Non Cluster partner latrines]]))</f>
        <v>0.5</v>
      </c>
      <c r="DM338" s="957">
        <f>IF(500*(WWWW[[#This Row],['#_male hygiene promoters]]+WWWW[[#This Row],['#_female hygiene promoters]])&gt;WWWW[[#This Row],[Total PoP ]],WWWW[[#This Row],[Total PoP ]],500*(WWWW[[#This Row],['#_male hygiene promoters]]+WWWW[[#This Row],['#_female hygiene promoters]]))</f>
        <v>114</v>
      </c>
      <c r="DN338"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38"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38" s="960">
        <f>IF(WWWW[[#This Row],['# People with access to soap]]&gt;WWWW[[#This Row],['# People with access to Sanity Pads]],WWWW[[#This Row],['# People with access to soap]],WWWW[[#This Row],['# People with access to Sanity Pads]])</f>
        <v>0</v>
      </c>
      <c r="DQ338" s="960">
        <f>IF(WWWW[[#This Row],['# people reached by regular dedicated hygiene promotion_5]]&gt;WWWW[[#This Row],['# People received regular supply of hygiene items_6]],WWWW[[#This Row],['# people reached by regular dedicated hygiene promotion_5]],WWWW[[#This Row],['# People received regular supply of hygiene items_6]])</f>
        <v>114</v>
      </c>
      <c r="DR338" s="962">
        <f>IF(WWWW[[#This Row],[HRP3]]/WWWW[[#This Row],[Total PoP ]]&gt;1,1,WWWW[[#This Row],[HRP3]]/WWWW[[#This Row],[Total PoP ]])</f>
        <v>1</v>
      </c>
      <c r="DS338" s="961">
        <f>1-WWWW[[#This Row],[Hygiene Coverage%]]</f>
        <v>0</v>
      </c>
      <c r="DT338" s="959">
        <f>WWWW[[#This Row],['# people reached by regular dedicated hygiene promotion_5]]/WWWW[[#This Row],[Total PoP ]]</f>
        <v>1</v>
      </c>
      <c r="DU338"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38"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38" s="960">
        <f>WWWW[[#This Row],['#_Constructed/Existing hand washing stations]]-WWWW[[#This Row],['#_Non-Functional_hand_washing_stations]]</f>
        <v>3</v>
      </c>
      <c r="DX338" s="957">
        <f>IF(WWWW[[#This Row],['# Functional hand washing stations during reporting period]]*20&gt;WWWW[[#This Row],[Total HH]],WWWW[[#This Row],[Total HH]],WWWW[[#This Row],['# Functional hand washing stations during reporting period]]*20)</f>
        <v>18</v>
      </c>
      <c r="DY338" s="957">
        <f>IF(WWWW[[#This Row],[Is sufficient soap available for TLS? (Yes/No)]]="yes",WWWW[[#This Row],['#_Constructed/Existing hand washing stations at TLS/CFS/THF]],0)</f>
        <v>0</v>
      </c>
      <c r="DZ338" s="421">
        <f>IF(WWWW[[#This Row],['# Functional hand washing stations during reporting period]]*100&gt;WWWW[[#This Row],[Total PoP ]],WWWW[[#This Row],[Total PoP ]],WWWW[[#This Row],['# Functional hand washing stations during reporting period]]*100)</f>
        <v>114</v>
      </c>
      <c r="EA338" s="421" t="str">
        <f>IF(OR(WWWW[[#This Row],['#_students at TLS_CFS]]="",WWWW[[#This Row],['#_students at TLS_CFS]]=0),"No","Yes")</f>
        <v>No</v>
      </c>
      <c r="EB33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38" s="566">
        <f>WWWW[[#This Row],[%_of_affected_people_surveyed_who_report_feeling_satistfied_with_the_latrine_design_and_sanitation_service]]*WWWW[[#This Row],[Total PoP ]]</f>
        <v>0</v>
      </c>
      <c r="ED338" s="566">
        <f>WWWW[[#This Row],[%_of_affected_people_surveyed_who_report_feeling_satistfied_with_the_water_point_design_and_water_service]]*WWWW[[#This Row],[Total PoP ]]</f>
        <v>0</v>
      </c>
      <c r="EE338" s="566">
        <f>WWWW[[#This Row],[%_of_complaints_received_that_result_in_timely_corrective_action_and_feedback_to_the_community]]*WWWW[[#This Row],[Total PoP ]]</f>
        <v>0</v>
      </c>
      <c r="EF33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3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3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38" s="953" t="str">
        <f>VLOOKUP(WWWW[[#This Row],[Site Name]],SiteDB6[[Site Name]:[CCCM Management]],6,FALSE)</f>
        <v>Yes</v>
      </c>
      <c r="EJ338" s="953" t="str">
        <f>VLOOKUP(WWWW[[#This Row],[Site Name]],SiteDB6[[Site Name]:[CCCM Focal Agency]],7,FALSE)</f>
        <v>KBC-MYT</v>
      </c>
      <c r="EK338" s="953" t="str">
        <f>VLOOKUP(WWWW[[#This Row],[Site Name]],SiteDB6[[Site Name]:[Location Type 1]],9,FALSE)</f>
        <v>Camp</v>
      </c>
      <c r="EL338" s="953" t="str">
        <f>VLOOKUP(WWWW[[#This Row],[Site Name]],SiteDB6[[Site Name]:[Type of Accommodation]],10,FALSE)</f>
        <v>Camp</v>
      </c>
      <c r="EM338" s="953" t="str">
        <f>VLOOKUP(WWWW[[#This Row],[Site Name]],SiteDB6[[Site Name]:[Ethnic or GCA/NGCA]],11,FALSE)</f>
        <v>GCA</v>
      </c>
      <c r="EN338" s="953">
        <f>VLOOKUP(WWWW[[#This Row],[Site Name]],SiteDB6[[Site Name]:[Lat]],12,FALSE)</f>
        <v>25.356632000000001</v>
      </c>
      <c r="EO338" s="953">
        <f>VLOOKUP(WWWW[[#This Row],[Site Name]],SiteDB6[[Site Name]:[Long]],13,FALSE)</f>
        <v>97.451965000000001</v>
      </c>
      <c r="EP338" s="953" t="str">
        <f>VLOOKUP(WWWW[[#This Row],[Site Name]],SiteDB6[[Site Name]:[Pcode]],3,FALSE)</f>
        <v>MMR001CMP027</v>
      </c>
      <c r="EQ338" s="958" t="str">
        <f t="shared" si="7"/>
        <v>Covered</v>
      </c>
      <c r="ER338" s="950" t="s">
        <v>3126</v>
      </c>
      <c r="ES338" s="950" t="s">
        <v>3267</v>
      </c>
      <c r="ET338" s="953">
        <f>VLOOKUP(WWWW[[#This Row],[Site Name]],SiteDB6[[Site Name]:[Pop
(Kachin/Shan-CCCM as of May 2023)]],16,FALSE)</f>
        <v>34</v>
      </c>
      <c r="EU338" s="953">
        <f>VLOOKUP(WWWW[[#This Row],[Site Name]],SiteDB6[[Site Name]:[Pop
(Kachin/Shan-CCCM as of May 2023)]],17,FALSE)</f>
        <v>213</v>
      </c>
    </row>
    <row r="339" spans="1:151">
      <c r="A339" s="946" t="s">
        <v>2962</v>
      </c>
      <c r="B339" s="938" t="s">
        <v>3347</v>
      </c>
      <c r="C339" s="938" t="s">
        <v>3362</v>
      </c>
      <c r="D339" s="1005" t="s">
        <v>3095</v>
      </c>
      <c r="E339" s="1005" t="s">
        <v>37</v>
      </c>
      <c r="F339" s="1005" t="s">
        <v>142</v>
      </c>
      <c r="G339" s="902" t="str">
        <f>VLOOKUP(WWWW[[#This Row],[Site Name]],SiteDB6[[Site Name]:[Location Type]],8,FALSE)</f>
        <v>Camp</v>
      </c>
      <c r="H339" s="1005" t="s">
        <v>177</v>
      </c>
      <c r="I339" s="954">
        <v>370</v>
      </c>
      <c r="J339" s="954">
        <v>1442</v>
      </c>
      <c r="K339" s="955">
        <v>44811</v>
      </c>
      <c r="L339" s="956">
        <v>45175</v>
      </c>
      <c r="M339" s="954"/>
      <c r="N339" s="954">
        <v>6</v>
      </c>
      <c r="O339" s="954"/>
      <c r="P339" s="954"/>
      <c r="Q339" s="957" t="s">
        <v>41</v>
      </c>
      <c r="R339" s="954">
        <v>3</v>
      </c>
      <c r="S339" s="954">
        <v>2</v>
      </c>
      <c r="T339" s="441"/>
      <c r="U339" s="954"/>
      <c r="V339" s="954"/>
      <c r="W339" s="954"/>
      <c r="X339" s="954"/>
      <c r="Y339" s="954"/>
      <c r="Z339" s="954"/>
      <c r="AA339" s="954">
        <v>9</v>
      </c>
      <c r="AB339" s="954">
        <v>1</v>
      </c>
      <c r="AC339" s="954"/>
      <c r="AD339" s="954"/>
      <c r="AE339" s="954"/>
      <c r="AF339" s="954"/>
      <c r="AG339" s="954"/>
      <c r="AH339" s="976">
        <v>9</v>
      </c>
      <c r="AI339" s="954"/>
      <c r="AJ339" s="954"/>
      <c r="AK339" s="954"/>
      <c r="AL339" s="954"/>
      <c r="AM339" s="954"/>
      <c r="AN339" s="954"/>
      <c r="AO339" s="441"/>
      <c r="AP339" s="958"/>
      <c r="AQ339" s="973">
        <v>344</v>
      </c>
      <c r="AR339" s="954"/>
      <c r="AS339" s="959"/>
      <c r="AT339" s="954">
        <v>40</v>
      </c>
      <c r="AU339" s="954"/>
      <c r="AV339" s="954"/>
      <c r="AW339" s="954"/>
      <c r="AX339" s="954">
        <v>304</v>
      </c>
      <c r="AY339" s="953" t="s">
        <v>41</v>
      </c>
      <c r="AZ339" s="958" t="s">
        <v>137</v>
      </c>
      <c r="BA339" s="954"/>
      <c r="BB339" s="954"/>
      <c r="BC339" s="954"/>
      <c r="BD339" s="441"/>
      <c r="BE339" s="441"/>
      <c r="BF339" s="953"/>
      <c r="BG339" s="954">
        <v>177</v>
      </c>
      <c r="BH339" s="954"/>
      <c r="BI339" s="954"/>
      <c r="BJ339" s="954">
        <v>12</v>
      </c>
      <c r="BK339" s="954">
        <v>6</v>
      </c>
      <c r="BL339" s="954">
        <v>1</v>
      </c>
      <c r="BM339" s="954">
        <v>5</v>
      </c>
      <c r="BN339" s="954"/>
      <c r="BO339" s="954"/>
      <c r="BP339" s="953"/>
      <c r="BQ339" s="960"/>
      <c r="BR339" s="959"/>
      <c r="BS339" s="953"/>
      <c r="BT339" s="416"/>
      <c r="BU339" s="416"/>
      <c r="BV339" s="418"/>
      <c r="BW339" s="416"/>
      <c r="BX339" s="441"/>
      <c r="BY339" s="441"/>
      <c r="BZ339" s="441"/>
      <c r="CA339" s="441"/>
      <c r="CB339" s="441"/>
      <c r="CC339" s="693"/>
      <c r="CD339" s="441"/>
      <c r="CE339" s="961" t="str">
        <f>IFERROR(WWWW[[#This Row],['#_Water sources passed]]/WWWW[[#This Row],['#_Water sources tested for fecal coliform ]],"no test")</f>
        <v>no test</v>
      </c>
      <c r="CF339" s="959" t="str">
        <f>IFERROR(WWWW[[#This Row],['#_Household passed]]/WWWW[[#This Row],['#_Household water samples tested for fecal coliform]],"no test")</f>
        <v>no test</v>
      </c>
      <c r="CG339" s="960" t="str">
        <f>IF(AND(WWWW[[#This Row],[% of water sources passed]]="no test",WWWW[[#This Row],[% Household passed]]="no test"),"No Test","Tested")</f>
        <v>No Test</v>
      </c>
      <c r="CH339" s="960">
        <f>WWWW[[#This Row],['#_Constructed/existing protected hand dug well]]-WWWW[[#This Row],['#_Non-functional protected hand dug well]]</f>
        <v>0</v>
      </c>
      <c r="CI339" s="960">
        <f>(WWWW[[#This Row],['#_Constructed/Existing tube wells/boreholes/handpumps_WASH_agency]]+WWWW[[#This Row],['#_Non-Cluster partner water tube-wells/boreholes/handpumps]])-WWWW[[#This Row],['#_Non-functional tube wells/boreholes/handpumps]]</f>
        <v>0</v>
      </c>
      <c r="CJ339" s="960">
        <f>WWWW[[#This Row],['#_Constructed/Existingwater storage tank with gravity fed reticulation system]]-WWWW[[#This Row],['#_Non-functional storage tank gravity fed reticulation system]]</f>
        <v>8</v>
      </c>
      <c r="CK339" s="960">
        <f>(WWWW[[#This Row],['#_Water_Liters_supplied_by_Water boating or water trucking]]/90)/15</f>
        <v>0</v>
      </c>
      <c r="CL339" s="960">
        <f>WWWW[[#This Row],['#_Water_Liters_from_Constructed/Existing water distribution system from river or natural spring]]/90/15</f>
        <v>0</v>
      </c>
      <c r="CM339" s="417">
        <f>IF(WWWW[[#This Row],['#_of water points in TLS/CFS]]*500&gt;WWWW[[#This Row],[Total PoP ]],WWWW[[#This Row],[Total PoP ]],WWWW[[#This Row],['#_of water points in TLS/CFS]]*500)</f>
        <v>0</v>
      </c>
      <c r="CN339" s="417">
        <f>IF(WWWW[[#This Row],['#_of water points in THF]]*500&gt;WWWW[[#This Row],[Total PoP ]],WWWW[[#This Row],[Total PoP ]],WWWW[[#This Row],['#_of water points in THF]]*500)</f>
        <v>0</v>
      </c>
      <c r="CO339" s="417"/>
      <c r="CP339"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0.36985668053629223</v>
      </c>
      <c r="CQ339"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0.36985668053629223</v>
      </c>
      <c r="CR339" s="959">
        <f>IF(WWWW[[#This Row],[Location Type 1]]="Village",WWWW[[#This Row],[Access to safe drinking water for Village]],WWWW[[#This Row],[Access to safe drinking water for Camp]])</f>
        <v>0.36985668053629223</v>
      </c>
      <c r="CS339" s="957">
        <f>WWWW[[#This Row],[%Equitable and continuous access to sufficient quantity of safe drinking water]]*WWWW[[#This Row],[Total PoP ]]</f>
        <v>533.33333333333337</v>
      </c>
      <c r="CT339" s="959">
        <f>IF((WWWW[[#This Row],['#_Constructed/Existing protected/fenced ponds]]*250)/WWWW[[#This Row],[Total PoP ]]&gt;1,1,(WWWW[[#This Row],['#_Constructed/Existing protected/fenced ponds]]*250)/WWWW[[#This Row],[Total PoP ]])</f>
        <v>0</v>
      </c>
      <c r="CU339" s="957">
        <f>WWWW[[#This Row],[% Access to unimproved water points]]*WWWW[[#This Row],[Total PoP ]]</f>
        <v>0</v>
      </c>
      <c r="CV339"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0.36985668053629223</v>
      </c>
      <c r="CW339"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533.33333333333337</v>
      </c>
      <c r="CX339" s="957">
        <f>WWWW[[#This Row],[HRP1]]/500</f>
        <v>1.0666666666666667</v>
      </c>
      <c r="CY339" s="962">
        <f>1-WWWW[[#This Row],[% Equitable and continuous access to sufficient quantity of domestic water]]</f>
        <v>0.63014331946370783</v>
      </c>
      <c r="CZ339" s="957">
        <f>WWWW[[#This Row],[%equitable and continuous access to sufficient quantity of safe drinking and domestic water''s GAP]]*WWWW[[#This Row],[Total PoP ]]</f>
        <v>908.66666666666674</v>
      </c>
      <c r="DA339" s="960">
        <f>IF(WWWW[[#This Row],[Total required water points]]-WWWW[[#This Row],['#Water points coverage]]&lt;0,0,WWWW[[#This Row],[Total required water points]]-WWWW[[#This Row],['#Water points coverage]])</f>
        <v>1.9333333333333333</v>
      </c>
      <c r="DB339" s="960">
        <f>ROUND(IF(WWWW[[#This Row],[Total PoP ]]&lt;500,1,WWWW[[#This Row],[Total PoP ]]/500),0)</f>
        <v>3</v>
      </c>
      <c r="DC339" s="960">
        <f>(WWWW[[#This Row],['#_Constructed latrines_by_WASHAgencies]]+WWWW[[#This Row],['#_Non Cluster partner latrines]])-WWWW[[#This Row],['#_Non-functional latrines]]</f>
        <v>304</v>
      </c>
      <c r="DD339" s="615">
        <f>WWWW[[#This Row],[HRP2]]/WWWW[[#This Row],[Total PoP ]]</f>
        <v>1</v>
      </c>
      <c r="DE339"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1442</v>
      </c>
      <c r="DF339"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39"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39" s="417">
        <f>IF(WWWW[[#This Row],['# of functional latrines in THF supported by WASH partners during the reporting period2]]="",0,WWWW[[#This Row],['# of functional latrines in THF supported by WASH partners during the reporting period2]]*50)</f>
        <v>0</v>
      </c>
      <c r="DI339" s="960">
        <f>ROUND(IF(WWWW[[#This Row],[Location Type 1]]="camp",WWWW[[#This Row],[Total PoP ]]/20,IF(WWWW[[#This Row],[Location Type 1]]="Temporary Location",WWWW[[#This Row],[Total PoP ]]/50,(WWWW[[#This Row],[Total PoP ]]/6))),0)</f>
        <v>240</v>
      </c>
      <c r="DJ339" s="960">
        <f>IF(WWWW[[#This Row],[Total required Latrines]]-(WWWW[[#This Row],['#_Constructed latrines_by_WASHAgencies]]+WWWW[[#This Row],['#_Non Cluster partner latrines]])&lt;0,0,WWWW[[#This Row],[Total required Latrines]]-(WWWW[[#This Row],['#_Constructed latrines_by_WASHAgencies]]+WWWW[[#This Row],['#_Non Cluster partner latrines]]))</f>
        <v>0</v>
      </c>
      <c r="DK339" s="962">
        <f>1-WWWW[[#This Row],[% people access to functioning Latrine]]</f>
        <v>0</v>
      </c>
      <c r="DL339" s="961">
        <f>IF(OR(WWWW[[#This Row],['#_Non-functional latrines]]="",WWWW[[#This Row],['#_Non-functional latrines]]=0),0,WWWW[[#This Row],['#_Non-functional latrines]]/(WWWW[[#This Row],['#_Constructed latrines_by_WASHAgencies]]+WWWW[[#This Row],['#_Non Cluster partner latrines]]))</f>
        <v>0.11627906976744186</v>
      </c>
      <c r="DM339" s="957">
        <f>IF(500*(WWWW[[#This Row],['#_male hygiene promoters]]+WWWW[[#This Row],['#_female hygiene promoters]])&gt;WWWW[[#This Row],[Total PoP ]],WWWW[[#This Row],[Total PoP ]],500*(WWWW[[#This Row],['#_male hygiene promoters]]+WWWW[[#This Row],['#_female hygiene promoters]]))</f>
        <v>1442</v>
      </c>
      <c r="DN339"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39"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39" s="960">
        <f>IF(WWWW[[#This Row],['# People with access to soap]]&gt;WWWW[[#This Row],['# People with access to Sanity Pads]],WWWW[[#This Row],['# People with access to soap]],WWWW[[#This Row],['# People with access to Sanity Pads]])</f>
        <v>0</v>
      </c>
      <c r="DQ339" s="960">
        <f>IF(WWWW[[#This Row],['# people reached by regular dedicated hygiene promotion_5]]&gt;WWWW[[#This Row],['# People received regular supply of hygiene items_6]],WWWW[[#This Row],['# people reached by regular dedicated hygiene promotion_5]],WWWW[[#This Row],['# People received regular supply of hygiene items_6]])</f>
        <v>1442</v>
      </c>
      <c r="DR339" s="962">
        <f>IF(WWWW[[#This Row],[HRP3]]/WWWW[[#This Row],[Total PoP ]]&gt;1,1,WWWW[[#This Row],[HRP3]]/WWWW[[#This Row],[Total PoP ]])</f>
        <v>1</v>
      </c>
      <c r="DS339" s="961">
        <f>1-WWWW[[#This Row],[Hygiene Coverage%]]</f>
        <v>0</v>
      </c>
      <c r="DT339" s="959">
        <f>WWWW[[#This Row],['# people reached by regular dedicated hygiene promotion_5]]/WWWW[[#This Row],[Total PoP ]]</f>
        <v>1</v>
      </c>
      <c r="DU339"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39"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39" s="960">
        <f>WWWW[[#This Row],['#_Constructed/Existing hand washing stations]]-WWWW[[#This Row],['#_Non-Functional_hand_washing_stations]]</f>
        <v>177</v>
      </c>
      <c r="DX339" s="957">
        <f>IF(WWWW[[#This Row],['# Functional hand washing stations during reporting period]]*20&gt;WWWW[[#This Row],[Total HH]],WWWW[[#This Row],[Total HH]],WWWW[[#This Row],['# Functional hand washing stations during reporting period]]*20)</f>
        <v>370</v>
      </c>
      <c r="DY339" s="957">
        <f>IF(WWWW[[#This Row],[Is sufficient soap available for TLS? (Yes/No)]]="yes",WWWW[[#This Row],['#_Constructed/Existing hand washing stations at TLS/CFS/THF]],0)</f>
        <v>0</v>
      </c>
      <c r="DZ339" s="421">
        <f>IF(WWWW[[#This Row],['# Functional hand washing stations during reporting period]]*100&gt;WWWW[[#This Row],[Total PoP ]],WWWW[[#This Row],[Total PoP ]],WWWW[[#This Row],['# Functional hand washing stations during reporting period]]*100)</f>
        <v>1442</v>
      </c>
      <c r="EA339" s="421" t="str">
        <f>IF(OR(WWWW[[#This Row],['#_students at TLS_CFS]]="",WWWW[[#This Row],['#_students at TLS_CFS]]=0),"No","Yes")</f>
        <v>No</v>
      </c>
      <c r="EB33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39" s="566">
        <f>WWWW[[#This Row],[%_of_affected_people_surveyed_who_report_feeling_satistfied_with_the_latrine_design_and_sanitation_service]]*WWWW[[#This Row],[Total PoP ]]</f>
        <v>0</v>
      </c>
      <c r="ED339" s="566">
        <f>WWWW[[#This Row],[%_of_affected_people_surveyed_who_report_feeling_satistfied_with_the_water_point_design_and_water_service]]*WWWW[[#This Row],[Total PoP ]]</f>
        <v>0</v>
      </c>
      <c r="EE339" s="566">
        <f>WWWW[[#This Row],[%_of_complaints_received_that_result_in_timely_corrective_action_and_feedback_to_the_community]]*WWWW[[#This Row],[Total PoP ]]</f>
        <v>0</v>
      </c>
      <c r="EF33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3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3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39" s="953" t="str">
        <f>VLOOKUP(WWWW[[#This Row],[Site Name]],SiteDB6[[Site Name]:[CCCM Management]],6,FALSE)</f>
        <v>Yes</v>
      </c>
      <c r="EJ339" s="953" t="str">
        <f>VLOOKUP(WWWW[[#This Row],[Site Name]],SiteDB6[[Site Name]:[CCCM Focal Agency]],7,FALSE)</f>
        <v>KMSS-MYT</v>
      </c>
      <c r="EK339" s="953" t="str">
        <f>VLOOKUP(WWWW[[#This Row],[Site Name]],SiteDB6[[Site Name]:[Location Type 1]],9,FALSE)</f>
        <v>Village Type Camp</v>
      </c>
      <c r="EL339" s="953" t="str">
        <f>VLOOKUP(WWWW[[#This Row],[Site Name]],SiteDB6[[Site Name]:[Type of Accommodation]],10,FALSE)</f>
        <v>Camp</v>
      </c>
      <c r="EM339" s="953" t="str">
        <f>VLOOKUP(WWWW[[#This Row],[Site Name]],SiteDB6[[Site Name]:[Ethnic or GCA/NGCA]],11,FALSE)</f>
        <v>NGCA</v>
      </c>
      <c r="EN339" s="953">
        <f>VLOOKUP(WWWW[[#This Row],[Site Name]],SiteDB6[[Site Name]:[Lat]],12,FALSE)</f>
        <v>24.980250000000002</v>
      </c>
      <c r="EO339" s="953">
        <f>VLOOKUP(WWWW[[#This Row],[Site Name]],SiteDB6[[Site Name]:[Long]],13,FALSE)</f>
        <v>97.715230000000005</v>
      </c>
      <c r="EP339" s="953" t="str">
        <f>VLOOKUP(WWWW[[#This Row],[Site Name]],SiteDB6[[Site Name]:[Pcode]],3,FALSE)</f>
        <v>MMR001CMP119</v>
      </c>
      <c r="EQ339" s="958" t="str">
        <f t="shared" si="7"/>
        <v>Covered</v>
      </c>
      <c r="ER339" s="950" t="s">
        <v>3126</v>
      </c>
      <c r="ES339" s="950" t="s">
        <v>3267</v>
      </c>
      <c r="ET339" s="953">
        <f>VLOOKUP(WWWW[[#This Row],[Site Name]],SiteDB6[[Site Name]:[Pop
(Kachin/Shan-CCCM as of May 2023)]],16,FALSE)</f>
        <v>419</v>
      </c>
      <c r="EU339" s="953">
        <f>VLOOKUP(WWWW[[#This Row],[Site Name]],SiteDB6[[Site Name]:[Pop
(Kachin/Shan-CCCM as of May 2023)]],17,FALSE)</f>
        <v>1607</v>
      </c>
    </row>
    <row r="340" spans="1:151">
      <c r="A340" s="946" t="s">
        <v>2962</v>
      </c>
      <c r="B340" s="946" t="s">
        <v>242</v>
      </c>
      <c r="C340" s="938" t="s">
        <v>242</v>
      </c>
      <c r="D340" s="938" t="s">
        <v>3184</v>
      </c>
      <c r="E340" s="938" t="s">
        <v>37</v>
      </c>
      <c r="F340" s="938" t="s">
        <v>142</v>
      </c>
      <c r="G340" s="902" t="str">
        <f>VLOOKUP(WWWW[[#This Row],[Site Name]],SiteDB6[[Site Name]:[Location Type]],8,FALSE)</f>
        <v>Camp</v>
      </c>
      <c r="H340" s="938" t="s">
        <v>269</v>
      </c>
      <c r="I340" s="441">
        <v>353</v>
      </c>
      <c r="J340" s="441">
        <v>2139</v>
      </c>
      <c r="K340" s="948">
        <v>44927</v>
      </c>
      <c r="L340" s="949">
        <v>45382</v>
      </c>
      <c r="M340" s="441"/>
      <c r="N340" s="441"/>
      <c r="O340" s="441">
        <v>1</v>
      </c>
      <c r="P340" s="441"/>
      <c r="Q340" s="421" t="s">
        <v>41</v>
      </c>
      <c r="R340" s="441">
        <v>1</v>
      </c>
      <c r="S340" s="441">
        <v>8</v>
      </c>
      <c r="T340" s="441">
        <v>2</v>
      </c>
      <c r="U340" s="441">
        <v>1</v>
      </c>
      <c r="V340" s="441"/>
      <c r="W340" s="441">
        <v>3</v>
      </c>
      <c r="X340" s="441"/>
      <c r="Y340" s="441"/>
      <c r="Z340" s="441"/>
      <c r="AA340" s="441"/>
      <c r="AB340" s="441"/>
      <c r="AC340" s="441"/>
      <c r="AD340" s="441"/>
      <c r="AE340" s="441"/>
      <c r="AF340" s="441"/>
      <c r="AG340" s="441"/>
      <c r="AH340" s="441"/>
      <c r="AI340" s="441"/>
      <c r="AJ340" s="441"/>
      <c r="AK340" s="441"/>
      <c r="AL340" s="441"/>
      <c r="AM340" s="441"/>
      <c r="AN340" s="441">
        <v>23</v>
      </c>
      <c r="AO340" s="441"/>
      <c r="AP340" s="950"/>
      <c r="AQ340" s="441">
        <v>28</v>
      </c>
      <c r="AR340" s="441"/>
      <c r="AS340" s="416" t="s">
        <v>3193</v>
      </c>
      <c r="AT340" s="441"/>
      <c r="AU340" s="441"/>
      <c r="AV340" s="441">
        <v>6</v>
      </c>
      <c r="AW340" s="441"/>
      <c r="AX340" s="441"/>
      <c r="AY340" s="418" t="s">
        <v>41</v>
      </c>
      <c r="AZ340" s="950" t="s">
        <v>137</v>
      </c>
      <c r="BA340" s="441"/>
      <c r="BB340" s="441"/>
      <c r="BC340" s="441"/>
      <c r="BD340" s="441"/>
      <c r="BE340" s="441"/>
      <c r="BF340" s="418" t="s">
        <v>3194</v>
      </c>
      <c r="BG340" s="441">
        <v>13</v>
      </c>
      <c r="BH340" s="441">
        <v>3</v>
      </c>
      <c r="BI340" s="441"/>
      <c r="BJ340" s="441">
        <v>7</v>
      </c>
      <c r="BK340" s="441"/>
      <c r="BL340" s="441"/>
      <c r="BM340" s="441">
        <v>1</v>
      </c>
      <c r="BN340" s="441"/>
      <c r="BO340" s="441"/>
      <c r="BP340" s="418"/>
      <c r="BQ340" s="417">
        <v>1</v>
      </c>
      <c r="BR340" s="416">
        <v>0.7</v>
      </c>
      <c r="BS340" s="418"/>
      <c r="BT340" s="416">
        <v>1</v>
      </c>
      <c r="BU340" s="416">
        <v>1</v>
      </c>
      <c r="BV340" s="418">
        <v>5</v>
      </c>
      <c r="BW340" s="416">
        <v>0.9</v>
      </c>
      <c r="BX340" s="441"/>
      <c r="BY340" s="441"/>
      <c r="BZ340" s="441"/>
      <c r="CA340" s="441"/>
      <c r="CB340" s="441"/>
      <c r="CC340" s="693"/>
      <c r="CD340" s="441"/>
      <c r="CE340" s="615" t="str">
        <f>IFERROR(WWWW[[#This Row],['#_Water sources passed]]/WWWW[[#This Row],['#_Water sources tested for fecal coliform ]],"no test")</f>
        <v>no test</v>
      </c>
      <c r="CF340" s="416" t="str">
        <f>IFERROR(WWWW[[#This Row],['#_Household passed]]/WWWW[[#This Row],['#_Household water samples tested for fecal coliform]],"no test")</f>
        <v>no test</v>
      </c>
      <c r="CG340" s="417" t="str">
        <f>IF(AND(WWWW[[#This Row],[% of water sources passed]]="no test",WWWW[[#This Row],[% Household passed]]="no test"),"No Test","Tested")</f>
        <v>No Test</v>
      </c>
      <c r="CH340" s="417">
        <f>WWWW[[#This Row],['#_Constructed/existing protected hand dug well]]-WWWW[[#This Row],['#_Non-functional protected hand dug well]]</f>
        <v>1</v>
      </c>
      <c r="CI340" s="417">
        <f>(WWWW[[#This Row],['#_Constructed/Existing tube wells/boreholes/handpumps_WASH_agency]]+WWWW[[#This Row],['#_Non-Cluster partner water tube-wells/boreholes/handpumps]])-WWWW[[#This Row],['#_Non-functional tube wells/boreholes/handpumps]]</f>
        <v>3</v>
      </c>
      <c r="CJ340" s="417">
        <f>WWWW[[#This Row],['#_Constructed/Existingwater storage tank with gravity fed reticulation system]]-WWWW[[#This Row],['#_Non-functional storage tank gravity fed reticulation system]]</f>
        <v>0</v>
      </c>
      <c r="CK340" s="417">
        <f>(WWWW[[#This Row],['#_Water_Liters_supplied_by_Water boating or water trucking]]/90)/15</f>
        <v>0</v>
      </c>
      <c r="CL340" s="417">
        <f>WWWW[[#This Row],['#_Water_Liters_from_Constructed/Existing water distribution system from river or natural spring]]/90/15</f>
        <v>0</v>
      </c>
      <c r="CM340" s="417">
        <f>IF(WWWW[[#This Row],['#_of water points in TLS/CFS]]*500&gt;WWWW[[#This Row],[Total PoP ]],WWWW[[#This Row],[Total PoP ]],WWWW[[#This Row],['#_of water points in TLS/CFS]]*500)</f>
        <v>2139</v>
      </c>
      <c r="CN340" s="417">
        <f>IF(WWWW[[#This Row],['#_of water points in THF]]*500&gt;WWWW[[#This Row],[Total PoP ]],WWWW[[#This Row],[Total PoP ]],WWWW[[#This Row],['#_of water points in THF]]*500)</f>
        <v>0</v>
      </c>
      <c r="CO340" s="417"/>
      <c r="CP340"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0.88826554464703134</v>
      </c>
      <c r="CQ340"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0.4675081813931744</v>
      </c>
      <c r="CR340" s="416">
        <f>IF(WWWW[[#This Row],[Location Type 1]]="Village",WWWW[[#This Row],[Access to safe drinking water for Village]],WWWW[[#This Row],[Access to safe drinking water for Camp]])</f>
        <v>0.88826554464703134</v>
      </c>
      <c r="CS340" s="421">
        <f>WWWW[[#This Row],[%Equitable and continuous access to sufficient quantity of safe drinking water]]*WWWW[[#This Row],[Total PoP ]]</f>
        <v>1900</v>
      </c>
      <c r="CT340" s="416">
        <f>IF((WWWW[[#This Row],['#_Constructed/Existing protected/fenced ponds]]*250)/WWWW[[#This Row],[Total PoP ]]&gt;1,1,(WWWW[[#This Row],['#_Constructed/Existing protected/fenced ponds]]*250)/WWWW[[#This Row],[Total PoP ]])</f>
        <v>0</v>
      </c>
      <c r="CU340" s="421">
        <f>WWWW[[#This Row],[% Access to unimproved water points]]*WWWW[[#This Row],[Total PoP ]]</f>
        <v>0</v>
      </c>
      <c r="CV340"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0.88826554464703134</v>
      </c>
      <c r="CW340"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1900</v>
      </c>
      <c r="CX340" s="421">
        <f>WWWW[[#This Row],[HRP1]]/500</f>
        <v>3.8</v>
      </c>
      <c r="CY340" s="951">
        <f>1-WWWW[[#This Row],[% Equitable and continuous access to sufficient quantity of domestic water]]</f>
        <v>0.11173445535296866</v>
      </c>
      <c r="CZ340" s="421">
        <f>WWWW[[#This Row],[%equitable and continuous access to sufficient quantity of safe drinking and domestic water''s GAP]]*WWWW[[#This Row],[Total PoP ]]</f>
        <v>238.99999999999997</v>
      </c>
      <c r="DA340" s="417">
        <f>IF(WWWW[[#This Row],[Total required water points]]-WWWW[[#This Row],['#Water points coverage]]&lt;0,0,WWWW[[#This Row],[Total required water points]]-WWWW[[#This Row],['#Water points coverage]])</f>
        <v>0.20000000000000018</v>
      </c>
      <c r="DB340" s="417">
        <f>ROUND(IF(WWWW[[#This Row],[Total PoP ]]&lt;500,1,WWWW[[#This Row],[Total PoP ]]/500),0)</f>
        <v>4</v>
      </c>
      <c r="DC340" s="417">
        <f>(WWWW[[#This Row],['#_Constructed latrines_by_WASHAgencies]]+WWWW[[#This Row],['#_Non Cluster partner latrines]])-WWWW[[#This Row],['#_Non-functional latrines]]</f>
        <v>28</v>
      </c>
      <c r="DD340" s="615">
        <f>WWWW[[#This Row],[HRP2]]/WWWW[[#This Row],[Total PoP ]]</f>
        <v>0.26180458158017766</v>
      </c>
      <c r="DE340"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560</v>
      </c>
      <c r="DF340"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120</v>
      </c>
      <c r="DG340"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40" s="417">
        <f>IF(WWWW[[#This Row],['# of functional latrines in THF supported by WASH partners during the reporting period2]]="",0,WWWW[[#This Row],['# of functional latrines in THF supported by WASH partners during the reporting period2]]*50)</f>
        <v>0</v>
      </c>
      <c r="DI340" s="417">
        <f>ROUND(IF(WWWW[[#This Row],[Location Type 1]]="camp",WWWW[[#This Row],[Total PoP ]]/20,IF(WWWW[[#This Row],[Location Type 1]]="Temporary Location",WWWW[[#This Row],[Total PoP ]]/50,(WWWW[[#This Row],[Total PoP ]]/6))),0)</f>
        <v>107</v>
      </c>
      <c r="DJ340" s="417">
        <f>IF(WWWW[[#This Row],[Total required Latrines]]-(WWWW[[#This Row],['#_Constructed latrines_by_WASHAgencies]]+WWWW[[#This Row],['#_Non Cluster partner latrines]])&lt;0,0,WWWW[[#This Row],[Total required Latrines]]-(WWWW[[#This Row],['#_Constructed latrines_by_WASHAgencies]]+WWWW[[#This Row],['#_Non Cluster partner latrines]]))</f>
        <v>79</v>
      </c>
      <c r="DK340" s="951">
        <f>1-WWWW[[#This Row],[% people access to functioning Latrine]]</f>
        <v>0.73819541841982228</v>
      </c>
      <c r="DL340" s="615">
        <f>IF(OR(WWWW[[#This Row],['#_Non-functional latrines]]="",WWWW[[#This Row],['#_Non-functional latrines]]=0),0,WWWW[[#This Row],['#_Non-functional latrines]]/(WWWW[[#This Row],['#_Constructed latrines_by_WASHAgencies]]+WWWW[[#This Row],['#_Non Cluster partner latrines]]))</f>
        <v>0</v>
      </c>
      <c r="DM340" s="421">
        <f>IF(500*(WWWW[[#This Row],['#_male hygiene promoters]]+WWWW[[#This Row],['#_female hygiene promoters]])&gt;WWWW[[#This Row],[Total PoP ]],WWWW[[#This Row],[Total PoP ]],500*(WWWW[[#This Row],['#_male hygiene promoters]]+WWWW[[#This Row],['#_female hygiene promoters]]))</f>
        <v>500</v>
      </c>
      <c r="DN340"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40"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40" s="417">
        <f>IF(WWWW[[#This Row],['# People with access to soap]]&gt;WWWW[[#This Row],['# People with access to Sanity Pads]],WWWW[[#This Row],['# People with access to soap]],WWWW[[#This Row],['# People with access to Sanity Pads]])</f>
        <v>0</v>
      </c>
      <c r="DQ340" s="41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340" s="951">
        <f>IF(WWWW[[#This Row],[HRP3]]/WWWW[[#This Row],[Total PoP ]]&gt;1,1,WWWW[[#This Row],[HRP3]]/WWWW[[#This Row],[Total PoP ]])</f>
        <v>0.2337540906965872</v>
      </c>
      <c r="DS340" s="615">
        <f>1-WWWW[[#This Row],[Hygiene Coverage%]]</f>
        <v>0.76624590930341285</v>
      </c>
      <c r="DT340" s="416">
        <f>WWWW[[#This Row],['# people reached by regular dedicated hygiene promotion_5]]/WWWW[[#This Row],[Total PoP ]]</f>
        <v>0.2337540906965872</v>
      </c>
      <c r="DU340"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40"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40" s="417">
        <f>WWWW[[#This Row],['#_Constructed/Existing hand washing stations]]-WWWW[[#This Row],['#_Non-Functional_hand_washing_stations]]</f>
        <v>10</v>
      </c>
      <c r="DX340" s="421">
        <f>IF(WWWW[[#This Row],['# Functional hand washing stations during reporting period]]*20&gt;WWWW[[#This Row],[Total HH]],WWWW[[#This Row],[Total HH]],WWWW[[#This Row],['# Functional hand washing stations during reporting period]]*20)</f>
        <v>200</v>
      </c>
      <c r="DY340" s="421">
        <f>IF(WWWW[[#This Row],[Is sufficient soap available for TLS? (Yes/No)]]="yes",WWWW[[#This Row],['#_Constructed/Existing hand washing stations at TLS/CFS/THF]],0)</f>
        <v>0</v>
      </c>
      <c r="DZ340" s="421">
        <f>IF(WWWW[[#This Row],['# Functional hand washing stations during reporting period]]*100&gt;WWWW[[#This Row],[Total PoP ]],WWWW[[#This Row],[Total PoP ]],WWWW[[#This Row],['# Functional hand washing stations during reporting period]]*100)</f>
        <v>1000</v>
      </c>
      <c r="EA340" s="421" t="str">
        <f>IF(OR(WWWW[[#This Row],['#_students at TLS_CFS]]="",WWWW[[#This Row],['#_students at TLS_CFS]]=0),"No","Yes")</f>
        <v>No</v>
      </c>
      <c r="EB340" s="615">
        <f>IF(WWWW[[#This Row],['#_of_affected_people_surveyed_who_report_feeling_informed_about_the_different_WASH_services_available_to_them]]="","",WWWW[[#This Row],['#_of_affected_people_surveyed_who_report_feeling_informed_about_the_different_WASH_services_available_to_them]]/WWWW[[#This Row],[Total PoP ]])</f>
        <v>2.3375409069658717E-3</v>
      </c>
      <c r="EC340" s="566">
        <f>WWWW[[#This Row],[%_of_affected_people_surveyed_who_report_feeling_satistfied_with_the_latrine_design_and_sanitation_service]]*WWWW[[#This Row],[Total PoP ]]</f>
        <v>2139</v>
      </c>
      <c r="ED340" s="566">
        <f>WWWW[[#This Row],[%_of_affected_people_surveyed_who_report_feeling_satistfied_with_the_water_point_design_and_water_service]]*WWWW[[#This Row],[Total PoP ]]</f>
        <v>2139</v>
      </c>
      <c r="EE340" s="566">
        <f>WWWW[[#This Row],[%_of_complaints_received_that_result_in_timely_corrective_action_and_feedback_to_the_community]]*WWWW[[#This Row],[Total PoP ]]</f>
        <v>1925.1000000000001</v>
      </c>
      <c r="EF34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2139</v>
      </c>
      <c r="EG34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2139</v>
      </c>
      <c r="EH34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40" s="418" t="str">
        <f>VLOOKUP(WWWW[[#This Row],[Site Name]],SiteDB6[[Site Name]:[CCCM Management]],6,FALSE)</f>
        <v>Yes</v>
      </c>
      <c r="EJ340" s="418" t="str">
        <f>VLOOKUP(WWWW[[#This Row],[Site Name]],SiteDB6[[Site Name]:[CCCM Focal Agency]],7,FALSE)</f>
        <v>Shalom</v>
      </c>
      <c r="EK340" s="418" t="str">
        <f>VLOOKUP(WWWW[[#This Row],[Site Name]],SiteDB6[[Site Name]:[Location Type 1]],9,FALSE)</f>
        <v>Camp</v>
      </c>
      <c r="EL340" s="418" t="str">
        <f>VLOOKUP(WWWW[[#This Row],[Site Name]],SiteDB6[[Site Name]:[Type of Accommodation]],10,FALSE)</f>
        <v>Camp</v>
      </c>
      <c r="EM340" s="418" t="str">
        <f>VLOOKUP(WWWW[[#This Row],[Site Name]],SiteDB6[[Site Name]:[Ethnic or GCA/NGCA]],11,FALSE)</f>
        <v>GCA</v>
      </c>
      <c r="EN340" s="418">
        <f>VLOOKUP(WWWW[[#This Row],[Site Name]],SiteDB6[[Site Name]:[Lat]],12,FALSE)</f>
        <v>25.424529444444399</v>
      </c>
      <c r="EO340" s="418">
        <f>VLOOKUP(WWWW[[#This Row],[Site Name]],SiteDB6[[Site Name]:[Long]],13,FALSE)</f>
        <v>97.433419259259296</v>
      </c>
      <c r="EP340" s="418" t="str">
        <f>VLOOKUP(WWWW[[#This Row],[Site Name]],SiteDB6[[Site Name]:[Pcode]],3,FALSE)</f>
        <v>MMR001CMP031</v>
      </c>
      <c r="EQ340" s="950" t="str">
        <f t="shared" si="7"/>
        <v>Covered</v>
      </c>
      <c r="ER340" s="950" t="s">
        <v>136</v>
      </c>
      <c r="ES340" s="950" t="s">
        <v>3265</v>
      </c>
      <c r="ET340" s="418">
        <f>VLOOKUP(WWWW[[#This Row],[Site Name]],SiteDB6[[Site Name]:[Pop
(Kachin/Shan-CCCM as of May 2023)]],16,FALSE)</f>
        <v>353</v>
      </c>
      <c r="EU340" s="418">
        <f>VLOOKUP(WWWW[[#This Row],[Site Name]],SiteDB6[[Site Name]:[Pop
(Kachin/Shan-CCCM as of May 2023)]],17,FALSE)</f>
        <v>2139</v>
      </c>
    </row>
    <row r="341" spans="1:151">
      <c r="A341" s="946" t="s">
        <v>2962</v>
      </c>
      <c r="B341" s="1004" t="s">
        <v>36</v>
      </c>
      <c r="C341" s="1005" t="s">
        <v>36</v>
      </c>
      <c r="D341" s="1005" t="s">
        <v>241</v>
      </c>
      <c r="E341" s="1005" t="s">
        <v>37</v>
      </c>
      <c r="F341" s="1005" t="s">
        <v>142</v>
      </c>
      <c r="G341" s="902" t="str">
        <f>VLOOKUP(WWWW[[#This Row],[Site Name]],SiteDB6[[Site Name]:[Location Type]],8,FALSE)</f>
        <v>Camp</v>
      </c>
      <c r="H341" s="1005" t="s">
        <v>237</v>
      </c>
      <c r="I341" s="954">
        <v>210</v>
      </c>
      <c r="J341" s="954">
        <v>1235</v>
      </c>
      <c r="K341" s="955">
        <v>44973</v>
      </c>
      <c r="L341" s="956">
        <v>45337</v>
      </c>
      <c r="M341" s="954"/>
      <c r="N341" s="954">
        <v>5</v>
      </c>
      <c r="O341" s="954"/>
      <c r="P341" s="954"/>
      <c r="Q341" s="957" t="s">
        <v>41</v>
      </c>
      <c r="R341" s="954">
        <v>4</v>
      </c>
      <c r="S341" s="954">
        <v>3</v>
      </c>
      <c r="T341" s="441">
        <v>11</v>
      </c>
      <c r="U341" s="954"/>
      <c r="V341" s="954"/>
      <c r="W341" s="954"/>
      <c r="X341" s="954"/>
      <c r="Y341" s="954"/>
      <c r="Z341" s="954"/>
      <c r="AA341" s="954"/>
      <c r="AB341" s="954"/>
      <c r="AC341" s="954"/>
      <c r="AD341" s="954"/>
      <c r="AE341" s="954"/>
      <c r="AF341" s="954"/>
      <c r="AG341" s="954"/>
      <c r="AH341" s="954"/>
      <c r="AI341" s="954">
        <v>7</v>
      </c>
      <c r="AJ341" s="954">
        <v>4</v>
      </c>
      <c r="AK341" s="954">
        <v>7</v>
      </c>
      <c r="AL341" s="954">
        <v>3</v>
      </c>
      <c r="AM341" s="954">
        <v>5</v>
      </c>
      <c r="AN341" s="954"/>
      <c r="AO341" s="441"/>
      <c r="AP341" s="958"/>
      <c r="AQ341" s="954">
        <v>97</v>
      </c>
      <c r="AR341" s="954"/>
      <c r="AS341" s="959"/>
      <c r="AT341" s="954"/>
      <c r="AU341" s="954"/>
      <c r="AV341" s="954"/>
      <c r="AW341" s="954"/>
      <c r="AX341" s="954"/>
      <c r="AY341" s="953" t="s">
        <v>41</v>
      </c>
      <c r="AZ341" s="958" t="s">
        <v>137</v>
      </c>
      <c r="BA341" s="954"/>
      <c r="BB341" s="954"/>
      <c r="BC341" s="954"/>
      <c r="BD341" s="441"/>
      <c r="BE341" s="441"/>
      <c r="BF341" s="953"/>
      <c r="BG341" s="954">
        <v>1</v>
      </c>
      <c r="BH341" s="954"/>
      <c r="BI341" s="954"/>
      <c r="BJ341" s="954">
        <v>4</v>
      </c>
      <c r="BK341" s="954"/>
      <c r="BL341" s="954"/>
      <c r="BM341" s="954">
        <v>2</v>
      </c>
      <c r="BN341" s="954"/>
      <c r="BO341" s="954"/>
      <c r="BP341" s="953" t="s">
        <v>41</v>
      </c>
      <c r="BQ341" s="960"/>
      <c r="BR341" s="959"/>
      <c r="BS341" s="953"/>
      <c r="BT341" s="416"/>
      <c r="BU341" s="416"/>
      <c r="BV341" s="418"/>
      <c r="BW341" s="416"/>
      <c r="BX341" s="441"/>
      <c r="BY341" s="441"/>
      <c r="BZ341" s="441"/>
      <c r="CA341" s="441"/>
      <c r="CB341" s="441"/>
      <c r="CC341" s="693"/>
      <c r="CD341" s="441"/>
      <c r="CE341" s="961">
        <f>IFERROR(WWWW[[#This Row],['#_Water sources passed]]/WWWW[[#This Row],['#_Water sources tested for fecal coliform ]],"no test")</f>
        <v>0.5714285714285714</v>
      </c>
      <c r="CF341" s="959">
        <f>IFERROR(WWWW[[#This Row],['#_Household passed]]/WWWW[[#This Row],['#_Household water samples tested for fecal coliform]],"no test")</f>
        <v>0.42857142857142855</v>
      </c>
      <c r="CG341" s="960" t="str">
        <f>IF(AND(WWWW[[#This Row],[% of water sources passed]]="no test",WWWW[[#This Row],[% Household passed]]="no test"),"No Test","Tested")</f>
        <v>Tested</v>
      </c>
      <c r="CH341" s="960">
        <f>WWWW[[#This Row],['#_Constructed/existing protected hand dug well]]-WWWW[[#This Row],['#_Non-functional protected hand dug well]]</f>
        <v>11</v>
      </c>
      <c r="CI341" s="960">
        <f>(WWWW[[#This Row],['#_Constructed/Existing tube wells/boreholes/handpumps_WASH_agency]]+WWWW[[#This Row],['#_Non-Cluster partner water tube-wells/boreholes/handpumps]])-WWWW[[#This Row],['#_Non-functional tube wells/boreholes/handpumps]]</f>
        <v>0</v>
      </c>
      <c r="CJ341" s="960">
        <f>WWWW[[#This Row],['#_Constructed/Existingwater storage tank with gravity fed reticulation system]]-WWWW[[#This Row],['#_Non-functional storage tank gravity fed reticulation system]]</f>
        <v>0</v>
      </c>
      <c r="CK341" s="960">
        <f>(WWWW[[#This Row],['#_Water_Liters_supplied_by_Water boating or water trucking]]/90)/15</f>
        <v>0</v>
      </c>
      <c r="CL341" s="960">
        <f>WWWW[[#This Row],['#_Water_Liters_from_Constructed/Existing water distribution system from river or natural spring]]/90/15</f>
        <v>0</v>
      </c>
      <c r="CM341" s="417">
        <f>IF(WWWW[[#This Row],['#_of water points in TLS/CFS]]*500&gt;WWWW[[#This Row],[Total PoP ]],WWWW[[#This Row],[Total PoP ]],WWWW[[#This Row],['#_of water points in TLS/CFS]]*500)</f>
        <v>0</v>
      </c>
      <c r="CN341" s="417">
        <f>IF(WWWW[[#This Row],['#_of water points in THF]]*500&gt;WWWW[[#This Row],[Total PoP ]],WWWW[[#This Row],[Total PoP ]],WWWW[[#This Row],['#_of water points in THF]]*500)</f>
        <v>0</v>
      </c>
      <c r="CO341" s="417"/>
      <c r="CP341"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41"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41" s="959">
        <f>IF(WWWW[[#This Row],[Location Type 1]]="Village",WWWW[[#This Row],[Access to safe drinking water for Village]],WWWW[[#This Row],[Access to safe drinking water for Camp]])</f>
        <v>1</v>
      </c>
      <c r="CS341" s="957">
        <f>WWWW[[#This Row],[%Equitable and continuous access to sufficient quantity of safe drinking water]]*WWWW[[#This Row],[Total PoP ]]</f>
        <v>1235</v>
      </c>
      <c r="CT341" s="959">
        <f>IF((WWWW[[#This Row],['#_Constructed/Existing protected/fenced ponds]]*250)/WWWW[[#This Row],[Total PoP ]]&gt;1,1,(WWWW[[#This Row],['#_Constructed/Existing protected/fenced ponds]]*250)/WWWW[[#This Row],[Total PoP ]])</f>
        <v>0</v>
      </c>
      <c r="CU341" s="957">
        <f>WWWW[[#This Row],[% Access to unimproved water points]]*WWWW[[#This Row],[Total PoP ]]</f>
        <v>0</v>
      </c>
      <c r="CV341"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41"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1235</v>
      </c>
      <c r="CX341" s="957">
        <f>WWWW[[#This Row],[HRP1]]/500</f>
        <v>2.4700000000000002</v>
      </c>
      <c r="CY341" s="962">
        <f>1-WWWW[[#This Row],[% Equitable and continuous access to sufficient quantity of domestic water]]</f>
        <v>0</v>
      </c>
      <c r="CZ341" s="957">
        <f>WWWW[[#This Row],[%equitable and continuous access to sufficient quantity of safe drinking and domestic water''s GAP]]*WWWW[[#This Row],[Total PoP ]]</f>
        <v>0</v>
      </c>
      <c r="DA341" s="960">
        <f>IF(WWWW[[#This Row],[Total required water points]]-WWWW[[#This Row],['#Water points coverage]]&lt;0,0,WWWW[[#This Row],[Total required water points]]-WWWW[[#This Row],['#Water points coverage]])</f>
        <v>0</v>
      </c>
      <c r="DB341" s="960">
        <f>ROUND(IF(WWWW[[#This Row],[Total PoP ]]&lt;500,1,WWWW[[#This Row],[Total PoP ]]/500),0)</f>
        <v>2</v>
      </c>
      <c r="DC341" s="960">
        <f>(WWWW[[#This Row],['#_Constructed latrines_by_WASHAgencies]]+WWWW[[#This Row],['#_Non Cluster partner latrines]])-WWWW[[#This Row],['#_Non-functional latrines]]</f>
        <v>97</v>
      </c>
      <c r="DD341" s="615">
        <f>WWWW[[#This Row],[HRP2]]/WWWW[[#This Row],[Total PoP ]]</f>
        <v>1</v>
      </c>
      <c r="DE341"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1235</v>
      </c>
      <c r="DF341"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41"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41" s="417">
        <f>IF(WWWW[[#This Row],['# of functional latrines in THF supported by WASH partners during the reporting period2]]="",0,WWWW[[#This Row],['# of functional latrines in THF supported by WASH partners during the reporting period2]]*50)</f>
        <v>0</v>
      </c>
      <c r="DI341" s="960">
        <f>ROUND(IF(WWWW[[#This Row],[Location Type 1]]="camp",WWWW[[#This Row],[Total PoP ]]/20,IF(WWWW[[#This Row],[Location Type 1]]="Temporary Location",WWWW[[#This Row],[Total PoP ]]/50,(WWWW[[#This Row],[Total PoP ]]/6))),0)</f>
        <v>62</v>
      </c>
      <c r="DJ341" s="960">
        <f>IF(WWWW[[#This Row],[Total required Latrines]]-(WWWW[[#This Row],['#_Constructed latrines_by_WASHAgencies]]+WWWW[[#This Row],['#_Non Cluster partner latrines]])&lt;0,0,WWWW[[#This Row],[Total required Latrines]]-(WWWW[[#This Row],['#_Constructed latrines_by_WASHAgencies]]+WWWW[[#This Row],['#_Non Cluster partner latrines]]))</f>
        <v>0</v>
      </c>
      <c r="DK341" s="962">
        <f>1-WWWW[[#This Row],[% people access to functioning Latrine]]</f>
        <v>0</v>
      </c>
      <c r="DL341" s="961">
        <f>IF(OR(WWWW[[#This Row],['#_Non-functional latrines]]="",WWWW[[#This Row],['#_Non-functional latrines]]=0),0,WWWW[[#This Row],['#_Non-functional latrines]]/(WWWW[[#This Row],['#_Constructed latrines_by_WASHAgencies]]+WWWW[[#This Row],['#_Non Cluster partner latrines]]))</f>
        <v>0</v>
      </c>
      <c r="DM341" s="957">
        <f>IF(500*(WWWW[[#This Row],['#_male hygiene promoters]]+WWWW[[#This Row],['#_female hygiene promoters]])&gt;WWWW[[#This Row],[Total PoP ]],WWWW[[#This Row],[Total PoP ]],500*(WWWW[[#This Row],['#_male hygiene promoters]]+WWWW[[#This Row],['#_female hygiene promoters]]))</f>
        <v>1000</v>
      </c>
      <c r="DN341"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41"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41" s="960">
        <f>IF(WWWW[[#This Row],['# People with access to soap]]&gt;WWWW[[#This Row],['# People with access to Sanity Pads]],WWWW[[#This Row],['# People with access to soap]],WWWW[[#This Row],['# People with access to Sanity Pads]])</f>
        <v>0</v>
      </c>
      <c r="DQ341" s="960">
        <f>IF(WWWW[[#This Row],['# people reached by regular dedicated hygiene promotion_5]]&gt;WWWW[[#This Row],['# People received regular supply of hygiene items_6]],WWWW[[#This Row],['# people reached by regular dedicated hygiene promotion_5]],WWWW[[#This Row],['# People received regular supply of hygiene items_6]])</f>
        <v>1000</v>
      </c>
      <c r="DR341" s="962">
        <f>IF(WWWW[[#This Row],[HRP3]]/WWWW[[#This Row],[Total PoP ]]&gt;1,1,WWWW[[#This Row],[HRP3]]/WWWW[[#This Row],[Total PoP ]])</f>
        <v>0.80971659919028338</v>
      </c>
      <c r="DS341" s="961">
        <f>1-WWWW[[#This Row],[Hygiene Coverage%]]</f>
        <v>0.19028340080971662</v>
      </c>
      <c r="DT341" s="959">
        <f>WWWW[[#This Row],['# people reached by regular dedicated hygiene promotion_5]]/WWWW[[#This Row],[Total PoP ]]</f>
        <v>0.80971659919028338</v>
      </c>
      <c r="DU341"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41"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41" s="960">
        <f>WWWW[[#This Row],['#_Constructed/Existing hand washing stations]]-WWWW[[#This Row],['#_Non-Functional_hand_washing_stations]]</f>
        <v>1</v>
      </c>
      <c r="DX341" s="957">
        <f>IF(WWWW[[#This Row],['# Functional hand washing stations during reporting period]]*20&gt;WWWW[[#This Row],[Total HH]],WWWW[[#This Row],[Total HH]],WWWW[[#This Row],['# Functional hand washing stations during reporting period]]*20)</f>
        <v>20</v>
      </c>
      <c r="DY341" s="957">
        <f>IF(WWWW[[#This Row],[Is sufficient soap available for TLS? (Yes/No)]]="yes",WWWW[[#This Row],['#_Constructed/Existing hand washing stations at TLS/CFS/THF]],0)</f>
        <v>5</v>
      </c>
      <c r="DZ341" s="421">
        <f>IF(WWWW[[#This Row],['# Functional hand washing stations during reporting period]]*100&gt;WWWW[[#This Row],[Total PoP ]],WWWW[[#This Row],[Total PoP ]],WWWW[[#This Row],['# Functional hand washing stations during reporting period]]*100)</f>
        <v>100</v>
      </c>
      <c r="EA341" s="421" t="str">
        <f>IF(OR(WWWW[[#This Row],['#_students at TLS_CFS]]="",WWWW[[#This Row],['#_students at TLS_CFS]]=0),"No","Yes")</f>
        <v>No</v>
      </c>
      <c r="EB34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41" s="566">
        <f>WWWW[[#This Row],[%_of_affected_people_surveyed_who_report_feeling_satistfied_with_the_latrine_design_and_sanitation_service]]*WWWW[[#This Row],[Total PoP ]]</f>
        <v>0</v>
      </c>
      <c r="ED341" s="566">
        <f>WWWW[[#This Row],[%_of_affected_people_surveyed_who_report_feeling_satistfied_with_the_water_point_design_and_water_service]]*WWWW[[#This Row],[Total PoP ]]</f>
        <v>0</v>
      </c>
      <c r="EE341" s="566">
        <f>WWWW[[#This Row],[%_of_complaints_received_that_result_in_timely_corrective_action_and_feedback_to_the_community]]*WWWW[[#This Row],[Total PoP ]]</f>
        <v>0</v>
      </c>
      <c r="EF34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4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4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41" s="953" t="str">
        <f>VLOOKUP(WWWW[[#This Row],[Site Name]],SiteDB6[[Site Name]:[CCCM Management]],6,FALSE)</f>
        <v>Yes</v>
      </c>
      <c r="EJ341" s="953" t="str">
        <f>VLOOKUP(WWWW[[#This Row],[Site Name]],SiteDB6[[Site Name]:[CCCM Focal Agency]],7,FALSE)</f>
        <v>KMSS-MYT</v>
      </c>
      <c r="EK341" s="953" t="str">
        <f>VLOOKUP(WWWW[[#This Row],[Site Name]],SiteDB6[[Site Name]:[Location Type 1]],9,FALSE)</f>
        <v>Camp</v>
      </c>
      <c r="EL341" s="953" t="str">
        <f>VLOOKUP(WWWW[[#This Row],[Site Name]],SiteDB6[[Site Name]:[Type of Accommodation]],10,FALSE)</f>
        <v>Camp</v>
      </c>
      <c r="EM341" s="953" t="str">
        <f>VLOOKUP(WWWW[[#This Row],[Site Name]],SiteDB6[[Site Name]:[Ethnic or GCA/NGCA]],11,FALSE)</f>
        <v>GCA</v>
      </c>
      <c r="EN341" s="953">
        <f>VLOOKUP(WWWW[[#This Row],[Site Name]],SiteDB6[[Site Name]:[Lat]],12,FALSE)</f>
        <v>25.415667500000001</v>
      </c>
      <c r="EO341" s="953">
        <f>VLOOKUP(WWWW[[#This Row],[Site Name]],SiteDB6[[Site Name]:[Long]],13,FALSE)</f>
        <v>97.437782499999997</v>
      </c>
      <c r="EP341" s="953" t="str">
        <f>VLOOKUP(WWWW[[#This Row],[Site Name]],SiteDB6[[Site Name]:[Pcode]],3,FALSE)</f>
        <v>MMR001CMP029</v>
      </c>
      <c r="EQ341" s="958" t="str">
        <f t="shared" si="7"/>
        <v>Covered</v>
      </c>
      <c r="ER341" s="950" t="s">
        <v>3126</v>
      </c>
      <c r="ES341" s="972" t="s">
        <v>3346</v>
      </c>
      <c r="ET341" s="953">
        <f>VLOOKUP(WWWW[[#This Row],[Site Name]],SiteDB6[[Site Name]:[Pop
(Kachin/Shan-CCCM as of May 2023)]],16,FALSE)</f>
        <v>214</v>
      </c>
      <c r="EU341" s="953">
        <f>VLOOKUP(WWWW[[#This Row],[Site Name]],SiteDB6[[Site Name]:[Pop
(Kachin/Shan-CCCM as of May 2023)]],17,FALSE)</f>
        <v>1245</v>
      </c>
    </row>
    <row r="342" spans="1:151">
      <c r="A342" s="946" t="s">
        <v>2962</v>
      </c>
      <c r="B342" s="938" t="s">
        <v>3347</v>
      </c>
      <c r="C342" s="1005" t="s">
        <v>3347</v>
      </c>
      <c r="D342" s="1005" t="s">
        <v>241</v>
      </c>
      <c r="E342" s="1005" t="s">
        <v>37</v>
      </c>
      <c r="F342" s="1005" t="s">
        <v>142</v>
      </c>
      <c r="G342" s="902" t="str">
        <f>VLOOKUP(WWWW[[#This Row],[Site Name]],SiteDB6[[Site Name]:[Location Type]],8,FALSE)</f>
        <v>Camp</v>
      </c>
      <c r="H342" s="1005" t="s">
        <v>178</v>
      </c>
      <c r="I342" s="954">
        <v>311</v>
      </c>
      <c r="J342" s="954">
        <v>1702</v>
      </c>
      <c r="K342" s="955">
        <v>44811</v>
      </c>
      <c r="L342" s="956">
        <v>45175</v>
      </c>
      <c r="M342" s="954"/>
      <c r="N342" s="954">
        <v>5</v>
      </c>
      <c r="O342" s="954"/>
      <c r="P342" s="954"/>
      <c r="Q342" s="957" t="s">
        <v>41</v>
      </c>
      <c r="R342" s="954">
        <v>3</v>
      </c>
      <c r="S342" s="954">
        <v>4</v>
      </c>
      <c r="T342" s="973">
        <v>10</v>
      </c>
      <c r="U342" s="954"/>
      <c r="V342" s="954"/>
      <c r="W342" s="973"/>
      <c r="X342" s="954"/>
      <c r="Y342" s="954"/>
      <c r="Z342" s="954"/>
      <c r="AA342" s="954"/>
      <c r="AB342" s="954"/>
      <c r="AC342" s="954"/>
      <c r="AD342" s="954"/>
      <c r="AE342" s="954"/>
      <c r="AF342" s="954"/>
      <c r="AG342" s="954"/>
      <c r="AH342" s="954">
        <v>10</v>
      </c>
      <c r="AI342" s="954"/>
      <c r="AJ342" s="954"/>
      <c r="AK342" s="954"/>
      <c r="AL342" s="954"/>
      <c r="AM342" s="954"/>
      <c r="AN342" s="954"/>
      <c r="AO342" s="441"/>
      <c r="AP342" s="958"/>
      <c r="AQ342" s="973">
        <v>110</v>
      </c>
      <c r="AR342" s="954"/>
      <c r="AS342" s="959"/>
      <c r="AT342" s="954">
        <v>4</v>
      </c>
      <c r="AU342" s="954">
        <v>20</v>
      </c>
      <c r="AV342" s="954"/>
      <c r="AW342" s="954"/>
      <c r="AX342" s="954">
        <v>86</v>
      </c>
      <c r="AY342" s="953" t="s">
        <v>41</v>
      </c>
      <c r="AZ342" s="958" t="s">
        <v>137</v>
      </c>
      <c r="BA342" s="954"/>
      <c r="BB342" s="954"/>
      <c r="BC342" s="954"/>
      <c r="BD342" s="441"/>
      <c r="BE342" s="441"/>
      <c r="BF342" s="953"/>
      <c r="BG342" s="954">
        <v>7</v>
      </c>
      <c r="BH342" s="954"/>
      <c r="BI342" s="954"/>
      <c r="BJ342" s="954">
        <v>9</v>
      </c>
      <c r="BK342" s="954">
        <v>3</v>
      </c>
      <c r="BL342" s="954">
        <v>2</v>
      </c>
      <c r="BM342" s="954">
        <v>4</v>
      </c>
      <c r="BN342" s="954"/>
      <c r="BO342" s="954"/>
      <c r="BP342" s="953"/>
      <c r="BQ342" s="960"/>
      <c r="BR342" s="959"/>
      <c r="BS342" s="953"/>
      <c r="BT342" s="416"/>
      <c r="BU342" s="416"/>
      <c r="BV342" s="418"/>
      <c r="BW342" s="416"/>
      <c r="BX342" s="441"/>
      <c r="BY342" s="441"/>
      <c r="BZ342" s="441"/>
      <c r="CA342" s="441"/>
      <c r="CB342" s="441"/>
      <c r="CC342" s="693"/>
      <c r="CD342" s="441"/>
      <c r="CE342" s="961" t="str">
        <f>IFERROR(WWWW[[#This Row],['#_Water sources passed]]/WWWW[[#This Row],['#_Water sources tested for fecal coliform ]],"no test")</f>
        <v>no test</v>
      </c>
      <c r="CF342" s="959" t="str">
        <f>IFERROR(WWWW[[#This Row],['#_Household passed]]/WWWW[[#This Row],['#_Household water samples tested for fecal coliform]],"no test")</f>
        <v>no test</v>
      </c>
      <c r="CG342" s="960" t="str">
        <f>IF(AND(WWWW[[#This Row],[% of water sources passed]]="no test",WWWW[[#This Row],[% Household passed]]="no test"),"No Test","Tested")</f>
        <v>No Test</v>
      </c>
      <c r="CH342" s="960">
        <f>WWWW[[#This Row],['#_Constructed/existing protected hand dug well]]-WWWW[[#This Row],['#_Non-functional protected hand dug well]]</f>
        <v>10</v>
      </c>
      <c r="CI342" s="960">
        <f>(WWWW[[#This Row],['#_Constructed/Existing tube wells/boreholes/handpumps_WASH_agency]]+WWWW[[#This Row],['#_Non-Cluster partner water tube-wells/boreholes/handpumps]])-WWWW[[#This Row],['#_Non-functional tube wells/boreholes/handpumps]]</f>
        <v>0</v>
      </c>
      <c r="CJ342" s="960">
        <f>WWWW[[#This Row],['#_Constructed/Existingwater storage tank with gravity fed reticulation system]]-WWWW[[#This Row],['#_Non-functional storage tank gravity fed reticulation system]]</f>
        <v>0</v>
      </c>
      <c r="CK342" s="960">
        <f>(WWWW[[#This Row],['#_Water_Liters_supplied_by_Water boating or water trucking]]/90)/15</f>
        <v>0</v>
      </c>
      <c r="CL342" s="960">
        <f>WWWW[[#This Row],['#_Water_Liters_from_Constructed/Existing water distribution system from river or natural spring]]/90/15</f>
        <v>0</v>
      </c>
      <c r="CM342" s="417">
        <f>IF(WWWW[[#This Row],['#_of water points in TLS/CFS]]*500&gt;WWWW[[#This Row],[Total PoP ]],WWWW[[#This Row],[Total PoP ]],WWWW[[#This Row],['#_of water points in TLS/CFS]]*500)</f>
        <v>0</v>
      </c>
      <c r="CN342" s="417">
        <f>IF(WWWW[[#This Row],['#_of water points in THF]]*500&gt;WWWW[[#This Row],[Total PoP ]],WWWW[[#This Row],[Total PoP ]],WWWW[[#This Row],['#_of water points in THF]]*500)</f>
        <v>0</v>
      </c>
      <c r="CO342" s="417"/>
      <c r="CP342"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42"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42" s="959">
        <f>IF(WWWW[[#This Row],[Location Type 1]]="Village",WWWW[[#This Row],[Access to safe drinking water for Village]],WWWW[[#This Row],[Access to safe drinking water for Camp]])</f>
        <v>1</v>
      </c>
      <c r="CS342" s="957">
        <f>WWWW[[#This Row],[%Equitable and continuous access to sufficient quantity of safe drinking water]]*WWWW[[#This Row],[Total PoP ]]</f>
        <v>1702</v>
      </c>
      <c r="CT342" s="959">
        <f>IF((WWWW[[#This Row],['#_Constructed/Existing protected/fenced ponds]]*250)/WWWW[[#This Row],[Total PoP ]]&gt;1,1,(WWWW[[#This Row],['#_Constructed/Existing protected/fenced ponds]]*250)/WWWW[[#This Row],[Total PoP ]])</f>
        <v>0</v>
      </c>
      <c r="CU342" s="957">
        <f>WWWW[[#This Row],[% Access to unimproved water points]]*WWWW[[#This Row],[Total PoP ]]</f>
        <v>0</v>
      </c>
      <c r="CV342"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42"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1702</v>
      </c>
      <c r="CX342" s="957">
        <f>WWWW[[#This Row],[HRP1]]/500</f>
        <v>3.4039999999999999</v>
      </c>
      <c r="CY342" s="962">
        <f>1-WWWW[[#This Row],[% Equitable and continuous access to sufficient quantity of domestic water]]</f>
        <v>0</v>
      </c>
      <c r="CZ342" s="957">
        <f>WWWW[[#This Row],[%equitable and continuous access to sufficient quantity of safe drinking and domestic water''s GAP]]*WWWW[[#This Row],[Total PoP ]]</f>
        <v>0</v>
      </c>
      <c r="DA342" s="960">
        <f>IF(WWWW[[#This Row],[Total required water points]]-WWWW[[#This Row],['#Water points coverage]]&lt;0,0,WWWW[[#This Row],[Total required water points]]-WWWW[[#This Row],['#Water points coverage]])</f>
        <v>0</v>
      </c>
      <c r="DB342" s="960">
        <f>ROUND(IF(WWWW[[#This Row],[Total PoP ]]&lt;500,1,WWWW[[#This Row],[Total PoP ]]/500),0)</f>
        <v>3</v>
      </c>
      <c r="DC342" s="960">
        <f>(WWWW[[#This Row],['#_Constructed latrines_by_WASHAgencies]]+WWWW[[#This Row],['#_Non Cluster partner latrines]])-WWWW[[#This Row],['#_Non-functional latrines]]</f>
        <v>106</v>
      </c>
      <c r="DD342" s="615">
        <f>WWWW[[#This Row],[HRP2]]/WWWW[[#This Row],[Total PoP ]]</f>
        <v>1</v>
      </c>
      <c r="DE342"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1702</v>
      </c>
      <c r="DF342"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42"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42" s="417">
        <f>IF(WWWW[[#This Row],['# of functional latrines in THF supported by WASH partners during the reporting period2]]="",0,WWWW[[#This Row],['# of functional latrines in THF supported by WASH partners during the reporting period2]]*50)</f>
        <v>0</v>
      </c>
      <c r="DI342" s="960">
        <f>ROUND(IF(WWWW[[#This Row],[Location Type 1]]="camp",WWWW[[#This Row],[Total PoP ]]/20,IF(WWWW[[#This Row],[Location Type 1]]="Temporary Location",WWWW[[#This Row],[Total PoP ]]/50,(WWWW[[#This Row],[Total PoP ]]/6))),0)</f>
        <v>85</v>
      </c>
      <c r="DJ342" s="960">
        <f>IF(WWWW[[#This Row],[Total required Latrines]]-(WWWW[[#This Row],['#_Constructed latrines_by_WASHAgencies]]+WWWW[[#This Row],['#_Non Cluster partner latrines]])&lt;0,0,WWWW[[#This Row],[Total required Latrines]]-(WWWW[[#This Row],['#_Constructed latrines_by_WASHAgencies]]+WWWW[[#This Row],['#_Non Cluster partner latrines]]))</f>
        <v>0</v>
      </c>
      <c r="DK342" s="962">
        <f>1-WWWW[[#This Row],[% people access to functioning Latrine]]</f>
        <v>0</v>
      </c>
      <c r="DL342" s="961">
        <f>IF(OR(WWWW[[#This Row],['#_Non-functional latrines]]="",WWWW[[#This Row],['#_Non-functional latrines]]=0),0,WWWW[[#This Row],['#_Non-functional latrines]]/(WWWW[[#This Row],['#_Constructed latrines_by_WASHAgencies]]+WWWW[[#This Row],['#_Non Cluster partner latrines]]))</f>
        <v>3.6363636363636362E-2</v>
      </c>
      <c r="DM342" s="957">
        <f>IF(500*(WWWW[[#This Row],['#_male hygiene promoters]]+WWWW[[#This Row],['#_female hygiene promoters]])&gt;WWWW[[#This Row],[Total PoP ]],WWWW[[#This Row],[Total PoP ]],500*(WWWW[[#This Row],['#_male hygiene promoters]]+WWWW[[#This Row],['#_female hygiene promoters]]))</f>
        <v>1702</v>
      </c>
      <c r="DN342"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42"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42" s="960">
        <f>IF(WWWW[[#This Row],['# People with access to soap]]&gt;WWWW[[#This Row],['# People with access to Sanity Pads]],WWWW[[#This Row],['# People with access to soap]],WWWW[[#This Row],['# People with access to Sanity Pads]])</f>
        <v>0</v>
      </c>
      <c r="DQ342" s="960">
        <f>IF(WWWW[[#This Row],['# people reached by regular dedicated hygiene promotion_5]]&gt;WWWW[[#This Row],['# People received regular supply of hygiene items_6]],WWWW[[#This Row],['# people reached by regular dedicated hygiene promotion_5]],WWWW[[#This Row],['# People received regular supply of hygiene items_6]])</f>
        <v>1702</v>
      </c>
      <c r="DR342" s="962">
        <f>IF(WWWW[[#This Row],[HRP3]]/WWWW[[#This Row],[Total PoP ]]&gt;1,1,WWWW[[#This Row],[HRP3]]/WWWW[[#This Row],[Total PoP ]])</f>
        <v>1</v>
      </c>
      <c r="DS342" s="961">
        <f>1-WWWW[[#This Row],[Hygiene Coverage%]]</f>
        <v>0</v>
      </c>
      <c r="DT342" s="959">
        <f>WWWW[[#This Row],['# people reached by regular dedicated hygiene promotion_5]]/WWWW[[#This Row],[Total PoP ]]</f>
        <v>1</v>
      </c>
      <c r="DU342"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42"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42" s="960">
        <f>WWWW[[#This Row],['#_Constructed/Existing hand washing stations]]-WWWW[[#This Row],['#_Non-Functional_hand_washing_stations]]</f>
        <v>7</v>
      </c>
      <c r="DX342" s="957">
        <f>IF(WWWW[[#This Row],['# Functional hand washing stations during reporting period]]*20&gt;WWWW[[#This Row],[Total HH]],WWWW[[#This Row],[Total HH]],WWWW[[#This Row],['# Functional hand washing stations during reporting period]]*20)</f>
        <v>140</v>
      </c>
      <c r="DY342" s="957">
        <f>IF(WWWW[[#This Row],[Is sufficient soap available for TLS? (Yes/No)]]="yes",WWWW[[#This Row],['#_Constructed/Existing hand washing stations at TLS/CFS/THF]],0)</f>
        <v>0</v>
      </c>
      <c r="DZ342" s="421">
        <f>IF(WWWW[[#This Row],['# Functional hand washing stations during reporting period]]*100&gt;WWWW[[#This Row],[Total PoP ]],WWWW[[#This Row],[Total PoP ]],WWWW[[#This Row],['# Functional hand washing stations during reporting period]]*100)</f>
        <v>700</v>
      </c>
      <c r="EA342" s="421" t="str">
        <f>IF(OR(WWWW[[#This Row],['#_students at TLS_CFS]]="",WWWW[[#This Row],['#_students at TLS_CFS]]=0),"No","Yes")</f>
        <v>No</v>
      </c>
      <c r="EB34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42" s="566">
        <f>WWWW[[#This Row],[%_of_affected_people_surveyed_who_report_feeling_satistfied_with_the_latrine_design_and_sanitation_service]]*WWWW[[#This Row],[Total PoP ]]</f>
        <v>0</v>
      </c>
      <c r="ED342" s="566">
        <f>WWWW[[#This Row],[%_of_affected_people_surveyed_who_report_feeling_satistfied_with_the_water_point_design_and_water_service]]*WWWW[[#This Row],[Total PoP ]]</f>
        <v>0</v>
      </c>
      <c r="EE342" s="566">
        <f>WWWW[[#This Row],[%_of_complaints_received_that_result_in_timely_corrective_action_and_feedback_to_the_community]]*WWWW[[#This Row],[Total PoP ]]</f>
        <v>0</v>
      </c>
      <c r="EF34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4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4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42" s="953" t="str">
        <f>VLOOKUP(WWWW[[#This Row],[Site Name]],SiteDB6[[Site Name]:[CCCM Management]],6,FALSE)</f>
        <v>Yes</v>
      </c>
      <c r="EJ342" s="953" t="str">
        <f>VLOOKUP(WWWW[[#This Row],[Site Name]],SiteDB6[[Site Name]:[CCCM Focal Agency]],7,FALSE)</f>
        <v>KBC-MYT</v>
      </c>
      <c r="EK342" s="953" t="str">
        <f>VLOOKUP(WWWW[[#This Row],[Site Name]],SiteDB6[[Site Name]:[Location Type 1]],9,FALSE)</f>
        <v>Camp</v>
      </c>
      <c r="EL342" s="953" t="str">
        <f>VLOOKUP(WWWW[[#This Row],[Site Name]],SiteDB6[[Site Name]:[Type of Accommodation]],10,FALSE)</f>
        <v>Camp</v>
      </c>
      <c r="EM342" s="953" t="str">
        <f>VLOOKUP(WWWW[[#This Row],[Site Name]],SiteDB6[[Site Name]:[Ethnic or GCA/NGCA]],11,FALSE)</f>
        <v>GCA</v>
      </c>
      <c r="EN342" s="953">
        <f>VLOOKUP(WWWW[[#This Row],[Site Name]],SiteDB6[[Site Name]:[Lat]],12,FALSE)</f>
        <v>25.4118005797101</v>
      </c>
      <c r="EO342" s="953">
        <f>VLOOKUP(WWWW[[#This Row],[Site Name]],SiteDB6[[Site Name]:[Long]],13,FALSE)</f>
        <v>97.434855869565197</v>
      </c>
      <c r="EP342" s="953" t="str">
        <f>VLOOKUP(WWWW[[#This Row],[Site Name]],SiteDB6[[Site Name]:[Pcode]],3,FALSE)</f>
        <v>MMR001CMP040</v>
      </c>
      <c r="EQ342" s="958" t="str">
        <f t="shared" si="7"/>
        <v>Covered</v>
      </c>
      <c r="ER342" s="950" t="s">
        <v>3126</v>
      </c>
      <c r="ES342" s="950" t="s">
        <v>3267</v>
      </c>
      <c r="ET342" s="953">
        <f>VLOOKUP(WWWW[[#This Row],[Site Name]],SiteDB6[[Site Name]:[Pop
(Kachin/Shan-CCCM as of May 2023)]],16,FALSE)</f>
        <v>431</v>
      </c>
      <c r="EU342" s="953">
        <f>VLOOKUP(WWWW[[#This Row],[Site Name]],SiteDB6[[Site Name]:[Pop
(Kachin/Shan-CCCM as of May 2023)]],17,FALSE)</f>
        <v>2370</v>
      </c>
    </row>
    <row r="343" spans="1:151">
      <c r="A343" s="946" t="s">
        <v>2962</v>
      </c>
      <c r="B343" s="938" t="s">
        <v>3347</v>
      </c>
      <c r="C343" s="938" t="s">
        <v>3347</v>
      </c>
      <c r="D343" s="938" t="s">
        <v>241</v>
      </c>
      <c r="E343" s="938" t="s">
        <v>37</v>
      </c>
      <c r="F343" s="938" t="s">
        <v>142</v>
      </c>
      <c r="G343" s="902" t="str">
        <f>VLOOKUP(WWWW[[#This Row],[Site Name]],SiteDB6[[Site Name]:[Location Type]],8,FALSE)</f>
        <v>Camp</v>
      </c>
      <c r="H343" s="938" t="s">
        <v>179</v>
      </c>
      <c r="I343" s="441">
        <v>45</v>
      </c>
      <c r="J343" s="441">
        <v>215</v>
      </c>
      <c r="K343" s="948">
        <v>44811</v>
      </c>
      <c r="L343" s="949">
        <v>45175</v>
      </c>
      <c r="M343" s="441"/>
      <c r="N343" s="441">
        <v>1</v>
      </c>
      <c r="O343" s="441"/>
      <c r="P343" s="441"/>
      <c r="Q343" s="421" t="s">
        <v>41</v>
      </c>
      <c r="R343" s="441">
        <v>1</v>
      </c>
      <c r="S343" s="441">
        <v>3</v>
      </c>
      <c r="T343" s="441">
        <v>1</v>
      </c>
      <c r="U343" s="441"/>
      <c r="V343" s="441"/>
      <c r="W343" s="441"/>
      <c r="X343" s="441"/>
      <c r="Y343" s="441"/>
      <c r="Z343" s="441"/>
      <c r="AA343" s="441"/>
      <c r="AB343" s="441"/>
      <c r="AC343" s="441"/>
      <c r="AD343" s="441"/>
      <c r="AE343" s="441"/>
      <c r="AF343" s="441"/>
      <c r="AG343" s="441"/>
      <c r="AH343" s="976">
        <v>1</v>
      </c>
      <c r="AI343" s="441"/>
      <c r="AJ343" s="441"/>
      <c r="AK343" s="441"/>
      <c r="AL343" s="441"/>
      <c r="AM343" s="441"/>
      <c r="AN343" s="441"/>
      <c r="AO343" s="441"/>
      <c r="AP343" s="950"/>
      <c r="AQ343" s="976">
        <v>5</v>
      </c>
      <c r="AR343" s="441"/>
      <c r="AS343" s="416"/>
      <c r="AT343" s="441"/>
      <c r="AU343" s="441"/>
      <c r="AV343" s="441"/>
      <c r="AW343" s="441"/>
      <c r="AX343" s="976">
        <v>5</v>
      </c>
      <c r="AY343" s="418" t="s">
        <v>41</v>
      </c>
      <c r="AZ343" s="950" t="s">
        <v>137</v>
      </c>
      <c r="BA343" s="441"/>
      <c r="BB343" s="441"/>
      <c r="BC343" s="441"/>
      <c r="BD343" s="441"/>
      <c r="BE343" s="441"/>
      <c r="BF343" s="418"/>
      <c r="BG343" s="976">
        <v>5</v>
      </c>
      <c r="BH343" s="976">
        <v>2</v>
      </c>
      <c r="BI343" s="441"/>
      <c r="BJ343" s="976">
        <v>2</v>
      </c>
      <c r="BK343" s="441"/>
      <c r="BL343" s="441">
        <v>1</v>
      </c>
      <c r="BM343" s="441"/>
      <c r="BN343" s="441"/>
      <c r="BO343" s="441"/>
      <c r="BP343" s="418"/>
      <c r="BQ343" s="417"/>
      <c r="BR343" s="416"/>
      <c r="BS343" s="418"/>
      <c r="BT343" s="416"/>
      <c r="BU343" s="416"/>
      <c r="BV343" s="418"/>
      <c r="BW343" s="416"/>
      <c r="BX343" s="441"/>
      <c r="BY343" s="441"/>
      <c r="BZ343" s="441"/>
      <c r="CA343" s="441"/>
      <c r="CB343" s="441"/>
      <c r="CC343" s="693"/>
      <c r="CD343" s="441"/>
      <c r="CE343" s="615" t="str">
        <f>IFERROR(WWWW[[#This Row],['#_Water sources passed]]/WWWW[[#This Row],['#_Water sources tested for fecal coliform ]],"no test")</f>
        <v>no test</v>
      </c>
      <c r="CF343" s="416" t="str">
        <f>IFERROR(WWWW[[#This Row],['#_Household passed]]/WWWW[[#This Row],['#_Household water samples tested for fecal coliform]],"no test")</f>
        <v>no test</v>
      </c>
      <c r="CG343" s="417" t="str">
        <f>IF(AND(WWWW[[#This Row],[% of water sources passed]]="no test",WWWW[[#This Row],[% Household passed]]="no test"),"No Test","Tested")</f>
        <v>No Test</v>
      </c>
      <c r="CH343" s="417">
        <f>WWWW[[#This Row],['#_Constructed/existing protected hand dug well]]-WWWW[[#This Row],['#_Non-functional protected hand dug well]]</f>
        <v>1</v>
      </c>
      <c r="CI343" s="417">
        <f>(WWWW[[#This Row],['#_Constructed/Existing tube wells/boreholes/handpumps_WASH_agency]]+WWWW[[#This Row],['#_Non-Cluster partner water tube-wells/boreholes/handpumps]])-WWWW[[#This Row],['#_Non-functional tube wells/boreholes/handpumps]]</f>
        <v>0</v>
      </c>
      <c r="CJ343" s="417">
        <f>WWWW[[#This Row],['#_Constructed/Existingwater storage tank with gravity fed reticulation system]]-WWWW[[#This Row],['#_Non-functional storage tank gravity fed reticulation system]]</f>
        <v>0</v>
      </c>
      <c r="CK343" s="417">
        <f>(WWWW[[#This Row],['#_Water_Liters_supplied_by_Water boating or water trucking]]/90)/15</f>
        <v>0</v>
      </c>
      <c r="CL343" s="417">
        <f>WWWW[[#This Row],['#_Water_Liters_from_Constructed/Existing water distribution system from river or natural spring]]/90/15</f>
        <v>0</v>
      </c>
      <c r="CM343" s="417">
        <f>IF(WWWW[[#This Row],['#_of water points in TLS/CFS]]*500&gt;WWWW[[#This Row],[Total PoP ]],WWWW[[#This Row],[Total PoP ]],WWWW[[#This Row],['#_of water points in TLS/CFS]]*500)</f>
        <v>0</v>
      </c>
      <c r="CN343" s="417">
        <f>IF(WWWW[[#This Row],['#_of water points in THF]]*500&gt;WWWW[[#This Row],[Total PoP ]],WWWW[[#This Row],[Total PoP ]],WWWW[[#This Row],['#_of water points in THF]]*500)</f>
        <v>0</v>
      </c>
      <c r="CO343" s="417"/>
      <c r="CP343"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43"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43" s="416">
        <f>IF(WWWW[[#This Row],[Location Type 1]]="Village",WWWW[[#This Row],[Access to safe drinking water for Village]],WWWW[[#This Row],[Access to safe drinking water for Camp]])</f>
        <v>1</v>
      </c>
      <c r="CS343" s="421">
        <f>WWWW[[#This Row],[%Equitable and continuous access to sufficient quantity of safe drinking water]]*WWWW[[#This Row],[Total PoP ]]</f>
        <v>215</v>
      </c>
      <c r="CT343" s="416">
        <f>IF((WWWW[[#This Row],['#_Constructed/Existing protected/fenced ponds]]*250)/WWWW[[#This Row],[Total PoP ]]&gt;1,1,(WWWW[[#This Row],['#_Constructed/Existing protected/fenced ponds]]*250)/WWWW[[#This Row],[Total PoP ]])</f>
        <v>0</v>
      </c>
      <c r="CU343" s="421">
        <f>WWWW[[#This Row],[% Access to unimproved water points]]*WWWW[[#This Row],[Total PoP ]]</f>
        <v>0</v>
      </c>
      <c r="CV343"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43"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215</v>
      </c>
      <c r="CX343" s="421">
        <f>WWWW[[#This Row],[HRP1]]/500</f>
        <v>0.43</v>
      </c>
      <c r="CY343" s="951">
        <f>1-WWWW[[#This Row],[% Equitable and continuous access to sufficient quantity of domestic water]]</f>
        <v>0</v>
      </c>
      <c r="CZ343" s="421">
        <f>WWWW[[#This Row],[%equitable and continuous access to sufficient quantity of safe drinking and domestic water''s GAP]]*WWWW[[#This Row],[Total PoP ]]</f>
        <v>0</v>
      </c>
      <c r="DA343" s="417">
        <f>IF(WWWW[[#This Row],[Total required water points]]-WWWW[[#This Row],['#Water points coverage]]&lt;0,0,WWWW[[#This Row],[Total required water points]]-WWWW[[#This Row],['#Water points coverage]])</f>
        <v>0.57000000000000006</v>
      </c>
      <c r="DB343" s="417">
        <f>ROUND(IF(WWWW[[#This Row],[Total PoP ]]&lt;500,1,WWWW[[#This Row],[Total PoP ]]/500),0)</f>
        <v>1</v>
      </c>
      <c r="DC343" s="417">
        <f>(WWWW[[#This Row],['#_Constructed latrines_by_WASHAgencies]]+WWWW[[#This Row],['#_Non Cluster partner latrines]])-WWWW[[#This Row],['#_Non-functional latrines]]</f>
        <v>5</v>
      </c>
      <c r="DD343" s="615">
        <f>WWWW[[#This Row],[HRP2]]/WWWW[[#This Row],[Total PoP ]]</f>
        <v>0.46511627906976744</v>
      </c>
      <c r="DE343"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100</v>
      </c>
      <c r="DF343"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43"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43" s="417">
        <f>IF(WWWW[[#This Row],['# of functional latrines in THF supported by WASH partners during the reporting period2]]="",0,WWWW[[#This Row],['# of functional latrines in THF supported by WASH partners during the reporting period2]]*50)</f>
        <v>0</v>
      </c>
      <c r="DI343" s="417">
        <f>ROUND(IF(WWWW[[#This Row],[Location Type 1]]="camp",WWWW[[#This Row],[Total PoP ]]/20,IF(WWWW[[#This Row],[Location Type 1]]="Temporary Location",WWWW[[#This Row],[Total PoP ]]/50,(WWWW[[#This Row],[Total PoP ]]/6))),0)</f>
        <v>11</v>
      </c>
      <c r="DJ343" s="417">
        <f>IF(WWWW[[#This Row],[Total required Latrines]]-(WWWW[[#This Row],['#_Constructed latrines_by_WASHAgencies]]+WWWW[[#This Row],['#_Non Cluster partner latrines]])&lt;0,0,WWWW[[#This Row],[Total required Latrines]]-(WWWW[[#This Row],['#_Constructed latrines_by_WASHAgencies]]+WWWW[[#This Row],['#_Non Cluster partner latrines]]))</f>
        <v>6</v>
      </c>
      <c r="DK343" s="951">
        <f>1-WWWW[[#This Row],[% people access to functioning Latrine]]</f>
        <v>0.53488372093023262</v>
      </c>
      <c r="DL343" s="615">
        <f>IF(OR(WWWW[[#This Row],['#_Non-functional latrines]]="",WWWW[[#This Row],['#_Non-functional latrines]]=0),0,WWWW[[#This Row],['#_Non-functional latrines]]/(WWWW[[#This Row],['#_Constructed latrines_by_WASHAgencies]]+WWWW[[#This Row],['#_Non Cluster partner latrines]]))</f>
        <v>0</v>
      </c>
      <c r="DM343" s="421">
        <f>IF(500*(WWWW[[#This Row],['#_male hygiene promoters]]+WWWW[[#This Row],['#_female hygiene promoters]])&gt;WWWW[[#This Row],[Total PoP ]],WWWW[[#This Row],[Total PoP ]],500*(WWWW[[#This Row],['#_male hygiene promoters]]+WWWW[[#This Row],['#_female hygiene promoters]]))</f>
        <v>215</v>
      </c>
      <c r="DN343"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43"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43" s="417">
        <f>IF(WWWW[[#This Row],['# People with access to soap]]&gt;WWWW[[#This Row],['# People with access to Sanity Pads]],WWWW[[#This Row],['# People with access to soap]],WWWW[[#This Row],['# People with access to Sanity Pads]])</f>
        <v>0</v>
      </c>
      <c r="DQ343" s="417">
        <f>IF(WWWW[[#This Row],['# people reached by regular dedicated hygiene promotion_5]]&gt;WWWW[[#This Row],['# People received regular supply of hygiene items_6]],WWWW[[#This Row],['# people reached by regular dedicated hygiene promotion_5]],WWWW[[#This Row],['# People received regular supply of hygiene items_6]])</f>
        <v>215</v>
      </c>
      <c r="DR343" s="951">
        <f>IF(WWWW[[#This Row],[HRP3]]/WWWW[[#This Row],[Total PoP ]]&gt;1,1,WWWW[[#This Row],[HRP3]]/WWWW[[#This Row],[Total PoP ]])</f>
        <v>1</v>
      </c>
      <c r="DS343" s="615">
        <f>1-WWWW[[#This Row],[Hygiene Coverage%]]</f>
        <v>0</v>
      </c>
      <c r="DT343" s="416">
        <f>WWWW[[#This Row],['# people reached by regular dedicated hygiene promotion_5]]/WWWW[[#This Row],[Total PoP ]]</f>
        <v>1</v>
      </c>
      <c r="DU343"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43"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43" s="417">
        <f>WWWW[[#This Row],['#_Constructed/Existing hand washing stations]]-WWWW[[#This Row],['#_Non-Functional_hand_washing_stations]]</f>
        <v>3</v>
      </c>
      <c r="DX343" s="421">
        <f>IF(WWWW[[#This Row],['# Functional hand washing stations during reporting period]]*20&gt;WWWW[[#This Row],[Total HH]],WWWW[[#This Row],[Total HH]],WWWW[[#This Row],['# Functional hand washing stations during reporting period]]*20)</f>
        <v>45</v>
      </c>
      <c r="DY343" s="421">
        <f>IF(WWWW[[#This Row],[Is sufficient soap available for TLS? (Yes/No)]]="yes",WWWW[[#This Row],['#_Constructed/Existing hand washing stations at TLS/CFS/THF]],0)</f>
        <v>0</v>
      </c>
      <c r="DZ343" s="421">
        <f>IF(WWWW[[#This Row],['# Functional hand washing stations during reporting period]]*100&gt;WWWW[[#This Row],[Total PoP ]],WWWW[[#This Row],[Total PoP ]],WWWW[[#This Row],['# Functional hand washing stations during reporting period]]*100)</f>
        <v>215</v>
      </c>
      <c r="EA343" s="421" t="str">
        <f>IF(OR(WWWW[[#This Row],['#_students at TLS_CFS]]="",WWWW[[#This Row],['#_students at TLS_CFS]]=0),"No","Yes")</f>
        <v>No</v>
      </c>
      <c r="EB34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43" s="566">
        <f>WWWW[[#This Row],[%_of_affected_people_surveyed_who_report_feeling_satistfied_with_the_latrine_design_and_sanitation_service]]*WWWW[[#This Row],[Total PoP ]]</f>
        <v>0</v>
      </c>
      <c r="ED343" s="566">
        <f>WWWW[[#This Row],[%_of_affected_people_surveyed_who_report_feeling_satistfied_with_the_water_point_design_and_water_service]]*WWWW[[#This Row],[Total PoP ]]</f>
        <v>0</v>
      </c>
      <c r="EE343" s="566">
        <f>WWWW[[#This Row],[%_of_complaints_received_that_result_in_timely_corrective_action_and_feedback_to_the_community]]*WWWW[[#This Row],[Total PoP ]]</f>
        <v>0</v>
      </c>
      <c r="EF34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4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4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43" s="418" t="str">
        <f>VLOOKUP(WWWW[[#This Row],[Site Name]],SiteDB6[[Site Name]:[CCCM Management]],6,FALSE)</f>
        <v>Yes</v>
      </c>
      <c r="EJ343" s="418" t="str">
        <f>VLOOKUP(WWWW[[#This Row],[Site Name]],SiteDB6[[Site Name]:[CCCM Focal Agency]],7,FALSE)</f>
        <v>KBC-MYT</v>
      </c>
      <c r="EK343" s="418" t="str">
        <f>VLOOKUP(WWWW[[#This Row],[Site Name]],SiteDB6[[Site Name]:[Location Type 1]],9,FALSE)</f>
        <v>Camp</v>
      </c>
      <c r="EL343" s="418" t="str">
        <f>VLOOKUP(WWWW[[#This Row],[Site Name]],SiteDB6[[Site Name]:[Type of Accommodation]],10,FALSE)</f>
        <v>Camp</v>
      </c>
      <c r="EM343" s="418" t="str">
        <f>VLOOKUP(WWWW[[#This Row],[Site Name]],SiteDB6[[Site Name]:[Ethnic or GCA/NGCA]],11,FALSE)</f>
        <v>GCA</v>
      </c>
      <c r="EN343" s="418">
        <f>VLOOKUP(WWWW[[#This Row],[Site Name]],SiteDB6[[Site Name]:[Lat]],12,FALSE)</f>
        <v>25.409612685185198</v>
      </c>
      <c r="EO343" s="418">
        <f>VLOOKUP(WWWW[[#This Row],[Site Name]],SiteDB6[[Site Name]:[Long]],13,FALSE)</f>
        <v>97.426536944444507</v>
      </c>
      <c r="EP343" s="418" t="str">
        <f>VLOOKUP(WWWW[[#This Row],[Site Name]],SiteDB6[[Site Name]:[Pcode]],3,FALSE)</f>
        <v>MMR001CMP039</v>
      </c>
      <c r="EQ343" s="950" t="str">
        <f t="shared" si="7"/>
        <v>Covered</v>
      </c>
      <c r="ER343" s="950" t="s">
        <v>3126</v>
      </c>
      <c r="ES343" s="950" t="s">
        <v>3272</v>
      </c>
      <c r="ET343" s="418">
        <f>VLOOKUP(WWWW[[#This Row],[Site Name]],SiteDB6[[Site Name]:[Pop
(Kachin/Shan-CCCM as of May 2023)]],16,FALSE)</f>
        <v>55</v>
      </c>
      <c r="EU343" s="418">
        <f>VLOOKUP(WWWW[[#This Row],[Site Name]],SiteDB6[[Site Name]:[Pop
(Kachin/Shan-CCCM as of May 2023)]],17,FALSE)</f>
        <v>279</v>
      </c>
    </row>
    <row r="344" spans="1:151">
      <c r="A344" s="946" t="s">
        <v>2962</v>
      </c>
      <c r="B344" s="946" t="s">
        <v>242</v>
      </c>
      <c r="C344" s="938" t="s">
        <v>242</v>
      </c>
      <c r="D344" s="938" t="s">
        <v>3184</v>
      </c>
      <c r="E344" s="938" t="s">
        <v>37</v>
      </c>
      <c r="F344" s="938" t="s">
        <v>142</v>
      </c>
      <c r="G344" s="902" t="str">
        <f>VLOOKUP(WWWW[[#This Row],[Site Name]],SiteDB6[[Site Name]:[Location Type]],8,FALSE)</f>
        <v>Camp</v>
      </c>
      <c r="H344" s="938" t="s">
        <v>2861</v>
      </c>
      <c r="I344" s="441">
        <v>45</v>
      </c>
      <c r="J344" s="441">
        <v>221</v>
      </c>
      <c r="K344" s="948">
        <v>44927</v>
      </c>
      <c r="L344" s="949">
        <v>45382</v>
      </c>
      <c r="M344" s="441"/>
      <c r="N344" s="441"/>
      <c r="O344" s="441">
        <v>1</v>
      </c>
      <c r="P344" s="441"/>
      <c r="Q344" s="421" t="s">
        <v>41</v>
      </c>
      <c r="R344" s="441">
        <v>2</v>
      </c>
      <c r="S344" s="441">
        <v>5</v>
      </c>
      <c r="T344" s="441">
        <v>1</v>
      </c>
      <c r="U344" s="441"/>
      <c r="V344" s="441"/>
      <c r="W344" s="441">
        <v>1</v>
      </c>
      <c r="X344" s="441"/>
      <c r="Y344" s="441"/>
      <c r="Z344" s="441"/>
      <c r="AA344" s="441"/>
      <c r="AB344" s="441"/>
      <c r="AC344" s="441"/>
      <c r="AD344" s="441"/>
      <c r="AE344" s="441"/>
      <c r="AF344" s="441"/>
      <c r="AG344" s="441"/>
      <c r="AH344" s="441"/>
      <c r="AI344" s="441"/>
      <c r="AJ344" s="441"/>
      <c r="AK344" s="441"/>
      <c r="AL344" s="441"/>
      <c r="AM344" s="441"/>
      <c r="AN344" s="441"/>
      <c r="AO344" s="441"/>
      <c r="AP344" s="950" t="s">
        <v>3197</v>
      </c>
      <c r="AQ344" s="441">
        <v>10</v>
      </c>
      <c r="AR344" s="441"/>
      <c r="AS344" s="416"/>
      <c r="AT344" s="441">
        <v>2</v>
      </c>
      <c r="AU344" s="441"/>
      <c r="AV344" s="441"/>
      <c r="AW344" s="441"/>
      <c r="AX344" s="441"/>
      <c r="AY344" s="418" t="s">
        <v>41</v>
      </c>
      <c r="AZ344" s="950" t="s">
        <v>137</v>
      </c>
      <c r="BA344" s="441"/>
      <c r="BB344" s="441"/>
      <c r="BC344" s="441"/>
      <c r="BD344" s="441"/>
      <c r="BE344" s="441"/>
      <c r="BF344" s="418"/>
      <c r="BG344" s="441">
        <v>10</v>
      </c>
      <c r="BH344" s="441"/>
      <c r="BI344" s="441"/>
      <c r="BJ344" s="441">
        <v>2</v>
      </c>
      <c r="BK344" s="441"/>
      <c r="BL344" s="441"/>
      <c r="BM344" s="441">
        <v>1</v>
      </c>
      <c r="BN344" s="441">
        <v>45</v>
      </c>
      <c r="BO344" s="441"/>
      <c r="BP344" s="418"/>
      <c r="BQ344" s="417">
        <v>1</v>
      </c>
      <c r="BR344" s="416">
        <v>0.5</v>
      </c>
      <c r="BS344" s="418"/>
      <c r="BT344" s="416">
        <v>0.98</v>
      </c>
      <c r="BU344" s="416">
        <v>0.9</v>
      </c>
      <c r="BV344" s="418"/>
      <c r="BW344" s="416">
        <v>0.99</v>
      </c>
      <c r="BX344" s="441"/>
      <c r="BY344" s="441"/>
      <c r="BZ344" s="441"/>
      <c r="CA344" s="441"/>
      <c r="CB344" s="441"/>
      <c r="CC344" s="693"/>
      <c r="CD344" s="441"/>
      <c r="CE344" s="615" t="str">
        <f>IFERROR(WWWW[[#This Row],['#_Water sources passed]]/WWWW[[#This Row],['#_Water sources tested for fecal coliform ]],"no test")</f>
        <v>no test</v>
      </c>
      <c r="CF344" s="416" t="str">
        <f>IFERROR(WWWW[[#This Row],['#_Household passed]]/WWWW[[#This Row],['#_Household water samples tested for fecal coliform]],"no test")</f>
        <v>no test</v>
      </c>
      <c r="CG344" s="417" t="str">
        <f>IF(AND(WWWW[[#This Row],[% of water sources passed]]="no test",WWWW[[#This Row],[% Household passed]]="no test"),"No Test","Tested")</f>
        <v>No Test</v>
      </c>
      <c r="CH344" s="417">
        <f>WWWW[[#This Row],['#_Constructed/existing protected hand dug well]]-WWWW[[#This Row],['#_Non-functional protected hand dug well]]</f>
        <v>1</v>
      </c>
      <c r="CI344" s="417">
        <f>(WWWW[[#This Row],['#_Constructed/Existing tube wells/boreholes/handpumps_WASH_agency]]+WWWW[[#This Row],['#_Non-Cluster partner water tube-wells/boreholes/handpumps]])-WWWW[[#This Row],['#_Non-functional tube wells/boreholes/handpumps]]</f>
        <v>1</v>
      </c>
      <c r="CJ344" s="417">
        <f>WWWW[[#This Row],['#_Constructed/Existingwater storage tank with gravity fed reticulation system]]-WWWW[[#This Row],['#_Non-functional storage tank gravity fed reticulation system]]</f>
        <v>0</v>
      </c>
      <c r="CK344" s="417">
        <f>(WWWW[[#This Row],['#_Water_Liters_supplied_by_Water boating or water trucking]]/90)/15</f>
        <v>0</v>
      </c>
      <c r="CL344" s="417">
        <f>WWWW[[#This Row],['#_Water_Liters_from_Constructed/Existing water distribution system from river or natural spring]]/90/15</f>
        <v>0</v>
      </c>
      <c r="CM344" s="417">
        <f>IF(WWWW[[#This Row],['#_of water points in TLS/CFS]]*500&gt;WWWW[[#This Row],[Total PoP ]],WWWW[[#This Row],[Total PoP ]],WWWW[[#This Row],['#_of water points in TLS/CFS]]*500)</f>
        <v>0</v>
      </c>
      <c r="CN344" s="417">
        <f>IF(WWWW[[#This Row],['#_of water points in THF]]*500&gt;WWWW[[#This Row],[Total PoP ]],WWWW[[#This Row],[Total PoP ]],WWWW[[#This Row],['#_of water points in THF]]*500)</f>
        <v>0</v>
      </c>
      <c r="CO344" s="417"/>
      <c r="CP344"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44"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44" s="416">
        <f>IF(WWWW[[#This Row],[Location Type 1]]="Village",WWWW[[#This Row],[Access to safe drinking water for Village]],WWWW[[#This Row],[Access to safe drinking water for Camp]])</f>
        <v>1</v>
      </c>
      <c r="CS344" s="421">
        <f>WWWW[[#This Row],[%Equitable and continuous access to sufficient quantity of safe drinking water]]*WWWW[[#This Row],[Total PoP ]]</f>
        <v>221</v>
      </c>
      <c r="CT344" s="416">
        <f>IF((WWWW[[#This Row],['#_Constructed/Existing protected/fenced ponds]]*250)/WWWW[[#This Row],[Total PoP ]]&gt;1,1,(WWWW[[#This Row],['#_Constructed/Existing protected/fenced ponds]]*250)/WWWW[[#This Row],[Total PoP ]])</f>
        <v>0</v>
      </c>
      <c r="CU344" s="421">
        <f>WWWW[[#This Row],[% Access to unimproved water points]]*WWWW[[#This Row],[Total PoP ]]</f>
        <v>0</v>
      </c>
      <c r="CV344"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44"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221</v>
      </c>
      <c r="CX344" s="421">
        <f>WWWW[[#This Row],[HRP1]]/500</f>
        <v>0.442</v>
      </c>
      <c r="CY344" s="951">
        <f>1-WWWW[[#This Row],[% Equitable and continuous access to sufficient quantity of domestic water]]</f>
        <v>0</v>
      </c>
      <c r="CZ344" s="421">
        <f>WWWW[[#This Row],[%equitable and continuous access to sufficient quantity of safe drinking and domestic water''s GAP]]*WWWW[[#This Row],[Total PoP ]]</f>
        <v>0</v>
      </c>
      <c r="DA344" s="417">
        <f>IF(WWWW[[#This Row],[Total required water points]]-WWWW[[#This Row],['#Water points coverage]]&lt;0,0,WWWW[[#This Row],[Total required water points]]-WWWW[[#This Row],['#Water points coverage]])</f>
        <v>0.55800000000000005</v>
      </c>
      <c r="DB344" s="417">
        <f>ROUND(IF(WWWW[[#This Row],[Total PoP ]]&lt;500,1,WWWW[[#This Row],[Total PoP ]]/500),0)</f>
        <v>1</v>
      </c>
      <c r="DC344" s="417">
        <f>(WWWW[[#This Row],['#_Constructed latrines_by_WASHAgencies]]+WWWW[[#This Row],['#_Non Cluster partner latrines]])-WWWW[[#This Row],['#_Non-functional latrines]]</f>
        <v>8</v>
      </c>
      <c r="DD344" s="615">
        <f>WWWW[[#This Row],[HRP2]]/WWWW[[#This Row],[Total PoP ]]</f>
        <v>0.72398190045248867</v>
      </c>
      <c r="DE344"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160</v>
      </c>
      <c r="DF344"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44"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44" s="417">
        <f>IF(WWWW[[#This Row],['# of functional latrines in THF supported by WASH partners during the reporting period2]]="",0,WWWW[[#This Row],['# of functional latrines in THF supported by WASH partners during the reporting period2]]*50)</f>
        <v>0</v>
      </c>
      <c r="DI344" s="417">
        <f>ROUND(IF(WWWW[[#This Row],[Location Type 1]]="camp",WWWW[[#This Row],[Total PoP ]]/20,IF(WWWW[[#This Row],[Location Type 1]]="Temporary Location",WWWW[[#This Row],[Total PoP ]]/50,(WWWW[[#This Row],[Total PoP ]]/6))),0)</f>
        <v>11</v>
      </c>
      <c r="DJ344" s="417">
        <f>IF(WWWW[[#This Row],[Total required Latrines]]-(WWWW[[#This Row],['#_Constructed latrines_by_WASHAgencies]]+WWWW[[#This Row],['#_Non Cluster partner latrines]])&lt;0,0,WWWW[[#This Row],[Total required Latrines]]-(WWWW[[#This Row],['#_Constructed latrines_by_WASHAgencies]]+WWWW[[#This Row],['#_Non Cluster partner latrines]]))</f>
        <v>1</v>
      </c>
      <c r="DK344" s="951">
        <f>1-WWWW[[#This Row],[% people access to functioning Latrine]]</f>
        <v>0.27601809954751133</v>
      </c>
      <c r="DL344" s="615">
        <f>IF(OR(WWWW[[#This Row],['#_Non-functional latrines]]="",WWWW[[#This Row],['#_Non-functional latrines]]=0),0,WWWW[[#This Row],['#_Non-functional latrines]]/(WWWW[[#This Row],['#_Constructed latrines_by_WASHAgencies]]+WWWW[[#This Row],['#_Non Cluster partner latrines]]))</f>
        <v>0.2</v>
      </c>
      <c r="DM344" s="421">
        <f>IF(500*(WWWW[[#This Row],['#_male hygiene promoters]]+WWWW[[#This Row],['#_female hygiene promoters]])&gt;WWWW[[#This Row],[Total PoP ]],WWWW[[#This Row],[Total PoP ]],500*(WWWW[[#This Row],['#_male hygiene promoters]]+WWWW[[#This Row],['#_female hygiene promoters]]))</f>
        <v>221</v>
      </c>
      <c r="DN344"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221</v>
      </c>
      <c r="DO344"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44" s="417">
        <f>IF(WWWW[[#This Row],['# People with access to soap]]&gt;WWWW[[#This Row],['# People with access to Sanity Pads]],WWWW[[#This Row],['# People with access to soap]],WWWW[[#This Row],['# People with access to Sanity Pads]])</f>
        <v>221</v>
      </c>
      <c r="DQ344" s="417">
        <f>IF(WWWW[[#This Row],['# people reached by regular dedicated hygiene promotion_5]]&gt;WWWW[[#This Row],['# People received regular supply of hygiene items_6]],WWWW[[#This Row],['# people reached by regular dedicated hygiene promotion_5]],WWWW[[#This Row],['# People received regular supply of hygiene items_6]])</f>
        <v>221</v>
      </c>
      <c r="DR344" s="951">
        <f>IF(WWWW[[#This Row],[HRP3]]/WWWW[[#This Row],[Total PoP ]]&gt;1,1,WWWW[[#This Row],[HRP3]]/WWWW[[#This Row],[Total PoP ]])</f>
        <v>1</v>
      </c>
      <c r="DS344" s="615">
        <f>1-WWWW[[#This Row],[Hygiene Coverage%]]</f>
        <v>0</v>
      </c>
      <c r="DT344" s="416">
        <f>WWWW[[#This Row],['# people reached by regular dedicated hygiene promotion_5]]/WWWW[[#This Row],[Total PoP ]]</f>
        <v>1</v>
      </c>
      <c r="DU344"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344"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44" s="417">
        <f>WWWW[[#This Row],['#_Constructed/Existing hand washing stations]]-WWWW[[#This Row],['#_Non-Functional_hand_washing_stations]]</f>
        <v>10</v>
      </c>
      <c r="DX344" s="421">
        <f>IF(WWWW[[#This Row],['# Functional hand washing stations during reporting period]]*20&gt;WWWW[[#This Row],[Total HH]],WWWW[[#This Row],[Total HH]],WWWW[[#This Row],['# Functional hand washing stations during reporting period]]*20)</f>
        <v>45</v>
      </c>
      <c r="DY344" s="421">
        <f>IF(WWWW[[#This Row],[Is sufficient soap available for TLS? (Yes/No)]]="yes",WWWW[[#This Row],['#_Constructed/Existing hand washing stations at TLS/CFS/THF]],0)</f>
        <v>0</v>
      </c>
      <c r="DZ344" s="421">
        <f>IF(WWWW[[#This Row],['# Functional hand washing stations during reporting period]]*100&gt;WWWW[[#This Row],[Total PoP ]],WWWW[[#This Row],[Total PoP ]],WWWW[[#This Row],['# Functional hand washing stations during reporting period]]*100)</f>
        <v>221</v>
      </c>
      <c r="EA344" s="421" t="str">
        <f>IF(OR(WWWW[[#This Row],['#_students at TLS_CFS]]="",WWWW[[#This Row],['#_students at TLS_CFS]]=0),"No","Yes")</f>
        <v>No</v>
      </c>
      <c r="EB34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44" s="566">
        <f>WWWW[[#This Row],[%_of_affected_people_surveyed_who_report_feeling_satistfied_with_the_latrine_design_and_sanitation_service]]*WWWW[[#This Row],[Total PoP ]]</f>
        <v>216.57999999999998</v>
      </c>
      <c r="ED344" s="566">
        <f>WWWW[[#This Row],[%_of_affected_people_surveyed_who_report_feeling_satistfied_with_the_water_point_design_and_water_service]]*WWWW[[#This Row],[Total PoP ]]</f>
        <v>198.9</v>
      </c>
      <c r="EE344" s="566">
        <f>WWWW[[#This Row],[%_of_complaints_received_that_result_in_timely_corrective_action_and_feedback_to_the_community]]*WWWW[[#This Row],[Total PoP ]]</f>
        <v>218.79</v>
      </c>
      <c r="EF34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218.79</v>
      </c>
      <c r="EG34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4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44" s="418" t="str">
        <f>VLOOKUP(WWWW[[#This Row],[Site Name]],SiteDB6[[Site Name]:[CCCM Management]],6,FALSE)</f>
        <v>Yes</v>
      </c>
      <c r="EJ344" s="418" t="str">
        <f>VLOOKUP(WWWW[[#This Row],[Site Name]],SiteDB6[[Site Name]:[CCCM Focal Agency]],7,FALSE)</f>
        <v>Shalom</v>
      </c>
      <c r="EK344" s="418" t="str">
        <f>VLOOKUP(WWWW[[#This Row],[Site Name]],SiteDB6[[Site Name]:[Location Type 1]],9,FALSE)</f>
        <v>Camp</v>
      </c>
      <c r="EL344" s="418" t="str">
        <f>VLOOKUP(WWWW[[#This Row],[Site Name]],SiteDB6[[Site Name]:[Type of Accommodation]],10,FALSE)</f>
        <v>Camp</v>
      </c>
      <c r="EM344" s="418" t="str">
        <f>VLOOKUP(WWWW[[#This Row],[Site Name]],SiteDB6[[Site Name]:[Ethnic or GCA/NGCA]],11,FALSE)</f>
        <v>GCA</v>
      </c>
      <c r="EN344" s="418">
        <f>VLOOKUP(WWWW[[#This Row],[Site Name]],SiteDB6[[Site Name]:[Lat]],12,FALSE)</f>
        <v>25.345918166666699</v>
      </c>
      <c r="EO344" s="418">
        <f>VLOOKUP(WWWW[[#This Row],[Site Name]],SiteDB6[[Site Name]:[Long]],13,FALSE)</f>
        <v>97.437472666666693</v>
      </c>
      <c r="EP344" s="418" t="str">
        <f>VLOOKUP(WWWW[[#This Row],[Site Name]],SiteDB6[[Site Name]:[Pcode]],3,FALSE)</f>
        <v>MMR001CMP030</v>
      </c>
      <c r="EQ344" s="950" t="str">
        <f t="shared" si="7"/>
        <v>Covered</v>
      </c>
      <c r="ER344" s="950" t="s">
        <v>136</v>
      </c>
      <c r="ES344" s="950" t="s">
        <v>3265</v>
      </c>
      <c r="ET344" s="418">
        <f>VLOOKUP(WWWW[[#This Row],[Site Name]],SiteDB6[[Site Name]:[Pop
(Kachin/Shan-CCCM as of May 2023)]],16,FALSE)</f>
        <v>45</v>
      </c>
      <c r="EU344" s="418">
        <f>VLOOKUP(WWWW[[#This Row],[Site Name]],SiteDB6[[Site Name]:[Pop
(Kachin/Shan-CCCM as of May 2023)]],17,FALSE)</f>
        <v>221</v>
      </c>
    </row>
    <row r="345" spans="1:151">
      <c r="A345" s="946" t="s">
        <v>2962</v>
      </c>
      <c r="B345" s="946" t="s">
        <v>309</v>
      </c>
      <c r="C345" s="938" t="s">
        <v>309</v>
      </c>
      <c r="D345" s="938"/>
      <c r="E345" s="938" t="s">
        <v>37</v>
      </c>
      <c r="F345" s="938" t="s">
        <v>142</v>
      </c>
      <c r="G345" s="902" t="str">
        <f>VLOOKUP(WWWW[[#This Row],[Site Name]],SiteDB6[[Site Name]:[Location Type]],8,FALSE)</f>
        <v>Camp</v>
      </c>
      <c r="H345" s="938" t="s">
        <v>2704</v>
      </c>
      <c r="I345" s="441">
        <v>12</v>
      </c>
      <c r="J345" s="441">
        <v>80</v>
      </c>
      <c r="K345" s="948"/>
      <c r="L345" s="949"/>
      <c r="M345" s="441"/>
      <c r="N345" s="441"/>
      <c r="O345" s="441"/>
      <c r="P345" s="441"/>
      <c r="Q345" s="421"/>
      <c r="R345" s="441"/>
      <c r="S345" s="441"/>
      <c r="T345" s="441"/>
      <c r="U345" s="441"/>
      <c r="V345" s="441"/>
      <c r="W345" s="441"/>
      <c r="X345" s="441"/>
      <c r="Y345" s="441"/>
      <c r="Z345" s="441"/>
      <c r="AA345" s="441"/>
      <c r="AB345" s="441"/>
      <c r="AC345" s="441"/>
      <c r="AD345" s="441"/>
      <c r="AE345" s="441"/>
      <c r="AF345" s="441"/>
      <c r="AG345" s="441"/>
      <c r="AH345" s="441"/>
      <c r="AI345" s="441"/>
      <c r="AJ345" s="441"/>
      <c r="AK345" s="441"/>
      <c r="AL345" s="441"/>
      <c r="AM345" s="441"/>
      <c r="AN345" s="441"/>
      <c r="AO345" s="441"/>
      <c r="AP345" s="950"/>
      <c r="AQ345" s="441"/>
      <c r="AR345" s="441"/>
      <c r="AS345" s="416"/>
      <c r="AT345" s="441"/>
      <c r="AU345" s="441"/>
      <c r="AV345" s="441"/>
      <c r="AW345" s="441"/>
      <c r="AX345" s="441"/>
      <c r="AY345" s="418" t="s">
        <v>140</v>
      </c>
      <c r="AZ345" s="950" t="s">
        <v>140</v>
      </c>
      <c r="BA345" s="441"/>
      <c r="BB345" s="441"/>
      <c r="BC345" s="441"/>
      <c r="BD345" s="441"/>
      <c r="BE345" s="441"/>
      <c r="BF345" s="418"/>
      <c r="BG345" s="441">
        <v>7</v>
      </c>
      <c r="BH345" s="441"/>
      <c r="BI345" s="441"/>
      <c r="BJ345" s="441">
        <v>4</v>
      </c>
      <c r="BK345" s="441"/>
      <c r="BL345" s="441"/>
      <c r="BM345" s="441"/>
      <c r="BN345" s="441"/>
      <c r="BO345" s="441"/>
      <c r="BP345" s="418"/>
      <c r="BQ345" s="417"/>
      <c r="BR345" s="416"/>
      <c r="BS345" s="418"/>
      <c r="BT345" s="416"/>
      <c r="BU345" s="416"/>
      <c r="BV345" s="418"/>
      <c r="BW345" s="416"/>
      <c r="BX345" s="441"/>
      <c r="BY345" s="441"/>
      <c r="BZ345" s="441"/>
      <c r="CA345" s="441"/>
      <c r="CB345" s="441"/>
      <c r="CC345" s="693"/>
      <c r="CD345" s="441"/>
      <c r="CE345" s="615" t="str">
        <f>IFERROR(WWWW[[#This Row],['#_Water sources passed]]/WWWW[[#This Row],['#_Water sources tested for fecal coliform ]],"no test")</f>
        <v>no test</v>
      </c>
      <c r="CF345" s="416" t="str">
        <f>IFERROR(WWWW[[#This Row],['#_Household passed]]/WWWW[[#This Row],['#_Household water samples tested for fecal coliform]],"no test")</f>
        <v>no test</v>
      </c>
      <c r="CG345" s="417" t="str">
        <f>IF(AND(WWWW[[#This Row],[% of water sources passed]]="no test",WWWW[[#This Row],[% Household passed]]="no test"),"No Test","Tested")</f>
        <v>No Test</v>
      </c>
      <c r="CH345" s="417">
        <f>WWWW[[#This Row],['#_Constructed/existing protected hand dug well]]-WWWW[[#This Row],['#_Non-functional protected hand dug well]]</f>
        <v>0</v>
      </c>
      <c r="CI345" s="417">
        <f>(WWWW[[#This Row],['#_Constructed/Existing tube wells/boreholes/handpumps_WASH_agency]]+WWWW[[#This Row],['#_Non-Cluster partner water tube-wells/boreholes/handpumps]])-WWWW[[#This Row],['#_Non-functional tube wells/boreholes/handpumps]]</f>
        <v>0</v>
      </c>
      <c r="CJ345" s="417">
        <f>WWWW[[#This Row],['#_Constructed/Existingwater storage tank with gravity fed reticulation system]]-WWWW[[#This Row],['#_Non-functional storage tank gravity fed reticulation system]]</f>
        <v>0</v>
      </c>
      <c r="CK345" s="417">
        <f>(WWWW[[#This Row],['#_Water_Liters_supplied_by_Water boating or water trucking]]/90)/15</f>
        <v>0</v>
      </c>
      <c r="CL345" s="417">
        <f>WWWW[[#This Row],['#_Water_Liters_from_Constructed/Existing water distribution system from river or natural spring]]/90/15</f>
        <v>0</v>
      </c>
      <c r="CM345" s="417">
        <f>IF(WWWW[[#This Row],['#_of water points in TLS/CFS]]*500&gt;WWWW[[#This Row],[Total PoP ]],WWWW[[#This Row],[Total PoP ]],WWWW[[#This Row],['#_of water points in TLS/CFS]]*500)</f>
        <v>0</v>
      </c>
      <c r="CN345" s="417">
        <f>IF(WWWW[[#This Row],['#_of water points in THF]]*500&gt;WWWW[[#This Row],[Total PoP ]],WWWW[[#This Row],[Total PoP ]],WWWW[[#This Row],['#_of water points in THF]]*500)</f>
        <v>0</v>
      </c>
      <c r="CO345" s="417"/>
      <c r="CP345"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45"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45" s="416">
        <f>IF(WWWW[[#This Row],[Location Type 1]]="Village",WWWW[[#This Row],[Access to safe drinking water for Village]],WWWW[[#This Row],[Access to safe drinking water for Camp]])</f>
        <v>0</v>
      </c>
      <c r="CS345" s="421">
        <f>WWWW[[#This Row],[%Equitable and continuous access to sufficient quantity of safe drinking water]]*WWWW[[#This Row],[Total PoP ]]</f>
        <v>0</v>
      </c>
      <c r="CT345" s="416">
        <f>IF((WWWW[[#This Row],['#_Constructed/Existing protected/fenced ponds]]*250)/WWWW[[#This Row],[Total PoP ]]&gt;1,1,(WWWW[[#This Row],['#_Constructed/Existing protected/fenced ponds]]*250)/WWWW[[#This Row],[Total PoP ]])</f>
        <v>0</v>
      </c>
      <c r="CU345" s="421">
        <f>WWWW[[#This Row],[% Access to unimproved water points]]*WWWW[[#This Row],[Total PoP ]]</f>
        <v>0</v>
      </c>
      <c r="CV345"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45"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45" s="421">
        <f>WWWW[[#This Row],[HRP1]]/500</f>
        <v>0</v>
      </c>
      <c r="CY345" s="951">
        <f>1-WWWW[[#This Row],[% Equitable and continuous access to sufficient quantity of domestic water]]</f>
        <v>1</v>
      </c>
      <c r="CZ345" s="421">
        <f>WWWW[[#This Row],[%equitable and continuous access to sufficient quantity of safe drinking and domestic water''s GAP]]*WWWW[[#This Row],[Total PoP ]]</f>
        <v>80</v>
      </c>
      <c r="DA345" s="417">
        <f>IF(WWWW[[#This Row],[Total required water points]]-WWWW[[#This Row],['#Water points coverage]]&lt;0,0,WWWW[[#This Row],[Total required water points]]-WWWW[[#This Row],['#Water points coverage]])</f>
        <v>1</v>
      </c>
      <c r="DB345" s="417">
        <f>ROUND(IF(WWWW[[#This Row],[Total PoP ]]&lt;500,1,WWWW[[#This Row],[Total PoP ]]/500),0)</f>
        <v>1</v>
      </c>
      <c r="DC345" s="417">
        <f>(WWWW[[#This Row],['#_Constructed latrines_by_WASHAgencies]]+WWWW[[#This Row],['#_Non Cluster partner latrines]])-WWWW[[#This Row],['#_Non-functional latrines]]</f>
        <v>0</v>
      </c>
      <c r="DD345" s="615">
        <f>WWWW[[#This Row],[HRP2]]/WWWW[[#This Row],[Total PoP ]]</f>
        <v>0</v>
      </c>
      <c r="DE345"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45"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45"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45" s="417">
        <f>IF(WWWW[[#This Row],['# of functional latrines in THF supported by WASH partners during the reporting period2]]="",0,WWWW[[#This Row],['# of functional latrines in THF supported by WASH partners during the reporting period2]]*50)</f>
        <v>0</v>
      </c>
      <c r="DI345" s="417">
        <f>ROUND(IF(WWWW[[#This Row],[Location Type 1]]="camp",WWWW[[#This Row],[Total PoP ]]/20,IF(WWWW[[#This Row],[Location Type 1]]="Temporary Location",WWWW[[#This Row],[Total PoP ]]/50,(WWWW[[#This Row],[Total PoP ]]/6))),0)</f>
        <v>4</v>
      </c>
      <c r="DJ345" s="417">
        <f>IF(WWWW[[#This Row],[Total required Latrines]]-(WWWW[[#This Row],['#_Constructed latrines_by_WASHAgencies]]+WWWW[[#This Row],['#_Non Cluster partner latrines]])&lt;0,0,WWWW[[#This Row],[Total required Latrines]]-(WWWW[[#This Row],['#_Constructed latrines_by_WASHAgencies]]+WWWW[[#This Row],['#_Non Cluster partner latrines]]))</f>
        <v>4</v>
      </c>
      <c r="DK345" s="951">
        <f>1-WWWW[[#This Row],[% people access to functioning Latrine]]</f>
        <v>1</v>
      </c>
      <c r="DL345" s="615">
        <f>IF(OR(WWWW[[#This Row],['#_Non-functional latrines]]="",WWWW[[#This Row],['#_Non-functional latrines]]=0),0,WWWW[[#This Row],['#_Non-functional latrines]]/(WWWW[[#This Row],['#_Constructed latrines_by_WASHAgencies]]+WWWW[[#This Row],['#_Non Cluster partner latrines]]))</f>
        <v>0</v>
      </c>
      <c r="DM345" s="421">
        <f>IF(500*(WWWW[[#This Row],['#_male hygiene promoters]]+WWWW[[#This Row],['#_female hygiene promoters]])&gt;WWWW[[#This Row],[Total PoP ]],WWWW[[#This Row],[Total PoP ]],500*(WWWW[[#This Row],['#_male hygiene promoters]]+WWWW[[#This Row],['#_female hygiene promoters]]))</f>
        <v>0</v>
      </c>
      <c r="DN345"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45"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45" s="417">
        <f>IF(WWWW[[#This Row],['# People with access to soap]]&gt;WWWW[[#This Row],['# People with access to Sanity Pads]],WWWW[[#This Row],['# People with access to soap]],WWWW[[#This Row],['# People with access to Sanity Pads]])</f>
        <v>0</v>
      </c>
      <c r="DQ345"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45" s="951">
        <f>IF(WWWW[[#This Row],[HRP3]]/WWWW[[#This Row],[Total PoP ]]&gt;1,1,WWWW[[#This Row],[HRP3]]/WWWW[[#This Row],[Total PoP ]])</f>
        <v>0</v>
      </c>
      <c r="DS345" s="615">
        <f>1-WWWW[[#This Row],[Hygiene Coverage%]]</f>
        <v>1</v>
      </c>
      <c r="DT345" s="416">
        <f>WWWW[[#This Row],['# people reached by regular dedicated hygiene promotion_5]]/WWWW[[#This Row],[Total PoP ]]</f>
        <v>0</v>
      </c>
      <c r="DU345"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45"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45" s="417">
        <f>WWWW[[#This Row],['#_Constructed/Existing hand washing stations]]-WWWW[[#This Row],['#_Non-Functional_hand_washing_stations]]</f>
        <v>7</v>
      </c>
      <c r="DX345" s="421">
        <f>IF(WWWW[[#This Row],['# Functional hand washing stations during reporting period]]*20&gt;WWWW[[#This Row],[Total HH]],WWWW[[#This Row],[Total HH]],WWWW[[#This Row],['# Functional hand washing stations during reporting period]]*20)</f>
        <v>12</v>
      </c>
      <c r="DY345" s="421">
        <f>IF(WWWW[[#This Row],[Is sufficient soap available for TLS? (Yes/No)]]="yes",WWWW[[#This Row],['#_Constructed/Existing hand washing stations at TLS/CFS/THF]],0)</f>
        <v>0</v>
      </c>
      <c r="DZ345" s="421">
        <f>IF(WWWW[[#This Row],['# Functional hand washing stations during reporting period]]*100&gt;WWWW[[#This Row],[Total PoP ]],WWWW[[#This Row],[Total PoP ]],WWWW[[#This Row],['# Functional hand washing stations during reporting period]]*100)</f>
        <v>80</v>
      </c>
      <c r="EA345" s="421" t="str">
        <f>IF(OR(WWWW[[#This Row],['#_students at TLS_CFS]]="",WWWW[[#This Row],['#_students at TLS_CFS]]=0),"No","Yes")</f>
        <v>No</v>
      </c>
      <c r="EB34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45" s="566">
        <f>WWWW[[#This Row],[%_of_affected_people_surveyed_who_report_feeling_satistfied_with_the_latrine_design_and_sanitation_service]]*WWWW[[#This Row],[Total PoP ]]</f>
        <v>0</v>
      </c>
      <c r="ED345" s="566">
        <f>WWWW[[#This Row],[%_of_affected_people_surveyed_who_report_feeling_satistfied_with_the_water_point_design_and_water_service]]*WWWW[[#This Row],[Total PoP ]]</f>
        <v>0</v>
      </c>
      <c r="EE345" s="566">
        <f>WWWW[[#This Row],[%_of_complaints_received_that_result_in_timely_corrective_action_and_feedback_to_the_community]]*WWWW[[#This Row],[Total PoP ]]</f>
        <v>0</v>
      </c>
      <c r="EF34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4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4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45" s="418" t="str">
        <f>VLOOKUP(WWWW[[#This Row],[Site Name]],SiteDB6[[Site Name]:[CCCM Management]],6,FALSE)</f>
        <v>Yes</v>
      </c>
      <c r="EJ345" s="418" t="str">
        <f>VLOOKUP(WWWW[[#This Row],[Site Name]],SiteDB6[[Site Name]:[CCCM Focal Agency]],7,FALSE)</f>
        <v>Shalom</v>
      </c>
      <c r="EK345" s="418" t="str">
        <f>VLOOKUP(WWWW[[#This Row],[Site Name]],SiteDB6[[Site Name]:[Location Type 1]],9,FALSE)</f>
        <v>Camp</v>
      </c>
      <c r="EL345" s="418" t="str">
        <f>VLOOKUP(WWWW[[#This Row],[Site Name]],SiteDB6[[Site Name]:[Type of Accommodation]],10,FALSE)</f>
        <v>Camp like setting</v>
      </c>
      <c r="EM345" s="418" t="str">
        <f>VLOOKUP(WWWW[[#This Row],[Site Name]],SiteDB6[[Site Name]:[Ethnic or GCA/NGCA]],11,FALSE)</f>
        <v>GCA</v>
      </c>
      <c r="EN345" s="418">
        <f>VLOOKUP(WWWW[[#This Row],[Site Name]],SiteDB6[[Site Name]:[Lat]],12,FALSE)</f>
        <v>25.221299999999999</v>
      </c>
      <c r="EO345" s="418">
        <f>VLOOKUP(WWWW[[#This Row],[Site Name]],SiteDB6[[Site Name]:[Long]],13,FALSE)</f>
        <v>97.255300000000005</v>
      </c>
      <c r="EP345" s="418" t="str">
        <f>VLOOKUP(WWWW[[#This Row],[Site Name]],SiteDB6[[Site Name]:[Pcode]],3,FALSE)</f>
        <v>MMR001CMP286</v>
      </c>
      <c r="EQ345" s="950" t="str">
        <f t="shared" si="7"/>
        <v>Notcovered</v>
      </c>
      <c r="ER345" s="950"/>
      <c r="ES345" s="950" t="s">
        <v>41</v>
      </c>
      <c r="ET345" s="418">
        <f>VLOOKUP(WWWW[[#This Row],[Site Name]],SiteDB6[[Site Name]:[Pop
(Kachin/Shan-CCCM as of May 2023)]],16,FALSE)</f>
        <v>6</v>
      </c>
      <c r="EU345" s="418">
        <f>VLOOKUP(WWWW[[#This Row],[Site Name]],SiteDB6[[Site Name]:[Pop
(Kachin/Shan-CCCM as of May 2023)]],17,FALSE)</f>
        <v>41</v>
      </c>
    </row>
    <row r="346" spans="1:151">
      <c r="A346" s="946" t="s">
        <v>2962</v>
      </c>
      <c r="B346" s="938" t="s">
        <v>3347</v>
      </c>
      <c r="C346" s="938" t="s">
        <v>3347</v>
      </c>
      <c r="D346" s="938" t="s">
        <v>3095</v>
      </c>
      <c r="E346" s="938" t="s">
        <v>37</v>
      </c>
      <c r="F346" s="938" t="s">
        <v>142</v>
      </c>
      <c r="G346" s="902" t="str">
        <f>VLOOKUP(WWWW[[#This Row],[Site Name]],SiteDB6[[Site Name]:[Location Type]],8,FALSE)</f>
        <v>Camp</v>
      </c>
      <c r="H346" s="938" t="s">
        <v>180</v>
      </c>
      <c r="I346" s="441">
        <v>171</v>
      </c>
      <c r="J346" s="441">
        <v>973</v>
      </c>
      <c r="K346" s="948">
        <v>44811</v>
      </c>
      <c r="L346" s="949">
        <v>45175</v>
      </c>
      <c r="M346" s="441"/>
      <c r="N346" s="441">
        <v>3</v>
      </c>
      <c r="O346" s="441"/>
      <c r="P346" s="441"/>
      <c r="Q346" s="421" t="s">
        <v>41</v>
      </c>
      <c r="R346" s="441">
        <v>3</v>
      </c>
      <c r="S346" s="441">
        <v>2</v>
      </c>
      <c r="T346" s="973"/>
      <c r="U346" s="441"/>
      <c r="V346" s="441"/>
      <c r="W346" s="441"/>
      <c r="X346" s="441"/>
      <c r="Y346" s="441"/>
      <c r="Z346" s="441"/>
      <c r="AA346" s="976">
        <v>3</v>
      </c>
      <c r="AB346" s="976">
        <v>1</v>
      </c>
      <c r="AC346" s="441"/>
      <c r="AD346" s="441"/>
      <c r="AE346" s="441"/>
      <c r="AF346" s="441"/>
      <c r="AG346" s="441"/>
      <c r="AH346" s="976">
        <v>3</v>
      </c>
      <c r="AI346" s="441"/>
      <c r="AJ346" s="441"/>
      <c r="AK346" s="441"/>
      <c r="AL346" s="441"/>
      <c r="AM346" s="441"/>
      <c r="AN346" s="441"/>
      <c r="AO346" s="441"/>
      <c r="AP346" s="950"/>
      <c r="AQ346" s="441">
        <v>170</v>
      </c>
      <c r="AR346" s="441"/>
      <c r="AS346" s="416"/>
      <c r="AT346" s="976">
        <v>20</v>
      </c>
      <c r="AU346" s="441"/>
      <c r="AV346" s="441"/>
      <c r="AW346" s="441"/>
      <c r="AX346" s="441">
        <v>150</v>
      </c>
      <c r="AY346" s="418" t="s">
        <v>41</v>
      </c>
      <c r="AZ346" s="950" t="s">
        <v>137</v>
      </c>
      <c r="BA346" s="441"/>
      <c r="BB346" s="441"/>
      <c r="BC346" s="441"/>
      <c r="BD346" s="441"/>
      <c r="BE346" s="441"/>
      <c r="BF346" s="418"/>
      <c r="BG346" s="441">
        <v>25</v>
      </c>
      <c r="BH346" s="976">
        <v>5</v>
      </c>
      <c r="BI346" s="441"/>
      <c r="BJ346" s="976">
        <v>5</v>
      </c>
      <c r="BK346" s="441"/>
      <c r="BL346" s="441">
        <v>1</v>
      </c>
      <c r="BM346" s="441">
        <v>2</v>
      </c>
      <c r="BN346" s="441"/>
      <c r="BO346" s="441"/>
      <c r="BP346" s="418"/>
      <c r="BQ346" s="417"/>
      <c r="BR346" s="416"/>
      <c r="BS346" s="418"/>
      <c r="BT346" s="416"/>
      <c r="BU346" s="416"/>
      <c r="BV346" s="418"/>
      <c r="BW346" s="416"/>
      <c r="BX346" s="441"/>
      <c r="BY346" s="441"/>
      <c r="BZ346" s="441"/>
      <c r="CA346" s="441"/>
      <c r="CB346" s="441"/>
      <c r="CC346" s="693"/>
      <c r="CD346" s="441"/>
      <c r="CE346" s="615" t="str">
        <f>IFERROR(WWWW[[#This Row],['#_Water sources passed]]/WWWW[[#This Row],['#_Water sources tested for fecal coliform ]],"no test")</f>
        <v>no test</v>
      </c>
      <c r="CF346" s="416" t="str">
        <f>IFERROR(WWWW[[#This Row],['#_Household passed]]/WWWW[[#This Row],['#_Household water samples tested for fecal coliform]],"no test")</f>
        <v>no test</v>
      </c>
      <c r="CG346" s="417" t="str">
        <f>IF(AND(WWWW[[#This Row],[% of water sources passed]]="no test",WWWW[[#This Row],[% Household passed]]="no test"),"No Test","Tested")</f>
        <v>No Test</v>
      </c>
      <c r="CH346" s="417">
        <f>WWWW[[#This Row],['#_Constructed/existing protected hand dug well]]-WWWW[[#This Row],['#_Non-functional protected hand dug well]]</f>
        <v>0</v>
      </c>
      <c r="CI346" s="417">
        <f>(WWWW[[#This Row],['#_Constructed/Existing tube wells/boreholes/handpumps_WASH_agency]]+WWWW[[#This Row],['#_Non-Cluster partner water tube-wells/boreholes/handpumps]])-WWWW[[#This Row],['#_Non-functional tube wells/boreholes/handpumps]]</f>
        <v>0</v>
      </c>
      <c r="CJ346" s="417">
        <f>WWWW[[#This Row],['#_Constructed/Existingwater storage tank with gravity fed reticulation system]]-WWWW[[#This Row],['#_Non-functional storage tank gravity fed reticulation system]]</f>
        <v>2</v>
      </c>
      <c r="CK346" s="417">
        <f>(WWWW[[#This Row],['#_Water_Liters_supplied_by_Water boating or water trucking]]/90)/15</f>
        <v>0</v>
      </c>
      <c r="CL346" s="417">
        <f>WWWW[[#This Row],['#_Water_Liters_from_Constructed/Existing water distribution system from river or natural spring]]/90/15</f>
        <v>0</v>
      </c>
      <c r="CM346" s="417">
        <f>IF(WWWW[[#This Row],['#_of water points in TLS/CFS]]*500&gt;WWWW[[#This Row],[Total PoP ]],WWWW[[#This Row],[Total PoP ]],WWWW[[#This Row],['#_of water points in TLS/CFS]]*500)</f>
        <v>0</v>
      </c>
      <c r="CN346" s="417">
        <f>IF(WWWW[[#This Row],['#_of water points in THF]]*500&gt;WWWW[[#This Row],[Total PoP ]],WWWW[[#This Row],[Total PoP ]],WWWW[[#This Row],['#_of water points in THF]]*500)</f>
        <v>0</v>
      </c>
      <c r="CO346" s="417"/>
      <c r="CP346"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0.13703323055841043</v>
      </c>
      <c r="CQ346"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0.13703323055841043</v>
      </c>
      <c r="CR346" s="416">
        <f>IF(WWWW[[#This Row],[Location Type 1]]="Village",WWWW[[#This Row],[Access to safe drinking water for Village]],WWWW[[#This Row],[Access to safe drinking water for Camp]])</f>
        <v>0.13703323055841043</v>
      </c>
      <c r="CS346" s="421">
        <f>WWWW[[#This Row],[%Equitable and continuous access to sufficient quantity of safe drinking water]]*WWWW[[#This Row],[Total PoP ]]</f>
        <v>133.33333333333334</v>
      </c>
      <c r="CT346" s="416">
        <f>IF((WWWW[[#This Row],['#_Constructed/Existing protected/fenced ponds]]*250)/WWWW[[#This Row],[Total PoP ]]&gt;1,1,(WWWW[[#This Row],['#_Constructed/Existing protected/fenced ponds]]*250)/WWWW[[#This Row],[Total PoP ]])</f>
        <v>0</v>
      </c>
      <c r="CU346" s="421">
        <f>WWWW[[#This Row],[% Access to unimproved water points]]*WWWW[[#This Row],[Total PoP ]]</f>
        <v>0</v>
      </c>
      <c r="CV346"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0.13703323055841043</v>
      </c>
      <c r="CW346"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133.33333333333334</v>
      </c>
      <c r="CX346" s="421">
        <f>WWWW[[#This Row],[HRP1]]/500</f>
        <v>0.26666666666666666</v>
      </c>
      <c r="CY346" s="951">
        <f>1-WWWW[[#This Row],[% Equitable and continuous access to sufficient quantity of domestic water]]</f>
        <v>0.86296676944158957</v>
      </c>
      <c r="CZ346" s="421">
        <f>WWWW[[#This Row],[%equitable and continuous access to sufficient quantity of safe drinking and domestic water''s GAP]]*WWWW[[#This Row],[Total PoP ]]</f>
        <v>839.66666666666663</v>
      </c>
      <c r="DA346" s="417">
        <f>IF(WWWW[[#This Row],[Total required water points]]-WWWW[[#This Row],['#Water points coverage]]&lt;0,0,WWWW[[#This Row],[Total required water points]]-WWWW[[#This Row],['#Water points coverage]])</f>
        <v>1.7333333333333334</v>
      </c>
      <c r="DB346" s="417">
        <f>ROUND(IF(WWWW[[#This Row],[Total PoP ]]&lt;500,1,WWWW[[#This Row],[Total PoP ]]/500),0)</f>
        <v>2</v>
      </c>
      <c r="DC346" s="417">
        <f>(WWWW[[#This Row],['#_Constructed latrines_by_WASHAgencies]]+WWWW[[#This Row],['#_Non Cluster partner latrines]])-WWWW[[#This Row],['#_Non-functional latrines]]</f>
        <v>150</v>
      </c>
      <c r="DD346" s="615">
        <f>WWWW[[#This Row],[HRP2]]/WWWW[[#This Row],[Total PoP ]]</f>
        <v>0.77081192189105863</v>
      </c>
      <c r="DE346"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750</v>
      </c>
      <c r="DF346"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46"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46" s="417">
        <f>IF(WWWW[[#This Row],['# of functional latrines in THF supported by WASH partners during the reporting period2]]="",0,WWWW[[#This Row],['# of functional latrines in THF supported by WASH partners during the reporting period2]]*50)</f>
        <v>0</v>
      </c>
      <c r="DI346" s="417">
        <f>ROUND(IF(WWWW[[#This Row],[Location Type 1]]="camp",WWWW[[#This Row],[Total PoP ]]/20,IF(WWWW[[#This Row],[Location Type 1]]="Temporary Location",WWWW[[#This Row],[Total PoP ]]/50,(WWWW[[#This Row],[Total PoP ]]/6))),0)</f>
        <v>162</v>
      </c>
      <c r="DJ346" s="417">
        <f>IF(WWWW[[#This Row],[Total required Latrines]]-(WWWW[[#This Row],['#_Constructed latrines_by_WASHAgencies]]+WWWW[[#This Row],['#_Non Cluster partner latrines]])&lt;0,0,WWWW[[#This Row],[Total required Latrines]]-(WWWW[[#This Row],['#_Constructed latrines_by_WASHAgencies]]+WWWW[[#This Row],['#_Non Cluster partner latrines]]))</f>
        <v>0</v>
      </c>
      <c r="DK346" s="951">
        <f>1-WWWW[[#This Row],[% people access to functioning Latrine]]</f>
        <v>0.22918807810894137</v>
      </c>
      <c r="DL346" s="615">
        <f>IF(OR(WWWW[[#This Row],['#_Non-functional latrines]]="",WWWW[[#This Row],['#_Non-functional latrines]]=0),0,WWWW[[#This Row],['#_Non-functional latrines]]/(WWWW[[#This Row],['#_Constructed latrines_by_WASHAgencies]]+WWWW[[#This Row],['#_Non Cluster partner latrines]]))</f>
        <v>0.11764705882352941</v>
      </c>
      <c r="DM346" s="421">
        <f>IF(500*(WWWW[[#This Row],['#_male hygiene promoters]]+WWWW[[#This Row],['#_female hygiene promoters]])&gt;WWWW[[#This Row],[Total PoP ]],WWWW[[#This Row],[Total PoP ]],500*(WWWW[[#This Row],['#_male hygiene promoters]]+WWWW[[#This Row],['#_female hygiene promoters]]))</f>
        <v>973</v>
      </c>
      <c r="DN346"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46"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46" s="417">
        <f>IF(WWWW[[#This Row],['# People with access to soap]]&gt;WWWW[[#This Row],['# People with access to Sanity Pads]],WWWW[[#This Row],['# People with access to soap]],WWWW[[#This Row],['# People with access to Sanity Pads]])</f>
        <v>0</v>
      </c>
      <c r="DQ346" s="417">
        <f>IF(WWWW[[#This Row],['# people reached by regular dedicated hygiene promotion_5]]&gt;WWWW[[#This Row],['# People received regular supply of hygiene items_6]],WWWW[[#This Row],['# people reached by regular dedicated hygiene promotion_5]],WWWW[[#This Row],['# People received regular supply of hygiene items_6]])</f>
        <v>973</v>
      </c>
      <c r="DR346" s="951">
        <f>IF(WWWW[[#This Row],[HRP3]]/WWWW[[#This Row],[Total PoP ]]&gt;1,1,WWWW[[#This Row],[HRP3]]/WWWW[[#This Row],[Total PoP ]])</f>
        <v>1</v>
      </c>
      <c r="DS346" s="615">
        <f>1-WWWW[[#This Row],[Hygiene Coverage%]]</f>
        <v>0</v>
      </c>
      <c r="DT346" s="416">
        <f>WWWW[[#This Row],['# people reached by regular dedicated hygiene promotion_5]]/WWWW[[#This Row],[Total PoP ]]</f>
        <v>1</v>
      </c>
      <c r="DU346"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46"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46" s="417">
        <f>WWWW[[#This Row],['#_Constructed/Existing hand washing stations]]-WWWW[[#This Row],['#_Non-Functional_hand_washing_stations]]</f>
        <v>20</v>
      </c>
      <c r="DX346" s="421">
        <f>IF(WWWW[[#This Row],['# Functional hand washing stations during reporting period]]*20&gt;WWWW[[#This Row],[Total HH]],WWWW[[#This Row],[Total HH]],WWWW[[#This Row],['# Functional hand washing stations during reporting period]]*20)</f>
        <v>171</v>
      </c>
      <c r="DY346" s="421">
        <f>IF(WWWW[[#This Row],[Is sufficient soap available for TLS? (Yes/No)]]="yes",WWWW[[#This Row],['#_Constructed/Existing hand washing stations at TLS/CFS/THF]],0)</f>
        <v>0</v>
      </c>
      <c r="DZ346" s="421">
        <f>IF(WWWW[[#This Row],['# Functional hand washing stations during reporting period]]*100&gt;WWWW[[#This Row],[Total PoP ]],WWWW[[#This Row],[Total PoP ]],WWWW[[#This Row],['# Functional hand washing stations during reporting period]]*100)</f>
        <v>973</v>
      </c>
      <c r="EA346" s="421" t="str">
        <f>IF(OR(WWWW[[#This Row],['#_students at TLS_CFS]]="",WWWW[[#This Row],['#_students at TLS_CFS]]=0),"No","Yes")</f>
        <v>No</v>
      </c>
      <c r="EB34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46" s="566">
        <f>WWWW[[#This Row],[%_of_affected_people_surveyed_who_report_feeling_satistfied_with_the_latrine_design_and_sanitation_service]]*WWWW[[#This Row],[Total PoP ]]</f>
        <v>0</v>
      </c>
      <c r="ED346" s="566">
        <f>WWWW[[#This Row],[%_of_affected_people_surveyed_who_report_feeling_satistfied_with_the_water_point_design_and_water_service]]*WWWW[[#This Row],[Total PoP ]]</f>
        <v>0</v>
      </c>
      <c r="EE346" s="566">
        <f>WWWW[[#This Row],[%_of_complaints_received_that_result_in_timely_corrective_action_and_feedback_to_the_community]]*WWWW[[#This Row],[Total PoP ]]</f>
        <v>0</v>
      </c>
      <c r="EF34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4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4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46" s="418" t="str">
        <f>VLOOKUP(WWWW[[#This Row],[Site Name]],SiteDB6[[Site Name]:[CCCM Management]],6,FALSE)</f>
        <v>Yes</v>
      </c>
      <c r="EJ346" s="418" t="str">
        <f>VLOOKUP(WWWW[[#This Row],[Site Name]],SiteDB6[[Site Name]:[CCCM Focal Agency]],7,FALSE)</f>
        <v>KBC-MYT</v>
      </c>
      <c r="EK346" s="418" t="str">
        <f>VLOOKUP(WWWW[[#This Row],[Site Name]],SiteDB6[[Site Name]:[Location Type 1]],9,FALSE)</f>
        <v>Village Type Camp</v>
      </c>
      <c r="EL346" s="418" t="str">
        <f>VLOOKUP(WWWW[[#This Row],[Site Name]],SiteDB6[[Site Name]:[Type of Accommodation]],10,FALSE)</f>
        <v>Camp</v>
      </c>
      <c r="EM346" s="418" t="str">
        <f>VLOOKUP(WWWW[[#This Row],[Site Name]],SiteDB6[[Site Name]:[Ethnic or GCA/NGCA]],11,FALSE)</f>
        <v>NGCA</v>
      </c>
      <c r="EN346" s="418">
        <f>VLOOKUP(WWWW[[#This Row],[Site Name]],SiteDB6[[Site Name]:[Lat]],12,FALSE)</f>
        <v>24.831944</v>
      </c>
      <c r="EO346" s="418">
        <f>VLOOKUP(WWWW[[#This Row],[Site Name]],SiteDB6[[Site Name]:[Long]],13,FALSE)</f>
        <v>97.751389000000003</v>
      </c>
      <c r="EP346" s="418" t="str">
        <f>VLOOKUP(WWWW[[#This Row],[Site Name]],SiteDB6[[Site Name]:[Pcode]],3,FALSE)</f>
        <v>MMR001CMP120</v>
      </c>
      <c r="EQ346" s="950" t="str">
        <f t="shared" ref="EQ346:EQ377" si="8">IF(C346="none","Notcovered","Covered")</f>
        <v>Covered</v>
      </c>
      <c r="ER346" s="950" t="s">
        <v>3126</v>
      </c>
      <c r="ES346" s="950" t="s">
        <v>3267</v>
      </c>
      <c r="ET346" s="418">
        <f>VLOOKUP(WWWW[[#This Row],[Site Name]],SiteDB6[[Site Name]:[Pop
(Kachin/Shan-CCCM as of May 2023)]],16,FALSE)</f>
        <v>169</v>
      </c>
      <c r="EU346" s="418">
        <f>VLOOKUP(WWWW[[#This Row],[Site Name]],SiteDB6[[Site Name]:[Pop
(Kachin/Shan-CCCM as of May 2023)]],17,FALSE)</f>
        <v>970</v>
      </c>
    </row>
    <row r="347" spans="1:151">
      <c r="A347" s="946" t="s">
        <v>2962</v>
      </c>
      <c r="B347" s="946" t="s">
        <v>309</v>
      </c>
      <c r="C347" s="938" t="s">
        <v>309</v>
      </c>
      <c r="D347" s="938"/>
      <c r="E347" s="938" t="s">
        <v>37</v>
      </c>
      <c r="F347" s="938" t="s">
        <v>142</v>
      </c>
      <c r="G347" s="902" t="str">
        <f>VLOOKUP(WWWW[[#This Row],[Site Name]],SiteDB6[[Site Name]:[Location Type]],8,FALSE)</f>
        <v>Camp</v>
      </c>
      <c r="H347" s="938" t="s">
        <v>2708</v>
      </c>
      <c r="I347" s="441">
        <v>61</v>
      </c>
      <c r="J347" s="441">
        <v>294</v>
      </c>
      <c r="K347" s="948"/>
      <c r="L347" s="949"/>
      <c r="M347" s="441"/>
      <c r="N347" s="441"/>
      <c r="O347" s="441"/>
      <c r="P347" s="441"/>
      <c r="Q347" s="421"/>
      <c r="R347" s="441"/>
      <c r="S347" s="441"/>
      <c r="T347" s="441"/>
      <c r="U347" s="441"/>
      <c r="V347" s="441"/>
      <c r="W347" s="441"/>
      <c r="X347" s="441"/>
      <c r="Y347" s="441"/>
      <c r="Z347" s="441"/>
      <c r="AA347" s="441"/>
      <c r="AB347" s="441"/>
      <c r="AC347" s="441"/>
      <c r="AD347" s="441"/>
      <c r="AE347" s="441"/>
      <c r="AF347" s="441"/>
      <c r="AG347" s="441"/>
      <c r="AH347" s="441"/>
      <c r="AI347" s="441"/>
      <c r="AJ347" s="441"/>
      <c r="AK347" s="441"/>
      <c r="AL347" s="441"/>
      <c r="AM347" s="441"/>
      <c r="AN347" s="441"/>
      <c r="AO347" s="441"/>
      <c r="AP347" s="950"/>
      <c r="AQ347" s="441"/>
      <c r="AR347" s="441"/>
      <c r="AS347" s="416"/>
      <c r="AT347" s="441"/>
      <c r="AU347" s="441"/>
      <c r="AV347" s="441"/>
      <c r="AW347" s="441"/>
      <c r="AX347" s="441"/>
      <c r="AY347" s="418"/>
      <c r="AZ347" s="950"/>
      <c r="BA347" s="441"/>
      <c r="BB347" s="441"/>
      <c r="BC347" s="441"/>
      <c r="BD347" s="441"/>
      <c r="BE347" s="441"/>
      <c r="BF347" s="418"/>
      <c r="BG347" s="441"/>
      <c r="BH347" s="441"/>
      <c r="BI347" s="441"/>
      <c r="BJ347" s="441"/>
      <c r="BK347" s="441"/>
      <c r="BL347" s="441"/>
      <c r="BM347" s="441"/>
      <c r="BN347" s="441"/>
      <c r="BO347" s="441"/>
      <c r="BP347" s="418"/>
      <c r="BQ347" s="417"/>
      <c r="BR347" s="416"/>
      <c r="BS347" s="418"/>
      <c r="BT347" s="416"/>
      <c r="BU347" s="416"/>
      <c r="BV347" s="418"/>
      <c r="BW347" s="416"/>
      <c r="BX347" s="441"/>
      <c r="BY347" s="441"/>
      <c r="BZ347" s="441"/>
      <c r="CA347" s="441"/>
      <c r="CB347" s="441"/>
      <c r="CC347" s="693"/>
      <c r="CD347" s="441"/>
      <c r="CE347" s="615" t="str">
        <f>IFERROR(WWWW[[#This Row],['#_Water sources passed]]/WWWW[[#This Row],['#_Water sources tested for fecal coliform ]],"no test")</f>
        <v>no test</v>
      </c>
      <c r="CF347" s="416" t="str">
        <f>IFERROR(WWWW[[#This Row],['#_Household passed]]/WWWW[[#This Row],['#_Household water samples tested for fecal coliform]],"no test")</f>
        <v>no test</v>
      </c>
      <c r="CG347" s="417" t="str">
        <f>IF(AND(WWWW[[#This Row],[% of water sources passed]]="no test",WWWW[[#This Row],[% Household passed]]="no test"),"No Test","Tested")</f>
        <v>No Test</v>
      </c>
      <c r="CH347" s="417">
        <f>WWWW[[#This Row],['#_Constructed/existing protected hand dug well]]-WWWW[[#This Row],['#_Non-functional protected hand dug well]]</f>
        <v>0</v>
      </c>
      <c r="CI347" s="417">
        <f>(WWWW[[#This Row],['#_Constructed/Existing tube wells/boreholes/handpumps_WASH_agency]]+WWWW[[#This Row],['#_Non-Cluster partner water tube-wells/boreholes/handpumps]])-WWWW[[#This Row],['#_Non-functional tube wells/boreholes/handpumps]]</f>
        <v>0</v>
      </c>
      <c r="CJ347" s="417">
        <f>WWWW[[#This Row],['#_Constructed/Existingwater storage tank with gravity fed reticulation system]]-WWWW[[#This Row],['#_Non-functional storage tank gravity fed reticulation system]]</f>
        <v>0</v>
      </c>
      <c r="CK347" s="417">
        <f>(WWWW[[#This Row],['#_Water_Liters_supplied_by_Water boating or water trucking]]/90)/15</f>
        <v>0</v>
      </c>
      <c r="CL347" s="417">
        <f>WWWW[[#This Row],['#_Water_Liters_from_Constructed/Existing water distribution system from river or natural spring]]/90/15</f>
        <v>0</v>
      </c>
      <c r="CM347" s="417">
        <f>IF(WWWW[[#This Row],['#_of water points in TLS/CFS]]*500&gt;WWWW[[#This Row],[Total PoP ]],WWWW[[#This Row],[Total PoP ]],WWWW[[#This Row],['#_of water points in TLS/CFS]]*500)</f>
        <v>0</v>
      </c>
      <c r="CN347" s="417">
        <f>IF(WWWW[[#This Row],['#_of water points in THF]]*500&gt;WWWW[[#This Row],[Total PoP ]],WWWW[[#This Row],[Total PoP ]],WWWW[[#This Row],['#_of water points in THF]]*500)</f>
        <v>0</v>
      </c>
      <c r="CO347" s="417"/>
      <c r="CP347"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47"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47" s="416">
        <f>IF(WWWW[[#This Row],[Location Type 1]]="Village",WWWW[[#This Row],[Access to safe drinking water for Village]],WWWW[[#This Row],[Access to safe drinking water for Camp]])</f>
        <v>0</v>
      </c>
      <c r="CS347" s="421">
        <f>WWWW[[#This Row],[%Equitable and continuous access to sufficient quantity of safe drinking water]]*WWWW[[#This Row],[Total PoP ]]</f>
        <v>0</v>
      </c>
      <c r="CT347" s="416">
        <f>IF((WWWW[[#This Row],['#_Constructed/Existing protected/fenced ponds]]*250)/WWWW[[#This Row],[Total PoP ]]&gt;1,1,(WWWW[[#This Row],['#_Constructed/Existing protected/fenced ponds]]*250)/WWWW[[#This Row],[Total PoP ]])</f>
        <v>0</v>
      </c>
      <c r="CU347" s="421">
        <f>WWWW[[#This Row],[% Access to unimproved water points]]*WWWW[[#This Row],[Total PoP ]]</f>
        <v>0</v>
      </c>
      <c r="CV347"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47"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47" s="421">
        <f>WWWW[[#This Row],[HRP1]]/500</f>
        <v>0</v>
      </c>
      <c r="CY347" s="951">
        <f>1-WWWW[[#This Row],[% Equitable and continuous access to sufficient quantity of domestic water]]</f>
        <v>1</v>
      </c>
      <c r="CZ347" s="421">
        <f>WWWW[[#This Row],[%equitable and continuous access to sufficient quantity of safe drinking and domestic water''s GAP]]*WWWW[[#This Row],[Total PoP ]]</f>
        <v>294</v>
      </c>
      <c r="DA347" s="417">
        <f>IF(WWWW[[#This Row],[Total required water points]]-WWWW[[#This Row],['#Water points coverage]]&lt;0,0,WWWW[[#This Row],[Total required water points]]-WWWW[[#This Row],['#Water points coverage]])</f>
        <v>1</v>
      </c>
      <c r="DB347" s="417">
        <f>ROUND(IF(WWWW[[#This Row],[Total PoP ]]&lt;500,1,WWWW[[#This Row],[Total PoP ]]/500),0)</f>
        <v>1</v>
      </c>
      <c r="DC347" s="417">
        <f>(WWWW[[#This Row],['#_Constructed latrines_by_WASHAgencies]]+WWWW[[#This Row],['#_Non Cluster partner latrines]])-WWWW[[#This Row],['#_Non-functional latrines]]</f>
        <v>0</v>
      </c>
      <c r="DD347" s="615">
        <f>WWWW[[#This Row],[HRP2]]/WWWW[[#This Row],[Total PoP ]]</f>
        <v>0</v>
      </c>
      <c r="DE347"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47"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47"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47" s="417">
        <f>IF(WWWW[[#This Row],['# of functional latrines in THF supported by WASH partners during the reporting period2]]="",0,WWWW[[#This Row],['# of functional latrines in THF supported by WASH partners during the reporting period2]]*50)</f>
        <v>0</v>
      </c>
      <c r="DI347" s="417">
        <f>ROUND(IF(WWWW[[#This Row],[Location Type 1]]="camp",WWWW[[#This Row],[Total PoP ]]/20,IF(WWWW[[#This Row],[Location Type 1]]="Temporary Location",WWWW[[#This Row],[Total PoP ]]/50,(WWWW[[#This Row],[Total PoP ]]/6))),0)</f>
        <v>15</v>
      </c>
      <c r="DJ347" s="417">
        <f>IF(WWWW[[#This Row],[Total required Latrines]]-(WWWW[[#This Row],['#_Constructed latrines_by_WASHAgencies]]+WWWW[[#This Row],['#_Non Cluster partner latrines]])&lt;0,0,WWWW[[#This Row],[Total required Latrines]]-(WWWW[[#This Row],['#_Constructed latrines_by_WASHAgencies]]+WWWW[[#This Row],['#_Non Cluster partner latrines]]))</f>
        <v>15</v>
      </c>
      <c r="DK347" s="951">
        <f>1-WWWW[[#This Row],[% people access to functioning Latrine]]</f>
        <v>1</v>
      </c>
      <c r="DL347" s="615">
        <f>IF(OR(WWWW[[#This Row],['#_Non-functional latrines]]="",WWWW[[#This Row],['#_Non-functional latrines]]=0),0,WWWW[[#This Row],['#_Non-functional latrines]]/(WWWW[[#This Row],['#_Constructed latrines_by_WASHAgencies]]+WWWW[[#This Row],['#_Non Cluster partner latrines]]))</f>
        <v>0</v>
      </c>
      <c r="DM347" s="421">
        <f>IF(500*(WWWW[[#This Row],['#_male hygiene promoters]]+WWWW[[#This Row],['#_female hygiene promoters]])&gt;WWWW[[#This Row],[Total PoP ]],WWWW[[#This Row],[Total PoP ]],500*(WWWW[[#This Row],['#_male hygiene promoters]]+WWWW[[#This Row],['#_female hygiene promoters]]))</f>
        <v>0</v>
      </c>
      <c r="DN347"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47"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47" s="417">
        <f>IF(WWWW[[#This Row],['# People with access to soap]]&gt;WWWW[[#This Row],['# People with access to Sanity Pads]],WWWW[[#This Row],['# People with access to soap]],WWWW[[#This Row],['# People with access to Sanity Pads]])</f>
        <v>0</v>
      </c>
      <c r="DQ347"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47" s="951">
        <f>IF(WWWW[[#This Row],[HRP3]]/WWWW[[#This Row],[Total PoP ]]&gt;1,1,WWWW[[#This Row],[HRP3]]/WWWW[[#This Row],[Total PoP ]])</f>
        <v>0</v>
      </c>
      <c r="DS347" s="615">
        <f>1-WWWW[[#This Row],[Hygiene Coverage%]]</f>
        <v>1</v>
      </c>
      <c r="DT347" s="416">
        <f>WWWW[[#This Row],['# people reached by regular dedicated hygiene promotion_5]]/WWWW[[#This Row],[Total PoP ]]</f>
        <v>0</v>
      </c>
      <c r="DU347"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47"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47" s="417">
        <f>WWWW[[#This Row],['#_Constructed/Existing hand washing stations]]-WWWW[[#This Row],['#_Non-Functional_hand_washing_stations]]</f>
        <v>0</v>
      </c>
      <c r="DX347" s="421">
        <f>IF(WWWW[[#This Row],['# Functional hand washing stations during reporting period]]*20&gt;WWWW[[#This Row],[Total HH]],WWWW[[#This Row],[Total HH]],WWWW[[#This Row],['# Functional hand washing stations during reporting period]]*20)</f>
        <v>0</v>
      </c>
      <c r="DY347" s="421">
        <f>IF(WWWW[[#This Row],[Is sufficient soap available for TLS? (Yes/No)]]="yes",WWWW[[#This Row],['#_Constructed/Existing hand washing stations at TLS/CFS/THF]],0)</f>
        <v>0</v>
      </c>
      <c r="DZ347" s="421">
        <f>IF(WWWW[[#This Row],['# Functional hand washing stations during reporting period]]*100&gt;WWWW[[#This Row],[Total PoP ]],WWWW[[#This Row],[Total PoP ]],WWWW[[#This Row],['# Functional hand washing stations during reporting period]]*100)</f>
        <v>0</v>
      </c>
      <c r="EA347" s="421" t="str">
        <f>IF(OR(WWWW[[#This Row],['#_students at TLS_CFS]]="",WWWW[[#This Row],['#_students at TLS_CFS]]=0),"No","Yes")</f>
        <v>No</v>
      </c>
      <c r="EB34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47" s="566">
        <f>WWWW[[#This Row],[%_of_affected_people_surveyed_who_report_feeling_satistfied_with_the_latrine_design_and_sanitation_service]]*WWWW[[#This Row],[Total PoP ]]</f>
        <v>0</v>
      </c>
      <c r="ED347" s="566">
        <f>WWWW[[#This Row],[%_of_affected_people_surveyed_who_report_feeling_satistfied_with_the_water_point_design_and_water_service]]*WWWW[[#This Row],[Total PoP ]]</f>
        <v>0</v>
      </c>
      <c r="EE347" s="566">
        <f>WWWW[[#This Row],[%_of_complaints_received_that_result_in_timely_corrective_action_and_feedback_to_the_community]]*WWWW[[#This Row],[Total PoP ]]</f>
        <v>0</v>
      </c>
      <c r="EF34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4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4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47" s="418">
        <f>VLOOKUP(WWWW[[#This Row],[Site Name]],SiteDB6[[Site Name]:[CCCM Management]],6,FALSE)</f>
        <v>0</v>
      </c>
      <c r="EJ347" s="418" t="str">
        <f>VLOOKUP(WWWW[[#This Row],[Site Name]],SiteDB6[[Site Name]:[CCCM Focal Agency]],7,FALSE)</f>
        <v xml:space="preserve">Uncovered  </v>
      </c>
      <c r="EK347" s="418" t="str">
        <f>VLOOKUP(WWWW[[#This Row],[Site Name]],SiteDB6[[Site Name]:[Location Type 1]],9,FALSE)</f>
        <v>Camp</v>
      </c>
      <c r="EL347" s="418" t="str">
        <f>VLOOKUP(WWWW[[#This Row],[Site Name]],SiteDB6[[Site Name]:[Type of Accommodation]],10,FALSE)</f>
        <v>Camp like setting</v>
      </c>
      <c r="EM347" s="418" t="str">
        <f>VLOOKUP(WWWW[[#This Row],[Site Name]],SiteDB6[[Site Name]:[Ethnic or GCA/NGCA]],11,FALSE)</f>
        <v>GCA</v>
      </c>
      <c r="EN347" s="418">
        <f>VLOOKUP(WWWW[[#This Row],[Site Name]],SiteDB6[[Site Name]:[Lat]],12,FALSE)</f>
        <v>25.2057</v>
      </c>
      <c r="EO347" s="418">
        <f>VLOOKUP(WWWW[[#This Row],[Site Name]],SiteDB6[[Site Name]:[Long]],13,FALSE)</f>
        <v>97.262200000000007</v>
      </c>
      <c r="EP347" s="418" t="str">
        <f>VLOOKUP(WWWW[[#This Row],[Site Name]],SiteDB6[[Site Name]:[Pcode]],3,FALSE)</f>
        <v>MMR001CMP290</v>
      </c>
      <c r="EQ347" s="950" t="str">
        <f t="shared" si="8"/>
        <v>Notcovered</v>
      </c>
      <c r="ER347" s="950"/>
      <c r="ES347" s="950" t="s">
        <v>41</v>
      </c>
      <c r="ET347" s="418">
        <f>VLOOKUP(WWWW[[#This Row],[Site Name]],SiteDB6[[Site Name]:[Pop
(Kachin/Shan-CCCM as of May 2023)]],16,FALSE)</f>
        <v>61</v>
      </c>
      <c r="EU347" s="418">
        <f>VLOOKUP(WWWW[[#This Row],[Site Name]],SiteDB6[[Site Name]:[Pop
(Kachin/Shan-CCCM as of May 2023)]],17,FALSE)</f>
        <v>305</v>
      </c>
    </row>
    <row r="348" spans="1:151">
      <c r="A348" s="946" t="s">
        <v>2962</v>
      </c>
      <c r="B348" s="946" t="s">
        <v>242</v>
      </c>
      <c r="C348" s="938" t="s">
        <v>242</v>
      </c>
      <c r="D348" s="938" t="s">
        <v>3184</v>
      </c>
      <c r="E348" s="938" t="s">
        <v>37</v>
      </c>
      <c r="F348" s="938" t="s">
        <v>142</v>
      </c>
      <c r="G348" s="902" t="str">
        <f>VLOOKUP(WWWW[[#This Row],[Site Name]],SiteDB6[[Site Name]:[Location Type]],8,FALSE)</f>
        <v>Camp</v>
      </c>
      <c r="H348" s="938" t="s">
        <v>271</v>
      </c>
      <c r="I348" s="441">
        <v>71</v>
      </c>
      <c r="J348" s="441">
        <v>298</v>
      </c>
      <c r="K348" s="948">
        <v>44927</v>
      </c>
      <c r="L348" s="949">
        <v>45382</v>
      </c>
      <c r="M348" s="441"/>
      <c r="N348" s="441"/>
      <c r="O348" s="441">
        <v>1</v>
      </c>
      <c r="P348" s="441"/>
      <c r="Q348" s="421" t="s">
        <v>41</v>
      </c>
      <c r="R348" s="441">
        <v>2</v>
      </c>
      <c r="S348" s="441">
        <v>5</v>
      </c>
      <c r="T348" s="441">
        <v>1</v>
      </c>
      <c r="U348" s="441">
        <v>1</v>
      </c>
      <c r="V348" s="441"/>
      <c r="W348" s="441">
        <v>1</v>
      </c>
      <c r="X348" s="441"/>
      <c r="Y348" s="441"/>
      <c r="Z348" s="441"/>
      <c r="AA348" s="441"/>
      <c r="AB348" s="441"/>
      <c r="AC348" s="441"/>
      <c r="AD348" s="441"/>
      <c r="AE348" s="441"/>
      <c r="AF348" s="441"/>
      <c r="AG348" s="441"/>
      <c r="AH348" s="441"/>
      <c r="AI348" s="441"/>
      <c r="AJ348" s="441"/>
      <c r="AK348" s="441"/>
      <c r="AL348" s="441"/>
      <c r="AM348" s="441"/>
      <c r="AN348" s="441"/>
      <c r="AO348" s="441">
        <v>3</v>
      </c>
      <c r="AP348" s="950"/>
      <c r="AQ348" s="441">
        <v>16</v>
      </c>
      <c r="AR348" s="441"/>
      <c r="AS348" s="416" t="s">
        <v>3195</v>
      </c>
      <c r="AT348" s="441"/>
      <c r="AU348" s="441"/>
      <c r="AV348" s="441"/>
      <c r="AW348" s="441"/>
      <c r="AX348" s="441"/>
      <c r="AY348" s="418" t="s">
        <v>41</v>
      </c>
      <c r="AZ348" s="950" t="s">
        <v>137</v>
      </c>
      <c r="BA348" s="441"/>
      <c r="BB348" s="441"/>
      <c r="BC348" s="441"/>
      <c r="BD348" s="441"/>
      <c r="BE348" s="441"/>
      <c r="BF348" s="418" t="s">
        <v>3196</v>
      </c>
      <c r="BG348" s="441">
        <v>7</v>
      </c>
      <c r="BH348" s="441"/>
      <c r="BI348" s="441"/>
      <c r="BJ348" s="441">
        <v>5</v>
      </c>
      <c r="BK348" s="441"/>
      <c r="BL348" s="441"/>
      <c r="BM348" s="441">
        <v>1</v>
      </c>
      <c r="BN348" s="441">
        <v>71</v>
      </c>
      <c r="BO348" s="441"/>
      <c r="BP348" s="418"/>
      <c r="BQ348" s="417">
        <v>1</v>
      </c>
      <c r="BR348" s="416">
        <v>0.9</v>
      </c>
      <c r="BS348" s="418"/>
      <c r="BT348" s="416">
        <v>0.99</v>
      </c>
      <c r="BU348" s="416">
        <v>0.9</v>
      </c>
      <c r="BV348" s="418">
        <v>100</v>
      </c>
      <c r="BW348" s="416">
        <v>0.8</v>
      </c>
      <c r="BX348" s="441"/>
      <c r="BY348" s="441"/>
      <c r="BZ348" s="441"/>
      <c r="CA348" s="441"/>
      <c r="CB348" s="441"/>
      <c r="CC348" s="693"/>
      <c r="CD348" s="441"/>
      <c r="CE348" s="615" t="str">
        <f>IFERROR(WWWW[[#This Row],['#_Water sources passed]]/WWWW[[#This Row],['#_Water sources tested for fecal coliform ]],"no test")</f>
        <v>no test</v>
      </c>
      <c r="CF348" s="416" t="str">
        <f>IFERROR(WWWW[[#This Row],['#_Household passed]]/WWWW[[#This Row],['#_Household water samples tested for fecal coliform]],"no test")</f>
        <v>no test</v>
      </c>
      <c r="CG348" s="417" t="str">
        <f>IF(AND(WWWW[[#This Row],[% of water sources passed]]="no test",WWWW[[#This Row],[% Household passed]]="no test"),"No Test","Tested")</f>
        <v>No Test</v>
      </c>
      <c r="CH348" s="417">
        <f>WWWW[[#This Row],['#_Constructed/existing protected hand dug well]]-WWWW[[#This Row],['#_Non-functional protected hand dug well]]</f>
        <v>0</v>
      </c>
      <c r="CI348" s="417">
        <f>(WWWW[[#This Row],['#_Constructed/Existing tube wells/boreholes/handpumps_WASH_agency]]+WWWW[[#This Row],['#_Non-Cluster partner water tube-wells/boreholes/handpumps]])-WWWW[[#This Row],['#_Non-functional tube wells/boreholes/handpumps]]</f>
        <v>1</v>
      </c>
      <c r="CJ348" s="417">
        <f>WWWW[[#This Row],['#_Constructed/Existingwater storage tank with gravity fed reticulation system]]-WWWW[[#This Row],['#_Non-functional storage tank gravity fed reticulation system]]</f>
        <v>0</v>
      </c>
      <c r="CK348" s="417">
        <f>(WWWW[[#This Row],['#_Water_Liters_supplied_by_Water boating or water trucking]]/90)/15</f>
        <v>0</v>
      </c>
      <c r="CL348" s="417">
        <f>WWWW[[#This Row],['#_Water_Liters_from_Constructed/Existing water distribution system from river or natural spring]]/90/15</f>
        <v>0</v>
      </c>
      <c r="CM348" s="417">
        <f>IF(WWWW[[#This Row],['#_of water points in TLS/CFS]]*500&gt;WWWW[[#This Row],[Total PoP ]],WWWW[[#This Row],[Total PoP ]],WWWW[[#This Row],['#_of water points in TLS/CFS]]*500)</f>
        <v>0</v>
      </c>
      <c r="CN348" s="417">
        <f>IF(WWWW[[#This Row],['#_of water points in THF]]*500&gt;WWWW[[#This Row],[Total PoP ]],WWWW[[#This Row],[Total PoP ]],WWWW[[#This Row],['#_of water points in THF]]*500)</f>
        <v>298</v>
      </c>
      <c r="CO348" s="417"/>
      <c r="CP348"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48"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0.83892617449664431</v>
      </c>
      <c r="CR348" s="416">
        <f>IF(WWWW[[#This Row],[Location Type 1]]="Village",WWWW[[#This Row],[Access to safe drinking water for Village]],WWWW[[#This Row],[Access to safe drinking water for Camp]])</f>
        <v>1</v>
      </c>
      <c r="CS348" s="421">
        <f>WWWW[[#This Row],[%Equitable and continuous access to sufficient quantity of safe drinking water]]*WWWW[[#This Row],[Total PoP ]]</f>
        <v>298</v>
      </c>
      <c r="CT348" s="416">
        <f>IF((WWWW[[#This Row],['#_Constructed/Existing protected/fenced ponds]]*250)/WWWW[[#This Row],[Total PoP ]]&gt;1,1,(WWWW[[#This Row],['#_Constructed/Existing protected/fenced ponds]]*250)/WWWW[[#This Row],[Total PoP ]])</f>
        <v>0</v>
      </c>
      <c r="CU348" s="421">
        <f>WWWW[[#This Row],[% Access to unimproved water points]]*WWWW[[#This Row],[Total PoP ]]</f>
        <v>0</v>
      </c>
      <c r="CV348"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48"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298</v>
      </c>
      <c r="CX348" s="421">
        <f>WWWW[[#This Row],[HRP1]]/500</f>
        <v>0.59599999999999997</v>
      </c>
      <c r="CY348" s="951">
        <f>1-WWWW[[#This Row],[% Equitable and continuous access to sufficient quantity of domestic water]]</f>
        <v>0</v>
      </c>
      <c r="CZ348" s="421">
        <f>WWWW[[#This Row],[%equitable and continuous access to sufficient quantity of safe drinking and domestic water''s GAP]]*WWWW[[#This Row],[Total PoP ]]</f>
        <v>0</v>
      </c>
      <c r="DA348" s="417">
        <f>IF(WWWW[[#This Row],[Total required water points]]-WWWW[[#This Row],['#Water points coverage]]&lt;0,0,WWWW[[#This Row],[Total required water points]]-WWWW[[#This Row],['#Water points coverage]])</f>
        <v>0.40400000000000003</v>
      </c>
      <c r="DB348" s="417">
        <f>ROUND(IF(WWWW[[#This Row],[Total PoP ]]&lt;500,1,WWWW[[#This Row],[Total PoP ]]/500),0)</f>
        <v>1</v>
      </c>
      <c r="DC348" s="417">
        <f>(WWWW[[#This Row],['#_Constructed latrines_by_WASHAgencies]]+WWWW[[#This Row],['#_Non Cluster partner latrines]])-WWWW[[#This Row],['#_Non-functional latrines]]</f>
        <v>16</v>
      </c>
      <c r="DD348" s="615">
        <f>WWWW[[#This Row],[HRP2]]/WWWW[[#This Row],[Total PoP ]]</f>
        <v>1</v>
      </c>
      <c r="DE348"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298</v>
      </c>
      <c r="DF348"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48"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48" s="417">
        <f>IF(WWWW[[#This Row],['# of functional latrines in THF supported by WASH partners during the reporting period2]]="",0,WWWW[[#This Row],['# of functional latrines in THF supported by WASH partners during the reporting period2]]*50)</f>
        <v>0</v>
      </c>
      <c r="DI348" s="417">
        <f>ROUND(IF(WWWW[[#This Row],[Location Type 1]]="camp",WWWW[[#This Row],[Total PoP ]]/20,IF(WWWW[[#This Row],[Location Type 1]]="Temporary Location",WWWW[[#This Row],[Total PoP ]]/50,(WWWW[[#This Row],[Total PoP ]]/6))),0)</f>
        <v>15</v>
      </c>
      <c r="DJ348" s="417">
        <f>IF(WWWW[[#This Row],[Total required Latrines]]-(WWWW[[#This Row],['#_Constructed latrines_by_WASHAgencies]]+WWWW[[#This Row],['#_Non Cluster partner latrines]])&lt;0,0,WWWW[[#This Row],[Total required Latrines]]-(WWWW[[#This Row],['#_Constructed latrines_by_WASHAgencies]]+WWWW[[#This Row],['#_Non Cluster partner latrines]]))</f>
        <v>0</v>
      </c>
      <c r="DK348" s="951">
        <f>1-WWWW[[#This Row],[% people access to functioning Latrine]]</f>
        <v>0</v>
      </c>
      <c r="DL348" s="615">
        <f>IF(OR(WWWW[[#This Row],['#_Non-functional latrines]]="",WWWW[[#This Row],['#_Non-functional latrines]]=0),0,WWWW[[#This Row],['#_Non-functional latrines]]/(WWWW[[#This Row],['#_Constructed latrines_by_WASHAgencies]]+WWWW[[#This Row],['#_Non Cluster partner latrines]]))</f>
        <v>0</v>
      </c>
      <c r="DM348" s="421">
        <f>IF(500*(WWWW[[#This Row],['#_male hygiene promoters]]+WWWW[[#This Row],['#_female hygiene promoters]])&gt;WWWW[[#This Row],[Total PoP ]],WWWW[[#This Row],[Total PoP ]],500*(WWWW[[#This Row],['#_male hygiene promoters]]+WWWW[[#This Row],['#_female hygiene promoters]]))</f>
        <v>298</v>
      </c>
      <c r="DN348"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298</v>
      </c>
      <c r="DO348"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48" s="417">
        <f>IF(WWWW[[#This Row],['# People with access to soap]]&gt;WWWW[[#This Row],['# People with access to Sanity Pads]],WWWW[[#This Row],['# People with access to soap]],WWWW[[#This Row],['# People with access to Sanity Pads]])</f>
        <v>298</v>
      </c>
      <c r="DQ348" s="417">
        <f>IF(WWWW[[#This Row],['# people reached by regular dedicated hygiene promotion_5]]&gt;WWWW[[#This Row],['# People received regular supply of hygiene items_6]],WWWW[[#This Row],['# people reached by regular dedicated hygiene promotion_5]],WWWW[[#This Row],['# People received regular supply of hygiene items_6]])</f>
        <v>298</v>
      </c>
      <c r="DR348" s="951">
        <f>IF(WWWW[[#This Row],[HRP3]]/WWWW[[#This Row],[Total PoP ]]&gt;1,1,WWWW[[#This Row],[HRP3]]/WWWW[[#This Row],[Total PoP ]])</f>
        <v>1</v>
      </c>
      <c r="DS348" s="615">
        <f>1-WWWW[[#This Row],[Hygiene Coverage%]]</f>
        <v>0</v>
      </c>
      <c r="DT348" s="416">
        <f>WWWW[[#This Row],['# people reached by regular dedicated hygiene promotion_5]]/WWWW[[#This Row],[Total PoP ]]</f>
        <v>1</v>
      </c>
      <c r="DU348"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348"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48" s="417">
        <f>WWWW[[#This Row],['#_Constructed/Existing hand washing stations]]-WWWW[[#This Row],['#_Non-Functional_hand_washing_stations]]</f>
        <v>7</v>
      </c>
      <c r="DX348" s="421">
        <f>IF(WWWW[[#This Row],['# Functional hand washing stations during reporting period]]*20&gt;WWWW[[#This Row],[Total HH]],WWWW[[#This Row],[Total HH]],WWWW[[#This Row],['# Functional hand washing stations during reporting period]]*20)</f>
        <v>71</v>
      </c>
      <c r="DY348" s="421">
        <f>IF(WWWW[[#This Row],[Is sufficient soap available for TLS? (Yes/No)]]="yes",WWWW[[#This Row],['#_Constructed/Existing hand washing stations at TLS/CFS/THF]],0)</f>
        <v>0</v>
      </c>
      <c r="DZ348" s="421">
        <f>IF(WWWW[[#This Row],['# Functional hand washing stations during reporting period]]*100&gt;WWWW[[#This Row],[Total PoP ]],WWWW[[#This Row],[Total PoP ]],WWWW[[#This Row],['# Functional hand washing stations during reporting period]]*100)</f>
        <v>298</v>
      </c>
      <c r="EA348" s="421" t="str">
        <f>IF(OR(WWWW[[#This Row],['#_students at TLS_CFS]]="",WWWW[[#This Row],['#_students at TLS_CFS]]=0),"No","Yes")</f>
        <v>No</v>
      </c>
      <c r="EB348" s="615">
        <f>IF(WWWW[[#This Row],['#_of_affected_people_surveyed_who_report_feeling_informed_about_the_different_WASH_services_available_to_them]]="","",WWWW[[#This Row],['#_of_affected_people_surveyed_who_report_feeling_informed_about_the_different_WASH_services_available_to_them]]/WWWW[[#This Row],[Total PoP ]])</f>
        <v>0.33557046979865773</v>
      </c>
      <c r="EC348" s="566">
        <f>WWWW[[#This Row],[%_of_affected_people_surveyed_who_report_feeling_satistfied_with_the_latrine_design_and_sanitation_service]]*WWWW[[#This Row],[Total PoP ]]</f>
        <v>295.02</v>
      </c>
      <c r="ED348" s="566">
        <f>WWWW[[#This Row],[%_of_affected_people_surveyed_who_report_feeling_satistfied_with_the_water_point_design_and_water_service]]*WWWW[[#This Row],[Total PoP ]]</f>
        <v>268.2</v>
      </c>
      <c r="EE348" s="566">
        <f>WWWW[[#This Row],[%_of_complaints_received_that_result_in_timely_corrective_action_and_feedback_to_the_community]]*WWWW[[#This Row],[Total PoP ]]</f>
        <v>238.4</v>
      </c>
      <c r="EF34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295.02</v>
      </c>
      <c r="EG34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4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298</v>
      </c>
      <c r="EI348" s="418" t="str">
        <f>VLOOKUP(WWWW[[#This Row],[Site Name]],SiteDB6[[Site Name]:[CCCM Management]],6,FALSE)</f>
        <v>Yes</v>
      </c>
      <c r="EJ348" s="418" t="str">
        <f>VLOOKUP(WWWW[[#This Row],[Site Name]],SiteDB6[[Site Name]:[CCCM Focal Agency]],7,FALSE)</f>
        <v>Shalom</v>
      </c>
      <c r="EK348" s="418" t="str">
        <f>VLOOKUP(WWWW[[#This Row],[Site Name]],SiteDB6[[Site Name]:[Location Type 1]],9,FALSE)</f>
        <v>Camp</v>
      </c>
      <c r="EL348" s="418" t="str">
        <f>VLOOKUP(WWWW[[#This Row],[Site Name]],SiteDB6[[Site Name]:[Type of Accommodation]],10,FALSE)</f>
        <v>Camp</v>
      </c>
      <c r="EM348" s="418" t="str">
        <f>VLOOKUP(WWWW[[#This Row],[Site Name]],SiteDB6[[Site Name]:[Ethnic or GCA/NGCA]],11,FALSE)</f>
        <v>GCA</v>
      </c>
      <c r="EN348" s="418">
        <f>VLOOKUP(WWWW[[#This Row],[Site Name]],SiteDB6[[Site Name]:[Lat]],12,FALSE)</f>
        <v>25.3540362037037</v>
      </c>
      <c r="EO348" s="418">
        <f>VLOOKUP(WWWW[[#This Row],[Site Name]],SiteDB6[[Site Name]:[Long]],13,FALSE)</f>
        <v>97.441166388888902</v>
      </c>
      <c r="EP348" s="418" t="str">
        <f>VLOOKUP(WWWW[[#This Row],[Site Name]],SiteDB6[[Site Name]:[Pcode]],3,FALSE)</f>
        <v>MMR001CMP032</v>
      </c>
      <c r="EQ348" s="950" t="str">
        <f t="shared" si="8"/>
        <v>Covered</v>
      </c>
      <c r="ER348" s="950" t="s">
        <v>136</v>
      </c>
      <c r="ES348" s="950" t="s">
        <v>3264</v>
      </c>
      <c r="ET348" s="418">
        <f>VLOOKUP(WWWW[[#This Row],[Site Name]],SiteDB6[[Site Name]:[Pop
(Kachin/Shan-CCCM as of May 2023)]],16,FALSE)</f>
        <v>115</v>
      </c>
      <c r="EU348" s="418">
        <f>VLOOKUP(WWWW[[#This Row],[Site Name]],SiteDB6[[Site Name]:[Pop
(Kachin/Shan-CCCM as of May 2023)]],17,FALSE)</f>
        <v>528</v>
      </c>
    </row>
    <row r="349" spans="1:151">
      <c r="A349" s="946" t="s">
        <v>2962</v>
      </c>
      <c r="B349" s="938" t="s">
        <v>3347</v>
      </c>
      <c r="C349" s="1005" t="s">
        <v>3347</v>
      </c>
      <c r="D349" s="1005" t="s">
        <v>241</v>
      </c>
      <c r="E349" s="1005" t="s">
        <v>37</v>
      </c>
      <c r="F349" s="1005" t="s">
        <v>142</v>
      </c>
      <c r="G349" s="902" t="str">
        <f>VLOOKUP(WWWW[[#This Row],[Site Name]],SiteDB6[[Site Name]:[Location Type]],8,FALSE)</f>
        <v>Camp</v>
      </c>
      <c r="H349" s="1005" t="s">
        <v>181</v>
      </c>
      <c r="I349" s="441">
        <v>53</v>
      </c>
      <c r="J349" s="441">
        <v>279</v>
      </c>
      <c r="K349" s="955">
        <v>44811</v>
      </c>
      <c r="L349" s="956">
        <v>45175</v>
      </c>
      <c r="M349" s="954"/>
      <c r="N349" s="954">
        <v>1</v>
      </c>
      <c r="O349" s="954"/>
      <c r="P349" s="954"/>
      <c r="Q349" s="957" t="s">
        <v>41</v>
      </c>
      <c r="R349" s="954">
        <v>3</v>
      </c>
      <c r="S349" s="954">
        <v>3</v>
      </c>
      <c r="T349" s="441">
        <v>2</v>
      </c>
      <c r="U349" s="954"/>
      <c r="V349" s="954"/>
      <c r="W349" s="954"/>
      <c r="X349" s="954"/>
      <c r="Y349" s="954"/>
      <c r="Z349" s="954"/>
      <c r="AA349" s="954"/>
      <c r="AB349" s="954"/>
      <c r="AC349" s="954"/>
      <c r="AD349" s="954"/>
      <c r="AE349" s="954"/>
      <c r="AF349" s="954"/>
      <c r="AG349" s="954"/>
      <c r="AH349" s="976">
        <v>2</v>
      </c>
      <c r="AI349" s="954"/>
      <c r="AJ349" s="954"/>
      <c r="AK349" s="954"/>
      <c r="AL349" s="954"/>
      <c r="AM349" s="954"/>
      <c r="AN349" s="954"/>
      <c r="AO349" s="441"/>
      <c r="AP349" s="958"/>
      <c r="AQ349" s="954">
        <v>14</v>
      </c>
      <c r="AR349" s="954"/>
      <c r="AS349" s="959"/>
      <c r="AT349" s="954"/>
      <c r="AU349" s="954"/>
      <c r="AV349" s="954"/>
      <c r="AW349" s="954"/>
      <c r="AX349" s="954">
        <v>14</v>
      </c>
      <c r="AY349" s="953" t="s">
        <v>41</v>
      </c>
      <c r="AZ349" s="958" t="s">
        <v>137</v>
      </c>
      <c r="BA349" s="954"/>
      <c r="BB349" s="954"/>
      <c r="BC349" s="954"/>
      <c r="BD349" s="441"/>
      <c r="BE349" s="441"/>
      <c r="BF349" s="953"/>
      <c r="BG349" s="954">
        <v>6</v>
      </c>
      <c r="BH349" s="954">
        <v>2</v>
      </c>
      <c r="BI349" s="954"/>
      <c r="BJ349" s="954">
        <v>4</v>
      </c>
      <c r="BK349" s="954"/>
      <c r="BL349" s="954"/>
      <c r="BM349" s="954">
        <v>1</v>
      </c>
      <c r="BN349" s="954"/>
      <c r="BO349" s="954"/>
      <c r="BP349" s="953"/>
      <c r="BQ349" s="960"/>
      <c r="BR349" s="959"/>
      <c r="BS349" s="953"/>
      <c r="BT349" s="416"/>
      <c r="BU349" s="416"/>
      <c r="BV349" s="418"/>
      <c r="BW349" s="416"/>
      <c r="BX349" s="441"/>
      <c r="BY349" s="441"/>
      <c r="BZ349" s="441"/>
      <c r="CA349" s="441"/>
      <c r="CB349" s="441"/>
      <c r="CC349" s="693"/>
      <c r="CD349" s="441"/>
      <c r="CE349" s="961" t="str">
        <f>IFERROR(WWWW[[#This Row],['#_Water sources passed]]/WWWW[[#This Row],['#_Water sources tested for fecal coliform ]],"no test")</f>
        <v>no test</v>
      </c>
      <c r="CF349" s="959" t="str">
        <f>IFERROR(WWWW[[#This Row],['#_Household passed]]/WWWW[[#This Row],['#_Household water samples tested for fecal coliform]],"no test")</f>
        <v>no test</v>
      </c>
      <c r="CG349" s="960" t="str">
        <f>IF(AND(WWWW[[#This Row],[% of water sources passed]]="no test",WWWW[[#This Row],[% Household passed]]="no test"),"No Test","Tested")</f>
        <v>No Test</v>
      </c>
      <c r="CH349" s="960">
        <f>WWWW[[#This Row],['#_Constructed/existing protected hand dug well]]-WWWW[[#This Row],['#_Non-functional protected hand dug well]]</f>
        <v>2</v>
      </c>
      <c r="CI349" s="960">
        <f>(WWWW[[#This Row],['#_Constructed/Existing tube wells/boreholes/handpumps_WASH_agency]]+WWWW[[#This Row],['#_Non-Cluster partner water tube-wells/boreholes/handpumps]])-WWWW[[#This Row],['#_Non-functional tube wells/boreholes/handpumps]]</f>
        <v>0</v>
      </c>
      <c r="CJ349" s="960">
        <f>WWWW[[#This Row],['#_Constructed/Existingwater storage tank with gravity fed reticulation system]]-WWWW[[#This Row],['#_Non-functional storage tank gravity fed reticulation system]]</f>
        <v>0</v>
      </c>
      <c r="CK349" s="960">
        <f>(WWWW[[#This Row],['#_Water_Liters_supplied_by_Water boating or water trucking]]/90)/15</f>
        <v>0</v>
      </c>
      <c r="CL349" s="960">
        <f>WWWW[[#This Row],['#_Water_Liters_from_Constructed/Existing water distribution system from river or natural spring]]/90/15</f>
        <v>0</v>
      </c>
      <c r="CM349" s="417">
        <f>IF(WWWW[[#This Row],['#_of water points in TLS/CFS]]*500&gt;WWWW[[#This Row],[Total PoP ]],WWWW[[#This Row],[Total PoP ]],WWWW[[#This Row],['#_of water points in TLS/CFS]]*500)</f>
        <v>0</v>
      </c>
      <c r="CN349" s="417">
        <f>IF(WWWW[[#This Row],['#_of water points in THF]]*500&gt;WWWW[[#This Row],[Total PoP ]],WWWW[[#This Row],[Total PoP ]],WWWW[[#This Row],['#_of water points in THF]]*500)</f>
        <v>0</v>
      </c>
      <c r="CO349" s="417"/>
      <c r="CP349"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49"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49" s="959">
        <f>IF(WWWW[[#This Row],[Location Type 1]]="Village",WWWW[[#This Row],[Access to safe drinking water for Village]],WWWW[[#This Row],[Access to safe drinking water for Camp]])</f>
        <v>1</v>
      </c>
      <c r="CS349" s="957">
        <f>WWWW[[#This Row],[%Equitable and continuous access to sufficient quantity of safe drinking water]]*WWWW[[#This Row],[Total PoP ]]</f>
        <v>279</v>
      </c>
      <c r="CT349" s="959">
        <f>IF((WWWW[[#This Row],['#_Constructed/Existing protected/fenced ponds]]*250)/WWWW[[#This Row],[Total PoP ]]&gt;1,1,(WWWW[[#This Row],['#_Constructed/Existing protected/fenced ponds]]*250)/WWWW[[#This Row],[Total PoP ]])</f>
        <v>0</v>
      </c>
      <c r="CU349" s="957">
        <f>WWWW[[#This Row],[% Access to unimproved water points]]*WWWW[[#This Row],[Total PoP ]]</f>
        <v>0</v>
      </c>
      <c r="CV349"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49"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279</v>
      </c>
      <c r="CX349" s="957">
        <f>WWWW[[#This Row],[HRP1]]/500</f>
        <v>0.55800000000000005</v>
      </c>
      <c r="CY349" s="962">
        <f>1-WWWW[[#This Row],[% Equitable and continuous access to sufficient quantity of domestic water]]</f>
        <v>0</v>
      </c>
      <c r="CZ349" s="957">
        <f>WWWW[[#This Row],[%equitable and continuous access to sufficient quantity of safe drinking and domestic water''s GAP]]*WWWW[[#This Row],[Total PoP ]]</f>
        <v>0</v>
      </c>
      <c r="DA349" s="960">
        <f>IF(WWWW[[#This Row],[Total required water points]]-WWWW[[#This Row],['#Water points coverage]]&lt;0,0,WWWW[[#This Row],[Total required water points]]-WWWW[[#This Row],['#Water points coverage]])</f>
        <v>0.44199999999999995</v>
      </c>
      <c r="DB349" s="960">
        <f>ROUND(IF(WWWW[[#This Row],[Total PoP ]]&lt;500,1,WWWW[[#This Row],[Total PoP ]]/500),0)</f>
        <v>1</v>
      </c>
      <c r="DC349" s="960">
        <f>(WWWW[[#This Row],['#_Constructed latrines_by_WASHAgencies]]+WWWW[[#This Row],['#_Non Cluster partner latrines]])-WWWW[[#This Row],['#_Non-functional latrines]]</f>
        <v>14</v>
      </c>
      <c r="DD349" s="615">
        <f>WWWW[[#This Row],[HRP2]]/WWWW[[#This Row],[Total PoP ]]</f>
        <v>1</v>
      </c>
      <c r="DE349"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279</v>
      </c>
      <c r="DF349"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49"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49" s="417">
        <f>IF(WWWW[[#This Row],['# of functional latrines in THF supported by WASH partners during the reporting period2]]="",0,WWWW[[#This Row],['# of functional latrines in THF supported by WASH partners during the reporting period2]]*50)</f>
        <v>0</v>
      </c>
      <c r="DI349" s="960">
        <f>ROUND(IF(WWWW[[#This Row],[Location Type 1]]="camp",WWWW[[#This Row],[Total PoP ]]/20,IF(WWWW[[#This Row],[Location Type 1]]="Temporary Location",WWWW[[#This Row],[Total PoP ]]/50,(WWWW[[#This Row],[Total PoP ]]/6))),0)</f>
        <v>14</v>
      </c>
      <c r="DJ349" s="960">
        <f>IF(WWWW[[#This Row],[Total required Latrines]]-(WWWW[[#This Row],['#_Constructed latrines_by_WASHAgencies]]+WWWW[[#This Row],['#_Non Cluster partner latrines]])&lt;0,0,WWWW[[#This Row],[Total required Latrines]]-(WWWW[[#This Row],['#_Constructed latrines_by_WASHAgencies]]+WWWW[[#This Row],['#_Non Cluster partner latrines]]))</f>
        <v>0</v>
      </c>
      <c r="DK349" s="962">
        <f>1-WWWW[[#This Row],[% people access to functioning Latrine]]</f>
        <v>0</v>
      </c>
      <c r="DL349" s="961">
        <f>IF(OR(WWWW[[#This Row],['#_Non-functional latrines]]="",WWWW[[#This Row],['#_Non-functional latrines]]=0),0,WWWW[[#This Row],['#_Non-functional latrines]]/(WWWW[[#This Row],['#_Constructed latrines_by_WASHAgencies]]+WWWW[[#This Row],['#_Non Cluster partner latrines]]))</f>
        <v>0</v>
      </c>
      <c r="DM349" s="957">
        <f>IF(500*(WWWW[[#This Row],['#_male hygiene promoters]]+WWWW[[#This Row],['#_female hygiene promoters]])&gt;WWWW[[#This Row],[Total PoP ]],WWWW[[#This Row],[Total PoP ]],500*(WWWW[[#This Row],['#_male hygiene promoters]]+WWWW[[#This Row],['#_female hygiene promoters]]))</f>
        <v>279</v>
      </c>
      <c r="DN349"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49"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49" s="960">
        <f>IF(WWWW[[#This Row],['# People with access to soap]]&gt;WWWW[[#This Row],['# People with access to Sanity Pads]],WWWW[[#This Row],['# People with access to soap]],WWWW[[#This Row],['# People with access to Sanity Pads]])</f>
        <v>0</v>
      </c>
      <c r="DQ349" s="960">
        <f>IF(WWWW[[#This Row],['# people reached by regular dedicated hygiene promotion_5]]&gt;WWWW[[#This Row],['# People received regular supply of hygiene items_6]],WWWW[[#This Row],['# people reached by regular dedicated hygiene promotion_5]],WWWW[[#This Row],['# People received regular supply of hygiene items_6]])</f>
        <v>279</v>
      </c>
      <c r="DR349" s="962">
        <f>IF(WWWW[[#This Row],[HRP3]]/WWWW[[#This Row],[Total PoP ]]&gt;1,1,WWWW[[#This Row],[HRP3]]/WWWW[[#This Row],[Total PoP ]])</f>
        <v>1</v>
      </c>
      <c r="DS349" s="961">
        <f>1-WWWW[[#This Row],[Hygiene Coverage%]]</f>
        <v>0</v>
      </c>
      <c r="DT349" s="959">
        <f>WWWW[[#This Row],['# people reached by regular dedicated hygiene promotion_5]]/WWWW[[#This Row],[Total PoP ]]</f>
        <v>1</v>
      </c>
      <c r="DU349"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49"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49" s="960">
        <f>WWWW[[#This Row],['#_Constructed/Existing hand washing stations]]-WWWW[[#This Row],['#_Non-Functional_hand_washing_stations]]</f>
        <v>4</v>
      </c>
      <c r="DX349" s="957">
        <f>IF(WWWW[[#This Row],['# Functional hand washing stations during reporting period]]*20&gt;WWWW[[#This Row],[Total HH]],WWWW[[#This Row],[Total HH]],WWWW[[#This Row],['# Functional hand washing stations during reporting period]]*20)</f>
        <v>53</v>
      </c>
      <c r="DY349" s="957">
        <f>IF(WWWW[[#This Row],[Is sufficient soap available for TLS? (Yes/No)]]="yes",WWWW[[#This Row],['#_Constructed/Existing hand washing stations at TLS/CFS/THF]],0)</f>
        <v>0</v>
      </c>
      <c r="DZ349" s="421">
        <f>IF(WWWW[[#This Row],['# Functional hand washing stations during reporting period]]*100&gt;WWWW[[#This Row],[Total PoP ]],WWWW[[#This Row],[Total PoP ]],WWWW[[#This Row],['# Functional hand washing stations during reporting period]]*100)</f>
        <v>279</v>
      </c>
      <c r="EA349" s="421" t="str">
        <f>IF(OR(WWWW[[#This Row],['#_students at TLS_CFS]]="",WWWW[[#This Row],['#_students at TLS_CFS]]=0),"No","Yes")</f>
        <v>No</v>
      </c>
      <c r="EB34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49" s="566">
        <f>WWWW[[#This Row],[%_of_affected_people_surveyed_who_report_feeling_satistfied_with_the_latrine_design_and_sanitation_service]]*WWWW[[#This Row],[Total PoP ]]</f>
        <v>0</v>
      </c>
      <c r="ED349" s="566">
        <f>WWWW[[#This Row],[%_of_affected_people_surveyed_who_report_feeling_satistfied_with_the_water_point_design_and_water_service]]*WWWW[[#This Row],[Total PoP ]]</f>
        <v>0</v>
      </c>
      <c r="EE349" s="566">
        <f>WWWW[[#This Row],[%_of_complaints_received_that_result_in_timely_corrective_action_and_feedback_to_the_community]]*WWWW[[#This Row],[Total PoP ]]</f>
        <v>0</v>
      </c>
      <c r="EF34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4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4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49" s="953" t="str">
        <f>VLOOKUP(WWWW[[#This Row],[Site Name]],SiteDB6[[Site Name]:[CCCM Management]],6,FALSE)</f>
        <v>Yes</v>
      </c>
      <c r="EJ349" s="953" t="str">
        <f>VLOOKUP(WWWW[[#This Row],[Site Name]],SiteDB6[[Site Name]:[CCCM Focal Agency]],7,FALSE)</f>
        <v>KBC-MYT</v>
      </c>
      <c r="EK349" s="953" t="str">
        <f>VLOOKUP(WWWW[[#This Row],[Site Name]],SiteDB6[[Site Name]:[Location Type 1]],9,FALSE)</f>
        <v>Camp</v>
      </c>
      <c r="EL349" s="953" t="str">
        <f>VLOOKUP(WWWW[[#This Row],[Site Name]],SiteDB6[[Site Name]:[Type of Accommodation]],10,FALSE)</f>
        <v>Camp</v>
      </c>
      <c r="EM349" s="953" t="str">
        <f>VLOOKUP(WWWW[[#This Row],[Site Name]],SiteDB6[[Site Name]:[Ethnic or GCA/NGCA]],11,FALSE)</f>
        <v>GCA</v>
      </c>
      <c r="EN349" s="953">
        <f>VLOOKUP(WWWW[[#This Row],[Site Name]],SiteDB6[[Site Name]:[Lat]],12,FALSE)</f>
        <v>25.351724999999998</v>
      </c>
      <c r="EO349" s="953">
        <f>VLOOKUP(WWWW[[#This Row],[Site Name]],SiteDB6[[Site Name]:[Long]],13,FALSE)</f>
        <v>97.438432380952406</v>
      </c>
      <c r="EP349" s="953" t="str">
        <f>VLOOKUP(WWWW[[#This Row],[Site Name]],SiteDB6[[Site Name]:[Pcode]],3,FALSE)</f>
        <v>MMR001CMP025</v>
      </c>
      <c r="EQ349" s="958" t="str">
        <f t="shared" si="8"/>
        <v>Covered</v>
      </c>
      <c r="ER349" s="950" t="s">
        <v>3126</v>
      </c>
      <c r="ES349" s="950" t="s">
        <v>3267</v>
      </c>
      <c r="ET349" s="953">
        <f>VLOOKUP(WWWW[[#This Row],[Site Name]],SiteDB6[[Site Name]:[Pop
(Kachin/Shan-CCCM as of May 2023)]],16,FALSE)</f>
        <v>67</v>
      </c>
      <c r="EU349" s="953">
        <f>VLOOKUP(WWWW[[#This Row],[Site Name]],SiteDB6[[Site Name]:[Pop
(Kachin/Shan-CCCM as of May 2023)]],17,FALSE)</f>
        <v>337</v>
      </c>
    </row>
    <row r="350" spans="1:151">
      <c r="A350" s="946" t="s">
        <v>2962</v>
      </c>
      <c r="B350" s="946" t="s">
        <v>309</v>
      </c>
      <c r="C350" s="938" t="s">
        <v>309</v>
      </c>
      <c r="D350" s="938"/>
      <c r="E350" s="938" t="s">
        <v>37</v>
      </c>
      <c r="F350" s="938" t="s">
        <v>142</v>
      </c>
      <c r="G350" s="902" t="str">
        <f>VLOOKUP(WWWW[[#This Row],[Site Name]],SiteDB6[[Site Name]:[Location Type]],8,FALSE)</f>
        <v>Camp</v>
      </c>
      <c r="H350" s="938" t="s">
        <v>775</v>
      </c>
      <c r="I350" s="441">
        <v>45</v>
      </c>
      <c r="J350" s="441">
        <v>247</v>
      </c>
      <c r="K350" s="948"/>
      <c r="L350" s="949"/>
      <c r="M350" s="441"/>
      <c r="N350" s="441"/>
      <c r="O350" s="441"/>
      <c r="P350" s="441"/>
      <c r="Q350" s="421"/>
      <c r="R350" s="441"/>
      <c r="S350" s="441">
        <v>2</v>
      </c>
      <c r="T350" s="441"/>
      <c r="U350" s="441"/>
      <c r="V350" s="441"/>
      <c r="W350" s="441"/>
      <c r="X350" s="441"/>
      <c r="Y350" s="441"/>
      <c r="Z350" s="441"/>
      <c r="AA350" s="441"/>
      <c r="AB350" s="441"/>
      <c r="AC350" s="441"/>
      <c r="AD350" s="441"/>
      <c r="AE350" s="441"/>
      <c r="AF350" s="441"/>
      <c r="AG350" s="441"/>
      <c r="AH350" s="441"/>
      <c r="AI350" s="441"/>
      <c r="AJ350" s="441"/>
      <c r="AK350" s="441"/>
      <c r="AL350" s="441"/>
      <c r="AM350" s="441"/>
      <c r="AN350" s="441"/>
      <c r="AO350" s="441"/>
      <c r="AP350" s="950"/>
      <c r="AQ350" s="441"/>
      <c r="AR350" s="441"/>
      <c r="AS350" s="416"/>
      <c r="AT350" s="441"/>
      <c r="AU350" s="441"/>
      <c r="AV350" s="441"/>
      <c r="AW350" s="441"/>
      <c r="AX350" s="441"/>
      <c r="AY350" s="418" t="s">
        <v>140</v>
      </c>
      <c r="AZ350" s="950" t="s">
        <v>140</v>
      </c>
      <c r="BA350" s="441"/>
      <c r="BB350" s="441"/>
      <c r="BC350" s="441"/>
      <c r="BD350" s="441"/>
      <c r="BE350" s="441"/>
      <c r="BF350" s="418"/>
      <c r="BG350" s="441">
        <v>1</v>
      </c>
      <c r="BH350" s="441"/>
      <c r="BI350" s="441"/>
      <c r="BJ350" s="441">
        <v>3</v>
      </c>
      <c r="BK350" s="441"/>
      <c r="BL350" s="441"/>
      <c r="BM350" s="441"/>
      <c r="BN350" s="441"/>
      <c r="BO350" s="441"/>
      <c r="BP350" s="418"/>
      <c r="BQ350" s="417"/>
      <c r="BR350" s="416"/>
      <c r="BS350" s="418"/>
      <c r="BT350" s="416"/>
      <c r="BU350" s="416"/>
      <c r="BV350" s="418"/>
      <c r="BW350" s="416"/>
      <c r="BX350" s="441"/>
      <c r="BY350" s="441"/>
      <c r="BZ350" s="441"/>
      <c r="CA350" s="441"/>
      <c r="CB350" s="441"/>
      <c r="CC350" s="693"/>
      <c r="CD350" s="441"/>
      <c r="CE350" s="615" t="str">
        <f>IFERROR(WWWW[[#This Row],['#_Water sources passed]]/WWWW[[#This Row],['#_Water sources tested for fecal coliform ]],"no test")</f>
        <v>no test</v>
      </c>
      <c r="CF350" s="416" t="str">
        <f>IFERROR(WWWW[[#This Row],['#_Household passed]]/WWWW[[#This Row],['#_Household water samples tested for fecal coliform]],"no test")</f>
        <v>no test</v>
      </c>
      <c r="CG350" s="417" t="str">
        <f>IF(AND(WWWW[[#This Row],[% of water sources passed]]="no test",WWWW[[#This Row],[% Household passed]]="no test"),"No Test","Tested")</f>
        <v>No Test</v>
      </c>
      <c r="CH350" s="417">
        <f>WWWW[[#This Row],['#_Constructed/existing protected hand dug well]]-WWWW[[#This Row],['#_Non-functional protected hand dug well]]</f>
        <v>0</v>
      </c>
      <c r="CI350" s="417">
        <f>(WWWW[[#This Row],['#_Constructed/Existing tube wells/boreholes/handpumps_WASH_agency]]+WWWW[[#This Row],['#_Non-Cluster partner water tube-wells/boreholes/handpumps]])-WWWW[[#This Row],['#_Non-functional tube wells/boreholes/handpumps]]</f>
        <v>0</v>
      </c>
      <c r="CJ350" s="417">
        <f>WWWW[[#This Row],['#_Constructed/Existingwater storage tank with gravity fed reticulation system]]-WWWW[[#This Row],['#_Non-functional storage tank gravity fed reticulation system]]</f>
        <v>0</v>
      </c>
      <c r="CK350" s="417">
        <f>(WWWW[[#This Row],['#_Water_Liters_supplied_by_Water boating or water trucking]]/90)/15</f>
        <v>0</v>
      </c>
      <c r="CL350" s="417">
        <f>WWWW[[#This Row],['#_Water_Liters_from_Constructed/Existing water distribution system from river or natural spring]]/90/15</f>
        <v>0</v>
      </c>
      <c r="CM350" s="417">
        <f>IF(WWWW[[#This Row],['#_of water points in TLS/CFS]]*500&gt;WWWW[[#This Row],[Total PoP ]],WWWW[[#This Row],[Total PoP ]],WWWW[[#This Row],['#_of water points in TLS/CFS]]*500)</f>
        <v>0</v>
      </c>
      <c r="CN350" s="417">
        <f>IF(WWWW[[#This Row],['#_of water points in THF]]*500&gt;WWWW[[#This Row],[Total PoP ]],WWWW[[#This Row],[Total PoP ]],WWWW[[#This Row],['#_of water points in THF]]*500)</f>
        <v>0</v>
      </c>
      <c r="CO350" s="417"/>
      <c r="CP350"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50"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50" s="416">
        <f>IF(WWWW[[#This Row],[Location Type 1]]="Village",WWWW[[#This Row],[Access to safe drinking water for Village]],WWWW[[#This Row],[Access to safe drinking water for Camp]])</f>
        <v>0</v>
      </c>
      <c r="CS350" s="421">
        <f>WWWW[[#This Row],[%Equitable and continuous access to sufficient quantity of safe drinking water]]*WWWW[[#This Row],[Total PoP ]]</f>
        <v>0</v>
      </c>
      <c r="CT350" s="416">
        <f>IF((WWWW[[#This Row],['#_Constructed/Existing protected/fenced ponds]]*250)/WWWW[[#This Row],[Total PoP ]]&gt;1,1,(WWWW[[#This Row],['#_Constructed/Existing protected/fenced ponds]]*250)/WWWW[[#This Row],[Total PoP ]])</f>
        <v>0</v>
      </c>
      <c r="CU350" s="421">
        <f>WWWW[[#This Row],[% Access to unimproved water points]]*WWWW[[#This Row],[Total PoP ]]</f>
        <v>0</v>
      </c>
      <c r="CV350"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50"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50" s="421">
        <f>WWWW[[#This Row],[HRP1]]/500</f>
        <v>0</v>
      </c>
      <c r="CY350" s="951">
        <f>1-WWWW[[#This Row],[% Equitable and continuous access to sufficient quantity of domestic water]]</f>
        <v>1</v>
      </c>
      <c r="CZ350" s="421">
        <f>WWWW[[#This Row],[%equitable and continuous access to sufficient quantity of safe drinking and domestic water''s GAP]]*WWWW[[#This Row],[Total PoP ]]</f>
        <v>247</v>
      </c>
      <c r="DA350" s="417">
        <f>IF(WWWW[[#This Row],[Total required water points]]-WWWW[[#This Row],['#Water points coverage]]&lt;0,0,WWWW[[#This Row],[Total required water points]]-WWWW[[#This Row],['#Water points coverage]])</f>
        <v>1</v>
      </c>
      <c r="DB350" s="417">
        <f>ROUND(IF(WWWW[[#This Row],[Total PoP ]]&lt;500,1,WWWW[[#This Row],[Total PoP ]]/500),0)</f>
        <v>1</v>
      </c>
      <c r="DC350" s="417">
        <f>(WWWW[[#This Row],['#_Constructed latrines_by_WASHAgencies]]+WWWW[[#This Row],['#_Non Cluster partner latrines]])-WWWW[[#This Row],['#_Non-functional latrines]]</f>
        <v>0</v>
      </c>
      <c r="DD350" s="615">
        <f>WWWW[[#This Row],[HRP2]]/WWWW[[#This Row],[Total PoP ]]</f>
        <v>0</v>
      </c>
      <c r="DE350"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50"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50"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50" s="417">
        <f>IF(WWWW[[#This Row],['# of functional latrines in THF supported by WASH partners during the reporting period2]]="",0,WWWW[[#This Row],['# of functional latrines in THF supported by WASH partners during the reporting period2]]*50)</f>
        <v>0</v>
      </c>
      <c r="DI350" s="417">
        <f>ROUND(IF(WWWW[[#This Row],[Location Type 1]]="camp",WWWW[[#This Row],[Total PoP ]]/20,IF(WWWW[[#This Row],[Location Type 1]]="Temporary Location",WWWW[[#This Row],[Total PoP ]]/50,(WWWW[[#This Row],[Total PoP ]]/6))),0)</f>
        <v>12</v>
      </c>
      <c r="DJ350" s="417">
        <f>IF(WWWW[[#This Row],[Total required Latrines]]-(WWWW[[#This Row],['#_Constructed latrines_by_WASHAgencies]]+WWWW[[#This Row],['#_Non Cluster partner latrines]])&lt;0,0,WWWW[[#This Row],[Total required Latrines]]-(WWWW[[#This Row],['#_Constructed latrines_by_WASHAgencies]]+WWWW[[#This Row],['#_Non Cluster partner latrines]]))</f>
        <v>12</v>
      </c>
      <c r="DK350" s="951">
        <f>1-WWWW[[#This Row],[% people access to functioning Latrine]]</f>
        <v>1</v>
      </c>
      <c r="DL350" s="615">
        <f>IF(OR(WWWW[[#This Row],['#_Non-functional latrines]]="",WWWW[[#This Row],['#_Non-functional latrines]]=0),0,WWWW[[#This Row],['#_Non-functional latrines]]/(WWWW[[#This Row],['#_Constructed latrines_by_WASHAgencies]]+WWWW[[#This Row],['#_Non Cluster partner latrines]]))</f>
        <v>0</v>
      </c>
      <c r="DM350" s="421">
        <f>IF(500*(WWWW[[#This Row],['#_male hygiene promoters]]+WWWW[[#This Row],['#_female hygiene promoters]])&gt;WWWW[[#This Row],[Total PoP ]],WWWW[[#This Row],[Total PoP ]],500*(WWWW[[#This Row],['#_male hygiene promoters]]+WWWW[[#This Row],['#_female hygiene promoters]]))</f>
        <v>0</v>
      </c>
      <c r="DN350"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50"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50" s="417">
        <f>IF(WWWW[[#This Row],['# People with access to soap]]&gt;WWWW[[#This Row],['# People with access to Sanity Pads]],WWWW[[#This Row],['# People with access to soap]],WWWW[[#This Row],['# People with access to Sanity Pads]])</f>
        <v>0</v>
      </c>
      <c r="DQ350"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50" s="951">
        <f>IF(WWWW[[#This Row],[HRP3]]/WWWW[[#This Row],[Total PoP ]]&gt;1,1,WWWW[[#This Row],[HRP3]]/WWWW[[#This Row],[Total PoP ]])</f>
        <v>0</v>
      </c>
      <c r="DS350" s="615">
        <f>1-WWWW[[#This Row],[Hygiene Coverage%]]</f>
        <v>1</v>
      </c>
      <c r="DT350" s="416">
        <f>WWWW[[#This Row],['# people reached by regular dedicated hygiene promotion_5]]/WWWW[[#This Row],[Total PoP ]]</f>
        <v>0</v>
      </c>
      <c r="DU350"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50"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50" s="417">
        <f>WWWW[[#This Row],['#_Constructed/Existing hand washing stations]]-WWWW[[#This Row],['#_Non-Functional_hand_washing_stations]]</f>
        <v>1</v>
      </c>
      <c r="DX350" s="421">
        <f>IF(WWWW[[#This Row],['# Functional hand washing stations during reporting period]]*20&gt;WWWW[[#This Row],[Total HH]],WWWW[[#This Row],[Total HH]],WWWW[[#This Row],['# Functional hand washing stations during reporting period]]*20)</f>
        <v>20</v>
      </c>
      <c r="DY350" s="421">
        <f>IF(WWWW[[#This Row],[Is sufficient soap available for TLS? (Yes/No)]]="yes",WWWW[[#This Row],['#_Constructed/Existing hand washing stations at TLS/CFS/THF]],0)</f>
        <v>0</v>
      </c>
      <c r="DZ350" s="421">
        <f>IF(WWWW[[#This Row],['# Functional hand washing stations during reporting period]]*100&gt;WWWW[[#This Row],[Total PoP ]],WWWW[[#This Row],[Total PoP ]],WWWW[[#This Row],['# Functional hand washing stations during reporting period]]*100)</f>
        <v>100</v>
      </c>
      <c r="EA350" s="421" t="str">
        <f>IF(OR(WWWW[[#This Row],['#_students at TLS_CFS]]="",WWWW[[#This Row],['#_students at TLS_CFS]]=0),"No","Yes")</f>
        <v>No</v>
      </c>
      <c r="EB35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50" s="566">
        <f>WWWW[[#This Row],[%_of_affected_people_surveyed_who_report_feeling_satistfied_with_the_latrine_design_and_sanitation_service]]*WWWW[[#This Row],[Total PoP ]]</f>
        <v>0</v>
      </c>
      <c r="ED350" s="566">
        <f>WWWW[[#This Row],[%_of_affected_people_surveyed_who_report_feeling_satistfied_with_the_water_point_design_and_water_service]]*WWWW[[#This Row],[Total PoP ]]</f>
        <v>0</v>
      </c>
      <c r="EE350" s="566">
        <f>WWWW[[#This Row],[%_of_complaints_received_that_result_in_timely_corrective_action_and_feedback_to_the_community]]*WWWW[[#This Row],[Total PoP ]]</f>
        <v>0</v>
      </c>
      <c r="EF35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5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5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50" s="418">
        <f>VLOOKUP(WWWW[[#This Row],[Site Name]],SiteDB6[[Site Name]:[CCCM Management]],6,FALSE)</f>
        <v>0</v>
      </c>
      <c r="EJ350" s="418" t="str">
        <f>VLOOKUP(WWWW[[#This Row],[Site Name]],SiteDB6[[Site Name]:[CCCM Focal Agency]],7,FALSE)</f>
        <v>uncovered</v>
      </c>
      <c r="EK350" s="418" t="str">
        <f>VLOOKUP(WWWW[[#This Row],[Site Name]],SiteDB6[[Site Name]:[Location Type 1]],9,FALSE)</f>
        <v>Camp</v>
      </c>
      <c r="EL350" s="418" t="str">
        <f>VLOOKUP(WWWW[[#This Row],[Site Name]],SiteDB6[[Site Name]:[Type of Accommodation]],10,FALSE)</f>
        <v>Camp like setting</v>
      </c>
      <c r="EM350" s="418" t="str">
        <f>VLOOKUP(WWWW[[#This Row],[Site Name]],SiteDB6[[Site Name]:[Ethnic or GCA/NGCA]],11,FALSE)</f>
        <v>GCA</v>
      </c>
      <c r="EN350" s="418">
        <f>VLOOKUP(WWWW[[#This Row],[Site Name]],SiteDB6[[Site Name]:[Lat]],12,FALSE)</f>
        <v>25.391428000000001</v>
      </c>
      <c r="EO350" s="418">
        <f>VLOOKUP(WWWW[[#This Row],[Site Name]],SiteDB6[[Site Name]:[Long]],13,FALSE)</f>
        <v>97.898184999999998</v>
      </c>
      <c r="EP350" s="418" t="str">
        <f>VLOOKUP(WWWW[[#This Row],[Site Name]],SiteDB6[[Site Name]:[Pcode]],3,FALSE)</f>
        <v>MMR001CMP258</v>
      </c>
      <c r="EQ350" s="950" t="str">
        <f t="shared" si="8"/>
        <v>Notcovered</v>
      </c>
      <c r="ER350" s="950"/>
      <c r="ES350" s="950" t="s">
        <v>3256</v>
      </c>
      <c r="ET350" s="418">
        <f>VLOOKUP(WWWW[[#This Row],[Site Name]],SiteDB6[[Site Name]:[Pop
(Kachin/Shan-CCCM as of May 2023)]],16,FALSE)</f>
        <v>17</v>
      </c>
      <c r="EU350" s="418">
        <f>VLOOKUP(WWWW[[#This Row],[Site Name]],SiteDB6[[Site Name]:[Pop
(Kachin/Shan-CCCM as of May 2023)]],17,FALSE)</f>
        <v>107</v>
      </c>
    </row>
    <row r="351" spans="1:151">
      <c r="A351" s="946" t="s">
        <v>2962</v>
      </c>
      <c r="B351" s="946" t="s">
        <v>309</v>
      </c>
      <c r="C351" s="938" t="s">
        <v>309</v>
      </c>
      <c r="D351" s="938"/>
      <c r="E351" s="938" t="s">
        <v>37</v>
      </c>
      <c r="F351" s="938" t="s">
        <v>142</v>
      </c>
      <c r="G351" s="902" t="str">
        <f>VLOOKUP(WWWW[[#This Row],[Site Name]],SiteDB6[[Site Name]:[Location Type]],8,FALSE)</f>
        <v>Camp</v>
      </c>
      <c r="H351" s="938" t="s">
        <v>2993</v>
      </c>
      <c r="I351" s="441">
        <v>52</v>
      </c>
      <c r="J351" s="441">
        <v>318</v>
      </c>
      <c r="K351" s="948"/>
      <c r="L351" s="949"/>
      <c r="M351" s="441"/>
      <c r="N351" s="441"/>
      <c r="O351" s="441"/>
      <c r="P351" s="441"/>
      <c r="Q351" s="421"/>
      <c r="R351" s="441"/>
      <c r="S351" s="441"/>
      <c r="T351" s="441"/>
      <c r="U351" s="441"/>
      <c r="V351" s="441"/>
      <c r="W351" s="441"/>
      <c r="X351" s="441"/>
      <c r="Y351" s="441"/>
      <c r="Z351" s="441"/>
      <c r="AA351" s="441"/>
      <c r="AB351" s="441"/>
      <c r="AC351" s="441"/>
      <c r="AD351" s="441"/>
      <c r="AE351" s="441"/>
      <c r="AF351" s="441"/>
      <c r="AG351" s="441"/>
      <c r="AH351" s="441"/>
      <c r="AI351" s="441"/>
      <c r="AJ351" s="441"/>
      <c r="AK351" s="441"/>
      <c r="AL351" s="441"/>
      <c r="AM351" s="441"/>
      <c r="AN351" s="441"/>
      <c r="AO351" s="441"/>
      <c r="AP351" s="950"/>
      <c r="AQ351" s="441"/>
      <c r="AR351" s="441"/>
      <c r="AS351" s="416"/>
      <c r="AT351" s="441"/>
      <c r="AU351" s="441"/>
      <c r="AV351" s="441"/>
      <c r="AW351" s="441"/>
      <c r="AX351" s="441"/>
      <c r="AY351" s="418"/>
      <c r="AZ351" s="950"/>
      <c r="BA351" s="441"/>
      <c r="BB351" s="441"/>
      <c r="BC351" s="441"/>
      <c r="BD351" s="441"/>
      <c r="BE351" s="441"/>
      <c r="BF351" s="418"/>
      <c r="BG351" s="441"/>
      <c r="BH351" s="441"/>
      <c r="BI351" s="441"/>
      <c r="BJ351" s="441"/>
      <c r="BK351" s="441"/>
      <c r="BL351" s="441"/>
      <c r="BM351" s="441"/>
      <c r="BN351" s="441"/>
      <c r="BO351" s="441"/>
      <c r="BP351" s="418"/>
      <c r="BQ351" s="417"/>
      <c r="BR351" s="416"/>
      <c r="BS351" s="418"/>
      <c r="BT351" s="416"/>
      <c r="BU351" s="416"/>
      <c r="BV351" s="418"/>
      <c r="BW351" s="416"/>
      <c r="BX351" s="441"/>
      <c r="BY351" s="441"/>
      <c r="BZ351" s="441"/>
      <c r="CA351" s="441"/>
      <c r="CB351" s="441"/>
      <c r="CC351" s="693"/>
      <c r="CD351" s="441"/>
      <c r="CE351" s="615" t="str">
        <f>IFERROR(WWWW[[#This Row],['#_Water sources passed]]/WWWW[[#This Row],['#_Water sources tested for fecal coliform ]],"no test")</f>
        <v>no test</v>
      </c>
      <c r="CF351" s="416" t="str">
        <f>IFERROR(WWWW[[#This Row],['#_Household passed]]/WWWW[[#This Row],['#_Household water samples tested for fecal coliform]],"no test")</f>
        <v>no test</v>
      </c>
      <c r="CG351" s="417" t="str">
        <f>IF(AND(WWWW[[#This Row],[% of water sources passed]]="no test",WWWW[[#This Row],[% Household passed]]="no test"),"No Test","Tested")</f>
        <v>No Test</v>
      </c>
      <c r="CH351" s="417">
        <f>WWWW[[#This Row],['#_Constructed/existing protected hand dug well]]-WWWW[[#This Row],['#_Non-functional protected hand dug well]]</f>
        <v>0</v>
      </c>
      <c r="CI351" s="417">
        <f>(WWWW[[#This Row],['#_Constructed/Existing tube wells/boreholes/handpumps_WASH_agency]]+WWWW[[#This Row],['#_Non-Cluster partner water tube-wells/boreholes/handpumps]])-WWWW[[#This Row],['#_Non-functional tube wells/boreholes/handpumps]]</f>
        <v>0</v>
      </c>
      <c r="CJ351" s="417">
        <f>WWWW[[#This Row],['#_Constructed/Existingwater storage tank with gravity fed reticulation system]]-WWWW[[#This Row],['#_Non-functional storage tank gravity fed reticulation system]]</f>
        <v>0</v>
      </c>
      <c r="CK351" s="417">
        <f>(WWWW[[#This Row],['#_Water_Liters_supplied_by_Water boating or water trucking]]/90)/15</f>
        <v>0</v>
      </c>
      <c r="CL351" s="417">
        <f>WWWW[[#This Row],['#_Water_Liters_from_Constructed/Existing water distribution system from river or natural spring]]/90/15</f>
        <v>0</v>
      </c>
      <c r="CM351" s="417">
        <f>IF(WWWW[[#This Row],['#_of water points in TLS/CFS]]*500&gt;WWWW[[#This Row],[Total PoP ]],WWWW[[#This Row],[Total PoP ]],WWWW[[#This Row],['#_of water points in TLS/CFS]]*500)</f>
        <v>0</v>
      </c>
      <c r="CN351" s="417">
        <f>IF(WWWW[[#This Row],['#_of water points in THF]]*500&gt;WWWW[[#This Row],[Total PoP ]],WWWW[[#This Row],[Total PoP ]],WWWW[[#This Row],['#_of water points in THF]]*500)</f>
        <v>0</v>
      </c>
      <c r="CO351" s="417"/>
      <c r="CP351"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51"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51" s="416">
        <f>IF(WWWW[[#This Row],[Location Type 1]]="Village",WWWW[[#This Row],[Access to safe drinking water for Village]],WWWW[[#This Row],[Access to safe drinking water for Camp]])</f>
        <v>0</v>
      </c>
      <c r="CS351" s="421">
        <f>WWWW[[#This Row],[%Equitable and continuous access to sufficient quantity of safe drinking water]]*WWWW[[#This Row],[Total PoP ]]</f>
        <v>0</v>
      </c>
      <c r="CT351" s="416">
        <f>IF((WWWW[[#This Row],['#_Constructed/Existing protected/fenced ponds]]*250)/WWWW[[#This Row],[Total PoP ]]&gt;1,1,(WWWW[[#This Row],['#_Constructed/Existing protected/fenced ponds]]*250)/WWWW[[#This Row],[Total PoP ]])</f>
        <v>0</v>
      </c>
      <c r="CU351" s="421">
        <f>WWWW[[#This Row],[% Access to unimproved water points]]*WWWW[[#This Row],[Total PoP ]]</f>
        <v>0</v>
      </c>
      <c r="CV351"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51"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51" s="421">
        <f>WWWW[[#This Row],[HRP1]]/500</f>
        <v>0</v>
      </c>
      <c r="CY351" s="951">
        <f>1-WWWW[[#This Row],[% Equitable and continuous access to sufficient quantity of domestic water]]</f>
        <v>1</v>
      </c>
      <c r="CZ351" s="421">
        <f>WWWW[[#This Row],[%equitable and continuous access to sufficient quantity of safe drinking and domestic water''s GAP]]*WWWW[[#This Row],[Total PoP ]]</f>
        <v>318</v>
      </c>
      <c r="DA351" s="417">
        <f>IF(WWWW[[#This Row],[Total required water points]]-WWWW[[#This Row],['#Water points coverage]]&lt;0,0,WWWW[[#This Row],[Total required water points]]-WWWW[[#This Row],['#Water points coverage]])</f>
        <v>1</v>
      </c>
      <c r="DB351" s="417">
        <f>ROUND(IF(WWWW[[#This Row],[Total PoP ]]&lt;500,1,WWWW[[#This Row],[Total PoP ]]/500),0)</f>
        <v>1</v>
      </c>
      <c r="DC351" s="417">
        <f>(WWWW[[#This Row],['#_Constructed latrines_by_WASHAgencies]]+WWWW[[#This Row],['#_Non Cluster partner latrines]])-WWWW[[#This Row],['#_Non-functional latrines]]</f>
        <v>0</v>
      </c>
      <c r="DD351" s="615">
        <f>WWWW[[#This Row],[HRP2]]/WWWW[[#This Row],[Total PoP ]]</f>
        <v>0</v>
      </c>
      <c r="DE351"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51"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51"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51" s="417">
        <f>IF(WWWW[[#This Row],['# of functional latrines in THF supported by WASH partners during the reporting period2]]="",0,WWWW[[#This Row],['# of functional latrines in THF supported by WASH partners during the reporting period2]]*50)</f>
        <v>0</v>
      </c>
      <c r="DI351" s="417">
        <f>ROUND(IF(WWWW[[#This Row],[Location Type 1]]="camp",WWWW[[#This Row],[Total PoP ]]/20,IF(WWWW[[#This Row],[Location Type 1]]="Temporary Location",WWWW[[#This Row],[Total PoP ]]/50,(WWWW[[#This Row],[Total PoP ]]/6))),0)</f>
        <v>16</v>
      </c>
      <c r="DJ351" s="417">
        <f>IF(WWWW[[#This Row],[Total required Latrines]]-(WWWW[[#This Row],['#_Constructed latrines_by_WASHAgencies]]+WWWW[[#This Row],['#_Non Cluster partner latrines]])&lt;0,0,WWWW[[#This Row],[Total required Latrines]]-(WWWW[[#This Row],['#_Constructed latrines_by_WASHAgencies]]+WWWW[[#This Row],['#_Non Cluster partner latrines]]))</f>
        <v>16</v>
      </c>
      <c r="DK351" s="951">
        <f>1-WWWW[[#This Row],[% people access to functioning Latrine]]</f>
        <v>1</v>
      </c>
      <c r="DL351" s="615">
        <f>IF(OR(WWWW[[#This Row],['#_Non-functional latrines]]="",WWWW[[#This Row],['#_Non-functional latrines]]=0),0,WWWW[[#This Row],['#_Non-functional latrines]]/(WWWW[[#This Row],['#_Constructed latrines_by_WASHAgencies]]+WWWW[[#This Row],['#_Non Cluster partner latrines]]))</f>
        <v>0</v>
      </c>
      <c r="DM351" s="421">
        <f>IF(500*(WWWW[[#This Row],['#_male hygiene promoters]]+WWWW[[#This Row],['#_female hygiene promoters]])&gt;WWWW[[#This Row],[Total PoP ]],WWWW[[#This Row],[Total PoP ]],500*(WWWW[[#This Row],['#_male hygiene promoters]]+WWWW[[#This Row],['#_female hygiene promoters]]))</f>
        <v>0</v>
      </c>
      <c r="DN351"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51"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51" s="417">
        <f>IF(WWWW[[#This Row],['# People with access to soap]]&gt;WWWW[[#This Row],['# People with access to Sanity Pads]],WWWW[[#This Row],['# People with access to soap]],WWWW[[#This Row],['# People with access to Sanity Pads]])</f>
        <v>0</v>
      </c>
      <c r="DQ351"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51" s="951">
        <f>IF(WWWW[[#This Row],[HRP3]]/WWWW[[#This Row],[Total PoP ]]&gt;1,1,WWWW[[#This Row],[HRP3]]/WWWW[[#This Row],[Total PoP ]])</f>
        <v>0</v>
      </c>
      <c r="DS351" s="615">
        <f>1-WWWW[[#This Row],[Hygiene Coverage%]]</f>
        <v>1</v>
      </c>
      <c r="DT351" s="416">
        <f>WWWW[[#This Row],['# people reached by regular dedicated hygiene promotion_5]]/WWWW[[#This Row],[Total PoP ]]</f>
        <v>0</v>
      </c>
      <c r="DU351"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51"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51" s="417">
        <f>WWWW[[#This Row],['#_Constructed/Existing hand washing stations]]-WWWW[[#This Row],['#_Non-Functional_hand_washing_stations]]</f>
        <v>0</v>
      </c>
      <c r="DX351" s="421">
        <f>IF(WWWW[[#This Row],['# Functional hand washing stations during reporting period]]*20&gt;WWWW[[#This Row],[Total HH]],WWWW[[#This Row],[Total HH]],WWWW[[#This Row],['# Functional hand washing stations during reporting period]]*20)</f>
        <v>0</v>
      </c>
      <c r="DY351" s="421">
        <f>IF(WWWW[[#This Row],[Is sufficient soap available for TLS? (Yes/No)]]="yes",WWWW[[#This Row],['#_Constructed/Existing hand washing stations at TLS/CFS/THF]],0)</f>
        <v>0</v>
      </c>
      <c r="DZ351" s="421">
        <f>IF(WWWW[[#This Row],['# Functional hand washing stations during reporting period]]*100&gt;WWWW[[#This Row],[Total PoP ]],WWWW[[#This Row],[Total PoP ]],WWWW[[#This Row],['# Functional hand washing stations during reporting period]]*100)</f>
        <v>0</v>
      </c>
      <c r="EA351" s="421" t="str">
        <f>IF(OR(WWWW[[#This Row],['#_students at TLS_CFS]]="",WWWW[[#This Row],['#_students at TLS_CFS]]=0),"No","Yes")</f>
        <v>No</v>
      </c>
      <c r="EB35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51" s="566">
        <f>WWWW[[#This Row],[%_of_affected_people_surveyed_who_report_feeling_satistfied_with_the_latrine_design_and_sanitation_service]]*WWWW[[#This Row],[Total PoP ]]</f>
        <v>0</v>
      </c>
      <c r="ED351" s="566">
        <f>WWWW[[#This Row],[%_of_affected_people_surveyed_who_report_feeling_satistfied_with_the_water_point_design_and_water_service]]*WWWW[[#This Row],[Total PoP ]]</f>
        <v>0</v>
      </c>
      <c r="EE351" s="566">
        <f>WWWW[[#This Row],[%_of_complaints_received_that_result_in_timely_corrective_action_and_feedback_to_the_community]]*WWWW[[#This Row],[Total PoP ]]</f>
        <v>0</v>
      </c>
      <c r="EF35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5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5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51" s="418">
        <f>VLOOKUP(WWWW[[#This Row],[Site Name]],SiteDB6[[Site Name]:[CCCM Management]],6,FALSE)</f>
        <v>0</v>
      </c>
      <c r="EJ351" s="418" t="str">
        <f>VLOOKUP(WWWW[[#This Row],[Site Name]],SiteDB6[[Site Name]:[CCCM Focal Agency]],7,FALSE)</f>
        <v>KBC-MYT</v>
      </c>
      <c r="EK351" s="418" t="str">
        <f>VLOOKUP(WWWW[[#This Row],[Site Name]],SiteDB6[[Site Name]:[Location Type 1]],9,FALSE)</f>
        <v>Camp</v>
      </c>
      <c r="EL351" s="418" t="str">
        <f>VLOOKUP(WWWW[[#This Row],[Site Name]],SiteDB6[[Site Name]:[Type of Accommodation]],10,FALSE)</f>
        <v>Camp like setting</v>
      </c>
      <c r="EM351" s="418" t="str">
        <f>VLOOKUP(WWWW[[#This Row],[Site Name]],SiteDB6[[Site Name]:[Ethnic or GCA/NGCA]],11,FALSE)</f>
        <v>GCA</v>
      </c>
      <c r="EN351" s="418">
        <f>VLOOKUP(WWWW[[#This Row],[Site Name]],SiteDB6[[Site Name]:[Lat]],12,FALSE)</f>
        <v>0</v>
      </c>
      <c r="EO351" s="418">
        <f>VLOOKUP(WWWW[[#This Row],[Site Name]],SiteDB6[[Site Name]:[Long]],13,FALSE)</f>
        <v>0</v>
      </c>
      <c r="EP351" s="418" t="str">
        <f>VLOOKUP(WWWW[[#This Row],[Site Name]],SiteDB6[[Site Name]:[Pcode]],3,FALSE)</f>
        <v>MMR001CMP305</v>
      </c>
      <c r="EQ351" s="950" t="str">
        <f t="shared" si="8"/>
        <v>Notcovered</v>
      </c>
      <c r="ER351" s="950"/>
      <c r="ES351" s="950" t="s">
        <v>41</v>
      </c>
      <c r="ET351" s="418">
        <f>VLOOKUP(WWWW[[#This Row],[Site Name]],SiteDB6[[Site Name]:[Pop
(Kachin/Shan-CCCM as of May 2023)]],16,FALSE)</f>
        <v>52</v>
      </c>
      <c r="EU351" s="418">
        <f>VLOOKUP(WWWW[[#This Row],[Site Name]],SiteDB6[[Site Name]:[Pop
(Kachin/Shan-CCCM as of May 2023)]],17,FALSE)</f>
        <v>318</v>
      </c>
    </row>
    <row r="352" spans="1:151">
      <c r="A352" s="946" t="s">
        <v>2962</v>
      </c>
      <c r="B352" s="946" t="s">
        <v>309</v>
      </c>
      <c r="C352" s="938" t="s">
        <v>309</v>
      </c>
      <c r="D352" s="938"/>
      <c r="E352" s="938" t="s">
        <v>37</v>
      </c>
      <c r="F352" s="938" t="s">
        <v>142</v>
      </c>
      <c r="G352" s="902" t="str">
        <f>VLOOKUP(WWWW[[#This Row],[Site Name]],SiteDB6[[Site Name]:[Location Type]],8,FALSE)</f>
        <v>Camp</v>
      </c>
      <c r="H352" s="938" t="s">
        <v>2990</v>
      </c>
      <c r="I352" s="441">
        <v>33</v>
      </c>
      <c r="J352" s="441">
        <v>178</v>
      </c>
      <c r="K352" s="948"/>
      <c r="L352" s="949"/>
      <c r="M352" s="441"/>
      <c r="N352" s="441"/>
      <c r="O352" s="441"/>
      <c r="P352" s="441"/>
      <c r="Q352" s="421"/>
      <c r="R352" s="441"/>
      <c r="S352" s="441"/>
      <c r="T352" s="441"/>
      <c r="U352" s="441"/>
      <c r="V352" s="441"/>
      <c r="W352" s="441"/>
      <c r="X352" s="441"/>
      <c r="Y352" s="441"/>
      <c r="Z352" s="441"/>
      <c r="AA352" s="441"/>
      <c r="AB352" s="441"/>
      <c r="AC352" s="441"/>
      <c r="AD352" s="441"/>
      <c r="AE352" s="441"/>
      <c r="AF352" s="441"/>
      <c r="AG352" s="441"/>
      <c r="AH352" s="441"/>
      <c r="AI352" s="441"/>
      <c r="AJ352" s="441"/>
      <c r="AK352" s="441"/>
      <c r="AL352" s="441"/>
      <c r="AM352" s="441"/>
      <c r="AN352" s="441"/>
      <c r="AO352" s="441"/>
      <c r="AP352" s="950"/>
      <c r="AQ352" s="441"/>
      <c r="AR352" s="441"/>
      <c r="AS352" s="416"/>
      <c r="AT352" s="441"/>
      <c r="AU352" s="441"/>
      <c r="AV352" s="441"/>
      <c r="AW352" s="441"/>
      <c r="AX352" s="441"/>
      <c r="AY352" s="418"/>
      <c r="AZ352" s="950"/>
      <c r="BA352" s="441"/>
      <c r="BB352" s="441"/>
      <c r="BC352" s="441"/>
      <c r="BD352" s="441"/>
      <c r="BE352" s="441"/>
      <c r="BF352" s="418"/>
      <c r="BG352" s="441"/>
      <c r="BH352" s="441"/>
      <c r="BI352" s="441"/>
      <c r="BJ352" s="441"/>
      <c r="BK352" s="441"/>
      <c r="BL352" s="441"/>
      <c r="BM352" s="441"/>
      <c r="BN352" s="441"/>
      <c r="BO352" s="441"/>
      <c r="BP352" s="418"/>
      <c r="BQ352" s="417"/>
      <c r="BR352" s="416"/>
      <c r="BS352" s="418"/>
      <c r="BT352" s="416"/>
      <c r="BU352" s="416"/>
      <c r="BV352" s="418"/>
      <c r="BW352" s="416"/>
      <c r="BX352" s="441"/>
      <c r="BY352" s="441"/>
      <c r="BZ352" s="441"/>
      <c r="CA352" s="441"/>
      <c r="CB352" s="441"/>
      <c r="CC352" s="693"/>
      <c r="CD352" s="441"/>
      <c r="CE352" s="615" t="str">
        <f>IFERROR(WWWW[[#This Row],['#_Water sources passed]]/WWWW[[#This Row],['#_Water sources tested for fecal coliform ]],"no test")</f>
        <v>no test</v>
      </c>
      <c r="CF352" s="416" t="str">
        <f>IFERROR(WWWW[[#This Row],['#_Household passed]]/WWWW[[#This Row],['#_Household water samples tested for fecal coliform]],"no test")</f>
        <v>no test</v>
      </c>
      <c r="CG352" s="417" t="str">
        <f>IF(AND(WWWW[[#This Row],[% of water sources passed]]="no test",WWWW[[#This Row],[% Household passed]]="no test"),"No Test","Tested")</f>
        <v>No Test</v>
      </c>
      <c r="CH352" s="417">
        <f>WWWW[[#This Row],['#_Constructed/existing protected hand dug well]]-WWWW[[#This Row],['#_Non-functional protected hand dug well]]</f>
        <v>0</v>
      </c>
      <c r="CI352" s="417">
        <f>(WWWW[[#This Row],['#_Constructed/Existing tube wells/boreholes/handpumps_WASH_agency]]+WWWW[[#This Row],['#_Non-Cluster partner water tube-wells/boreholes/handpumps]])-WWWW[[#This Row],['#_Non-functional tube wells/boreholes/handpumps]]</f>
        <v>0</v>
      </c>
      <c r="CJ352" s="417">
        <f>WWWW[[#This Row],['#_Constructed/Existingwater storage tank with gravity fed reticulation system]]-WWWW[[#This Row],['#_Non-functional storage tank gravity fed reticulation system]]</f>
        <v>0</v>
      </c>
      <c r="CK352" s="417">
        <f>(WWWW[[#This Row],['#_Water_Liters_supplied_by_Water boating or water trucking]]/90)/15</f>
        <v>0</v>
      </c>
      <c r="CL352" s="417">
        <f>WWWW[[#This Row],['#_Water_Liters_from_Constructed/Existing water distribution system from river or natural spring]]/90/15</f>
        <v>0</v>
      </c>
      <c r="CM352" s="417">
        <f>IF(WWWW[[#This Row],['#_of water points in TLS/CFS]]*500&gt;WWWW[[#This Row],[Total PoP ]],WWWW[[#This Row],[Total PoP ]],WWWW[[#This Row],['#_of water points in TLS/CFS]]*500)</f>
        <v>0</v>
      </c>
      <c r="CN352" s="417">
        <f>IF(WWWW[[#This Row],['#_of water points in THF]]*500&gt;WWWW[[#This Row],[Total PoP ]],WWWW[[#This Row],[Total PoP ]],WWWW[[#This Row],['#_of water points in THF]]*500)</f>
        <v>0</v>
      </c>
      <c r="CO352" s="417"/>
      <c r="CP352"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52"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52" s="416">
        <f>IF(WWWW[[#This Row],[Location Type 1]]="Village",WWWW[[#This Row],[Access to safe drinking water for Village]],WWWW[[#This Row],[Access to safe drinking water for Camp]])</f>
        <v>0</v>
      </c>
      <c r="CS352" s="421">
        <f>WWWW[[#This Row],[%Equitable and continuous access to sufficient quantity of safe drinking water]]*WWWW[[#This Row],[Total PoP ]]</f>
        <v>0</v>
      </c>
      <c r="CT352" s="416">
        <f>IF((WWWW[[#This Row],['#_Constructed/Existing protected/fenced ponds]]*250)/WWWW[[#This Row],[Total PoP ]]&gt;1,1,(WWWW[[#This Row],['#_Constructed/Existing protected/fenced ponds]]*250)/WWWW[[#This Row],[Total PoP ]])</f>
        <v>0</v>
      </c>
      <c r="CU352" s="421">
        <f>WWWW[[#This Row],[% Access to unimproved water points]]*WWWW[[#This Row],[Total PoP ]]</f>
        <v>0</v>
      </c>
      <c r="CV352"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52"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52" s="421">
        <f>WWWW[[#This Row],[HRP1]]/500</f>
        <v>0</v>
      </c>
      <c r="CY352" s="951">
        <f>1-WWWW[[#This Row],[% Equitable and continuous access to sufficient quantity of domestic water]]</f>
        <v>1</v>
      </c>
      <c r="CZ352" s="421">
        <f>WWWW[[#This Row],[%equitable and continuous access to sufficient quantity of safe drinking and domestic water''s GAP]]*WWWW[[#This Row],[Total PoP ]]</f>
        <v>178</v>
      </c>
      <c r="DA352" s="417">
        <f>IF(WWWW[[#This Row],[Total required water points]]-WWWW[[#This Row],['#Water points coverage]]&lt;0,0,WWWW[[#This Row],[Total required water points]]-WWWW[[#This Row],['#Water points coverage]])</f>
        <v>1</v>
      </c>
      <c r="DB352" s="417">
        <f>ROUND(IF(WWWW[[#This Row],[Total PoP ]]&lt;500,1,WWWW[[#This Row],[Total PoP ]]/500),0)</f>
        <v>1</v>
      </c>
      <c r="DC352" s="417">
        <f>(WWWW[[#This Row],['#_Constructed latrines_by_WASHAgencies]]+WWWW[[#This Row],['#_Non Cluster partner latrines]])-WWWW[[#This Row],['#_Non-functional latrines]]</f>
        <v>0</v>
      </c>
      <c r="DD352" s="615">
        <f>WWWW[[#This Row],[HRP2]]/WWWW[[#This Row],[Total PoP ]]</f>
        <v>0</v>
      </c>
      <c r="DE352"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52"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52"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52" s="417">
        <f>IF(WWWW[[#This Row],['# of functional latrines in THF supported by WASH partners during the reporting period2]]="",0,WWWW[[#This Row],['# of functional latrines in THF supported by WASH partners during the reporting period2]]*50)</f>
        <v>0</v>
      </c>
      <c r="DI352" s="417">
        <f>ROUND(IF(WWWW[[#This Row],[Location Type 1]]="camp",WWWW[[#This Row],[Total PoP ]]/20,IF(WWWW[[#This Row],[Location Type 1]]="Temporary Location",WWWW[[#This Row],[Total PoP ]]/50,(WWWW[[#This Row],[Total PoP ]]/6))),0)</f>
        <v>9</v>
      </c>
      <c r="DJ352" s="417">
        <f>IF(WWWW[[#This Row],[Total required Latrines]]-(WWWW[[#This Row],['#_Constructed latrines_by_WASHAgencies]]+WWWW[[#This Row],['#_Non Cluster partner latrines]])&lt;0,0,WWWW[[#This Row],[Total required Latrines]]-(WWWW[[#This Row],['#_Constructed latrines_by_WASHAgencies]]+WWWW[[#This Row],['#_Non Cluster partner latrines]]))</f>
        <v>9</v>
      </c>
      <c r="DK352" s="951">
        <f>1-WWWW[[#This Row],[% people access to functioning Latrine]]</f>
        <v>1</v>
      </c>
      <c r="DL352" s="615">
        <f>IF(OR(WWWW[[#This Row],['#_Non-functional latrines]]="",WWWW[[#This Row],['#_Non-functional latrines]]=0),0,WWWW[[#This Row],['#_Non-functional latrines]]/(WWWW[[#This Row],['#_Constructed latrines_by_WASHAgencies]]+WWWW[[#This Row],['#_Non Cluster partner latrines]]))</f>
        <v>0</v>
      </c>
      <c r="DM352" s="421">
        <f>IF(500*(WWWW[[#This Row],['#_male hygiene promoters]]+WWWW[[#This Row],['#_female hygiene promoters]])&gt;WWWW[[#This Row],[Total PoP ]],WWWW[[#This Row],[Total PoP ]],500*(WWWW[[#This Row],['#_male hygiene promoters]]+WWWW[[#This Row],['#_female hygiene promoters]]))</f>
        <v>0</v>
      </c>
      <c r="DN352"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52"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52" s="417">
        <f>IF(WWWW[[#This Row],['# People with access to soap]]&gt;WWWW[[#This Row],['# People with access to Sanity Pads]],WWWW[[#This Row],['# People with access to soap]],WWWW[[#This Row],['# People with access to Sanity Pads]])</f>
        <v>0</v>
      </c>
      <c r="DQ352"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52" s="951">
        <f>IF(WWWW[[#This Row],[HRP3]]/WWWW[[#This Row],[Total PoP ]]&gt;1,1,WWWW[[#This Row],[HRP3]]/WWWW[[#This Row],[Total PoP ]])</f>
        <v>0</v>
      </c>
      <c r="DS352" s="615">
        <f>1-WWWW[[#This Row],[Hygiene Coverage%]]</f>
        <v>1</v>
      </c>
      <c r="DT352" s="416">
        <f>WWWW[[#This Row],['# people reached by regular dedicated hygiene promotion_5]]/WWWW[[#This Row],[Total PoP ]]</f>
        <v>0</v>
      </c>
      <c r="DU352"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52"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52" s="417">
        <f>WWWW[[#This Row],['#_Constructed/Existing hand washing stations]]-WWWW[[#This Row],['#_Non-Functional_hand_washing_stations]]</f>
        <v>0</v>
      </c>
      <c r="DX352" s="421">
        <f>IF(WWWW[[#This Row],['# Functional hand washing stations during reporting period]]*20&gt;WWWW[[#This Row],[Total HH]],WWWW[[#This Row],[Total HH]],WWWW[[#This Row],['# Functional hand washing stations during reporting period]]*20)</f>
        <v>0</v>
      </c>
      <c r="DY352" s="421">
        <f>IF(WWWW[[#This Row],[Is sufficient soap available for TLS? (Yes/No)]]="yes",WWWW[[#This Row],['#_Constructed/Existing hand washing stations at TLS/CFS/THF]],0)</f>
        <v>0</v>
      </c>
      <c r="DZ352" s="421">
        <f>IF(WWWW[[#This Row],['# Functional hand washing stations during reporting period]]*100&gt;WWWW[[#This Row],[Total PoP ]],WWWW[[#This Row],[Total PoP ]],WWWW[[#This Row],['# Functional hand washing stations during reporting period]]*100)</f>
        <v>0</v>
      </c>
      <c r="EA352" s="421" t="str">
        <f>IF(OR(WWWW[[#This Row],['#_students at TLS_CFS]]="",WWWW[[#This Row],['#_students at TLS_CFS]]=0),"No","Yes")</f>
        <v>No</v>
      </c>
      <c r="EB35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52" s="566">
        <f>WWWW[[#This Row],[%_of_affected_people_surveyed_who_report_feeling_satistfied_with_the_latrine_design_and_sanitation_service]]*WWWW[[#This Row],[Total PoP ]]</f>
        <v>0</v>
      </c>
      <c r="ED352" s="566">
        <f>WWWW[[#This Row],[%_of_affected_people_surveyed_who_report_feeling_satistfied_with_the_water_point_design_and_water_service]]*WWWW[[#This Row],[Total PoP ]]</f>
        <v>0</v>
      </c>
      <c r="EE352" s="566">
        <f>WWWW[[#This Row],[%_of_complaints_received_that_result_in_timely_corrective_action_and_feedback_to_the_community]]*WWWW[[#This Row],[Total PoP ]]</f>
        <v>0</v>
      </c>
      <c r="EF35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5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5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52" s="418">
        <f>VLOOKUP(WWWW[[#This Row],[Site Name]],SiteDB6[[Site Name]:[CCCM Management]],6,FALSE)</f>
        <v>0</v>
      </c>
      <c r="EJ352" s="418" t="str">
        <f>VLOOKUP(WWWW[[#This Row],[Site Name]],SiteDB6[[Site Name]:[CCCM Focal Agency]],7,FALSE)</f>
        <v>DFSS</v>
      </c>
      <c r="EK352" s="418" t="str">
        <f>VLOOKUP(WWWW[[#This Row],[Site Name]],SiteDB6[[Site Name]:[Location Type 1]],9,FALSE)</f>
        <v>Camp</v>
      </c>
      <c r="EL352" s="418" t="str">
        <f>VLOOKUP(WWWW[[#This Row],[Site Name]],SiteDB6[[Site Name]:[Type of Accommodation]],10,FALSE)</f>
        <v>Camp like setting</v>
      </c>
      <c r="EM352" s="418" t="str">
        <f>VLOOKUP(WWWW[[#This Row],[Site Name]],SiteDB6[[Site Name]:[Ethnic or GCA/NGCA]],11,FALSE)</f>
        <v>GCA</v>
      </c>
      <c r="EN352" s="418">
        <f>VLOOKUP(WWWW[[#This Row],[Site Name]],SiteDB6[[Site Name]:[Lat]],12,FALSE)</f>
        <v>0</v>
      </c>
      <c r="EO352" s="418">
        <f>VLOOKUP(WWWW[[#This Row],[Site Name]],SiteDB6[[Site Name]:[Long]],13,FALSE)</f>
        <v>0</v>
      </c>
      <c r="EP352" s="418" t="str">
        <f>VLOOKUP(WWWW[[#This Row],[Site Name]],SiteDB6[[Site Name]:[Pcode]],3,FALSE)</f>
        <v>MMR001CMP302</v>
      </c>
      <c r="EQ352" s="950" t="str">
        <f t="shared" si="8"/>
        <v>Notcovered</v>
      </c>
      <c r="ER352" s="950"/>
      <c r="ES352" s="950" t="s">
        <v>41</v>
      </c>
      <c r="ET352" s="418">
        <f>VLOOKUP(WWWW[[#This Row],[Site Name]],SiteDB6[[Site Name]:[Pop
(Kachin/Shan-CCCM as of May 2023)]],16,FALSE)</f>
        <v>30</v>
      </c>
      <c r="EU352" s="418">
        <f>VLOOKUP(WWWW[[#This Row],[Site Name]],SiteDB6[[Site Name]:[Pop
(Kachin/Shan-CCCM as of May 2023)]],17,FALSE)</f>
        <v>160</v>
      </c>
    </row>
    <row r="353" spans="1:151">
      <c r="A353" s="946" t="s">
        <v>2962</v>
      </c>
      <c r="B353" s="938" t="s">
        <v>3347</v>
      </c>
      <c r="C353" s="938" t="s">
        <v>3347</v>
      </c>
      <c r="D353" s="938" t="s">
        <v>3095</v>
      </c>
      <c r="E353" s="938" t="s">
        <v>37</v>
      </c>
      <c r="F353" s="938" t="s">
        <v>142</v>
      </c>
      <c r="G353" s="902" t="str">
        <f>VLOOKUP(WWWW[[#This Row],[Site Name]],SiteDB6[[Site Name]:[Location Type]],8,FALSE)</f>
        <v>Camp</v>
      </c>
      <c r="H353" s="938" t="s">
        <v>143</v>
      </c>
      <c r="I353" s="441">
        <v>270</v>
      </c>
      <c r="J353" s="441">
        <v>1463</v>
      </c>
      <c r="K353" s="948">
        <v>44811</v>
      </c>
      <c r="L353" s="949">
        <v>45175</v>
      </c>
      <c r="M353" s="441"/>
      <c r="N353" s="976">
        <v>6</v>
      </c>
      <c r="O353" s="441"/>
      <c r="P353" s="441"/>
      <c r="Q353" s="421" t="s">
        <v>41</v>
      </c>
      <c r="R353" s="441">
        <v>9</v>
      </c>
      <c r="S353" s="441">
        <v>6</v>
      </c>
      <c r="T353" s="441"/>
      <c r="U353" s="441"/>
      <c r="V353" s="441"/>
      <c r="W353" s="441"/>
      <c r="X353" s="441"/>
      <c r="Y353" s="441"/>
      <c r="Z353" s="441"/>
      <c r="AA353" s="976">
        <v>5</v>
      </c>
      <c r="AB353" s="976">
        <v>1</v>
      </c>
      <c r="AC353" s="441"/>
      <c r="AD353" s="976">
        <v>5</v>
      </c>
      <c r="AE353" s="441"/>
      <c r="AF353" s="441"/>
      <c r="AG353" s="441"/>
      <c r="AH353" s="976">
        <v>5</v>
      </c>
      <c r="AI353" s="441"/>
      <c r="AJ353" s="441"/>
      <c r="AK353" s="441"/>
      <c r="AL353" s="441"/>
      <c r="AM353" s="441"/>
      <c r="AN353" s="441"/>
      <c r="AO353" s="441"/>
      <c r="AP353" s="950"/>
      <c r="AQ353" s="976">
        <v>315</v>
      </c>
      <c r="AR353" s="441"/>
      <c r="AS353" s="416"/>
      <c r="AT353" s="976">
        <v>200</v>
      </c>
      <c r="AU353" s="441"/>
      <c r="AV353" s="441"/>
      <c r="AW353" s="441"/>
      <c r="AX353" s="976">
        <v>110</v>
      </c>
      <c r="AY353" s="418" t="s">
        <v>41</v>
      </c>
      <c r="AZ353" s="950" t="s">
        <v>137</v>
      </c>
      <c r="BA353" s="441"/>
      <c r="BB353" s="441"/>
      <c r="BC353" s="441"/>
      <c r="BD353" s="441"/>
      <c r="BE353" s="441"/>
      <c r="BF353" s="418"/>
      <c r="BG353" s="441">
        <v>315</v>
      </c>
      <c r="BH353" s="441"/>
      <c r="BI353" s="441"/>
      <c r="BJ353" s="976">
        <v>5</v>
      </c>
      <c r="BK353" s="976">
        <v>1</v>
      </c>
      <c r="BL353" s="976">
        <v>2</v>
      </c>
      <c r="BM353" s="976">
        <v>4</v>
      </c>
      <c r="BN353" s="441"/>
      <c r="BO353" s="441"/>
      <c r="BP353" s="418"/>
      <c r="BQ353" s="417"/>
      <c r="BR353" s="416"/>
      <c r="BS353" s="418"/>
      <c r="BT353" s="416"/>
      <c r="BU353" s="416"/>
      <c r="BV353" s="418"/>
      <c r="BW353" s="416"/>
      <c r="BX353" s="441"/>
      <c r="BY353" s="441"/>
      <c r="BZ353" s="441"/>
      <c r="CA353" s="441"/>
      <c r="CB353" s="441"/>
      <c r="CC353" s="693"/>
      <c r="CD353" s="441"/>
      <c r="CE353" s="615" t="str">
        <f>IFERROR(WWWW[[#This Row],['#_Water sources passed]]/WWWW[[#This Row],['#_Water sources tested for fecal coliform ]],"no test")</f>
        <v>no test</v>
      </c>
      <c r="CF353" s="416" t="str">
        <f>IFERROR(WWWW[[#This Row],['#_Household passed]]/WWWW[[#This Row],['#_Household water samples tested for fecal coliform]],"no test")</f>
        <v>no test</v>
      </c>
      <c r="CG353" s="417" t="str">
        <f>IF(AND(WWWW[[#This Row],[% of water sources passed]]="no test",WWWW[[#This Row],[% Household passed]]="no test"),"No Test","Tested")</f>
        <v>No Test</v>
      </c>
      <c r="CH353" s="417">
        <f>WWWW[[#This Row],['#_Constructed/existing protected hand dug well]]-WWWW[[#This Row],['#_Non-functional protected hand dug well]]</f>
        <v>0</v>
      </c>
      <c r="CI353" s="417">
        <f>(WWWW[[#This Row],['#_Constructed/Existing tube wells/boreholes/handpumps_WASH_agency]]+WWWW[[#This Row],['#_Non-Cluster partner water tube-wells/boreholes/handpumps]])-WWWW[[#This Row],['#_Non-functional tube wells/boreholes/handpumps]]</f>
        <v>0</v>
      </c>
      <c r="CJ353" s="417">
        <f>WWWW[[#This Row],['#_Constructed/Existingwater storage tank with gravity fed reticulation system]]-WWWW[[#This Row],['#_Non-functional storage tank gravity fed reticulation system]]</f>
        <v>4</v>
      </c>
      <c r="CK353" s="417">
        <f>(WWWW[[#This Row],['#_Water_Liters_supplied_by_Water boating or water trucking]]/90)/15</f>
        <v>3.7037037037037034E-3</v>
      </c>
      <c r="CL353" s="417">
        <f>WWWW[[#This Row],['#_Water_Liters_from_Constructed/Existing water distribution system from river or natural spring]]/90/15</f>
        <v>0</v>
      </c>
      <c r="CM353" s="417">
        <f>IF(WWWW[[#This Row],['#_of water points in TLS/CFS]]*500&gt;WWWW[[#This Row],[Total PoP ]],WWWW[[#This Row],[Total PoP ]],WWWW[[#This Row],['#_of water points in TLS/CFS]]*500)</f>
        <v>0</v>
      </c>
      <c r="CN353" s="417">
        <f>IF(WWWW[[#This Row],['#_of water points in THF]]*500&gt;WWWW[[#This Row],[Total PoP ]],WWWW[[#This Row],[Total PoP ]],WWWW[[#This Row],['#_of water points in THF]]*500)</f>
        <v>0</v>
      </c>
      <c r="CO353" s="417"/>
      <c r="CP353"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0.18227639806587176</v>
      </c>
      <c r="CQ353"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0.18227639806587176</v>
      </c>
      <c r="CR353" s="416">
        <f>IF(WWWW[[#This Row],[Location Type 1]]="Village",WWWW[[#This Row],[Access to safe drinking water for Village]],WWWW[[#This Row],[Access to safe drinking water for Camp]])</f>
        <v>0.18227639806587176</v>
      </c>
      <c r="CS353" s="421">
        <f>WWWW[[#This Row],[%Equitable and continuous access to sufficient quantity of safe drinking water]]*WWWW[[#This Row],[Total PoP ]]</f>
        <v>266.67037037037039</v>
      </c>
      <c r="CT353" s="416">
        <f>IF((WWWW[[#This Row],['#_Constructed/Existing protected/fenced ponds]]*250)/WWWW[[#This Row],[Total PoP ]]&gt;1,1,(WWWW[[#This Row],['#_Constructed/Existing protected/fenced ponds]]*250)/WWWW[[#This Row],[Total PoP ]])</f>
        <v>0</v>
      </c>
      <c r="CU353" s="421">
        <f>WWWW[[#This Row],[% Access to unimproved water points]]*WWWW[[#This Row],[Total PoP ]]</f>
        <v>0</v>
      </c>
      <c r="CV353"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0.18227639806587176</v>
      </c>
      <c r="CW353"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266.67037037037039</v>
      </c>
      <c r="CX353" s="421">
        <f>WWWW[[#This Row],[HRP1]]/500</f>
        <v>0.53334074074074078</v>
      </c>
      <c r="CY353" s="951">
        <f>1-WWWW[[#This Row],[% Equitable and continuous access to sufficient quantity of domestic water]]</f>
        <v>0.8177236019341283</v>
      </c>
      <c r="CZ353" s="421">
        <f>WWWW[[#This Row],[%equitable and continuous access to sufficient quantity of safe drinking and domestic water''s GAP]]*WWWW[[#This Row],[Total PoP ]]</f>
        <v>1196.3296296296296</v>
      </c>
      <c r="DA353" s="417">
        <f>IF(WWWW[[#This Row],[Total required water points]]-WWWW[[#This Row],['#Water points coverage]]&lt;0,0,WWWW[[#This Row],[Total required water points]]-WWWW[[#This Row],['#Water points coverage]])</f>
        <v>2.4666592592592593</v>
      </c>
      <c r="DB353" s="417">
        <f>ROUND(IF(WWWW[[#This Row],[Total PoP ]]&lt;500,1,WWWW[[#This Row],[Total PoP ]]/500),0)</f>
        <v>3</v>
      </c>
      <c r="DC353" s="417">
        <f>(WWWW[[#This Row],['#_Constructed latrines_by_WASHAgencies]]+WWWW[[#This Row],['#_Non Cluster partner latrines]])-WWWW[[#This Row],['#_Non-functional latrines]]</f>
        <v>115</v>
      </c>
      <c r="DD353" s="615">
        <f>WWWW[[#This Row],[HRP2]]/WWWW[[#This Row],[Total PoP ]]</f>
        <v>1</v>
      </c>
      <c r="DE353"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1463</v>
      </c>
      <c r="DF353"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53"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53" s="417">
        <f>IF(WWWW[[#This Row],['# of functional latrines in THF supported by WASH partners during the reporting period2]]="",0,WWWW[[#This Row],['# of functional latrines in THF supported by WASH partners during the reporting period2]]*50)</f>
        <v>0</v>
      </c>
      <c r="DI353" s="417">
        <f>ROUND(IF(WWWW[[#This Row],[Location Type 1]]="camp",WWWW[[#This Row],[Total PoP ]]/20,IF(WWWW[[#This Row],[Location Type 1]]="Temporary Location",WWWW[[#This Row],[Total PoP ]]/50,(WWWW[[#This Row],[Total PoP ]]/6))),0)</f>
        <v>73</v>
      </c>
      <c r="DJ353" s="417">
        <f>IF(WWWW[[#This Row],[Total required Latrines]]-(WWWW[[#This Row],['#_Constructed latrines_by_WASHAgencies]]+WWWW[[#This Row],['#_Non Cluster partner latrines]])&lt;0,0,WWWW[[#This Row],[Total required Latrines]]-(WWWW[[#This Row],['#_Constructed latrines_by_WASHAgencies]]+WWWW[[#This Row],['#_Non Cluster partner latrines]]))</f>
        <v>0</v>
      </c>
      <c r="DK353" s="951">
        <f>1-WWWW[[#This Row],[% people access to functioning Latrine]]</f>
        <v>0</v>
      </c>
      <c r="DL353" s="615">
        <f>IF(OR(WWWW[[#This Row],['#_Non-functional latrines]]="",WWWW[[#This Row],['#_Non-functional latrines]]=0),0,WWWW[[#This Row],['#_Non-functional latrines]]/(WWWW[[#This Row],['#_Constructed latrines_by_WASHAgencies]]+WWWW[[#This Row],['#_Non Cluster partner latrines]]))</f>
        <v>0.63492063492063489</v>
      </c>
      <c r="DM353" s="421">
        <f>IF(500*(WWWW[[#This Row],['#_male hygiene promoters]]+WWWW[[#This Row],['#_female hygiene promoters]])&gt;WWWW[[#This Row],[Total PoP ]],WWWW[[#This Row],[Total PoP ]],500*(WWWW[[#This Row],['#_male hygiene promoters]]+WWWW[[#This Row],['#_female hygiene promoters]]))</f>
        <v>1463</v>
      </c>
      <c r="DN353"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53"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53" s="417">
        <f>IF(WWWW[[#This Row],['# People with access to soap]]&gt;WWWW[[#This Row],['# People with access to Sanity Pads]],WWWW[[#This Row],['# People with access to soap]],WWWW[[#This Row],['# People with access to Sanity Pads]])</f>
        <v>0</v>
      </c>
      <c r="DQ353" s="417">
        <f>IF(WWWW[[#This Row],['# people reached by regular dedicated hygiene promotion_5]]&gt;WWWW[[#This Row],['# People received regular supply of hygiene items_6]],WWWW[[#This Row],['# people reached by regular dedicated hygiene promotion_5]],WWWW[[#This Row],['# People received regular supply of hygiene items_6]])</f>
        <v>1463</v>
      </c>
      <c r="DR353" s="951">
        <f>IF(WWWW[[#This Row],[HRP3]]/WWWW[[#This Row],[Total PoP ]]&gt;1,1,WWWW[[#This Row],[HRP3]]/WWWW[[#This Row],[Total PoP ]])</f>
        <v>1</v>
      </c>
      <c r="DS353" s="615">
        <f>1-WWWW[[#This Row],[Hygiene Coverage%]]</f>
        <v>0</v>
      </c>
      <c r="DT353" s="416">
        <f>WWWW[[#This Row],['# people reached by regular dedicated hygiene promotion_5]]/WWWW[[#This Row],[Total PoP ]]</f>
        <v>1</v>
      </c>
      <c r="DU353"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53"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53" s="417">
        <f>WWWW[[#This Row],['#_Constructed/Existing hand washing stations]]-WWWW[[#This Row],['#_Non-Functional_hand_washing_stations]]</f>
        <v>315</v>
      </c>
      <c r="DX353" s="421">
        <f>IF(WWWW[[#This Row],['# Functional hand washing stations during reporting period]]*20&gt;WWWW[[#This Row],[Total HH]],WWWW[[#This Row],[Total HH]],WWWW[[#This Row],['# Functional hand washing stations during reporting period]]*20)</f>
        <v>270</v>
      </c>
      <c r="DY353" s="421">
        <f>IF(WWWW[[#This Row],[Is sufficient soap available for TLS? (Yes/No)]]="yes",WWWW[[#This Row],['#_Constructed/Existing hand washing stations at TLS/CFS/THF]],0)</f>
        <v>0</v>
      </c>
      <c r="DZ353" s="421">
        <f>IF(WWWW[[#This Row],['# Functional hand washing stations during reporting period]]*100&gt;WWWW[[#This Row],[Total PoP ]],WWWW[[#This Row],[Total PoP ]],WWWW[[#This Row],['# Functional hand washing stations during reporting period]]*100)</f>
        <v>1463</v>
      </c>
      <c r="EA353" s="421" t="str">
        <f>IF(OR(WWWW[[#This Row],['#_students at TLS_CFS]]="",WWWW[[#This Row],['#_students at TLS_CFS]]=0),"No","Yes")</f>
        <v>No</v>
      </c>
      <c r="EB35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53" s="566">
        <f>WWWW[[#This Row],[%_of_affected_people_surveyed_who_report_feeling_satistfied_with_the_latrine_design_and_sanitation_service]]*WWWW[[#This Row],[Total PoP ]]</f>
        <v>0</v>
      </c>
      <c r="ED353" s="566">
        <f>WWWW[[#This Row],[%_of_affected_people_surveyed_who_report_feeling_satistfied_with_the_water_point_design_and_water_service]]*WWWW[[#This Row],[Total PoP ]]</f>
        <v>0</v>
      </c>
      <c r="EE353" s="566">
        <f>WWWW[[#This Row],[%_of_complaints_received_that_result_in_timely_corrective_action_and_feedback_to_the_community]]*WWWW[[#This Row],[Total PoP ]]</f>
        <v>0</v>
      </c>
      <c r="EF35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5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5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53" s="418" t="str">
        <f>VLOOKUP(WWWW[[#This Row],[Site Name]],SiteDB6[[Site Name]:[CCCM Management]],6,FALSE)</f>
        <v>Yes</v>
      </c>
      <c r="EJ353" s="418" t="str">
        <f>VLOOKUP(WWWW[[#This Row],[Site Name]],SiteDB6[[Site Name]:[CCCM Focal Agency]],7,FALSE)</f>
        <v>KBC-MYT</v>
      </c>
      <c r="EK353" s="418" t="str">
        <f>VLOOKUP(WWWW[[#This Row],[Site Name]],SiteDB6[[Site Name]:[Location Type 1]],9,FALSE)</f>
        <v>Camp</v>
      </c>
      <c r="EL353" s="418" t="str">
        <f>VLOOKUP(WWWW[[#This Row],[Site Name]],SiteDB6[[Site Name]:[Type of Accommodation]],10,FALSE)</f>
        <v>Camp</v>
      </c>
      <c r="EM353" s="418" t="str">
        <f>VLOOKUP(WWWW[[#This Row],[Site Name]],SiteDB6[[Site Name]:[Ethnic or GCA/NGCA]],11,FALSE)</f>
        <v>NGCA</v>
      </c>
      <c r="EN353" s="418">
        <f>VLOOKUP(WWWW[[#This Row],[Site Name]],SiteDB6[[Site Name]:[Lat]],12,FALSE)</f>
        <v>25.418084</v>
      </c>
      <c r="EO353" s="418">
        <f>VLOOKUP(WWWW[[#This Row],[Site Name]],SiteDB6[[Site Name]:[Long]],13,FALSE)</f>
        <v>98.025662999999994</v>
      </c>
      <c r="EP353" s="418" t="str">
        <f>VLOOKUP(WWWW[[#This Row],[Site Name]],SiteDB6[[Site Name]:[Pcode]],3,FALSE)</f>
        <v>MMR001CMP249</v>
      </c>
      <c r="EQ353" s="950" t="str">
        <f t="shared" si="8"/>
        <v>Covered</v>
      </c>
      <c r="ER353" s="950" t="s">
        <v>3126</v>
      </c>
      <c r="ES353" s="950" t="s">
        <v>3267</v>
      </c>
      <c r="ET353" s="418">
        <f>VLOOKUP(WWWW[[#This Row],[Site Name]],SiteDB6[[Site Name]:[Pop
(Kachin/Shan-CCCM as of May 2023)]],16,FALSE)</f>
        <v>298</v>
      </c>
      <c r="EU353" s="418">
        <f>VLOOKUP(WWWW[[#This Row],[Site Name]],SiteDB6[[Site Name]:[Pop
(Kachin/Shan-CCCM as of May 2023)]],17,FALSE)</f>
        <v>1458</v>
      </c>
    </row>
    <row r="354" spans="1:151">
      <c r="A354" s="946" t="s">
        <v>2962</v>
      </c>
      <c r="B354" s="938" t="s">
        <v>3347</v>
      </c>
      <c r="C354" s="938" t="s">
        <v>3347</v>
      </c>
      <c r="D354" s="1005" t="s">
        <v>241</v>
      </c>
      <c r="E354" s="1005" t="s">
        <v>37</v>
      </c>
      <c r="F354" s="1005" t="s">
        <v>142</v>
      </c>
      <c r="G354" s="902" t="str">
        <f>VLOOKUP(WWWW[[#This Row],[Site Name]],SiteDB6[[Site Name]:[Location Type]],8,FALSE)</f>
        <v>Camp</v>
      </c>
      <c r="H354" s="1005" t="s">
        <v>182</v>
      </c>
      <c r="I354" s="441">
        <v>206</v>
      </c>
      <c r="J354" s="441">
        <v>984</v>
      </c>
      <c r="K354" s="955">
        <v>44811</v>
      </c>
      <c r="L354" s="956">
        <v>45175</v>
      </c>
      <c r="M354" s="954"/>
      <c r="N354" s="954">
        <v>1</v>
      </c>
      <c r="O354" s="954"/>
      <c r="P354" s="954"/>
      <c r="Q354" s="957" t="s">
        <v>41</v>
      </c>
      <c r="R354" s="954">
        <v>2</v>
      </c>
      <c r="S354" s="954">
        <v>3</v>
      </c>
      <c r="T354" s="441"/>
      <c r="U354" s="954"/>
      <c r="V354" s="954"/>
      <c r="W354" s="954"/>
      <c r="X354" s="954"/>
      <c r="Y354" s="954"/>
      <c r="Z354" s="954"/>
      <c r="AA354" s="954">
        <v>3</v>
      </c>
      <c r="AB354" s="954"/>
      <c r="AC354" s="976">
        <v>3</v>
      </c>
      <c r="AD354" s="954"/>
      <c r="AE354" s="954"/>
      <c r="AF354" s="954"/>
      <c r="AG354" s="954"/>
      <c r="AH354" s="976">
        <v>3</v>
      </c>
      <c r="AI354" s="954"/>
      <c r="AJ354" s="954"/>
      <c r="AK354" s="954"/>
      <c r="AL354" s="954"/>
      <c r="AM354" s="954"/>
      <c r="AN354" s="954"/>
      <c r="AO354" s="441"/>
      <c r="AP354" s="958"/>
      <c r="AQ354" s="954">
        <v>158</v>
      </c>
      <c r="AR354" s="954"/>
      <c r="AS354" s="959"/>
      <c r="AT354" s="954"/>
      <c r="AU354" s="954"/>
      <c r="AV354" s="954"/>
      <c r="AW354" s="954"/>
      <c r="AX354" s="954">
        <v>158</v>
      </c>
      <c r="AY354" s="953" t="s">
        <v>41</v>
      </c>
      <c r="AZ354" s="958" t="s">
        <v>137</v>
      </c>
      <c r="BA354" s="954"/>
      <c r="BB354" s="954"/>
      <c r="BC354" s="954"/>
      <c r="BD354" s="441"/>
      <c r="BE354" s="441"/>
      <c r="BF354" s="953"/>
      <c r="BG354" s="954">
        <v>7</v>
      </c>
      <c r="BH354" s="954"/>
      <c r="BI354" s="954"/>
      <c r="BJ354" s="954">
        <v>4</v>
      </c>
      <c r="BK354" s="954"/>
      <c r="BL354" s="954">
        <v>2</v>
      </c>
      <c r="BM354" s="954">
        <v>1</v>
      </c>
      <c r="BN354" s="954"/>
      <c r="BO354" s="954"/>
      <c r="BP354" s="953"/>
      <c r="BQ354" s="960"/>
      <c r="BR354" s="959"/>
      <c r="BS354" s="953"/>
      <c r="BT354" s="416"/>
      <c r="BU354" s="416"/>
      <c r="BV354" s="418"/>
      <c r="BW354" s="416"/>
      <c r="BX354" s="441"/>
      <c r="BY354" s="441"/>
      <c r="BZ354" s="441"/>
      <c r="CA354" s="441"/>
      <c r="CB354" s="441"/>
      <c r="CC354" s="693"/>
      <c r="CD354" s="441"/>
      <c r="CE354" s="961" t="str">
        <f>IFERROR(WWWW[[#This Row],['#_Water sources passed]]/WWWW[[#This Row],['#_Water sources tested for fecal coliform ]],"no test")</f>
        <v>no test</v>
      </c>
      <c r="CF354" s="959" t="str">
        <f>IFERROR(WWWW[[#This Row],['#_Household passed]]/WWWW[[#This Row],['#_Household water samples tested for fecal coliform]],"no test")</f>
        <v>no test</v>
      </c>
      <c r="CG354" s="960" t="str">
        <f>IF(AND(WWWW[[#This Row],[% of water sources passed]]="no test",WWWW[[#This Row],[% Household passed]]="no test"),"No Test","Tested")</f>
        <v>No Test</v>
      </c>
      <c r="CH354" s="960">
        <f>WWWW[[#This Row],['#_Constructed/existing protected hand dug well]]-WWWW[[#This Row],['#_Non-functional protected hand dug well]]</f>
        <v>0</v>
      </c>
      <c r="CI354" s="960">
        <f>(WWWW[[#This Row],['#_Constructed/Existing tube wells/boreholes/handpumps_WASH_agency]]+WWWW[[#This Row],['#_Non-Cluster partner water tube-wells/boreholes/handpumps]])-WWWW[[#This Row],['#_Non-functional tube wells/boreholes/handpumps]]</f>
        <v>0</v>
      </c>
      <c r="CJ354" s="960">
        <f>WWWW[[#This Row],['#_Constructed/Existingwater storage tank with gravity fed reticulation system]]-WWWW[[#This Row],['#_Non-functional storage tank gravity fed reticulation system]]</f>
        <v>3</v>
      </c>
      <c r="CK354" s="960">
        <f>(WWWW[[#This Row],['#_Water_Liters_supplied_by_Water boating or water trucking]]/90)/15</f>
        <v>0</v>
      </c>
      <c r="CL354" s="960">
        <f>WWWW[[#This Row],['#_Water_Liters_from_Constructed/Existing water distribution system from river or natural spring]]/90/15</f>
        <v>0</v>
      </c>
      <c r="CM354" s="417">
        <f>IF(WWWW[[#This Row],['#_of water points in TLS/CFS]]*500&gt;WWWW[[#This Row],[Total PoP ]],WWWW[[#This Row],[Total PoP ]],WWWW[[#This Row],['#_of water points in TLS/CFS]]*500)</f>
        <v>0</v>
      </c>
      <c r="CN354" s="417">
        <f>IF(WWWW[[#This Row],['#_of water points in THF]]*500&gt;WWWW[[#This Row],[Total PoP ]],WWWW[[#This Row],[Total PoP ]],WWWW[[#This Row],['#_of water points in THF]]*500)</f>
        <v>0</v>
      </c>
      <c r="CO354" s="417"/>
      <c r="CP354"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0.2032520325203252</v>
      </c>
      <c r="CQ354"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0.2032520325203252</v>
      </c>
      <c r="CR354" s="959">
        <f>IF(WWWW[[#This Row],[Location Type 1]]="Village",WWWW[[#This Row],[Access to safe drinking water for Village]],WWWW[[#This Row],[Access to safe drinking water for Camp]])</f>
        <v>0.2032520325203252</v>
      </c>
      <c r="CS354" s="957">
        <f>WWWW[[#This Row],[%Equitable and continuous access to sufficient quantity of safe drinking water]]*WWWW[[#This Row],[Total PoP ]]</f>
        <v>200</v>
      </c>
      <c r="CT354" s="959">
        <f>IF((WWWW[[#This Row],['#_Constructed/Existing protected/fenced ponds]]*250)/WWWW[[#This Row],[Total PoP ]]&gt;1,1,(WWWW[[#This Row],['#_Constructed/Existing protected/fenced ponds]]*250)/WWWW[[#This Row],[Total PoP ]])</f>
        <v>0</v>
      </c>
      <c r="CU354" s="957">
        <f>WWWW[[#This Row],[% Access to unimproved water points]]*WWWW[[#This Row],[Total PoP ]]</f>
        <v>0</v>
      </c>
      <c r="CV354"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0.2032520325203252</v>
      </c>
      <c r="CW354"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200</v>
      </c>
      <c r="CX354" s="957">
        <f>WWWW[[#This Row],[HRP1]]/500</f>
        <v>0.4</v>
      </c>
      <c r="CY354" s="962">
        <f>1-WWWW[[#This Row],[% Equitable and continuous access to sufficient quantity of domestic water]]</f>
        <v>0.7967479674796748</v>
      </c>
      <c r="CZ354" s="957">
        <f>WWWW[[#This Row],[%equitable and continuous access to sufficient quantity of safe drinking and domestic water''s GAP]]*WWWW[[#This Row],[Total PoP ]]</f>
        <v>784</v>
      </c>
      <c r="DA354" s="960">
        <f>IF(WWWW[[#This Row],[Total required water points]]-WWWW[[#This Row],['#Water points coverage]]&lt;0,0,WWWW[[#This Row],[Total required water points]]-WWWW[[#This Row],['#Water points coverage]])</f>
        <v>1.6</v>
      </c>
      <c r="DB354" s="960">
        <f>ROUND(IF(WWWW[[#This Row],[Total PoP ]]&lt;500,1,WWWW[[#This Row],[Total PoP ]]/500),0)</f>
        <v>2</v>
      </c>
      <c r="DC354" s="960">
        <f>(WWWW[[#This Row],['#_Constructed latrines_by_WASHAgencies]]+WWWW[[#This Row],['#_Non Cluster partner latrines]])-WWWW[[#This Row],['#_Non-functional latrines]]</f>
        <v>158</v>
      </c>
      <c r="DD354" s="615">
        <f>WWWW[[#This Row],[HRP2]]/WWWW[[#This Row],[Total PoP ]]</f>
        <v>1</v>
      </c>
      <c r="DE354"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984</v>
      </c>
      <c r="DF354"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54"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54" s="417">
        <f>IF(WWWW[[#This Row],['# of functional latrines in THF supported by WASH partners during the reporting period2]]="",0,WWWW[[#This Row],['# of functional latrines in THF supported by WASH partners during the reporting period2]]*50)</f>
        <v>0</v>
      </c>
      <c r="DI354" s="960">
        <f>ROUND(IF(WWWW[[#This Row],[Location Type 1]]="camp",WWWW[[#This Row],[Total PoP ]]/20,IF(WWWW[[#This Row],[Location Type 1]]="Temporary Location",WWWW[[#This Row],[Total PoP ]]/50,(WWWW[[#This Row],[Total PoP ]]/6))),0)</f>
        <v>49</v>
      </c>
      <c r="DJ354" s="960">
        <f>IF(WWWW[[#This Row],[Total required Latrines]]-(WWWW[[#This Row],['#_Constructed latrines_by_WASHAgencies]]+WWWW[[#This Row],['#_Non Cluster partner latrines]])&lt;0,0,WWWW[[#This Row],[Total required Latrines]]-(WWWW[[#This Row],['#_Constructed latrines_by_WASHAgencies]]+WWWW[[#This Row],['#_Non Cluster partner latrines]]))</f>
        <v>0</v>
      </c>
      <c r="DK354" s="962">
        <f>1-WWWW[[#This Row],[% people access to functioning Latrine]]</f>
        <v>0</v>
      </c>
      <c r="DL354" s="961">
        <f>IF(OR(WWWW[[#This Row],['#_Non-functional latrines]]="",WWWW[[#This Row],['#_Non-functional latrines]]=0),0,WWWW[[#This Row],['#_Non-functional latrines]]/(WWWW[[#This Row],['#_Constructed latrines_by_WASHAgencies]]+WWWW[[#This Row],['#_Non Cluster partner latrines]]))</f>
        <v>0</v>
      </c>
      <c r="DM354" s="957">
        <f>IF(500*(WWWW[[#This Row],['#_male hygiene promoters]]+WWWW[[#This Row],['#_female hygiene promoters]])&gt;WWWW[[#This Row],[Total PoP ]],WWWW[[#This Row],[Total PoP ]],500*(WWWW[[#This Row],['#_male hygiene promoters]]+WWWW[[#This Row],['#_female hygiene promoters]]))</f>
        <v>984</v>
      </c>
      <c r="DN354"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54"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54" s="960">
        <f>IF(WWWW[[#This Row],['# People with access to soap]]&gt;WWWW[[#This Row],['# People with access to Sanity Pads]],WWWW[[#This Row],['# People with access to soap]],WWWW[[#This Row],['# People with access to Sanity Pads]])</f>
        <v>0</v>
      </c>
      <c r="DQ354" s="960">
        <f>IF(WWWW[[#This Row],['# people reached by regular dedicated hygiene promotion_5]]&gt;WWWW[[#This Row],['# People received regular supply of hygiene items_6]],WWWW[[#This Row],['# people reached by regular dedicated hygiene promotion_5]],WWWW[[#This Row],['# People received regular supply of hygiene items_6]])</f>
        <v>984</v>
      </c>
      <c r="DR354" s="962">
        <f>IF(WWWW[[#This Row],[HRP3]]/WWWW[[#This Row],[Total PoP ]]&gt;1,1,WWWW[[#This Row],[HRP3]]/WWWW[[#This Row],[Total PoP ]])</f>
        <v>1</v>
      </c>
      <c r="DS354" s="961">
        <f>1-WWWW[[#This Row],[Hygiene Coverage%]]</f>
        <v>0</v>
      </c>
      <c r="DT354" s="959">
        <f>WWWW[[#This Row],['# people reached by regular dedicated hygiene promotion_5]]/WWWW[[#This Row],[Total PoP ]]</f>
        <v>1</v>
      </c>
      <c r="DU354"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54"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54" s="960">
        <f>WWWW[[#This Row],['#_Constructed/Existing hand washing stations]]-WWWW[[#This Row],['#_Non-Functional_hand_washing_stations]]</f>
        <v>7</v>
      </c>
      <c r="DX354" s="957">
        <f>IF(WWWW[[#This Row],['# Functional hand washing stations during reporting period]]*20&gt;WWWW[[#This Row],[Total HH]],WWWW[[#This Row],[Total HH]],WWWW[[#This Row],['# Functional hand washing stations during reporting period]]*20)</f>
        <v>140</v>
      </c>
      <c r="DY354" s="957">
        <f>IF(WWWW[[#This Row],[Is sufficient soap available for TLS? (Yes/No)]]="yes",WWWW[[#This Row],['#_Constructed/Existing hand washing stations at TLS/CFS/THF]],0)</f>
        <v>0</v>
      </c>
      <c r="DZ354" s="421">
        <f>IF(WWWW[[#This Row],['# Functional hand washing stations during reporting period]]*100&gt;WWWW[[#This Row],[Total PoP ]],WWWW[[#This Row],[Total PoP ]],WWWW[[#This Row],['# Functional hand washing stations during reporting period]]*100)</f>
        <v>700</v>
      </c>
      <c r="EA354" s="421" t="str">
        <f>IF(OR(WWWW[[#This Row],['#_students at TLS_CFS]]="",WWWW[[#This Row],['#_students at TLS_CFS]]=0),"No","Yes")</f>
        <v>No</v>
      </c>
      <c r="EB35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54" s="566">
        <f>WWWW[[#This Row],[%_of_affected_people_surveyed_who_report_feeling_satistfied_with_the_latrine_design_and_sanitation_service]]*WWWW[[#This Row],[Total PoP ]]</f>
        <v>0</v>
      </c>
      <c r="ED354" s="566">
        <f>WWWW[[#This Row],[%_of_affected_people_surveyed_who_report_feeling_satistfied_with_the_water_point_design_and_water_service]]*WWWW[[#This Row],[Total PoP ]]</f>
        <v>0</v>
      </c>
      <c r="EE354" s="566">
        <f>WWWW[[#This Row],[%_of_complaints_received_that_result_in_timely_corrective_action_and_feedback_to_the_community]]*WWWW[[#This Row],[Total PoP ]]</f>
        <v>0</v>
      </c>
      <c r="EF35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5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5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54" s="953" t="str">
        <f>VLOOKUP(WWWW[[#This Row],[Site Name]],SiteDB6[[Site Name]:[CCCM Management]],6,FALSE)</f>
        <v>Yes</v>
      </c>
      <c r="EJ354" s="953" t="str">
        <f>VLOOKUP(WWWW[[#This Row],[Site Name]],SiteDB6[[Site Name]:[CCCM Focal Agency]],7,FALSE)</f>
        <v>KBC-MYT</v>
      </c>
      <c r="EK354" s="953" t="str">
        <f>VLOOKUP(WWWW[[#This Row],[Site Name]],SiteDB6[[Site Name]:[Location Type 1]],9,FALSE)</f>
        <v>Camp</v>
      </c>
      <c r="EL354" s="953" t="str">
        <f>VLOOKUP(WWWW[[#This Row],[Site Name]],SiteDB6[[Site Name]:[Type of Accommodation]],10,FALSE)</f>
        <v>Camp</v>
      </c>
      <c r="EM354" s="953" t="str">
        <f>VLOOKUP(WWWW[[#This Row],[Site Name]],SiteDB6[[Site Name]:[Ethnic or GCA/NGCA]],11,FALSE)</f>
        <v>GCA</v>
      </c>
      <c r="EN354" s="953">
        <f>VLOOKUP(WWWW[[#This Row],[Site Name]],SiteDB6[[Site Name]:[Lat]],12,FALSE)</f>
        <v>25.418084</v>
      </c>
      <c r="EO354" s="953">
        <f>VLOOKUP(WWWW[[#This Row],[Site Name]],SiteDB6[[Site Name]:[Long]],13,FALSE)</f>
        <v>98.025662999999994</v>
      </c>
      <c r="EP354" s="953" t="str">
        <f>VLOOKUP(WWWW[[#This Row],[Site Name]],SiteDB6[[Site Name]:[Pcode]],3,FALSE)</f>
        <v>MMR001CMP041</v>
      </c>
      <c r="EQ354" s="958" t="str">
        <f t="shared" si="8"/>
        <v>Covered</v>
      </c>
      <c r="ER354" s="950" t="s">
        <v>3126</v>
      </c>
      <c r="ES354" s="950" t="s">
        <v>3267</v>
      </c>
      <c r="ET354" s="953">
        <f>VLOOKUP(WWWW[[#This Row],[Site Name]],SiteDB6[[Site Name]:[Pop
(Kachin/Shan-CCCM as of May 2023)]],16,FALSE)</f>
        <v>216</v>
      </c>
      <c r="EU354" s="953">
        <f>VLOOKUP(WWWW[[#This Row],[Site Name]],SiteDB6[[Site Name]:[Pop
(Kachin/Shan-CCCM as of May 2023)]],17,FALSE)</f>
        <v>1190</v>
      </c>
    </row>
    <row r="355" spans="1:151">
      <c r="A355" s="946" t="s">
        <v>2962</v>
      </c>
      <c r="B355" s="946" t="s">
        <v>309</v>
      </c>
      <c r="C355" s="938" t="s">
        <v>309</v>
      </c>
      <c r="D355" s="938"/>
      <c r="E355" s="938" t="s">
        <v>37</v>
      </c>
      <c r="F355" s="938" t="s">
        <v>142</v>
      </c>
      <c r="G355" s="902" t="str">
        <f>VLOOKUP(WWWW[[#This Row],[Site Name]],SiteDB6[[Site Name]:[Location Type]],8,FALSE)</f>
        <v>Camp</v>
      </c>
      <c r="H355" s="938" t="s">
        <v>2978</v>
      </c>
      <c r="I355" s="441">
        <v>30</v>
      </c>
      <c r="J355" s="441">
        <v>157</v>
      </c>
      <c r="K355" s="948"/>
      <c r="L355" s="949"/>
      <c r="M355" s="441"/>
      <c r="N355" s="441"/>
      <c r="O355" s="441"/>
      <c r="P355" s="441"/>
      <c r="Q355" s="421"/>
      <c r="R355" s="441"/>
      <c r="S355" s="441"/>
      <c r="T355" s="441"/>
      <c r="U355" s="441"/>
      <c r="V355" s="441"/>
      <c r="W355" s="441"/>
      <c r="X355" s="441"/>
      <c r="Y355" s="441"/>
      <c r="Z355" s="441"/>
      <c r="AA355" s="441"/>
      <c r="AB355" s="441"/>
      <c r="AC355" s="441"/>
      <c r="AD355" s="441"/>
      <c r="AE355" s="441"/>
      <c r="AF355" s="441"/>
      <c r="AG355" s="441"/>
      <c r="AH355" s="441"/>
      <c r="AI355" s="441"/>
      <c r="AJ355" s="441"/>
      <c r="AK355" s="441"/>
      <c r="AL355" s="441"/>
      <c r="AM355" s="441"/>
      <c r="AN355" s="441"/>
      <c r="AO355" s="441"/>
      <c r="AP355" s="950"/>
      <c r="AQ355" s="441"/>
      <c r="AR355" s="441"/>
      <c r="AS355" s="416"/>
      <c r="AT355" s="441"/>
      <c r="AU355" s="441"/>
      <c r="AV355" s="441"/>
      <c r="AW355" s="441"/>
      <c r="AX355" s="441"/>
      <c r="AY355" s="418"/>
      <c r="AZ355" s="950"/>
      <c r="BA355" s="441"/>
      <c r="BB355" s="441"/>
      <c r="BC355" s="441"/>
      <c r="BD355" s="441"/>
      <c r="BE355" s="441"/>
      <c r="BF355" s="418"/>
      <c r="BG355" s="441"/>
      <c r="BH355" s="441"/>
      <c r="BI355" s="441"/>
      <c r="BJ355" s="441"/>
      <c r="BK355" s="441"/>
      <c r="BL355" s="441"/>
      <c r="BM355" s="441"/>
      <c r="BN355" s="441"/>
      <c r="BO355" s="441"/>
      <c r="BP355" s="418"/>
      <c r="BQ355" s="417"/>
      <c r="BR355" s="416"/>
      <c r="BS355" s="418"/>
      <c r="BT355" s="416"/>
      <c r="BU355" s="416"/>
      <c r="BV355" s="418"/>
      <c r="BW355" s="416"/>
      <c r="BX355" s="441"/>
      <c r="BY355" s="441"/>
      <c r="BZ355" s="441"/>
      <c r="CA355" s="441"/>
      <c r="CB355" s="441"/>
      <c r="CC355" s="693"/>
      <c r="CD355" s="441"/>
      <c r="CE355" s="615" t="str">
        <f>IFERROR(WWWW[[#This Row],['#_Water sources passed]]/WWWW[[#This Row],['#_Water sources tested for fecal coliform ]],"no test")</f>
        <v>no test</v>
      </c>
      <c r="CF355" s="416" t="str">
        <f>IFERROR(WWWW[[#This Row],['#_Household passed]]/WWWW[[#This Row],['#_Household water samples tested for fecal coliform]],"no test")</f>
        <v>no test</v>
      </c>
      <c r="CG355" s="417" t="str">
        <f>IF(AND(WWWW[[#This Row],[% of water sources passed]]="no test",WWWW[[#This Row],[% Household passed]]="no test"),"No Test","Tested")</f>
        <v>No Test</v>
      </c>
      <c r="CH355" s="417">
        <f>WWWW[[#This Row],['#_Constructed/existing protected hand dug well]]-WWWW[[#This Row],['#_Non-functional protected hand dug well]]</f>
        <v>0</v>
      </c>
      <c r="CI355" s="417">
        <f>(WWWW[[#This Row],['#_Constructed/Existing tube wells/boreholes/handpumps_WASH_agency]]+WWWW[[#This Row],['#_Non-Cluster partner water tube-wells/boreholes/handpumps]])-WWWW[[#This Row],['#_Non-functional tube wells/boreholes/handpumps]]</f>
        <v>0</v>
      </c>
      <c r="CJ355" s="417">
        <f>WWWW[[#This Row],['#_Constructed/Existingwater storage tank with gravity fed reticulation system]]-WWWW[[#This Row],['#_Non-functional storage tank gravity fed reticulation system]]</f>
        <v>0</v>
      </c>
      <c r="CK355" s="417">
        <f>(WWWW[[#This Row],['#_Water_Liters_supplied_by_Water boating or water trucking]]/90)/15</f>
        <v>0</v>
      </c>
      <c r="CL355" s="417">
        <f>WWWW[[#This Row],['#_Water_Liters_from_Constructed/Existing water distribution system from river or natural spring]]/90/15</f>
        <v>0</v>
      </c>
      <c r="CM355" s="417">
        <f>IF(WWWW[[#This Row],['#_of water points in TLS/CFS]]*500&gt;WWWW[[#This Row],[Total PoP ]],WWWW[[#This Row],[Total PoP ]],WWWW[[#This Row],['#_of water points in TLS/CFS]]*500)</f>
        <v>0</v>
      </c>
      <c r="CN355" s="417">
        <f>IF(WWWW[[#This Row],['#_of water points in THF]]*500&gt;WWWW[[#This Row],[Total PoP ]],WWWW[[#This Row],[Total PoP ]],WWWW[[#This Row],['#_of water points in THF]]*500)</f>
        <v>0</v>
      </c>
      <c r="CO355" s="417"/>
      <c r="CP355"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55"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55" s="416">
        <f>IF(WWWW[[#This Row],[Location Type 1]]="Village",WWWW[[#This Row],[Access to safe drinking water for Village]],WWWW[[#This Row],[Access to safe drinking water for Camp]])</f>
        <v>0</v>
      </c>
      <c r="CS355" s="421">
        <f>WWWW[[#This Row],[%Equitable and continuous access to sufficient quantity of safe drinking water]]*WWWW[[#This Row],[Total PoP ]]</f>
        <v>0</v>
      </c>
      <c r="CT355" s="416">
        <f>IF((WWWW[[#This Row],['#_Constructed/Existing protected/fenced ponds]]*250)/WWWW[[#This Row],[Total PoP ]]&gt;1,1,(WWWW[[#This Row],['#_Constructed/Existing protected/fenced ponds]]*250)/WWWW[[#This Row],[Total PoP ]])</f>
        <v>0</v>
      </c>
      <c r="CU355" s="421">
        <f>WWWW[[#This Row],[% Access to unimproved water points]]*WWWW[[#This Row],[Total PoP ]]</f>
        <v>0</v>
      </c>
      <c r="CV355"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55"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55" s="421">
        <f>WWWW[[#This Row],[HRP1]]/500</f>
        <v>0</v>
      </c>
      <c r="CY355" s="951">
        <f>1-WWWW[[#This Row],[% Equitable and continuous access to sufficient quantity of domestic water]]</f>
        <v>1</v>
      </c>
      <c r="CZ355" s="421">
        <f>WWWW[[#This Row],[%equitable and continuous access to sufficient quantity of safe drinking and domestic water''s GAP]]*WWWW[[#This Row],[Total PoP ]]</f>
        <v>157</v>
      </c>
      <c r="DA355" s="417">
        <f>IF(WWWW[[#This Row],[Total required water points]]-WWWW[[#This Row],['#Water points coverage]]&lt;0,0,WWWW[[#This Row],[Total required water points]]-WWWW[[#This Row],['#Water points coverage]])</f>
        <v>1</v>
      </c>
      <c r="DB355" s="417">
        <f>ROUND(IF(WWWW[[#This Row],[Total PoP ]]&lt;500,1,WWWW[[#This Row],[Total PoP ]]/500),0)</f>
        <v>1</v>
      </c>
      <c r="DC355" s="417">
        <f>(WWWW[[#This Row],['#_Constructed latrines_by_WASHAgencies]]+WWWW[[#This Row],['#_Non Cluster partner latrines]])-WWWW[[#This Row],['#_Non-functional latrines]]</f>
        <v>0</v>
      </c>
      <c r="DD355" s="615">
        <f>WWWW[[#This Row],[HRP2]]/WWWW[[#This Row],[Total PoP ]]</f>
        <v>0</v>
      </c>
      <c r="DE355"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55"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55"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55" s="417">
        <f>IF(WWWW[[#This Row],['# of functional latrines in THF supported by WASH partners during the reporting period2]]="",0,WWWW[[#This Row],['# of functional latrines in THF supported by WASH partners during the reporting period2]]*50)</f>
        <v>0</v>
      </c>
      <c r="DI355" s="417">
        <f>ROUND(IF(WWWW[[#This Row],[Location Type 1]]="camp",WWWW[[#This Row],[Total PoP ]]/20,IF(WWWW[[#This Row],[Location Type 1]]="Temporary Location",WWWW[[#This Row],[Total PoP ]]/50,(WWWW[[#This Row],[Total PoP ]]/6))),0)</f>
        <v>8</v>
      </c>
      <c r="DJ355" s="417">
        <f>IF(WWWW[[#This Row],[Total required Latrines]]-(WWWW[[#This Row],['#_Constructed latrines_by_WASHAgencies]]+WWWW[[#This Row],['#_Non Cluster partner latrines]])&lt;0,0,WWWW[[#This Row],[Total required Latrines]]-(WWWW[[#This Row],['#_Constructed latrines_by_WASHAgencies]]+WWWW[[#This Row],['#_Non Cluster partner latrines]]))</f>
        <v>8</v>
      </c>
      <c r="DK355" s="951">
        <f>1-WWWW[[#This Row],[% people access to functioning Latrine]]</f>
        <v>1</v>
      </c>
      <c r="DL355" s="615">
        <f>IF(OR(WWWW[[#This Row],['#_Non-functional latrines]]="",WWWW[[#This Row],['#_Non-functional latrines]]=0),0,WWWW[[#This Row],['#_Non-functional latrines]]/(WWWW[[#This Row],['#_Constructed latrines_by_WASHAgencies]]+WWWW[[#This Row],['#_Non Cluster partner latrines]]))</f>
        <v>0</v>
      </c>
      <c r="DM355" s="421">
        <f>IF(500*(WWWW[[#This Row],['#_male hygiene promoters]]+WWWW[[#This Row],['#_female hygiene promoters]])&gt;WWWW[[#This Row],[Total PoP ]],WWWW[[#This Row],[Total PoP ]],500*(WWWW[[#This Row],['#_male hygiene promoters]]+WWWW[[#This Row],['#_female hygiene promoters]]))</f>
        <v>0</v>
      </c>
      <c r="DN355"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55"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55" s="417">
        <f>IF(WWWW[[#This Row],['# People with access to soap]]&gt;WWWW[[#This Row],['# People with access to Sanity Pads]],WWWW[[#This Row],['# People with access to soap]],WWWW[[#This Row],['# People with access to Sanity Pads]])</f>
        <v>0</v>
      </c>
      <c r="DQ355"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55" s="951">
        <f>IF(WWWW[[#This Row],[HRP3]]/WWWW[[#This Row],[Total PoP ]]&gt;1,1,WWWW[[#This Row],[HRP3]]/WWWW[[#This Row],[Total PoP ]])</f>
        <v>0</v>
      </c>
      <c r="DS355" s="615">
        <f>1-WWWW[[#This Row],[Hygiene Coverage%]]</f>
        <v>1</v>
      </c>
      <c r="DT355" s="416">
        <f>WWWW[[#This Row],['# people reached by regular dedicated hygiene promotion_5]]/WWWW[[#This Row],[Total PoP ]]</f>
        <v>0</v>
      </c>
      <c r="DU355"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55"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55" s="417">
        <f>WWWW[[#This Row],['#_Constructed/Existing hand washing stations]]-WWWW[[#This Row],['#_Non-Functional_hand_washing_stations]]</f>
        <v>0</v>
      </c>
      <c r="DX355" s="421">
        <f>IF(WWWW[[#This Row],['# Functional hand washing stations during reporting period]]*20&gt;WWWW[[#This Row],[Total HH]],WWWW[[#This Row],[Total HH]],WWWW[[#This Row],['# Functional hand washing stations during reporting period]]*20)</f>
        <v>0</v>
      </c>
      <c r="DY355" s="421">
        <f>IF(WWWW[[#This Row],[Is sufficient soap available for TLS? (Yes/No)]]="yes",WWWW[[#This Row],['#_Constructed/Existing hand washing stations at TLS/CFS/THF]],0)</f>
        <v>0</v>
      </c>
      <c r="DZ355" s="421">
        <f>IF(WWWW[[#This Row],['# Functional hand washing stations during reporting period]]*100&gt;WWWW[[#This Row],[Total PoP ]],WWWW[[#This Row],[Total PoP ]],WWWW[[#This Row],['# Functional hand washing stations during reporting period]]*100)</f>
        <v>0</v>
      </c>
      <c r="EA355" s="421" t="str">
        <f>IF(OR(WWWW[[#This Row],['#_students at TLS_CFS]]="",WWWW[[#This Row],['#_students at TLS_CFS]]=0),"No","Yes")</f>
        <v>No</v>
      </c>
      <c r="EB35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55" s="566">
        <f>WWWW[[#This Row],[%_of_affected_people_surveyed_who_report_feeling_satistfied_with_the_latrine_design_and_sanitation_service]]*WWWW[[#This Row],[Total PoP ]]</f>
        <v>0</v>
      </c>
      <c r="ED355" s="566">
        <f>WWWW[[#This Row],[%_of_affected_people_surveyed_who_report_feeling_satistfied_with_the_water_point_design_and_water_service]]*WWWW[[#This Row],[Total PoP ]]</f>
        <v>0</v>
      </c>
      <c r="EE355" s="566">
        <f>WWWW[[#This Row],[%_of_complaints_received_that_result_in_timely_corrective_action_and_feedback_to_the_community]]*WWWW[[#This Row],[Total PoP ]]</f>
        <v>0</v>
      </c>
      <c r="EF35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5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5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55" s="418">
        <f>VLOOKUP(WWWW[[#This Row],[Site Name]],SiteDB6[[Site Name]:[CCCM Management]],6,FALSE)</f>
        <v>0</v>
      </c>
      <c r="EJ355" s="418" t="str">
        <f>VLOOKUP(WWWW[[#This Row],[Site Name]],SiteDB6[[Site Name]:[CCCM Focal Agency]],7,FALSE)</f>
        <v>DFSS</v>
      </c>
      <c r="EK355" s="418" t="str">
        <f>VLOOKUP(WWWW[[#This Row],[Site Name]],SiteDB6[[Site Name]:[Location Type 1]],9,FALSE)</f>
        <v>Camp</v>
      </c>
      <c r="EL355" s="418" t="str">
        <f>VLOOKUP(WWWW[[#This Row],[Site Name]],SiteDB6[[Site Name]:[Type of Accommodation]],10,FALSE)</f>
        <v>Camp like setting</v>
      </c>
      <c r="EM355" s="418" t="str">
        <f>VLOOKUP(WWWW[[#This Row],[Site Name]],SiteDB6[[Site Name]:[Ethnic or GCA/NGCA]],11,FALSE)</f>
        <v>GCA</v>
      </c>
      <c r="EN355" s="418">
        <f>VLOOKUP(WWWW[[#This Row],[Site Name]],SiteDB6[[Site Name]:[Lat]],12,FALSE)</f>
        <v>0</v>
      </c>
      <c r="EO355" s="418" t="str">
        <f>VLOOKUP(WWWW[[#This Row],[Site Name]],SiteDB6[[Site Name]:[Long]],13,FALSE)</f>
        <v>not available</v>
      </c>
      <c r="EP355" s="418" t="str">
        <f>VLOOKUP(WWWW[[#This Row],[Site Name]],SiteDB6[[Site Name]:[Pcode]],3,FALSE)</f>
        <v>MMR001CMP296</v>
      </c>
      <c r="EQ355" s="950" t="str">
        <f t="shared" si="8"/>
        <v>Notcovered</v>
      </c>
      <c r="ER355" s="950"/>
      <c r="ES355" s="950" t="s">
        <v>41</v>
      </c>
      <c r="ET355" s="418">
        <f>VLOOKUP(WWWW[[#This Row],[Site Name]],SiteDB6[[Site Name]:[Pop
(Kachin/Shan-CCCM as of May 2023)]],16,FALSE)</f>
        <v>30</v>
      </c>
      <c r="EU355" s="418">
        <f>VLOOKUP(WWWW[[#This Row],[Site Name]],SiteDB6[[Site Name]:[Pop
(Kachin/Shan-CCCM as of May 2023)]],17,FALSE)</f>
        <v>159</v>
      </c>
    </row>
    <row r="356" spans="1:151">
      <c r="A356" s="946" t="s">
        <v>2962</v>
      </c>
      <c r="B356" s="946" t="s">
        <v>242</v>
      </c>
      <c r="C356" s="938" t="s">
        <v>242</v>
      </c>
      <c r="D356" s="938" t="s">
        <v>3184</v>
      </c>
      <c r="E356" s="938" t="s">
        <v>37</v>
      </c>
      <c r="F356" s="938" t="s">
        <v>142</v>
      </c>
      <c r="G356" s="902" t="str">
        <f>VLOOKUP(WWWW[[#This Row],[Site Name]],SiteDB6[[Site Name]:[Location Type]],8,FALSE)</f>
        <v>Camp</v>
      </c>
      <c r="H356" s="938" t="s">
        <v>274</v>
      </c>
      <c r="I356" s="441">
        <v>43</v>
      </c>
      <c r="J356" s="441">
        <v>186</v>
      </c>
      <c r="K356" s="948">
        <v>44927</v>
      </c>
      <c r="L356" s="949">
        <v>45382</v>
      </c>
      <c r="M356" s="441"/>
      <c r="N356" s="441"/>
      <c r="O356" s="441">
        <v>1</v>
      </c>
      <c r="P356" s="441"/>
      <c r="Q356" s="421" t="s">
        <v>41</v>
      </c>
      <c r="R356" s="441">
        <v>2</v>
      </c>
      <c r="S356" s="441">
        <v>3</v>
      </c>
      <c r="T356" s="441">
        <v>1</v>
      </c>
      <c r="U356" s="441"/>
      <c r="V356" s="441"/>
      <c r="W356" s="441"/>
      <c r="X356" s="441"/>
      <c r="Y356" s="441"/>
      <c r="Z356" s="441"/>
      <c r="AA356" s="441"/>
      <c r="AB356" s="441"/>
      <c r="AC356" s="441"/>
      <c r="AD356" s="441"/>
      <c r="AE356" s="441"/>
      <c r="AF356" s="441"/>
      <c r="AG356" s="441"/>
      <c r="AH356" s="441"/>
      <c r="AI356" s="441"/>
      <c r="AJ356" s="441"/>
      <c r="AK356" s="441"/>
      <c r="AL356" s="441"/>
      <c r="AM356" s="441">
        <v>4</v>
      </c>
      <c r="AN356" s="441"/>
      <c r="AO356" s="441"/>
      <c r="AP356" s="950" t="s">
        <v>3197</v>
      </c>
      <c r="AQ356" s="441">
        <v>6</v>
      </c>
      <c r="AR356" s="441"/>
      <c r="AS356" s="416"/>
      <c r="AT356" s="441"/>
      <c r="AU356" s="441"/>
      <c r="AV356" s="441"/>
      <c r="AW356" s="441"/>
      <c r="AX356" s="441"/>
      <c r="AY356" s="418" t="s">
        <v>41</v>
      </c>
      <c r="AZ356" s="950" t="s">
        <v>137</v>
      </c>
      <c r="BA356" s="441"/>
      <c r="BB356" s="441"/>
      <c r="BC356" s="441"/>
      <c r="BD356" s="441"/>
      <c r="BE356" s="441"/>
      <c r="BF356" s="418"/>
      <c r="BG356" s="441">
        <v>4</v>
      </c>
      <c r="BH356" s="441"/>
      <c r="BI356" s="441"/>
      <c r="BJ356" s="441">
        <v>2</v>
      </c>
      <c r="BK356" s="441"/>
      <c r="BL356" s="441"/>
      <c r="BM356" s="441">
        <v>1</v>
      </c>
      <c r="BN356" s="441"/>
      <c r="BO356" s="441"/>
      <c r="BP356" s="418"/>
      <c r="BQ356" s="417">
        <v>1</v>
      </c>
      <c r="BR356" s="416">
        <v>0.5</v>
      </c>
      <c r="BS356" s="418"/>
      <c r="BT356" s="416">
        <v>0.9</v>
      </c>
      <c r="BU356" s="416">
        <v>0.95</v>
      </c>
      <c r="BV356" s="418"/>
      <c r="BW356" s="416">
        <v>0.99</v>
      </c>
      <c r="BX356" s="441"/>
      <c r="BY356" s="441"/>
      <c r="BZ356" s="441"/>
      <c r="CA356" s="441"/>
      <c r="CB356" s="441"/>
      <c r="CC356" s="693"/>
      <c r="CD356" s="441"/>
      <c r="CE356" s="615" t="str">
        <f>IFERROR(WWWW[[#This Row],['#_Water sources passed]]/WWWW[[#This Row],['#_Water sources tested for fecal coliform ]],"no test")</f>
        <v>no test</v>
      </c>
      <c r="CF356" s="416" t="str">
        <f>IFERROR(WWWW[[#This Row],['#_Household passed]]/WWWW[[#This Row],['#_Household water samples tested for fecal coliform]],"no test")</f>
        <v>no test</v>
      </c>
      <c r="CG356" s="417" t="str">
        <f>IF(AND(WWWW[[#This Row],[% of water sources passed]]="no test",WWWW[[#This Row],[% Household passed]]="no test"),"No Test","Tested")</f>
        <v>No Test</v>
      </c>
      <c r="CH356" s="417">
        <f>WWWW[[#This Row],['#_Constructed/existing protected hand dug well]]-WWWW[[#This Row],['#_Non-functional protected hand dug well]]</f>
        <v>1</v>
      </c>
      <c r="CI356" s="417">
        <f>(WWWW[[#This Row],['#_Constructed/Existing tube wells/boreholes/handpumps_WASH_agency]]+WWWW[[#This Row],['#_Non-Cluster partner water tube-wells/boreholes/handpumps]])-WWWW[[#This Row],['#_Non-functional tube wells/boreholes/handpumps]]</f>
        <v>0</v>
      </c>
      <c r="CJ356" s="417">
        <f>WWWW[[#This Row],['#_Constructed/Existingwater storage tank with gravity fed reticulation system]]-WWWW[[#This Row],['#_Non-functional storage tank gravity fed reticulation system]]</f>
        <v>0</v>
      </c>
      <c r="CK356" s="417">
        <f>(WWWW[[#This Row],['#_Water_Liters_supplied_by_Water boating or water trucking]]/90)/15</f>
        <v>0</v>
      </c>
      <c r="CL356" s="417">
        <f>WWWW[[#This Row],['#_Water_Liters_from_Constructed/Existing water distribution system from river or natural spring]]/90/15</f>
        <v>0</v>
      </c>
      <c r="CM356" s="417">
        <f>IF(WWWW[[#This Row],['#_of water points in TLS/CFS]]*500&gt;WWWW[[#This Row],[Total PoP ]],WWWW[[#This Row],[Total PoP ]],WWWW[[#This Row],['#_of water points in TLS/CFS]]*500)</f>
        <v>0</v>
      </c>
      <c r="CN356" s="417">
        <f>IF(WWWW[[#This Row],['#_of water points in THF]]*500&gt;WWWW[[#This Row],[Total PoP ]],WWWW[[#This Row],[Total PoP ]],WWWW[[#This Row],['#_of water points in THF]]*500)</f>
        <v>0</v>
      </c>
      <c r="CO356" s="417"/>
      <c r="CP356"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56"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56" s="416">
        <f>IF(WWWW[[#This Row],[Location Type 1]]="Village",WWWW[[#This Row],[Access to safe drinking water for Village]],WWWW[[#This Row],[Access to safe drinking water for Camp]])</f>
        <v>1</v>
      </c>
      <c r="CS356" s="421">
        <f>WWWW[[#This Row],[%Equitable and continuous access to sufficient quantity of safe drinking water]]*WWWW[[#This Row],[Total PoP ]]</f>
        <v>186</v>
      </c>
      <c r="CT356" s="416">
        <f>IF((WWWW[[#This Row],['#_Constructed/Existing protected/fenced ponds]]*250)/WWWW[[#This Row],[Total PoP ]]&gt;1,1,(WWWW[[#This Row],['#_Constructed/Existing protected/fenced ponds]]*250)/WWWW[[#This Row],[Total PoP ]])</f>
        <v>0</v>
      </c>
      <c r="CU356" s="421">
        <f>WWWW[[#This Row],[% Access to unimproved water points]]*WWWW[[#This Row],[Total PoP ]]</f>
        <v>0</v>
      </c>
      <c r="CV356"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56"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186</v>
      </c>
      <c r="CX356" s="421">
        <f>WWWW[[#This Row],[HRP1]]/500</f>
        <v>0.372</v>
      </c>
      <c r="CY356" s="951">
        <f>1-WWWW[[#This Row],[% Equitable and continuous access to sufficient quantity of domestic water]]</f>
        <v>0</v>
      </c>
      <c r="CZ356" s="421">
        <f>WWWW[[#This Row],[%equitable and continuous access to sufficient quantity of safe drinking and domestic water''s GAP]]*WWWW[[#This Row],[Total PoP ]]</f>
        <v>0</v>
      </c>
      <c r="DA356" s="417">
        <f>IF(WWWW[[#This Row],[Total required water points]]-WWWW[[#This Row],['#Water points coverage]]&lt;0,0,WWWW[[#This Row],[Total required water points]]-WWWW[[#This Row],['#Water points coverage]])</f>
        <v>0.628</v>
      </c>
      <c r="DB356" s="417">
        <f>ROUND(IF(WWWW[[#This Row],[Total PoP ]]&lt;500,1,WWWW[[#This Row],[Total PoP ]]/500),0)</f>
        <v>1</v>
      </c>
      <c r="DC356" s="417">
        <f>(WWWW[[#This Row],['#_Constructed latrines_by_WASHAgencies]]+WWWW[[#This Row],['#_Non Cluster partner latrines]])-WWWW[[#This Row],['#_Non-functional latrines]]</f>
        <v>6</v>
      </c>
      <c r="DD356" s="615">
        <f>WWWW[[#This Row],[HRP2]]/WWWW[[#This Row],[Total PoP ]]</f>
        <v>0.64516129032258063</v>
      </c>
      <c r="DE356"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120</v>
      </c>
      <c r="DF356"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56"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56" s="417">
        <f>IF(WWWW[[#This Row],['# of functional latrines in THF supported by WASH partners during the reporting period2]]="",0,WWWW[[#This Row],['# of functional latrines in THF supported by WASH partners during the reporting period2]]*50)</f>
        <v>0</v>
      </c>
      <c r="DI356" s="417">
        <f>ROUND(IF(WWWW[[#This Row],[Location Type 1]]="camp",WWWW[[#This Row],[Total PoP ]]/20,IF(WWWW[[#This Row],[Location Type 1]]="Temporary Location",WWWW[[#This Row],[Total PoP ]]/50,(WWWW[[#This Row],[Total PoP ]]/6))),0)</f>
        <v>9</v>
      </c>
      <c r="DJ356" s="417">
        <f>IF(WWWW[[#This Row],[Total required Latrines]]-(WWWW[[#This Row],['#_Constructed latrines_by_WASHAgencies]]+WWWW[[#This Row],['#_Non Cluster partner latrines]])&lt;0,0,WWWW[[#This Row],[Total required Latrines]]-(WWWW[[#This Row],['#_Constructed latrines_by_WASHAgencies]]+WWWW[[#This Row],['#_Non Cluster partner latrines]]))</f>
        <v>3</v>
      </c>
      <c r="DK356" s="951">
        <f>1-WWWW[[#This Row],[% people access to functioning Latrine]]</f>
        <v>0.35483870967741937</v>
      </c>
      <c r="DL356" s="615">
        <f>IF(OR(WWWW[[#This Row],['#_Non-functional latrines]]="",WWWW[[#This Row],['#_Non-functional latrines]]=0),0,WWWW[[#This Row],['#_Non-functional latrines]]/(WWWW[[#This Row],['#_Constructed latrines_by_WASHAgencies]]+WWWW[[#This Row],['#_Non Cluster partner latrines]]))</f>
        <v>0</v>
      </c>
      <c r="DM356" s="421">
        <f>IF(500*(WWWW[[#This Row],['#_male hygiene promoters]]+WWWW[[#This Row],['#_female hygiene promoters]])&gt;WWWW[[#This Row],[Total PoP ]],WWWW[[#This Row],[Total PoP ]],500*(WWWW[[#This Row],['#_male hygiene promoters]]+WWWW[[#This Row],['#_female hygiene promoters]]))</f>
        <v>186</v>
      </c>
      <c r="DN356"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56"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56" s="417">
        <f>IF(WWWW[[#This Row],['# People with access to soap]]&gt;WWWW[[#This Row],['# People with access to Sanity Pads]],WWWW[[#This Row],['# People with access to soap]],WWWW[[#This Row],['# People with access to Sanity Pads]])</f>
        <v>0</v>
      </c>
      <c r="DQ356" s="417">
        <f>IF(WWWW[[#This Row],['# people reached by regular dedicated hygiene promotion_5]]&gt;WWWW[[#This Row],['# People received regular supply of hygiene items_6]],WWWW[[#This Row],['# people reached by regular dedicated hygiene promotion_5]],WWWW[[#This Row],['# People received regular supply of hygiene items_6]])</f>
        <v>186</v>
      </c>
      <c r="DR356" s="951">
        <f>IF(WWWW[[#This Row],[HRP3]]/WWWW[[#This Row],[Total PoP ]]&gt;1,1,WWWW[[#This Row],[HRP3]]/WWWW[[#This Row],[Total PoP ]])</f>
        <v>1</v>
      </c>
      <c r="DS356" s="615">
        <f>1-WWWW[[#This Row],[Hygiene Coverage%]]</f>
        <v>0</v>
      </c>
      <c r="DT356" s="416">
        <f>WWWW[[#This Row],['# people reached by regular dedicated hygiene promotion_5]]/WWWW[[#This Row],[Total PoP ]]</f>
        <v>1</v>
      </c>
      <c r="DU356"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56"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56" s="417">
        <f>WWWW[[#This Row],['#_Constructed/Existing hand washing stations]]-WWWW[[#This Row],['#_Non-Functional_hand_washing_stations]]</f>
        <v>4</v>
      </c>
      <c r="DX356" s="421">
        <f>IF(WWWW[[#This Row],['# Functional hand washing stations during reporting period]]*20&gt;WWWW[[#This Row],[Total HH]],WWWW[[#This Row],[Total HH]],WWWW[[#This Row],['# Functional hand washing stations during reporting period]]*20)</f>
        <v>43</v>
      </c>
      <c r="DY356" s="421">
        <f>IF(WWWW[[#This Row],[Is sufficient soap available for TLS? (Yes/No)]]="yes",WWWW[[#This Row],['#_Constructed/Existing hand washing stations at TLS/CFS/THF]],0)</f>
        <v>0</v>
      </c>
      <c r="DZ356" s="421">
        <f>IF(WWWW[[#This Row],['# Functional hand washing stations during reporting period]]*100&gt;WWWW[[#This Row],[Total PoP ]],WWWW[[#This Row],[Total PoP ]],WWWW[[#This Row],['# Functional hand washing stations during reporting period]]*100)</f>
        <v>186</v>
      </c>
      <c r="EA356" s="421" t="str">
        <f>IF(OR(WWWW[[#This Row],['#_students at TLS_CFS]]="",WWWW[[#This Row],['#_students at TLS_CFS]]=0),"No","Yes")</f>
        <v>No</v>
      </c>
      <c r="EB35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56" s="566">
        <f>WWWW[[#This Row],[%_of_affected_people_surveyed_who_report_feeling_satistfied_with_the_latrine_design_and_sanitation_service]]*WWWW[[#This Row],[Total PoP ]]</f>
        <v>167.4</v>
      </c>
      <c r="ED356" s="566">
        <f>WWWW[[#This Row],[%_of_affected_people_surveyed_who_report_feeling_satistfied_with_the_water_point_design_and_water_service]]*WWWW[[#This Row],[Total PoP ]]</f>
        <v>176.7</v>
      </c>
      <c r="EE356" s="566">
        <f>WWWW[[#This Row],[%_of_complaints_received_that_result_in_timely_corrective_action_and_feedback_to_the_community]]*WWWW[[#This Row],[Total PoP ]]</f>
        <v>184.14</v>
      </c>
      <c r="EF35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184.14</v>
      </c>
      <c r="EG35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5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56" s="418" t="str">
        <f>VLOOKUP(WWWW[[#This Row],[Site Name]],SiteDB6[[Site Name]:[CCCM Management]],6,FALSE)</f>
        <v>Yes</v>
      </c>
      <c r="EJ356" s="418" t="str">
        <f>VLOOKUP(WWWW[[#This Row],[Site Name]],SiteDB6[[Site Name]:[CCCM Focal Agency]],7,FALSE)</f>
        <v>Shalom</v>
      </c>
      <c r="EK356" s="418" t="str">
        <f>VLOOKUP(WWWW[[#This Row],[Site Name]],SiteDB6[[Site Name]:[Location Type 1]],9,FALSE)</f>
        <v>Camp</v>
      </c>
      <c r="EL356" s="418" t="str">
        <f>VLOOKUP(WWWW[[#This Row],[Site Name]],SiteDB6[[Site Name]:[Type of Accommodation]],10,FALSE)</f>
        <v>Camp</v>
      </c>
      <c r="EM356" s="418" t="str">
        <f>VLOOKUP(WWWW[[#This Row],[Site Name]],SiteDB6[[Site Name]:[Ethnic or GCA/NGCA]],11,FALSE)</f>
        <v>GCA</v>
      </c>
      <c r="EN356" s="418">
        <f>VLOOKUP(WWWW[[#This Row],[Site Name]],SiteDB6[[Site Name]:[Lat]],12,FALSE)</f>
        <v>25.333683333333301</v>
      </c>
      <c r="EO356" s="418">
        <f>VLOOKUP(WWWW[[#This Row],[Site Name]],SiteDB6[[Site Name]:[Long]],13,FALSE)</f>
        <v>97.428251153846105</v>
      </c>
      <c r="EP356" s="418" t="str">
        <f>VLOOKUP(WWWW[[#This Row],[Site Name]],SiteDB6[[Site Name]:[Pcode]],3,FALSE)</f>
        <v>MMR001CMP037</v>
      </c>
      <c r="EQ356" s="950" t="str">
        <f t="shared" si="8"/>
        <v>Covered</v>
      </c>
      <c r="ER356" s="950" t="s">
        <v>136</v>
      </c>
      <c r="ES356" s="950" t="s">
        <v>3266</v>
      </c>
      <c r="ET356" s="418">
        <f>VLOOKUP(WWWW[[#This Row],[Site Name]],SiteDB6[[Site Name]:[Pop
(Kachin/Shan-CCCM as of May 2023)]],16,FALSE)</f>
        <v>32</v>
      </c>
      <c r="EU356" s="418">
        <f>VLOOKUP(WWWW[[#This Row],[Site Name]],SiteDB6[[Site Name]:[Pop
(Kachin/Shan-CCCM as of May 2023)]],17,FALSE)</f>
        <v>129</v>
      </c>
    </row>
    <row r="357" spans="1:151">
      <c r="A357" s="946" t="s">
        <v>2962</v>
      </c>
      <c r="B357" s="938" t="s">
        <v>3347</v>
      </c>
      <c r="C357" s="938" t="s">
        <v>3349</v>
      </c>
      <c r="D357" s="1005" t="s">
        <v>3095</v>
      </c>
      <c r="E357" s="1005" t="s">
        <v>37</v>
      </c>
      <c r="F357" s="1005" t="s">
        <v>142</v>
      </c>
      <c r="G357" s="902" t="str">
        <f>VLOOKUP(WWWW[[#This Row],[Site Name]],SiteDB6[[Site Name]:[Location Type]],8,FALSE)</f>
        <v>Camp</v>
      </c>
      <c r="H357" s="1005" t="s">
        <v>1606</v>
      </c>
      <c r="I357" s="954">
        <v>55</v>
      </c>
      <c r="J357" s="954">
        <v>267</v>
      </c>
      <c r="K357" s="955">
        <v>44811</v>
      </c>
      <c r="L357" s="956">
        <v>45175</v>
      </c>
      <c r="M357" s="954"/>
      <c r="N357" s="954">
        <v>1</v>
      </c>
      <c r="O357" s="954"/>
      <c r="P357" s="954"/>
      <c r="Q357" s="957" t="s">
        <v>41</v>
      </c>
      <c r="R357" s="954">
        <v>2</v>
      </c>
      <c r="S357" s="954">
        <v>2</v>
      </c>
      <c r="T357" s="441">
        <v>3</v>
      </c>
      <c r="U357" s="954"/>
      <c r="V357" s="976">
        <v>1</v>
      </c>
      <c r="W357" s="976"/>
      <c r="X357" s="441"/>
      <c r="Y357" s="954"/>
      <c r="Z357" s="954"/>
      <c r="AA357" s="954"/>
      <c r="AB357" s="954"/>
      <c r="AC357" s="954"/>
      <c r="AD357" s="954"/>
      <c r="AE357" s="954"/>
      <c r="AF357" s="954"/>
      <c r="AG357" s="954"/>
      <c r="AH357" s="954">
        <v>3</v>
      </c>
      <c r="AI357" s="954"/>
      <c r="AJ357" s="954"/>
      <c r="AK357" s="954"/>
      <c r="AL357" s="954"/>
      <c r="AM357" s="954"/>
      <c r="AN357" s="954"/>
      <c r="AO357" s="441"/>
      <c r="AP357" s="958"/>
      <c r="AQ357" s="976">
        <v>8</v>
      </c>
      <c r="AR357" s="954"/>
      <c r="AS357" s="959"/>
      <c r="AT357" s="954"/>
      <c r="AU357" s="954"/>
      <c r="AV357" s="954"/>
      <c r="AW357" s="954"/>
      <c r="AX357" s="954">
        <v>6</v>
      </c>
      <c r="AY357" s="953" t="s">
        <v>41</v>
      </c>
      <c r="AZ357" s="958" t="s">
        <v>137</v>
      </c>
      <c r="BA357" s="954"/>
      <c r="BB357" s="954"/>
      <c r="BC357" s="954"/>
      <c r="BD357" s="441"/>
      <c r="BE357" s="441"/>
      <c r="BF357" s="953"/>
      <c r="BG357" s="954">
        <v>3</v>
      </c>
      <c r="BH357" s="954"/>
      <c r="BI357" s="954"/>
      <c r="BJ357" s="954">
        <v>2</v>
      </c>
      <c r="BK357" s="954"/>
      <c r="BL357" s="954">
        <v>1</v>
      </c>
      <c r="BM357" s="954">
        <v>1</v>
      </c>
      <c r="BN357" s="954"/>
      <c r="BO357" s="954"/>
      <c r="BP357" s="953"/>
      <c r="BQ357" s="960"/>
      <c r="BR357" s="959"/>
      <c r="BS357" s="953"/>
      <c r="BT357" s="416"/>
      <c r="BU357" s="416"/>
      <c r="BV357" s="418"/>
      <c r="BW357" s="416"/>
      <c r="BX357" s="441"/>
      <c r="BY357" s="441"/>
      <c r="BZ357" s="441"/>
      <c r="CA357" s="441"/>
      <c r="CB357" s="441"/>
      <c r="CC357" s="693"/>
      <c r="CD357" s="441"/>
      <c r="CE357" s="961" t="str">
        <f>IFERROR(WWWW[[#This Row],['#_Water sources passed]]/WWWW[[#This Row],['#_Water sources tested for fecal coliform ]],"no test")</f>
        <v>no test</v>
      </c>
      <c r="CF357" s="959" t="str">
        <f>IFERROR(WWWW[[#This Row],['#_Household passed]]/WWWW[[#This Row],['#_Household water samples tested for fecal coliform]],"no test")</f>
        <v>no test</v>
      </c>
      <c r="CG357" s="960" t="str">
        <f>IF(AND(WWWW[[#This Row],[% of water sources passed]]="no test",WWWW[[#This Row],[% Household passed]]="no test"),"No Test","Tested")</f>
        <v>No Test</v>
      </c>
      <c r="CH357" s="960">
        <f>WWWW[[#This Row],['#_Constructed/existing protected hand dug well]]-WWWW[[#This Row],['#_Non-functional protected hand dug well]]</f>
        <v>3</v>
      </c>
      <c r="CI357" s="960">
        <f>(WWWW[[#This Row],['#_Constructed/Existing tube wells/boreholes/handpumps_WASH_agency]]+WWWW[[#This Row],['#_Non-Cluster partner water tube-wells/boreholes/handpumps]])-WWWW[[#This Row],['#_Non-functional tube wells/boreholes/handpumps]]</f>
        <v>0</v>
      </c>
      <c r="CJ357" s="960">
        <f>WWWW[[#This Row],['#_Constructed/Existingwater storage tank with gravity fed reticulation system]]-WWWW[[#This Row],['#_Non-functional storage tank gravity fed reticulation system]]</f>
        <v>0</v>
      </c>
      <c r="CK357" s="960">
        <f>(WWWW[[#This Row],['#_Water_Liters_supplied_by_Water boating or water trucking]]/90)/15</f>
        <v>0</v>
      </c>
      <c r="CL357" s="960">
        <f>WWWW[[#This Row],['#_Water_Liters_from_Constructed/Existing water distribution system from river or natural spring]]/90/15</f>
        <v>0</v>
      </c>
      <c r="CM357" s="417">
        <f>IF(WWWW[[#This Row],['#_of water points in TLS/CFS]]*500&gt;WWWW[[#This Row],[Total PoP ]],WWWW[[#This Row],[Total PoP ]],WWWW[[#This Row],['#_of water points in TLS/CFS]]*500)</f>
        <v>0</v>
      </c>
      <c r="CN357" s="417">
        <f>IF(WWWW[[#This Row],['#_of water points in THF]]*500&gt;WWWW[[#This Row],[Total PoP ]],WWWW[[#This Row],[Total PoP ]],WWWW[[#This Row],['#_of water points in THF]]*500)</f>
        <v>0</v>
      </c>
      <c r="CO357" s="417"/>
      <c r="CP357"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57"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57" s="959">
        <f>IF(WWWW[[#This Row],[Location Type 1]]="Village",WWWW[[#This Row],[Access to safe drinking water for Village]],WWWW[[#This Row],[Access to safe drinking water for Camp]])</f>
        <v>1</v>
      </c>
      <c r="CS357" s="957">
        <f>WWWW[[#This Row],[%Equitable and continuous access to sufficient quantity of safe drinking water]]*WWWW[[#This Row],[Total PoP ]]</f>
        <v>267</v>
      </c>
      <c r="CT357" s="959">
        <f>IF((WWWW[[#This Row],['#_Constructed/Existing protected/fenced ponds]]*250)/WWWW[[#This Row],[Total PoP ]]&gt;1,1,(WWWW[[#This Row],['#_Constructed/Existing protected/fenced ponds]]*250)/WWWW[[#This Row],[Total PoP ]])</f>
        <v>0</v>
      </c>
      <c r="CU357" s="957">
        <f>WWWW[[#This Row],[% Access to unimproved water points]]*WWWW[[#This Row],[Total PoP ]]</f>
        <v>0</v>
      </c>
      <c r="CV357"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57"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267</v>
      </c>
      <c r="CX357" s="957">
        <f>WWWW[[#This Row],[HRP1]]/500</f>
        <v>0.53400000000000003</v>
      </c>
      <c r="CY357" s="962">
        <f>1-WWWW[[#This Row],[% Equitable and continuous access to sufficient quantity of domestic water]]</f>
        <v>0</v>
      </c>
      <c r="CZ357" s="957">
        <f>WWWW[[#This Row],[%equitable and continuous access to sufficient quantity of safe drinking and domestic water''s GAP]]*WWWW[[#This Row],[Total PoP ]]</f>
        <v>0</v>
      </c>
      <c r="DA357" s="960">
        <f>IF(WWWW[[#This Row],[Total required water points]]-WWWW[[#This Row],['#Water points coverage]]&lt;0,0,WWWW[[#This Row],[Total required water points]]-WWWW[[#This Row],['#Water points coverage]])</f>
        <v>0.46599999999999997</v>
      </c>
      <c r="DB357" s="960">
        <f>ROUND(IF(WWWW[[#This Row],[Total PoP ]]&lt;500,1,WWWW[[#This Row],[Total PoP ]]/500),0)</f>
        <v>1</v>
      </c>
      <c r="DC357" s="960">
        <f>(WWWW[[#This Row],['#_Constructed latrines_by_WASHAgencies]]+WWWW[[#This Row],['#_Non Cluster partner latrines]])-WWWW[[#This Row],['#_Non-functional latrines]]</f>
        <v>8</v>
      </c>
      <c r="DD357" s="615">
        <f>WWWW[[#This Row],[HRP2]]/WWWW[[#This Row],[Total PoP ]]</f>
        <v>0.59925093632958804</v>
      </c>
      <c r="DE357"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160</v>
      </c>
      <c r="DF357"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57"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57" s="417">
        <f>IF(WWWW[[#This Row],['# of functional latrines in THF supported by WASH partners during the reporting period2]]="",0,WWWW[[#This Row],['# of functional latrines in THF supported by WASH partners during the reporting period2]]*50)</f>
        <v>0</v>
      </c>
      <c r="DI357" s="960">
        <f>ROUND(IF(WWWW[[#This Row],[Location Type 1]]="camp",WWWW[[#This Row],[Total PoP ]]/20,IF(WWWW[[#This Row],[Location Type 1]]="Temporary Location",WWWW[[#This Row],[Total PoP ]]/50,(WWWW[[#This Row],[Total PoP ]]/6))),0)</f>
        <v>13</v>
      </c>
      <c r="DJ357" s="960">
        <f>IF(WWWW[[#This Row],[Total required Latrines]]-(WWWW[[#This Row],['#_Constructed latrines_by_WASHAgencies]]+WWWW[[#This Row],['#_Non Cluster partner latrines]])&lt;0,0,WWWW[[#This Row],[Total required Latrines]]-(WWWW[[#This Row],['#_Constructed latrines_by_WASHAgencies]]+WWWW[[#This Row],['#_Non Cluster partner latrines]]))</f>
        <v>5</v>
      </c>
      <c r="DK357" s="962">
        <f>1-WWWW[[#This Row],[% people access to functioning Latrine]]</f>
        <v>0.40074906367041196</v>
      </c>
      <c r="DL357" s="961">
        <f>IF(OR(WWWW[[#This Row],['#_Non-functional latrines]]="",WWWW[[#This Row],['#_Non-functional latrines]]=0),0,WWWW[[#This Row],['#_Non-functional latrines]]/(WWWW[[#This Row],['#_Constructed latrines_by_WASHAgencies]]+WWWW[[#This Row],['#_Non Cluster partner latrines]]))</f>
        <v>0</v>
      </c>
      <c r="DM357" s="957">
        <f>IF(500*(WWWW[[#This Row],['#_male hygiene promoters]]+WWWW[[#This Row],['#_female hygiene promoters]])&gt;WWWW[[#This Row],[Total PoP ]],WWWW[[#This Row],[Total PoP ]],500*(WWWW[[#This Row],['#_male hygiene promoters]]+WWWW[[#This Row],['#_female hygiene promoters]]))</f>
        <v>267</v>
      </c>
      <c r="DN357"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57"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57" s="960">
        <f>IF(WWWW[[#This Row],['# People with access to soap]]&gt;WWWW[[#This Row],['# People with access to Sanity Pads]],WWWW[[#This Row],['# People with access to soap]],WWWW[[#This Row],['# People with access to Sanity Pads]])</f>
        <v>0</v>
      </c>
      <c r="DQ357" s="960">
        <f>IF(WWWW[[#This Row],['# people reached by regular dedicated hygiene promotion_5]]&gt;WWWW[[#This Row],['# People received regular supply of hygiene items_6]],WWWW[[#This Row],['# people reached by regular dedicated hygiene promotion_5]],WWWW[[#This Row],['# People received regular supply of hygiene items_6]])</f>
        <v>267</v>
      </c>
      <c r="DR357" s="962">
        <f>IF(WWWW[[#This Row],[HRP3]]/WWWW[[#This Row],[Total PoP ]]&gt;1,1,WWWW[[#This Row],[HRP3]]/WWWW[[#This Row],[Total PoP ]])</f>
        <v>1</v>
      </c>
      <c r="DS357" s="961">
        <f>1-WWWW[[#This Row],[Hygiene Coverage%]]</f>
        <v>0</v>
      </c>
      <c r="DT357" s="959">
        <f>WWWW[[#This Row],['# people reached by regular dedicated hygiene promotion_5]]/WWWW[[#This Row],[Total PoP ]]</f>
        <v>1</v>
      </c>
      <c r="DU357"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57"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57" s="960">
        <f>WWWW[[#This Row],['#_Constructed/Existing hand washing stations]]-WWWW[[#This Row],['#_Non-Functional_hand_washing_stations]]</f>
        <v>3</v>
      </c>
      <c r="DX357" s="957">
        <f>IF(WWWW[[#This Row],['# Functional hand washing stations during reporting period]]*20&gt;WWWW[[#This Row],[Total HH]],WWWW[[#This Row],[Total HH]],WWWW[[#This Row],['# Functional hand washing stations during reporting period]]*20)</f>
        <v>55</v>
      </c>
      <c r="DY357" s="957">
        <f>IF(WWWW[[#This Row],[Is sufficient soap available for TLS? (Yes/No)]]="yes",WWWW[[#This Row],['#_Constructed/Existing hand washing stations at TLS/CFS/THF]],0)</f>
        <v>0</v>
      </c>
      <c r="DZ357" s="421">
        <f>IF(WWWW[[#This Row],['# Functional hand washing stations during reporting period]]*100&gt;WWWW[[#This Row],[Total PoP ]],WWWW[[#This Row],[Total PoP ]],WWWW[[#This Row],['# Functional hand washing stations during reporting period]]*100)</f>
        <v>267</v>
      </c>
      <c r="EA357" s="421" t="str">
        <f>IF(OR(WWWW[[#This Row],['#_students at TLS_CFS]]="",WWWW[[#This Row],['#_students at TLS_CFS]]=0),"No","Yes")</f>
        <v>No</v>
      </c>
      <c r="EB35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57" s="566">
        <f>WWWW[[#This Row],[%_of_affected_people_surveyed_who_report_feeling_satistfied_with_the_latrine_design_and_sanitation_service]]*WWWW[[#This Row],[Total PoP ]]</f>
        <v>0</v>
      </c>
      <c r="ED357" s="566">
        <f>WWWW[[#This Row],[%_of_affected_people_surveyed_who_report_feeling_satistfied_with_the_water_point_design_and_water_service]]*WWWW[[#This Row],[Total PoP ]]</f>
        <v>0</v>
      </c>
      <c r="EE357" s="566">
        <f>WWWW[[#This Row],[%_of_complaints_received_that_result_in_timely_corrective_action_and_feedback_to_the_community]]*WWWW[[#This Row],[Total PoP ]]</f>
        <v>0</v>
      </c>
      <c r="EF35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5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5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57" s="953" t="str">
        <f>VLOOKUP(WWWW[[#This Row],[Site Name]],SiteDB6[[Site Name]:[CCCM Management]],6,FALSE)</f>
        <v>Yes</v>
      </c>
      <c r="EJ357" s="953" t="str">
        <f>VLOOKUP(WWWW[[#This Row],[Site Name]],SiteDB6[[Site Name]:[CCCM Focal Agency]],7,FALSE)</f>
        <v>KBC-MYT</v>
      </c>
      <c r="EK357" s="953" t="str">
        <f>VLOOKUP(WWWW[[#This Row],[Site Name]],SiteDB6[[Site Name]:[Location Type 1]],9,FALSE)</f>
        <v>Camp</v>
      </c>
      <c r="EL357" s="953" t="str">
        <f>VLOOKUP(WWWW[[#This Row],[Site Name]],SiteDB6[[Site Name]:[Type of Accommodation]],10,FALSE)</f>
        <v>Camp</v>
      </c>
      <c r="EM357" s="953" t="str">
        <f>VLOOKUP(WWWW[[#This Row],[Site Name]],SiteDB6[[Site Name]:[Ethnic or GCA/NGCA]],11,FALSE)</f>
        <v>GCA</v>
      </c>
      <c r="EN357" s="953">
        <f>VLOOKUP(WWWW[[#This Row],[Site Name]],SiteDB6[[Site Name]:[Lat]],12,FALSE)</f>
        <v>25.350989999999999</v>
      </c>
      <c r="EO357" s="953">
        <f>VLOOKUP(WWWW[[#This Row],[Site Name]],SiteDB6[[Site Name]:[Long]],13,FALSE)</f>
        <v>97.442809999999994</v>
      </c>
      <c r="EP357" s="953" t="str">
        <f>VLOOKUP(WWWW[[#This Row],[Site Name]],SiteDB6[[Site Name]:[Pcode]],3,FALSE)</f>
        <v>MMR001CMP269</v>
      </c>
      <c r="EQ357" s="958" t="str">
        <f t="shared" si="8"/>
        <v>Covered</v>
      </c>
      <c r="ER357" s="950" t="s">
        <v>3126</v>
      </c>
      <c r="ES357" s="950" t="s">
        <v>3267</v>
      </c>
      <c r="ET357" s="953">
        <f>VLOOKUP(WWWW[[#This Row],[Site Name]],SiteDB6[[Site Name]:[Pop
(Kachin/Shan-CCCM as of May 2023)]],16,FALSE)</f>
        <v>81</v>
      </c>
      <c r="EU357" s="953">
        <f>VLOOKUP(WWWW[[#This Row],[Site Name]],SiteDB6[[Site Name]:[Pop
(Kachin/Shan-CCCM as of May 2023)]],17,FALSE)</f>
        <v>387</v>
      </c>
    </row>
    <row r="358" spans="1:151">
      <c r="A358" s="946" t="s">
        <v>2962</v>
      </c>
      <c r="B358" s="946" t="s">
        <v>242</v>
      </c>
      <c r="C358" s="938" t="s">
        <v>242</v>
      </c>
      <c r="D358" s="938" t="s">
        <v>3184</v>
      </c>
      <c r="E358" s="938" t="s">
        <v>37</v>
      </c>
      <c r="F358" s="938" t="s">
        <v>142</v>
      </c>
      <c r="G358" s="902" t="str">
        <f>VLOOKUP(WWWW[[#This Row],[Site Name]],SiteDB6[[Site Name]:[Location Type]],8,FALSE)</f>
        <v>Camp</v>
      </c>
      <c r="H358" s="938" t="s">
        <v>275</v>
      </c>
      <c r="I358" s="441">
        <v>76</v>
      </c>
      <c r="J358" s="441">
        <v>319</v>
      </c>
      <c r="K358" s="948">
        <v>44927</v>
      </c>
      <c r="L358" s="949">
        <v>45382</v>
      </c>
      <c r="M358" s="441"/>
      <c r="N358" s="441"/>
      <c r="O358" s="441">
        <v>1</v>
      </c>
      <c r="P358" s="441"/>
      <c r="Q358" s="421" t="s">
        <v>41</v>
      </c>
      <c r="R358" s="441">
        <v>1</v>
      </c>
      <c r="S358" s="441">
        <v>4</v>
      </c>
      <c r="T358" s="441">
        <v>2</v>
      </c>
      <c r="U358" s="441">
        <v>1</v>
      </c>
      <c r="V358" s="441"/>
      <c r="W358" s="441">
        <v>1</v>
      </c>
      <c r="X358" s="441"/>
      <c r="Y358" s="441"/>
      <c r="Z358" s="441"/>
      <c r="AA358" s="441"/>
      <c r="AB358" s="441"/>
      <c r="AC358" s="441"/>
      <c r="AD358" s="441"/>
      <c r="AE358" s="441"/>
      <c r="AF358" s="441"/>
      <c r="AG358" s="441"/>
      <c r="AH358" s="441"/>
      <c r="AI358" s="441"/>
      <c r="AJ358" s="441"/>
      <c r="AK358" s="441"/>
      <c r="AL358" s="441"/>
      <c r="AM358" s="441">
        <v>1</v>
      </c>
      <c r="AN358" s="441">
        <v>1</v>
      </c>
      <c r="AO358" s="441"/>
      <c r="AP358" s="950" t="s">
        <v>3197</v>
      </c>
      <c r="AQ358" s="441">
        <v>9</v>
      </c>
      <c r="AR358" s="441"/>
      <c r="AS358" s="416" t="s">
        <v>3193</v>
      </c>
      <c r="AT358" s="441"/>
      <c r="AU358" s="441"/>
      <c r="AV358" s="441"/>
      <c r="AW358" s="441"/>
      <c r="AX358" s="441"/>
      <c r="AY358" s="418" t="s">
        <v>41</v>
      </c>
      <c r="AZ358" s="950" t="s">
        <v>137</v>
      </c>
      <c r="BA358" s="441"/>
      <c r="BB358" s="441"/>
      <c r="BC358" s="441"/>
      <c r="BD358" s="441"/>
      <c r="BE358" s="441"/>
      <c r="BF358" s="418"/>
      <c r="BG358" s="441">
        <v>5</v>
      </c>
      <c r="BH358" s="441"/>
      <c r="BI358" s="441"/>
      <c r="BJ358" s="441">
        <v>3</v>
      </c>
      <c r="BK358" s="441"/>
      <c r="BL358" s="441">
        <v>1</v>
      </c>
      <c r="BM358" s="441"/>
      <c r="BN358" s="441">
        <v>68</v>
      </c>
      <c r="BO358" s="441"/>
      <c r="BP358" s="418" t="s">
        <v>41</v>
      </c>
      <c r="BQ358" s="417">
        <v>1</v>
      </c>
      <c r="BR358" s="416">
        <v>0.5</v>
      </c>
      <c r="BS358" s="418"/>
      <c r="BT358" s="416">
        <v>0.96</v>
      </c>
      <c r="BU358" s="416">
        <v>0.9</v>
      </c>
      <c r="BV358" s="418">
        <v>100</v>
      </c>
      <c r="BW358" s="416">
        <v>0.99</v>
      </c>
      <c r="BX358" s="441"/>
      <c r="BY358" s="441"/>
      <c r="BZ358" s="441"/>
      <c r="CA358" s="441"/>
      <c r="CB358" s="441"/>
      <c r="CC358" s="693"/>
      <c r="CD358" s="441"/>
      <c r="CE358" s="615" t="str">
        <f>IFERROR(WWWW[[#This Row],['#_Water sources passed]]/WWWW[[#This Row],['#_Water sources tested for fecal coliform ]],"no test")</f>
        <v>no test</v>
      </c>
      <c r="CF358" s="416" t="str">
        <f>IFERROR(WWWW[[#This Row],['#_Household passed]]/WWWW[[#This Row],['#_Household water samples tested for fecal coliform]],"no test")</f>
        <v>no test</v>
      </c>
      <c r="CG358" s="417" t="str">
        <f>IF(AND(WWWW[[#This Row],[% of water sources passed]]="no test",WWWW[[#This Row],[% Household passed]]="no test"),"No Test","Tested")</f>
        <v>No Test</v>
      </c>
      <c r="CH358" s="417">
        <f>WWWW[[#This Row],['#_Constructed/existing protected hand dug well]]-WWWW[[#This Row],['#_Non-functional protected hand dug well]]</f>
        <v>1</v>
      </c>
      <c r="CI358" s="417">
        <f>(WWWW[[#This Row],['#_Constructed/Existing tube wells/boreholes/handpumps_WASH_agency]]+WWWW[[#This Row],['#_Non-Cluster partner water tube-wells/boreholes/handpumps]])-WWWW[[#This Row],['#_Non-functional tube wells/boreholes/handpumps]]</f>
        <v>1</v>
      </c>
      <c r="CJ358" s="417">
        <f>WWWW[[#This Row],['#_Constructed/Existingwater storage tank with gravity fed reticulation system]]-WWWW[[#This Row],['#_Non-functional storage tank gravity fed reticulation system]]</f>
        <v>0</v>
      </c>
      <c r="CK358" s="417">
        <f>(WWWW[[#This Row],['#_Water_Liters_supplied_by_Water boating or water trucking]]/90)/15</f>
        <v>0</v>
      </c>
      <c r="CL358" s="417">
        <f>WWWW[[#This Row],['#_Water_Liters_from_Constructed/Existing water distribution system from river or natural spring]]/90/15</f>
        <v>0</v>
      </c>
      <c r="CM358" s="417">
        <f>IF(WWWW[[#This Row],['#_of water points in TLS/CFS]]*500&gt;WWWW[[#This Row],[Total PoP ]],WWWW[[#This Row],[Total PoP ]],WWWW[[#This Row],['#_of water points in TLS/CFS]]*500)</f>
        <v>319</v>
      </c>
      <c r="CN358" s="417">
        <f>IF(WWWW[[#This Row],['#_of water points in THF]]*500&gt;WWWW[[#This Row],[Total PoP ]],WWWW[[#This Row],[Total PoP ]],WWWW[[#This Row],['#_of water points in THF]]*500)</f>
        <v>0</v>
      </c>
      <c r="CO358" s="417"/>
      <c r="CP358"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58"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58" s="416">
        <f>IF(WWWW[[#This Row],[Location Type 1]]="Village",WWWW[[#This Row],[Access to safe drinking water for Village]],WWWW[[#This Row],[Access to safe drinking water for Camp]])</f>
        <v>1</v>
      </c>
      <c r="CS358" s="421">
        <f>WWWW[[#This Row],[%Equitable and continuous access to sufficient quantity of safe drinking water]]*WWWW[[#This Row],[Total PoP ]]</f>
        <v>319</v>
      </c>
      <c r="CT358" s="416">
        <f>IF((WWWW[[#This Row],['#_Constructed/Existing protected/fenced ponds]]*250)/WWWW[[#This Row],[Total PoP ]]&gt;1,1,(WWWW[[#This Row],['#_Constructed/Existing protected/fenced ponds]]*250)/WWWW[[#This Row],[Total PoP ]])</f>
        <v>0</v>
      </c>
      <c r="CU358" s="421">
        <f>WWWW[[#This Row],[% Access to unimproved water points]]*WWWW[[#This Row],[Total PoP ]]</f>
        <v>0</v>
      </c>
      <c r="CV358"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58"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319</v>
      </c>
      <c r="CX358" s="421">
        <f>WWWW[[#This Row],[HRP1]]/500</f>
        <v>0.63800000000000001</v>
      </c>
      <c r="CY358" s="951">
        <f>1-WWWW[[#This Row],[% Equitable and continuous access to sufficient quantity of domestic water]]</f>
        <v>0</v>
      </c>
      <c r="CZ358" s="421">
        <f>WWWW[[#This Row],[%equitable and continuous access to sufficient quantity of safe drinking and domestic water''s GAP]]*WWWW[[#This Row],[Total PoP ]]</f>
        <v>0</v>
      </c>
      <c r="DA358" s="417">
        <f>IF(WWWW[[#This Row],[Total required water points]]-WWWW[[#This Row],['#Water points coverage]]&lt;0,0,WWWW[[#This Row],[Total required water points]]-WWWW[[#This Row],['#Water points coverage]])</f>
        <v>0.36199999999999999</v>
      </c>
      <c r="DB358" s="417">
        <f>ROUND(IF(WWWW[[#This Row],[Total PoP ]]&lt;500,1,WWWW[[#This Row],[Total PoP ]]/500),0)</f>
        <v>1</v>
      </c>
      <c r="DC358" s="417">
        <f>(WWWW[[#This Row],['#_Constructed latrines_by_WASHAgencies]]+WWWW[[#This Row],['#_Non Cluster partner latrines]])-WWWW[[#This Row],['#_Non-functional latrines]]</f>
        <v>9</v>
      </c>
      <c r="DD358" s="615">
        <f>WWWW[[#This Row],[HRP2]]/WWWW[[#This Row],[Total PoP ]]</f>
        <v>0.56426332288401249</v>
      </c>
      <c r="DE358"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180</v>
      </c>
      <c r="DF358"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58"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58" s="417">
        <f>IF(WWWW[[#This Row],['# of functional latrines in THF supported by WASH partners during the reporting period2]]="",0,WWWW[[#This Row],['# of functional latrines in THF supported by WASH partners during the reporting period2]]*50)</f>
        <v>0</v>
      </c>
      <c r="DI358" s="417">
        <f>ROUND(IF(WWWW[[#This Row],[Location Type 1]]="camp",WWWW[[#This Row],[Total PoP ]]/20,IF(WWWW[[#This Row],[Location Type 1]]="Temporary Location",WWWW[[#This Row],[Total PoP ]]/50,(WWWW[[#This Row],[Total PoP ]]/6))),0)</f>
        <v>16</v>
      </c>
      <c r="DJ358" s="417">
        <f>IF(WWWW[[#This Row],[Total required Latrines]]-(WWWW[[#This Row],['#_Constructed latrines_by_WASHAgencies]]+WWWW[[#This Row],['#_Non Cluster partner latrines]])&lt;0,0,WWWW[[#This Row],[Total required Latrines]]-(WWWW[[#This Row],['#_Constructed latrines_by_WASHAgencies]]+WWWW[[#This Row],['#_Non Cluster partner latrines]]))</f>
        <v>7</v>
      </c>
      <c r="DK358" s="951">
        <f>1-WWWW[[#This Row],[% people access to functioning Latrine]]</f>
        <v>0.43573667711598751</v>
      </c>
      <c r="DL358" s="615">
        <f>IF(OR(WWWW[[#This Row],['#_Non-functional latrines]]="",WWWW[[#This Row],['#_Non-functional latrines]]=0),0,WWWW[[#This Row],['#_Non-functional latrines]]/(WWWW[[#This Row],['#_Constructed latrines_by_WASHAgencies]]+WWWW[[#This Row],['#_Non Cluster partner latrines]]))</f>
        <v>0</v>
      </c>
      <c r="DM358" s="421">
        <f>IF(500*(WWWW[[#This Row],['#_male hygiene promoters]]+WWWW[[#This Row],['#_female hygiene promoters]])&gt;WWWW[[#This Row],[Total PoP ]],WWWW[[#This Row],[Total PoP ]],500*(WWWW[[#This Row],['#_male hygiene promoters]]+WWWW[[#This Row],['#_female hygiene promoters]]))</f>
        <v>319</v>
      </c>
      <c r="DN358"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319</v>
      </c>
      <c r="DO358"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58" s="417">
        <f>IF(WWWW[[#This Row],['# People with access to soap]]&gt;WWWW[[#This Row],['# People with access to Sanity Pads]],WWWW[[#This Row],['# People with access to soap]],WWWW[[#This Row],['# People with access to Sanity Pads]])</f>
        <v>319</v>
      </c>
      <c r="DQ358" s="417">
        <f>IF(WWWW[[#This Row],['# people reached by regular dedicated hygiene promotion_5]]&gt;WWWW[[#This Row],['# People received regular supply of hygiene items_6]],WWWW[[#This Row],['# people reached by regular dedicated hygiene promotion_5]],WWWW[[#This Row],['# People received regular supply of hygiene items_6]])</f>
        <v>319</v>
      </c>
      <c r="DR358" s="951">
        <f>IF(WWWW[[#This Row],[HRP3]]/WWWW[[#This Row],[Total PoP ]]&gt;1,1,WWWW[[#This Row],[HRP3]]/WWWW[[#This Row],[Total PoP ]])</f>
        <v>1</v>
      </c>
      <c r="DS358" s="615">
        <f>1-WWWW[[#This Row],[Hygiene Coverage%]]</f>
        <v>0</v>
      </c>
      <c r="DT358" s="416">
        <f>WWWW[[#This Row],['# people reached by regular dedicated hygiene promotion_5]]/WWWW[[#This Row],[Total PoP ]]</f>
        <v>1</v>
      </c>
      <c r="DU358"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358"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58" s="417">
        <f>WWWW[[#This Row],['#_Constructed/Existing hand washing stations]]-WWWW[[#This Row],['#_Non-Functional_hand_washing_stations]]</f>
        <v>5</v>
      </c>
      <c r="DX358" s="421">
        <f>IF(WWWW[[#This Row],['# Functional hand washing stations during reporting period]]*20&gt;WWWW[[#This Row],[Total HH]],WWWW[[#This Row],[Total HH]],WWWW[[#This Row],['# Functional hand washing stations during reporting period]]*20)</f>
        <v>76</v>
      </c>
      <c r="DY358" s="421">
        <f>IF(WWWW[[#This Row],[Is sufficient soap available for TLS? (Yes/No)]]="yes",WWWW[[#This Row],['#_Constructed/Existing hand washing stations at TLS/CFS/THF]],0)</f>
        <v>1</v>
      </c>
      <c r="DZ358" s="421">
        <f>IF(WWWW[[#This Row],['# Functional hand washing stations during reporting period]]*100&gt;WWWW[[#This Row],[Total PoP ]],WWWW[[#This Row],[Total PoP ]],WWWW[[#This Row],['# Functional hand washing stations during reporting period]]*100)</f>
        <v>319</v>
      </c>
      <c r="EA358" s="421" t="str">
        <f>IF(OR(WWWW[[#This Row],['#_students at TLS_CFS]]="",WWWW[[#This Row],['#_students at TLS_CFS]]=0),"No","Yes")</f>
        <v>No</v>
      </c>
      <c r="EB358" s="615">
        <f>IF(WWWW[[#This Row],['#_of_affected_people_surveyed_who_report_feeling_informed_about_the_different_WASH_services_available_to_them]]="","",WWWW[[#This Row],['#_of_affected_people_surveyed_who_report_feeling_informed_about_the_different_WASH_services_available_to_them]]/WWWW[[#This Row],[Total PoP ]])</f>
        <v>0.31347962382445144</v>
      </c>
      <c r="EC358" s="566">
        <f>WWWW[[#This Row],[%_of_affected_people_surveyed_who_report_feeling_satistfied_with_the_latrine_design_and_sanitation_service]]*WWWW[[#This Row],[Total PoP ]]</f>
        <v>306.24</v>
      </c>
      <c r="ED358" s="566">
        <f>WWWW[[#This Row],[%_of_affected_people_surveyed_who_report_feeling_satistfied_with_the_water_point_design_and_water_service]]*WWWW[[#This Row],[Total PoP ]]</f>
        <v>287.10000000000002</v>
      </c>
      <c r="EE358" s="566">
        <f>WWWW[[#This Row],[%_of_complaints_received_that_result_in_timely_corrective_action_and_feedback_to_the_community]]*WWWW[[#This Row],[Total PoP ]]</f>
        <v>315.81</v>
      </c>
      <c r="EF35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315.81</v>
      </c>
      <c r="EG35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319</v>
      </c>
      <c r="EH35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58" s="418" t="str">
        <f>VLOOKUP(WWWW[[#This Row],[Site Name]],SiteDB6[[Site Name]:[CCCM Management]],6,FALSE)</f>
        <v>Yes</v>
      </c>
      <c r="EJ358" s="418" t="str">
        <f>VLOOKUP(WWWW[[#This Row],[Site Name]],SiteDB6[[Site Name]:[CCCM Focal Agency]],7,FALSE)</f>
        <v>Shalom</v>
      </c>
      <c r="EK358" s="418" t="str">
        <f>VLOOKUP(WWWW[[#This Row],[Site Name]],SiteDB6[[Site Name]:[Location Type 1]],9,FALSE)</f>
        <v>Camp</v>
      </c>
      <c r="EL358" s="418" t="str">
        <f>VLOOKUP(WWWW[[#This Row],[Site Name]],SiteDB6[[Site Name]:[Type of Accommodation]],10,FALSE)</f>
        <v>Camp</v>
      </c>
      <c r="EM358" s="418" t="str">
        <f>VLOOKUP(WWWW[[#This Row],[Site Name]],SiteDB6[[Site Name]:[Ethnic or GCA/NGCA]],11,FALSE)</f>
        <v>GCA</v>
      </c>
      <c r="EN358" s="418">
        <f>VLOOKUP(WWWW[[#This Row],[Site Name]],SiteDB6[[Site Name]:[Lat]],12,FALSE)</f>
        <v>25.351250396825399</v>
      </c>
      <c r="EO358" s="418">
        <f>VLOOKUP(WWWW[[#This Row],[Site Name]],SiteDB6[[Site Name]:[Long]],13,FALSE)</f>
        <v>97.444283730158702</v>
      </c>
      <c r="EP358" s="418" t="str">
        <f>VLOOKUP(WWWW[[#This Row],[Site Name]],SiteDB6[[Site Name]:[Pcode]],3,FALSE)</f>
        <v>MMR001CMP038</v>
      </c>
      <c r="EQ358" s="950" t="str">
        <f t="shared" si="8"/>
        <v>Covered</v>
      </c>
      <c r="ER358" s="950" t="s">
        <v>136</v>
      </c>
      <c r="ES358" s="950" t="s">
        <v>3265</v>
      </c>
      <c r="ET358" s="418">
        <f>VLOOKUP(WWWW[[#This Row],[Site Name]],SiteDB6[[Site Name]:[Pop
(Kachin/Shan-CCCM as of May 2023)]],16,FALSE)</f>
        <v>76</v>
      </c>
      <c r="EU358" s="418">
        <f>VLOOKUP(WWWW[[#This Row],[Site Name]],SiteDB6[[Site Name]:[Pop
(Kachin/Shan-CCCM as of May 2023)]],17,FALSE)</f>
        <v>321</v>
      </c>
    </row>
    <row r="359" spans="1:151">
      <c r="A359" s="946" t="s">
        <v>2962</v>
      </c>
      <c r="B359" s="946" t="s">
        <v>309</v>
      </c>
      <c r="C359" s="938" t="s">
        <v>309</v>
      </c>
      <c r="D359" s="938"/>
      <c r="E359" s="938" t="s">
        <v>37</v>
      </c>
      <c r="F359" s="938" t="s">
        <v>142</v>
      </c>
      <c r="G359" s="902" t="str">
        <f>VLOOKUP(WWWW[[#This Row],[Site Name]],SiteDB6[[Site Name]:[Location Type]],8,FALSE)</f>
        <v>Camp</v>
      </c>
      <c r="H359" s="938" t="s">
        <v>2705</v>
      </c>
      <c r="I359" s="441">
        <v>27</v>
      </c>
      <c r="J359" s="441">
        <v>139</v>
      </c>
      <c r="K359" s="948"/>
      <c r="L359" s="949"/>
      <c r="M359" s="441"/>
      <c r="N359" s="441"/>
      <c r="O359" s="441"/>
      <c r="P359" s="441"/>
      <c r="Q359" s="421"/>
      <c r="R359" s="441"/>
      <c r="S359" s="441"/>
      <c r="T359" s="441"/>
      <c r="U359" s="441"/>
      <c r="V359" s="441"/>
      <c r="W359" s="441"/>
      <c r="X359" s="441"/>
      <c r="Y359" s="441"/>
      <c r="Z359" s="441"/>
      <c r="AA359" s="441"/>
      <c r="AB359" s="441"/>
      <c r="AC359" s="441"/>
      <c r="AD359" s="441"/>
      <c r="AE359" s="441"/>
      <c r="AF359" s="441"/>
      <c r="AG359" s="441"/>
      <c r="AH359" s="441"/>
      <c r="AI359" s="441"/>
      <c r="AJ359" s="441"/>
      <c r="AK359" s="441"/>
      <c r="AL359" s="441"/>
      <c r="AM359" s="441"/>
      <c r="AN359" s="441"/>
      <c r="AO359" s="441"/>
      <c r="AP359" s="950"/>
      <c r="AQ359" s="441"/>
      <c r="AR359" s="441"/>
      <c r="AS359" s="416"/>
      <c r="AT359" s="441"/>
      <c r="AU359" s="441"/>
      <c r="AV359" s="441"/>
      <c r="AW359" s="441"/>
      <c r="AX359" s="441"/>
      <c r="AY359" s="418" t="s">
        <v>140</v>
      </c>
      <c r="AZ359" s="950" t="s">
        <v>140</v>
      </c>
      <c r="BA359" s="441"/>
      <c r="BB359" s="441"/>
      <c r="BC359" s="441"/>
      <c r="BD359" s="441"/>
      <c r="BE359" s="441"/>
      <c r="BF359" s="418"/>
      <c r="BG359" s="441">
        <v>7</v>
      </c>
      <c r="BH359" s="441"/>
      <c r="BI359" s="441"/>
      <c r="BJ359" s="441">
        <v>7</v>
      </c>
      <c r="BK359" s="441"/>
      <c r="BL359" s="441"/>
      <c r="BM359" s="441"/>
      <c r="BN359" s="441"/>
      <c r="BO359" s="441"/>
      <c r="BP359" s="418"/>
      <c r="BQ359" s="417"/>
      <c r="BR359" s="416"/>
      <c r="BS359" s="418"/>
      <c r="BT359" s="416"/>
      <c r="BU359" s="416"/>
      <c r="BV359" s="418"/>
      <c r="BW359" s="416"/>
      <c r="BX359" s="441"/>
      <c r="BY359" s="441"/>
      <c r="BZ359" s="441"/>
      <c r="CA359" s="441"/>
      <c r="CB359" s="441"/>
      <c r="CC359" s="693"/>
      <c r="CD359" s="441"/>
      <c r="CE359" s="615" t="str">
        <f>IFERROR(WWWW[[#This Row],['#_Water sources passed]]/WWWW[[#This Row],['#_Water sources tested for fecal coliform ]],"no test")</f>
        <v>no test</v>
      </c>
      <c r="CF359" s="416" t="str">
        <f>IFERROR(WWWW[[#This Row],['#_Household passed]]/WWWW[[#This Row],['#_Household water samples tested for fecal coliform]],"no test")</f>
        <v>no test</v>
      </c>
      <c r="CG359" s="417" t="str">
        <f>IF(AND(WWWW[[#This Row],[% of water sources passed]]="no test",WWWW[[#This Row],[% Household passed]]="no test"),"No Test","Tested")</f>
        <v>No Test</v>
      </c>
      <c r="CH359" s="417">
        <f>WWWW[[#This Row],['#_Constructed/existing protected hand dug well]]-WWWW[[#This Row],['#_Non-functional protected hand dug well]]</f>
        <v>0</v>
      </c>
      <c r="CI359" s="417">
        <f>(WWWW[[#This Row],['#_Constructed/Existing tube wells/boreholes/handpumps_WASH_agency]]+WWWW[[#This Row],['#_Non-Cluster partner water tube-wells/boreholes/handpumps]])-WWWW[[#This Row],['#_Non-functional tube wells/boreholes/handpumps]]</f>
        <v>0</v>
      </c>
      <c r="CJ359" s="417">
        <f>WWWW[[#This Row],['#_Constructed/Existingwater storage tank with gravity fed reticulation system]]-WWWW[[#This Row],['#_Non-functional storage tank gravity fed reticulation system]]</f>
        <v>0</v>
      </c>
      <c r="CK359" s="417">
        <f>(WWWW[[#This Row],['#_Water_Liters_supplied_by_Water boating or water trucking]]/90)/15</f>
        <v>0</v>
      </c>
      <c r="CL359" s="417">
        <f>WWWW[[#This Row],['#_Water_Liters_from_Constructed/Existing water distribution system from river or natural spring]]/90/15</f>
        <v>0</v>
      </c>
      <c r="CM359" s="417">
        <f>IF(WWWW[[#This Row],['#_of water points in TLS/CFS]]*500&gt;WWWW[[#This Row],[Total PoP ]],WWWW[[#This Row],[Total PoP ]],WWWW[[#This Row],['#_of water points in TLS/CFS]]*500)</f>
        <v>0</v>
      </c>
      <c r="CN359" s="417">
        <f>IF(WWWW[[#This Row],['#_of water points in THF]]*500&gt;WWWW[[#This Row],[Total PoP ]],WWWW[[#This Row],[Total PoP ]],WWWW[[#This Row],['#_of water points in THF]]*500)</f>
        <v>0</v>
      </c>
      <c r="CO359" s="417"/>
      <c r="CP359"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59"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59" s="416">
        <f>IF(WWWW[[#This Row],[Location Type 1]]="Village",WWWW[[#This Row],[Access to safe drinking water for Village]],WWWW[[#This Row],[Access to safe drinking water for Camp]])</f>
        <v>0</v>
      </c>
      <c r="CS359" s="421">
        <f>WWWW[[#This Row],[%Equitable and continuous access to sufficient quantity of safe drinking water]]*WWWW[[#This Row],[Total PoP ]]</f>
        <v>0</v>
      </c>
      <c r="CT359" s="416">
        <f>IF((WWWW[[#This Row],['#_Constructed/Existing protected/fenced ponds]]*250)/WWWW[[#This Row],[Total PoP ]]&gt;1,1,(WWWW[[#This Row],['#_Constructed/Existing protected/fenced ponds]]*250)/WWWW[[#This Row],[Total PoP ]])</f>
        <v>0</v>
      </c>
      <c r="CU359" s="421">
        <f>WWWW[[#This Row],[% Access to unimproved water points]]*WWWW[[#This Row],[Total PoP ]]</f>
        <v>0</v>
      </c>
      <c r="CV359"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59"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59" s="421">
        <f>WWWW[[#This Row],[HRP1]]/500</f>
        <v>0</v>
      </c>
      <c r="CY359" s="951">
        <f>1-WWWW[[#This Row],[% Equitable and continuous access to sufficient quantity of domestic water]]</f>
        <v>1</v>
      </c>
      <c r="CZ359" s="421">
        <f>WWWW[[#This Row],[%equitable and continuous access to sufficient quantity of safe drinking and domestic water''s GAP]]*WWWW[[#This Row],[Total PoP ]]</f>
        <v>139</v>
      </c>
      <c r="DA359" s="417">
        <f>IF(WWWW[[#This Row],[Total required water points]]-WWWW[[#This Row],['#Water points coverage]]&lt;0,0,WWWW[[#This Row],[Total required water points]]-WWWW[[#This Row],['#Water points coverage]])</f>
        <v>1</v>
      </c>
      <c r="DB359" s="417">
        <f>ROUND(IF(WWWW[[#This Row],[Total PoP ]]&lt;500,1,WWWW[[#This Row],[Total PoP ]]/500),0)</f>
        <v>1</v>
      </c>
      <c r="DC359" s="417">
        <f>(WWWW[[#This Row],['#_Constructed latrines_by_WASHAgencies]]+WWWW[[#This Row],['#_Non Cluster partner latrines]])-WWWW[[#This Row],['#_Non-functional latrines]]</f>
        <v>0</v>
      </c>
      <c r="DD359" s="615">
        <f>WWWW[[#This Row],[HRP2]]/WWWW[[#This Row],[Total PoP ]]</f>
        <v>0</v>
      </c>
      <c r="DE359"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59"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59"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59" s="417">
        <f>IF(WWWW[[#This Row],['# of functional latrines in THF supported by WASH partners during the reporting period2]]="",0,WWWW[[#This Row],['# of functional latrines in THF supported by WASH partners during the reporting period2]]*50)</f>
        <v>0</v>
      </c>
      <c r="DI359" s="417">
        <f>ROUND(IF(WWWW[[#This Row],[Location Type 1]]="camp",WWWW[[#This Row],[Total PoP ]]/20,IF(WWWW[[#This Row],[Location Type 1]]="Temporary Location",WWWW[[#This Row],[Total PoP ]]/50,(WWWW[[#This Row],[Total PoP ]]/6))),0)</f>
        <v>7</v>
      </c>
      <c r="DJ359" s="417">
        <f>IF(WWWW[[#This Row],[Total required Latrines]]-(WWWW[[#This Row],['#_Constructed latrines_by_WASHAgencies]]+WWWW[[#This Row],['#_Non Cluster partner latrines]])&lt;0,0,WWWW[[#This Row],[Total required Latrines]]-(WWWW[[#This Row],['#_Constructed latrines_by_WASHAgencies]]+WWWW[[#This Row],['#_Non Cluster partner latrines]]))</f>
        <v>7</v>
      </c>
      <c r="DK359" s="951">
        <f>1-WWWW[[#This Row],[% people access to functioning Latrine]]</f>
        <v>1</v>
      </c>
      <c r="DL359" s="615">
        <f>IF(OR(WWWW[[#This Row],['#_Non-functional latrines]]="",WWWW[[#This Row],['#_Non-functional latrines]]=0),0,WWWW[[#This Row],['#_Non-functional latrines]]/(WWWW[[#This Row],['#_Constructed latrines_by_WASHAgencies]]+WWWW[[#This Row],['#_Non Cluster partner latrines]]))</f>
        <v>0</v>
      </c>
      <c r="DM359" s="421">
        <f>IF(500*(WWWW[[#This Row],['#_male hygiene promoters]]+WWWW[[#This Row],['#_female hygiene promoters]])&gt;WWWW[[#This Row],[Total PoP ]],WWWW[[#This Row],[Total PoP ]],500*(WWWW[[#This Row],['#_male hygiene promoters]]+WWWW[[#This Row],['#_female hygiene promoters]]))</f>
        <v>0</v>
      </c>
      <c r="DN359"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59"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59" s="417">
        <f>IF(WWWW[[#This Row],['# People with access to soap]]&gt;WWWW[[#This Row],['# People with access to Sanity Pads]],WWWW[[#This Row],['# People with access to soap]],WWWW[[#This Row],['# People with access to Sanity Pads]])</f>
        <v>0</v>
      </c>
      <c r="DQ359"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59" s="951">
        <f>IF(WWWW[[#This Row],[HRP3]]/WWWW[[#This Row],[Total PoP ]]&gt;1,1,WWWW[[#This Row],[HRP3]]/WWWW[[#This Row],[Total PoP ]])</f>
        <v>0</v>
      </c>
      <c r="DS359" s="615">
        <f>1-WWWW[[#This Row],[Hygiene Coverage%]]</f>
        <v>1</v>
      </c>
      <c r="DT359" s="416">
        <f>WWWW[[#This Row],['# people reached by regular dedicated hygiene promotion_5]]/WWWW[[#This Row],[Total PoP ]]</f>
        <v>0</v>
      </c>
      <c r="DU359"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59"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59" s="417">
        <f>WWWW[[#This Row],['#_Constructed/Existing hand washing stations]]-WWWW[[#This Row],['#_Non-Functional_hand_washing_stations]]</f>
        <v>7</v>
      </c>
      <c r="DX359" s="421">
        <f>IF(WWWW[[#This Row],['# Functional hand washing stations during reporting period]]*20&gt;WWWW[[#This Row],[Total HH]],WWWW[[#This Row],[Total HH]],WWWW[[#This Row],['# Functional hand washing stations during reporting period]]*20)</f>
        <v>27</v>
      </c>
      <c r="DY359" s="421">
        <f>IF(WWWW[[#This Row],[Is sufficient soap available for TLS? (Yes/No)]]="yes",WWWW[[#This Row],['#_Constructed/Existing hand washing stations at TLS/CFS/THF]],0)</f>
        <v>0</v>
      </c>
      <c r="DZ359" s="421">
        <f>IF(WWWW[[#This Row],['# Functional hand washing stations during reporting period]]*100&gt;WWWW[[#This Row],[Total PoP ]],WWWW[[#This Row],[Total PoP ]],WWWW[[#This Row],['# Functional hand washing stations during reporting period]]*100)</f>
        <v>139</v>
      </c>
      <c r="EA359" s="421" t="str">
        <f>IF(OR(WWWW[[#This Row],['#_students at TLS_CFS]]="",WWWW[[#This Row],['#_students at TLS_CFS]]=0),"No","Yes")</f>
        <v>No</v>
      </c>
      <c r="EB35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59" s="566">
        <f>WWWW[[#This Row],[%_of_affected_people_surveyed_who_report_feeling_satistfied_with_the_latrine_design_and_sanitation_service]]*WWWW[[#This Row],[Total PoP ]]</f>
        <v>0</v>
      </c>
      <c r="ED359" s="566">
        <f>WWWW[[#This Row],[%_of_affected_people_surveyed_who_report_feeling_satistfied_with_the_water_point_design_and_water_service]]*WWWW[[#This Row],[Total PoP ]]</f>
        <v>0</v>
      </c>
      <c r="EE359" s="566">
        <f>WWWW[[#This Row],[%_of_complaints_received_that_result_in_timely_corrective_action_and_feedback_to_the_community]]*WWWW[[#This Row],[Total PoP ]]</f>
        <v>0</v>
      </c>
      <c r="EF35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5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5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59" s="418">
        <f>VLOOKUP(WWWW[[#This Row],[Site Name]],SiteDB6[[Site Name]:[CCCM Management]],6,FALSE)</f>
        <v>0</v>
      </c>
      <c r="EJ359" s="418" t="str">
        <f>VLOOKUP(WWWW[[#This Row],[Site Name]],SiteDB6[[Site Name]:[CCCM Focal Agency]],7,FALSE)</f>
        <v xml:space="preserve">Uncovered  </v>
      </c>
      <c r="EK359" s="418" t="str">
        <f>VLOOKUP(WWWW[[#This Row],[Site Name]],SiteDB6[[Site Name]:[Location Type 1]],9,FALSE)</f>
        <v>Camp</v>
      </c>
      <c r="EL359" s="418" t="str">
        <f>VLOOKUP(WWWW[[#This Row],[Site Name]],SiteDB6[[Site Name]:[Type of Accommodation]],10,FALSE)</f>
        <v>Camp like setting</v>
      </c>
      <c r="EM359" s="418" t="str">
        <f>VLOOKUP(WWWW[[#This Row],[Site Name]],SiteDB6[[Site Name]:[Ethnic or GCA/NGCA]],11,FALSE)</f>
        <v>GCA</v>
      </c>
      <c r="EN359" s="418">
        <f>VLOOKUP(WWWW[[#This Row],[Site Name]],SiteDB6[[Site Name]:[Lat]],12,FALSE)</f>
        <v>25.211500000000001</v>
      </c>
      <c r="EO359" s="418">
        <f>VLOOKUP(WWWW[[#This Row],[Site Name]],SiteDB6[[Site Name]:[Long]],13,FALSE)</f>
        <v>97.261799999999994</v>
      </c>
      <c r="EP359" s="418" t="str">
        <f>VLOOKUP(WWWW[[#This Row],[Site Name]],SiteDB6[[Site Name]:[Pcode]],3,FALSE)</f>
        <v>MMR001CMP287</v>
      </c>
      <c r="EQ359" s="950" t="str">
        <f t="shared" si="8"/>
        <v>Notcovered</v>
      </c>
      <c r="ER359" s="950"/>
      <c r="ES359" s="950" t="s">
        <v>41</v>
      </c>
      <c r="ET359" s="418">
        <f>VLOOKUP(WWWW[[#This Row],[Site Name]],SiteDB6[[Site Name]:[Pop
(Kachin/Shan-CCCM as of May 2023)]],16,FALSE)</f>
        <v>24</v>
      </c>
      <c r="EU359" s="418">
        <f>VLOOKUP(WWWW[[#This Row],[Site Name]],SiteDB6[[Site Name]:[Pop
(Kachin/Shan-CCCM as of May 2023)]],17,FALSE)</f>
        <v>126</v>
      </c>
    </row>
    <row r="360" spans="1:151">
      <c r="A360" s="1004" t="s">
        <v>2962</v>
      </c>
      <c r="B360" s="1004" t="s">
        <v>192</v>
      </c>
      <c r="C360" s="1005" t="s">
        <v>192</v>
      </c>
      <c r="D360" s="1005" t="s">
        <v>3343</v>
      </c>
      <c r="E360" s="1005" t="s">
        <v>37</v>
      </c>
      <c r="F360" s="1005" t="s">
        <v>142</v>
      </c>
      <c r="G360" s="902" t="str">
        <f>VLOOKUP(WWWW[[#This Row],[Site Name]],SiteDB6[[Site Name]:[Location Type]],8,FALSE)</f>
        <v>Camp</v>
      </c>
      <c r="H360" s="1005" t="s">
        <v>221</v>
      </c>
      <c r="I360" s="954">
        <v>1350</v>
      </c>
      <c r="J360" s="954">
        <v>7394</v>
      </c>
      <c r="K360" s="955" t="s">
        <v>3344</v>
      </c>
      <c r="L360" s="956" t="s">
        <v>3335</v>
      </c>
      <c r="M360" s="954"/>
      <c r="N360" s="954"/>
      <c r="O360" s="954"/>
      <c r="P360" s="954"/>
      <c r="Q360" s="957" t="s">
        <v>41</v>
      </c>
      <c r="R360" s="954">
        <v>2</v>
      </c>
      <c r="S360" s="954">
        <v>2</v>
      </c>
      <c r="T360" s="441"/>
      <c r="U360" s="954"/>
      <c r="V360" s="954"/>
      <c r="W360" s="954"/>
      <c r="X360" s="954"/>
      <c r="Y360" s="954"/>
      <c r="Z360" s="954"/>
      <c r="AA360" s="954">
        <v>11</v>
      </c>
      <c r="AB360" s="954"/>
      <c r="AC360" s="954"/>
      <c r="AD360" s="954"/>
      <c r="AE360" s="954"/>
      <c r="AF360" s="954"/>
      <c r="AG360" s="954"/>
      <c r="AH360" s="954"/>
      <c r="AI360" s="954"/>
      <c r="AJ360" s="954"/>
      <c r="AK360" s="954"/>
      <c r="AL360" s="954"/>
      <c r="AM360" s="954">
        <v>6</v>
      </c>
      <c r="AN360" s="954">
        <v>3</v>
      </c>
      <c r="AO360" s="441"/>
      <c r="AP360" s="958"/>
      <c r="AQ360" s="954">
        <v>267</v>
      </c>
      <c r="AR360" s="954"/>
      <c r="AS360" s="959"/>
      <c r="AT360" s="954"/>
      <c r="AU360" s="971">
        <v>66</v>
      </c>
      <c r="AV360" s="954"/>
      <c r="AW360" s="954"/>
      <c r="AX360" s="954"/>
      <c r="AY360" s="953" t="s">
        <v>41</v>
      </c>
      <c r="AZ360" s="958" t="s">
        <v>137</v>
      </c>
      <c r="BA360" s="954"/>
      <c r="BB360" s="954"/>
      <c r="BC360" s="954"/>
      <c r="BD360" s="441"/>
      <c r="BE360" s="441"/>
      <c r="BF360" s="953"/>
      <c r="BG360" s="954">
        <v>1</v>
      </c>
      <c r="BH360" s="954"/>
      <c r="BI360" s="954"/>
      <c r="BJ360" s="954">
        <v>1</v>
      </c>
      <c r="BK360" s="954"/>
      <c r="BL360" s="954"/>
      <c r="BM360" s="954"/>
      <c r="BN360" s="971">
        <v>1350</v>
      </c>
      <c r="BO360" s="971">
        <v>1300</v>
      </c>
      <c r="BP360" s="953"/>
      <c r="BQ360" s="960"/>
      <c r="BR360" s="959"/>
      <c r="BS360" s="953"/>
      <c r="BT360" s="416"/>
      <c r="BU360" s="416"/>
      <c r="BV360" s="418"/>
      <c r="BW360" s="416"/>
      <c r="BX360" s="441">
        <v>20</v>
      </c>
      <c r="BY360" s="441"/>
      <c r="BZ360" s="441"/>
      <c r="CA360" s="441"/>
      <c r="CB360" s="441"/>
      <c r="CC360" s="693"/>
      <c r="CD360" s="441"/>
      <c r="CE360" s="961" t="str">
        <f>IFERROR(WWWW[[#This Row],['#_Water sources passed]]/WWWW[[#This Row],['#_Water sources tested for fecal coliform ]],"no test")</f>
        <v>no test</v>
      </c>
      <c r="CF360" s="959" t="str">
        <f>IFERROR(WWWW[[#This Row],['#_Household passed]]/WWWW[[#This Row],['#_Household water samples tested for fecal coliform]],"no test")</f>
        <v>no test</v>
      </c>
      <c r="CG360" s="960" t="str">
        <f>IF(AND(WWWW[[#This Row],[% of water sources passed]]="no test",WWWW[[#This Row],[% Household passed]]="no test"),"No Test","Tested")</f>
        <v>No Test</v>
      </c>
      <c r="CH360" s="960">
        <f>WWWW[[#This Row],['#_Constructed/existing protected hand dug well]]-WWWW[[#This Row],['#_Non-functional protected hand dug well]]</f>
        <v>0</v>
      </c>
      <c r="CI360" s="960">
        <f>(WWWW[[#This Row],['#_Constructed/Existing tube wells/boreholes/handpumps_WASH_agency]]+WWWW[[#This Row],['#_Non-Cluster partner water tube-wells/boreholes/handpumps]])-WWWW[[#This Row],['#_Non-functional tube wells/boreholes/handpumps]]</f>
        <v>0</v>
      </c>
      <c r="CJ360" s="960">
        <f>WWWW[[#This Row],['#_Constructed/Existingwater storage tank with gravity fed reticulation system]]-WWWW[[#This Row],['#_Non-functional storage tank gravity fed reticulation system]]</f>
        <v>11</v>
      </c>
      <c r="CK360" s="960">
        <f>(WWWW[[#This Row],['#_Water_Liters_supplied_by_Water boating or water trucking]]/90)/15</f>
        <v>0</v>
      </c>
      <c r="CL360" s="960">
        <f>WWWW[[#This Row],['#_Water_Liters_from_Constructed/Existing water distribution system from river or natural spring]]/90/15</f>
        <v>0</v>
      </c>
      <c r="CM360" s="417">
        <f>IF(WWWW[[#This Row],['#_of water points in TLS/CFS]]*500&gt;WWWW[[#This Row],[Total PoP ]],WWWW[[#This Row],[Total PoP ]],WWWW[[#This Row],['#_of water points in TLS/CFS]]*500)</f>
        <v>1500</v>
      </c>
      <c r="CN360" s="417">
        <f>IF(WWWW[[#This Row],['#_of water points in THF]]*500&gt;WWWW[[#This Row],[Total PoP ]],WWWW[[#This Row],[Total PoP ]],WWWW[[#This Row],['#_of water points in THF]]*500)</f>
        <v>0</v>
      </c>
      <c r="CO360" s="417"/>
      <c r="CP360"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9.9179514922008841E-2</v>
      </c>
      <c r="CQ360"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9.9179514922008841E-2</v>
      </c>
      <c r="CR360" s="959">
        <f>IF(WWWW[[#This Row],[Location Type 1]]="Village",WWWW[[#This Row],[Access to safe drinking water for Village]],WWWW[[#This Row],[Access to safe drinking water for Camp]])</f>
        <v>9.9179514922008841E-2</v>
      </c>
      <c r="CS360" s="957">
        <f>WWWW[[#This Row],[%Equitable and continuous access to sufficient quantity of safe drinking water]]*WWWW[[#This Row],[Total PoP ]]</f>
        <v>733.33333333333337</v>
      </c>
      <c r="CT360" s="959">
        <f>IF((WWWW[[#This Row],['#_Constructed/Existing protected/fenced ponds]]*250)/WWWW[[#This Row],[Total PoP ]]&gt;1,1,(WWWW[[#This Row],['#_Constructed/Existing protected/fenced ponds]]*250)/WWWW[[#This Row],[Total PoP ]])</f>
        <v>0</v>
      </c>
      <c r="CU360" s="957">
        <f>WWWW[[#This Row],[% Access to unimproved water points]]*WWWW[[#This Row],[Total PoP ]]</f>
        <v>0</v>
      </c>
      <c r="CV360"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9.9179514922008841E-2</v>
      </c>
      <c r="CW360"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733.33333333333337</v>
      </c>
      <c r="CX360" s="957">
        <f>WWWW[[#This Row],[HRP1]]/500</f>
        <v>1.4666666666666668</v>
      </c>
      <c r="CY360" s="962">
        <f>1-WWWW[[#This Row],[% Equitable and continuous access to sufficient quantity of domestic water]]</f>
        <v>0.90082048507799117</v>
      </c>
      <c r="CZ360" s="957">
        <f>WWWW[[#This Row],[%equitable and continuous access to sufficient quantity of safe drinking and domestic water''s GAP]]*WWWW[[#This Row],[Total PoP ]]</f>
        <v>6660.666666666667</v>
      </c>
      <c r="DA360" s="960">
        <f>IF(WWWW[[#This Row],[Total required water points]]-WWWW[[#This Row],['#Water points coverage]]&lt;0,0,WWWW[[#This Row],[Total required water points]]-WWWW[[#This Row],['#Water points coverage]])</f>
        <v>13.533333333333333</v>
      </c>
      <c r="DB360" s="960">
        <f>ROUND(IF(WWWW[[#This Row],[Total PoP ]]&lt;500,1,WWWW[[#This Row],[Total PoP ]]/500),0)</f>
        <v>15</v>
      </c>
      <c r="DC360" s="960">
        <f>(WWWW[[#This Row],['#_Constructed latrines_by_WASHAgencies]]+WWWW[[#This Row],['#_Non Cluster partner latrines]])-WWWW[[#This Row],['#_Non-functional latrines]]</f>
        <v>267</v>
      </c>
      <c r="DD360" s="615">
        <f>WWWW[[#This Row],[HRP2]]/WWWW[[#This Row],[Total PoP ]]</f>
        <v>0.72220719502299158</v>
      </c>
      <c r="DE360"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5340</v>
      </c>
      <c r="DF360"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60"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60" s="417">
        <f>IF(WWWW[[#This Row],['# of functional latrines in THF supported by WASH partners during the reporting period2]]="",0,WWWW[[#This Row],['# of functional latrines in THF supported by WASH partners during the reporting period2]]*50)</f>
        <v>0</v>
      </c>
      <c r="DI360" s="960">
        <f>ROUND(IF(WWWW[[#This Row],[Location Type 1]]="camp",WWWW[[#This Row],[Total PoP ]]/20,IF(WWWW[[#This Row],[Location Type 1]]="Temporary Location",WWWW[[#This Row],[Total PoP ]]/50,(WWWW[[#This Row],[Total PoP ]]/6))),0)</f>
        <v>370</v>
      </c>
      <c r="DJ360" s="960">
        <f>IF(WWWW[[#This Row],[Total required Latrines]]-(WWWW[[#This Row],['#_Constructed latrines_by_WASHAgencies]]+WWWW[[#This Row],['#_Non Cluster partner latrines]])&lt;0,0,WWWW[[#This Row],[Total required Latrines]]-(WWWW[[#This Row],['#_Constructed latrines_by_WASHAgencies]]+WWWW[[#This Row],['#_Non Cluster partner latrines]]))</f>
        <v>103</v>
      </c>
      <c r="DK360" s="962">
        <f>1-WWWW[[#This Row],[% people access to functioning Latrine]]</f>
        <v>0.27779280497700842</v>
      </c>
      <c r="DL360" s="961">
        <f>IF(OR(WWWW[[#This Row],['#_Non-functional latrines]]="",WWWW[[#This Row],['#_Non-functional latrines]]=0),0,WWWW[[#This Row],['#_Non-functional latrines]]/(WWWW[[#This Row],['#_Constructed latrines_by_WASHAgencies]]+WWWW[[#This Row],['#_Non Cluster partner latrines]]))</f>
        <v>0</v>
      </c>
      <c r="DM360" s="957">
        <f>IF(500*(WWWW[[#This Row],['#_male hygiene promoters]]+WWWW[[#This Row],['#_female hygiene promoters]])&gt;WWWW[[#This Row],[Total PoP ]],WWWW[[#This Row],[Total PoP ]],500*(WWWW[[#This Row],['#_male hygiene promoters]]+WWWW[[#This Row],['#_female hygiene promoters]]))</f>
        <v>0</v>
      </c>
      <c r="DN360"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7394</v>
      </c>
      <c r="DO360"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1300</v>
      </c>
      <c r="DP360" s="960">
        <f>IF(WWWW[[#This Row],['# People with access to soap]]&gt;WWWW[[#This Row],['# People with access to Sanity Pads]],WWWW[[#This Row],['# People with access to soap]],WWWW[[#This Row],['# People with access to Sanity Pads]])</f>
        <v>7394</v>
      </c>
      <c r="DQ360" s="960">
        <f>IF(WWWW[[#This Row],['# people reached by regular dedicated hygiene promotion_5]]&gt;WWWW[[#This Row],['# People received regular supply of hygiene items_6]],WWWW[[#This Row],['# people reached by regular dedicated hygiene promotion_5]],WWWW[[#This Row],['# People received regular supply of hygiene items_6]])</f>
        <v>7394</v>
      </c>
      <c r="DR360" s="962">
        <f>IF(WWWW[[#This Row],[HRP3]]/WWWW[[#This Row],[Total PoP ]]&gt;1,1,WWWW[[#This Row],[HRP3]]/WWWW[[#This Row],[Total PoP ]])</f>
        <v>1</v>
      </c>
      <c r="DS360" s="961">
        <f>1-WWWW[[#This Row],[Hygiene Coverage%]]</f>
        <v>0</v>
      </c>
      <c r="DT360" s="959">
        <f>WWWW[[#This Row],['# people reached by regular dedicated hygiene promotion_5]]/WWWW[[#This Row],[Total PoP ]]</f>
        <v>0</v>
      </c>
      <c r="DU360"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1</v>
      </c>
      <c r="DV360"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0.96296296296296291</v>
      </c>
      <c r="DW360" s="960">
        <f>WWWW[[#This Row],['#_Constructed/Existing hand washing stations]]-WWWW[[#This Row],['#_Non-Functional_hand_washing_stations]]</f>
        <v>1</v>
      </c>
      <c r="DX360" s="957">
        <f>IF(WWWW[[#This Row],['# Functional hand washing stations during reporting period]]*20&gt;WWWW[[#This Row],[Total HH]],WWWW[[#This Row],[Total HH]],WWWW[[#This Row],['# Functional hand washing stations during reporting period]]*20)</f>
        <v>20</v>
      </c>
      <c r="DY360" s="957">
        <f>IF(WWWW[[#This Row],[Is sufficient soap available for TLS? (Yes/No)]]="yes",WWWW[[#This Row],['#_Constructed/Existing hand washing stations at TLS/CFS/THF]],0)</f>
        <v>0</v>
      </c>
      <c r="DZ360" s="421">
        <f>IF(WWWW[[#This Row],['# Functional hand washing stations during reporting period]]*100&gt;WWWW[[#This Row],[Total PoP ]],WWWW[[#This Row],[Total PoP ]],WWWW[[#This Row],['# Functional hand washing stations during reporting period]]*100)</f>
        <v>100</v>
      </c>
      <c r="EA360" s="421" t="str">
        <f>IF(OR(WWWW[[#This Row],['#_students at TLS_CFS]]="",WWWW[[#This Row],['#_students at TLS_CFS]]=0),"No","Yes")</f>
        <v>No</v>
      </c>
      <c r="EB36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60" s="566">
        <f>WWWW[[#This Row],[%_of_affected_people_surveyed_who_report_feeling_satistfied_with_the_latrine_design_and_sanitation_service]]*WWWW[[#This Row],[Total PoP ]]</f>
        <v>0</v>
      </c>
      <c r="ED360" s="566">
        <f>WWWW[[#This Row],[%_of_affected_people_surveyed_who_report_feeling_satistfied_with_the_water_point_design_and_water_service]]*WWWW[[#This Row],[Total PoP ]]</f>
        <v>0</v>
      </c>
      <c r="EE360" s="566">
        <f>WWWW[[#This Row],[%_of_complaints_received_that_result_in_timely_corrective_action_and_feedback_to_the_community]]*WWWW[[#This Row],[Total PoP ]]</f>
        <v>0</v>
      </c>
      <c r="EF36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6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1500</v>
      </c>
      <c r="EH36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60" s="953" t="str">
        <f>VLOOKUP(WWWW[[#This Row],[Site Name]],SiteDB6[[Site Name]:[CCCM Management]],6,FALSE)</f>
        <v>Yes</v>
      </c>
      <c r="EJ360" s="953" t="str">
        <f>VLOOKUP(WWWW[[#This Row],[Site Name]],SiteDB6[[Site Name]:[CCCM Focal Agency]],7,FALSE)</f>
        <v>KMSS-MYT</v>
      </c>
      <c r="EK360" s="953" t="str">
        <f>VLOOKUP(WWWW[[#This Row],[Site Name]],SiteDB6[[Site Name]:[Location Type 1]],9,FALSE)</f>
        <v>Camp</v>
      </c>
      <c r="EL360" s="953" t="str">
        <f>VLOOKUP(WWWW[[#This Row],[Site Name]],SiteDB6[[Site Name]:[Type of Accommodation]],10,FALSE)</f>
        <v>Camp</v>
      </c>
      <c r="EM360" s="953" t="str">
        <f>VLOOKUP(WWWW[[#This Row],[Site Name]],SiteDB6[[Site Name]:[Ethnic or GCA/NGCA]],11,FALSE)</f>
        <v>NGCA</v>
      </c>
      <c r="EN360" s="953">
        <f>VLOOKUP(WWWW[[#This Row],[Site Name]],SiteDB6[[Site Name]:[Lat]],12,FALSE)</f>
        <v>24.755253</v>
      </c>
      <c r="EO360" s="953">
        <f>VLOOKUP(WWWW[[#This Row],[Site Name]],SiteDB6[[Site Name]:[Long]],13,FALSE)</f>
        <v>97.546893999999995</v>
      </c>
      <c r="EP360" s="953" t="str">
        <f>VLOOKUP(WWWW[[#This Row],[Site Name]],SiteDB6[[Site Name]:[Pcode]],3,FALSE)</f>
        <v>MMR001CMP116</v>
      </c>
      <c r="EQ360" s="958" t="str">
        <f t="shared" si="8"/>
        <v>Covered</v>
      </c>
      <c r="ER360" s="950" t="s">
        <v>3126</v>
      </c>
      <c r="ES360" s="958" t="s">
        <v>3278</v>
      </c>
      <c r="ET360" s="953">
        <f>VLOOKUP(WWWW[[#This Row],[Site Name]],SiteDB6[[Site Name]:[Pop
(Kachin/Shan-CCCM as of May 2023)]],16,FALSE)</f>
        <v>1352</v>
      </c>
      <c r="EU360" s="953">
        <f>VLOOKUP(WWWW[[#This Row],[Site Name]],SiteDB6[[Site Name]:[Pop
(Kachin/Shan-CCCM as of May 2023)]],17,FALSE)</f>
        <v>7353</v>
      </c>
    </row>
    <row r="361" spans="1:151">
      <c r="A361" s="1004" t="s">
        <v>2962</v>
      </c>
      <c r="B361" s="1004" t="s">
        <v>192</v>
      </c>
      <c r="C361" s="1005" t="s">
        <v>192</v>
      </c>
      <c r="D361" s="1005" t="s">
        <v>3343</v>
      </c>
      <c r="E361" s="1005" t="s">
        <v>37</v>
      </c>
      <c r="F361" s="1005" t="s">
        <v>142</v>
      </c>
      <c r="G361" s="953" t="s">
        <v>1094</v>
      </c>
      <c r="H361" s="1005" t="s">
        <v>223</v>
      </c>
      <c r="I361" s="954">
        <v>134</v>
      </c>
      <c r="J361" s="954">
        <v>709</v>
      </c>
      <c r="K361" s="955" t="s">
        <v>3344</v>
      </c>
      <c r="L361" s="956" t="s">
        <v>3335</v>
      </c>
      <c r="M361" s="954"/>
      <c r="N361" s="954"/>
      <c r="O361" s="954"/>
      <c r="P361" s="954"/>
      <c r="Q361" s="957" t="s">
        <v>136</v>
      </c>
      <c r="R361" s="954"/>
      <c r="S361" s="954"/>
      <c r="T361" s="441"/>
      <c r="U361" s="954"/>
      <c r="V361" s="954"/>
      <c r="W361" s="954"/>
      <c r="X361" s="954"/>
      <c r="Y361" s="954"/>
      <c r="Z361" s="954"/>
      <c r="AA361" s="954">
        <v>1</v>
      </c>
      <c r="AB361" s="954"/>
      <c r="AC361" s="954"/>
      <c r="AD361" s="954"/>
      <c r="AE361" s="954"/>
      <c r="AF361" s="954"/>
      <c r="AG361" s="954"/>
      <c r="AH361" s="954"/>
      <c r="AI361" s="954"/>
      <c r="AJ361" s="954"/>
      <c r="AK361" s="954"/>
      <c r="AL361" s="954"/>
      <c r="AM361" s="954"/>
      <c r="AN361" s="954"/>
      <c r="AO361" s="441"/>
      <c r="AP361" s="958"/>
      <c r="AQ361" s="954"/>
      <c r="AR361" s="954"/>
      <c r="AS361" s="959"/>
      <c r="AT361" s="954"/>
      <c r="AU361" s="954"/>
      <c r="AV361" s="954"/>
      <c r="AW361" s="954"/>
      <c r="AX361" s="954"/>
      <c r="AY361" s="953" t="s">
        <v>41</v>
      </c>
      <c r="AZ361" s="958" t="s">
        <v>899</v>
      </c>
      <c r="BA361" s="954"/>
      <c r="BB361" s="954"/>
      <c r="BC361" s="954"/>
      <c r="BD361" s="441"/>
      <c r="BE361" s="441"/>
      <c r="BF361" s="953"/>
      <c r="BG361" s="954">
        <v>8</v>
      </c>
      <c r="BH361" s="954"/>
      <c r="BI361" s="954"/>
      <c r="BJ361" s="954">
        <v>3</v>
      </c>
      <c r="BK361" s="954"/>
      <c r="BL361" s="954"/>
      <c r="BM361" s="954"/>
      <c r="BN361" s="954"/>
      <c r="BO361" s="954"/>
      <c r="BP361" s="953"/>
      <c r="BQ361" s="960"/>
      <c r="BR361" s="959"/>
      <c r="BS361" s="953"/>
      <c r="BT361" s="416"/>
      <c r="BU361" s="416"/>
      <c r="BV361" s="418"/>
      <c r="BW361" s="416"/>
      <c r="BX361" s="441"/>
      <c r="BY361" s="441"/>
      <c r="BZ361" s="441"/>
      <c r="CA361" s="441"/>
      <c r="CB361" s="441"/>
      <c r="CC361" s="693"/>
      <c r="CD361" s="441"/>
      <c r="CE361" s="961" t="str">
        <f>IFERROR(WWWW[[#This Row],['#_Water sources passed]]/WWWW[[#This Row],['#_Water sources tested for fecal coliform ]],"no test")</f>
        <v>no test</v>
      </c>
      <c r="CF361" s="959" t="str">
        <f>IFERROR(WWWW[[#This Row],['#_Household passed]]/WWWW[[#This Row],['#_Household water samples tested for fecal coliform]],"no test")</f>
        <v>no test</v>
      </c>
      <c r="CG361" s="960" t="str">
        <f>IF(AND(WWWW[[#This Row],[% of water sources passed]]="no test",WWWW[[#This Row],[% Household passed]]="no test"),"No Test","Tested")</f>
        <v>No Test</v>
      </c>
      <c r="CH361" s="960">
        <f>WWWW[[#This Row],['#_Constructed/existing protected hand dug well]]-WWWW[[#This Row],['#_Non-functional protected hand dug well]]</f>
        <v>0</v>
      </c>
      <c r="CI361" s="960">
        <f>(WWWW[[#This Row],['#_Constructed/Existing tube wells/boreholes/handpumps_WASH_agency]]+WWWW[[#This Row],['#_Non-Cluster partner water tube-wells/boreholes/handpumps]])-WWWW[[#This Row],['#_Non-functional tube wells/boreholes/handpumps]]</f>
        <v>0</v>
      </c>
      <c r="CJ361" s="960">
        <f>WWWW[[#This Row],['#_Constructed/Existingwater storage tank with gravity fed reticulation system]]-WWWW[[#This Row],['#_Non-functional storage tank gravity fed reticulation system]]</f>
        <v>1</v>
      </c>
      <c r="CK361" s="960">
        <f>(WWWW[[#This Row],['#_Water_Liters_supplied_by_Water boating or water trucking]]/90)/15</f>
        <v>0</v>
      </c>
      <c r="CL361" s="960">
        <f>WWWW[[#This Row],['#_Water_Liters_from_Constructed/Existing water distribution system from river or natural spring]]/90/15</f>
        <v>0</v>
      </c>
      <c r="CM361" s="417">
        <f>IF(WWWW[[#This Row],['#_of water points in TLS/CFS]]*500&gt;WWWW[[#This Row],[Total PoP ]],WWWW[[#This Row],[Total PoP ]],WWWW[[#This Row],['#_of water points in TLS/CFS]]*500)</f>
        <v>0</v>
      </c>
      <c r="CN361" s="417">
        <f>IF(WWWW[[#This Row],['#_of water points in THF]]*500&gt;WWWW[[#This Row],[Total PoP ]],WWWW[[#This Row],[Total PoP ]],WWWW[[#This Row],['#_of water points in THF]]*500)</f>
        <v>0</v>
      </c>
      <c r="CO361" s="417"/>
      <c r="CP361"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9.4029149036201229E-2</v>
      </c>
      <c r="CQ361"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9.4029149036201229E-2</v>
      </c>
      <c r="CR361" s="959">
        <f>IF(WWWW[[#This Row],[Location Type 1]]="Village",WWWW[[#This Row],[Access to safe drinking water for Village]],WWWW[[#This Row],[Access to safe drinking water for Camp]])</f>
        <v>9.4029149036201229E-2</v>
      </c>
      <c r="CS361" s="957">
        <f>WWWW[[#This Row],[%Equitable and continuous access to sufficient quantity of safe drinking water]]*WWWW[[#This Row],[Total PoP ]]</f>
        <v>66.666666666666671</v>
      </c>
      <c r="CT361" s="959">
        <f>IF((WWWW[[#This Row],['#_Constructed/Existing protected/fenced ponds]]*250)/WWWW[[#This Row],[Total PoP ]]&gt;1,1,(WWWW[[#This Row],['#_Constructed/Existing protected/fenced ponds]]*250)/WWWW[[#This Row],[Total PoP ]])</f>
        <v>0</v>
      </c>
      <c r="CU361" s="957">
        <f>WWWW[[#This Row],[% Access to unimproved water points]]*WWWW[[#This Row],[Total PoP ]]</f>
        <v>0</v>
      </c>
      <c r="CV361"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9.4029149036201229E-2</v>
      </c>
      <c r="CW361"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X361" s="957">
        <f>WWWW[[#This Row],[HRP1]]/500</f>
        <v>0.13333333333333333</v>
      </c>
      <c r="CY361" s="962">
        <f>1-WWWW[[#This Row],[% Equitable and continuous access to sufficient quantity of domestic water]]</f>
        <v>0.90597085096379881</v>
      </c>
      <c r="CZ361" s="957">
        <f>WWWW[[#This Row],[%equitable and continuous access to sufficient quantity of safe drinking and domestic water''s GAP]]*WWWW[[#This Row],[Total PoP ]]</f>
        <v>642.33333333333337</v>
      </c>
      <c r="DA361" s="960">
        <f>IF(WWWW[[#This Row],[Total required water points]]-WWWW[[#This Row],['#Water points coverage]]&lt;0,0,WWWW[[#This Row],[Total required water points]]-WWWW[[#This Row],['#Water points coverage]])</f>
        <v>0.8666666666666667</v>
      </c>
      <c r="DB361" s="960">
        <f>ROUND(IF(WWWW[[#This Row],[Total PoP ]]&lt;500,1,WWWW[[#This Row],[Total PoP ]]/500),0)</f>
        <v>1</v>
      </c>
      <c r="DC361" s="960">
        <f>(WWWW[[#This Row],['#_Constructed latrines_by_WASHAgencies]]+WWWW[[#This Row],['#_Non Cluster partner latrines]])-WWWW[[#This Row],['#_Non-functional latrines]]</f>
        <v>0</v>
      </c>
      <c r="DD361" s="615">
        <f>WWWW[[#This Row],[HRP2]]/WWWW[[#This Row],[Total PoP ]]</f>
        <v>0</v>
      </c>
      <c r="DE361"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61"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61"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61" s="417">
        <f>IF(WWWW[[#This Row],['# of functional latrines in THF supported by WASH partners during the reporting period2]]="",0,WWWW[[#This Row],['# of functional latrines in THF supported by WASH partners during the reporting period2]]*50)</f>
        <v>0</v>
      </c>
      <c r="DI361" s="960">
        <f>ROUND(IF(WWWW[[#This Row],[Location Type 1]]="camp",WWWW[[#This Row],[Total PoP ]]/20,IF(WWWW[[#This Row],[Location Type 1]]="Temporary Location",WWWW[[#This Row],[Total PoP ]]/50,(WWWW[[#This Row],[Total PoP ]]/6))),0)</f>
        <v>35</v>
      </c>
      <c r="DJ361" s="960">
        <f>IF(WWWW[[#This Row],[Total required Latrines]]-(WWWW[[#This Row],['#_Constructed latrines_by_WASHAgencies]]+WWWW[[#This Row],['#_Non Cluster partner latrines]])&lt;0,0,WWWW[[#This Row],[Total required Latrines]]-(WWWW[[#This Row],['#_Constructed latrines_by_WASHAgencies]]+WWWW[[#This Row],['#_Non Cluster partner latrines]]))</f>
        <v>35</v>
      </c>
      <c r="DK361" s="962">
        <f>1-WWWW[[#This Row],[% people access to functioning Latrine]]</f>
        <v>1</v>
      </c>
      <c r="DL361" s="961">
        <f>IF(OR(WWWW[[#This Row],['#_Non-functional latrines]]="",WWWW[[#This Row],['#_Non-functional latrines]]=0),0,WWWW[[#This Row],['#_Non-functional latrines]]/(WWWW[[#This Row],['#_Constructed latrines_by_WASHAgencies]]+WWWW[[#This Row],['#_Non Cluster partner latrines]]))</f>
        <v>0</v>
      </c>
      <c r="DM361" s="957">
        <f>IF(500*(WWWW[[#This Row],['#_male hygiene promoters]]+WWWW[[#This Row],['#_female hygiene promoters]])&gt;WWWW[[#This Row],[Total PoP ]],WWWW[[#This Row],[Total PoP ]],500*(WWWW[[#This Row],['#_male hygiene promoters]]+WWWW[[#This Row],['#_female hygiene promoters]]))</f>
        <v>0</v>
      </c>
      <c r="DN361"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61"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61" s="960">
        <f>IF(WWWW[[#This Row],['# People with access to soap]]&gt;WWWW[[#This Row],['# People with access to Sanity Pads]],WWWW[[#This Row],['# People with access to soap]],WWWW[[#This Row],['# People with access to Sanity Pads]])</f>
        <v>0</v>
      </c>
      <c r="DQ361" s="960">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61" s="962">
        <f>IF(WWWW[[#This Row],[HRP3]]/WWWW[[#This Row],[Total PoP ]]&gt;1,1,WWWW[[#This Row],[HRP3]]/WWWW[[#This Row],[Total PoP ]])</f>
        <v>0</v>
      </c>
      <c r="DS361" s="961">
        <f>1-WWWW[[#This Row],[Hygiene Coverage%]]</f>
        <v>1</v>
      </c>
      <c r="DT361" s="959">
        <f>WWWW[[#This Row],['# people reached by regular dedicated hygiene promotion_5]]/WWWW[[#This Row],[Total PoP ]]</f>
        <v>0</v>
      </c>
      <c r="DU361"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61"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61" s="960">
        <f>WWWW[[#This Row],['#_Constructed/Existing hand washing stations]]-WWWW[[#This Row],['#_Non-Functional_hand_washing_stations]]</f>
        <v>8</v>
      </c>
      <c r="DX361" s="957">
        <f>IF(WWWW[[#This Row],['# Functional hand washing stations during reporting period]]*20&gt;WWWW[[#This Row],[Total HH]],WWWW[[#This Row],[Total HH]],WWWW[[#This Row],['# Functional hand washing stations during reporting period]]*20)</f>
        <v>134</v>
      </c>
      <c r="DY361" s="957">
        <f>IF(WWWW[[#This Row],[Is sufficient soap available for TLS? (Yes/No)]]="yes",WWWW[[#This Row],['#_Constructed/Existing hand washing stations at TLS/CFS/THF]],0)</f>
        <v>0</v>
      </c>
      <c r="DZ361" s="421">
        <f>IF(WWWW[[#This Row],['# Functional hand washing stations during reporting period]]*100&gt;WWWW[[#This Row],[Total PoP ]],WWWW[[#This Row],[Total PoP ]],WWWW[[#This Row],['# Functional hand washing stations during reporting period]]*100)</f>
        <v>709</v>
      </c>
      <c r="EA361" s="421" t="str">
        <f>IF(OR(WWWW[[#This Row],['#_students at TLS_CFS]]="",WWWW[[#This Row],['#_students at TLS_CFS]]=0),"No","Yes")</f>
        <v>No</v>
      </c>
      <c r="EB36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61" s="566">
        <f>WWWW[[#This Row],[%_of_affected_people_surveyed_who_report_feeling_satistfied_with_the_latrine_design_and_sanitation_service]]*WWWW[[#This Row],[Total PoP ]]</f>
        <v>0</v>
      </c>
      <c r="ED361" s="566">
        <f>WWWW[[#This Row],[%_of_affected_people_surveyed_who_report_feeling_satistfied_with_the_water_point_design_and_water_service]]*WWWW[[#This Row],[Total PoP ]]</f>
        <v>0</v>
      </c>
      <c r="EE361" s="566">
        <f>WWWW[[#This Row],[%_of_complaints_received_that_result_in_timely_corrective_action_and_feedback_to_the_community]]*WWWW[[#This Row],[Total PoP ]]</f>
        <v>0</v>
      </c>
      <c r="EF36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6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6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61" s="953">
        <f>VLOOKUP(WWWW[[#This Row],[Site Name]],SiteDB6[[Site Name]:[CCCM Management]],6,FALSE)</f>
        <v>0</v>
      </c>
      <c r="EJ361" s="953">
        <f>VLOOKUP(WWWW[[#This Row],[Site Name]],SiteDB6[[Site Name]:[CCCM Focal Agency]],7,FALSE)</f>
        <v>0</v>
      </c>
      <c r="EK361" s="953" t="str">
        <f>VLOOKUP(WWWW[[#This Row],[Site Name]],SiteDB6[[Site Name]:[Location Type 1]],9,FALSE)</f>
        <v>Camp</v>
      </c>
      <c r="EL361" s="953" t="str">
        <f>VLOOKUP(WWWW[[#This Row],[Site Name]],SiteDB6[[Site Name]:[Type of Accommodation]],10,FALSE)</f>
        <v>CAMP</v>
      </c>
      <c r="EM361" s="953" t="str">
        <f>VLOOKUP(WWWW[[#This Row],[Site Name]],SiteDB6[[Site Name]:[Ethnic or GCA/NGCA]],11,FALSE)</f>
        <v>NGCA</v>
      </c>
      <c r="EN361" s="953">
        <f>VLOOKUP(WWWW[[#This Row],[Site Name]],SiteDB6[[Site Name]:[Lat]],12,FALSE)</f>
        <v>0</v>
      </c>
      <c r="EO361" s="953">
        <f>VLOOKUP(WWWW[[#This Row],[Site Name]],SiteDB6[[Site Name]:[Long]],13,FALSE)</f>
        <v>0</v>
      </c>
      <c r="EP361" s="953">
        <f>VLOOKUP(WWWW[[#This Row],[Site Name]],SiteDB6[[Site Name]:[Pcode]],3,FALSE)</f>
        <v>0</v>
      </c>
      <c r="EQ361" s="958" t="str">
        <f t="shared" si="8"/>
        <v>Covered</v>
      </c>
      <c r="ER361" s="950" t="s">
        <v>3126</v>
      </c>
      <c r="ES361" s="958" t="s">
        <v>3278</v>
      </c>
      <c r="ET361" s="953">
        <f>VLOOKUP(WWWW[[#This Row],[Site Name]],SiteDB6[[Site Name]:[Pop
(Kachin/Shan-CCCM as of May 2023)]],16,FALSE)</f>
        <v>0</v>
      </c>
      <c r="EU361" s="953">
        <f>VLOOKUP(WWWW[[#This Row],[Site Name]],SiteDB6[[Site Name]:[Pop
(Kachin/Shan-CCCM as of May 2023)]],17,FALSE)</f>
        <v>0</v>
      </c>
    </row>
    <row r="362" spans="1:151">
      <c r="A362" s="1004" t="s">
        <v>2962</v>
      </c>
      <c r="B362" s="1004" t="s">
        <v>192</v>
      </c>
      <c r="C362" s="1005" t="s">
        <v>192</v>
      </c>
      <c r="D362" s="1005" t="s">
        <v>3343</v>
      </c>
      <c r="E362" s="1005" t="s">
        <v>37</v>
      </c>
      <c r="F362" s="1005" t="s">
        <v>142</v>
      </c>
      <c r="G362" s="953" t="s">
        <v>1094</v>
      </c>
      <c r="H362" s="1005" t="s">
        <v>222</v>
      </c>
      <c r="I362" s="954">
        <v>546</v>
      </c>
      <c r="J362" s="954">
        <v>2550</v>
      </c>
      <c r="K362" s="955" t="s">
        <v>3344</v>
      </c>
      <c r="L362" s="956" t="s">
        <v>3335</v>
      </c>
      <c r="M362" s="954"/>
      <c r="N362" s="954"/>
      <c r="O362" s="954"/>
      <c r="P362" s="954"/>
      <c r="Q362" s="957" t="s">
        <v>136</v>
      </c>
      <c r="R362" s="954"/>
      <c r="S362" s="954"/>
      <c r="T362" s="441"/>
      <c r="U362" s="954"/>
      <c r="V362" s="954"/>
      <c r="W362" s="954"/>
      <c r="X362" s="954"/>
      <c r="Y362" s="954"/>
      <c r="Z362" s="954"/>
      <c r="AA362" s="954"/>
      <c r="AB362" s="954"/>
      <c r="AC362" s="954"/>
      <c r="AD362" s="954"/>
      <c r="AE362" s="954"/>
      <c r="AF362" s="954"/>
      <c r="AG362" s="954"/>
      <c r="AH362" s="954"/>
      <c r="AI362" s="954"/>
      <c r="AJ362" s="954"/>
      <c r="AK362" s="954"/>
      <c r="AL362" s="954"/>
      <c r="AM362" s="954"/>
      <c r="AN362" s="954"/>
      <c r="AO362" s="441"/>
      <c r="AP362" s="958"/>
      <c r="AQ362" s="954"/>
      <c r="AR362" s="954"/>
      <c r="AS362" s="959"/>
      <c r="AT362" s="954"/>
      <c r="AU362" s="954"/>
      <c r="AV362" s="954"/>
      <c r="AW362" s="954"/>
      <c r="AX362" s="954"/>
      <c r="AY362" s="953" t="s">
        <v>136</v>
      </c>
      <c r="AZ362" s="958" t="s">
        <v>136</v>
      </c>
      <c r="BA362" s="954"/>
      <c r="BB362" s="954"/>
      <c r="BC362" s="954"/>
      <c r="BD362" s="441"/>
      <c r="BE362" s="441"/>
      <c r="BF362" s="953"/>
      <c r="BG362" s="954">
        <v>7</v>
      </c>
      <c r="BH362" s="954"/>
      <c r="BI362" s="954"/>
      <c r="BJ362" s="954">
        <v>7</v>
      </c>
      <c r="BK362" s="954"/>
      <c r="BL362" s="954"/>
      <c r="BM362" s="954"/>
      <c r="BN362" s="954"/>
      <c r="BO362" s="954"/>
      <c r="BP362" s="953"/>
      <c r="BQ362" s="960"/>
      <c r="BR362" s="959"/>
      <c r="BS362" s="953"/>
      <c r="BT362" s="416"/>
      <c r="BU362" s="416"/>
      <c r="BV362" s="418"/>
      <c r="BW362" s="416"/>
      <c r="BX362" s="441"/>
      <c r="BY362" s="441"/>
      <c r="BZ362" s="441"/>
      <c r="CA362" s="441"/>
      <c r="CB362" s="441"/>
      <c r="CC362" s="693"/>
      <c r="CD362" s="441"/>
      <c r="CE362" s="961" t="str">
        <f>IFERROR(WWWW[[#This Row],['#_Water sources passed]]/WWWW[[#This Row],['#_Water sources tested for fecal coliform ]],"no test")</f>
        <v>no test</v>
      </c>
      <c r="CF362" s="959" t="str">
        <f>IFERROR(WWWW[[#This Row],['#_Household passed]]/WWWW[[#This Row],['#_Household water samples tested for fecal coliform]],"no test")</f>
        <v>no test</v>
      </c>
      <c r="CG362" s="960" t="str">
        <f>IF(AND(WWWW[[#This Row],[% of water sources passed]]="no test",WWWW[[#This Row],[% Household passed]]="no test"),"No Test","Tested")</f>
        <v>No Test</v>
      </c>
      <c r="CH362" s="960">
        <f>WWWW[[#This Row],['#_Constructed/existing protected hand dug well]]-WWWW[[#This Row],['#_Non-functional protected hand dug well]]</f>
        <v>0</v>
      </c>
      <c r="CI362" s="960">
        <f>(WWWW[[#This Row],['#_Constructed/Existing tube wells/boreholes/handpumps_WASH_agency]]+WWWW[[#This Row],['#_Non-Cluster partner water tube-wells/boreholes/handpumps]])-WWWW[[#This Row],['#_Non-functional tube wells/boreholes/handpumps]]</f>
        <v>0</v>
      </c>
      <c r="CJ362" s="960">
        <f>WWWW[[#This Row],['#_Constructed/Existingwater storage tank with gravity fed reticulation system]]-WWWW[[#This Row],['#_Non-functional storage tank gravity fed reticulation system]]</f>
        <v>0</v>
      </c>
      <c r="CK362" s="960">
        <f>(WWWW[[#This Row],['#_Water_Liters_supplied_by_Water boating or water trucking]]/90)/15</f>
        <v>0</v>
      </c>
      <c r="CL362" s="960">
        <f>WWWW[[#This Row],['#_Water_Liters_from_Constructed/Existing water distribution system from river or natural spring]]/90/15</f>
        <v>0</v>
      </c>
      <c r="CM362" s="417">
        <f>IF(WWWW[[#This Row],['#_of water points in TLS/CFS]]*500&gt;WWWW[[#This Row],[Total PoP ]],WWWW[[#This Row],[Total PoP ]],WWWW[[#This Row],['#_of water points in TLS/CFS]]*500)</f>
        <v>0</v>
      </c>
      <c r="CN362" s="417">
        <f>IF(WWWW[[#This Row],['#_of water points in THF]]*500&gt;WWWW[[#This Row],[Total PoP ]],WWWW[[#This Row],[Total PoP ]],WWWW[[#This Row],['#_of water points in THF]]*500)</f>
        <v>0</v>
      </c>
      <c r="CO362" s="417"/>
      <c r="CP362"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62"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62" s="959">
        <f>IF(WWWW[[#This Row],[Location Type 1]]="Village",WWWW[[#This Row],[Access to safe drinking water for Village]],WWWW[[#This Row],[Access to safe drinking water for Camp]])</f>
        <v>0</v>
      </c>
      <c r="CS362" s="957">
        <f>WWWW[[#This Row],[%Equitable and continuous access to sufficient quantity of safe drinking water]]*WWWW[[#This Row],[Total PoP ]]</f>
        <v>0</v>
      </c>
      <c r="CT362" s="959">
        <f>IF((WWWW[[#This Row],['#_Constructed/Existing protected/fenced ponds]]*250)/WWWW[[#This Row],[Total PoP ]]&gt;1,1,(WWWW[[#This Row],['#_Constructed/Existing protected/fenced ponds]]*250)/WWWW[[#This Row],[Total PoP ]])</f>
        <v>0</v>
      </c>
      <c r="CU362" s="957">
        <f>WWWW[[#This Row],[% Access to unimproved water points]]*WWWW[[#This Row],[Total PoP ]]</f>
        <v>0</v>
      </c>
      <c r="CV362"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62"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62" s="957">
        <f>WWWW[[#This Row],[HRP1]]/500</f>
        <v>0</v>
      </c>
      <c r="CY362" s="962">
        <f>1-WWWW[[#This Row],[% Equitable and continuous access to sufficient quantity of domestic water]]</f>
        <v>1</v>
      </c>
      <c r="CZ362" s="957">
        <f>WWWW[[#This Row],[%equitable and continuous access to sufficient quantity of safe drinking and domestic water''s GAP]]*WWWW[[#This Row],[Total PoP ]]</f>
        <v>2550</v>
      </c>
      <c r="DA362" s="960">
        <f>IF(WWWW[[#This Row],[Total required water points]]-WWWW[[#This Row],['#Water points coverage]]&lt;0,0,WWWW[[#This Row],[Total required water points]]-WWWW[[#This Row],['#Water points coverage]])</f>
        <v>5</v>
      </c>
      <c r="DB362" s="960">
        <f>ROUND(IF(WWWW[[#This Row],[Total PoP ]]&lt;500,1,WWWW[[#This Row],[Total PoP ]]/500),0)</f>
        <v>5</v>
      </c>
      <c r="DC362" s="960">
        <f>(WWWW[[#This Row],['#_Constructed latrines_by_WASHAgencies]]+WWWW[[#This Row],['#_Non Cluster partner latrines]])-WWWW[[#This Row],['#_Non-functional latrines]]</f>
        <v>0</v>
      </c>
      <c r="DD362" s="615">
        <f>WWWW[[#This Row],[HRP2]]/WWWW[[#This Row],[Total PoP ]]</f>
        <v>0</v>
      </c>
      <c r="DE362"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62"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62"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62" s="417">
        <f>IF(WWWW[[#This Row],['# of functional latrines in THF supported by WASH partners during the reporting period2]]="",0,WWWW[[#This Row],['# of functional latrines in THF supported by WASH partners during the reporting period2]]*50)</f>
        <v>0</v>
      </c>
      <c r="DI362" s="960">
        <f>ROUND(IF(WWWW[[#This Row],[Location Type 1]]="camp",WWWW[[#This Row],[Total PoP ]]/20,IF(WWWW[[#This Row],[Location Type 1]]="Temporary Location",WWWW[[#This Row],[Total PoP ]]/50,(WWWW[[#This Row],[Total PoP ]]/6))),0)</f>
        <v>128</v>
      </c>
      <c r="DJ362" s="960">
        <f>IF(WWWW[[#This Row],[Total required Latrines]]-(WWWW[[#This Row],['#_Constructed latrines_by_WASHAgencies]]+WWWW[[#This Row],['#_Non Cluster partner latrines]])&lt;0,0,WWWW[[#This Row],[Total required Latrines]]-(WWWW[[#This Row],['#_Constructed latrines_by_WASHAgencies]]+WWWW[[#This Row],['#_Non Cluster partner latrines]]))</f>
        <v>128</v>
      </c>
      <c r="DK362" s="962">
        <f>1-WWWW[[#This Row],[% people access to functioning Latrine]]</f>
        <v>1</v>
      </c>
      <c r="DL362" s="961">
        <f>IF(OR(WWWW[[#This Row],['#_Non-functional latrines]]="",WWWW[[#This Row],['#_Non-functional latrines]]=0),0,WWWW[[#This Row],['#_Non-functional latrines]]/(WWWW[[#This Row],['#_Constructed latrines_by_WASHAgencies]]+WWWW[[#This Row],['#_Non Cluster partner latrines]]))</f>
        <v>0</v>
      </c>
      <c r="DM362" s="957">
        <f>IF(500*(WWWW[[#This Row],['#_male hygiene promoters]]+WWWW[[#This Row],['#_female hygiene promoters]])&gt;WWWW[[#This Row],[Total PoP ]],WWWW[[#This Row],[Total PoP ]],500*(WWWW[[#This Row],['#_male hygiene promoters]]+WWWW[[#This Row],['#_female hygiene promoters]]))</f>
        <v>0</v>
      </c>
      <c r="DN362"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62"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62" s="960">
        <f>IF(WWWW[[#This Row],['# People with access to soap]]&gt;WWWW[[#This Row],['# People with access to Sanity Pads]],WWWW[[#This Row],['# People with access to soap]],WWWW[[#This Row],['# People with access to Sanity Pads]])</f>
        <v>0</v>
      </c>
      <c r="DQ362" s="960">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62" s="962">
        <f>IF(WWWW[[#This Row],[HRP3]]/WWWW[[#This Row],[Total PoP ]]&gt;1,1,WWWW[[#This Row],[HRP3]]/WWWW[[#This Row],[Total PoP ]])</f>
        <v>0</v>
      </c>
      <c r="DS362" s="961">
        <f>1-WWWW[[#This Row],[Hygiene Coverage%]]</f>
        <v>1</v>
      </c>
      <c r="DT362" s="959">
        <f>WWWW[[#This Row],['# people reached by regular dedicated hygiene promotion_5]]/WWWW[[#This Row],[Total PoP ]]</f>
        <v>0</v>
      </c>
      <c r="DU362"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62"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62" s="960">
        <f>WWWW[[#This Row],['#_Constructed/Existing hand washing stations]]-WWWW[[#This Row],['#_Non-Functional_hand_washing_stations]]</f>
        <v>7</v>
      </c>
      <c r="DX362" s="957">
        <f>IF(WWWW[[#This Row],['# Functional hand washing stations during reporting period]]*20&gt;WWWW[[#This Row],[Total HH]],WWWW[[#This Row],[Total HH]],WWWW[[#This Row],['# Functional hand washing stations during reporting period]]*20)</f>
        <v>140</v>
      </c>
      <c r="DY362" s="957">
        <f>IF(WWWW[[#This Row],[Is sufficient soap available for TLS? (Yes/No)]]="yes",WWWW[[#This Row],['#_Constructed/Existing hand washing stations at TLS/CFS/THF]],0)</f>
        <v>0</v>
      </c>
      <c r="DZ362" s="421">
        <f>IF(WWWW[[#This Row],['# Functional hand washing stations during reporting period]]*100&gt;WWWW[[#This Row],[Total PoP ]],WWWW[[#This Row],[Total PoP ]],WWWW[[#This Row],['# Functional hand washing stations during reporting period]]*100)</f>
        <v>700</v>
      </c>
      <c r="EA362" s="421" t="str">
        <f>IF(OR(WWWW[[#This Row],['#_students at TLS_CFS]]="",WWWW[[#This Row],['#_students at TLS_CFS]]=0),"No","Yes")</f>
        <v>No</v>
      </c>
      <c r="EB36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62" s="566">
        <f>WWWW[[#This Row],[%_of_affected_people_surveyed_who_report_feeling_satistfied_with_the_latrine_design_and_sanitation_service]]*WWWW[[#This Row],[Total PoP ]]</f>
        <v>0</v>
      </c>
      <c r="ED362" s="566">
        <f>WWWW[[#This Row],[%_of_affected_people_surveyed_who_report_feeling_satistfied_with_the_water_point_design_and_water_service]]*WWWW[[#This Row],[Total PoP ]]</f>
        <v>0</v>
      </c>
      <c r="EE362" s="566">
        <f>WWWW[[#This Row],[%_of_complaints_received_that_result_in_timely_corrective_action_and_feedback_to_the_community]]*WWWW[[#This Row],[Total PoP ]]</f>
        <v>0</v>
      </c>
      <c r="EF36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6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6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62" s="953">
        <f>VLOOKUP(WWWW[[#This Row],[Site Name]],SiteDB6[[Site Name]:[CCCM Management]],6,FALSE)</f>
        <v>0</v>
      </c>
      <c r="EJ362" s="953">
        <f>VLOOKUP(WWWW[[#This Row],[Site Name]],SiteDB6[[Site Name]:[CCCM Focal Agency]],7,FALSE)</f>
        <v>0</v>
      </c>
      <c r="EK362" s="953" t="str">
        <f>VLOOKUP(WWWW[[#This Row],[Site Name]],SiteDB6[[Site Name]:[Location Type 1]],9,FALSE)</f>
        <v>Camp</v>
      </c>
      <c r="EL362" s="953" t="str">
        <f>VLOOKUP(WWWW[[#This Row],[Site Name]],SiteDB6[[Site Name]:[Type of Accommodation]],10,FALSE)</f>
        <v>IDPs in host</v>
      </c>
      <c r="EM362" s="953" t="str">
        <f>VLOOKUP(WWWW[[#This Row],[Site Name]],SiteDB6[[Site Name]:[Ethnic or GCA/NGCA]],11,FALSE)</f>
        <v>NGCA</v>
      </c>
      <c r="EN362" s="953">
        <f>VLOOKUP(WWWW[[#This Row],[Site Name]],SiteDB6[[Site Name]:[Lat]],12,FALSE)</f>
        <v>0</v>
      </c>
      <c r="EO362" s="953">
        <f>VLOOKUP(WWWW[[#This Row],[Site Name]],SiteDB6[[Site Name]:[Long]],13,FALSE)</f>
        <v>0</v>
      </c>
      <c r="EP362" s="953">
        <f>VLOOKUP(WWWW[[#This Row],[Site Name]],SiteDB6[[Site Name]:[Pcode]],3,FALSE)</f>
        <v>0</v>
      </c>
      <c r="EQ362" s="958" t="str">
        <f t="shared" si="8"/>
        <v>Covered</v>
      </c>
      <c r="ER362" s="950" t="s">
        <v>3126</v>
      </c>
      <c r="ES362" s="958" t="s">
        <v>3278</v>
      </c>
      <c r="ET362" s="953">
        <f>VLOOKUP(WWWW[[#This Row],[Site Name]],SiteDB6[[Site Name]:[Pop
(Kachin/Shan-CCCM as of May 2023)]],16,FALSE)</f>
        <v>0</v>
      </c>
      <c r="EU362" s="953">
        <f>VLOOKUP(WWWW[[#This Row],[Site Name]],SiteDB6[[Site Name]:[Pop
(Kachin/Shan-CCCM as of May 2023)]],17,FALSE)</f>
        <v>0</v>
      </c>
    </row>
    <row r="363" spans="1:151">
      <c r="A363" s="946" t="s">
        <v>2962</v>
      </c>
      <c r="B363" s="946" t="s">
        <v>192</v>
      </c>
      <c r="C363" s="938" t="s">
        <v>192</v>
      </c>
      <c r="D363" s="938" t="s">
        <v>299</v>
      </c>
      <c r="E363" s="938" t="s">
        <v>515</v>
      </c>
      <c r="F363" s="938" t="s">
        <v>534</v>
      </c>
      <c r="G363" s="902" t="str">
        <f>VLOOKUP(WWWW[[#This Row],[Site Name]],SiteDB6[[Site Name]:[Location Type]],8,FALSE)</f>
        <v>Camp</v>
      </c>
      <c r="H363" s="938" t="s">
        <v>535</v>
      </c>
      <c r="I363" s="441">
        <v>40</v>
      </c>
      <c r="J363" s="441">
        <v>206</v>
      </c>
      <c r="K363" s="964">
        <v>44511</v>
      </c>
      <c r="L363" s="965">
        <v>45146</v>
      </c>
      <c r="M363" s="441"/>
      <c r="N363" s="441"/>
      <c r="O363" s="441">
        <v>1</v>
      </c>
      <c r="P363" s="441"/>
      <c r="Q363" s="421" t="s">
        <v>41</v>
      </c>
      <c r="R363" s="441"/>
      <c r="S363" s="441">
        <v>5</v>
      </c>
      <c r="T363" s="441">
        <v>4</v>
      </c>
      <c r="U363" s="441"/>
      <c r="V363" s="441"/>
      <c r="W363" s="441">
        <v>1</v>
      </c>
      <c r="X363" s="441"/>
      <c r="Y363" s="441"/>
      <c r="Z363" s="441"/>
      <c r="AA363" s="441"/>
      <c r="AB363" s="441"/>
      <c r="AC363" s="441"/>
      <c r="AD363" s="441"/>
      <c r="AE363" s="441"/>
      <c r="AF363" s="441"/>
      <c r="AG363" s="441"/>
      <c r="AH363" s="441"/>
      <c r="AI363" s="441"/>
      <c r="AJ363" s="441"/>
      <c r="AK363" s="441"/>
      <c r="AL363" s="441"/>
      <c r="AM363" s="441"/>
      <c r="AN363" s="441"/>
      <c r="AO363" s="441"/>
      <c r="AP363" s="950"/>
      <c r="AQ363" s="441">
        <v>6</v>
      </c>
      <c r="AR363" s="441">
        <v>10</v>
      </c>
      <c r="AS363" s="416"/>
      <c r="AT363" s="441"/>
      <c r="AU363" s="441"/>
      <c r="AV363" s="441"/>
      <c r="AW363" s="441"/>
      <c r="AX363" s="441"/>
      <c r="AY363" s="418" t="s">
        <v>41</v>
      </c>
      <c r="AZ363" s="950" t="s">
        <v>137</v>
      </c>
      <c r="BA363" s="441"/>
      <c r="BB363" s="441"/>
      <c r="BC363" s="441"/>
      <c r="BD363" s="441"/>
      <c r="BE363" s="441"/>
      <c r="BF363" s="418"/>
      <c r="BG363" s="441"/>
      <c r="BH363" s="441"/>
      <c r="BI363" s="441"/>
      <c r="BJ363" s="441">
        <v>2</v>
      </c>
      <c r="BK363" s="441"/>
      <c r="BL363" s="441"/>
      <c r="BM363" s="441">
        <v>1</v>
      </c>
      <c r="BN363" s="441"/>
      <c r="BO363" s="441"/>
      <c r="BP363" s="418" t="s">
        <v>41</v>
      </c>
      <c r="BQ363" s="417"/>
      <c r="BR363" s="416"/>
      <c r="BS363" s="418"/>
      <c r="BT363" s="416"/>
      <c r="BU363" s="416"/>
      <c r="BV363" s="418"/>
      <c r="BW363" s="416"/>
      <c r="BX363" s="441"/>
      <c r="BY363" s="441"/>
      <c r="BZ363" s="441"/>
      <c r="CA363" s="441"/>
      <c r="CB363" s="441"/>
      <c r="CC363" s="693"/>
      <c r="CD363" s="441"/>
      <c r="CE363" s="615" t="str">
        <f>IFERROR(WWWW[[#This Row],['#_Water sources passed]]/WWWW[[#This Row],['#_Water sources tested for fecal coliform ]],"no test")</f>
        <v>no test</v>
      </c>
      <c r="CF363" s="416" t="str">
        <f>IFERROR(WWWW[[#This Row],['#_Household passed]]/WWWW[[#This Row],['#_Household water samples tested for fecal coliform]],"no test")</f>
        <v>no test</v>
      </c>
      <c r="CG363" s="417" t="str">
        <f>IF(AND(WWWW[[#This Row],[% of water sources passed]]="no test",WWWW[[#This Row],[% Household passed]]="no test"),"No Test","Tested")</f>
        <v>No Test</v>
      </c>
      <c r="CH363" s="417">
        <f>WWWW[[#This Row],['#_Constructed/existing protected hand dug well]]-WWWW[[#This Row],['#_Non-functional protected hand dug well]]</f>
        <v>4</v>
      </c>
      <c r="CI363" s="417">
        <f>(WWWW[[#This Row],['#_Constructed/Existing tube wells/boreholes/handpumps_WASH_agency]]+WWWW[[#This Row],['#_Non-Cluster partner water tube-wells/boreholes/handpumps]])-WWWW[[#This Row],['#_Non-functional tube wells/boreholes/handpumps]]</f>
        <v>1</v>
      </c>
      <c r="CJ363" s="417">
        <f>WWWW[[#This Row],['#_Constructed/Existingwater storage tank with gravity fed reticulation system]]-WWWW[[#This Row],['#_Non-functional storage tank gravity fed reticulation system]]</f>
        <v>0</v>
      </c>
      <c r="CK363" s="417">
        <f>(WWWW[[#This Row],['#_Water_Liters_supplied_by_Water boating or water trucking]]/90)/15</f>
        <v>0</v>
      </c>
      <c r="CL363" s="417">
        <f>WWWW[[#This Row],['#_Water_Liters_from_Constructed/Existing water distribution system from river or natural spring]]/90/15</f>
        <v>0</v>
      </c>
      <c r="CM363" s="417">
        <f>IF(WWWW[[#This Row],['#_of water points in TLS/CFS]]*500&gt;WWWW[[#This Row],[Total PoP ]],WWWW[[#This Row],[Total PoP ]],WWWW[[#This Row],['#_of water points in TLS/CFS]]*500)</f>
        <v>0</v>
      </c>
      <c r="CN363" s="417">
        <f>IF(WWWW[[#This Row],['#_of water points in THF]]*500&gt;WWWW[[#This Row],[Total PoP ]],WWWW[[#This Row],[Total PoP ]],WWWW[[#This Row],['#_of water points in THF]]*500)</f>
        <v>0</v>
      </c>
      <c r="CO363" s="417"/>
      <c r="CP363"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63"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63" s="416">
        <f>IF(WWWW[[#This Row],[Location Type 1]]="Village",WWWW[[#This Row],[Access to safe drinking water for Village]],WWWW[[#This Row],[Access to safe drinking water for Camp]])</f>
        <v>1</v>
      </c>
      <c r="CS363" s="421">
        <f>WWWW[[#This Row],[%Equitable and continuous access to sufficient quantity of safe drinking water]]*WWWW[[#This Row],[Total PoP ]]</f>
        <v>206</v>
      </c>
      <c r="CT363" s="416">
        <f>IF((WWWW[[#This Row],['#_Constructed/Existing protected/fenced ponds]]*250)/WWWW[[#This Row],[Total PoP ]]&gt;1,1,(WWWW[[#This Row],['#_Constructed/Existing protected/fenced ponds]]*250)/WWWW[[#This Row],[Total PoP ]])</f>
        <v>0</v>
      </c>
      <c r="CU363" s="421">
        <f>WWWW[[#This Row],[% Access to unimproved water points]]*WWWW[[#This Row],[Total PoP ]]</f>
        <v>0</v>
      </c>
      <c r="CV363"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63"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206</v>
      </c>
      <c r="CX363" s="421">
        <f>WWWW[[#This Row],[HRP1]]/500</f>
        <v>0.41199999999999998</v>
      </c>
      <c r="CY363" s="951">
        <f>1-WWWW[[#This Row],[% Equitable and continuous access to sufficient quantity of domestic water]]</f>
        <v>0</v>
      </c>
      <c r="CZ363" s="421">
        <f>WWWW[[#This Row],[%equitable and continuous access to sufficient quantity of safe drinking and domestic water''s GAP]]*WWWW[[#This Row],[Total PoP ]]</f>
        <v>0</v>
      </c>
      <c r="DA363" s="417">
        <f>IF(WWWW[[#This Row],[Total required water points]]-WWWW[[#This Row],['#Water points coverage]]&lt;0,0,WWWW[[#This Row],[Total required water points]]-WWWW[[#This Row],['#Water points coverage]])</f>
        <v>0.58800000000000008</v>
      </c>
      <c r="DB363" s="417">
        <f>ROUND(IF(WWWW[[#This Row],[Total PoP ]]&lt;500,1,WWWW[[#This Row],[Total PoP ]]/500),0)</f>
        <v>1</v>
      </c>
      <c r="DC363" s="417">
        <f>(WWWW[[#This Row],['#_Constructed latrines_by_WASHAgencies]]+WWWW[[#This Row],['#_Non Cluster partner latrines]])-WWWW[[#This Row],['#_Non-functional latrines]]</f>
        <v>16</v>
      </c>
      <c r="DD363" s="615">
        <f>WWWW[[#This Row],[HRP2]]/WWWW[[#This Row],[Total PoP ]]</f>
        <v>1</v>
      </c>
      <c r="DE363"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206</v>
      </c>
      <c r="DF363"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63"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63" s="417">
        <f>IF(WWWW[[#This Row],['# of functional latrines in THF supported by WASH partners during the reporting period2]]="",0,WWWW[[#This Row],['# of functional latrines in THF supported by WASH partners during the reporting period2]]*50)</f>
        <v>0</v>
      </c>
      <c r="DI363" s="417">
        <f>ROUND(IF(WWWW[[#This Row],[Location Type 1]]="camp",WWWW[[#This Row],[Total PoP ]]/20,IF(WWWW[[#This Row],[Location Type 1]]="Temporary Location",WWWW[[#This Row],[Total PoP ]]/50,(WWWW[[#This Row],[Total PoP ]]/6))),0)</f>
        <v>10</v>
      </c>
      <c r="DJ363" s="417">
        <f>IF(WWWW[[#This Row],[Total required Latrines]]-(WWWW[[#This Row],['#_Constructed latrines_by_WASHAgencies]]+WWWW[[#This Row],['#_Non Cluster partner latrines]])&lt;0,0,WWWW[[#This Row],[Total required Latrines]]-(WWWW[[#This Row],['#_Constructed latrines_by_WASHAgencies]]+WWWW[[#This Row],['#_Non Cluster partner latrines]]))</f>
        <v>0</v>
      </c>
      <c r="DK363" s="951">
        <f>1-WWWW[[#This Row],[% people access to functioning Latrine]]</f>
        <v>0</v>
      </c>
      <c r="DL363" s="615">
        <f>IF(OR(WWWW[[#This Row],['#_Non-functional latrines]]="",WWWW[[#This Row],['#_Non-functional latrines]]=0),0,WWWW[[#This Row],['#_Non-functional latrines]]/(WWWW[[#This Row],['#_Constructed latrines_by_WASHAgencies]]+WWWW[[#This Row],['#_Non Cluster partner latrines]]))</f>
        <v>0</v>
      </c>
      <c r="DM363" s="421">
        <f>IF(500*(WWWW[[#This Row],['#_male hygiene promoters]]+WWWW[[#This Row],['#_female hygiene promoters]])&gt;WWWW[[#This Row],[Total PoP ]],WWWW[[#This Row],[Total PoP ]],500*(WWWW[[#This Row],['#_male hygiene promoters]]+WWWW[[#This Row],['#_female hygiene promoters]]))</f>
        <v>206</v>
      </c>
      <c r="DN363"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63"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63" s="417">
        <f>IF(WWWW[[#This Row],['# People with access to soap]]&gt;WWWW[[#This Row],['# People with access to Sanity Pads]],WWWW[[#This Row],['# People with access to soap]],WWWW[[#This Row],['# People with access to Sanity Pads]])</f>
        <v>0</v>
      </c>
      <c r="DQ363" s="417">
        <f>IF(WWWW[[#This Row],['# people reached by regular dedicated hygiene promotion_5]]&gt;WWWW[[#This Row],['# People received regular supply of hygiene items_6]],WWWW[[#This Row],['# people reached by regular dedicated hygiene promotion_5]],WWWW[[#This Row],['# People received regular supply of hygiene items_6]])</f>
        <v>206</v>
      </c>
      <c r="DR363" s="951">
        <f>IF(WWWW[[#This Row],[HRP3]]/WWWW[[#This Row],[Total PoP ]]&gt;1,1,WWWW[[#This Row],[HRP3]]/WWWW[[#This Row],[Total PoP ]])</f>
        <v>1</v>
      </c>
      <c r="DS363" s="615">
        <f>1-WWWW[[#This Row],[Hygiene Coverage%]]</f>
        <v>0</v>
      </c>
      <c r="DT363" s="416">
        <f>WWWW[[#This Row],['# people reached by regular dedicated hygiene promotion_5]]/WWWW[[#This Row],[Total PoP ]]</f>
        <v>1</v>
      </c>
      <c r="DU363"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63"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63" s="417">
        <f>WWWW[[#This Row],['#_Constructed/Existing hand washing stations]]-WWWW[[#This Row],['#_Non-Functional_hand_washing_stations]]</f>
        <v>0</v>
      </c>
      <c r="DX363" s="421">
        <f>IF(WWWW[[#This Row],['# Functional hand washing stations during reporting period]]*20&gt;WWWW[[#This Row],[Total HH]],WWWW[[#This Row],[Total HH]],WWWW[[#This Row],['# Functional hand washing stations during reporting period]]*20)</f>
        <v>0</v>
      </c>
      <c r="DY363" s="421">
        <f>IF(WWWW[[#This Row],[Is sufficient soap available for TLS? (Yes/No)]]="yes",WWWW[[#This Row],['#_Constructed/Existing hand washing stations at TLS/CFS/THF]],0)</f>
        <v>0</v>
      </c>
      <c r="DZ363" s="421">
        <f>IF(WWWW[[#This Row],['# Functional hand washing stations during reporting period]]*100&gt;WWWW[[#This Row],[Total PoP ]],WWWW[[#This Row],[Total PoP ]],WWWW[[#This Row],['# Functional hand washing stations during reporting period]]*100)</f>
        <v>0</v>
      </c>
      <c r="EA363" s="421" t="str">
        <f>IF(OR(WWWW[[#This Row],['#_students at TLS_CFS]]="",WWWW[[#This Row],['#_students at TLS_CFS]]=0),"No","Yes")</f>
        <v>No</v>
      </c>
      <c r="EB36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63" s="566">
        <f>WWWW[[#This Row],[%_of_affected_people_surveyed_who_report_feeling_satistfied_with_the_latrine_design_and_sanitation_service]]*WWWW[[#This Row],[Total PoP ]]</f>
        <v>0</v>
      </c>
      <c r="ED363" s="566">
        <f>WWWW[[#This Row],[%_of_affected_people_surveyed_who_report_feeling_satistfied_with_the_water_point_design_and_water_service]]*WWWW[[#This Row],[Total PoP ]]</f>
        <v>0</v>
      </c>
      <c r="EE363" s="566">
        <f>WWWW[[#This Row],[%_of_complaints_received_that_result_in_timely_corrective_action_and_feedback_to_the_community]]*WWWW[[#This Row],[Total PoP ]]</f>
        <v>0</v>
      </c>
      <c r="EF36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6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6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63" s="418" t="str">
        <f>VLOOKUP(WWWW[[#This Row],[Site Name]],SiteDB6[[Site Name]:[CCCM Management]],6,FALSE)</f>
        <v>Yes</v>
      </c>
      <c r="EJ363" s="418" t="str">
        <f>VLOOKUP(WWWW[[#This Row],[Site Name]],SiteDB6[[Site Name]:[CCCM Focal Agency]],7,FALSE)</f>
        <v>KBC-NSS</v>
      </c>
      <c r="EK363" s="418" t="str">
        <f>VLOOKUP(WWWW[[#This Row],[Site Name]],SiteDB6[[Site Name]:[Location Type 1]],9,FALSE)</f>
        <v>Camp</v>
      </c>
      <c r="EL363" s="418" t="str">
        <f>VLOOKUP(WWWW[[#This Row],[Site Name]],SiteDB6[[Site Name]:[Type of Accommodation]],10,FALSE)</f>
        <v>Camp</v>
      </c>
      <c r="EM363" s="418" t="str">
        <f>VLOOKUP(WWWW[[#This Row],[Site Name]],SiteDB6[[Site Name]:[Ethnic or GCA/NGCA]],11,FALSE)</f>
        <v>GCA</v>
      </c>
      <c r="EN363" s="418">
        <f>VLOOKUP(WWWW[[#This Row],[Site Name]],SiteDB6[[Site Name]:[Lat]],12,FALSE)</f>
        <v>23.354268999999999</v>
      </c>
      <c r="EO363" s="418">
        <f>VLOOKUP(WWWW[[#This Row],[Site Name]],SiteDB6[[Site Name]:[Long]],13,FALSE)</f>
        <v>98.218626999999998</v>
      </c>
      <c r="EP363" s="418" t="str">
        <f>VLOOKUP(WWWW[[#This Row],[Site Name]],SiteDB6[[Site Name]:[Pcode]],3,FALSE)</f>
        <v>MMR015CMP036</v>
      </c>
      <c r="EQ363" s="950" t="str">
        <f t="shared" si="8"/>
        <v>Covered</v>
      </c>
      <c r="ER363" s="950" t="s">
        <v>3126</v>
      </c>
      <c r="ES363" s="950" t="s">
        <v>3311</v>
      </c>
      <c r="ET363" s="418">
        <f>VLOOKUP(WWWW[[#This Row],[Site Name]],SiteDB6[[Site Name]:[Pop
(Kachin/Shan-CCCM as of May 2023)]],16,FALSE)</f>
        <v>33</v>
      </c>
      <c r="EU363" s="418">
        <f>VLOOKUP(WWWW[[#This Row],[Site Name]],SiteDB6[[Site Name]:[Pop
(Kachin/Shan-CCCM as of May 2023)]],17,FALSE)</f>
        <v>158</v>
      </c>
    </row>
    <row r="364" spans="1:151">
      <c r="A364" s="946" t="s">
        <v>2962</v>
      </c>
      <c r="B364" s="946" t="s">
        <v>192</v>
      </c>
      <c r="C364" s="938" t="s">
        <v>192</v>
      </c>
      <c r="D364" s="938" t="s">
        <v>299</v>
      </c>
      <c r="E364" s="938" t="s">
        <v>515</v>
      </c>
      <c r="F364" s="938" t="s">
        <v>534</v>
      </c>
      <c r="G364" s="902" t="str">
        <f>VLOOKUP(WWWW[[#This Row],[Site Name]],SiteDB6[[Site Name]:[Location Type]],8,FALSE)</f>
        <v>Camp</v>
      </c>
      <c r="H364" s="938" t="s">
        <v>563</v>
      </c>
      <c r="I364" s="441">
        <v>42</v>
      </c>
      <c r="J364" s="441">
        <v>195</v>
      </c>
      <c r="K364" s="964">
        <v>44511</v>
      </c>
      <c r="L364" s="965">
        <v>45146</v>
      </c>
      <c r="M364" s="441"/>
      <c r="N364" s="441"/>
      <c r="O364" s="441"/>
      <c r="P364" s="441"/>
      <c r="Q364" s="421"/>
      <c r="R364" s="441">
        <v>4</v>
      </c>
      <c r="S364" s="441">
        <v>4</v>
      </c>
      <c r="T364" s="441"/>
      <c r="U364" s="441"/>
      <c r="V364" s="441"/>
      <c r="W364" s="441">
        <v>1</v>
      </c>
      <c r="X364" s="441"/>
      <c r="Y364" s="441"/>
      <c r="Z364" s="441"/>
      <c r="AA364" s="441">
        <v>1</v>
      </c>
      <c r="AB364" s="441"/>
      <c r="AC364" s="441"/>
      <c r="AD364" s="441"/>
      <c r="AE364" s="441"/>
      <c r="AF364" s="441"/>
      <c r="AG364" s="441"/>
      <c r="AH364" s="441">
        <v>1</v>
      </c>
      <c r="AI364" s="441"/>
      <c r="AJ364" s="441"/>
      <c r="AK364" s="441"/>
      <c r="AL364" s="441"/>
      <c r="AM364" s="441">
        <v>1</v>
      </c>
      <c r="AN364" s="441"/>
      <c r="AO364" s="441"/>
      <c r="AP364" s="950"/>
      <c r="AQ364" s="441">
        <v>38</v>
      </c>
      <c r="AR364" s="441"/>
      <c r="AS364" s="416"/>
      <c r="AT364" s="441"/>
      <c r="AU364" s="441"/>
      <c r="AV364" s="441"/>
      <c r="AW364" s="441"/>
      <c r="AX364" s="441"/>
      <c r="AY364" s="418" t="s">
        <v>136</v>
      </c>
      <c r="AZ364" s="950" t="s">
        <v>136</v>
      </c>
      <c r="BA364" s="441"/>
      <c r="BB364" s="441"/>
      <c r="BC364" s="441"/>
      <c r="BD364" s="441"/>
      <c r="BE364" s="441"/>
      <c r="BF364" s="418"/>
      <c r="BG364" s="441"/>
      <c r="BH364" s="441"/>
      <c r="BI364" s="441"/>
      <c r="BJ364" s="441"/>
      <c r="BK364" s="441"/>
      <c r="BL364" s="441"/>
      <c r="BM364" s="441">
        <v>1</v>
      </c>
      <c r="BN364" s="441"/>
      <c r="BO364" s="441"/>
      <c r="BP364" s="418" t="s">
        <v>41</v>
      </c>
      <c r="BQ364" s="417"/>
      <c r="BR364" s="416"/>
      <c r="BS364" s="418"/>
      <c r="BT364" s="416"/>
      <c r="BU364" s="416"/>
      <c r="BV364" s="418"/>
      <c r="BW364" s="416"/>
      <c r="BX364" s="441"/>
      <c r="BY364" s="441"/>
      <c r="BZ364" s="441"/>
      <c r="CA364" s="441"/>
      <c r="CB364" s="441"/>
      <c r="CC364" s="693"/>
      <c r="CD364" s="441"/>
      <c r="CE364" s="615" t="str">
        <f>IFERROR(WWWW[[#This Row],['#_Water sources passed]]/WWWW[[#This Row],['#_Water sources tested for fecal coliform ]],"no test")</f>
        <v>no test</v>
      </c>
      <c r="CF364" s="416" t="str">
        <f>IFERROR(WWWW[[#This Row],['#_Household passed]]/WWWW[[#This Row],['#_Household water samples tested for fecal coliform]],"no test")</f>
        <v>no test</v>
      </c>
      <c r="CG364" s="417" t="str">
        <f>IF(AND(WWWW[[#This Row],[% of water sources passed]]="no test",WWWW[[#This Row],[% Household passed]]="no test"),"No Test","Tested")</f>
        <v>No Test</v>
      </c>
      <c r="CH364" s="417">
        <f>WWWW[[#This Row],['#_Constructed/existing protected hand dug well]]-WWWW[[#This Row],['#_Non-functional protected hand dug well]]</f>
        <v>0</v>
      </c>
      <c r="CI364" s="417">
        <f>(WWWW[[#This Row],['#_Constructed/Existing tube wells/boreholes/handpumps_WASH_agency]]+WWWW[[#This Row],['#_Non-Cluster partner water tube-wells/boreholes/handpumps]])-WWWW[[#This Row],['#_Non-functional tube wells/boreholes/handpumps]]</f>
        <v>1</v>
      </c>
      <c r="CJ364" s="417">
        <f>WWWW[[#This Row],['#_Constructed/Existingwater storage tank with gravity fed reticulation system]]-WWWW[[#This Row],['#_Non-functional storage tank gravity fed reticulation system]]</f>
        <v>1</v>
      </c>
      <c r="CK364" s="417">
        <f>(WWWW[[#This Row],['#_Water_Liters_supplied_by_Water boating or water trucking]]/90)/15</f>
        <v>0</v>
      </c>
      <c r="CL364" s="417">
        <f>WWWW[[#This Row],['#_Water_Liters_from_Constructed/Existing water distribution system from river or natural spring]]/90/15</f>
        <v>0</v>
      </c>
      <c r="CM364" s="417">
        <f>IF(WWWW[[#This Row],['#_of water points in TLS/CFS]]*500&gt;WWWW[[#This Row],[Total PoP ]],WWWW[[#This Row],[Total PoP ]],WWWW[[#This Row],['#_of water points in TLS/CFS]]*500)</f>
        <v>0</v>
      </c>
      <c r="CN364" s="417">
        <f>IF(WWWW[[#This Row],['#_of water points in THF]]*500&gt;WWWW[[#This Row],[Total PoP ]],WWWW[[#This Row],[Total PoP ]],WWWW[[#This Row],['#_of water points in THF]]*500)</f>
        <v>0</v>
      </c>
      <c r="CO364" s="417"/>
      <c r="CP364"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64"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64" s="416">
        <f>IF(WWWW[[#This Row],[Location Type 1]]="Village",WWWW[[#This Row],[Access to safe drinking water for Village]],WWWW[[#This Row],[Access to safe drinking water for Camp]])</f>
        <v>1</v>
      </c>
      <c r="CS364" s="421">
        <f>WWWW[[#This Row],[%Equitable and continuous access to sufficient quantity of safe drinking water]]*WWWW[[#This Row],[Total PoP ]]</f>
        <v>195</v>
      </c>
      <c r="CT364" s="416">
        <f>IF((WWWW[[#This Row],['#_Constructed/Existing protected/fenced ponds]]*250)/WWWW[[#This Row],[Total PoP ]]&gt;1,1,(WWWW[[#This Row],['#_Constructed/Existing protected/fenced ponds]]*250)/WWWW[[#This Row],[Total PoP ]])</f>
        <v>0</v>
      </c>
      <c r="CU364" s="421">
        <f>WWWW[[#This Row],[% Access to unimproved water points]]*WWWW[[#This Row],[Total PoP ]]</f>
        <v>0</v>
      </c>
      <c r="CV364"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64"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195</v>
      </c>
      <c r="CX364" s="421">
        <f>WWWW[[#This Row],[HRP1]]/500</f>
        <v>0.39</v>
      </c>
      <c r="CY364" s="951">
        <f>1-WWWW[[#This Row],[% Equitable and continuous access to sufficient quantity of domestic water]]</f>
        <v>0</v>
      </c>
      <c r="CZ364" s="421">
        <f>WWWW[[#This Row],[%equitable and continuous access to sufficient quantity of safe drinking and domestic water''s GAP]]*WWWW[[#This Row],[Total PoP ]]</f>
        <v>0</v>
      </c>
      <c r="DA364" s="417">
        <f>IF(WWWW[[#This Row],[Total required water points]]-WWWW[[#This Row],['#Water points coverage]]&lt;0,0,WWWW[[#This Row],[Total required water points]]-WWWW[[#This Row],['#Water points coverage]])</f>
        <v>0.61</v>
      </c>
      <c r="DB364" s="417">
        <f>ROUND(IF(WWWW[[#This Row],[Total PoP ]]&lt;500,1,WWWW[[#This Row],[Total PoP ]]/500),0)</f>
        <v>1</v>
      </c>
      <c r="DC364" s="417">
        <f>(WWWW[[#This Row],['#_Constructed latrines_by_WASHAgencies]]+WWWW[[#This Row],['#_Non Cluster partner latrines]])-WWWW[[#This Row],['#_Non-functional latrines]]</f>
        <v>38</v>
      </c>
      <c r="DD364" s="615">
        <f>WWWW[[#This Row],[HRP2]]/WWWW[[#This Row],[Total PoP ]]</f>
        <v>1</v>
      </c>
      <c r="DE364"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195</v>
      </c>
      <c r="DF364"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64"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64" s="417">
        <f>IF(WWWW[[#This Row],['# of functional latrines in THF supported by WASH partners during the reporting period2]]="",0,WWWW[[#This Row],['# of functional latrines in THF supported by WASH partners during the reporting period2]]*50)</f>
        <v>0</v>
      </c>
      <c r="DI364" s="417">
        <f>ROUND(IF(WWWW[[#This Row],[Location Type 1]]="camp",WWWW[[#This Row],[Total PoP ]]/20,IF(WWWW[[#This Row],[Location Type 1]]="Temporary Location",WWWW[[#This Row],[Total PoP ]]/50,(WWWW[[#This Row],[Total PoP ]]/6))),0)</f>
        <v>10</v>
      </c>
      <c r="DJ364" s="417">
        <f>IF(WWWW[[#This Row],[Total required Latrines]]-(WWWW[[#This Row],['#_Constructed latrines_by_WASHAgencies]]+WWWW[[#This Row],['#_Non Cluster partner latrines]])&lt;0,0,WWWW[[#This Row],[Total required Latrines]]-(WWWW[[#This Row],['#_Constructed latrines_by_WASHAgencies]]+WWWW[[#This Row],['#_Non Cluster partner latrines]]))</f>
        <v>0</v>
      </c>
      <c r="DK364" s="951">
        <f>1-WWWW[[#This Row],[% people access to functioning Latrine]]</f>
        <v>0</v>
      </c>
      <c r="DL364" s="615">
        <f>IF(OR(WWWW[[#This Row],['#_Non-functional latrines]]="",WWWW[[#This Row],['#_Non-functional latrines]]=0),0,WWWW[[#This Row],['#_Non-functional latrines]]/(WWWW[[#This Row],['#_Constructed latrines_by_WASHAgencies]]+WWWW[[#This Row],['#_Non Cluster partner latrines]]))</f>
        <v>0</v>
      </c>
      <c r="DM364" s="421">
        <f>IF(500*(WWWW[[#This Row],['#_male hygiene promoters]]+WWWW[[#This Row],['#_female hygiene promoters]])&gt;WWWW[[#This Row],[Total PoP ]],WWWW[[#This Row],[Total PoP ]],500*(WWWW[[#This Row],['#_male hygiene promoters]]+WWWW[[#This Row],['#_female hygiene promoters]]))</f>
        <v>195</v>
      </c>
      <c r="DN364"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64"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64" s="417">
        <f>IF(WWWW[[#This Row],['# People with access to soap]]&gt;WWWW[[#This Row],['# People with access to Sanity Pads]],WWWW[[#This Row],['# People with access to soap]],WWWW[[#This Row],['# People with access to Sanity Pads]])</f>
        <v>0</v>
      </c>
      <c r="DQ364" s="417">
        <f>IF(WWWW[[#This Row],['# people reached by regular dedicated hygiene promotion_5]]&gt;WWWW[[#This Row],['# People received regular supply of hygiene items_6]],WWWW[[#This Row],['# people reached by regular dedicated hygiene promotion_5]],WWWW[[#This Row],['# People received regular supply of hygiene items_6]])</f>
        <v>195</v>
      </c>
      <c r="DR364" s="951">
        <f>IF(WWWW[[#This Row],[HRP3]]/WWWW[[#This Row],[Total PoP ]]&gt;1,1,WWWW[[#This Row],[HRP3]]/WWWW[[#This Row],[Total PoP ]])</f>
        <v>1</v>
      </c>
      <c r="DS364" s="615">
        <f>1-WWWW[[#This Row],[Hygiene Coverage%]]</f>
        <v>0</v>
      </c>
      <c r="DT364" s="416">
        <f>WWWW[[#This Row],['# people reached by regular dedicated hygiene promotion_5]]/WWWW[[#This Row],[Total PoP ]]</f>
        <v>1</v>
      </c>
      <c r="DU364"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64"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64" s="417">
        <f>WWWW[[#This Row],['#_Constructed/Existing hand washing stations]]-WWWW[[#This Row],['#_Non-Functional_hand_washing_stations]]</f>
        <v>0</v>
      </c>
      <c r="DX364" s="421">
        <f>IF(WWWW[[#This Row],['# Functional hand washing stations during reporting period]]*20&gt;WWWW[[#This Row],[Total HH]],WWWW[[#This Row],[Total HH]],WWWW[[#This Row],['# Functional hand washing stations during reporting period]]*20)</f>
        <v>0</v>
      </c>
      <c r="DY364" s="421">
        <f>IF(WWWW[[#This Row],[Is sufficient soap available for TLS? (Yes/No)]]="yes",WWWW[[#This Row],['#_Constructed/Existing hand washing stations at TLS/CFS/THF]],0)</f>
        <v>1</v>
      </c>
      <c r="DZ364" s="421">
        <f>IF(WWWW[[#This Row],['# Functional hand washing stations during reporting period]]*100&gt;WWWW[[#This Row],[Total PoP ]],WWWW[[#This Row],[Total PoP ]],WWWW[[#This Row],['# Functional hand washing stations during reporting period]]*100)</f>
        <v>0</v>
      </c>
      <c r="EA364" s="421" t="str">
        <f>IF(OR(WWWW[[#This Row],['#_students at TLS_CFS]]="",WWWW[[#This Row],['#_students at TLS_CFS]]=0),"No","Yes")</f>
        <v>No</v>
      </c>
      <c r="EB36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64" s="566">
        <f>WWWW[[#This Row],[%_of_affected_people_surveyed_who_report_feeling_satistfied_with_the_latrine_design_and_sanitation_service]]*WWWW[[#This Row],[Total PoP ]]</f>
        <v>0</v>
      </c>
      <c r="ED364" s="566">
        <f>WWWW[[#This Row],[%_of_affected_people_surveyed_who_report_feeling_satistfied_with_the_water_point_design_and_water_service]]*WWWW[[#This Row],[Total PoP ]]</f>
        <v>0</v>
      </c>
      <c r="EE364" s="566">
        <f>WWWW[[#This Row],[%_of_complaints_received_that_result_in_timely_corrective_action_and_feedback_to_the_community]]*WWWW[[#This Row],[Total PoP ]]</f>
        <v>0</v>
      </c>
      <c r="EF36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6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6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64" s="418">
        <f>VLOOKUP(WWWW[[#This Row],[Site Name]],SiteDB6[[Site Name]:[CCCM Management]],6,FALSE)</f>
        <v>0</v>
      </c>
      <c r="EJ364" s="418">
        <f>VLOOKUP(WWWW[[#This Row],[Site Name]],SiteDB6[[Site Name]:[CCCM Focal Agency]],7,FALSE)</f>
        <v>0</v>
      </c>
      <c r="EK364" s="418" t="str">
        <f>VLOOKUP(WWWW[[#This Row],[Site Name]],SiteDB6[[Site Name]:[Location Type 1]],9,FALSE)</f>
        <v>Camp</v>
      </c>
      <c r="EL364" s="418" t="str">
        <f>VLOOKUP(WWWW[[#This Row],[Site Name]],SiteDB6[[Site Name]:[Type of Accommodation]],10,FALSE)</f>
        <v>Closed Camp</v>
      </c>
      <c r="EM364" s="418" t="str">
        <f>VLOOKUP(WWWW[[#This Row],[Site Name]],SiteDB6[[Site Name]:[Ethnic or GCA/NGCA]],11,FALSE)</f>
        <v>GCA</v>
      </c>
      <c r="EN364" s="418">
        <f>VLOOKUP(WWWW[[#This Row],[Site Name]],SiteDB6[[Site Name]:[Lat]],12,FALSE)</f>
        <v>23.353999999999999</v>
      </c>
      <c r="EO364" s="418">
        <f>VLOOKUP(WWWW[[#This Row],[Site Name]],SiteDB6[[Site Name]:[Long]],13,FALSE)</f>
        <v>98.221000000000004</v>
      </c>
      <c r="EP364" s="418" t="str">
        <f>VLOOKUP(WWWW[[#This Row],[Site Name]],SiteDB6[[Site Name]:[Pcode]],3,FALSE)</f>
        <v>MMR015CMP226</v>
      </c>
      <c r="EQ364" s="950" t="str">
        <f t="shared" si="8"/>
        <v>Covered</v>
      </c>
      <c r="ER364" s="950" t="s">
        <v>3126</v>
      </c>
      <c r="ES364" s="950" t="s">
        <v>3312</v>
      </c>
      <c r="ET364" s="418">
        <f>VLOOKUP(WWWW[[#This Row],[Site Name]],SiteDB6[[Site Name]:[Pop
(Kachin/Shan-CCCM as of May 2023)]],16,FALSE)</f>
        <v>0</v>
      </c>
      <c r="EU364" s="418">
        <f>VLOOKUP(WWWW[[#This Row],[Site Name]],SiteDB6[[Site Name]:[Pop
(Kachin/Shan-CCCM as of May 2023)]],17,FALSE)</f>
        <v>0</v>
      </c>
    </row>
    <row r="365" spans="1:151">
      <c r="A365" s="946" t="s">
        <v>2962</v>
      </c>
      <c r="B365" s="946" t="s">
        <v>311</v>
      </c>
      <c r="C365" s="938" t="s">
        <v>2672</v>
      </c>
      <c r="D365" s="938" t="s">
        <v>3099</v>
      </c>
      <c r="E365" s="938" t="s">
        <v>515</v>
      </c>
      <c r="F365" s="938" t="s">
        <v>556</v>
      </c>
      <c r="G365" s="902" t="str">
        <f>VLOOKUP(WWWW[[#This Row],[Site Name]],SiteDB6[[Site Name]:[Location Type]],8,FALSE)</f>
        <v>Camp</v>
      </c>
      <c r="H365" s="938" t="s">
        <v>557</v>
      </c>
      <c r="I365" s="441">
        <v>37</v>
      </c>
      <c r="J365" s="441">
        <v>120</v>
      </c>
      <c r="K365" s="948">
        <v>44774</v>
      </c>
      <c r="L365" s="949">
        <v>45046</v>
      </c>
      <c r="M365" s="441"/>
      <c r="N365" s="441"/>
      <c r="O365" s="441"/>
      <c r="P365" s="441"/>
      <c r="Q365" s="421"/>
      <c r="R365" s="441"/>
      <c r="S365" s="441"/>
      <c r="T365" s="441"/>
      <c r="U365" s="441"/>
      <c r="V365" s="441"/>
      <c r="W365" s="441"/>
      <c r="X365" s="441"/>
      <c r="Y365" s="441"/>
      <c r="Z365" s="441"/>
      <c r="AA365" s="441"/>
      <c r="AB365" s="441"/>
      <c r="AC365" s="441"/>
      <c r="AD365" s="441"/>
      <c r="AE365" s="441"/>
      <c r="AF365" s="441"/>
      <c r="AG365" s="441"/>
      <c r="AH365" s="441"/>
      <c r="AI365" s="441"/>
      <c r="AJ365" s="441"/>
      <c r="AK365" s="441"/>
      <c r="AL365" s="441"/>
      <c r="AM365" s="441"/>
      <c r="AN365" s="441"/>
      <c r="AO365" s="441"/>
      <c r="AP365" s="950"/>
      <c r="AQ365" s="441"/>
      <c r="AR365" s="441"/>
      <c r="AS365" s="416"/>
      <c r="AT365" s="441"/>
      <c r="AU365" s="441"/>
      <c r="AV365" s="441"/>
      <c r="AW365" s="441"/>
      <c r="AX365" s="441"/>
      <c r="AY365" s="418" t="s">
        <v>136</v>
      </c>
      <c r="AZ365" s="950" t="s">
        <v>136</v>
      </c>
      <c r="BA365" s="441"/>
      <c r="BB365" s="441"/>
      <c r="BC365" s="441"/>
      <c r="BD365" s="441"/>
      <c r="BE365" s="441"/>
      <c r="BF365" s="418"/>
      <c r="BG365" s="441"/>
      <c r="BH365" s="441"/>
      <c r="BI365" s="441"/>
      <c r="BJ365" s="441"/>
      <c r="BK365" s="441"/>
      <c r="BL365" s="441"/>
      <c r="BM365" s="441"/>
      <c r="BN365" s="441">
        <v>9</v>
      </c>
      <c r="BO365" s="441">
        <v>14</v>
      </c>
      <c r="BP365" s="418" t="s">
        <v>41</v>
      </c>
      <c r="BQ365" s="417"/>
      <c r="BR365" s="416"/>
      <c r="BS365" s="418"/>
      <c r="BT365" s="416"/>
      <c r="BU365" s="416"/>
      <c r="BV365" s="418"/>
      <c r="BW365" s="416"/>
      <c r="BX365" s="441"/>
      <c r="BY365" s="441"/>
      <c r="BZ365" s="441"/>
      <c r="CA365" s="441"/>
      <c r="CB365" s="441"/>
      <c r="CC365" s="693"/>
      <c r="CD365" s="441"/>
      <c r="CE365" s="615" t="str">
        <f>IFERROR(WWWW[[#This Row],['#_Water sources passed]]/WWWW[[#This Row],['#_Water sources tested for fecal coliform ]],"no test")</f>
        <v>no test</v>
      </c>
      <c r="CF365" s="416" t="str">
        <f>IFERROR(WWWW[[#This Row],['#_Household passed]]/WWWW[[#This Row],['#_Household water samples tested for fecal coliform]],"no test")</f>
        <v>no test</v>
      </c>
      <c r="CG365" s="417" t="str">
        <f>IF(AND(WWWW[[#This Row],[% of water sources passed]]="no test",WWWW[[#This Row],[% Household passed]]="no test"),"No Test","Tested")</f>
        <v>No Test</v>
      </c>
      <c r="CH365" s="417">
        <f>WWWW[[#This Row],['#_Constructed/existing protected hand dug well]]-WWWW[[#This Row],['#_Non-functional protected hand dug well]]</f>
        <v>0</v>
      </c>
      <c r="CI365" s="417">
        <f>(WWWW[[#This Row],['#_Constructed/Existing tube wells/boreholes/handpumps_WASH_agency]]+WWWW[[#This Row],['#_Non-Cluster partner water tube-wells/boreholes/handpumps]])-WWWW[[#This Row],['#_Non-functional tube wells/boreholes/handpumps]]</f>
        <v>0</v>
      </c>
      <c r="CJ365" s="417">
        <f>WWWW[[#This Row],['#_Constructed/Existingwater storage tank with gravity fed reticulation system]]-WWWW[[#This Row],['#_Non-functional storage tank gravity fed reticulation system]]</f>
        <v>0</v>
      </c>
      <c r="CK365" s="417">
        <f>(WWWW[[#This Row],['#_Water_Liters_supplied_by_Water boating or water trucking]]/90)/15</f>
        <v>0</v>
      </c>
      <c r="CL365" s="417">
        <f>WWWW[[#This Row],['#_Water_Liters_from_Constructed/Existing water distribution system from river or natural spring]]/90/15</f>
        <v>0</v>
      </c>
      <c r="CM365" s="417">
        <f>IF(WWWW[[#This Row],['#_of water points in TLS/CFS]]*500&gt;WWWW[[#This Row],[Total PoP ]],WWWW[[#This Row],[Total PoP ]],WWWW[[#This Row],['#_of water points in TLS/CFS]]*500)</f>
        <v>0</v>
      </c>
      <c r="CN365" s="417">
        <f>IF(WWWW[[#This Row],['#_of water points in THF]]*500&gt;WWWW[[#This Row],[Total PoP ]],WWWW[[#This Row],[Total PoP ]],WWWW[[#This Row],['#_of water points in THF]]*500)</f>
        <v>0</v>
      </c>
      <c r="CO365" s="417"/>
      <c r="CP365"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65"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65" s="416">
        <f>IF(WWWW[[#This Row],[Location Type 1]]="Village",WWWW[[#This Row],[Access to safe drinking water for Village]],WWWW[[#This Row],[Access to safe drinking water for Camp]])</f>
        <v>0</v>
      </c>
      <c r="CS365" s="421">
        <f>WWWW[[#This Row],[%Equitable and continuous access to sufficient quantity of safe drinking water]]*WWWW[[#This Row],[Total PoP ]]</f>
        <v>0</v>
      </c>
      <c r="CT365" s="416">
        <f>IF((WWWW[[#This Row],['#_Constructed/Existing protected/fenced ponds]]*250)/WWWW[[#This Row],[Total PoP ]]&gt;1,1,(WWWW[[#This Row],['#_Constructed/Existing protected/fenced ponds]]*250)/WWWW[[#This Row],[Total PoP ]])</f>
        <v>0</v>
      </c>
      <c r="CU365" s="421">
        <f>WWWW[[#This Row],[% Access to unimproved water points]]*WWWW[[#This Row],[Total PoP ]]</f>
        <v>0</v>
      </c>
      <c r="CV365"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65"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65" s="421">
        <f>WWWW[[#This Row],[HRP1]]/500</f>
        <v>0</v>
      </c>
      <c r="CY365" s="951">
        <f>1-WWWW[[#This Row],[% Equitable and continuous access to sufficient quantity of domestic water]]</f>
        <v>1</v>
      </c>
      <c r="CZ365" s="421">
        <f>WWWW[[#This Row],[%equitable and continuous access to sufficient quantity of safe drinking and domestic water''s GAP]]*WWWW[[#This Row],[Total PoP ]]</f>
        <v>120</v>
      </c>
      <c r="DA365" s="417">
        <f>IF(WWWW[[#This Row],[Total required water points]]-WWWW[[#This Row],['#Water points coverage]]&lt;0,0,WWWW[[#This Row],[Total required water points]]-WWWW[[#This Row],['#Water points coverage]])</f>
        <v>1</v>
      </c>
      <c r="DB365" s="417">
        <f>ROUND(IF(WWWW[[#This Row],[Total PoP ]]&lt;500,1,WWWW[[#This Row],[Total PoP ]]/500),0)</f>
        <v>1</v>
      </c>
      <c r="DC365" s="417">
        <f>(WWWW[[#This Row],['#_Constructed latrines_by_WASHAgencies]]+WWWW[[#This Row],['#_Non Cluster partner latrines]])-WWWW[[#This Row],['#_Non-functional latrines]]</f>
        <v>0</v>
      </c>
      <c r="DD365" s="615">
        <f>WWWW[[#This Row],[HRP2]]/WWWW[[#This Row],[Total PoP ]]</f>
        <v>0</v>
      </c>
      <c r="DE365"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65"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65"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65" s="417">
        <f>IF(WWWW[[#This Row],['# of functional latrines in THF supported by WASH partners during the reporting period2]]="",0,WWWW[[#This Row],['# of functional latrines in THF supported by WASH partners during the reporting period2]]*50)</f>
        <v>0</v>
      </c>
      <c r="DI365" s="417">
        <f>ROUND(IF(WWWW[[#This Row],[Location Type 1]]="camp",WWWW[[#This Row],[Total PoP ]]/20,IF(WWWW[[#This Row],[Location Type 1]]="Temporary Location",WWWW[[#This Row],[Total PoP ]]/50,(WWWW[[#This Row],[Total PoP ]]/6))),0)</f>
        <v>6</v>
      </c>
      <c r="DJ365" s="417">
        <f>IF(WWWW[[#This Row],[Total required Latrines]]-(WWWW[[#This Row],['#_Constructed latrines_by_WASHAgencies]]+WWWW[[#This Row],['#_Non Cluster partner latrines]])&lt;0,0,WWWW[[#This Row],[Total required Latrines]]-(WWWW[[#This Row],['#_Constructed latrines_by_WASHAgencies]]+WWWW[[#This Row],['#_Non Cluster partner latrines]]))</f>
        <v>6</v>
      </c>
      <c r="DK365" s="951">
        <f>1-WWWW[[#This Row],[% people access to functioning Latrine]]</f>
        <v>1</v>
      </c>
      <c r="DL365" s="615">
        <f>IF(OR(WWWW[[#This Row],['#_Non-functional latrines]]="",WWWW[[#This Row],['#_Non-functional latrines]]=0),0,WWWW[[#This Row],['#_Non-functional latrines]]/(WWWW[[#This Row],['#_Constructed latrines_by_WASHAgencies]]+WWWW[[#This Row],['#_Non Cluster partner latrines]]))</f>
        <v>0</v>
      </c>
      <c r="DM365" s="421">
        <f>IF(500*(WWWW[[#This Row],['#_male hygiene promoters]]+WWWW[[#This Row],['#_female hygiene promoters]])&gt;WWWW[[#This Row],[Total PoP ]],WWWW[[#This Row],[Total PoP ]],500*(WWWW[[#This Row],['#_male hygiene promoters]]+WWWW[[#This Row],['#_female hygiene promoters]]))</f>
        <v>0</v>
      </c>
      <c r="DN365"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45</v>
      </c>
      <c r="DO365"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14</v>
      </c>
      <c r="DP365" s="417">
        <f>IF(WWWW[[#This Row],['# People with access to soap]]&gt;WWWW[[#This Row],['# People with access to Sanity Pads]],WWWW[[#This Row],['# People with access to soap]],WWWW[[#This Row],['# People with access to Sanity Pads]])</f>
        <v>45</v>
      </c>
      <c r="DQ365" s="417">
        <f>IF(WWWW[[#This Row],['# people reached by regular dedicated hygiene promotion_5]]&gt;WWWW[[#This Row],['# People received regular supply of hygiene items_6]],WWWW[[#This Row],['# people reached by regular dedicated hygiene promotion_5]],WWWW[[#This Row],['# People received regular supply of hygiene items_6]])</f>
        <v>45</v>
      </c>
      <c r="DR365" s="951">
        <f>IF(WWWW[[#This Row],[HRP3]]/WWWW[[#This Row],[Total PoP ]]&gt;1,1,WWWW[[#This Row],[HRP3]]/WWWW[[#This Row],[Total PoP ]])</f>
        <v>0.375</v>
      </c>
      <c r="DS365" s="615">
        <f>1-WWWW[[#This Row],[Hygiene Coverage%]]</f>
        <v>0.625</v>
      </c>
      <c r="DT365" s="416">
        <f>WWWW[[#This Row],['# people reached by regular dedicated hygiene promotion_5]]/WWWW[[#This Row],[Total PoP ]]</f>
        <v>0</v>
      </c>
      <c r="DU365"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0.97297297297297303</v>
      </c>
      <c r="DV365"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0.3783783783783784</v>
      </c>
      <c r="DW365" s="417">
        <f>WWWW[[#This Row],['#_Constructed/Existing hand washing stations]]-WWWW[[#This Row],['#_Non-Functional_hand_washing_stations]]</f>
        <v>0</v>
      </c>
      <c r="DX365" s="421">
        <f>IF(WWWW[[#This Row],['# Functional hand washing stations during reporting period]]*20&gt;WWWW[[#This Row],[Total HH]],WWWW[[#This Row],[Total HH]],WWWW[[#This Row],['# Functional hand washing stations during reporting period]]*20)</f>
        <v>0</v>
      </c>
      <c r="DY365" s="421">
        <f>IF(WWWW[[#This Row],[Is sufficient soap available for TLS? (Yes/No)]]="yes",WWWW[[#This Row],['#_Constructed/Existing hand washing stations at TLS/CFS/THF]],0)</f>
        <v>0</v>
      </c>
      <c r="DZ365" s="421">
        <f>IF(WWWW[[#This Row],['# Functional hand washing stations during reporting period]]*100&gt;WWWW[[#This Row],[Total PoP ]],WWWW[[#This Row],[Total PoP ]],WWWW[[#This Row],['# Functional hand washing stations during reporting period]]*100)</f>
        <v>0</v>
      </c>
      <c r="EA365" s="421" t="str">
        <f>IF(OR(WWWW[[#This Row],['#_students at TLS_CFS]]="",WWWW[[#This Row],['#_students at TLS_CFS]]=0),"No","Yes")</f>
        <v>No</v>
      </c>
      <c r="EB36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65" s="566">
        <f>WWWW[[#This Row],[%_of_affected_people_surveyed_who_report_feeling_satistfied_with_the_latrine_design_and_sanitation_service]]*WWWW[[#This Row],[Total PoP ]]</f>
        <v>0</v>
      </c>
      <c r="ED365" s="566">
        <f>WWWW[[#This Row],[%_of_affected_people_surveyed_who_report_feeling_satistfied_with_the_water_point_design_and_water_service]]*WWWW[[#This Row],[Total PoP ]]</f>
        <v>0</v>
      </c>
      <c r="EE365" s="566">
        <f>WWWW[[#This Row],[%_of_complaints_received_that_result_in_timely_corrective_action_and_feedback_to_the_community]]*WWWW[[#This Row],[Total PoP ]]</f>
        <v>0</v>
      </c>
      <c r="EF36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6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6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65" s="418">
        <f>VLOOKUP(WWWW[[#This Row],[Site Name]],SiteDB6[[Site Name]:[CCCM Management]],6,FALSE)</f>
        <v>0</v>
      </c>
      <c r="EJ365" s="418" t="str">
        <f>VLOOKUP(WWWW[[#This Row],[Site Name]],SiteDB6[[Site Name]:[CCCM Focal Agency]],7,FALSE)</f>
        <v>uncovered</v>
      </c>
      <c r="EK365" s="418" t="str">
        <f>VLOOKUP(WWWW[[#This Row],[Site Name]],SiteDB6[[Site Name]:[Location Type 1]],9,FALSE)</f>
        <v>Camp</v>
      </c>
      <c r="EL365" s="418" t="str">
        <f>VLOOKUP(WWWW[[#This Row],[Site Name]],SiteDB6[[Site Name]:[Type of Accommodation]],10,FALSE)</f>
        <v>Camp like setting</v>
      </c>
      <c r="EM365" s="418" t="str">
        <f>VLOOKUP(WWWW[[#This Row],[Site Name]],SiteDB6[[Site Name]:[Ethnic or GCA/NGCA]],11,FALSE)</f>
        <v>GCA</v>
      </c>
      <c r="EN365" s="418">
        <f>VLOOKUP(WWWW[[#This Row],[Site Name]],SiteDB6[[Site Name]:[Lat]],12,FALSE)</f>
        <v>22.677008000000001</v>
      </c>
      <c r="EO365" s="418">
        <f>VLOOKUP(WWWW[[#This Row],[Site Name]],SiteDB6[[Site Name]:[Long]],13,FALSE)</f>
        <v>97.314762999999999</v>
      </c>
      <c r="EP365" s="418" t="str">
        <f>VLOOKUP(WWWW[[#This Row],[Site Name]],SiteDB6[[Site Name]:[Pcode]],3,FALSE)</f>
        <v>MMR015CMP062</v>
      </c>
      <c r="EQ365" s="950" t="str">
        <f t="shared" si="8"/>
        <v>Covered</v>
      </c>
      <c r="ER365" s="950" t="s">
        <v>3126</v>
      </c>
      <c r="ES365" s="950"/>
      <c r="ET365" s="418">
        <f>VLOOKUP(WWWW[[#This Row],[Site Name]],SiteDB6[[Site Name]:[Pop
(Kachin/Shan-CCCM as of May 2023)]],16,FALSE)</f>
        <v>37</v>
      </c>
      <c r="EU365" s="418">
        <f>VLOOKUP(WWWW[[#This Row],[Site Name]],SiteDB6[[Site Name]:[Pop
(Kachin/Shan-CCCM as of May 2023)]],17,FALSE)</f>
        <v>120</v>
      </c>
    </row>
    <row r="366" spans="1:151">
      <c r="A366" s="946" t="s">
        <v>2962</v>
      </c>
      <c r="B366" s="946" t="s">
        <v>192</v>
      </c>
      <c r="C366" s="938" t="s">
        <v>192</v>
      </c>
      <c r="D366" s="938" t="s">
        <v>299</v>
      </c>
      <c r="E366" s="938" t="s">
        <v>515</v>
      </c>
      <c r="F366" s="938" t="s">
        <v>519</v>
      </c>
      <c r="G366" s="902" t="str">
        <f>VLOOKUP(WWWW[[#This Row],[Site Name]],SiteDB6[[Site Name]:[Location Type]],8,FALSE)</f>
        <v>Camp</v>
      </c>
      <c r="H366" s="938" t="s">
        <v>2881</v>
      </c>
      <c r="I366" s="441">
        <v>27</v>
      </c>
      <c r="J366" s="441">
        <v>162</v>
      </c>
      <c r="K366" s="964">
        <v>44511</v>
      </c>
      <c r="L366" s="965">
        <v>45146</v>
      </c>
      <c r="M366" s="441"/>
      <c r="N366" s="441"/>
      <c r="O366" s="441"/>
      <c r="P366" s="441"/>
      <c r="Q366" s="421"/>
      <c r="R366" s="441"/>
      <c r="S366" s="441"/>
      <c r="T366" s="441"/>
      <c r="U366" s="441"/>
      <c r="V366" s="441"/>
      <c r="W366" s="441"/>
      <c r="X366" s="441"/>
      <c r="Y366" s="441"/>
      <c r="Z366" s="441"/>
      <c r="AA366" s="441"/>
      <c r="AB366" s="441"/>
      <c r="AC366" s="441"/>
      <c r="AD366" s="441"/>
      <c r="AE366" s="441"/>
      <c r="AF366" s="441"/>
      <c r="AG366" s="441"/>
      <c r="AH366" s="441"/>
      <c r="AI366" s="441"/>
      <c r="AJ366" s="441"/>
      <c r="AK366" s="441"/>
      <c r="AL366" s="441"/>
      <c r="AM366" s="441"/>
      <c r="AN366" s="441"/>
      <c r="AO366" s="441"/>
      <c r="AP366" s="950"/>
      <c r="AQ366" s="441">
        <v>26</v>
      </c>
      <c r="AR366" s="441"/>
      <c r="AS366" s="416"/>
      <c r="AT366" s="441"/>
      <c r="AU366" s="441"/>
      <c r="AV366" s="441"/>
      <c r="AW366" s="441"/>
      <c r="AX366" s="441"/>
      <c r="AY366" s="418" t="s">
        <v>140</v>
      </c>
      <c r="AZ366" s="950" t="s">
        <v>140</v>
      </c>
      <c r="BA366" s="441"/>
      <c r="BB366" s="441"/>
      <c r="BC366" s="441"/>
      <c r="BD366" s="441"/>
      <c r="BE366" s="441"/>
      <c r="BF366" s="418"/>
      <c r="BG366" s="441">
        <v>7</v>
      </c>
      <c r="BH366" s="441"/>
      <c r="BI366" s="441"/>
      <c r="BJ366" s="441">
        <v>4</v>
      </c>
      <c r="BK366" s="441"/>
      <c r="BL366" s="441"/>
      <c r="BM366" s="441"/>
      <c r="BN366" s="441"/>
      <c r="BO366" s="441"/>
      <c r="BP366" s="418" t="s">
        <v>41</v>
      </c>
      <c r="BQ366" s="417"/>
      <c r="BR366" s="416"/>
      <c r="BS366" s="418"/>
      <c r="BT366" s="416"/>
      <c r="BU366" s="416"/>
      <c r="BV366" s="418"/>
      <c r="BW366" s="416"/>
      <c r="BX366" s="441"/>
      <c r="BY366" s="441"/>
      <c r="BZ366" s="441"/>
      <c r="CA366" s="441"/>
      <c r="CB366" s="441"/>
      <c r="CC366" s="693"/>
      <c r="CD366" s="441"/>
      <c r="CE366" s="615" t="str">
        <f>IFERROR(WWWW[[#This Row],['#_Water sources passed]]/WWWW[[#This Row],['#_Water sources tested for fecal coliform ]],"no test")</f>
        <v>no test</v>
      </c>
      <c r="CF366" s="416" t="str">
        <f>IFERROR(WWWW[[#This Row],['#_Household passed]]/WWWW[[#This Row],['#_Household water samples tested for fecal coliform]],"no test")</f>
        <v>no test</v>
      </c>
      <c r="CG366" s="417" t="str">
        <f>IF(AND(WWWW[[#This Row],[% of water sources passed]]="no test",WWWW[[#This Row],[% Household passed]]="no test"),"No Test","Tested")</f>
        <v>No Test</v>
      </c>
      <c r="CH366" s="417">
        <f>WWWW[[#This Row],['#_Constructed/existing protected hand dug well]]-WWWW[[#This Row],['#_Non-functional protected hand dug well]]</f>
        <v>0</v>
      </c>
      <c r="CI366" s="417">
        <f>(WWWW[[#This Row],['#_Constructed/Existing tube wells/boreholes/handpumps_WASH_agency]]+WWWW[[#This Row],['#_Non-Cluster partner water tube-wells/boreholes/handpumps]])-WWWW[[#This Row],['#_Non-functional tube wells/boreholes/handpumps]]</f>
        <v>0</v>
      </c>
      <c r="CJ366" s="417">
        <f>WWWW[[#This Row],['#_Constructed/Existingwater storage tank with gravity fed reticulation system]]-WWWW[[#This Row],['#_Non-functional storage tank gravity fed reticulation system]]</f>
        <v>0</v>
      </c>
      <c r="CK366" s="417">
        <f>(WWWW[[#This Row],['#_Water_Liters_supplied_by_Water boating or water trucking]]/90)/15</f>
        <v>0</v>
      </c>
      <c r="CL366" s="417">
        <f>WWWW[[#This Row],['#_Water_Liters_from_Constructed/Existing water distribution system from river or natural spring]]/90/15</f>
        <v>0</v>
      </c>
      <c r="CM366" s="417">
        <f>IF(WWWW[[#This Row],['#_of water points in TLS/CFS]]*500&gt;WWWW[[#This Row],[Total PoP ]],WWWW[[#This Row],[Total PoP ]],WWWW[[#This Row],['#_of water points in TLS/CFS]]*500)</f>
        <v>0</v>
      </c>
      <c r="CN366" s="417">
        <f>IF(WWWW[[#This Row],['#_of water points in THF]]*500&gt;WWWW[[#This Row],[Total PoP ]],WWWW[[#This Row],[Total PoP ]],WWWW[[#This Row],['#_of water points in THF]]*500)</f>
        <v>0</v>
      </c>
      <c r="CO366" s="417"/>
      <c r="CP366"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66"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66" s="416">
        <f>IF(WWWW[[#This Row],[Location Type 1]]="Village",WWWW[[#This Row],[Access to safe drinking water for Village]],WWWW[[#This Row],[Access to safe drinking water for Camp]])</f>
        <v>0</v>
      </c>
      <c r="CS366" s="421">
        <f>WWWW[[#This Row],[%Equitable and continuous access to sufficient quantity of safe drinking water]]*WWWW[[#This Row],[Total PoP ]]</f>
        <v>0</v>
      </c>
      <c r="CT366" s="416">
        <f>IF((WWWW[[#This Row],['#_Constructed/Existing protected/fenced ponds]]*250)/WWWW[[#This Row],[Total PoP ]]&gt;1,1,(WWWW[[#This Row],['#_Constructed/Existing protected/fenced ponds]]*250)/WWWW[[#This Row],[Total PoP ]])</f>
        <v>0</v>
      </c>
      <c r="CU366" s="421">
        <f>WWWW[[#This Row],[% Access to unimproved water points]]*WWWW[[#This Row],[Total PoP ]]</f>
        <v>0</v>
      </c>
      <c r="CV366"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66"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66" s="421">
        <f>WWWW[[#This Row],[HRP1]]/500</f>
        <v>0</v>
      </c>
      <c r="CY366" s="951">
        <f>1-WWWW[[#This Row],[% Equitable and continuous access to sufficient quantity of domestic water]]</f>
        <v>1</v>
      </c>
      <c r="CZ366" s="421">
        <f>WWWW[[#This Row],[%equitable and continuous access to sufficient quantity of safe drinking and domestic water''s GAP]]*WWWW[[#This Row],[Total PoP ]]</f>
        <v>162</v>
      </c>
      <c r="DA366" s="417">
        <f>IF(WWWW[[#This Row],[Total required water points]]-WWWW[[#This Row],['#Water points coverage]]&lt;0,0,WWWW[[#This Row],[Total required water points]]-WWWW[[#This Row],['#Water points coverage]])</f>
        <v>1</v>
      </c>
      <c r="DB366" s="417">
        <f>ROUND(IF(WWWW[[#This Row],[Total PoP ]]&lt;500,1,WWWW[[#This Row],[Total PoP ]]/500),0)</f>
        <v>1</v>
      </c>
      <c r="DC366" s="417">
        <f>(WWWW[[#This Row],['#_Constructed latrines_by_WASHAgencies]]+WWWW[[#This Row],['#_Non Cluster partner latrines]])-WWWW[[#This Row],['#_Non-functional latrines]]</f>
        <v>26</v>
      </c>
      <c r="DD366" s="615">
        <f>WWWW[[#This Row],[HRP2]]/WWWW[[#This Row],[Total PoP ]]</f>
        <v>1</v>
      </c>
      <c r="DE366"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162</v>
      </c>
      <c r="DF366"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66"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66" s="417">
        <f>IF(WWWW[[#This Row],['# of functional latrines in THF supported by WASH partners during the reporting period2]]="",0,WWWW[[#This Row],['# of functional latrines in THF supported by WASH partners during the reporting period2]]*50)</f>
        <v>0</v>
      </c>
      <c r="DI366" s="417">
        <f>ROUND(IF(WWWW[[#This Row],[Location Type 1]]="camp",WWWW[[#This Row],[Total PoP ]]/20,IF(WWWW[[#This Row],[Location Type 1]]="Temporary Location",WWWW[[#This Row],[Total PoP ]]/50,(WWWW[[#This Row],[Total PoP ]]/6))),0)</f>
        <v>8</v>
      </c>
      <c r="DJ366" s="417">
        <f>IF(WWWW[[#This Row],[Total required Latrines]]-(WWWW[[#This Row],['#_Constructed latrines_by_WASHAgencies]]+WWWW[[#This Row],['#_Non Cluster partner latrines]])&lt;0,0,WWWW[[#This Row],[Total required Latrines]]-(WWWW[[#This Row],['#_Constructed latrines_by_WASHAgencies]]+WWWW[[#This Row],['#_Non Cluster partner latrines]]))</f>
        <v>0</v>
      </c>
      <c r="DK366" s="951">
        <f>1-WWWW[[#This Row],[% people access to functioning Latrine]]</f>
        <v>0</v>
      </c>
      <c r="DL366" s="615">
        <f>IF(OR(WWWW[[#This Row],['#_Non-functional latrines]]="",WWWW[[#This Row],['#_Non-functional latrines]]=0),0,WWWW[[#This Row],['#_Non-functional latrines]]/(WWWW[[#This Row],['#_Constructed latrines_by_WASHAgencies]]+WWWW[[#This Row],['#_Non Cluster partner latrines]]))</f>
        <v>0</v>
      </c>
      <c r="DM366" s="421">
        <f>IF(500*(WWWW[[#This Row],['#_male hygiene promoters]]+WWWW[[#This Row],['#_female hygiene promoters]])&gt;WWWW[[#This Row],[Total PoP ]],WWWW[[#This Row],[Total PoP ]],500*(WWWW[[#This Row],['#_male hygiene promoters]]+WWWW[[#This Row],['#_female hygiene promoters]]))</f>
        <v>0</v>
      </c>
      <c r="DN366"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66"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66" s="417">
        <f>IF(WWWW[[#This Row],['# People with access to soap]]&gt;WWWW[[#This Row],['# People with access to Sanity Pads]],WWWW[[#This Row],['# People with access to soap]],WWWW[[#This Row],['# People with access to Sanity Pads]])</f>
        <v>0</v>
      </c>
      <c r="DQ366"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66" s="951">
        <f>IF(WWWW[[#This Row],[HRP3]]/WWWW[[#This Row],[Total PoP ]]&gt;1,1,WWWW[[#This Row],[HRP3]]/WWWW[[#This Row],[Total PoP ]])</f>
        <v>0</v>
      </c>
      <c r="DS366" s="615">
        <f>1-WWWW[[#This Row],[Hygiene Coverage%]]</f>
        <v>1</v>
      </c>
      <c r="DT366" s="416">
        <f>WWWW[[#This Row],['# people reached by regular dedicated hygiene promotion_5]]/WWWW[[#This Row],[Total PoP ]]</f>
        <v>0</v>
      </c>
      <c r="DU366"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66"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66" s="417">
        <f>WWWW[[#This Row],['#_Constructed/Existing hand washing stations]]-WWWW[[#This Row],['#_Non-Functional_hand_washing_stations]]</f>
        <v>7</v>
      </c>
      <c r="DX366" s="421">
        <f>IF(WWWW[[#This Row],['# Functional hand washing stations during reporting period]]*20&gt;WWWW[[#This Row],[Total HH]],WWWW[[#This Row],[Total HH]],WWWW[[#This Row],['# Functional hand washing stations during reporting period]]*20)</f>
        <v>27</v>
      </c>
      <c r="DY366" s="421">
        <f>IF(WWWW[[#This Row],[Is sufficient soap available for TLS? (Yes/No)]]="yes",WWWW[[#This Row],['#_Constructed/Existing hand washing stations at TLS/CFS/THF]],0)</f>
        <v>0</v>
      </c>
      <c r="DZ366" s="421">
        <f>IF(WWWW[[#This Row],['# Functional hand washing stations during reporting period]]*100&gt;WWWW[[#This Row],[Total PoP ]],WWWW[[#This Row],[Total PoP ]],WWWW[[#This Row],['# Functional hand washing stations during reporting period]]*100)</f>
        <v>162</v>
      </c>
      <c r="EA366" s="421" t="str">
        <f>IF(OR(WWWW[[#This Row],['#_students at TLS_CFS]]="",WWWW[[#This Row],['#_students at TLS_CFS]]=0),"No","Yes")</f>
        <v>No</v>
      </c>
      <c r="EB36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66" s="566">
        <f>WWWW[[#This Row],[%_of_affected_people_surveyed_who_report_feeling_satistfied_with_the_latrine_design_and_sanitation_service]]*WWWW[[#This Row],[Total PoP ]]</f>
        <v>0</v>
      </c>
      <c r="ED366" s="566">
        <f>WWWW[[#This Row],[%_of_affected_people_surveyed_who_report_feeling_satistfied_with_the_water_point_design_and_water_service]]*WWWW[[#This Row],[Total PoP ]]</f>
        <v>0</v>
      </c>
      <c r="EE366" s="566">
        <f>WWWW[[#This Row],[%_of_complaints_received_that_result_in_timely_corrective_action_and_feedback_to_the_community]]*WWWW[[#This Row],[Total PoP ]]</f>
        <v>0</v>
      </c>
      <c r="EF36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6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6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66" s="418">
        <f>VLOOKUP(WWWW[[#This Row],[Site Name]],SiteDB6[[Site Name]:[CCCM Management]],6,FALSE)</f>
        <v>0</v>
      </c>
      <c r="EJ366" s="418">
        <f>VLOOKUP(WWWW[[#This Row],[Site Name]],SiteDB6[[Site Name]:[CCCM Focal Agency]],7,FALSE)</f>
        <v>0</v>
      </c>
      <c r="EK366" s="418" t="str">
        <f>VLOOKUP(WWWW[[#This Row],[Site Name]],SiteDB6[[Site Name]:[Location Type 1]],9,FALSE)</f>
        <v>Camp</v>
      </c>
      <c r="EL366" s="418" t="str">
        <f>VLOOKUP(WWWW[[#This Row],[Site Name]],SiteDB6[[Site Name]:[Type of Accommodation]],10,FALSE)</f>
        <v>IDPs in host</v>
      </c>
      <c r="EM366" s="418" t="str">
        <f>VLOOKUP(WWWW[[#This Row],[Site Name]],SiteDB6[[Site Name]:[Ethnic or GCA/NGCA]],11,FALSE)</f>
        <v>GCA</v>
      </c>
      <c r="EN366" s="418">
        <f>VLOOKUP(WWWW[[#This Row],[Site Name]],SiteDB6[[Site Name]:[Lat]],12,FALSE)</f>
        <v>23.400155999999999</v>
      </c>
      <c r="EO366" s="418">
        <f>VLOOKUP(WWWW[[#This Row],[Site Name]],SiteDB6[[Site Name]:[Long]],13,FALSE)</f>
        <v>98.220614999999995</v>
      </c>
      <c r="EP366" s="418" t="str">
        <f>VLOOKUP(WWWW[[#This Row],[Site Name]],SiteDB6[[Site Name]:[Pcode]],3,FALSE)</f>
        <v>MMR015CMP071</v>
      </c>
      <c r="EQ366" s="950" t="str">
        <f t="shared" si="8"/>
        <v>Covered</v>
      </c>
      <c r="ER366" s="950" t="s">
        <v>3126</v>
      </c>
      <c r="ES366" s="950" t="s">
        <v>3311</v>
      </c>
      <c r="ET366" s="418">
        <f>VLOOKUP(WWWW[[#This Row],[Site Name]],SiteDB6[[Site Name]:[Pop
(Kachin/Shan-CCCM as of May 2023)]],16,FALSE)</f>
        <v>27</v>
      </c>
      <c r="EU366" s="418">
        <f>VLOOKUP(WWWW[[#This Row],[Site Name]],SiteDB6[[Site Name]:[Pop
(Kachin/Shan-CCCM as of May 2023)]],17,FALSE)</f>
        <v>162</v>
      </c>
    </row>
    <row r="367" spans="1:151">
      <c r="A367" s="946" t="s">
        <v>2962</v>
      </c>
      <c r="B367" s="946" t="s">
        <v>192</v>
      </c>
      <c r="C367" s="938" t="s">
        <v>192</v>
      </c>
      <c r="D367" s="938" t="s">
        <v>299</v>
      </c>
      <c r="E367" s="938" t="s">
        <v>515</v>
      </c>
      <c r="F367" s="938" t="s">
        <v>519</v>
      </c>
      <c r="G367" s="902" t="str">
        <f>VLOOKUP(WWWW[[#This Row],[Site Name]],SiteDB6[[Site Name]:[Location Type]],8,FALSE)</f>
        <v>Camp</v>
      </c>
      <c r="H367" s="938" t="s">
        <v>1715</v>
      </c>
      <c r="I367" s="441">
        <v>74</v>
      </c>
      <c r="J367" s="441">
        <v>439</v>
      </c>
      <c r="K367" s="964">
        <v>44511</v>
      </c>
      <c r="L367" s="965">
        <v>45146</v>
      </c>
      <c r="M367" s="441"/>
      <c r="N367" s="441">
        <v>1</v>
      </c>
      <c r="O367" s="441"/>
      <c r="P367" s="441"/>
      <c r="Q367" s="421" t="s">
        <v>41</v>
      </c>
      <c r="R367" s="441">
        <v>5</v>
      </c>
      <c r="S367" s="441">
        <v>1</v>
      </c>
      <c r="T367" s="441"/>
      <c r="U367" s="441"/>
      <c r="V367" s="441"/>
      <c r="W367" s="441"/>
      <c r="X367" s="441"/>
      <c r="Y367" s="441"/>
      <c r="Z367" s="441"/>
      <c r="AA367" s="441">
        <v>14</v>
      </c>
      <c r="AB367" s="441"/>
      <c r="AC367" s="441"/>
      <c r="AD367" s="441"/>
      <c r="AE367" s="441"/>
      <c r="AF367" s="441"/>
      <c r="AG367" s="441"/>
      <c r="AH367" s="441"/>
      <c r="AI367" s="441"/>
      <c r="AJ367" s="441"/>
      <c r="AK367" s="441"/>
      <c r="AL367" s="441"/>
      <c r="AM367" s="441"/>
      <c r="AN367" s="441"/>
      <c r="AO367" s="441"/>
      <c r="AP367" s="950"/>
      <c r="AQ367" s="441">
        <v>40</v>
      </c>
      <c r="AR367" s="441"/>
      <c r="AS367" s="416"/>
      <c r="AT367" s="441"/>
      <c r="AU367" s="441"/>
      <c r="AV367" s="441"/>
      <c r="AW367" s="441"/>
      <c r="AX367" s="441"/>
      <c r="AY367" s="418" t="s">
        <v>140</v>
      </c>
      <c r="AZ367" s="950" t="s">
        <v>140</v>
      </c>
      <c r="BA367" s="441"/>
      <c r="BB367" s="441"/>
      <c r="BC367" s="441"/>
      <c r="BD367" s="441"/>
      <c r="BE367" s="441"/>
      <c r="BF367" s="418"/>
      <c r="BG367" s="441">
        <v>3</v>
      </c>
      <c r="BH367" s="441"/>
      <c r="BI367" s="441"/>
      <c r="BJ367" s="441">
        <v>2</v>
      </c>
      <c r="BK367" s="441"/>
      <c r="BL367" s="441"/>
      <c r="BM367" s="441">
        <v>1</v>
      </c>
      <c r="BN367" s="441"/>
      <c r="BO367" s="441"/>
      <c r="BP367" s="418" t="s">
        <v>41</v>
      </c>
      <c r="BQ367" s="417"/>
      <c r="BR367" s="416"/>
      <c r="BS367" s="418"/>
      <c r="BT367" s="416"/>
      <c r="BU367" s="416"/>
      <c r="BV367" s="418"/>
      <c r="BW367" s="416"/>
      <c r="BX367" s="441"/>
      <c r="BY367" s="441"/>
      <c r="BZ367" s="441"/>
      <c r="CA367" s="441"/>
      <c r="CB367" s="441"/>
      <c r="CC367" s="693"/>
      <c r="CD367" s="441"/>
      <c r="CE367" s="615" t="str">
        <f>IFERROR(WWWW[[#This Row],['#_Water sources passed]]/WWWW[[#This Row],['#_Water sources tested for fecal coliform ]],"no test")</f>
        <v>no test</v>
      </c>
      <c r="CF367" s="416" t="str">
        <f>IFERROR(WWWW[[#This Row],['#_Household passed]]/WWWW[[#This Row],['#_Household water samples tested for fecal coliform]],"no test")</f>
        <v>no test</v>
      </c>
      <c r="CG367" s="417" t="str">
        <f>IF(AND(WWWW[[#This Row],[% of water sources passed]]="no test",WWWW[[#This Row],[% Household passed]]="no test"),"No Test","Tested")</f>
        <v>No Test</v>
      </c>
      <c r="CH367" s="417">
        <f>WWWW[[#This Row],['#_Constructed/existing protected hand dug well]]-WWWW[[#This Row],['#_Non-functional protected hand dug well]]</f>
        <v>0</v>
      </c>
      <c r="CI367" s="417">
        <f>(WWWW[[#This Row],['#_Constructed/Existing tube wells/boreholes/handpumps_WASH_agency]]+WWWW[[#This Row],['#_Non-Cluster partner water tube-wells/boreholes/handpumps]])-WWWW[[#This Row],['#_Non-functional tube wells/boreholes/handpumps]]</f>
        <v>0</v>
      </c>
      <c r="CJ367" s="417">
        <f>WWWW[[#This Row],['#_Constructed/Existingwater storage tank with gravity fed reticulation system]]-WWWW[[#This Row],['#_Non-functional storage tank gravity fed reticulation system]]</f>
        <v>14</v>
      </c>
      <c r="CK367" s="417">
        <f>(WWWW[[#This Row],['#_Water_Liters_supplied_by_Water boating or water trucking]]/90)/15</f>
        <v>0</v>
      </c>
      <c r="CL367" s="417">
        <f>WWWW[[#This Row],['#_Water_Liters_from_Constructed/Existing water distribution system from river or natural spring]]/90/15</f>
        <v>0</v>
      </c>
      <c r="CM367" s="417">
        <f>IF(WWWW[[#This Row],['#_of water points in TLS/CFS]]*500&gt;WWWW[[#This Row],[Total PoP ]],WWWW[[#This Row],[Total PoP ]],WWWW[[#This Row],['#_of water points in TLS/CFS]]*500)</f>
        <v>0</v>
      </c>
      <c r="CN367" s="417">
        <f>IF(WWWW[[#This Row],['#_of water points in THF]]*500&gt;WWWW[[#This Row],[Total PoP ]],WWWW[[#This Row],[Total PoP ]],WWWW[[#This Row],['#_of water points in THF]]*500)</f>
        <v>0</v>
      </c>
      <c r="CO367" s="417"/>
      <c r="CP367"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67"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67" s="416">
        <f>IF(WWWW[[#This Row],[Location Type 1]]="Village",WWWW[[#This Row],[Access to safe drinking water for Village]],WWWW[[#This Row],[Access to safe drinking water for Camp]])</f>
        <v>1</v>
      </c>
      <c r="CS367" s="421">
        <f>WWWW[[#This Row],[%Equitable and continuous access to sufficient quantity of safe drinking water]]*WWWW[[#This Row],[Total PoP ]]</f>
        <v>439</v>
      </c>
      <c r="CT367" s="416">
        <f>IF((WWWW[[#This Row],['#_Constructed/Existing protected/fenced ponds]]*250)/WWWW[[#This Row],[Total PoP ]]&gt;1,1,(WWWW[[#This Row],['#_Constructed/Existing protected/fenced ponds]]*250)/WWWW[[#This Row],[Total PoP ]])</f>
        <v>0</v>
      </c>
      <c r="CU367" s="421">
        <f>WWWW[[#This Row],[% Access to unimproved water points]]*WWWW[[#This Row],[Total PoP ]]</f>
        <v>0</v>
      </c>
      <c r="CV367"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67"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439</v>
      </c>
      <c r="CX367" s="421">
        <f>WWWW[[#This Row],[HRP1]]/500</f>
        <v>0.878</v>
      </c>
      <c r="CY367" s="951">
        <f>1-WWWW[[#This Row],[% Equitable and continuous access to sufficient quantity of domestic water]]</f>
        <v>0</v>
      </c>
      <c r="CZ367" s="421">
        <f>WWWW[[#This Row],[%equitable and continuous access to sufficient quantity of safe drinking and domestic water''s GAP]]*WWWW[[#This Row],[Total PoP ]]</f>
        <v>0</v>
      </c>
      <c r="DA367" s="417">
        <f>IF(WWWW[[#This Row],[Total required water points]]-WWWW[[#This Row],['#Water points coverage]]&lt;0,0,WWWW[[#This Row],[Total required water points]]-WWWW[[#This Row],['#Water points coverage]])</f>
        <v>0.122</v>
      </c>
      <c r="DB367" s="417">
        <f>ROUND(IF(WWWW[[#This Row],[Total PoP ]]&lt;500,1,WWWW[[#This Row],[Total PoP ]]/500),0)</f>
        <v>1</v>
      </c>
      <c r="DC367" s="417">
        <f>(WWWW[[#This Row],['#_Constructed latrines_by_WASHAgencies]]+WWWW[[#This Row],['#_Non Cluster partner latrines]])-WWWW[[#This Row],['#_Non-functional latrines]]</f>
        <v>40</v>
      </c>
      <c r="DD367" s="615">
        <f>WWWW[[#This Row],[HRP2]]/WWWW[[#This Row],[Total PoP ]]</f>
        <v>1</v>
      </c>
      <c r="DE367"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439</v>
      </c>
      <c r="DF367"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67"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67" s="417">
        <f>IF(WWWW[[#This Row],['# of functional latrines in THF supported by WASH partners during the reporting period2]]="",0,WWWW[[#This Row],['# of functional latrines in THF supported by WASH partners during the reporting period2]]*50)</f>
        <v>0</v>
      </c>
      <c r="DI367" s="417">
        <f>ROUND(IF(WWWW[[#This Row],[Location Type 1]]="camp",WWWW[[#This Row],[Total PoP ]]/20,IF(WWWW[[#This Row],[Location Type 1]]="Temporary Location",WWWW[[#This Row],[Total PoP ]]/50,(WWWW[[#This Row],[Total PoP ]]/6))),0)</f>
        <v>22</v>
      </c>
      <c r="DJ367" s="417">
        <f>IF(WWWW[[#This Row],[Total required Latrines]]-(WWWW[[#This Row],['#_Constructed latrines_by_WASHAgencies]]+WWWW[[#This Row],['#_Non Cluster partner latrines]])&lt;0,0,WWWW[[#This Row],[Total required Latrines]]-(WWWW[[#This Row],['#_Constructed latrines_by_WASHAgencies]]+WWWW[[#This Row],['#_Non Cluster partner latrines]]))</f>
        <v>0</v>
      </c>
      <c r="DK367" s="951">
        <f>1-WWWW[[#This Row],[% people access to functioning Latrine]]</f>
        <v>0</v>
      </c>
      <c r="DL367" s="615">
        <f>IF(OR(WWWW[[#This Row],['#_Non-functional latrines]]="",WWWW[[#This Row],['#_Non-functional latrines]]=0),0,WWWW[[#This Row],['#_Non-functional latrines]]/(WWWW[[#This Row],['#_Constructed latrines_by_WASHAgencies]]+WWWW[[#This Row],['#_Non Cluster partner latrines]]))</f>
        <v>0</v>
      </c>
      <c r="DM367" s="421">
        <f>IF(500*(WWWW[[#This Row],['#_male hygiene promoters]]+WWWW[[#This Row],['#_female hygiene promoters]])&gt;WWWW[[#This Row],[Total PoP ]],WWWW[[#This Row],[Total PoP ]],500*(WWWW[[#This Row],['#_male hygiene promoters]]+WWWW[[#This Row],['#_female hygiene promoters]]))</f>
        <v>439</v>
      </c>
      <c r="DN367"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67"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67" s="417">
        <f>IF(WWWW[[#This Row],['# People with access to soap]]&gt;WWWW[[#This Row],['# People with access to Sanity Pads]],WWWW[[#This Row],['# People with access to soap]],WWWW[[#This Row],['# People with access to Sanity Pads]])</f>
        <v>0</v>
      </c>
      <c r="DQ367" s="417">
        <f>IF(WWWW[[#This Row],['# people reached by regular dedicated hygiene promotion_5]]&gt;WWWW[[#This Row],['# People received regular supply of hygiene items_6]],WWWW[[#This Row],['# people reached by regular dedicated hygiene promotion_5]],WWWW[[#This Row],['# People received regular supply of hygiene items_6]])</f>
        <v>439</v>
      </c>
      <c r="DR367" s="951">
        <f>IF(WWWW[[#This Row],[HRP3]]/WWWW[[#This Row],[Total PoP ]]&gt;1,1,WWWW[[#This Row],[HRP3]]/WWWW[[#This Row],[Total PoP ]])</f>
        <v>1</v>
      </c>
      <c r="DS367" s="615">
        <f>1-WWWW[[#This Row],[Hygiene Coverage%]]</f>
        <v>0</v>
      </c>
      <c r="DT367" s="416">
        <f>WWWW[[#This Row],['# people reached by regular dedicated hygiene promotion_5]]/WWWW[[#This Row],[Total PoP ]]</f>
        <v>1</v>
      </c>
      <c r="DU367"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67"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67" s="417">
        <f>WWWW[[#This Row],['#_Constructed/Existing hand washing stations]]-WWWW[[#This Row],['#_Non-Functional_hand_washing_stations]]</f>
        <v>3</v>
      </c>
      <c r="DX367" s="421">
        <f>IF(WWWW[[#This Row],['# Functional hand washing stations during reporting period]]*20&gt;WWWW[[#This Row],[Total HH]],WWWW[[#This Row],[Total HH]],WWWW[[#This Row],['# Functional hand washing stations during reporting period]]*20)</f>
        <v>60</v>
      </c>
      <c r="DY367" s="421">
        <f>IF(WWWW[[#This Row],[Is sufficient soap available for TLS? (Yes/No)]]="yes",WWWW[[#This Row],['#_Constructed/Existing hand washing stations at TLS/CFS/THF]],0)</f>
        <v>0</v>
      </c>
      <c r="DZ367" s="421">
        <f>IF(WWWW[[#This Row],['# Functional hand washing stations during reporting period]]*100&gt;WWWW[[#This Row],[Total PoP ]],WWWW[[#This Row],[Total PoP ]],WWWW[[#This Row],['# Functional hand washing stations during reporting period]]*100)</f>
        <v>300</v>
      </c>
      <c r="EA367" s="421" t="str">
        <f>IF(OR(WWWW[[#This Row],['#_students at TLS_CFS]]="",WWWW[[#This Row],['#_students at TLS_CFS]]=0),"No","Yes")</f>
        <v>No</v>
      </c>
      <c r="EB36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67" s="566">
        <f>WWWW[[#This Row],[%_of_affected_people_surveyed_who_report_feeling_satistfied_with_the_latrine_design_and_sanitation_service]]*WWWW[[#This Row],[Total PoP ]]</f>
        <v>0</v>
      </c>
      <c r="ED367" s="566">
        <f>WWWW[[#This Row],[%_of_affected_people_surveyed_who_report_feeling_satistfied_with_the_water_point_design_and_water_service]]*WWWW[[#This Row],[Total PoP ]]</f>
        <v>0</v>
      </c>
      <c r="EE367" s="566">
        <f>WWWW[[#This Row],[%_of_complaints_received_that_result_in_timely_corrective_action_and_feedback_to_the_community]]*WWWW[[#This Row],[Total PoP ]]</f>
        <v>0</v>
      </c>
      <c r="EF36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6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6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67" s="418">
        <f>VLOOKUP(WWWW[[#This Row],[Site Name]],SiteDB6[[Site Name]:[CCCM Management]],6,FALSE)</f>
        <v>0</v>
      </c>
      <c r="EJ367" s="418" t="str">
        <f>VLOOKUP(WWWW[[#This Row],[Site Name]],SiteDB6[[Site Name]:[CCCM Focal Agency]],7,FALSE)</f>
        <v>uncovered</v>
      </c>
      <c r="EK367" s="418" t="str">
        <f>VLOOKUP(WWWW[[#This Row],[Site Name]],SiteDB6[[Site Name]:[Location Type 1]],9,FALSE)</f>
        <v>Camp</v>
      </c>
      <c r="EL367" s="418" t="str">
        <f>VLOOKUP(WWWW[[#This Row],[Site Name]],SiteDB6[[Site Name]:[Type of Accommodation]],10,FALSE)</f>
        <v>Camp like setting</v>
      </c>
      <c r="EM367" s="418" t="str">
        <f>VLOOKUP(WWWW[[#This Row],[Site Name]],SiteDB6[[Site Name]:[Ethnic or GCA/NGCA]],11,FALSE)</f>
        <v>GCA</v>
      </c>
      <c r="EN367" s="418">
        <f>VLOOKUP(WWWW[[#This Row],[Site Name]],SiteDB6[[Site Name]:[Lat]],12,FALSE)</f>
        <v>23.234137</v>
      </c>
      <c r="EO367" s="418">
        <f>VLOOKUP(WWWW[[#This Row],[Site Name]],SiteDB6[[Site Name]:[Long]],13,FALSE)</f>
        <v>97.505339000000006</v>
      </c>
      <c r="EP367" s="418" t="str">
        <f>VLOOKUP(WWWW[[#This Row],[Site Name]],SiteDB6[[Site Name]:[Pcode]],3,FALSE)</f>
        <v>MMR015CMP030</v>
      </c>
      <c r="EQ367" s="950" t="str">
        <f t="shared" si="8"/>
        <v>Covered</v>
      </c>
      <c r="ER367" s="950" t="s">
        <v>3126</v>
      </c>
      <c r="ES367" s="950" t="s">
        <v>3311</v>
      </c>
      <c r="ET367" s="418">
        <f>VLOOKUP(WWWW[[#This Row],[Site Name]],SiteDB6[[Site Name]:[Pop
(Kachin/Shan-CCCM as of May 2023)]],16,FALSE)</f>
        <v>86</v>
      </c>
      <c r="EU367" s="418">
        <f>VLOOKUP(WWWW[[#This Row],[Site Name]],SiteDB6[[Site Name]:[Pop
(Kachin/Shan-CCCM as of May 2023)]],17,FALSE)</f>
        <v>525</v>
      </c>
    </row>
    <row r="368" spans="1:151">
      <c r="A368" s="946" t="s">
        <v>2962</v>
      </c>
      <c r="B368" s="946" t="s">
        <v>192</v>
      </c>
      <c r="C368" s="938" t="s">
        <v>192</v>
      </c>
      <c r="D368" s="938" t="s">
        <v>299</v>
      </c>
      <c r="E368" s="938" t="s">
        <v>515</v>
      </c>
      <c r="F368" s="938" t="s">
        <v>519</v>
      </c>
      <c r="G368" s="902" t="str">
        <f>VLOOKUP(WWWW[[#This Row],[Site Name]],SiteDB6[[Site Name]:[Location Type]],8,FALSE)</f>
        <v>Camp</v>
      </c>
      <c r="H368" s="938" t="s">
        <v>2882</v>
      </c>
      <c r="I368" s="441">
        <v>26</v>
      </c>
      <c r="J368" s="441">
        <v>132</v>
      </c>
      <c r="K368" s="964">
        <v>44511</v>
      </c>
      <c r="L368" s="965">
        <v>45146</v>
      </c>
      <c r="M368" s="441"/>
      <c r="N368" s="441"/>
      <c r="O368" s="441"/>
      <c r="P368" s="441"/>
      <c r="Q368" s="421"/>
      <c r="R368" s="441">
        <v>3</v>
      </c>
      <c r="S368" s="441">
        <v>2</v>
      </c>
      <c r="T368" s="441"/>
      <c r="U368" s="441"/>
      <c r="V368" s="441"/>
      <c r="W368" s="441"/>
      <c r="X368" s="441"/>
      <c r="Y368" s="441"/>
      <c r="Z368" s="441"/>
      <c r="AA368" s="441">
        <v>8</v>
      </c>
      <c r="AB368" s="441"/>
      <c r="AC368" s="441"/>
      <c r="AD368" s="441"/>
      <c r="AE368" s="441"/>
      <c r="AF368" s="441"/>
      <c r="AG368" s="441"/>
      <c r="AH368" s="441"/>
      <c r="AI368" s="441"/>
      <c r="AJ368" s="441"/>
      <c r="AK368" s="441"/>
      <c r="AL368" s="441"/>
      <c r="AM368" s="441"/>
      <c r="AN368" s="441"/>
      <c r="AO368" s="441"/>
      <c r="AP368" s="950"/>
      <c r="AQ368" s="441">
        <v>27</v>
      </c>
      <c r="AR368" s="441"/>
      <c r="AS368" s="416"/>
      <c r="AT368" s="441"/>
      <c r="AU368" s="441"/>
      <c r="AV368" s="441"/>
      <c r="AW368" s="441"/>
      <c r="AX368" s="441">
        <v>2</v>
      </c>
      <c r="AY368" s="418" t="s">
        <v>41</v>
      </c>
      <c r="AZ368" s="950" t="s">
        <v>136</v>
      </c>
      <c r="BA368" s="441"/>
      <c r="BB368" s="441"/>
      <c r="BC368" s="441"/>
      <c r="BD368" s="441"/>
      <c r="BE368" s="441"/>
      <c r="BF368" s="418"/>
      <c r="BG368" s="441">
        <v>7</v>
      </c>
      <c r="BH368" s="441"/>
      <c r="BI368" s="441"/>
      <c r="BJ368" s="441">
        <v>7</v>
      </c>
      <c r="BK368" s="441"/>
      <c r="BL368" s="441"/>
      <c r="BM368" s="441">
        <v>1</v>
      </c>
      <c r="BN368" s="441"/>
      <c r="BO368" s="441"/>
      <c r="BP368" s="418"/>
      <c r="BQ368" s="417"/>
      <c r="BR368" s="416"/>
      <c r="BS368" s="418"/>
      <c r="BT368" s="416"/>
      <c r="BU368" s="416"/>
      <c r="BV368" s="418"/>
      <c r="BW368" s="416"/>
      <c r="BX368" s="441"/>
      <c r="BY368" s="441"/>
      <c r="BZ368" s="441"/>
      <c r="CA368" s="441"/>
      <c r="CB368" s="441"/>
      <c r="CC368" s="693"/>
      <c r="CD368" s="441"/>
      <c r="CE368" s="615" t="str">
        <f>IFERROR(WWWW[[#This Row],['#_Water sources passed]]/WWWW[[#This Row],['#_Water sources tested for fecal coliform ]],"no test")</f>
        <v>no test</v>
      </c>
      <c r="CF368" s="416" t="str">
        <f>IFERROR(WWWW[[#This Row],['#_Household passed]]/WWWW[[#This Row],['#_Household water samples tested for fecal coliform]],"no test")</f>
        <v>no test</v>
      </c>
      <c r="CG368" s="417" t="str">
        <f>IF(AND(WWWW[[#This Row],[% of water sources passed]]="no test",WWWW[[#This Row],[% Household passed]]="no test"),"No Test","Tested")</f>
        <v>No Test</v>
      </c>
      <c r="CH368" s="417">
        <f>WWWW[[#This Row],['#_Constructed/existing protected hand dug well]]-WWWW[[#This Row],['#_Non-functional protected hand dug well]]</f>
        <v>0</v>
      </c>
      <c r="CI368" s="417">
        <f>(WWWW[[#This Row],['#_Constructed/Existing tube wells/boreholes/handpumps_WASH_agency]]+WWWW[[#This Row],['#_Non-Cluster partner water tube-wells/boreholes/handpumps]])-WWWW[[#This Row],['#_Non-functional tube wells/boreholes/handpumps]]</f>
        <v>0</v>
      </c>
      <c r="CJ368" s="417">
        <f>WWWW[[#This Row],['#_Constructed/Existingwater storage tank with gravity fed reticulation system]]-WWWW[[#This Row],['#_Non-functional storage tank gravity fed reticulation system]]</f>
        <v>8</v>
      </c>
      <c r="CK368" s="417">
        <f>(WWWW[[#This Row],['#_Water_Liters_supplied_by_Water boating or water trucking]]/90)/15</f>
        <v>0</v>
      </c>
      <c r="CL368" s="417">
        <f>WWWW[[#This Row],['#_Water_Liters_from_Constructed/Existing water distribution system from river or natural spring]]/90/15</f>
        <v>0</v>
      </c>
      <c r="CM368" s="417">
        <f>IF(WWWW[[#This Row],['#_of water points in TLS/CFS]]*500&gt;WWWW[[#This Row],[Total PoP ]],WWWW[[#This Row],[Total PoP ]],WWWW[[#This Row],['#_of water points in TLS/CFS]]*500)</f>
        <v>0</v>
      </c>
      <c r="CN368" s="417">
        <f>IF(WWWW[[#This Row],['#_of water points in THF]]*500&gt;WWWW[[#This Row],[Total PoP ]],WWWW[[#This Row],[Total PoP ]],WWWW[[#This Row],['#_of water points in THF]]*500)</f>
        <v>0</v>
      </c>
      <c r="CO368" s="417"/>
      <c r="CP368"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68"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68" s="416">
        <f>IF(WWWW[[#This Row],[Location Type 1]]="Village",WWWW[[#This Row],[Access to safe drinking water for Village]],WWWW[[#This Row],[Access to safe drinking water for Camp]])</f>
        <v>1</v>
      </c>
      <c r="CS368" s="421">
        <f>WWWW[[#This Row],[%Equitable and continuous access to sufficient quantity of safe drinking water]]*WWWW[[#This Row],[Total PoP ]]</f>
        <v>132</v>
      </c>
      <c r="CT368" s="416">
        <f>IF((WWWW[[#This Row],['#_Constructed/Existing protected/fenced ponds]]*250)/WWWW[[#This Row],[Total PoP ]]&gt;1,1,(WWWW[[#This Row],['#_Constructed/Existing protected/fenced ponds]]*250)/WWWW[[#This Row],[Total PoP ]])</f>
        <v>0</v>
      </c>
      <c r="CU368" s="421">
        <f>WWWW[[#This Row],[% Access to unimproved water points]]*WWWW[[#This Row],[Total PoP ]]</f>
        <v>0</v>
      </c>
      <c r="CV368"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68"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132</v>
      </c>
      <c r="CX368" s="421">
        <f>WWWW[[#This Row],[HRP1]]/500</f>
        <v>0.26400000000000001</v>
      </c>
      <c r="CY368" s="951">
        <f>1-WWWW[[#This Row],[% Equitable and continuous access to sufficient quantity of domestic water]]</f>
        <v>0</v>
      </c>
      <c r="CZ368" s="421">
        <f>WWWW[[#This Row],[%equitable and continuous access to sufficient quantity of safe drinking and domestic water''s GAP]]*WWWW[[#This Row],[Total PoP ]]</f>
        <v>0</v>
      </c>
      <c r="DA368" s="417">
        <f>IF(WWWW[[#This Row],[Total required water points]]-WWWW[[#This Row],['#Water points coverage]]&lt;0,0,WWWW[[#This Row],[Total required water points]]-WWWW[[#This Row],['#Water points coverage]])</f>
        <v>0.73599999999999999</v>
      </c>
      <c r="DB368" s="417">
        <f>ROUND(IF(WWWW[[#This Row],[Total PoP ]]&lt;500,1,WWWW[[#This Row],[Total PoP ]]/500),0)</f>
        <v>1</v>
      </c>
      <c r="DC368" s="417">
        <f>(WWWW[[#This Row],['#_Constructed latrines_by_WASHAgencies]]+WWWW[[#This Row],['#_Non Cluster partner latrines]])-WWWW[[#This Row],['#_Non-functional latrines]]</f>
        <v>27</v>
      </c>
      <c r="DD368" s="615">
        <f>WWWW[[#This Row],[HRP2]]/WWWW[[#This Row],[Total PoP ]]</f>
        <v>1</v>
      </c>
      <c r="DE368"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132</v>
      </c>
      <c r="DF368"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68"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68" s="417">
        <f>IF(WWWW[[#This Row],['# of functional latrines in THF supported by WASH partners during the reporting period2]]="",0,WWWW[[#This Row],['# of functional latrines in THF supported by WASH partners during the reporting period2]]*50)</f>
        <v>0</v>
      </c>
      <c r="DI368" s="417">
        <f>ROUND(IF(WWWW[[#This Row],[Location Type 1]]="camp",WWWW[[#This Row],[Total PoP ]]/20,IF(WWWW[[#This Row],[Location Type 1]]="Temporary Location",WWWW[[#This Row],[Total PoP ]]/50,(WWWW[[#This Row],[Total PoP ]]/6))),0)</f>
        <v>7</v>
      </c>
      <c r="DJ368" s="417">
        <f>IF(WWWW[[#This Row],[Total required Latrines]]-(WWWW[[#This Row],['#_Constructed latrines_by_WASHAgencies]]+WWWW[[#This Row],['#_Non Cluster partner latrines]])&lt;0,0,WWWW[[#This Row],[Total required Latrines]]-(WWWW[[#This Row],['#_Constructed latrines_by_WASHAgencies]]+WWWW[[#This Row],['#_Non Cluster partner latrines]]))</f>
        <v>0</v>
      </c>
      <c r="DK368" s="951">
        <f>1-WWWW[[#This Row],[% people access to functioning Latrine]]</f>
        <v>0</v>
      </c>
      <c r="DL368" s="615">
        <f>IF(OR(WWWW[[#This Row],['#_Non-functional latrines]]="",WWWW[[#This Row],['#_Non-functional latrines]]=0),0,WWWW[[#This Row],['#_Non-functional latrines]]/(WWWW[[#This Row],['#_Constructed latrines_by_WASHAgencies]]+WWWW[[#This Row],['#_Non Cluster partner latrines]]))</f>
        <v>0</v>
      </c>
      <c r="DM368" s="421">
        <f>IF(500*(WWWW[[#This Row],['#_male hygiene promoters]]+WWWW[[#This Row],['#_female hygiene promoters]])&gt;WWWW[[#This Row],[Total PoP ]],WWWW[[#This Row],[Total PoP ]],500*(WWWW[[#This Row],['#_male hygiene promoters]]+WWWW[[#This Row],['#_female hygiene promoters]]))</f>
        <v>132</v>
      </c>
      <c r="DN368"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68"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68" s="417">
        <f>IF(WWWW[[#This Row],['# People with access to soap]]&gt;WWWW[[#This Row],['# People with access to Sanity Pads]],WWWW[[#This Row],['# People with access to soap]],WWWW[[#This Row],['# People with access to Sanity Pads]])</f>
        <v>0</v>
      </c>
      <c r="DQ368" s="417">
        <f>IF(WWWW[[#This Row],['# people reached by regular dedicated hygiene promotion_5]]&gt;WWWW[[#This Row],['# People received regular supply of hygiene items_6]],WWWW[[#This Row],['# people reached by regular dedicated hygiene promotion_5]],WWWW[[#This Row],['# People received regular supply of hygiene items_6]])</f>
        <v>132</v>
      </c>
      <c r="DR368" s="951">
        <f>IF(WWWW[[#This Row],[HRP3]]/WWWW[[#This Row],[Total PoP ]]&gt;1,1,WWWW[[#This Row],[HRP3]]/WWWW[[#This Row],[Total PoP ]])</f>
        <v>1</v>
      </c>
      <c r="DS368" s="615">
        <f>1-WWWW[[#This Row],[Hygiene Coverage%]]</f>
        <v>0</v>
      </c>
      <c r="DT368" s="416">
        <f>WWWW[[#This Row],['# people reached by regular dedicated hygiene promotion_5]]/WWWW[[#This Row],[Total PoP ]]</f>
        <v>1</v>
      </c>
      <c r="DU368"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68"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68" s="417">
        <f>WWWW[[#This Row],['#_Constructed/Existing hand washing stations]]-WWWW[[#This Row],['#_Non-Functional_hand_washing_stations]]</f>
        <v>7</v>
      </c>
      <c r="DX368" s="421">
        <f>IF(WWWW[[#This Row],['# Functional hand washing stations during reporting period]]*20&gt;WWWW[[#This Row],[Total HH]],WWWW[[#This Row],[Total HH]],WWWW[[#This Row],['# Functional hand washing stations during reporting period]]*20)</f>
        <v>26</v>
      </c>
      <c r="DY368" s="421">
        <f>IF(WWWW[[#This Row],[Is sufficient soap available for TLS? (Yes/No)]]="yes",WWWW[[#This Row],['#_Constructed/Existing hand washing stations at TLS/CFS/THF]],0)</f>
        <v>0</v>
      </c>
      <c r="DZ368" s="421">
        <f>IF(WWWW[[#This Row],['# Functional hand washing stations during reporting period]]*100&gt;WWWW[[#This Row],[Total PoP ]],WWWW[[#This Row],[Total PoP ]],WWWW[[#This Row],['# Functional hand washing stations during reporting period]]*100)</f>
        <v>132</v>
      </c>
      <c r="EA368" s="421" t="str">
        <f>IF(OR(WWWW[[#This Row],['#_students at TLS_CFS]]="",WWWW[[#This Row],['#_students at TLS_CFS]]=0),"No","Yes")</f>
        <v>No</v>
      </c>
      <c r="EB36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68" s="566">
        <f>WWWW[[#This Row],[%_of_affected_people_surveyed_who_report_feeling_satistfied_with_the_latrine_design_and_sanitation_service]]*WWWW[[#This Row],[Total PoP ]]</f>
        <v>0</v>
      </c>
      <c r="ED368" s="566">
        <f>WWWW[[#This Row],[%_of_affected_people_surveyed_who_report_feeling_satistfied_with_the_water_point_design_and_water_service]]*WWWW[[#This Row],[Total PoP ]]</f>
        <v>0</v>
      </c>
      <c r="EE368" s="566">
        <f>WWWW[[#This Row],[%_of_complaints_received_that_result_in_timely_corrective_action_and_feedback_to_the_community]]*WWWW[[#This Row],[Total PoP ]]</f>
        <v>0</v>
      </c>
      <c r="EF36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6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6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68" s="418" t="str">
        <f>VLOOKUP(WWWW[[#This Row],[Site Name]],SiteDB6[[Site Name]:[CCCM Management]],6,FALSE)</f>
        <v>Yes</v>
      </c>
      <c r="EJ368" s="418" t="str">
        <f>VLOOKUP(WWWW[[#This Row],[Site Name]],SiteDB6[[Site Name]:[CCCM Focal Agency]],7,FALSE)</f>
        <v>KMSS-LSO</v>
      </c>
      <c r="EK368" s="418" t="str">
        <f>VLOOKUP(WWWW[[#This Row],[Site Name]],SiteDB6[[Site Name]:[Location Type 1]],9,FALSE)</f>
        <v>Camp</v>
      </c>
      <c r="EL368" s="418" t="str">
        <f>VLOOKUP(WWWW[[#This Row],[Site Name]],SiteDB6[[Site Name]:[Type of Accommodation]],10,FALSE)</f>
        <v>Camp</v>
      </c>
      <c r="EM368" s="418" t="str">
        <f>VLOOKUP(WWWW[[#This Row],[Site Name]],SiteDB6[[Site Name]:[Ethnic or GCA/NGCA]],11,FALSE)</f>
        <v>GCA</v>
      </c>
      <c r="EN368" s="418">
        <f>VLOOKUP(WWWW[[#This Row],[Site Name]],SiteDB6[[Site Name]:[Lat]],12,FALSE)</f>
        <v>23.38503</v>
      </c>
      <c r="EO368" s="418">
        <f>VLOOKUP(WWWW[[#This Row],[Site Name]],SiteDB6[[Site Name]:[Long]],13,FALSE)</f>
        <v>97.837040000000002</v>
      </c>
      <c r="EP368" s="418" t="str">
        <f>VLOOKUP(WWWW[[#This Row],[Site Name]],SiteDB6[[Site Name]:[Pcode]],3,FALSE)</f>
        <v>MMR015CMP017</v>
      </c>
      <c r="EQ368" s="950" t="str">
        <f t="shared" si="8"/>
        <v>Covered</v>
      </c>
      <c r="ER368" s="950" t="s">
        <v>3126</v>
      </c>
      <c r="ES368" s="950" t="s">
        <v>3311</v>
      </c>
      <c r="ET368" s="418">
        <f>VLOOKUP(WWWW[[#This Row],[Site Name]],SiteDB6[[Site Name]:[Pop
(Kachin/Shan-CCCM as of May 2023)]],16,FALSE)</f>
        <v>26</v>
      </c>
      <c r="EU368" s="418">
        <f>VLOOKUP(WWWW[[#This Row],[Site Name]],SiteDB6[[Site Name]:[Pop
(Kachin/Shan-CCCM as of May 2023)]],17,FALSE)</f>
        <v>135</v>
      </c>
    </row>
    <row r="369" spans="1:151">
      <c r="A369" s="946" t="s">
        <v>2962</v>
      </c>
      <c r="B369" s="946" t="s">
        <v>192</v>
      </c>
      <c r="C369" s="938" t="s">
        <v>192</v>
      </c>
      <c r="D369" s="938" t="s">
        <v>299</v>
      </c>
      <c r="E369" s="938" t="s">
        <v>515</v>
      </c>
      <c r="F369" s="938" t="s">
        <v>519</v>
      </c>
      <c r="G369" s="902" t="str">
        <f>VLOOKUP(WWWW[[#This Row],[Site Name]],SiteDB6[[Site Name]:[Location Type]],8,FALSE)</f>
        <v>Camp</v>
      </c>
      <c r="H369" s="938" t="s">
        <v>1721</v>
      </c>
      <c r="I369" s="441">
        <v>29</v>
      </c>
      <c r="J369" s="441">
        <v>130</v>
      </c>
      <c r="K369" s="964">
        <v>44511</v>
      </c>
      <c r="L369" s="965">
        <v>45146</v>
      </c>
      <c r="M369" s="441"/>
      <c r="N369" s="441">
        <v>1</v>
      </c>
      <c r="O369" s="441"/>
      <c r="P369" s="441"/>
      <c r="Q369" s="421" t="s">
        <v>41</v>
      </c>
      <c r="R369" s="441">
        <v>4</v>
      </c>
      <c r="S369" s="441">
        <v>5</v>
      </c>
      <c r="T369" s="441"/>
      <c r="U369" s="441"/>
      <c r="V369" s="441"/>
      <c r="W369" s="441"/>
      <c r="X369" s="441"/>
      <c r="Y369" s="441"/>
      <c r="Z369" s="441"/>
      <c r="AA369" s="441">
        <v>13</v>
      </c>
      <c r="AB369" s="441"/>
      <c r="AC369" s="441"/>
      <c r="AD369" s="441"/>
      <c r="AE369" s="441"/>
      <c r="AF369" s="441"/>
      <c r="AG369" s="441"/>
      <c r="AH369" s="441"/>
      <c r="AI369" s="441"/>
      <c r="AJ369" s="441"/>
      <c r="AK369" s="441"/>
      <c r="AL369" s="441"/>
      <c r="AM369" s="441"/>
      <c r="AN369" s="441"/>
      <c r="AO369" s="441"/>
      <c r="AP369" s="950"/>
      <c r="AQ369" s="441">
        <v>30</v>
      </c>
      <c r="AR369" s="441"/>
      <c r="AS369" s="416"/>
      <c r="AT369" s="441"/>
      <c r="AU369" s="441"/>
      <c r="AV369" s="441"/>
      <c r="AW369" s="441"/>
      <c r="AX369" s="441"/>
      <c r="AY369" s="418" t="s">
        <v>41</v>
      </c>
      <c r="AZ369" s="950" t="s">
        <v>137</v>
      </c>
      <c r="BA369" s="441"/>
      <c r="BB369" s="441"/>
      <c r="BC369" s="441"/>
      <c r="BD369" s="441"/>
      <c r="BE369" s="441"/>
      <c r="BF369" s="418"/>
      <c r="BG369" s="441">
        <v>7</v>
      </c>
      <c r="BH369" s="441"/>
      <c r="BI369" s="441"/>
      <c r="BJ369" s="441">
        <v>1</v>
      </c>
      <c r="BK369" s="441"/>
      <c r="BL369" s="441"/>
      <c r="BM369" s="441">
        <v>1</v>
      </c>
      <c r="BN369" s="441"/>
      <c r="BO369" s="441"/>
      <c r="BP369" s="418" t="s">
        <v>41</v>
      </c>
      <c r="BQ369" s="417"/>
      <c r="BR369" s="416"/>
      <c r="BS369" s="418"/>
      <c r="BT369" s="416"/>
      <c r="BU369" s="416"/>
      <c r="BV369" s="418"/>
      <c r="BW369" s="416"/>
      <c r="BX369" s="441"/>
      <c r="BY369" s="441"/>
      <c r="BZ369" s="441"/>
      <c r="CA369" s="441"/>
      <c r="CB369" s="441"/>
      <c r="CC369" s="693"/>
      <c r="CD369" s="441"/>
      <c r="CE369" s="615" t="str">
        <f>IFERROR(WWWW[[#This Row],['#_Water sources passed]]/WWWW[[#This Row],['#_Water sources tested for fecal coliform ]],"no test")</f>
        <v>no test</v>
      </c>
      <c r="CF369" s="416" t="str">
        <f>IFERROR(WWWW[[#This Row],['#_Household passed]]/WWWW[[#This Row],['#_Household water samples tested for fecal coliform]],"no test")</f>
        <v>no test</v>
      </c>
      <c r="CG369" s="417" t="str">
        <f>IF(AND(WWWW[[#This Row],[% of water sources passed]]="no test",WWWW[[#This Row],[% Household passed]]="no test"),"No Test","Tested")</f>
        <v>No Test</v>
      </c>
      <c r="CH369" s="417">
        <f>WWWW[[#This Row],['#_Constructed/existing protected hand dug well]]-WWWW[[#This Row],['#_Non-functional protected hand dug well]]</f>
        <v>0</v>
      </c>
      <c r="CI369" s="417">
        <f>(WWWW[[#This Row],['#_Constructed/Existing tube wells/boreholes/handpumps_WASH_agency]]+WWWW[[#This Row],['#_Non-Cluster partner water tube-wells/boreholes/handpumps]])-WWWW[[#This Row],['#_Non-functional tube wells/boreholes/handpumps]]</f>
        <v>0</v>
      </c>
      <c r="CJ369" s="417">
        <f>WWWW[[#This Row],['#_Constructed/Existingwater storage tank with gravity fed reticulation system]]-WWWW[[#This Row],['#_Non-functional storage tank gravity fed reticulation system]]</f>
        <v>13</v>
      </c>
      <c r="CK369" s="417">
        <f>(WWWW[[#This Row],['#_Water_Liters_supplied_by_Water boating or water trucking]]/90)/15</f>
        <v>0</v>
      </c>
      <c r="CL369" s="417">
        <f>WWWW[[#This Row],['#_Water_Liters_from_Constructed/Existing water distribution system from river or natural spring]]/90/15</f>
        <v>0</v>
      </c>
      <c r="CM369" s="417">
        <f>IF(WWWW[[#This Row],['#_of water points in TLS/CFS]]*500&gt;WWWW[[#This Row],[Total PoP ]],WWWW[[#This Row],[Total PoP ]],WWWW[[#This Row],['#_of water points in TLS/CFS]]*500)</f>
        <v>0</v>
      </c>
      <c r="CN369" s="417">
        <f>IF(WWWW[[#This Row],['#_of water points in THF]]*500&gt;WWWW[[#This Row],[Total PoP ]],WWWW[[#This Row],[Total PoP ]],WWWW[[#This Row],['#_of water points in THF]]*500)</f>
        <v>0</v>
      </c>
      <c r="CO369" s="417"/>
      <c r="CP369"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69"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69" s="416">
        <f>IF(WWWW[[#This Row],[Location Type 1]]="Village",WWWW[[#This Row],[Access to safe drinking water for Village]],WWWW[[#This Row],[Access to safe drinking water for Camp]])</f>
        <v>1</v>
      </c>
      <c r="CS369" s="421">
        <f>WWWW[[#This Row],[%Equitable and continuous access to sufficient quantity of safe drinking water]]*WWWW[[#This Row],[Total PoP ]]</f>
        <v>130</v>
      </c>
      <c r="CT369" s="416">
        <f>IF((WWWW[[#This Row],['#_Constructed/Existing protected/fenced ponds]]*250)/WWWW[[#This Row],[Total PoP ]]&gt;1,1,(WWWW[[#This Row],['#_Constructed/Existing protected/fenced ponds]]*250)/WWWW[[#This Row],[Total PoP ]])</f>
        <v>0</v>
      </c>
      <c r="CU369" s="421">
        <f>WWWW[[#This Row],[% Access to unimproved water points]]*WWWW[[#This Row],[Total PoP ]]</f>
        <v>0</v>
      </c>
      <c r="CV369"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69"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130</v>
      </c>
      <c r="CX369" s="421">
        <f>WWWW[[#This Row],[HRP1]]/500</f>
        <v>0.26</v>
      </c>
      <c r="CY369" s="951">
        <f>1-WWWW[[#This Row],[% Equitable and continuous access to sufficient quantity of domestic water]]</f>
        <v>0</v>
      </c>
      <c r="CZ369" s="421">
        <f>WWWW[[#This Row],[%equitable and continuous access to sufficient quantity of safe drinking and domestic water''s GAP]]*WWWW[[#This Row],[Total PoP ]]</f>
        <v>0</v>
      </c>
      <c r="DA369" s="417">
        <f>IF(WWWW[[#This Row],[Total required water points]]-WWWW[[#This Row],['#Water points coverage]]&lt;0,0,WWWW[[#This Row],[Total required water points]]-WWWW[[#This Row],['#Water points coverage]])</f>
        <v>0.74</v>
      </c>
      <c r="DB369" s="417">
        <f>ROUND(IF(WWWW[[#This Row],[Total PoP ]]&lt;500,1,WWWW[[#This Row],[Total PoP ]]/500),0)</f>
        <v>1</v>
      </c>
      <c r="DC369" s="417">
        <f>(WWWW[[#This Row],['#_Constructed latrines_by_WASHAgencies]]+WWWW[[#This Row],['#_Non Cluster partner latrines]])-WWWW[[#This Row],['#_Non-functional latrines]]</f>
        <v>30</v>
      </c>
      <c r="DD369" s="615">
        <f>WWWW[[#This Row],[HRP2]]/WWWW[[#This Row],[Total PoP ]]</f>
        <v>1</v>
      </c>
      <c r="DE369"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130</v>
      </c>
      <c r="DF369"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69"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69" s="417">
        <f>IF(WWWW[[#This Row],['# of functional latrines in THF supported by WASH partners during the reporting period2]]="",0,WWWW[[#This Row],['# of functional latrines in THF supported by WASH partners during the reporting period2]]*50)</f>
        <v>0</v>
      </c>
      <c r="DI369" s="417">
        <f>ROUND(IF(WWWW[[#This Row],[Location Type 1]]="camp",WWWW[[#This Row],[Total PoP ]]/20,IF(WWWW[[#This Row],[Location Type 1]]="Temporary Location",WWWW[[#This Row],[Total PoP ]]/50,(WWWW[[#This Row],[Total PoP ]]/6))),0)</f>
        <v>7</v>
      </c>
      <c r="DJ369" s="417">
        <f>IF(WWWW[[#This Row],[Total required Latrines]]-(WWWW[[#This Row],['#_Constructed latrines_by_WASHAgencies]]+WWWW[[#This Row],['#_Non Cluster partner latrines]])&lt;0,0,WWWW[[#This Row],[Total required Latrines]]-(WWWW[[#This Row],['#_Constructed latrines_by_WASHAgencies]]+WWWW[[#This Row],['#_Non Cluster partner latrines]]))</f>
        <v>0</v>
      </c>
      <c r="DK369" s="951">
        <f>1-WWWW[[#This Row],[% people access to functioning Latrine]]</f>
        <v>0</v>
      </c>
      <c r="DL369" s="615">
        <f>IF(OR(WWWW[[#This Row],['#_Non-functional latrines]]="",WWWW[[#This Row],['#_Non-functional latrines]]=0),0,WWWW[[#This Row],['#_Non-functional latrines]]/(WWWW[[#This Row],['#_Constructed latrines_by_WASHAgencies]]+WWWW[[#This Row],['#_Non Cluster partner latrines]]))</f>
        <v>0</v>
      </c>
      <c r="DM369" s="421">
        <f>IF(500*(WWWW[[#This Row],['#_male hygiene promoters]]+WWWW[[#This Row],['#_female hygiene promoters]])&gt;WWWW[[#This Row],[Total PoP ]],WWWW[[#This Row],[Total PoP ]],500*(WWWW[[#This Row],['#_male hygiene promoters]]+WWWW[[#This Row],['#_female hygiene promoters]]))</f>
        <v>130</v>
      </c>
      <c r="DN369"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69"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69" s="417">
        <f>IF(WWWW[[#This Row],['# People with access to soap]]&gt;WWWW[[#This Row],['# People with access to Sanity Pads]],WWWW[[#This Row],['# People with access to soap]],WWWW[[#This Row],['# People with access to Sanity Pads]])</f>
        <v>0</v>
      </c>
      <c r="DQ369" s="417">
        <f>IF(WWWW[[#This Row],['# people reached by regular dedicated hygiene promotion_5]]&gt;WWWW[[#This Row],['# People received regular supply of hygiene items_6]],WWWW[[#This Row],['# people reached by regular dedicated hygiene promotion_5]],WWWW[[#This Row],['# People received regular supply of hygiene items_6]])</f>
        <v>130</v>
      </c>
      <c r="DR369" s="951">
        <f>IF(WWWW[[#This Row],[HRP3]]/WWWW[[#This Row],[Total PoP ]]&gt;1,1,WWWW[[#This Row],[HRP3]]/WWWW[[#This Row],[Total PoP ]])</f>
        <v>1</v>
      </c>
      <c r="DS369" s="615">
        <f>1-WWWW[[#This Row],[Hygiene Coverage%]]</f>
        <v>0</v>
      </c>
      <c r="DT369" s="416">
        <f>WWWW[[#This Row],['# people reached by regular dedicated hygiene promotion_5]]/WWWW[[#This Row],[Total PoP ]]</f>
        <v>1</v>
      </c>
      <c r="DU369"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69"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69" s="417">
        <f>WWWW[[#This Row],['#_Constructed/Existing hand washing stations]]-WWWW[[#This Row],['#_Non-Functional_hand_washing_stations]]</f>
        <v>7</v>
      </c>
      <c r="DX369" s="421">
        <f>IF(WWWW[[#This Row],['# Functional hand washing stations during reporting period]]*20&gt;WWWW[[#This Row],[Total HH]],WWWW[[#This Row],[Total HH]],WWWW[[#This Row],['# Functional hand washing stations during reporting period]]*20)</f>
        <v>29</v>
      </c>
      <c r="DY369" s="421">
        <f>IF(WWWW[[#This Row],[Is sufficient soap available for TLS? (Yes/No)]]="yes",WWWW[[#This Row],['#_Constructed/Existing hand washing stations at TLS/CFS/THF]],0)</f>
        <v>0</v>
      </c>
      <c r="DZ369" s="421">
        <f>IF(WWWW[[#This Row],['# Functional hand washing stations during reporting period]]*100&gt;WWWW[[#This Row],[Total PoP ]],WWWW[[#This Row],[Total PoP ]],WWWW[[#This Row],['# Functional hand washing stations during reporting period]]*100)</f>
        <v>130</v>
      </c>
      <c r="EA369" s="421" t="str">
        <f>IF(OR(WWWW[[#This Row],['#_students at TLS_CFS]]="",WWWW[[#This Row],['#_students at TLS_CFS]]=0),"No","Yes")</f>
        <v>No</v>
      </c>
      <c r="EB36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69" s="566">
        <f>WWWW[[#This Row],[%_of_affected_people_surveyed_who_report_feeling_satistfied_with_the_latrine_design_and_sanitation_service]]*WWWW[[#This Row],[Total PoP ]]</f>
        <v>0</v>
      </c>
      <c r="ED369" s="566">
        <f>WWWW[[#This Row],[%_of_affected_people_surveyed_who_report_feeling_satistfied_with_the_water_point_design_and_water_service]]*WWWW[[#This Row],[Total PoP ]]</f>
        <v>0</v>
      </c>
      <c r="EE369" s="566">
        <f>WWWW[[#This Row],[%_of_complaints_received_that_result_in_timely_corrective_action_and_feedback_to_the_community]]*WWWW[[#This Row],[Total PoP ]]</f>
        <v>0</v>
      </c>
      <c r="EF36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6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6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69" s="418" t="str">
        <f>VLOOKUP(WWWW[[#This Row],[Site Name]],SiteDB6[[Site Name]:[CCCM Management]],6,FALSE)</f>
        <v>Yes</v>
      </c>
      <c r="EJ369" s="418" t="str">
        <f>VLOOKUP(WWWW[[#This Row],[Site Name]],SiteDB6[[Site Name]:[CCCM Focal Agency]],7,FALSE)</f>
        <v>KMSS-LSO</v>
      </c>
      <c r="EK369" s="418" t="str">
        <f>VLOOKUP(WWWW[[#This Row],[Site Name]],SiteDB6[[Site Name]:[Location Type 1]],9,FALSE)</f>
        <v>Camp</v>
      </c>
      <c r="EL369" s="418" t="str">
        <f>VLOOKUP(WWWW[[#This Row],[Site Name]],SiteDB6[[Site Name]:[Type of Accommodation]],10,FALSE)</f>
        <v>Camp</v>
      </c>
      <c r="EM369" s="418" t="str">
        <f>VLOOKUP(WWWW[[#This Row],[Site Name]],SiteDB6[[Site Name]:[Ethnic or GCA/NGCA]],11,FALSE)</f>
        <v>GCA</v>
      </c>
      <c r="EN369" s="418">
        <f>VLOOKUP(WWWW[[#This Row],[Site Name]],SiteDB6[[Site Name]:[Lat]],12,FALSE)</f>
        <v>23.638999999999999</v>
      </c>
      <c r="EO369" s="418">
        <f>VLOOKUP(WWWW[[#This Row],[Site Name]],SiteDB6[[Site Name]:[Long]],13,FALSE)</f>
        <v>97.861999999999995</v>
      </c>
      <c r="EP369" s="418" t="str">
        <f>VLOOKUP(WWWW[[#This Row],[Site Name]],SiteDB6[[Site Name]:[Pcode]],3,FALSE)</f>
        <v>MMR015CMP068</v>
      </c>
      <c r="EQ369" s="950" t="str">
        <f t="shared" si="8"/>
        <v>Covered</v>
      </c>
      <c r="ER369" s="950" t="s">
        <v>3126</v>
      </c>
      <c r="ES369" s="950" t="s">
        <v>3311</v>
      </c>
      <c r="ET369" s="418">
        <f>VLOOKUP(WWWW[[#This Row],[Site Name]],SiteDB6[[Site Name]:[Pop
(Kachin/Shan-CCCM as of May 2023)]],16,FALSE)</f>
        <v>31</v>
      </c>
      <c r="EU369" s="418">
        <f>VLOOKUP(WWWW[[#This Row],[Site Name]],SiteDB6[[Site Name]:[Pop
(Kachin/Shan-CCCM as of May 2023)]],17,FALSE)</f>
        <v>145</v>
      </c>
    </row>
    <row r="370" spans="1:151">
      <c r="A370" s="946" t="s">
        <v>2962</v>
      </c>
      <c r="B370" s="946" t="s">
        <v>192</v>
      </c>
      <c r="C370" s="938" t="s">
        <v>192</v>
      </c>
      <c r="D370" s="938" t="s">
        <v>299</v>
      </c>
      <c r="E370" s="938" t="s">
        <v>515</v>
      </c>
      <c r="F370" s="938" t="s">
        <v>519</v>
      </c>
      <c r="G370" s="902" t="str">
        <f>VLOOKUP(WWWW[[#This Row],[Site Name]],SiteDB6[[Site Name]:[Location Type]],8,FALSE)</f>
        <v>Camp</v>
      </c>
      <c r="H370" s="938" t="s">
        <v>541</v>
      </c>
      <c r="I370" s="441">
        <v>40</v>
      </c>
      <c r="J370" s="441">
        <v>244</v>
      </c>
      <c r="K370" s="964">
        <v>44511</v>
      </c>
      <c r="L370" s="965">
        <v>45146</v>
      </c>
      <c r="M370" s="441"/>
      <c r="N370" s="441">
        <v>1</v>
      </c>
      <c r="O370" s="441"/>
      <c r="P370" s="441"/>
      <c r="Q370" s="421" t="s">
        <v>41</v>
      </c>
      <c r="R370" s="441">
        <v>3</v>
      </c>
      <c r="S370" s="441">
        <v>3</v>
      </c>
      <c r="T370" s="441">
        <v>1</v>
      </c>
      <c r="U370" s="441"/>
      <c r="V370" s="441"/>
      <c r="W370" s="441">
        <v>1</v>
      </c>
      <c r="X370" s="441">
        <v>2</v>
      </c>
      <c r="Y370" s="441"/>
      <c r="Z370" s="441"/>
      <c r="AA370" s="441"/>
      <c r="AB370" s="441"/>
      <c r="AC370" s="441"/>
      <c r="AD370" s="441"/>
      <c r="AE370" s="441"/>
      <c r="AF370" s="441"/>
      <c r="AG370" s="441"/>
      <c r="AH370" s="441"/>
      <c r="AI370" s="441"/>
      <c r="AJ370" s="441"/>
      <c r="AK370" s="441"/>
      <c r="AL370" s="441"/>
      <c r="AM370" s="441"/>
      <c r="AN370" s="441"/>
      <c r="AO370" s="441"/>
      <c r="AP370" s="950"/>
      <c r="AQ370" s="441">
        <v>12</v>
      </c>
      <c r="AR370" s="441"/>
      <c r="AS370" s="416"/>
      <c r="AT370" s="441"/>
      <c r="AU370" s="441"/>
      <c r="AV370" s="441"/>
      <c r="AW370" s="441"/>
      <c r="AX370" s="441"/>
      <c r="AY370" s="418" t="s">
        <v>41</v>
      </c>
      <c r="AZ370" s="950" t="s">
        <v>136</v>
      </c>
      <c r="BA370" s="441"/>
      <c r="BB370" s="441"/>
      <c r="BC370" s="441"/>
      <c r="BD370" s="441"/>
      <c r="BE370" s="441"/>
      <c r="BF370" s="418"/>
      <c r="BG370" s="441">
        <v>7</v>
      </c>
      <c r="BH370" s="441"/>
      <c r="BI370" s="441"/>
      <c r="BJ370" s="441">
        <v>1</v>
      </c>
      <c r="BK370" s="441"/>
      <c r="BL370" s="441"/>
      <c r="BM370" s="441">
        <v>1</v>
      </c>
      <c r="BN370" s="441"/>
      <c r="BO370" s="441"/>
      <c r="BP370" s="418" t="s">
        <v>41</v>
      </c>
      <c r="BQ370" s="417"/>
      <c r="BR370" s="416"/>
      <c r="BS370" s="418"/>
      <c r="BT370" s="416"/>
      <c r="BU370" s="416"/>
      <c r="BV370" s="418"/>
      <c r="BW370" s="416"/>
      <c r="BX370" s="441"/>
      <c r="BY370" s="441"/>
      <c r="BZ370" s="441"/>
      <c r="CA370" s="441"/>
      <c r="CB370" s="441"/>
      <c r="CC370" s="693"/>
      <c r="CD370" s="441"/>
      <c r="CE370" s="615" t="str">
        <f>IFERROR(WWWW[[#This Row],['#_Water sources passed]]/WWWW[[#This Row],['#_Water sources tested for fecal coliform ]],"no test")</f>
        <v>no test</v>
      </c>
      <c r="CF370" s="416" t="str">
        <f>IFERROR(WWWW[[#This Row],['#_Household passed]]/WWWW[[#This Row],['#_Household water samples tested for fecal coliform]],"no test")</f>
        <v>no test</v>
      </c>
      <c r="CG370" s="417" t="str">
        <f>IF(AND(WWWW[[#This Row],[% of water sources passed]]="no test",WWWW[[#This Row],[% Household passed]]="no test"),"No Test","Tested")</f>
        <v>No Test</v>
      </c>
      <c r="CH370" s="417">
        <f>WWWW[[#This Row],['#_Constructed/existing protected hand dug well]]-WWWW[[#This Row],['#_Non-functional protected hand dug well]]</f>
        <v>1</v>
      </c>
      <c r="CI370" s="417">
        <f>(WWWW[[#This Row],['#_Constructed/Existing tube wells/boreholes/handpumps_WASH_agency]]+WWWW[[#This Row],['#_Non-Cluster partner water tube-wells/boreholes/handpumps]])-WWWW[[#This Row],['#_Non-functional tube wells/boreholes/handpumps]]</f>
        <v>3</v>
      </c>
      <c r="CJ370" s="417">
        <f>WWWW[[#This Row],['#_Constructed/Existingwater storage tank with gravity fed reticulation system]]-WWWW[[#This Row],['#_Non-functional storage tank gravity fed reticulation system]]</f>
        <v>0</v>
      </c>
      <c r="CK370" s="417">
        <f>(WWWW[[#This Row],['#_Water_Liters_supplied_by_Water boating or water trucking]]/90)/15</f>
        <v>0</v>
      </c>
      <c r="CL370" s="417">
        <f>WWWW[[#This Row],['#_Water_Liters_from_Constructed/Existing water distribution system from river or natural spring]]/90/15</f>
        <v>0</v>
      </c>
      <c r="CM370" s="417">
        <f>IF(WWWW[[#This Row],['#_of water points in TLS/CFS]]*500&gt;WWWW[[#This Row],[Total PoP ]],WWWW[[#This Row],[Total PoP ]],WWWW[[#This Row],['#_of water points in TLS/CFS]]*500)</f>
        <v>0</v>
      </c>
      <c r="CN370" s="417">
        <f>IF(WWWW[[#This Row],['#_of water points in THF]]*500&gt;WWWW[[#This Row],[Total PoP ]],WWWW[[#This Row],[Total PoP ]],WWWW[[#This Row],['#_of water points in THF]]*500)</f>
        <v>0</v>
      </c>
      <c r="CO370" s="417"/>
      <c r="CP370"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70"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70" s="416">
        <f>IF(WWWW[[#This Row],[Location Type 1]]="Village",WWWW[[#This Row],[Access to safe drinking water for Village]],WWWW[[#This Row],[Access to safe drinking water for Camp]])</f>
        <v>1</v>
      </c>
      <c r="CS370" s="421">
        <f>WWWW[[#This Row],[%Equitable and continuous access to sufficient quantity of safe drinking water]]*WWWW[[#This Row],[Total PoP ]]</f>
        <v>244</v>
      </c>
      <c r="CT370" s="416">
        <f>IF((WWWW[[#This Row],['#_Constructed/Existing protected/fenced ponds]]*250)/WWWW[[#This Row],[Total PoP ]]&gt;1,1,(WWWW[[#This Row],['#_Constructed/Existing protected/fenced ponds]]*250)/WWWW[[#This Row],[Total PoP ]])</f>
        <v>0</v>
      </c>
      <c r="CU370" s="421">
        <f>WWWW[[#This Row],[% Access to unimproved water points]]*WWWW[[#This Row],[Total PoP ]]</f>
        <v>0</v>
      </c>
      <c r="CV370"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70"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244</v>
      </c>
      <c r="CX370" s="421">
        <f>WWWW[[#This Row],[HRP1]]/500</f>
        <v>0.48799999999999999</v>
      </c>
      <c r="CY370" s="951">
        <f>1-WWWW[[#This Row],[% Equitable and continuous access to sufficient quantity of domestic water]]</f>
        <v>0</v>
      </c>
      <c r="CZ370" s="421">
        <f>WWWW[[#This Row],[%equitable and continuous access to sufficient quantity of safe drinking and domestic water''s GAP]]*WWWW[[#This Row],[Total PoP ]]</f>
        <v>0</v>
      </c>
      <c r="DA370" s="417">
        <f>IF(WWWW[[#This Row],[Total required water points]]-WWWW[[#This Row],['#Water points coverage]]&lt;0,0,WWWW[[#This Row],[Total required water points]]-WWWW[[#This Row],['#Water points coverage]])</f>
        <v>0.51200000000000001</v>
      </c>
      <c r="DB370" s="417">
        <f>ROUND(IF(WWWW[[#This Row],[Total PoP ]]&lt;500,1,WWWW[[#This Row],[Total PoP ]]/500),0)</f>
        <v>1</v>
      </c>
      <c r="DC370" s="417">
        <f>(WWWW[[#This Row],['#_Constructed latrines_by_WASHAgencies]]+WWWW[[#This Row],['#_Non Cluster partner latrines]])-WWWW[[#This Row],['#_Non-functional latrines]]</f>
        <v>12</v>
      </c>
      <c r="DD370" s="615">
        <f>WWWW[[#This Row],[HRP2]]/WWWW[[#This Row],[Total PoP ]]</f>
        <v>0.98360655737704916</v>
      </c>
      <c r="DE370"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240</v>
      </c>
      <c r="DF370"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70"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70" s="417">
        <f>IF(WWWW[[#This Row],['# of functional latrines in THF supported by WASH partners during the reporting period2]]="",0,WWWW[[#This Row],['# of functional latrines in THF supported by WASH partners during the reporting period2]]*50)</f>
        <v>0</v>
      </c>
      <c r="DI370" s="417">
        <f>ROUND(IF(WWWW[[#This Row],[Location Type 1]]="camp",WWWW[[#This Row],[Total PoP ]]/20,IF(WWWW[[#This Row],[Location Type 1]]="Temporary Location",WWWW[[#This Row],[Total PoP ]]/50,(WWWW[[#This Row],[Total PoP ]]/6))),0)</f>
        <v>12</v>
      </c>
      <c r="DJ370" s="417">
        <f>IF(WWWW[[#This Row],[Total required Latrines]]-(WWWW[[#This Row],['#_Constructed latrines_by_WASHAgencies]]+WWWW[[#This Row],['#_Non Cluster partner latrines]])&lt;0,0,WWWW[[#This Row],[Total required Latrines]]-(WWWW[[#This Row],['#_Constructed latrines_by_WASHAgencies]]+WWWW[[#This Row],['#_Non Cluster partner latrines]]))</f>
        <v>0</v>
      </c>
      <c r="DK370" s="951">
        <f>1-WWWW[[#This Row],[% people access to functioning Latrine]]</f>
        <v>1.6393442622950838E-2</v>
      </c>
      <c r="DL370" s="615">
        <f>IF(OR(WWWW[[#This Row],['#_Non-functional latrines]]="",WWWW[[#This Row],['#_Non-functional latrines]]=0),0,WWWW[[#This Row],['#_Non-functional latrines]]/(WWWW[[#This Row],['#_Constructed latrines_by_WASHAgencies]]+WWWW[[#This Row],['#_Non Cluster partner latrines]]))</f>
        <v>0</v>
      </c>
      <c r="DM370" s="421">
        <f>IF(500*(WWWW[[#This Row],['#_male hygiene promoters]]+WWWW[[#This Row],['#_female hygiene promoters]])&gt;WWWW[[#This Row],[Total PoP ]],WWWW[[#This Row],[Total PoP ]],500*(WWWW[[#This Row],['#_male hygiene promoters]]+WWWW[[#This Row],['#_female hygiene promoters]]))</f>
        <v>244</v>
      </c>
      <c r="DN370"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70"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70" s="417">
        <f>IF(WWWW[[#This Row],['# People with access to soap]]&gt;WWWW[[#This Row],['# People with access to Sanity Pads]],WWWW[[#This Row],['# People with access to soap]],WWWW[[#This Row],['# People with access to Sanity Pads]])</f>
        <v>0</v>
      </c>
      <c r="DQ370" s="417">
        <f>IF(WWWW[[#This Row],['# people reached by regular dedicated hygiene promotion_5]]&gt;WWWW[[#This Row],['# People received regular supply of hygiene items_6]],WWWW[[#This Row],['# people reached by regular dedicated hygiene promotion_5]],WWWW[[#This Row],['# People received regular supply of hygiene items_6]])</f>
        <v>244</v>
      </c>
      <c r="DR370" s="951">
        <f>IF(WWWW[[#This Row],[HRP3]]/WWWW[[#This Row],[Total PoP ]]&gt;1,1,WWWW[[#This Row],[HRP3]]/WWWW[[#This Row],[Total PoP ]])</f>
        <v>1</v>
      </c>
      <c r="DS370" s="615">
        <f>1-WWWW[[#This Row],[Hygiene Coverage%]]</f>
        <v>0</v>
      </c>
      <c r="DT370" s="416">
        <f>WWWW[[#This Row],['# people reached by regular dedicated hygiene promotion_5]]/WWWW[[#This Row],[Total PoP ]]</f>
        <v>1</v>
      </c>
      <c r="DU370"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70"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70" s="417">
        <f>WWWW[[#This Row],['#_Constructed/Existing hand washing stations]]-WWWW[[#This Row],['#_Non-Functional_hand_washing_stations]]</f>
        <v>7</v>
      </c>
      <c r="DX370" s="421">
        <f>IF(WWWW[[#This Row],['# Functional hand washing stations during reporting period]]*20&gt;WWWW[[#This Row],[Total HH]],WWWW[[#This Row],[Total HH]],WWWW[[#This Row],['# Functional hand washing stations during reporting period]]*20)</f>
        <v>40</v>
      </c>
      <c r="DY370" s="421">
        <f>IF(WWWW[[#This Row],[Is sufficient soap available for TLS? (Yes/No)]]="yes",WWWW[[#This Row],['#_Constructed/Existing hand washing stations at TLS/CFS/THF]],0)</f>
        <v>0</v>
      </c>
      <c r="DZ370" s="421">
        <f>IF(WWWW[[#This Row],['# Functional hand washing stations during reporting period]]*100&gt;WWWW[[#This Row],[Total PoP ]],WWWW[[#This Row],[Total PoP ]],WWWW[[#This Row],['# Functional hand washing stations during reporting period]]*100)</f>
        <v>244</v>
      </c>
      <c r="EA370" s="421" t="str">
        <f>IF(OR(WWWW[[#This Row],['#_students at TLS_CFS]]="",WWWW[[#This Row],['#_students at TLS_CFS]]=0),"No","Yes")</f>
        <v>No</v>
      </c>
      <c r="EB37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70" s="566">
        <f>WWWW[[#This Row],[%_of_affected_people_surveyed_who_report_feeling_satistfied_with_the_latrine_design_and_sanitation_service]]*WWWW[[#This Row],[Total PoP ]]</f>
        <v>0</v>
      </c>
      <c r="ED370" s="566">
        <f>WWWW[[#This Row],[%_of_affected_people_surveyed_who_report_feeling_satistfied_with_the_water_point_design_and_water_service]]*WWWW[[#This Row],[Total PoP ]]</f>
        <v>0</v>
      </c>
      <c r="EE370" s="566">
        <f>WWWW[[#This Row],[%_of_complaints_received_that_result_in_timely_corrective_action_and_feedback_to_the_community]]*WWWW[[#This Row],[Total PoP ]]</f>
        <v>0</v>
      </c>
      <c r="EF37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7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7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70" s="418" t="str">
        <f>VLOOKUP(WWWW[[#This Row],[Site Name]],SiteDB6[[Site Name]:[CCCM Management]],6,FALSE)</f>
        <v>Yes</v>
      </c>
      <c r="EJ370" s="418" t="str">
        <f>VLOOKUP(WWWW[[#This Row],[Site Name]],SiteDB6[[Site Name]:[CCCM Focal Agency]],7,FALSE)</f>
        <v>KBC-NSS</v>
      </c>
      <c r="EK370" s="418" t="str">
        <f>VLOOKUP(WWWW[[#This Row],[Site Name]],SiteDB6[[Site Name]:[Location Type 1]],9,FALSE)</f>
        <v>Camp</v>
      </c>
      <c r="EL370" s="418" t="str">
        <f>VLOOKUP(WWWW[[#This Row],[Site Name]],SiteDB6[[Site Name]:[Type of Accommodation]],10,FALSE)</f>
        <v>Camp</v>
      </c>
      <c r="EM370" s="418" t="str">
        <f>VLOOKUP(WWWW[[#This Row],[Site Name]],SiteDB6[[Site Name]:[Ethnic or GCA/NGCA]],11,FALSE)</f>
        <v>GCA</v>
      </c>
      <c r="EN370" s="418">
        <f>VLOOKUP(WWWW[[#This Row],[Site Name]],SiteDB6[[Site Name]:[Lat]],12,FALSE)</f>
        <v>23.450914000000001</v>
      </c>
      <c r="EO370" s="418">
        <f>VLOOKUP(WWWW[[#This Row],[Site Name]],SiteDB6[[Site Name]:[Long]],13,FALSE)</f>
        <v>97.926813999999993</v>
      </c>
      <c r="EP370" s="418" t="str">
        <f>VLOOKUP(WWWW[[#This Row],[Site Name]],SiteDB6[[Site Name]:[Pcode]],3,FALSE)</f>
        <v>MMR015CMP016</v>
      </c>
      <c r="EQ370" s="950" t="str">
        <f t="shared" si="8"/>
        <v>Covered</v>
      </c>
      <c r="ER370" s="950" t="s">
        <v>3126</v>
      </c>
      <c r="ES370" s="950" t="s">
        <v>3311</v>
      </c>
      <c r="ET370" s="418">
        <f>VLOOKUP(WWWW[[#This Row],[Site Name]],SiteDB6[[Site Name]:[Pop
(Kachin/Shan-CCCM as of May 2023)]],16,FALSE)</f>
        <v>39</v>
      </c>
      <c r="EU370" s="418">
        <f>VLOOKUP(WWWW[[#This Row],[Site Name]],SiteDB6[[Site Name]:[Pop
(Kachin/Shan-CCCM as of May 2023)]],17,FALSE)</f>
        <v>243</v>
      </c>
    </row>
    <row r="371" spans="1:151">
      <c r="A371" s="946" t="s">
        <v>2962</v>
      </c>
      <c r="B371" s="946" t="s">
        <v>192</v>
      </c>
      <c r="C371" s="938" t="s">
        <v>192</v>
      </c>
      <c r="D371" s="938" t="s">
        <v>299</v>
      </c>
      <c r="E371" s="938" t="s">
        <v>515</v>
      </c>
      <c r="F371" s="938" t="s">
        <v>519</v>
      </c>
      <c r="G371" s="902" t="str">
        <f>VLOOKUP(WWWW[[#This Row],[Site Name]],SiteDB6[[Site Name]:[Location Type]],8,FALSE)</f>
        <v>Camp</v>
      </c>
      <c r="H371" s="938" t="s">
        <v>546</v>
      </c>
      <c r="I371" s="441">
        <v>38</v>
      </c>
      <c r="J371" s="441">
        <v>180</v>
      </c>
      <c r="K371" s="964">
        <v>44511</v>
      </c>
      <c r="L371" s="965">
        <v>45146</v>
      </c>
      <c r="M371" s="441"/>
      <c r="N371" s="441"/>
      <c r="O371" s="441"/>
      <c r="P371" s="441"/>
      <c r="Q371" s="421"/>
      <c r="R371" s="441">
        <v>4</v>
      </c>
      <c r="S371" s="441">
        <v>5</v>
      </c>
      <c r="T371" s="441">
        <v>1</v>
      </c>
      <c r="U371" s="441"/>
      <c r="V371" s="441"/>
      <c r="W371" s="441">
        <v>1</v>
      </c>
      <c r="X371" s="441"/>
      <c r="Y371" s="441"/>
      <c r="Z371" s="441"/>
      <c r="AA371" s="441"/>
      <c r="AB371" s="441"/>
      <c r="AC371" s="441"/>
      <c r="AD371" s="441"/>
      <c r="AE371" s="441"/>
      <c r="AF371" s="441"/>
      <c r="AG371" s="441"/>
      <c r="AH371" s="441"/>
      <c r="AI371" s="441"/>
      <c r="AJ371" s="441"/>
      <c r="AK371" s="441"/>
      <c r="AL371" s="441"/>
      <c r="AM371" s="441"/>
      <c r="AN371" s="441"/>
      <c r="AO371" s="441"/>
      <c r="AP371" s="950"/>
      <c r="AQ371" s="441">
        <v>9</v>
      </c>
      <c r="AR371" s="441"/>
      <c r="AS371" s="416"/>
      <c r="AT371" s="441"/>
      <c r="AU371" s="441"/>
      <c r="AV371" s="441"/>
      <c r="AW371" s="441"/>
      <c r="AX371" s="441"/>
      <c r="AY371" s="418" t="s">
        <v>41</v>
      </c>
      <c r="AZ371" s="950" t="s">
        <v>137</v>
      </c>
      <c r="BA371" s="441"/>
      <c r="BB371" s="441"/>
      <c r="BC371" s="441"/>
      <c r="BD371" s="441"/>
      <c r="BE371" s="441"/>
      <c r="BF371" s="418"/>
      <c r="BG371" s="441">
        <v>4</v>
      </c>
      <c r="BH371" s="441"/>
      <c r="BI371" s="441"/>
      <c r="BJ371" s="441">
        <v>2</v>
      </c>
      <c r="BK371" s="441"/>
      <c r="BL371" s="441"/>
      <c r="BM371" s="441">
        <v>1</v>
      </c>
      <c r="BN371" s="441"/>
      <c r="BO371" s="441"/>
      <c r="BP371" s="418" t="s">
        <v>41</v>
      </c>
      <c r="BQ371" s="417"/>
      <c r="BR371" s="416"/>
      <c r="BS371" s="418"/>
      <c r="BT371" s="416"/>
      <c r="BU371" s="416"/>
      <c r="BV371" s="418"/>
      <c r="BW371" s="416"/>
      <c r="BX371" s="441"/>
      <c r="BY371" s="441"/>
      <c r="BZ371" s="441"/>
      <c r="CA371" s="441"/>
      <c r="CB371" s="441"/>
      <c r="CC371" s="693"/>
      <c r="CD371" s="441"/>
      <c r="CE371" s="615" t="str">
        <f>IFERROR(WWWW[[#This Row],['#_Water sources passed]]/WWWW[[#This Row],['#_Water sources tested for fecal coliform ]],"no test")</f>
        <v>no test</v>
      </c>
      <c r="CF371" s="416" t="str">
        <f>IFERROR(WWWW[[#This Row],['#_Household passed]]/WWWW[[#This Row],['#_Household water samples tested for fecal coliform]],"no test")</f>
        <v>no test</v>
      </c>
      <c r="CG371" s="417" t="str">
        <f>IF(AND(WWWW[[#This Row],[% of water sources passed]]="no test",WWWW[[#This Row],[% Household passed]]="no test"),"No Test","Tested")</f>
        <v>No Test</v>
      </c>
      <c r="CH371" s="417">
        <f>WWWW[[#This Row],['#_Constructed/existing protected hand dug well]]-WWWW[[#This Row],['#_Non-functional protected hand dug well]]</f>
        <v>1</v>
      </c>
      <c r="CI371" s="417">
        <f>(WWWW[[#This Row],['#_Constructed/Existing tube wells/boreholes/handpumps_WASH_agency]]+WWWW[[#This Row],['#_Non-Cluster partner water tube-wells/boreholes/handpumps]])-WWWW[[#This Row],['#_Non-functional tube wells/boreholes/handpumps]]</f>
        <v>1</v>
      </c>
      <c r="CJ371" s="417">
        <f>WWWW[[#This Row],['#_Constructed/Existingwater storage tank with gravity fed reticulation system]]-WWWW[[#This Row],['#_Non-functional storage tank gravity fed reticulation system]]</f>
        <v>0</v>
      </c>
      <c r="CK371" s="417">
        <f>(WWWW[[#This Row],['#_Water_Liters_supplied_by_Water boating or water trucking]]/90)/15</f>
        <v>0</v>
      </c>
      <c r="CL371" s="417">
        <f>WWWW[[#This Row],['#_Water_Liters_from_Constructed/Existing water distribution system from river or natural spring]]/90/15</f>
        <v>0</v>
      </c>
      <c r="CM371" s="417">
        <f>IF(WWWW[[#This Row],['#_of water points in TLS/CFS]]*500&gt;WWWW[[#This Row],[Total PoP ]],WWWW[[#This Row],[Total PoP ]],WWWW[[#This Row],['#_of water points in TLS/CFS]]*500)</f>
        <v>0</v>
      </c>
      <c r="CN371" s="417">
        <f>IF(WWWW[[#This Row],['#_of water points in THF]]*500&gt;WWWW[[#This Row],[Total PoP ]],WWWW[[#This Row],[Total PoP ]],WWWW[[#This Row],['#_of water points in THF]]*500)</f>
        <v>0</v>
      </c>
      <c r="CO371" s="417"/>
      <c r="CP371"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71"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71" s="416">
        <f>IF(WWWW[[#This Row],[Location Type 1]]="Village",WWWW[[#This Row],[Access to safe drinking water for Village]],WWWW[[#This Row],[Access to safe drinking water for Camp]])</f>
        <v>1</v>
      </c>
      <c r="CS371" s="421">
        <f>WWWW[[#This Row],[%Equitable and continuous access to sufficient quantity of safe drinking water]]*WWWW[[#This Row],[Total PoP ]]</f>
        <v>180</v>
      </c>
      <c r="CT371" s="416">
        <f>IF((WWWW[[#This Row],['#_Constructed/Existing protected/fenced ponds]]*250)/WWWW[[#This Row],[Total PoP ]]&gt;1,1,(WWWW[[#This Row],['#_Constructed/Existing protected/fenced ponds]]*250)/WWWW[[#This Row],[Total PoP ]])</f>
        <v>0</v>
      </c>
      <c r="CU371" s="421">
        <f>WWWW[[#This Row],[% Access to unimproved water points]]*WWWW[[#This Row],[Total PoP ]]</f>
        <v>0</v>
      </c>
      <c r="CV371"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71"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180</v>
      </c>
      <c r="CX371" s="421">
        <f>WWWW[[#This Row],[HRP1]]/500</f>
        <v>0.36</v>
      </c>
      <c r="CY371" s="951">
        <f>1-WWWW[[#This Row],[% Equitable and continuous access to sufficient quantity of domestic water]]</f>
        <v>0</v>
      </c>
      <c r="CZ371" s="421">
        <f>WWWW[[#This Row],[%equitable and continuous access to sufficient quantity of safe drinking and domestic water''s GAP]]*WWWW[[#This Row],[Total PoP ]]</f>
        <v>0</v>
      </c>
      <c r="DA371" s="417">
        <f>IF(WWWW[[#This Row],[Total required water points]]-WWWW[[#This Row],['#Water points coverage]]&lt;0,0,WWWW[[#This Row],[Total required water points]]-WWWW[[#This Row],['#Water points coverage]])</f>
        <v>0.64</v>
      </c>
      <c r="DB371" s="417">
        <f>ROUND(IF(WWWW[[#This Row],[Total PoP ]]&lt;500,1,WWWW[[#This Row],[Total PoP ]]/500),0)</f>
        <v>1</v>
      </c>
      <c r="DC371" s="417">
        <f>(WWWW[[#This Row],['#_Constructed latrines_by_WASHAgencies]]+WWWW[[#This Row],['#_Non Cluster partner latrines]])-WWWW[[#This Row],['#_Non-functional latrines]]</f>
        <v>9</v>
      </c>
      <c r="DD371" s="615">
        <f>WWWW[[#This Row],[HRP2]]/WWWW[[#This Row],[Total PoP ]]</f>
        <v>1</v>
      </c>
      <c r="DE371"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180</v>
      </c>
      <c r="DF371"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71"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71" s="417">
        <f>IF(WWWW[[#This Row],['# of functional latrines in THF supported by WASH partners during the reporting period2]]="",0,WWWW[[#This Row],['# of functional latrines in THF supported by WASH partners during the reporting period2]]*50)</f>
        <v>0</v>
      </c>
      <c r="DI371" s="417">
        <f>ROUND(IF(WWWW[[#This Row],[Location Type 1]]="camp",WWWW[[#This Row],[Total PoP ]]/20,IF(WWWW[[#This Row],[Location Type 1]]="Temporary Location",WWWW[[#This Row],[Total PoP ]]/50,(WWWW[[#This Row],[Total PoP ]]/6))),0)</f>
        <v>9</v>
      </c>
      <c r="DJ371" s="417">
        <f>IF(WWWW[[#This Row],[Total required Latrines]]-(WWWW[[#This Row],['#_Constructed latrines_by_WASHAgencies]]+WWWW[[#This Row],['#_Non Cluster partner latrines]])&lt;0,0,WWWW[[#This Row],[Total required Latrines]]-(WWWW[[#This Row],['#_Constructed latrines_by_WASHAgencies]]+WWWW[[#This Row],['#_Non Cluster partner latrines]]))</f>
        <v>0</v>
      </c>
      <c r="DK371" s="951">
        <f>1-WWWW[[#This Row],[% people access to functioning Latrine]]</f>
        <v>0</v>
      </c>
      <c r="DL371" s="615">
        <f>IF(OR(WWWW[[#This Row],['#_Non-functional latrines]]="",WWWW[[#This Row],['#_Non-functional latrines]]=0),0,WWWW[[#This Row],['#_Non-functional latrines]]/(WWWW[[#This Row],['#_Constructed latrines_by_WASHAgencies]]+WWWW[[#This Row],['#_Non Cluster partner latrines]]))</f>
        <v>0</v>
      </c>
      <c r="DM371" s="421">
        <f>IF(500*(WWWW[[#This Row],['#_male hygiene promoters]]+WWWW[[#This Row],['#_female hygiene promoters]])&gt;WWWW[[#This Row],[Total PoP ]],WWWW[[#This Row],[Total PoP ]],500*(WWWW[[#This Row],['#_male hygiene promoters]]+WWWW[[#This Row],['#_female hygiene promoters]]))</f>
        <v>180</v>
      </c>
      <c r="DN371"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71"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71" s="417">
        <f>IF(WWWW[[#This Row],['# People with access to soap]]&gt;WWWW[[#This Row],['# People with access to Sanity Pads]],WWWW[[#This Row],['# People with access to soap]],WWWW[[#This Row],['# People with access to Sanity Pads]])</f>
        <v>0</v>
      </c>
      <c r="DQ371" s="417">
        <f>IF(WWWW[[#This Row],['# people reached by regular dedicated hygiene promotion_5]]&gt;WWWW[[#This Row],['# People received regular supply of hygiene items_6]],WWWW[[#This Row],['# people reached by regular dedicated hygiene promotion_5]],WWWW[[#This Row],['# People received regular supply of hygiene items_6]])</f>
        <v>180</v>
      </c>
      <c r="DR371" s="951">
        <f>IF(WWWW[[#This Row],[HRP3]]/WWWW[[#This Row],[Total PoP ]]&gt;1,1,WWWW[[#This Row],[HRP3]]/WWWW[[#This Row],[Total PoP ]])</f>
        <v>1</v>
      </c>
      <c r="DS371" s="615">
        <f>1-WWWW[[#This Row],[Hygiene Coverage%]]</f>
        <v>0</v>
      </c>
      <c r="DT371" s="416">
        <f>WWWW[[#This Row],['# people reached by regular dedicated hygiene promotion_5]]/WWWW[[#This Row],[Total PoP ]]</f>
        <v>1</v>
      </c>
      <c r="DU371"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71"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71" s="417">
        <f>WWWW[[#This Row],['#_Constructed/Existing hand washing stations]]-WWWW[[#This Row],['#_Non-Functional_hand_washing_stations]]</f>
        <v>4</v>
      </c>
      <c r="DX371" s="421">
        <f>IF(WWWW[[#This Row],['# Functional hand washing stations during reporting period]]*20&gt;WWWW[[#This Row],[Total HH]],WWWW[[#This Row],[Total HH]],WWWW[[#This Row],['# Functional hand washing stations during reporting period]]*20)</f>
        <v>38</v>
      </c>
      <c r="DY371" s="421">
        <f>IF(WWWW[[#This Row],[Is sufficient soap available for TLS? (Yes/No)]]="yes",WWWW[[#This Row],['#_Constructed/Existing hand washing stations at TLS/CFS/THF]],0)</f>
        <v>0</v>
      </c>
      <c r="DZ371" s="421">
        <f>IF(WWWW[[#This Row],['# Functional hand washing stations during reporting period]]*100&gt;WWWW[[#This Row],[Total PoP ]],WWWW[[#This Row],[Total PoP ]],WWWW[[#This Row],['# Functional hand washing stations during reporting period]]*100)</f>
        <v>180</v>
      </c>
      <c r="EA371" s="421" t="str">
        <f>IF(OR(WWWW[[#This Row],['#_students at TLS_CFS]]="",WWWW[[#This Row],['#_students at TLS_CFS]]=0),"No","Yes")</f>
        <v>No</v>
      </c>
      <c r="EB37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71" s="566">
        <f>WWWW[[#This Row],[%_of_affected_people_surveyed_who_report_feeling_satistfied_with_the_latrine_design_and_sanitation_service]]*WWWW[[#This Row],[Total PoP ]]</f>
        <v>0</v>
      </c>
      <c r="ED371" s="566">
        <f>WWWW[[#This Row],[%_of_affected_people_surveyed_who_report_feeling_satistfied_with_the_water_point_design_and_water_service]]*WWWW[[#This Row],[Total PoP ]]</f>
        <v>0</v>
      </c>
      <c r="EE371" s="566">
        <f>WWWW[[#This Row],[%_of_complaints_received_that_result_in_timely_corrective_action_and_feedback_to_the_community]]*WWWW[[#This Row],[Total PoP ]]</f>
        <v>0</v>
      </c>
      <c r="EF37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7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7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71" s="418" t="str">
        <f>VLOOKUP(WWWW[[#This Row],[Site Name]],SiteDB6[[Site Name]:[CCCM Management]],6,FALSE)</f>
        <v>Yes</v>
      </c>
      <c r="EJ371" s="418" t="str">
        <f>VLOOKUP(WWWW[[#This Row],[Site Name]],SiteDB6[[Site Name]:[CCCM Focal Agency]],7,FALSE)</f>
        <v>KBC-NSS</v>
      </c>
      <c r="EK371" s="418" t="str">
        <f>VLOOKUP(WWWW[[#This Row],[Site Name]],SiteDB6[[Site Name]:[Location Type 1]],9,FALSE)</f>
        <v>Camp</v>
      </c>
      <c r="EL371" s="418" t="str">
        <f>VLOOKUP(WWWW[[#This Row],[Site Name]],SiteDB6[[Site Name]:[Type of Accommodation]],10,FALSE)</f>
        <v>Camp</v>
      </c>
      <c r="EM371" s="418" t="str">
        <f>VLOOKUP(WWWW[[#This Row],[Site Name]],SiteDB6[[Site Name]:[Ethnic or GCA/NGCA]],11,FALSE)</f>
        <v>GCA</v>
      </c>
      <c r="EN371" s="418">
        <f>VLOOKUP(WWWW[[#This Row],[Site Name]],SiteDB6[[Site Name]:[Lat]],12,FALSE)</f>
        <v>23.460349999999998</v>
      </c>
      <c r="EO371" s="418">
        <f>VLOOKUP(WWWW[[#This Row],[Site Name]],SiteDB6[[Site Name]:[Long]],13,FALSE)</f>
        <v>97.947360000000003</v>
      </c>
      <c r="EP371" s="418" t="str">
        <f>VLOOKUP(WWWW[[#This Row],[Site Name]],SiteDB6[[Site Name]:[Pcode]],3,FALSE)</f>
        <v>MMR015CMP063</v>
      </c>
      <c r="EQ371" s="950" t="str">
        <f t="shared" si="8"/>
        <v>Covered</v>
      </c>
      <c r="ER371" s="950" t="s">
        <v>3126</v>
      </c>
      <c r="ES371" s="950" t="s">
        <v>3313</v>
      </c>
      <c r="ET371" s="418">
        <f>VLOOKUP(WWWW[[#This Row],[Site Name]],SiteDB6[[Site Name]:[Pop
(Kachin/Shan-CCCM as of May 2023)]],16,FALSE)</f>
        <v>34</v>
      </c>
      <c r="EU371" s="418">
        <f>VLOOKUP(WWWW[[#This Row],[Site Name]],SiteDB6[[Site Name]:[Pop
(Kachin/Shan-CCCM as of May 2023)]],17,FALSE)</f>
        <v>150</v>
      </c>
    </row>
    <row r="372" spans="1:151">
      <c r="A372" s="946" t="s">
        <v>2962</v>
      </c>
      <c r="B372" s="946" t="s">
        <v>192</v>
      </c>
      <c r="C372" s="938" t="s">
        <v>192</v>
      </c>
      <c r="D372" s="938" t="s">
        <v>299</v>
      </c>
      <c r="E372" s="938" t="s">
        <v>515</v>
      </c>
      <c r="F372" s="938" t="s">
        <v>519</v>
      </c>
      <c r="G372" s="902" t="str">
        <f>VLOOKUP(WWWW[[#This Row],[Site Name]],SiteDB6[[Site Name]:[Location Type]],8,FALSE)</f>
        <v>Camp</v>
      </c>
      <c r="H372" s="938" t="s">
        <v>1611</v>
      </c>
      <c r="I372" s="441">
        <v>74</v>
      </c>
      <c r="J372" s="441">
        <v>502</v>
      </c>
      <c r="K372" s="964">
        <v>44511</v>
      </c>
      <c r="L372" s="965">
        <v>45146</v>
      </c>
      <c r="M372" s="441"/>
      <c r="N372" s="441"/>
      <c r="O372" s="441"/>
      <c r="P372" s="441"/>
      <c r="Q372" s="421"/>
      <c r="R372" s="441">
        <v>6</v>
      </c>
      <c r="S372" s="441">
        <v>3</v>
      </c>
      <c r="T372" s="441"/>
      <c r="U372" s="441"/>
      <c r="V372" s="441"/>
      <c r="W372" s="441"/>
      <c r="X372" s="441"/>
      <c r="Y372" s="441"/>
      <c r="Z372" s="441"/>
      <c r="AA372" s="441">
        <v>8</v>
      </c>
      <c r="AB372" s="441"/>
      <c r="AC372" s="441"/>
      <c r="AD372" s="441"/>
      <c r="AE372" s="441"/>
      <c r="AF372" s="441"/>
      <c r="AG372" s="441"/>
      <c r="AH372" s="441"/>
      <c r="AI372" s="441"/>
      <c r="AJ372" s="441"/>
      <c r="AK372" s="441"/>
      <c r="AL372" s="441"/>
      <c r="AM372" s="441">
        <v>1</v>
      </c>
      <c r="AN372" s="441">
        <v>2</v>
      </c>
      <c r="AO372" s="441"/>
      <c r="AP372" s="950"/>
      <c r="AQ372" s="441">
        <v>85</v>
      </c>
      <c r="AR372" s="441"/>
      <c r="AS372" s="416"/>
      <c r="AT372" s="441"/>
      <c r="AU372" s="441"/>
      <c r="AV372" s="441"/>
      <c r="AW372" s="441"/>
      <c r="AX372" s="441">
        <v>5</v>
      </c>
      <c r="AY372" s="418" t="s">
        <v>41</v>
      </c>
      <c r="AZ372" s="950" t="s">
        <v>899</v>
      </c>
      <c r="BA372" s="441"/>
      <c r="BB372" s="441"/>
      <c r="BC372" s="441"/>
      <c r="BD372" s="441"/>
      <c r="BE372" s="441"/>
      <c r="BF372" s="418"/>
      <c r="BG372" s="441">
        <v>2</v>
      </c>
      <c r="BH372" s="441"/>
      <c r="BI372" s="441"/>
      <c r="BJ372" s="441">
        <v>1</v>
      </c>
      <c r="BK372" s="441"/>
      <c r="BL372" s="441">
        <v>1</v>
      </c>
      <c r="BM372" s="441"/>
      <c r="BN372" s="441"/>
      <c r="BO372" s="441"/>
      <c r="BP372" s="418" t="s">
        <v>41</v>
      </c>
      <c r="BQ372" s="417"/>
      <c r="BR372" s="416"/>
      <c r="BS372" s="418"/>
      <c r="BT372" s="416"/>
      <c r="BU372" s="416"/>
      <c r="BV372" s="418"/>
      <c r="BW372" s="416"/>
      <c r="BX372" s="441"/>
      <c r="BY372" s="441"/>
      <c r="BZ372" s="441"/>
      <c r="CA372" s="441"/>
      <c r="CB372" s="441"/>
      <c r="CC372" s="693"/>
      <c r="CD372" s="441"/>
      <c r="CE372" s="615" t="str">
        <f>IFERROR(WWWW[[#This Row],['#_Water sources passed]]/WWWW[[#This Row],['#_Water sources tested for fecal coliform ]],"no test")</f>
        <v>no test</v>
      </c>
      <c r="CF372" s="416" t="str">
        <f>IFERROR(WWWW[[#This Row],['#_Household passed]]/WWWW[[#This Row],['#_Household water samples tested for fecal coliform]],"no test")</f>
        <v>no test</v>
      </c>
      <c r="CG372" s="417" t="str">
        <f>IF(AND(WWWW[[#This Row],[% of water sources passed]]="no test",WWWW[[#This Row],[% Household passed]]="no test"),"No Test","Tested")</f>
        <v>No Test</v>
      </c>
      <c r="CH372" s="417">
        <f>WWWW[[#This Row],['#_Constructed/existing protected hand dug well]]-WWWW[[#This Row],['#_Non-functional protected hand dug well]]</f>
        <v>0</v>
      </c>
      <c r="CI372" s="417">
        <f>(WWWW[[#This Row],['#_Constructed/Existing tube wells/boreholes/handpumps_WASH_agency]]+WWWW[[#This Row],['#_Non-Cluster partner water tube-wells/boreholes/handpumps]])-WWWW[[#This Row],['#_Non-functional tube wells/boreholes/handpumps]]</f>
        <v>0</v>
      </c>
      <c r="CJ372" s="417">
        <f>WWWW[[#This Row],['#_Constructed/Existingwater storage tank with gravity fed reticulation system]]-WWWW[[#This Row],['#_Non-functional storage tank gravity fed reticulation system]]</f>
        <v>8</v>
      </c>
      <c r="CK372" s="417">
        <f>(WWWW[[#This Row],['#_Water_Liters_supplied_by_Water boating or water trucking]]/90)/15</f>
        <v>0</v>
      </c>
      <c r="CL372" s="417">
        <f>WWWW[[#This Row],['#_Water_Liters_from_Constructed/Existing water distribution system from river or natural spring]]/90/15</f>
        <v>0</v>
      </c>
      <c r="CM372" s="417">
        <f>IF(WWWW[[#This Row],['#_of water points in TLS/CFS]]*500&gt;WWWW[[#This Row],[Total PoP ]],WWWW[[#This Row],[Total PoP ]],WWWW[[#This Row],['#_of water points in TLS/CFS]]*500)</f>
        <v>502</v>
      </c>
      <c r="CN372" s="417">
        <f>IF(WWWW[[#This Row],['#_of water points in THF]]*500&gt;WWWW[[#This Row],[Total PoP ]],WWWW[[#This Row],[Total PoP ]],WWWW[[#This Row],['#_of water points in THF]]*500)</f>
        <v>0</v>
      </c>
      <c r="CO372" s="417"/>
      <c r="CP372"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72"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72" s="416">
        <f>IF(WWWW[[#This Row],[Location Type 1]]="Village",WWWW[[#This Row],[Access to safe drinking water for Village]],WWWW[[#This Row],[Access to safe drinking water for Camp]])</f>
        <v>1</v>
      </c>
      <c r="CS372" s="421">
        <f>WWWW[[#This Row],[%Equitable and continuous access to sufficient quantity of safe drinking water]]*WWWW[[#This Row],[Total PoP ]]</f>
        <v>502</v>
      </c>
      <c r="CT372" s="416">
        <f>IF((WWWW[[#This Row],['#_Constructed/Existing protected/fenced ponds]]*250)/WWWW[[#This Row],[Total PoP ]]&gt;1,1,(WWWW[[#This Row],['#_Constructed/Existing protected/fenced ponds]]*250)/WWWW[[#This Row],[Total PoP ]])</f>
        <v>0</v>
      </c>
      <c r="CU372" s="421">
        <f>WWWW[[#This Row],[% Access to unimproved water points]]*WWWW[[#This Row],[Total PoP ]]</f>
        <v>0</v>
      </c>
      <c r="CV372"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72"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502</v>
      </c>
      <c r="CX372" s="421">
        <f>WWWW[[#This Row],[HRP1]]/500</f>
        <v>1.004</v>
      </c>
      <c r="CY372" s="951">
        <f>1-WWWW[[#This Row],[% Equitable and continuous access to sufficient quantity of domestic water]]</f>
        <v>0</v>
      </c>
      <c r="CZ372" s="421">
        <f>WWWW[[#This Row],[%equitable and continuous access to sufficient quantity of safe drinking and domestic water''s GAP]]*WWWW[[#This Row],[Total PoP ]]</f>
        <v>0</v>
      </c>
      <c r="DA372" s="417">
        <f>IF(WWWW[[#This Row],[Total required water points]]-WWWW[[#This Row],['#Water points coverage]]&lt;0,0,WWWW[[#This Row],[Total required water points]]-WWWW[[#This Row],['#Water points coverage]])</f>
        <v>0</v>
      </c>
      <c r="DB372" s="417">
        <f>ROUND(IF(WWWW[[#This Row],[Total PoP ]]&lt;500,1,WWWW[[#This Row],[Total PoP ]]/500),0)</f>
        <v>1</v>
      </c>
      <c r="DC372" s="417">
        <f>(WWWW[[#This Row],['#_Constructed latrines_by_WASHAgencies]]+WWWW[[#This Row],['#_Non Cluster partner latrines]])-WWWW[[#This Row],['#_Non-functional latrines]]</f>
        <v>85</v>
      </c>
      <c r="DD372" s="615">
        <f>WWWW[[#This Row],[HRP2]]/WWWW[[#This Row],[Total PoP ]]</f>
        <v>1</v>
      </c>
      <c r="DE372"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502</v>
      </c>
      <c r="DF372"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72"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72" s="417">
        <f>IF(WWWW[[#This Row],['# of functional latrines in THF supported by WASH partners during the reporting period2]]="",0,WWWW[[#This Row],['# of functional latrines in THF supported by WASH partners during the reporting period2]]*50)</f>
        <v>0</v>
      </c>
      <c r="DI372" s="417">
        <f>ROUND(IF(WWWW[[#This Row],[Location Type 1]]="camp",WWWW[[#This Row],[Total PoP ]]/20,IF(WWWW[[#This Row],[Location Type 1]]="Temporary Location",WWWW[[#This Row],[Total PoP ]]/50,(WWWW[[#This Row],[Total PoP ]]/6))),0)</f>
        <v>25</v>
      </c>
      <c r="DJ372" s="417">
        <f>IF(WWWW[[#This Row],[Total required Latrines]]-(WWWW[[#This Row],['#_Constructed latrines_by_WASHAgencies]]+WWWW[[#This Row],['#_Non Cluster partner latrines]])&lt;0,0,WWWW[[#This Row],[Total required Latrines]]-(WWWW[[#This Row],['#_Constructed latrines_by_WASHAgencies]]+WWWW[[#This Row],['#_Non Cluster partner latrines]]))</f>
        <v>0</v>
      </c>
      <c r="DK372" s="951">
        <f>1-WWWW[[#This Row],[% people access to functioning Latrine]]</f>
        <v>0</v>
      </c>
      <c r="DL372" s="615">
        <f>IF(OR(WWWW[[#This Row],['#_Non-functional latrines]]="",WWWW[[#This Row],['#_Non-functional latrines]]=0),0,WWWW[[#This Row],['#_Non-functional latrines]]/(WWWW[[#This Row],['#_Constructed latrines_by_WASHAgencies]]+WWWW[[#This Row],['#_Non Cluster partner latrines]]))</f>
        <v>0</v>
      </c>
      <c r="DM372" s="421">
        <f>IF(500*(WWWW[[#This Row],['#_male hygiene promoters]]+WWWW[[#This Row],['#_female hygiene promoters]])&gt;WWWW[[#This Row],[Total PoP ]],WWWW[[#This Row],[Total PoP ]],500*(WWWW[[#This Row],['#_male hygiene promoters]]+WWWW[[#This Row],['#_female hygiene promoters]]))</f>
        <v>500</v>
      </c>
      <c r="DN372"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72"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72" s="417">
        <f>IF(WWWW[[#This Row],['# People with access to soap]]&gt;WWWW[[#This Row],['# People with access to Sanity Pads]],WWWW[[#This Row],['# People with access to soap]],WWWW[[#This Row],['# People with access to Sanity Pads]])</f>
        <v>0</v>
      </c>
      <c r="DQ372" s="41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372" s="951">
        <f>IF(WWWW[[#This Row],[HRP3]]/WWWW[[#This Row],[Total PoP ]]&gt;1,1,WWWW[[#This Row],[HRP3]]/WWWW[[#This Row],[Total PoP ]])</f>
        <v>0.99601593625498008</v>
      </c>
      <c r="DS372" s="615">
        <f>1-WWWW[[#This Row],[Hygiene Coverage%]]</f>
        <v>3.9840637450199168E-3</v>
      </c>
      <c r="DT372" s="416">
        <f>WWWW[[#This Row],['# people reached by regular dedicated hygiene promotion_5]]/WWWW[[#This Row],[Total PoP ]]</f>
        <v>0.99601593625498008</v>
      </c>
      <c r="DU372"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72"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72" s="417">
        <f>WWWW[[#This Row],['#_Constructed/Existing hand washing stations]]-WWWW[[#This Row],['#_Non-Functional_hand_washing_stations]]</f>
        <v>2</v>
      </c>
      <c r="DX372" s="421">
        <f>IF(WWWW[[#This Row],['# Functional hand washing stations during reporting period]]*20&gt;WWWW[[#This Row],[Total HH]],WWWW[[#This Row],[Total HH]],WWWW[[#This Row],['# Functional hand washing stations during reporting period]]*20)</f>
        <v>40</v>
      </c>
      <c r="DY372" s="421">
        <f>IF(WWWW[[#This Row],[Is sufficient soap available for TLS? (Yes/No)]]="yes",WWWW[[#This Row],['#_Constructed/Existing hand washing stations at TLS/CFS/THF]],0)</f>
        <v>1</v>
      </c>
      <c r="DZ372" s="421">
        <f>IF(WWWW[[#This Row],['# Functional hand washing stations during reporting period]]*100&gt;WWWW[[#This Row],[Total PoP ]],WWWW[[#This Row],[Total PoP ]],WWWW[[#This Row],['# Functional hand washing stations during reporting period]]*100)</f>
        <v>200</v>
      </c>
      <c r="EA372" s="421" t="str">
        <f>IF(OR(WWWW[[#This Row],['#_students at TLS_CFS]]="",WWWW[[#This Row],['#_students at TLS_CFS]]=0),"No","Yes")</f>
        <v>No</v>
      </c>
      <c r="EB37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72" s="566">
        <f>WWWW[[#This Row],[%_of_affected_people_surveyed_who_report_feeling_satistfied_with_the_latrine_design_and_sanitation_service]]*WWWW[[#This Row],[Total PoP ]]</f>
        <v>0</v>
      </c>
      <c r="ED372" s="566">
        <f>WWWW[[#This Row],[%_of_affected_people_surveyed_who_report_feeling_satistfied_with_the_water_point_design_and_water_service]]*WWWW[[#This Row],[Total PoP ]]</f>
        <v>0</v>
      </c>
      <c r="EE372" s="566">
        <f>WWWW[[#This Row],[%_of_complaints_received_that_result_in_timely_corrective_action_and_feedback_to_the_community]]*WWWW[[#This Row],[Total PoP ]]</f>
        <v>0</v>
      </c>
      <c r="EF37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7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502</v>
      </c>
      <c r="EH37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72" s="418" t="str">
        <f>VLOOKUP(WWWW[[#This Row],[Site Name]],SiteDB6[[Site Name]:[CCCM Management]],6,FALSE)</f>
        <v>Yes</v>
      </c>
      <c r="EJ372" s="418" t="str">
        <f>VLOOKUP(WWWW[[#This Row],[Site Name]],SiteDB6[[Site Name]:[CCCM Focal Agency]],7,FALSE)</f>
        <v>KMSS-LSO</v>
      </c>
      <c r="EK372" s="418" t="str">
        <f>VLOOKUP(WWWW[[#This Row],[Site Name]],SiteDB6[[Site Name]:[Location Type 1]],9,FALSE)</f>
        <v>Camp</v>
      </c>
      <c r="EL372" s="418" t="str">
        <f>VLOOKUP(WWWW[[#This Row],[Site Name]],SiteDB6[[Site Name]:[Type of Accommodation]],10,FALSE)</f>
        <v>Camp</v>
      </c>
      <c r="EM372" s="418" t="str">
        <f>VLOOKUP(WWWW[[#This Row],[Site Name]],SiteDB6[[Site Name]:[Ethnic or GCA/NGCA]],11,FALSE)</f>
        <v>GCA</v>
      </c>
      <c r="EN372" s="418">
        <f>VLOOKUP(WWWW[[#This Row],[Site Name]],SiteDB6[[Site Name]:[Lat]],12,FALSE)</f>
        <v>23.591999999999999</v>
      </c>
      <c r="EO372" s="418">
        <f>VLOOKUP(WWWW[[#This Row],[Site Name]],SiteDB6[[Site Name]:[Long]],13,FALSE)</f>
        <v>97.796999999999997</v>
      </c>
      <c r="EP372" s="418" t="str">
        <f>VLOOKUP(WWWW[[#This Row],[Site Name]],SiteDB6[[Site Name]:[Pcode]],3,FALSE)</f>
        <v>MMR015CMP038</v>
      </c>
      <c r="EQ372" s="950" t="str">
        <f t="shared" si="8"/>
        <v>Covered</v>
      </c>
      <c r="ER372" s="950" t="s">
        <v>3126</v>
      </c>
      <c r="ES372" s="950" t="s">
        <v>3311</v>
      </c>
      <c r="ET372" s="418">
        <f>VLOOKUP(WWWW[[#This Row],[Site Name]],SiteDB6[[Site Name]:[Pop
(Kachin/Shan-CCCM as of May 2023)]],16,FALSE)</f>
        <v>72</v>
      </c>
      <c r="EU372" s="418">
        <f>VLOOKUP(WWWW[[#This Row],[Site Name]],SiteDB6[[Site Name]:[Pop
(Kachin/Shan-CCCM as of May 2023)]],17,FALSE)</f>
        <v>376</v>
      </c>
    </row>
    <row r="373" spans="1:151">
      <c r="A373" s="946" t="s">
        <v>2962</v>
      </c>
      <c r="B373" s="946" t="s">
        <v>192</v>
      </c>
      <c r="C373" s="938" t="s">
        <v>192</v>
      </c>
      <c r="D373" s="938" t="s">
        <v>299</v>
      </c>
      <c r="E373" s="938" t="s">
        <v>515</v>
      </c>
      <c r="F373" s="938" t="s">
        <v>519</v>
      </c>
      <c r="G373" s="902" t="str">
        <f>VLOOKUP(WWWW[[#This Row],[Site Name]],SiteDB6[[Site Name]:[Location Type]],8,FALSE)</f>
        <v>Camp</v>
      </c>
      <c r="H373" s="938" t="s">
        <v>1612</v>
      </c>
      <c r="I373" s="441">
        <v>64</v>
      </c>
      <c r="J373" s="441">
        <v>251</v>
      </c>
      <c r="K373" s="964">
        <v>44511</v>
      </c>
      <c r="L373" s="965">
        <v>45146</v>
      </c>
      <c r="M373" s="441"/>
      <c r="N373" s="441">
        <v>1</v>
      </c>
      <c r="O373" s="441"/>
      <c r="P373" s="441"/>
      <c r="Q373" s="421" t="s">
        <v>41</v>
      </c>
      <c r="R373" s="441">
        <v>4</v>
      </c>
      <c r="S373" s="441">
        <v>5</v>
      </c>
      <c r="T373" s="441"/>
      <c r="U373" s="441"/>
      <c r="V373" s="441"/>
      <c r="W373" s="441"/>
      <c r="X373" s="441"/>
      <c r="Y373" s="441"/>
      <c r="Z373" s="441"/>
      <c r="AA373" s="441">
        <v>14</v>
      </c>
      <c r="AB373" s="441"/>
      <c r="AC373" s="441"/>
      <c r="AD373" s="441"/>
      <c r="AE373" s="441"/>
      <c r="AF373" s="441"/>
      <c r="AG373" s="441"/>
      <c r="AH373" s="441">
        <v>1</v>
      </c>
      <c r="AI373" s="441"/>
      <c r="AJ373" s="441"/>
      <c r="AK373" s="441"/>
      <c r="AL373" s="441"/>
      <c r="AM373" s="441">
        <v>3</v>
      </c>
      <c r="AN373" s="441"/>
      <c r="AO373" s="441"/>
      <c r="AP373" s="950"/>
      <c r="AQ373" s="441">
        <v>71</v>
      </c>
      <c r="AR373" s="441"/>
      <c r="AS373" s="416"/>
      <c r="AT373" s="441"/>
      <c r="AU373" s="441"/>
      <c r="AV373" s="441"/>
      <c r="AW373" s="441"/>
      <c r="AX373" s="441"/>
      <c r="AY373" s="418" t="s">
        <v>136</v>
      </c>
      <c r="AZ373" s="950" t="s">
        <v>899</v>
      </c>
      <c r="BA373" s="441"/>
      <c r="BB373" s="441"/>
      <c r="BC373" s="441"/>
      <c r="BD373" s="441"/>
      <c r="BE373" s="441"/>
      <c r="BF373" s="418"/>
      <c r="BG373" s="441">
        <v>5</v>
      </c>
      <c r="BH373" s="441"/>
      <c r="BI373" s="441"/>
      <c r="BJ373" s="441">
        <v>3</v>
      </c>
      <c r="BK373" s="441"/>
      <c r="BL373" s="441">
        <v>1</v>
      </c>
      <c r="BM373" s="441"/>
      <c r="BN373" s="441"/>
      <c r="BO373" s="441"/>
      <c r="BP373" s="418" t="s">
        <v>41</v>
      </c>
      <c r="BQ373" s="417"/>
      <c r="BR373" s="416"/>
      <c r="BS373" s="418"/>
      <c r="BT373" s="416"/>
      <c r="BU373" s="416"/>
      <c r="BV373" s="418"/>
      <c r="BW373" s="416"/>
      <c r="BX373" s="441"/>
      <c r="BY373" s="441"/>
      <c r="BZ373" s="441"/>
      <c r="CA373" s="441"/>
      <c r="CB373" s="441"/>
      <c r="CC373" s="693"/>
      <c r="CD373" s="441"/>
      <c r="CE373" s="615" t="str">
        <f>IFERROR(WWWW[[#This Row],['#_Water sources passed]]/WWWW[[#This Row],['#_Water sources tested for fecal coliform ]],"no test")</f>
        <v>no test</v>
      </c>
      <c r="CF373" s="416" t="str">
        <f>IFERROR(WWWW[[#This Row],['#_Household passed]]/WWWW[[#This Row],['#_Household water samples tested for fecal coliform]],"no test")</f>
        <v>no test</v>
      </c>
      <c r="CG373" s="417" t="str">
        <f>IF(AND(WWWW[[#This Row],[% of water sources passed]]="no test",WWWW[[#This Row],[% Household passed]]="no test"),"No Test","Tested")</f>
        <v>No Test</v>
      </c>
      <c r="CH373" s="417">
        <f>WWWW[[#This Row],['#_Constructed/existing protected hand dug well]]-WWWW[[#This Row],['#_Non-functional protected hand dug well]]</f>
        <v>0</v>
      </c>
      <c r="CI373" s="417">
        <f>(WWWW[[#This Row],['#_Constructed/Existing tube wells/boreholes/handpumps_WASH_agency]]+WWWW[[#This Row],['#_Non-Cluster partner water tube-wells/boreholes/handpumps]])-WWWW[[#This Row],['#_Non-functional tube wells/boreholes/handpumps]]</f>
        <v>0</v>
      </c>
      <c r="CJ373" s="417">
        <f>WWWW[[#This Row],['#_Constructed/Existingwater storage tank with gravity fed reticulation system]]-WWWW[[#This Row],['#_Non-functional storage tank gravity fed reticulation system]]</f>
        <v>14</v>
      </c>
      <c r="CK373" s="417">
        <f>(WWWW[[#This Row],['#_Water_Liters_supplied_by_Water boating or water trucking]]/90)/15</f>
        <v>0</v>
      </c>
      <c r="CL373" s="417">
        <f>WWWW[[#This Row],['#_Water_Liters_from_Constructed/Existing water distribution system from river or natural spring]]/90/15</f>
        <v>0</v>
      </c>
      <c r="CM373" s="417">
        <f>IF(WWWW[[#This Row],['#_of water points in TLS/CFS]]*500&gt;WWWW[[#This Row],[Total PoP ]],WWWW[[#This Row],[Total PoP ]],WWWW[[#This Row],['#_of water points in TLS/CFS]]*500)</f>
        <v>0</v>
      </c>
      <c r="CN373" s="417">
        <f>IF(WWWW[[#This Row],['#_of water points in THF]]*500&gt;WWWW[[#This Row],[Total PoP ]],WWWW[[#This Row],[Total PoP ]],WWWW[[#This Row],['#_of water points in THF]]*500)</f>
        <v>0</v>
      </c>
      <c r="CO373" s="417"/>
      <c r="CP373"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73"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73" s="416">
        <f>IF(WWWW[[#This Row],[Location Type 1]]="Village",WWWW[[#This Row],[Access to safe drinking water for Village]],WWWW[[#This Row],[Access to safe drinking water for Camp]])</f>
        <v>1</v>
      </c>
      <c r="CS373" s="421">
        <f>WWWW[[#This Row],[%Equitable and continuous access to sufficient quantity of safe drinking water]]*WWWW[[#This Row],[Total PoP ]]</f>
        <v>251</v>
      </c>
      <c r="CT373" s="416">
        <f>IF((WWWW[[#This Row],['#_Constructed/Existing protected/fenced ponds]]*250)/WWWW[[#This Row],[Total PoP ]]&gt;1,1,(WWWW[[#This Row],['#_Constructed/Existing protected/fenced ponds]]*250)/WWWW[[#This Row],[Total PoP ]])</f>
        <v>0</v>
      </c>
      <c r="CU373" s="421">
        <f>WWWW[[#This Row],[% Access to unimproved water points]]*WWWW[[#This Row],[Total PoP ]]</f>
        <v>0</v>
      </c>
      <c r="CV373"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73"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251</v>
      </c>
      <c r="CX373" s="421">
        <f>WWWW[[#This Row],[HRP1]]/500</f>
        <v>0.502</v>
      </c>
      <c r="CY373" s="951">
        <f>1-WWWW[[#This Row],[% Equitable and continuous access to sufficient quantity of domestic water]]</f>
        <v>0</v>
      </c>
      <c r="CZ373" s="421">
        <f>WWWW[[#This Row],[%equitable and continuous access to sufficient quantity of safe drinking and domestic water''s GAP]]*WWWW[[#This Row],[Total PoP ]]</f>
        <v>0</v>
      </c>
      <c r="DA373" s="417">
        <f>IF(WWWW[[#This Row],[Total required water points]]-WWWW[[#This Row],['#Water points coverage]]&lt;0,0,WWWW[[#This Row],[Total required water points]]-WWWW[[#This Row],['#Water points coverage]])</f>
        <v>0.498</v>
      </c>
      <c r="DB373" s="417">
        <f>ROUND(IF(WWWW[[#This Row],[Total PoP ]]&lt;500,1,WWWW[[#This Row],[Total PoP ]]/500),0)</f>
        <v>1</v>
      </c>
      <c r="DC373" s="417">
        <f>(WWWW[[#This Row],['#_Constructed latrines_by_WASHAgencies]]+WWWW[[#This Row],['#_Non Cluster partner latrines]])-WWWW[[#This Row],['#_Non-functional latrines]]</f>
        <v>71</v>
      </c>
      <c r="DD373" s="615">
        <f>WWWW[[#This Row],[HRP2]]/WWWW[[#This Row],[Total PoP ]]</f>
        <v>1</v>
      </c>
      <c r="DE373"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251</v>
      </c>
      <c r="DF373"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73"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73" s="417">
        <f>IF(WWWW[[#This Row],['# of functional latrines in THF supported by WASH partners during the reporting period2]]="",0,WWWW[[#This Row],['# of functional latrines in THF supported by WASH partners during the reporting period2]]*50)</f>
        <v>0</v>
      </c>
      <c r="DI373" s="417">
        <f>ROUND(IF(WWWW[[#This Row],[Location Type 1]]="camp",WWWW[[#This Row],[Total PoP ]]/20,IF(WWWW[[#This Row],[Location Type 1]]="Temporary Location",WWWW[[#This Row],[Total PoP ]]/50,(WWWW[[#This Row],[Total PoP ]]/6))),0)</f>
        <v>42</v>
      </c>
      <c r="DJ373" s="417">
        <f>IF(WWWW[[#This Row],[Total required Latrines]]-(WWWW[[#This Row],['#_Constructed latrines_by_WASHAgencies]]+WWWW[[#This Row],['#_Non Cluster partner latrines]])&lt;0,0,WWWW[[#This Row],[Total required Latrines]]-(WWWW[[#This Row],['#_Constructed latrines_by_WASHAgencies]]+WWWW[[#This Row],['#_Non Cluster partner latrines]]))</f>
        <v>0</v>
      </c>
      <c r="DK373" s="951">
        <f>1-WWWW[[#This Row],[% people access to functioning Latrine]]</f>
        <v>0</v>
      </c>
      <c r="DL373" s="615">
        <f>IF(OR(WWWW[[#This Row],['#_Non-functional latrines]]="",WWWW[[#This Row],['#_Non-functional latrines]]=0),0,WWWW[[#This Row],['#_Non-functional latrines]]/(WWWW[[#This Row],['#_Constructed latrines_by_WASHAgencies]]+WWWW[[#This Row],['#_Non Cluster partner latrines]]))</f>
        <v>0</v>
      </c>
      <c r="DM373" s="421">
        <f>IF(500*(WWWW[[#This Row],['#_male hygiene promoters]]+WWWW[[#This Row],['#_female hygiene promoters]])&gt;WWWW[[#This Row],[Total PoP ]],WWWW[[#This Row],[Total PoP ]],500*(WWWW[[#This Row],['#_male hygiene promoters]]+WWWW[[#This Row],['#_female hygiene promoters]]))</f>
        <v>251</v>
      </c>
      <c r="DN373"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73"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73" s="417">
        <f>IF(WWWW[[#This Row],['# People with access to soap]]&gt;WWWW[[#This Row],['# People with access to Sanity Pads]],WWWW[[#This Row],['# People with access to soap]],WWWW[[#This Row],['# People with access to Sanity Pads]])</f>
        <v>0</v>
      </c>
      <c r="DQ373" s="417">
        <f>IF(WWWW[[#This Row],['# people reached by regular dedicated hygiene promotion_5]]&gt;WWWW[[#This Row],['# People received regular supply of hygiene items_6]],WWWW[[#This Row],['# people reached by regular dedicated hygiene promotion_5]],WWWW[[#This Row],['# People received regular supply of hygiene items_6]])</f>
        <v>251</v>
      </c>
      <c r="DR373" s="951">
        <f>IF(WWWW[[#This Row],[HRP3]]/WWWW[[#This Row],[Total PoP ]]&gt;1,1,WWWW[[#This Row],[HRP3]]/WWWW[[#This Row],[Total PoP ]])</f>
        <v>1</v>
      </c>
      <c r="DS373" s="615">
        <f>1-WWWW[[#This Row],[Hygiene Coverage%]]</f>
        <v>0</v>
      </c>
      <c r="DT373" s="416">
        <f>WWWW[[#This Row],['# people reached by regular dedicated hygiene promotion_5]]/WWWW[[#This Row],[Total PoP ]]</f>
        <v>1</v>
      </c>
      <c r="DU373"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73"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73" s="417">
        <f>WWWW[[#This Row],['#_Constructed/Existing hand washing stations]]-WWWW[[#This Row],['#_Non-Functional_hand_washing_stations]]</f>
        <v>5</v>
      </c>
      <c r="DX373" s="421">
        <f>IF(WWWW[[#This Row],['# Functional hand washing stations during reporting period]]*20&gt;WWWW[[#This Row],[Total HH]],WWWW[[#This Row],[Total HH]],WWWW[[#This Row],['# Functional hand washing stations during reporting period]]*20)</f>
        <v>64</v>
      </c>
      <c r="DY373" s="421">
        <f>IF(WWWW[[#This Row],[Is sufficient soap available for TLS? (Yes/No)]]="yes",WWWW[[#This Row],['#_Constructed/Existing hand washing stations at TLS/CFS/THF]],0)</f>
        <v>3</v>
      </c>
      <c r="DZ373" s="421">
        <f>IF(WWWW[[#This Row],['# Functional hand washing stations during reporting period]]*100&gt;WWWW[[#This Row],[Total PoP ]],WWWW[[#This Row],[Total PoP ]],WWWW[[#This Row],['# Functional hand washing stations during reporting period]]*100)</f>
        <v>251</v>
      </c>
      <c r="EA373" s="421" t="str">
        <f>IF(OR(WWWW[[#This Row],['#_students at TLS_CFS]]="",WWWW[[#This Row],['#_students at TLS_CFS]]=0),"No","Yes")</f>
        <v>No</v>
      </c>
      <c r="EB37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73" s="566">
        <f>WWWW[[#This Row],[%_of_affected_people_surveyed_who_report_feeling_satistfied_with_the_latrine_design_and_sanitation_service]]*WWWW[[#This Row],[Total PoP ]]</f>
        <v>0</v>
      </c>
      <c r="ED373" s="566">
        <f>WWWW[[#This Row],[%_of_affected_people_surveyed_who_report_feeling_satistfied_with_the_water_point_design_and_water_service]]*WWWW[[#This Row],[Total PoP ]]</f>
        <v>0</v>
      </c>
      <c r="EE373" s="566">
        <f>WWWW[[#This Row],[%_of_complaints_received_that_result_in_timely_corrective_action_and_feedback_to_the_community]]*WWWW[[#This Row],[Total PoP ]]</f>
        <v>0</v>
      </c>
      <c r="EF37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7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7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73" s="418" t="str">
        <f>VLOOKUP(WWWW[[#This Row],[Site Name]],SiteDB6[[Site Name]:[CCCM Management]],6,FALSE)</f>
        <v>Yes</v>
      </c>
      <c r="EJ373" s="418" t="str">
        <f>VLOOKUP(WWWW[[#This Row],[Site Name]],SiteDB6[[Site Name]:[CCCM Focal Agency]],7,FALSE)</f>
        <v>KMSS-LSO</v>
      </c>
      <c r="EK373" s="418" t="str">
        <f>VLOOKUP(WWWW[[#This Row],[Site Name]],SiteDB6[[Site Name]:[Location Type 1]],9,FALSE)</f>
        <v>Village Type Camp</v>
      </c>
      <c r="EL373" s="418" t="str">
        <f>VLOOKUP(WWWW[[#This Row],[Site Name]],SiteDB6[[Site Name]:[Type of Accommodation]],10,FALSE)</f>
        <v>Camp</v>
      </c>
      <c r="EM373" s="418" t="str">
        <f>VLOOKUP(WWWW[[#This Row],[Site Name]],SiteDB6[[Site Name]:[Ethnic or GCA/NGCA]],11,FALSE)</f>
        <v>GCA</v>
      </c>
      <c r="EN373" s="418">
        <f>VLOOKUP(WWWW[[#This Row],[Site Name]],SiteDB6[[Site Name]:[Lat]],12,FALSE)</f>
        <v>23.588920000000002</v>
      </c>
      <c r="EO373" s="418">
        <f>VLOOKUP(WWWW[[#This Row],[Site Name]],SiteDB6[[Site Name]:[Long]],13,FALSE)</f>
        <v>97.793019999999999</v>
      </c>
      <c r="EP373" s="418" t="str">
        <f>VLOOKUP(WWWW[[#This Row],[Site Name]],SiteDB6[[Site Name]:[Pcode]],3,FALSE)</f>
        <v>MMR015CMP018</v>
      </c>
      <c r="EQ373" s="950" t="str">
        <f t="shared" si="8"/>
        <v>Covered</v>
      </c>
      <c r="ER373" s="950" t="s">
        <v>3126</v>
      </c>
      <c r="ES373" s="950" t="s">
        <v>3311</v>
      </c>
      <c r="ET373" s="418">
        <f>VLOOKUP(WWWW[[#This Row],[Site Name]],SiteDB6[[Site Name]:[Pop
(Kachin/Shan-CCCM as of May 2023)]],16,FALSE)</f>
        <v>68</v>
      </c>
      <c r="EU373" s="418">
        <f>VLOOKUP(WWWW[[#This Row],[Site Name]],SiteDB6[[Site Name]:[Pop
(Kachin/Shan-CCCM as of May 2023)]],17,FALSE)</f>
        <v>260</v>
      </c>
    </row>
    <row r="374" spans="1:151">
      <c r="A374" s="946" t="s">
        <v>2962</v>
      </c>
      <c r="B374" s="946" t="s">
        <v>192</v>
      </c>
      <c r="C374" s="938" t="s">
        <v>192</v>
      </c>
      <c r="D374" s="938" t="s">
        <v>299</v>
      </c>
      <c r="E374" s="938" t="s">
        <v>515</v>
      </c>
      <c r="F374" s="938" t="s">
        <v>519</v>
      </c>
      <c r="G374" s="902" t="str">
        <f>VLOOKUP(WWWW[[#This Row],[Site Name]],SiteDB6[[Site Name]:[Location Type]],8,FALSE)</f>
        <v>Camp</v>
      </c>
      <c r="H374" s="938" t="s">
        <v>545</v>
      </c>
      <c r="I374" s="441">
        <v>31</v>
      </c>
      <c r="J374" s="441">
        <v>176</v>
      </c>
      <c r="K374" s="964">
        <v>44511</v>
      </c>
      <c r="L374" s="965">
        <v>45146</v>
      </c>
      <c r="M374" s="441"/>
      <c r="N374" s="441"/>
      <c r="O374" s="441"/>
      <c r="P374" s="441"/>
      <c r="Q374" s="421"/>
      <c r="R374" s="441">
        <v>5</v>
      </c>
      <c r="S374" s="441">
        <v>4</v>
      </c>
      <c r="T374" s="441"/>
      <c r="U374" s="441"/>
      <c r="V374" s="441"/>
      <c r="W374" s="441"/>
      <c r="X374" s="441"/>
      <c r="Y374" s="441"/>
      <c r="Z374" s="441"/>
      <c r="AA374" s="441">
        <v>14</v>
      </c>
      <c r="AB374" s="441"/>
      <c r="AC374" s="441"/>
      <c r="AD374" s="441"/>
      <c r="AE374" s="441"/>
      <c r="AF374" s="441"/>
      <c r="AG374" s="441"/>
      <c r="AH374" s="441"/>
      <c r="AI374" s="441"/>
      <c r="AJ374" s="441"/>
      <c r="AK374" s="441"/>
      <c r="AL374" s="441"/>
      <c r="AM374" s="441"/>
      <c r="AN374" s="441"/>
      <c r="AO374" s="441"/>
      <c r="AP374" s="950"/>
      <c r="AQ374" s="441">
        <v>34</v>
      </c>
      <c r="AR374" s="441"/>
      <c r="AS374" s="416"/>
      <c r="AT374" s="441"/>
      <c r="AU374" s="441"/>
      <c r="AV374" s="441"/>
      <c r="AW374" s="441"/>
      <c r="AX374" s="441"/>
      <c r="AY374" s="418" t="s">
        <v>41</v>
      </c>
      <c r="AZ374" s="950" t="s">
        <v>137</v>
      </c>
      <c r="BA374" s="441"/>
      <c r="BB374" s="441"/>
      <c r="BC374" s="441"/>
      <c r="BD374" s="441"/>
      <c r="BE374" s="441"/>
      <c r="BF374" s="418"/>
      <c r="BG374" s="441">
        <v>2</v>
      </c>
      <c r="BH374" s="441"/>
      <c r="BI374" s="441"/>
      <c r="BJ374" s="441">
        <v>2</v>
      </c>
      <c r="BK374" s="441"/>
      <c r="BL374" s="441"/>
      <c r="BM374" s="441">
        <v>1</v>
      </c>
      <c r="BN374" s="441"/>
      <c r="BO374" s="441"/>
      <c r="BP374" s="418" t="s">
        <v>41</v>
      </c>
      <c r="BQ374" s="417"/>
      <c r="BR374" s="416"/>
      <c r="BS374" s="418"/>
      <c r="BT374" s="416"/>
      <c r="BU374" s="416"/>
      <c r="BV374" s="418"/>
      <c r="BW374" s="416"/>
      <c r="BX374" s="441"/>
      <c r="BY374" s="441"/>
      <c r="BZ374" s="441"/>
      <c r="CA374" s="441"/>
      <c r="CB374" s="441"/>
      <c r="CC374" s="693"/>
      <c r="CD374" s="441"/>
      <c r="CE374" s="615" t="str">
        <f>IFERROR(WWWW[[#This Row],['#_Water sources passed]]/WWWW[[#This Row],['#_Water sources tested for fecal coliform ]],"no test")</f>
        <v>no test</v>
      </c>
      <c r="CF374" s="416" t="str">
        <f>IFERROR(WWWW[[#This Row],['#_Household passed]]/WWWW[[#This Row],['#_Household water samples tested for fecal coliform]],"no test")</f>
        <v>no test</v>
      </c>
      <c r="CG374" s="417" t="str">
        <f>IF(AND(WWWW[[#This Row],[% of water sources passed]]="no test",WWWW[[#This Row],[% Household passed]]="no test"),"No Test","Tested")</f>
        <v>No Test</v>
      </c>
      <c r="CH374" s="417">
        <f>WWWW[[#This Row],['#_Constructed/existing protected hand dug well]]-WWWW[[#This Row],['#_Non-functional protected hand dug well]]</f>
        <v>0</v>
      </c>
      <c r="CI374" s="417">
        <f>(WWWW[[#This Row],['#_Constructed/Existing tube wells/boreholes/handpumps_WASH_agency]]+WWWW[[#This Row],['#_Non-Cluster partner water tube-wells/boreholes/handpumps]])-WWWW[[#This Row],['#_Non-functional tube wells/boreholes/handpumps]]</f>
        <v>0</v>
      </c>
      <c r="CJ374" s="417">
        <f>WWWW[[#This Row],['#_Constructed/Existingwater storage tank with gravity fed reticulation system]]-WWWW[[#This Row],['#_Non-functional storage tank gravity fed reticulation system]]</f>
        <v>14</v>
      </c>
      <c r="CK374" s="417">
        <f>(WWWW[[#This Row],['#_Water_Liters_supplied_by_Water boating or water trucking]]/90)/15</f>
        <v>0</v>
      </c>
      <c r="CL374" s="417">
        <f>WWWW[[#This Row],['#_Water_Liters_from_Constructed/Existing water distribution system from river or natural spring]]/90/15</f>
        <v>0</v>
      </c>
      <c r="CM374" s="417">
        <f>IF(WWWW[[#This Row],['#_of water points in TLS/CFS]]*500&gt;WWWW[[#This Row],[Total PoP ]],WWWW[[#This Row],[Total PoP ]],WWWW[[#This Row],['#_of water points in TLS/CFS]]*500)</f>
        <v>0</v>
      </c>
      <c r="CN374" s="417">
        <f>IF(WWWW[[#This Row],['#_of water points in THF]]*500&gt;WWWW[[#This Row],[Total PoP ]],WWWW[[#This Row],[Total PoP ]],WWWW[[#This Row],['#_of water points in THF]]*500)</f>
        <v>0</v>
      </c>
      <c r="CO374" s="417"/>
      <c r="CP374"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74"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74" s="416">
        <f>IF(WWWW[[#This Row],[Location Type 1]]="Village",WWWW[[#This Row],[Access to safe drinking water for Village]],WWWW[[#This Row],[Access to safe drinking water for Camp]])</f>
        <v>1</v>
      </c>
      <c r="CS374" s="421">
        <f>WWWW[[#This Row],[%Equitable and continuous access to sufficient quantity of safe drinking water]]*WWWW[[#This Row],[Total PoP ]]</f>
        <v>176</v>
      </c>
      <c r="CT374" s="416">
        <f>IF((WWWW[[#This Row],['#_Constructed/Existing protected/fenced ponds]]*250)/WWWW[[#This Row],[Total PoP ]]&gt;1,1,(WWWW[[#This Row],['#_Constructed/Existing protected/fenced ponds]]*250)/WWWW[[#This Row],[Total PoP ]])</f>
        <v>0</v>
      </c>
      <c r="CU374" s="421">
        <f>WWWW[[#This Row],[% Access to unimproved water points]]*WWWW[[#This Row],[Total PoP ]]</f>
        <v>0</v>
      </c>
      <c r="CV374"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74"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176</v>
      </c>
      <c r="CX374" s="421">
        <f>WWWW[[#This Row],[HRP1]]/500</f>
        <v>0.35199999999999998</v>
      </c>
      <c r="CY374" s="951">
        <f>1-WWWW[[#This Row],[% Equitable and continuous access to sufficient quantity of domestic water]]</f>
        <v>0</v>
      </c>
      <c r="CZ374" s="421">
        <f>WWWW[[#This Row],[%equitable and continuous access to sufficient quantity of safe drinking and domestic water''s GAP]]*WWWW[[#This Row],[Total PoP ]]</f>
        <v>0</v>
      </c>
      <c r="DA374" s="417">
        <f>IF(WWWW[[#This Row],[Total required water points]]-WWWW[[#This Row],['#Water points coverage]]&lt;0,0,WWWW[[#This Row],[Total required water points]]-WWWW[[#This Row],['#Water points coverage]])</f>
        <v>0.64800000000000002</v>
      </c>
      <c r="DB374" s="417">
        <f>ROUND(IF(WWWW[[#This Row],[Total PoP ]]&lt;500,1,WWWW[[#This Row],[Total PoP ]]/500),0)</f>
        <v>1</v>
      </c>
      <c r="DC374" s="417">
        <f>(WWWW[[#This Row],['#_Constructed latrines_by_WASHAgencies]]+WWWW[[#This Row],['#_Non Cluster partner latrines]])-WWWW[[#This Row],['#_Non-functional latrines]]</f>
        <v>34</v>
      </c>
      <c r="DD374" s="615">
        <f>WWWW[[#This Row],[HRP2]]/WWWW[[#This Row],[Total PoP ]]</f>
        <v>1</v>
      </c>
      <c r="DE374"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176</v>
      </c>
      <c r="DF374"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74"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74" s="417">
        <f>IF(WWWW[[#This Row],['# of functional latrines in THF supported by WASH partners during the reporting period2]]="",0,WWWW[[#This Row],['# of functional latrines in THF supported by WASH partners during the reporting period2]]*50)</f>
        <v>0</v>
      </c>
      <c r="DI374" s="417">
        <f>ROUND(IF(WWWW[[#This Row],[Location Type 1]]="camp",WWWW[[#This Row],[Total PoP ]]/20,IF(WWWW[[#This Row],[Location Type 1]]="Temporary Location",WWWW[[#This Row],[Total PoP ]]/50,(WWWW[[#This Row],[Total PoP ]]/6))),0)</f>
        <v>9</v>
      </c>
      <c r="DJ374" s="417">
        <f>IF(WWWW[[#This Row],[Total required Latrines]]-(WWWW[[#This Row],['#_Constructed latrines_by_WASHAgencies]]+WWWW[[#This Row],['#_Non Cluster partner latrines]])&lt;0,0,WWWW[[#This Row],[Total required Latrines]]-(WWWW[[#This Row],['#_Constructed latrines_by_WASHAgencies]]+WWWW[[#This Row],['#_Non Cluster partner latrines]]))</f>
        <v>0</v>
      </c>
      <c r="DK374" s="951">
        <f>1-WWWW[[#This Row],[% people access to functioning Latrine]]</f>
        <v>0</v>
      </c>
      <c r="DL374" s="615">
        <f>IF(OR(WWWW[[#This Row],['#_Non-functional latrines]]="",WWWW[[#This Row],['#_Non-functional latrines]]=0),0,WWWW[[#This Row],['#_Non-functional latrines]]/(WWWW[[#This Row],['#_Constructed latrines_by_WASHAgencies]]+WWWW[[#This Row],['#_Non Cluster partner latrines]]))</f>
        <v>0</v>
      </c>
      <c r="DM374" s="421">
        <f>IF(500*(WWWW[[#This Row],['#_male hygiene promoters]]+WWWW[[#This Row],['#_female hygiene promoters]])&gt;WWWW[[#This Row],[Total PoP ]],WWWW[[#This Row],[Total PoP ]],500*(WWWW[[#This Row],['#_male hygiene promoters]]+WWWW[[#This Row],['#_female hygiene promoters]]))</f>
        <v>176</v>
      </c>
      <c r="DN374"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74"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74" s="417">
        <f>IF(WWWW[[#This Row],['# People with access to soap]]&gt;WWWW[[#This Row],['# People with access to Sanity Pads]],WWWW[[#This Row],['# People with access to soap]],WWWW[[#This Row],['# People with access to Sanity Pads]])</f>
        <v>0</v>
      </c>
      <c r="DQ374" s="417">
        <f>IF(WWWW[[#This Row],['# people reached by regular dedicated hygiene promotion_5]]&gt;WWWW[[#This Row],['# People received regular supply of hygiene items_6]],WWWW[[#This Row],['# people reached by regular dedicated hygiene promotion_5]],WWWW[[#This Row],['# People received regular supply of hygiene items_6]])</f>
        <v>176</v>
      </c>
      <c r="DR374" s="951">
        <f>IF(WWWW[[#This Row],[HRP3]]/WWWW[[#This Row],[Total PoP ]]&gt;1,1,WWWW[[#This Row],[HRP3]]/WWWW[[#This Row],[Total PoP ]])</f>
        <v>1</v>
      </c>
      <c r="DS374" s="615">
        <f>1-WWWW[[#This Row],[Hygiene Coverage%]]</f>
        <v>0</v>
      </c>
      <c r="DT374" s="416">
        <f>WWWW[[#This Row],['# people reached by regular dedicated hygiene promotion_5]]/WWWW[[#This Row],[Total PoP ]]</f>
        <v>1</v>
      </c>
      <c r="DU374"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74"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74" s="417">
        <f>WWWW[[#This Row],['#_Constructed/Existing hand washing stations]]-WWWW[[#This Row],['#_Non-Functional_hand_washing_stations]]</f>
        <v>2</v>
      </c>
      <c r="DX374" s="421">
        <f>IF(WWWW[[#This Row],['# Functional hand washing stations during reporting period]]*20&gt;WWWW[[#This Row],[Total HH]],WWWW[[#This Row],[Total HH]],WWWW[[#This Row],['# Functional hand washing stations during reporting period]]*20)</f>
        <v>31</v>
      </c>
      <c r="DY374" s="421">
        <f>IF(WWWW[[#This Row],[Is sufficient soap available for TLS? (Yes/No)]]="yes",WWWW[[#This Row],['#_Constructed/Existing hand washing stations at TLS/CFS/THF]],0)</f>
        <v>0</v>
      </c>
      <c r="DZ374" s="421">
        <f>IF(WWWW[[#This Row],['# Functional hand washing stations during reporting period]]*100&gt;WWWW[[#This Row],[Total PoP ]],WWWW[[#This Row],[Total PoP ]],WWWW[[#This Row],['# Functional hand washing stations during reporting period]]*100)</f>
        <v>176</v>
      </c>
      <c r="EA374" s="421" t="str">
        <f>IF(OR(WWWW[[#This Row],['#_students at TLS_CFS]]="",WWWW[[#This Row],['#_students at TLS_CFS]]=0),"No","Yes")</f>
        <v>No</v>
      </c>
      <c r="EB37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74" s="566">
        <f>WWWW[[#This Row],[%_of_affected_people_surveyed_who_report_feeling_satistfied_with_the_latrine_design_and_sanitation_service]]*WWWW[[#This Row],[Total PoP ]]</f>
        <v>0</v>
      </c>
      <c r="ED374" s="566">
        <f>WWWW[[#This Row],[%_of_affected_people_surveyed_who_report_feeling_satistfied_with_the_water_point_design_and_water_service]]*WWWW[[#This Row],[Total PoP ]]</f>
        <v>0</v>
      </c>
      <c r="EE374" s="566">
        <f>WWWW[[#This Row],[%_of_complaints_received_that_result_in_timely_corrective_action_and_feedback_to_the_community]]*WWWW[[#This Row],[Total PoP ]]</f>
        <v>0</v>
      </c>
      <c r="EF37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7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7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74" s="418">
        <f>VLOOKUP(WWWW[[#This Row],[Site Name]],SiteDB6[[Site Name]:[CCCM Management]],6,FALSE)</f>
        <v>0</v>
      </c>
      <c r="EJ374" s="418" t="str">
        <f>VLOOKUP(WWWW[[#This Row],[Site Name]],SiteDB6[[Site Name]:[CCCM Focal Agency]],7,FALSE)</f>
        <v>uncovered</v>
      </c>
      <c r="EK374" s="418" t="str">
        <f>VLOOKUP(WWWW[[#This Row],[Site Name]],SiteDB6[[Site Name]:[Location Type 1]],9,FALSE)</f>
        <v>Camp</v>
      </c>
      <c r="EL374" s="418" t="str">
        <f>VLOOKUP(WWWW[[#This Row],[Site Name]],SiteDB6[[Site Name]:[Type of Accommodation]],10,FALSE)</f>
        <v>Camp like setting</v>
      </c>
      <c r="EM374" s="418" t="str">
        <f>VLOOKUP(WWWW[[#This Row],[Site Name]],SiteDB6[[Site Name]:[Ethnic or GCA/NGCA]],11,FALSE)</f>
        <v>GCA</v>
      </c>
      <c r="EN374" s="418">
        <f>VLOOKUP(WWWW[[#This Row],[Site Name]],SiteDB6[[Site Name]:[Lat]],12,FALSE)</f>
        <v>23.850999999999999</v>
      </c>
      <c r="EO374" s="418">
        <f>VLOOKUP(WWWW[[#This Row],[Site Name]],SiteDB6[[Site Name]:[Long]],13,FALSE)</f>
        <v>98.337999999999994</v>
      </c>
      <c r="EP374" s="418" t="str">
        <f>VLOOKUP(WWWW[[#This Row],[Site Name]],SiteDB6[[Site Name]:[Pcode]],3,FALSE)</f>
        <v>MMR015CMP045</v>
      </c>
      <c r="EQ374" s="950" t="str">
        <f t="shared" si="8"/>
        <v>Covered</v>
      </c>
      <c r="ER374" s="950" t="s">
        <v>3126</v>
      </c>
      <c r="ES374" s="950" t="s">
        <v>3311</v>
      </c>
      <c r="ET374" s="418">
        <f>VLOOKUP(WWWW[[#This Row],[Site Name]],SiteDB6[[Site Name]:[Pop
(Kachin/Shan-CCCM as of May 2023)]],16,FALSE)</f>
        <v>30</v>
      </c>
      <c r="EU374" s="418">
        <f>VLOOKUP(WWWW[[#This Row],[Site Name]],SiteDB6[[Site Name]:[Pop
(Kachin/Shan-CCCM as of May 2023)]],17,FALSE)</f>
        <v>170</v>
      </c>
    </row>
    <row r="375" spans="1:151">
      <c r="A375" s="946" t="s">
        <v>2962</v>
      </c>
      <c r="B375" s="946" t="s">
        <v>192</v>
      </c>
      <c r="C375" s="938" t="s">
        <v>192</v>
      </c>
      <c r="D375" s="938" t="s">
        <v>299</v>
      </c>
      <c r="E375" s="938" t="s">
        <v>515</v>
      </c>
      <c r="F375" s="938" t="s">
        <v>519</v>
      </c>
      <c r="G375" s="902" t="str">
        <f>VLOOKUP(WWWW[[#This Row],[Site Name]],SiteDB6[[Site Name]:[Location Type]],8,FALSE)</f>
        <v>Camp</v>
      </c>
      <c r="H375" s="938" t="s">
        <v>531</v>
      </c>
      <c r="I375" s="441">
        <v>54</v>
      </c>
      <c r="J375" s="441">
        <v>250</v>
      </c>
      <c r="K375" s="964">
        <v>44511</v>
      </c>
      <c r="L375" s="965">
        <v>45146</v>
      </c>
      <c r="M375" s="441"/>
      <c r="N375" s="441">
        <v>1</v>
      </c>
      <c r="O375" s="441"/>
      <c r="P375" s="441"/>
      <c r="Q375" s="421" t="s">
        <v>41</v>
      </c>
      <c r="R375" s="441">
        <v>5</v>
      </c>
      <c r="S375" s="441">
        <v>4</v>
      </c>
      <c r="T375" s="441"/>
      <c r="U375" s="441"/>
      <c r="V375" s="441"/>
      <c r="W375" s="441"/>
      <c r="X375" s="441"/>
      <c r="Y375" s="441"/>
      <c r="Z375" s="441"/>
      <c r="AA375" s="441">
        <v>12</v>
      </c>
      <c r="AB375" s="441"/>
      <c r="AC375" s="441"/>
      <c r="AD375" s="441"/>
      <c r="AE375" s="441"/>
      <c r="AF375" s="441"/>
      <c r="AG375" s="441"/>
      <c r="AH375" s="441">
        <v>1</v>
      </c>
      <c r="AI375" s="441"/>
      <c r="AJ375" s="441"/>
      <c r="AK375" s="441"/>
      <c r="AL375" s="441"/>
      <c r="AM375" s="441"/>
      <c r="AN375" s="441"/>
      <c r="AO375" s="441"/>
      <c r="AP375" s="950"/>
      <c r="AQ375" s="441">
        <v>18</v>
      </c>
      <c r="AR375" s="441"/>
      <c r="AS375" s="416"/>
      <c r="AT375" s="441"/>
      <c r="AU375" s="441"/>
      <c r="AV375" s="441"/>
      <c r="AW375" s="441"/>
      <c r="AX375" s="441"/>
      <c r="AY375" s="418" t="s">
        <v>41</v>
      </c>
      <c r="AZ375" s="950" t="s">
        <v>137</v>
      </c>
      <c r="BA375" s="441"/>
      <c r="BB375" s="441"/>
      <c r="BC375" s="441"/>
      <c r="BD375" s="441"/>
      <c r="BE375" s="441"/>
      <c r="BF375" s="418"/>
      <c r="BG375" s="441">
        <v>6</v>
      </c>
      <c r="BH375" s="441"/>
      <c r="BI375" s="441"/>
      <c r="BJ375" s="441">
        <v>1</v>
      </c>
      <c r="BK375" s="441"/>
      <c r="BL375" s="441"/>
      <c r="BM375" s="441">
        <v>2</v>
      </c>
      <c r="BN375" s="441"/>
      <c r="BO375" s="441"/>
      <c r="BP375" s="418" t="s">
        <v>41</v>
      </c>
      <c r="BQ375" s="417"/>
      <c r="BR375" s="416"/>
      <c r="BS375" s="418"/>
      <c r="BT375" s="416"/>
      <c r="BU375" s="416"/>
      <c r="BV375" s="418"/>
      <c r="BW375" s="416"/>
      <c r="BX375" s="441"/>
      <c r="BY375" s="441"/>
      <c r="BZ375" s="441"/>
      <c r="CA375" s="441"/>
      <c r="CB375" s="441"/>
      <c r="CC375" s="693"/>
      <c r="CD375" s="441"/>
      <c r="CE375" s="615" t="str">
        <f>IFERROR(WWWW[[#This Row],['#_Water sources passed]]/WWWW[[#This Row],['#_Water sources tested for fecal coliform ]],"no test")</f>
        <v>no test</v>
      </c>
      <c r="CF375" s="416" t="str">
        <f>IFERROR(WWWW[[#This Row],['#_Household passed]]/WWWW[[#This Row],['#_Household water samples tested for fecal coliform]],"no test")</f>
        <v>no test</v>
      </c>
      <c r="CG375" s="417" t="str">
        <f>IF(AND(WWWW[[#This Row],[% of water sources passed]]="no test",WWWW[[#This Row],[% Household passed]]="no test"),"No Test","Tested")</f>
        <v>No Test</v>
      </c>
      <c r="CH375" s="417">
        <f>WWWW[[#This Row],['#_Constructed/existing protected hand dug well]]-WWWW[[#This Row],['#_Non-functional protected hand dug well]]</f>
        <v>0</v>
      </c>
      <c r="CI375" s="417">
        <f>(WWWW[[#This Row],['#_Constructed/Existing tube wells/boreholes/handpumps_WASH_agency]]+WWWW[[#This Row],['#_Non-Cluster partner water tube-wells/boreholes/handpumps]])-WWWW[[#This Row],['#_Non-functional tube wells/boreholes/handpumps]]</f>
        <v>0</v>
      </c>
      <c r="CJ375" s="417">
        <f>WWWW[[#This Row],['#_Constructed/Existingwater storage tank with gravity fed reticulation system]]-WWWW[[#This Row],['#_Non-functional storage tank gravity fed reticulation system]]</f>
        <v>12</v>
      </c>
      <c r="CK375" s="417">
        <f>(WWWW[[#This Row],['#_Water_Liters_supplied_by_Water boating or water trucking]]/90)/15</f>
        <v>0</v>
      </c>
      <c r="CL375" s="417">
        <f>WWWW[[#This Row],['#_Water_Liters_from_Constructed/Existing water distribution system from river or natural spring]]/90/15</f>
        <v>0</v>
      </c>
      <c r="CM375" s="417">
        <f>IF(WWWW[[#This Row],['#_of water points in TLS/CFS]]*500&gt;WWWW[[#This Row],[Total PoP ]],WWWW[[#This Row],[Total PoP ]],WWWW[[#This Row],['#_of water points in TLS/CFS]]*500)</f>
        <v>0</v>
      </c>
      <c r="CN375" s="417">
        <f>IF(WWWW[[#This Row],['#_of water points in THF]]*500&gt;WWWW[[#This Row],[Total PoP ]],WWWW[[#This Row],[Total PoP ]],WWWW[[#This Row],['#_of water points in THF]]*500)</f>
        <v>0</v>
      </c>
      <c r="CO375" s="417"/>
      <c r="CP375"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75"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75" s="416">
        <f>IF(WWWW[[#This Row],[Location Type 1]]="Village",WWWW[[#This Row],[Access to safe drinking water for Village]],WWWW[[#This Row],[Access to safe drinking water for Camp]])</f>
        <v>1</v>
      </c>
      <c r="CS375" s="421">
        <f>WWWW[[#This Row],[%Equitable and continuous access to sufficient quantity of safe drinking water]]*WWWW[[#This Row],[Total PoP ]]</f>
        <v>250</v>
      </c>
      <c r="CT375" s="416">
        <f>IF((WWWW[[#This Row],['#_Constructed/Existing protected/fenced ponds]]*250)/WWWW[[#This Row],[Total PoP ]]&gt;1,1,(WWWW[[#This Row],['#_Constructed/Existing protected/fenced ponds]]*250)/WWWW[[#This Row],[Total PoP ]])</f>
        <v>0</v>
      </c>
      <c r="CU375" s="421">
        <f>WWWW[[#This Row],[% Access to unimproved water points]]*WWWW[[#This Row],[Total PoP ]]</f>
        <v>0</v>
      </c>
      <c r="CV375"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75"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CX375" s="421">
        <f>WWWW[[#This Row],[HRP1]]/500</f>
        <v>0.5</v>
      </c>
      <c r="CY375" s="951">
        <f>1-WWWW[[#This Row],[% Equitable and continuous access to sufficient quantity of domestic water]]</f>
        <v>0</v>
      </c>
      <c r="CZ375" s="421">
        <f>WWWW[[#This Row],[%equitable and continuous access to sufficient quantity of safe drinking and domestic water''s GAP]]*WWWW[[#This Row],[Total PoP ]]</f>
        <v>0</v>
      </c>
      <c r="DA375" s="417">
        <f>IF(WWWW[[#This Row],[Total required water points]]-WWWW[[#This Row],['#Water points coverage]]&lt;0,0,WWWW[[#This Row],[Total required water points]]-WWWW[[#This Row],['#Water points coverage]])</f>
        <v>0.5</v>
      </c>
      <c r="DB375" s="417">
        <f>ROUND(IF(WWWW[[#This Row],[Total PoP ]]&lt;500,1,WWWW[[#This Row],[Total PoP ]]/500),0)</f>
        <v>1</v>
      </c>
      <c r="DC375" s="417">
        <f>(WWWW[[#This Row],['#_Constructed latrines_by_WASHAgencies]]+WWWW[[#This Row],['#_Non Cluster partner latrines]])-WWWW[[#This Row],['#_Non-functional latrines]]</f>
        <v>18</v>
      </c>
      <c r="DD375" s="615">
        <f>WWWW[[#This Row],[HRP2]]/WWWW[[#This Row],[Total PoP ]]</f>
        <v>1</v>
      </c>
      <c r="DE375"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250</v>
      </c>
      <c r="DF375"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75"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75" s="417">
        <f>IF(WWWW[[#This Row],['# of functional latrines in THF supported by WASH partners during the reporting period2]]="",0,WWWW[[#This Row],['# of functional latrines in THF supported by WASH partners during the reporting period2]]*50)</f>
        <v>0</v>
      </c>
      <c r="DI375" s="417">
        <f>ROUND(IF(WWWW[[#This Row],[Location Type 1]]="camp",WWWW[[#This Row],[Total PoP ]]/20,IF(WWWW[[#This Row],[Location Type 1]]="Temporary Location",WWWW[[#This Row],[Total PoP ]]/50,(WWWW[[#This Row],[Total PoP ]]/6))),0)</f>
        <v>13</v>
      </c>
      <c r="DJ375" s="417">
        <f>IF(WWWW[[#This Row],[Total required Latrines]]-(WWWW[[#This Row],['#_Constructed latrines_by_WASHAgencies]]+WWWW[[#This Row],['#_Non Cluster partner latrines]])&lt;0,0,WWWW[[#This Row],[Total required Latrines]]-(WWWW[[#This Row],['#_Constructed latrines_by_WASHAgencies]]+WWWW[[#This Row],['#_Non Cluster partner latrines]]))</f>
        <v>0</v>
      </c>
      <c r="DK375" s="951">
        <f>1-WWWW[[#This Row],[% people access to functioning Latrine]]</f>
        <v>0</v>
      </c>
      <c r="DL375" s="615">
        <f>IF(OR(WWWW[[#This Row],['#_Non-functional latrines]]="",WWWW[[#This Row],['#_Non-functional latrines]]=0),0,WWWW[[#This Row],['#_Non-functional latrines]]/(WWWW[[#This Row],['#_Constructed latrines_by_WASHAgencies]]+WWWW[[#This Row],['#_Non Cluster partner latrines]]))</f>
        <v>0</v>
      </c>
      <c r="DM375" s="421">
        <f>IF(500*(WWWW[[#This Row],['#_male hygiene promoters]]+WWWW[[#This Row],['#_female hygiene promoters]])&gt;WWWW[[#This Row],[Total PoP ]],WWWW[[#This Row],[Total PoP ]],500*(WWWW[[#This Row],['#_male hygiene promoters]]+WWWW[[#This Row],['#_female hygiene promoters]]))</f>
        <v>250</v>
      </c>
      <c r="DN375"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75"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75" s="417">
        <f>IF(WWWW[[#This Row],['# People with access to soap]]&gt;WWWW[[#This Row],['# People with access to Sanity Pads]],WWWW[[#This Row],['# People with access to soap]],WWWW[[#This Row],['# People with access to Sanity Pads]])</f>
        <v>0</v>
      </c>
      <c r="DQ375" s="417">
        <f>IF(WWWW[[#This Row],['# people reached by regular dedicated hygiene promotion_5]]&gt;WWWW[[#This Row],['# People received regular supply of hygiene items_6]],WWWW[[#This Row],['# people reached by regular dedicated hygiene promotion_5]],WWWW[[#This Row],['# People received regular supply of hygiene items_6]])</f>
        <v>250</v>
      </c>
      <c r="DR375" s="951">
        <f>IF(WWWW[[#This Row],[HRP3]]/WWWW[[#This Row],[Total PoP ]]&gt;1,1,WWWW[[#This Row],[HRP3]]/WWWW[[#This Row],[Total PoP ]])</f>
        <v>1</v>
      </c>
      <c r="DS375" s="615">
        <f>1-WWWW[[#This Row],[Hygiene Coverage%]]</f>
        <v>0</v>
      </c>
      <c r="DT375" s="416">
        <f>WWWW[[#This Row],['# people reached by regular dedicated hygiene promotion_5]]/WWWW[[#This Row],[Total PoP ]]</f>
        <v>1</v>
      </c>
      <c r="DU375"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75"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75" s="417">
        <f>WWWW[[#This Row],['#_Constructed/Existing hand washing stations]]-WWWW[[#This Row],['#_Non-Functional_hand_washing_stations]]</f>
        <v>6</v>
      </c>
      <c r="DX375" s="421">
        <f>IF(WWWW[[#This Row],['# Functional hand washing stations during reporting period]]*20&gt;WWWW[[#This Row],[Total HH]],WWWW[[#This Row],[Total HH]],WWWW[[#This Row],['# Functional hand washing stations during reporting period]]*20)</f>
        <v>54</v>
      </c>
      <c r="DY375" s="421">
        <f>IF(WWWW[[#This Row],[Is sufficient soap available for TLS? (Yes/No)]]="yes",WWWW[[#This Row],['#_Constructed/Existing hand washing stations at TLS/CFS/THF]],0)</f>
        <v>0</v>
      </c>
      <c r="DZ375" s="421">
        <f>IF(WWWW[[#This Row],['# Functional hand washing stations during reporting period]]*100&gt;WWWW[[#This Row],[Total PoP ]],WWWW[[#This Row],[Total PoP ]],WWWW[[#This Row],['# Functional hand washing stations during reporting period]]*100)</f>
        <v>250</v>
      </c>
      <c r="EA375" s="421" t="str">
        <f>IF(OR(WWWW[[#This Row],['#_students at TLS_CFS]]="",WWWW[[#This Row],['#_students at TLS_CFS]]=0),"No","Yes")</f>
        <v>No</v>
      </c>
      <c r="EB37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75" s="566">
        <f>WWWW[[#This Row],[%_of_affected_people_surveyed_who_report_feeling_satistfied_with_the_latrine_design_and_sanitation_service]]*WWWW[[#This Row],[Total PoP ]]</f>
        <v>0</v>
      </c>
      <c r="ED375" s="566">
        <f>WWWW[[#This Row],[%_of_affected_people_surveyed_who_report_feeling_satistfied_with_the_water_point_design_and_water_service]]*WWWW[[#This Row],[Total PoP ]]</f>
        <v>0</v>
      </c>
      <c r="EE375" s="566">
        <f>WWWW[[#This Row],[%_of_complaints_received_that_result_in_timely_corrective_action_and_feedback_to_the_community]]*WWWW[[#This Row],[Total PoP ]]</f>
        <v>0</v>
      </c>
      <c r="EF37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7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7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75" s="418" t="str">
        <f>VLOOKUP(WWWW[[#This Row],[Site Name]],SiteDB6[[Site Name]:[CCCM Management]],6,FALSE)</f>
        <v>Yes</v>
      </c>
      <c r="EJ375" s="418" t="str">
        <f>VLOOKUP(WWWW[[#This Row],[Site Name]],SiteDB6[[Site Name]:[CCCM Focal Agency]],7,FALSE)</f>
        <v>KBC-NSS</v>
      </c>
      <c r="EK375" s="418" t="str">
        <f>VLOOKUP(WWWW[[#This Row],[Site Name]],SiteDB6[[Site Name]:[Location Type 1]],9,FALSE)</f>
        <v>Camp</v>
      </c>
      <c r="EL375" s="418" t="str">
        <f>VLOOKUP(WWWW[[#This Row],[Site Name]],SiteDB6[[Site Name]:[Type of Accommodation]],10,FALSE)</f>
        <v>Camp</v>
      </c>
      <c r="EM375" s="418" t="str">
        <f>VLOOKUP(WWWW[[#This Row],[Site Name]],SiteDB6[[Site Name]:[Ethnic or GCA/NGCA]],11,FALSE)</f>
        <v>GCA</v>
      </c>
      <c r="EN375" s="418">
        <f>VLOOKUP(WWWW[[#This Row],[Site Name]],SiteDB6[[Site Name]:[Lat]],12,FALSE)</f>
        <v>23.694130000000001</v>
      </c>
      <c r="EO375" s="418">
        <f>VLOOKUP(WWWW[[#This Row],[Site Name]],SiteDB6[[Site Name]:[Long]],13,FALSE)</f>
        <v>97.818979999999996</v>
      </c>
      <c r="EP375" s="418" t="str">
        <f>VLOOKUP(WWWW[[#This Row],[Site Name]],SiteDB6[[Site Name]:[Pcode]],3,FALSE)</f>
        <v>MMR015CMP007</v>
      </c>
      <c r="EQ375" s="950" t="str">
        <f t="shared" si="8"/>
        <v>Covered</v>
      </c>
      <c r="ER375" s="950" t="s">
        <v>3126</v>
      </c>
      <c r="ES375" s="950" t="s">
        <v>3311</v>
      </c>
      <c r="ET375" s="418">
        <f>VLOOKUP(WWWW[[#This Row],[Site Name]],SiteDB6[[Site Name]:[Pop
(Kachin/Shan-CCCM as of May 2023)]],16,FALSE)</f>
        <v>57</v>
      </c>
      <c r="EU375" s="418">
        <f>VLOOKUP(WWWW[[#This Row],[Site Name]],SiteDB6[[Site Name]:[Pop
(Kachin/Shan-CCCM as of May 2023)]],17,FALSE)</f>
        <v>303</v>
      </c>
    </row>
    <row r="376" spans="1:151">
      <c r="A376" s="946" t="s">
        <v>2962</v>
      </c>
      <c r="B376" s="946" t="s">
        <v>192</v>
      </c>
      <c r="C376" s="938" t="s">
        <v>192</v>
      </c>
      <c r="D376" s="938" t="s">
        <v>299</v>
      </c>
      <c r="E376" s="938" t="s">
        <v>515</v>
      </c>
      <c r="F376" s="938" t="s">
        <v>519</v>
      </c>
      <c r="G376" s="902" t="str">
        <f>VLOOKUP(WWWW[[#This Row],[Site Name]],SiteDB6[[Site Name]:[Location Type]],8,FALSE)</f>
        <v>Camp</v>
      </c>
      <c r="H376" s="938" t="s">
        <v>1613</v>
      </c>
      <c r="I376" s="441">
        <v>35</v>
      </c>
      <c r="J376" s="441">
        <v>158</v>
      </c>
      <c r="K376" s="964">
        <v>44511</v>
      </c>
      <c r="L376" s="965">
        <v>45146</v>
      </c>
      <c r="M376" s="441"/>
      <c r="N376" s="441">
        <v>1</v>
      </c>
      <c r="O376" s="441"/>
      <c r="P376" s="441"/>
      <c r="Q376" s="421" t="s">
        <v>41</v>
      </c>
      <c r="R376" s="441">
        <v>5</v>
      </c>
      <c r="S376" s="441">
        <v>4</v>
      </c>
      <c r="T376" s="441"/>
      <c r="U376" s="441"/>
      <c r="V376" s="441"/>
      <c r="W376" s="441">
        <v>2</v>
      </c>
      <c r="X376" s="441"/>
      <c r="Y376" s="441"/>
      <c r="Z376" s="441"/>
      <c r="AA376" s="441"/>
      <c r="AB376" s="441"/>
      <c r="AC376" s="441"/>
      <c r="AD376" s="441"/>
      <c r="AE376" s="441"/>
      <c r="AF376" s="441"/>
      <c r="AG376" s="441"/>
      <c r="AH376" s="441">
        <v>1</v>
      </c>
      <c r="AI376" s="441"/>
      <c r="AJ376" s="441"/>
      <c r="AK376" s="441"/>
      <c r="AL376" s="441"/>
      <c r="AM376" s="441"/>
      <c r="AN376" s="441"/>
      <c r="AO376" s="441"/>
      <c r="AP376" s="950"/>
      <c r="AQ376" s="441">
        <v>8</v>
      </c>
      <c r="AR376" s="441"/>
      <c r="AS376" s="416"/>
      <c r="AT376" s="441"/>
      <c r="AU376" s="441"/>
      <c r="AV376" s="441"/>
      <c r="AW376" s="441"/>
      <c r="AX376" s="441"/>
      <c r="AY376" s="418" t="s">
        <v>41</v>
      </c>
      <c r="AZ376" s="950" t="s">
        <v>136</v>
      </c>
      <c r="BA376" s="441"/>
      <c r="BB376" s="441"/>
      <c r="BC376" s="441"/>
      <c r="BD376" s="441"/>
      <c r="BE376" s="441"/>
      <c r="BF376" s="418"/>
      <c r="BG376" s="441">
        <v>4</v>
      </c>
      <c r="BH376" s="441"/>
      <c r="BI376" s="441"/>
      <c r="BJ376" s="441">
        <v>1</v>
      </c>
      <c r="BK376" s="441"/>
      <c r="BL376" s="441"/>
      <c r="BM376" s="441">
        <v>2</v>
      </c>
      <c r="BN376" s="441"/>
      <c r="BO376" s="441"/>
      <c r="BP376" s="418" t="s">
        <v>41</v>
      </c>
      <c r="BQ376" s="417"/>
      <c r="BR376" s="416"/>
      <c r="BS376" s="418"/>
      <c r="BT376" s="416"/>
      <c r="BU376" s="416"/>
      <c r="BV376" s="418"/>
      <c r="BW376" s="416"/>
      <c r="BX376" s="441"/>
      <c r="BY376" s="441"/>
      <c r="BZ376" s="441"/>
      <c r="CA376" s="441"/>
      <c r="CB376" s="441"/>
      <c r="CC376" s="693"/>
      <c r="CD376" s="441"/>
      <c r="CE376" s="615" t="str">
        <f>IFERROR(WWWW[[#This Row],['#_Water sources passed]]/WWWW[[#This Row],['#_Water sources tested for fecal coliform ]],"no test")</f>
        <v>no test</v>
      </c>
      <c r="CF376" s="416" t="str">
        <f>IFERROR(WWWW[[#This Row],['#_Household passed]]/WWWW[[#This Row],['#_Household water samples tested for fecal coliform]],"no test")</f>
        <v>no test</v>
      </c>
      <c r="CG376" s="417" t="str">
        <f>IF(AND(WWWW[[#This Row],[% of water sources passed]]="no test",WWWW[[#This Row],[% Household passed]]="no test"),"No Test","Tested")</f>
        <v>No Test</v>
      </c>
      <c r="CH376" s="417">
        <f>WWWW[[#This Row],['#_Constructed/existing protected hand dug well]]-WWWW[[#This Row],['#_Non-functional protected hand dug well]]</f>
        <v>0</v>
      </c>
      <c r="CI376" s="417">
        <f>(WWWW[[#This Row],['#_Constructed/Existing tube wells/boreholes/handpumps_WASH_agency]]+WWWW[[#This Row],['#_Non-Cluster partner water tube-wells/boreholes/handpumps]])-WWWW[[#This Row],['#_Non-functional tube wells/boreholes/handpumps]]</f>
        <v>2</v>
      </c>
      <c r="CJ376" s="417">
        <f>WWWW[[#This Row],['#_Constructed/Existingwater storage tank with gravity fed reticulation system]]-WWWW[[#This Row],['#_Non-functional storage tank gravity fed reticulation system]]</f>
        <v>0</v>
      </c>
      <c r="CK376" s="417">
        <f>(WWWW[[#This Row],['#_Water_Liters_supplied_by_Water boating or water trucking]]/90)/15</f>
        <v>0</v>
      </c>
      <c r="CL376" s="417">
        <f>WWWW[[#This Row],['#_Water_Liters_from_Constructed/Existing water distribution system from river or natural spring]]/90/15</f>
        <v>0</v>
      </c>
      <c r="CM376" s="417">
        <f>IF(WWWW[[#This Row],['#_of water points in TLS/CFS]]*500&gt;WWWW[[#This Row],[Total PoP ]],WWWW[[#This Row],[Total PoP ]],WWWW[[#This Row],['#_of water points in TLS/CFS]]*500)</f>
        <v>0</v>
      </c>
      <c r="CN376" s="417">
        <f>IF(WWWW[[#This Row],['#_of water points in THF]]*500&gt;WWWW[[#This Row],[Total PoP ]],WWWW[[#This Row],[Total PoP ]],WWWW[[#This Row],['#_of water points in THF]]*500)</f>
        <v>0</v>
      </c>
      <c r="CO376" s="417"/>
      <c r="CP376"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76"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76" s="416">
        <f>IF(WWWW[[#This Row],[Location Type 1]]="Village",WWWW[[#This Row],[Access to safe drinking water for Village]],WWWW[[#This Row],[Access to safe drinking water for Camp]])</f>
        <v>1</v>
      </c>
      <c r="CS376" s="421">
        <f>WWWW[[#This Row],[%Equitable and continuous access to sufficient quantity of safe drinking water]]*WWWW[[#This Row],[Total PoP ]]</f>
        <v>158</v>
      </c>
      <c r="CT376" s="416">
        <f>IF((WWWW[[#This Row],['#_Constructed/Existing protected/fenced ponds]]*250)/WWWW[[#This Row],[Total PoP ]]&gt;1,1,(WWWW[[#This Row],['#_Constructed/Existing protected/fenced ponds]]*250)/WWWW[[#This Row],[Total PoP ]])</f>
        <v>0</v>
      </c>
      <c r="CU376" s="421">
        <f>WWWW[[#This Row],[% Access to unimproved water points]]*WWWW[[#This Row],[Total PoP ]]</f>
        <v>0</v>
      </c>
      <c r="CV376"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76"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158</v>
      </c>
      <c r="CX376" s="421">
        <f>WWWW[[#This Row],[HRP1]]/500</f>
        <v>0.316</v>
      </c>
      <c r="CY376" s="951">
        <f>1-WWWW[[#This Row],[% Equitable and continuous access to sufficient quantity of domestic water]]</f>
        <v>0</v>
      </c>
      <c r="CZ376" s="421">
        <f>WWWW[[#This Row],[%equitable and continuous access to sufficient quantity of safe drinking and domestic water''s GAP]]*WWWW[[#This Row],[Total PoP ]]</f>
        <v>0</v>
      </c>
      <c r="DA376" s="417">
        <f>IF(WWWW[[#This Row],[Total required water points]]-WWWW[[#This Row],['#Water points coverage]]&lt;0,0,WWWW[[#This Row],[Total required water points]]-WWWW[[#This Row],['#Water points coverage]])</f>
        <v>0.68399999999999994</v>
      </c>
      <c r="DB376" s="417">
        <f>ROUND(IF(WWWW[[#This Row],[Total PoP ]]&lt;500,1,WWWW[[#This Row],[Total PoP ]]/500),0)</f>
        <v>1</v>
      </c>
      <c r="DC376" s="417">
        <f>(WWWW[[#This Row],['#_Constructed latrines_by_WASHAgencies]]+WWWW[[#This Row],['#_Non Cluster partner latrines]])-WWWW[[#This Row],['#_Non-functional latrines]]</f>
        <v>8</v>
      </c>
      <c r="DD376" s="615">
        <f>WWWW[[#This Row],[HRP2]]/WWWW[[#This Row],[Total PoP ]]</f>
        <v>1</v>
      </c>
      <c r="DE376"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158</v>
      </c>
      <c r="DF376"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76"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76" s="417">
        <f>IF(WWWW[[#This Row],['# of functional latrines in THF supported by WASH partners during the reporting period2]]="",0,WWWW[[#This Row],['# of functional latrines in THF supported by WASH partners during the reporting period2]]*50)</f>
        <v>0</v>
      </c>
      <c r="DI376" s="417">
        <f>ROUND(IF(WWWW[[#This Row],[Location Type 1]]="camp",WWWW[[#This Row],[Total PoP ]]/20,IF(WWWW[[#This Row],[Location Type 1]]="Temporary Location",WWWW[[#This Row],[Total PoP ]]/50,(WWWW[[#This Row],[Total PoP ]]/6))),0)</f>
        <v>8</v>
      </c>
      <c r="DJ376" s="417">
        <f>IF(WWWW[[#This Row],[Total required Latrines]]-(WWWW[[#This Row],['#_Constructed latrines_by_WASHAgencies]]+WWWW[[#This Row],['#_Non Cluster partner latrines]])&lt;0,0,WWWW[[#This Row],[Total required Latrines]]-(WWWW[[#This Row],['#_Constructed latrines_by_WASHAgencies]]+WWWW[[#This Row],['#_Non Cluster partner latrines]]))</f>
        <v>0</v>
      </c>
      <c r="DK376" s="951">
        <f>1-WWWW[[#This Row],[% people access to functioning Latrine]]</f>
        <v>0</v>
      </c>
      <c r="DL376" s="615">
        <f>IF(OR(WWWW[[#This Row],['#_Non-functional latrines]]="",WWWW[[#This Row],['#_Non-functional latrines]]=0),0,WWWW[[#This Row],['#_Non-functional latrines]]/(WWWW[[#This Row],['#_Constructed latrines_by_WASHAgencies]]+WWWW[[#This Row],['#_Non Cluster partner latrines]]))</f>
        <v>0</v>
      </c>
      <c r="DM376" s="421">
        <f>IF(500*(WWWW[[#This Row],['#_male hygiene promoters]]+WWWW[[#This Row],['#_female hygiene promoters]])&gt;WWWW[[#This Row],[Total PoP ]],WWWW[[#This Row],[Total PoP ]],500*(WWWW[[#This Row],['#_male hygiene promoters]]+WWWW[[#This Row],['#_female hygiene promoters]]))</f>
        <v>158</v>
      </c>
      <c r="DN376"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76"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76" s="417">
        <f>IF(WWWW[[#This Row],['# People with access to soap]]&gt;WWWW[[#This Row],['# People with access to Sanity Pads]],WWWW[[#This Row],['# People with access to soap]],WWWW[[#This Row],['# People with access to Sanity Pads]])</f>
        <v>0</v>
      </c>
      <c r="DQ376" s="417">
        <f>IF(WWWW[[#This Row],['# people reached by regular dedicated hygiene promotion_5]]&gt;WWWW[[#This Row],['# People received regular supply of hygiene items_6]],WWWW[[#This Row],['# people reached by regular dedicated hygiene promotion_5]],WWWW[[#This Row],['# People received regular supply of hygiene items_6]])</f>
        <v>158</v>
      </c>
      <c r="DR376" s="951">
        <f>IF(WWWW[[#This Row],[HRP3]]/WWWW[[#This Row],[Total PoP ]]&gt;1,1,WWWW[[#This Row],[HRP3]]/WWWW[[#This Row],[Total PoP ]])</f>
        <v>1</v>
      </c>
      <c r="DS376" s="615">
        <f>1-WWWW[[#This Row],[Hygiene Coverage%]]</f>
        <v>0</v>
      </c>
      <c r="DT376" s="416">
        <f>WWWW[[#This Row],['# people reached by regular dedicated hygiene promotion_5]]/WWWW[[#This Row],[Total PoP ]]</f>
        <v>1</v>
      </c>
      <c r="DU376"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76"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76" s="417">
        <f>WWWW[[#This Row],['#_Constructed/Existing hand washing stations]]-WWWW[[#This Row],['#_Non-Functional_hand_washing_stations]]</f>
        <v>4</v>
      </c>
      <c r="DX376" s="421">
        <f>IF(WWWW[[#This Row],['# Functional hand washing stations during reporting period]]*20&gt;WWWW[[#This Row],[Total HH]],WWWW[[#This Row],[Total HH]],WWWW[[#This Row],['# Functional hand washing stations during reporting period]]*20)</f>
        <v>35</v>
      </c>
      <c r="DY376" s="421">
        <f>IF(WWWW[[#This Row],[Is sufficient soap available for TLS? (Yes/No)]]="yes",WWWW[[#This Row],['#_Constructed/Existing hand washing stations at TLS/CFS/THF]],0)</f>
        <v>0</v>
      </c>
      <c r="DZ376" s="421">
        <f>IF(WWWW[[#This Row],['# Functional hand washing stations during reporting period]]*100&gt;WWWW[[#This Row],[Total PoP ]],WWWW[[#This Row],[Total PoP ]],WWWW[[#This Row],['# Functional hand washing stations during reporting period]]*100)</f>
        <v>158</v>
      </c>
      <c r="EA376" s="421" t="str">
        <f>IF(OR(WWWW[[#This Row],['#_students at TLS_CFS]]="",WWWW[[#This Row],['#_students at TLS_CFS]]=0),"No","Yes")</f>
        <v>No</v>
      </c>
      <c r="EB37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76" s="566">
        <f>WWWW[[#This Row],[%_of_affected_people_surveyed_who_report_feeling_satistfied_with_the_latrine_design_and_sanitation_service]]*WWWW[[#This Row],[Total PoP ]]</f>
        <v>0</v>
      </c>
      <c r="ED376" s="566">
        <f>WWWW[[#This Row],[%_of_affected_people_surveyed_who_report_feeling_satistfied_with_the_water_point_design_and_water_service]]*WWWW[[#This Row],[Total PoP ]]</f>
        <v>0</v>
      </c>
      <c r="EE376" s="566">
        <f>WWWW[[#This Row],[%_of_complaints_received_that_result_in_timely_corrective_action_and_feedback_to_the_community]]*WWWW[[#This Row],[Total PoP ]]</f>
        <v>0</v>
      </c>
      <c r="EF37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7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7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76" s="418" t="str">
        <f>VLOOKUP(WWWW[[#This Row],[Site Name]],SiteDB6[[Site Name]:[CCCM Management]],6,FALSE)</f>
        <v>Yes</v>
      </c>
      <c r="EJ376" s="418" t="str">
        <f>VLOOKUP(WWWW[[#This Row],[Site Name]],SiteDB6[[Site Name]:[CCCM Focal Agency]],7,FALSE)</f>
        <v>KMSS-LSO</v>
      </c>
      <c r="EK376" s="418" t="str">
        <f>VLOOKUP(WWWW[[#This Row],[Site Name]],SiteDB6[[Site Name]:[Location Type 1]],9,FALSE)</f>
        <v>Camp</v>
      </c>
      <c r="EL376" s="418" t="str">
        <f>VLOOKUP(WWWW[[#This Row],[Site Name]],SiteDB6[[Site Name]:[Type of Accommodation]],10,FALSE)</f>
        <v>Camp</v>
      </c>
      <c r="EM376" s="418" t="str">
        <f>VLOOKUP(WWWW[[#This Row],[Site Name]],SiteDB6[[Site Name]:[Ethnic or GCA/NGCA]],11,FALSE)</f>
        <v>GCA</v>
      </c>
      <c r="EN376" s="418">
        <f>VLOOKUP(WWWW[[#This Row],[Site Name]],SiteDB6[[Site Name]:[Lat]],12,FALSE)</f>
        <v>23.682887999999998</v>
      </c>
      <c r="EO376" s="418">
        <f>VLOOKUP(WWWW[[#This Row],[Site Name]],SiteDB6[[Site Name]:[Long]],13,FALSE)</f>
        <v>97.810101000000003</v>
      </c>
      <c r="EP376" s="418" t="str">
        <f>VLOOKUP(WWWW[[#This Row],[Site Name]],SiteDB6[[Site Name]:[Pcode]],3,FALSE)</f>
        <v>MMR015CMP043</v>
      </c>
      <c r="EQ376" s="950" t="str">
        <f t="shared" si="8"/>
        <v>Covered</v>
      </c>
      <c r="ER376" s="950" t="s">
        <v>3126</v>
      </c>
      <c r="ES376" s="950" t="s">
        <v>3311</v>
      </c>
      <c r="ET376" s="418">
        <f>VLOOKUP(WWWW[[#This Row],[Site Name]],SiteDB6[[Site Name]:[Pop
(Kachin/Shan-CCCM as of May 2023)]],16,FALSE)</f>
        <v>36</v>
      </c>
      <c r="EU376" s="418">
        <f>VLOOKUP(WWWW[[#This Row],[Site Name]],SiteDB6[[Site Name]:[Pop
(Kachin/Shan-CCCM as of May 2023)]],17,FALSE)</f>
        <v>161</v>
      </c>
    </row>
    <row r="377" spans="1:151">
      <c r="A377" s="946" t="s">
        <v>2962</v>
      </c>
      <c r="B377" s="946" t="s">
        <v>192</v>
      </c>
      <c r="C377" s="938" t="s">
        <v>192</v>
      </c>
      <c r="D377" s="938" t="s">
        <v>299</v>
      </c>
      <c r="E377" s="938" t="s">
        <v>515</v>
      </c>
      <c r="F377" s="938" t="s">
        <v>519</v>
      </c>
      <c r="G377" s="902" t="str">
        <f>VLOOKUP(WWWW[[#This Row],[Site Name]],SiteDB6[[Site Name]:[Location Type]],8,FALSE)</f>
        <v>Camp</v>
      </c>
      <c r="H377" s="938" t="s">
        <v>542</v>
      </c>
      <c r="I377" s="441">
        <v>121</v>
      </c>
      <c r="J377" s="441">
        <v>664</v>
      </c>
      <c r="K377" s="964">
        <v>44511</v>
      </c>
      <c r="L377" s="965">
        <v>45146</v>
      </c>
      <c r="M377" s="441"/>
      <c r="N377" s="441">
        <v>1</v>
      </c>
      <c r="O377" s="441"/>
      <c r="P377" s="441"/>
      <c r="Q377" s="421" t="s">
        <v>41</v>
      </c>
      <c r="R377" s="441">
        <v>4</v>
      </c>
      <c r="S377" s="441">
        <v>5</v>
      </c>
      <c r="T377" s="441"/>
      <c r="U377" s="441"/>
      <c r="V377" s="441"/>
      <c r="W377" s="441"/>
      <c r="X377" s="441"/>
      <c r="Y377" s="441"/>
      <c r="Z377" s="441"/>
      <c r="AA377" s="441">
        <v>8</v>
      </c>
      <c r="AB377" s="441"/>
      <c r="AC377" s="441"/>
      <c r="AD377" s="441"/>
      <c r="AE377" s="441"/>
      <c r="AF377" s="441"/>
      <c r="AG377" s="441"/>
      <c r="AH377" s="441"/>
      <c r="AI377" s="441"/>
      <c r="AJ377" s="441"/>
      <c r="AK377" s="441"/>
      <c r="AL377" s="441"/>
      <c r="AM377" s="441">
        <v>1</v>
      </c>
      <c r="AN377" s="441"/>
      <c r="AO377" s="441"/>
      <c r="AP377" s="950"/>
      <c r="AQ377" s="441">
        <v>105</v>
      </c>
      <c r="AR377" s="441"/>
      <c r="AS377" s="416"/>
      <c r="AT377" s="441"/>
      <c r="AU377" s="441"/>
      <c r="AV377" s="441"/>
      <c r="AW377" s="441"/>
      <c r="AX377" s="441"/>
      <c r="AY377" s="418" t="s">
        <v>41</v>
      </c>
      <c r="AZ377" s="950" t="s">
        <v>137</v>
      </c>
      <c r="BA377" s="441"/>
      <c r="BB377" s="441"/>
      <c r="BC377" s="441"/>
      <c r="BD377" s="441"/>
      <c r="BE377" s="441"/>
      <c r="BF377" s="418"/>
      <c r="BG377" s="441">
        <v>8</v>
      </c>
      <c r="BH377" s="441"/>
      <c r="BI377" s="441"/>
      <c r="BJ377" s="441">
        <v>3</v>
      </c>
      <c r="BK377" s="441"/>
      <c r="BL377" s="441"/>
      <c r="BM377" s="441">
        <v>1</v>
      </c>
      <c r="BN377" s="441"/>
      <c r="BO377" s="441"/>
      <c r="BP377" s="418" t="s">
        <v>41</v>
      </c>
      <c r="BQ377" s="417"/>
      <c r="BR377" s="416"/>
      <c r="BS377" s="418"/>
      <c r="BT377" s="416"/>
      <c r="BU377" s="416"/>
      <c r="BV377" s="418"/>
      <c r="BW377" s="416"/>
      <c r="BX377" s="441"/>
      <c r="BY377" s="441"/>
      <c r="BZ377" s="441"/>
      <c r="CA377" s="441"/>
      <c r="CB377" s="441"/>
      <c r="CC377" s="693"/>
      <c r="CD377" s="441"/>
      <c r="CE377" s="615" t="str">
        <f>IFERROR(WWWW[[#This Row],['#_Water sources passed]]/WWWW[[#This Row],['#_Water sources tested for fecal coliform ]],"no test")</f>
        <v>no test</v>
      </c>
      <c r="CF377" s="416" t="str">
        <f>IFERROR(WWWW[[#This Row],['#_Household passed]]/WWWW[[#This Row],['#_Household water samples tested for fecal coliform]],"no test")</f>
        <v>no test</v>
      </c>
      <c r="CG377" s="417" t="str">
        <f>IF(AND(WWWW[[#This Row],[% of water sources passed]]="no test",WWWW[[#This Row],[% Household passed]]="no test"),"No Test","Tested")</f>
        <v>No Test</v>
      </c>
      <c r="CH377" s="417">
        <f>WWWW[[#This Row],['#_Constructed/existing protected hand dug well]]-WWWW[[#This Row],['#_Non-functional protected hand dug well]]</f>
        <v>0</v>
      </c>
      <c r="CI377" s="417">
        <f>(WWWW[[#This Row],['#_Constructed/Existing tube wells/boreholes/handpumps_WASH_agency]]+WWWW[[#This Row],['#_Non-Cluster partner water tube-wells/boreholes/handpumps]])-WWWW[[#This Row],['#_Non-functional tube wells/boreholes/handpumps]]</f>
        <v>0</v>
      </c>
      <c r="CJ377" s="417">
        <f>WWWW[[#This Row],['#_Constructed/Existingwater storage tank with gravity fed reticulation system]]-WWWW[[#This Row],['#_Non-functional storage tank gravity fed reticulation system]]</f>
        <v>8</v>
      </c>
      <c r="CK377" s="417">
        <f>(WWWW[[#This Row],['#_Water_Liters_supplied_by_Water boating or water trucking]]/90)/15</f>
        <v>0</v>
      </c>
      <c r="CL377" s="417">
        <f>WWWW[[#This Row],['#_Water_Liters_from_Constructed/Existing water distribution system from river or natural spring]]/90/15</f>
        <v>0</v>
      </c>
      <c r="CM377" s="417">
        <f>IF(WWWW[[#This Row],['#_of water points in TLS/CFS]]*500&gt;WWWW[[#This Row],[Total PoP ]],WWWW[[#This Row],[Total PoP ]],WWWW[[#This Row],['#_of water points in TLS/CFS]]*500)</f>
        <v>0</v>
      </c>
      <c r="CN377" s="417">
        <f>IF(WWWW[[#This Row],['#_of water points in THF]]*500&gt;WWWW[[#This Row],[Total PoP ]],WWWW[[#This Row],[Total PoP ]],WWWW[[#This Row],['#_of water points in THF]]*500)</f>
        <v>0</v>
      </c>
      <c r="CO377" s="417"/>
      <c r="CP377"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0.8032128514056226</v>
      </c>
      <c r="CQ377"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0.8032128514056226</v>
      </c>
      <c r="CR377" s="416">
        <f>IF(WWWW[[#This Row],[Location Type 1]]="Village",WWWW[[#This Row],[Access to safe drinking water for Village]],WWWW[[#This Row],[Access to safe drinking water for Camp]])</f>
        <v>0.8032128514056226</v>
      </c>
      <c r="CS377" s="421">
        <f>WWWW[[#This Row],[%Equitable and continuous access to sufficient quantity of safe drinking water]]*WWWW[[#This Row],[Total PoP ]]</f>
        <v>533.33333333333337</v>
      </c>
      <c r="CT377" s="416">
        <f>IF((WWWW[[#This Row],['#_Constructed/Existing protected/fenced ponds]]*250)/WWWW[[#This Row],[Total PoP ]]&gt;1,1,(WWWW[[#This Row],['#_Constructed/Existing protected/fenced ponds]]*250)/WWWW[[#This Row],[Total PoP ]])</f>
        <v>0</v>
      </c>
      <c r="CU377" s="421">
        <f>WWWW[[#This Row],[% Access to unimproved water points]]*WWWW[[#This Row],[Total PoP ]]</f>
        <v>0</v>
      </c>
      <c r="CV377"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0.8032128514056226</v>
      </c>
      <c r="CW377"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533.33333333333337</v>
      </c>
      <c r="CX377" s="421">
        <f>WWWW[[#This Row],[HRP1]]/500</f>
        <v>1.0666666666666667</v>
      </c>
      <c r="CY377" s="951">
        <f>1-WWWW[[#This Row],[% Equitable and continuous access to sufficient quantity of domestic water]]</f>
        <v>0.1967871485943774</v>
      </c>
      <c r="CZ377" s="421">
        <f>WWWW[[#This Row],[%equitable and continuous access to sufficient quantity of safe drinking and domestic water''s GAP]]*WWWW[[#This Row],[Total PoP ]]</f>
        <v>130.6666666666666</v>
      </c>
      <c r="DA377" s="417">
        <f>IF(WWWW[[#This Row],[Total required water points]]-WWWW[[#This Row],['#Water points coverage]]&lt;0,0,WWWW[[#This Row],[Total required water points]]-WWWW[[#This Row],['#Water points coverage]])</f>
        <v>0</v>
      </c>
      <c r="DB377" s="417">
        <f>ROUND(IF(WWWW[[#This Row],[Total PoP ]]&lt;500,1,WWWW[[#This Row],[Total PoP ]]/500),0)</f>
        <v>1</v>
      </c>
      <c r="DC377" s="417">
        <f>(WWWW[[#This Row],['#_Constructed latrines_by_WASHAgencies]]+WWWW[[#This Row],['#_Non Cluster partner latrines]])-WWWW[[#This Row],['#_Non-functional latrines]]</f>
        <v>105</v>
      </c>
      <c r="DD377" s="615">
        <f>WWWW[[#This Row],[HRP2]]/WWWW[[#This Row],[Total PoP ]]</f>
        <v>0.79066265060240959</v>
      </c>
      <c r="DE377"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525</v>
      </c>
      <c r="DF377"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77"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77" s="417">
        <f>IF(WWWW[[#This Row],['# of functional latrines in THF supported by WASH partners during the reporting period2]]="",0,WWWW[[#This Row],['# of functional latrines in THF supported by WASH partners during the reporting period2]]*50)</f>
        <v>0</v>
      </c>
      <c r="DI377" s="417">
        <f>ROUND(IF(WWWW[[#This Row],[Location Type 1]]="camp",WWWW[[#This Row],[Total PoP ]]/20,IF(WWWW[[#This Row],[Location Type 1]]="Temporary Location",WWWW[[#This Row],[Total PoP ]]/50,(WWWW[[#This Row],[Total PoP ]]/6))),0)</f>
        <v>111</v>
      </c>
      <c r="DJ377" s="417">
        <f>IF(WWWW[[#This Row],[Total required Latrines]]-(WWWW[[#This Row],['#_Constructed latrines_by_WASHAgencies]]+WWWW[[#This Row],['#_Non Cluster partner latrines]])&lt;0,0,WWWW[[#This Row],[Total required Latrines]]-(WWWW[[#This Row],['#_Constructed latrines_by_WASHAgencies]]+WWWW[[#This Row],['#_Non Cluster partner latrines]]))</f>
        <v>6</v>
      </c>
      <c r="DK377" s="951">
        <f>1-WWWW[[#This Row],[% people access to functioning Latrine]]</f>
        <v>0.20933734939759041</v>
      </c>
      <c r="DL377" s="615">
        <f>IF(OR(WWWW[[#This Row],['#_Non-functional latrines]]="",WWWW[[#This Row],['#_Non-functional latrines]]=0),0,WWWW[[#This Row],['#_Non-functional latrines]]/(WWWW[[#This Row],['#_Constructed latrines_by_WASHAgencies]]+WWWW[[#This Row],['#_Non Cluster partner latrines]]))</f>
        <v>0</v>
      </c>
      <c r="DM377" s="421">
        <f>IF(500*(WWWW[[#This Row],['#_male hygiene promoters]]+WWWW[[#This Row],['#_female hygiene promoters]])&gt;WWWW[[#This Row],[Total PoP ]],WWWW[[#This Row],[Total PoP ]],500*(WWWW[[#This Row],['#_male hygiene promoters]]+WWWW[[#This Row],['#_female hygiene promoters]]))</f>
        <v>500</v>
      </c>
      <c r="DN377"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77"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77" s="417">
        <f>IF(WWWW[[#This Row],['# People with access to soap]]&gt;WWWW[[#This Row],['# People with access to Sanity Pads]],WWWW[[#This Row],['# People with access to soap]],WWWW[[#This Row],['# People with access to Sanity Pads]])</f>
        <v>0</v>
      </c>
      <c r="DQ377" s="41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377" s="951">
        <f>IF(WWWW[[#This Row],[HRP3]]/WWWW[[#This Row],[Total PoP ]]&gt;1,1,WWWW[[#This Row],[HRP3]]/WWWW[[#This Row],[Total PoP ]])</f>
        <v>0.75301204819277112</v>
      </c>
      <c r="DS377" s="615">
        <f>1-WWWW[[#This Row],[Hygiene Coverage%]]</f>
        <v>0.24698795180722888</v>
      </c>
      <c r="DT377" s="416">
        <f>WWWW[[#This Row],['# people reached by regular dedicated hygiene promotion_5]]/WWWW[[#This Row],[Total PoP ]]</f>
        <v>0.75301204819277112</v>
      </c>
      <c r="DU377"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77"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77" s="417">
        <f>WWWW[[#This Row],['#_Constructed/Existing hand washing stations]]-WWWW[[#This Row],['#_Non-Functional_hand_washing_stations]]</f>
        <v>8</v>
      </c>
      <c r="DX377" s="421">
        <f>IF(WWWW[[#This Row],['# Functional hand washing stations during reporting period]]*20&gt;WWWW[[#This Row],[Total HH]],WWWW[[#This Row],[Total HH]],WWWW[[#This Row],['# Functional hand washing stations during reporting period]]*20)</f>
        <v>121</v>
      </c>
      <c r="DY377" s="421">
        <f>IF(WWWW[[#This Row],[Is sufficient soap available for TLS? (Yes/No)]]="yes",WWWW[[#This Row],['#_Constructed/Existing hand washing stations at TLS/CFS/THF]],0)</f>
        <v>1</v>
      </c>
      <c r="DZ377" s="421">
        <f>IF(WWWW[[#This Row],['# Functional hand washing stations during reporting period]]*100&gt;WWWW[[#This Row],[Total PoP ]],WWWW[[#This Row],[Total PoP ]],WWWW[[#This Row],['# Functional hand washing stations during reporting period]]*100)</f>
        <v>664</v>
      </c>
      <c r="EA377" s="421" t="str">
        <f>IF(OR(WWWW[[#This Row],['#_students at TLS_CFS]]="",WWWW[[#This Row],['#_students at TLS_CFS]]=0),"No","Yes")</f>
        <v>No</v>
      </c>
      <c r="EB37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77" s="566">
        <f>WWWW[[#This Row],[%_of_affected_people_surveyed_who_report_feeling_satistfied_with_the_latrine_design_and_sanitation_service]]*WWWW[[#This Row],[Total PoP ]]</f>
        <v>0</v>
      </c>
      <c r="ED377" s="566">
        <f>WWWW[[#This Row],[%_of_affected_people_surveyed_who_report_feeling_satistfied_with_the_water_point_design_and_water_service]]*WWWW[[#This Row],[Total PoP ]]</f>
        <v>0</v>
      </c>
      <c r="EE377" s="566">
        <f>WWWW[[#This Row],[%_of_complaints_received_that_result_in_timely_corrective_action_and_feedback_to_the_community]]*WWWW[[#This Row],[Total PoP ]]</f>
        <v>0</v>
      </c>
      <c r="EF37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7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7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77" s="418" t="str">
        <f>VLOOKUP(WWWW[[#This Row],[Site Name]],SiteDB6[[Site Name]:[CCCM Management]],6,FALSE)</f>
        <v>Yes</v>
      </c>
      <c r="EJ377" s="418" t="str">
        <f>VLOOKUP(WWWW[[#This Row],[Site Name]],SiteDB6[[Site Name]:[CCCM Focal Agency]],7,FALSE)</f>
        <v>KMSS-LSO</v>
      </c>
      <c r="EK377" s="418" t="str">
        <f>VLOOKUP(WWWW[[#This Row],[Site Name]],SiteDB6[[Site Name]:[Location Type 1]],9,FALSE)</f>
        <v>Village Type Camp</v>
      </c>
      <c r="EL377" s="418" t="str">
        <f>VLOOKUP(WWWW[[#This Row],[Site Name]],SiteDB6[[Site Name]:[Type of Accommodation]],10,FALSE)</f>
        <v>Camp</v>
      </c>
      <c r="EM377" s="418" t="str">
        <f>VLOOKUP(WWWW[[#This Row],[Site Name]],SiteDB6[[Site Name]:[Ethnic or GCA/NGCA]],11,FALSE)</f>
        <v>GCA</v>
      </c>
      <c r="EN377" s="418">
        <f>VLOOKUP(WWWW[[#This Row],[Site Name]],SiteDB6[[Site Name]:[Lat]],12,FALSE)</f>
        <v>23.447111</v>
      </c>
      <c r="EO377" s="418">
        <f>VLOOKUP(WWWW[[#This Row],[Site Name]],SiteDB6[[Site Name]:[Long]],13,FALSE)</f>
        <v>97.868876999999998</v>
      </c>
      <c r="EP377" s="418" t="str">
        <f>VLOOKUP(WWWW[[#This Row],[Site Name]],SiteDB6[[Site Name]:[Pcode]],3,FALSE)</f>
        <v>MMR015CMP037</v>
      </c>
      <c r="EQ377" s="950" t="str">
        <f t="shared" si="8"/>
        <v>Covered</v>
      </c>
      <c r="ER377" s="950" t="s">
        <v>3126</v>
      </c>
      <c r="ES377" s="950" t="s">
        <v>3311</v>
      </c>
      <c r="ET377" s="418">
        <f>VLOOKUP(WWWW[[#This Row],[Site Name]],SiteDB6[[Site Name]:[Pop
(Kachin/Shan-CCCM as of May 2023)]],16,FALSE)</f>
        <v>127</v>
      </c>
      <c r="EU377" s="418">
        <f>VLOOKUP(WWWW[[#This Row],[Site Name]],SiteDB6[[Site Name]:[Pop
(Kachin/Shan-CCCM as of May 2023)]],17,FALSE)</f>
        <v>713</v>
      </c>
    </row>
    <row r="378" spans="1:151">
      <c r="A378" s="946" t="s">
        <v>2962</v>
      </c>
      <c r="B378" s="946" t="s">
        <v>192</v>
      </c>
      <c r="C378" s="938" t="s">
        <v>192</v>
      </c>
      <c r="D378" s="938" t="s">
        <v>299</v>
      </c>
      <c r="E378" s="938" t="s">
        <v>515</v>
      </c>
      <c r="F378" s="938" t="s">
        <v>519</v>
      </c>
      <c r="G378" s="902" t="str">
        <f>VLOOKUP(WWWW[[#This Row],[Site Name]],SiteDB6[[Site Name]:[Location Type]],8,FALSE)</f>
        <v>Camp</v>
      </c>
      <c r="H378" s="938" t="s">
        <v>561</v>
      </c>
      <c r="I378" s="441">
        <v>45</v>
      </c>
      <c r="J378" s="441">
        <v>221</v>
      </c>
      <c r="K378" s="964">
        <v>44511</v>
      </c>
      <c r="L378" s="965">
        <v>45146</v>
      </c>
      <c r="M378" s="441"/>
      <c r="N378" s="441"/>
      <c r="O378" s="441"/>
      <c r="P378" s="441"/>
      <c r="Q378" s="421"/>
      <c r="R378" s="441">
        <v>5</v>
      </c>
      <c r="S378" s="441">
        <v>4</v>
      </c>
      <c r="T378" s="441"/>
      <c r="U378" s="441"/>
      <c r="V378" s="441"/>
      <c r="W378" s="441"/>
      <c r="X378" s="441"/>
      <c r="Y378" s="441"/>
      <c r="Z378" s="441"/>
      <c r="AA378" s="441">
        <v>8</v>
      </c>
      <c r="AB378" s="441"/>
      <c r="AC378" s="441"/>
      <c r="AD378" s="441"/>
      <c r="AE378" s="441"/>
      <c r="AF378" s="441"/>
      <c r="AG378" s="441"/>
      <c r="AH378" s="441">
        <v>1</v>
      </c>
      <c r="AI378" s="441"/>
      <c r="AJ378" s="441"/>
      <c r="AK378" s="441"/>
      <c r="AL378" s="441"/>
      <c r="AM378" s="441">
        <v>2</v>
      </c>
      <c r="AN378" s="441">
        <v>1</v>
      </c>
      <c r="AO378" s="441"/>
      <c r="AP378" s="950"/>
      <c r="AQ378" s="441">
        <v>37</v>
      </c>
      <c r="AR378" s="441"/>
      <c r="AS378" s="416"/>
      <c r="AT378" s="441"/>
      <c r="AU378" s="441"/>
      <c r="AV378" s="441"/>
      <c r="AW378" s="441"/>
      <c r="AX378" s="441">
        <v>3</v>
      </c>
      <c r="AY378" s="418" t="s">
        <v>136</v>
      </c>
      <c r="AZ378" s="950" t="s">
        <v>899</v>
      </c>
      <c r="BA378" s="441"/>
      <c r="BB378" s="441"/>
      <c r="BC378" s="441"/>
      <c r="BD378" s="441"/>
      <c r="BE378" s="441"/>
      <c r="BF378" s="418"/>
      <c r="BG378" s="441">
        <v>7</v>
      </c>
      <c r="BH378" s="441"/>
      <c r="BI378" s="441"/>
      <c r="BJ378" s="441"/>
      <c r="BK378" s="441"/>
      <c r="BL378" s="441"/>
      <c r="BM378" s="441">
        <v>1</v>
      </c>
      <c r="BN378" s="441"/>
      <c r="BO378" s="441"/>
      <c r="BP378" s="418" t="s">
        <v>41</v>
      </c>
      <c r="BQ378" s="417"/>
      <c r="BR378" s="416"/>
      <c r="BS378" s="418"/>
      <c r="BT378" s="416"/>
      <c r="BU378" s="416"/>
      <c r="BV378" s="418"/>
      <c r="BW378" s="416"/>
      <c r="BX378" s="441"/>
      <c r="BY378" s="441"/>
      <c r="BZ378" s="441"/>
      <c r="CA378" s="441"/>
      <c r="CB378" s="441"/>
      <c r="CC378" s="693"/>
      <c r="CD378" s="441"/>
      <c r="CE378" s="615" t="str">
        <f>IFERROR(WWWW[[#This Row],['#_Water sources passed]]/WWWW[[#This Row],['#_Water sources tested for fecal coliform ]],"no test")</f>
        <v>no test</v>
      </c>
      <c r="CF378" s="416" t="str">
        <f>IFERROR(WWWW[[#This Row],['#_Household passed]]/WWWW[[#This Row],['#_Household water samples tested for fecal coliform]],"no test")</f>
        <v>no test</v>
      </c>
      <c r="CG378" s="417" t="str">
        <f>IF(AND(WWWW[[#This Row],[% of water sources passed]]="no test",WWWW[[#This Row],[% Household passed]]="no test"),"No Test","Tested")</f>
        <v>No Test</v>
      </c>
      <c r="CH378" s="417">
        <f>WWWW[[#This Row],['#_Constructed/existing protected hand dug well]]-WWWW[[#This Row],['#_Non-functional protected hand dug well]]</f>
        <v>0</v>
      </c>
      <c r="CI378" s="417">
        <f>(WWWW[[#This Row],['#_Constructed/Existing tube wells/boreholes/handpumps_WASH_agency]]+WWWW[[#This Row],['#_Non-Cluster partner water tube-wells/boreholes/handpumps]])-WWWW[[#This Row],['#_Non-functional tube wells/boreholes/handpumps]]</f>
        <v>0</v>
      </c>
      <c r="CJ378" s="417">
        <f>WWWW[[#This Row],['#_Constructed/Existingwater storage tank with gravity fed reticulation system]]-WWWW[[#This Row],['#_Non-functional storage tank gravity fed reticulation system]]</f>
        <v>8</v>
      </c>
      <c r="CK378" s="417">
        <f>(WWWW[[#This Row],['#_Water_Liters_supplied_by_Water boating or water trucking]]/90)/15</f>
        <v>0</v>
      </c>
      <c r="CL378" s="417">
        <f>WWWW[[#This Row],['#_Water_Liters_from_Constructed/Existing water distribution system from river or natural spring]]/90/15</f>
        <v>0</v>
      </c>
      <c r="CM378" s="417">
        <f>IF(WWWW[[#This Row],['#_of water points in TLS/CFS]]*500&gt;WWWW[[#This Row],[Total PoP ]],WWWW[[#This Row],[Total PoP ]],WWWW[[#This Row],['#_of water points in TLS/CFS]]*500)</f>
        <v>221</v>
      </c>
      <c r="CN378" s="417">
        <f>IF(WWWW[[#This Row],['#_of water points in THF]]*500&gt;WWWW[[#This Row],[Total PoP ]],WWWW[[#This Row],[Total PoP ]],WWWW[[#This Row],['#_of water points in THF]]*500)</f>
        <v>0</v>
      </c>
      <c r="CO378" s="417"/>
      <c r="CP378"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78"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78" s="416">
        <f>IF(WWWW[[#This Row],[Location Type 1]]="Village",WWWW[[#This Row],[Access to safe drinking water for Village]],WWWW[[#This Row],[Access to safe drinking water for Camp]])</f>
        <v>1</v>
      </c>
      <c r="CS378" s="421">
        <f>WWWW[[#This Row],[%Equitable and continuous access to sufficient quantity of safe drinking water]]*WWWW[[#This Row],[Total PoP ]]</f>
        <v>221</v>
      </c>
      <c r="CT378" s="416">
        <f>IF((WWWW[[#This Row],['#_Constructed/Existing protected/fenced ponds]]*250)/WWWW[[#This Row],[Total PoP ]]&gt;1,1,(WWWW[[#This Row],['#_Constructed/Existing protected/fenced ponds]]*250)/WWWW[[#This Row],[Total PoP ]])</f>
        <v>0</v>
      </c>
      <c r="CU378" s="421">
        <f>WWWW[[#This Row],[% Access to unimproved water points]]*WWWW[[#This Row],[Total PoP ]]</f>
        <v>0</v>
      </c>
      <c r="CV378"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78"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221</v>
      </c>
      <c r="CX378" s="421">
        <f>WWWW[[#This Row],[HRP1]]/500</f>
        <v>0.442</v>
      </c>
      <c r="CY378" s="951">
        <f>1-WWWW[[#This Row],[% Equitable and continuous access to sufficient quantity of domestic water]]</f>
        <v>0</v>
      </c>
      <c r="CZ378" s="421">
        <f>WWWW[[#This Row],[%equitable and continuous access to sufficient quantity of safe drinking and domestic water''s GAP]]*WWWW[[#This Row],[Total PoP ]]</f>
        <v>0</v>
      </c>
      <c r="DA378" s="417">
        <f>IF(WWWW[[#This Row],[Total required water points]]-WWWW[[#This Row],['#Water points coverage]]&lt;0,0,WWWW[[#This Row],[Total required water points]]-WWWW[[#This Row],['#Water points coverage]])</f>
        <v>0.55800000000000005</v>
      </c>
      <c r="DB378" s="417">
        <f>ROUND(IF(WWWW[[#This Row],[Total PoP ]]&lt;500,1,WWWW[[#This Row],[Total PoP ]]/500),0)</f>
        <v>1</v>
      </c>
      <c r="DC378" s="417">
        <f>(WWWW[[#This Row],['#_Constructed latrines_by_WASHAgencies]]+WWWW[[#This Row],['#_Non Cluster partner latrines]])-WWWW[[#This Row],['#_Non-functional latrines]]</f>
        <v>37</v>
      </c>
      <c r="DD378" s="615">
        <f>WWWW[[#This Row],[HRP2]]/WWWW[[#This Row],[Total PoP ]]</f>
        <v>1</v>
      </c>
      <c r="DE378"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221</v>
      </c>
      <c r="DF378"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78"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78" s="417">
        <f>IF(WWWW[[#This Row],['# of functional latrines in THF supported by WASH partners during the reporting period2]]="",0,WWWW[[#This Row],['# of functional latrines in THF supported by WASH partners during the reporting period2]]*50)</f>
        <v>0</v>
      </c>
      <c r="DI378" s="417">
        <f>ROUND(IF(WWWW[[#This Row],[Location Type 1]]="camp",WWWW[[#This Row],[Total PoP ]]/20,IF(WWWW[[#This Row],[Location Type 1]]="Temporary Location",WWWW[[#This Row],[Total PoP ]]/50,(WWWW[[#This Row],[Total PoP ]]/6))),0)</f>
        <v>11</v>
      </c>
      <c r="DJ378" s="417">
        <f>IF(WWWW[[#This Row],[Total required Latrines]]-(WWWW[[#This Row],['#_Constructed latrines_by_WASHAgencies]]+WWWW[[#This Row],['#_Non Cluster partner latrines]])&lt;0,0,WWWW[[#This Row],[Total required Latrines]]-(WWWW[[#This Row],['#_Constructed latrines_by_WASHAgencies]]+WWWW[[#This Row],['#_Non Cluster partner latrines]]))</f>
        <v>0</v>
      </c>
      <c r="DK378" s="951">
        <f>1-WWWW[[#This Row],[% people access to functioning Latrine]]</f>
        <v>0</v>
      </c>
      <c r="DL378" s="615">
        <f>IF(OR(WWWW[[#This Row],['#_Non-functional latrines]]="",WWWW[[#This Row],['#_Non-functional latrines]]=0),0,WWWW[[#This Row],['#_Non-functional latrines]]/(WWWW[[#This Row],['#_Constructed latrines_by_WASHAgencies]]+WWWW[[#This Row],['#_Non Cluster partner latrines]]))</f>
        <v>0</v>
      </c>
      <c r="DM378" s="421">
        <f>IF(500*(WWWW[[#This Row],['#_male hygiene promoters]]+WWWW[[#This Row],['#_female hygiene promoters]])&gt;WWWW[[#This Row],[Total PoP ]],WWWW[[#This Row],[Total PoP ]],500*(WWWW[[#This Row],['#_male hygiene promoters]]+WWWW[[#This Row],['#_female hygiene promoters]]))</f>
        <v>221</v>
      </c>
      <c r="DN378"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78"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78" s="417">
        <f>IF(WWWW[[#This Row],['# People with access to soap]]&gt;WWWW[[#This Row],['# People with access to Sanity Pads]],WWWW[[#This Row],['# People with access to soap]],WWWW[[#This Row],['# People with access to Sanity Pads]])</f>
        <v>0</v>
      </c>
      <c r="DQ378" s="417">
        <f>IF(WWWW[[#This Row],['# people reached by regular dedicated hygiene promotion_5]]&gt;WWWW[[#This Row],['# People received regular supply of hygiene items_6]],WWWW[[#This Row],['# people reached by regular dedicated hygiene promotion_5]],WWWW[[#This Row],['# People received regular supply of hygiene items_6]])</f>
        <v>221</v>
      </c>
      <c r="DR378" s="951">
        <f>IF(WWWW[[#This Row],[HRP3]]/WWWW[[#This Row],[Total PoP ]]&gt;1,1,WWWW[[#This Row],[HRP3]]/WWWW[[#This Row],[Total PoP ]])</f>
        <v>1</v>
      </c>
      <c r="DS378" s="615">
        <f>1-WWWW[[#This Row],[Hygiene Coverage%]]</f>
        <v>0</v>
      </c>
      <c r="DT378" s="416">
        <f>WWWW[[#This Row],['# people reached by regular dedicated hygiene promotion_5]]/WWWW[[#This Row],[Total PoP ]]</f>
        <v>1</v>
      </c>
      <c r="DU378"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78"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78" s="417">
        <f>WWWW[[#This Row],['#_Constructed/Existing hand washing stations]]-WWWW[[#This Row],['#_Non-Functional_hand_washing_stations]]</f>
        <v>7</v>
      </c>
      <c r="DX378" s="421">
        <f>IF(WWWW[[#This Row],['# Functional hand washing stations during reporting period]]*20&gt;WWWW[[#This Row],[Total HH]],WWWW[[#This Row],[Total HH]],WWWW[[#This Row],['# Functional hand washing stations during reporting period]]*20)</f>
        <v>45</v>
      </c>
      <c r="DY378" s="421">
        <f>IF(WWWW[[#This Row],[Is sufficient soap available for TLS? (Yes/No)]]="yes",WWWW[[#This Row],['#_Constructed/Existing hand washing stations at TLS/CFS/THF]],0)</f>
        <v>2</v>
      </c>
      <c r="DZ378" s="421">
        <f>IF(WWWW[[#This Row],['# Functional hand washing stations during reporting period]]*100&gt;WWWW[[#This Row],[Total PoP ]],WWWW[[#This Row],[Total PoP ]],WWWW[[#This Row],['# Functional hand washing stations during reporting period]]*100)</f>
        <v>221</v>
      </c>
      <c r="EA378" s="421" t="str">
        <f>IF(OR(WWWW[[#This Row],['#_students at TLS_CFS]]="",WWWW[[#This Row],['#_students at TLS_CFS]]=0),"No","Yes")</f>
        <v>No</v>
      </c>
      <c r="EB37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78" s="566">
        <f>WWWW[[#This Row],[%_of_affected_people_surveyed_who_report_feeling_satistfied_with_the_latrine_design_and_sanitation_service]]*WWWW[[#This Row],[Total PoP ]]</f>
        <v>0</v>
      </c>
      <c r="ED378" s="566">
        <f>WWWW[[#This Row],[%_of_affected_people_surveyed_who_report_feeling_satistfied_with_the_water_point_design_and_water_service]]*WWWW[[#This Row],[Total PoP ]]</f>
        <v>0</v>
      </c>
      <c r="EE378" s="566">
        <f>WWWW[[#This Row],[%_of_complaints_received_that_result_in_timely_corrective_action_and_feedback_to_the_community]]*WWWW[[#This Row],[Total PoP ]]</f>
        <v>0</v>
      </c>
      <c r="EF37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7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221</v>
      </c>
      <c r="EH37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78" s="418" t="str">
        <f>VLOOKUP(WWWW[[#This Row],[Site Name]],SiteDB6[[Site Name]:[CCCM Management]],6,FALSE)</f>
        <v>Yes</v>
      </c>
      <c r="EJ378" s="418" t="str">
        <f>VLOOKUP(WWWW[[#This Row],[Site Name]],SiteDB6[[Site Name]:[CCCM Focal Agency]],7,FALSE)</f>
        <v>KMSS-LSO</v>
      </c>
      <c r="EK378" s="418" t="str">
        <f>VLOOKUP(WWWW[[#This Row],[Site Name]],SiteDB6[[Site Name]:[Location Type 1]],9,FALSE)</f>
        <v>Camp</v>
      </c>
      <c r="EL378" s="418" t="str">
        <f>VLOOKUP(WWWW[[#This Row],[Site Name]],SiteDB6[[Site Name]:[Type of Accommodation]],10,FALSE)</f>
        <v>Camp</v>
      </c>
      <c r="EM378" s="418" t="str">
        <f>VLOOKUP(WWWW[[#This Row],[Site Name]],SiteDB6[[Site Name]:[Ethnic or GCA/NGCA]],11,FALSE)</f>
        <v>GCA</v>
      </c>
      <c r="EN378" s="418">
        <f>VLOOKUP(WWWW[[#This Row],[Site Name]],SiteDB6[[Site Name]:[Lat]],12,FALSE)</f>
        <v>23.59</v>
      </c>
      <c r="EO378" s="418">
        <f>VLOOKUP(WWWW[[#This Row],[Site Name]],SiteDB6[[Site Name]:[Long]],13,FALSE)</f>
        <v>97.805999999999997</v>
      </c>
      <c r="EP378" s="418" t="str">
        <f>VLOOKUP(WWWW[[#This Row],[Site Name]],SiteDB6[[Site Name]:[Pcode]],3,FALSE)</f>
        <v>MMR015CMP067</v>
      </c>
      <c r="EQ378" s="950" t="str">
        <f t="shared" ref="EQ378:EQ407" si="9">IF(C378="none","Notcovered","Covered")</f>
        <v>Covered</v>
      </c>
      <c r="ER378" s="950" t="s">
        <v>3126</v>
      </c>
      <c r="ES378" s="950" t="s">
        <v>3311</v>
      </c>
      <c r="ET378" s="418">
        <f>VLOOKUP(WWWW[[#This Row],[Site Name]],SiteDB6[[Site Name]:[Pop
(Kachin/Shan-CCCM as of May 2023)]],16,FALSE)</f>
        <v>49</v>
      </c>
      <c r="EU378" s="418">
        <f>VLOOKUP(WWWW[[#This Row],[Site Name]],SiteDB6[[Site Name]:[Pop
(Kachin/Shan-CCCM as of May 2023)]],17,FALSE)</f>
        <v>233</v>
      </c>
    </row>
    <row r="379" spans="1:151">
      <c r="A379" s="946" t="s">
        <v>2962</v>
      </c>
      <c r="B379" s="946" t="s">
        <v>192</v>
      </c>
      <c r="C379" s="938" t="s">
        <v>192</v>
      </c>
      <c r="D379" s="938" t="s">
        <v>299</v>
      </c>
      <c r="E379" s="938" t="s">
        <v>515</v>
      </c>
      <c r="F379" s="938" t="s">
        <v>519</v>
      </c>
      <c r="G379" s="902" t="str">
        <f>VLOOKUP(WWWW[[#This Row],[Site Name]],SiteDB6[[Site Name]:[Location Type]],8,FALSE)</f>
        <v>Camp</v>
      </c>
      <c r="H379" s="938" t="s">
        <v>538</v>
      </c>
      <c r="I379" s="441">
        <v>209</v>
      </c>
      <c r="J379" s="441">
        <v>1101</v>
      </c>
      <c r="K379" s="964">
        <v>44511</v>
      </c>
      <c r="L379" s="965">
        <v>45146</v>
      </c>
      <c r="M379" s="441"/>
      <c r="N379" s="441">
        <v>2</v>
      </c>
      <c r="O379" s="441"/>
      <c r="P379" s="441"/>
      <c r="Q379" s="421" t="s">
        <v>41</v>
      </c>
      <c r="R379" s="441">
        <v>5</v>
      </c>
      <c r="S379" s="441">
        <v>4</v>
      </c>
      <c r="T379" s="441">
        <v>2</v>
      </c>
      <c r="U379" s="441"/>
      <c r="V379" s="441"/>
      <c r="W379" s="441">
        <v>1</v>
      </c>
      <c r="X379" s="441"/>
      <c r="Y379" s="441"/>
      <c r="Z379" s="441"/>
      <c r="AA379" s="441">
        <v>48</v>
      </c>
      <c r="AB379" s="441"/>
      <c r="AC379" s="441"/>
      <c r="AD379" s="441"/>
      <c r="AE379" s="441"/>
      <c r="AF379" s="441"/>
      <c r="AG379" s="441"/>
      <c r="AH379" s="441">
        <v>1</v>
      </c>
      <c r="AI379" s="441"/>
      <c r="AJ379" s="441"/>
      <c r="AK379" s="441"/>
      <c r="AL379" s="441"/>
      <c r="AM379" s="441"/>
      <c r="AN379" s="441">
        <v>2</v>
      </c>
      <c r="AO379" s="441"/>
      <c r="AP379" s="950"/>
      <c r="AQ379" s="441">
        <v>200</v>
      </c>
      <c r="AR379" s="441">
        <v>5</v>
      </c>
      <c r="AS379" s="416"/>
      <c r="AT379" s="441"/>
      <c r="AU379" s="441"/>
      <c r="AV379" s="441"/>
      <c r="AW379" s="441"/>
      <c r="AX379" s="441">
        <v>18</v>
      </c>
      <c r="AY379" s="418" t="s">
        <v>136</v>
      </c>
      <c r="AZ379" s="950" t="s">
        <v>136</v>
      </c>
      <c r="BA379" s="441"/>
      <c r="BB379" s="441"/>
      <c r="BC379" s="441"/>
      <c r="BD379" s="441"/>
      <c r="BE379" s="441"/>
      <c r="BF379" s="418"/>
      <c r="BG379" s="441">
        <v>2</v>
      </c>
      <c r="BH379" s="441"/>
      <c r="BI379" s="441"/>
      <c r="BJ379" s="441">
        <v>5</v>
      </c>
      <c r="BK379" s="441"/>
      <c r="BL379" s="441"/>
      <c r="BM379" s="441">
        <v>1</v>
      </c>
      <c r="BN379" s="441"/>
      <c r="BO379" s="441"/>
      <c r="BP379" s="418" t="s">
        <v>41</v>
      </c>
      <c r="BQ379" s="417"/>
      <c r="BR379" s="416"/>
      <c r="BS379" s="418"/>
      <c r="BT379" s="416"/>
      <c r="BU379" s="416"/>
      <c r="BV379" s="418"/>
      <c r="BW379" s="416"/>
      <c r="BX379" s="441"/>
      <c r="BY379" s="441"/>
      <c r="BZ379" s="441"/>
      <c r="CA379" s="441"/>
      <c r="CB379" s="441"/>
      <c r="CC379" s="693"/>
      <c r="CD379" s="441"/>
      <c r="CE379" s="615" t="str">
        <f>IFERROR(WWWW[[#This Row],['#_Water sources passed]]/WWWW[[#This Row],['#_Water sources tested for fecal coliform ]],"no test")</f>
        <v>no test</v>
      </c>
      <c r="CF379" s="416" t="str">
        <f>IFERROR(WWWW[[#This Row],['#_Household passed]]/WWWW[[#This Row],['#_Household water samples tested for fecal coliform]],"no test")</f>
        <v>no test</v>
      </c>
      <c r="CG379" s="417" t="str">
        <f>IF(AND(WWWW[[#This Row],[% of water sources passed]]="no test",WWWW[[#This Row],[% Household passed]]="no test"),"No Test","Tested")</f>
        <v>No Test</v>
      </c>
      <c r="CH379" s="417">
        <f>WWWW[[#This Row],['#_Constructed/existing protected hand dug well]]-WWWW[[#This Row],['#_Non-functional protected hand dug well]]</f>
        <v>2</v>
      </c>
      <c r="CI379" s="417">
        <f>(WWWW[[#This Row],['#_Constructed/Existing tube wells/boreholes/handpumps_WASH_agency]]+WWWW[[#This Row],['#_Non-Cluster partner water tube-wells/boreholes/handpumps]])-WWWW[[#This Row],['#_Non-functional tube wells/boreholes/handpumps]]</f>
        <v>1</v>
      </c>
      <c r="CJ379" s="417">
        <f>WWWW[[#This Row],['#_Constructed/Existingwater storage tank with gravity fed reticulation system]]-WWWW[[#This Row],['#_Non-functional storage tank gravity fed reticulation system]]</f>
        <v>48</v>
      </c>
      <c r="CK379" s="417">
        <f>(WWWW[[#This Row],['#_Water_Liters_supplied_by_Water boating or water trucking]]/90)/15</f>
        <v>0</v>
      </c>
      <c r="CL379" s="417">
        <f>WWWW[[#This Row],['#_Water_Liters_from_Constructed/Existing water distribution system from river or natural spring]]/90/15</f>
        <v>0</v>
      </c>
      <c r="CM379" s="417">
        <f>IF(WWWW[[#This Row],['#_of water points in TLS/CFS]]*500&gt;WWWW[[#This Row],[Total PoP ]],WWWW[[#This Row],[Total PoP ]],WWWW[[#This Row],['#_of water points in TLS/CFS]]*500)</f>
        <v>1000</v>
      </c>
      <c r="CN379" s="417">
        <f>IF(WWWW[[#This Row],['#_of water points in THF]]*500&gt;WWWW[[#This Row],[Total PoP ]],WWWW[[#This Row],[Total PoP ]],WWWW[[#This Row],['#_of water points in THF]]*500)</f>
        <v>0</v>
      </c>
      <c r="CO379" s="417"/>
      <c r="CP379"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79"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79" s="416">
        <f>IF(WWWW[[#This Row],[Location Type 1]]="Village",WWWW[[#This Row],[Access to safe drinking water for Village]],WWWW[[#This Row],[Access to safe drinking water for Camp]])</f>
        <v>1</v>
      </c>
      <c r="CS379" s="421">
        <f>WWWW[[#This Row],[%Equitable and continuous access to sufficient quantity of safe drinking water]]*WWWW[[#This Row],[Total PoP ]]</f>
        <v>1101</v>
      </c>
      <c r="CT379" s="416">
        <f>IF((WWWW[[#This Row],['#_Constructed/Existing protected/fenced ponds]]*250)/WWWW[[#This Row],[Total PoP ]]&gt;1,1,(WWWW[[#This Row],['#_Constructed/Existing protected/fenced ponds]]*250)/WWWW[[#This Row],[Total PoP ]])</f>
        <v>0</v>
      </c>
      <c r="CU379" s="421">
        <f>WWWW[[#This Row],[% Access to unimproved water points]]*WWWW[[#This Row],[Total PoP ]]</f>
        <v>0</v>
      </c>
      <c r="CV379"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79"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1101</v>
      </c>
      <c r="CX379" s="421">
        <f>WWWW[[#This Row],[HRP1]]/500</f>
        <v>2.202</v>
      </c>
      <c r="CY379" s="951">
        <f>1-WWWW[[#This Row],[% Equitable and continuous access to sufficient quantity of domestic water]]</f>
        <v>0</v>
      </c>
      <c r="CZ379" s="421">
        <f>WWWW[[#This Row],[%equitable and continuous access to sufficient quantity of safe drinking and domestic water''s GAP]]*WWWW[[#This Row],[Total PoP ]]</f>
        <v>0</v>
      </c>
      <c r="DA379" s="417">
        <f>IF(WWWW[[#This Row],[Total required water points]]-WWWW[[#This Row],['#Water points coverage]]&lt;0,0,WWWW[[#This Row],[Total required water points]]-WWWW[[#This Row],['#Water points coverage]])</f>
        <v>0</v>
      </c>
      <c r="DB379" s="417">
        <f>ROUND(IF(WWWW[[#This Row],[Total PoP ]]&lt;500,1,WWWW[[#This Row],[Total PoP ]]/500),0)</f>
        <v>2</v>
      </c>
      <c r="DC379" s="417">
        <f>(WWWW[[#This Row],['#_Constructed latrines_by_WASHAgencies]]+WWWW[[#This Row],['#_Non Cluster partner latrines]])-WWWW[[#This Row],['#_Non-functional latrines]]</f>
        <v>205</v>
      </c>
      <c r="DD379" s="615">
        <f>WWWW[[#This Row],[HRP2]]/WWWW[[#This Row],[Total PoP ]]</f>
        <v>1</v>
      </c>
      <c r="DE379"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1101</v>
      </c>
      <c r="DF379"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79"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79" s="417">
        <f>IF(WWWW[[#This Row],['# of functional latrines in THF supported by WASH partners during the reporting period2]]="",0,WWWW[[#This Row],['# of functional latrines in THF supported by WASH partners during the reporting period2]]*50)</f>
        <v>0</v>
      </c>
      <c r="DI379" s="417">
        <f>ROUND(IF(WWWW[[#This Row],[Location Type 1]]="camp",WWWW[[#This Row],[Total PoP ]]/20,IF(WWWW[[#This Row],[Location Type 1]]="Temporary Location",WWWW[[#This Row],[Total PoP ]]/50,(WWWW[[#This Row],[Total PoP ]]/6))),0)</f>
        <v>55</v>
      </c>
      <c r="DJ379" s="417">
        <f>IF(WWWW[[#This Row],[Total required Latrines]]-(WWWW[[#This Row],['#_Constructed latrines_by_WASHAgencies]]+WWWW[[#This Row],['#_Non Cluster partner latrines]])&lt;0,0,WWWW[[#This Row],[Total required Latrines]]-(WWWW[[#This Row],['#_Constructed latrines_by_WASHAgencies]]+WWWW[[#This Row],['#_Non Cluster partner latrines]]))</f>
        <v>0</v>
      </c>
      <c r="DK379" s="951">
        <f>1-WWWW[[#This Row],[% people access to functioning Latrine]]</f>
        <v>0</v>
      </c>
      <c r="DL379" s="615">
        <f>IF(OR(WWWW[[#This Row],['#_Non-functional latrines]]="",WWWW[[#This Row],['#_Non-functional latrines]]=0),0,WWWW[[#This Row],['#_Non-functional latrines]]/(WWWW[[#This Row],['#_Constructed latrines_by_WASHAgencies]]+WWWW[[#This Row],['#_Non Cluster partner latrines]]))</f>
        <v>0</v>
      </c>
      <c r="DM379" s="421">
        <f>IF(500*(WWWW[[#This Row],['#_male hygiene promoters]]+WWWW[[#This Row],['#_female hygiene promoters]])&gt;WWWW[[#This Row],[Total PoP ]],WWWW[[#This Row],[Total PoP ]],500*(WWWW[[#This Row],['#_male hygiene promoters]]+WWWW[[#This Row],['#_female hygiene promoters]]))</f>
        <v>500</v>
      </c>
      <c r="DN379"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79"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79" s="417">
        <f>IF(WWWW[[#This Row],['# People with access to soap]]&gt;WWWW[[#This Row],['# People with access to Sanity Pads]],WWWW[[#This Row],['# People with access to soap]],WWWW[[#This Row],['# People with access to Sanity Pads]])</f>
        <v>0</v>
      </c>
      <c r="DQ379" s="417">
        <f>IF(WWWW[[#This Row],['# people reached by regular dedicated hygiene promotion_5]]&gt;WWWW[[#This Row],['# People received regular supply of hygiene items_6]],WWWW[[#This Row],['# people reached by regular dedicated hygiene promotion_5]],WWWW[[#This Row],['# People received regular supply of hygiene items_6]])</f>
        <v>500</v>
      </c>
      <c r="DR379" s="951">
        <f>IF(WWWW[[#This Row],[HRP3]]/WWWW[[#This Row],[Total PoP ]]&gt;1,1,WWWW[[#This Row],[HRP3]]/WWWW[[#This Row],[Total PoP ]])</f>
        <v>0.45413260672116257</v>
      </c>
      <c r="DS379" s="615">
        <f>1-WWWW[[#This Row],[Hygiene Coverage%]]</f>
        <v>0.54586739327883738</v>
      </c>
      <c r="DT379" s="416">
        <f>WWWW[[#This Row],['# people reached by regular dedicated hygiene promotion_5]]/WWWW[[#This Row],[Total PoP ]]</f>
        <v>0.45413260672116257</v>
      </c>
      <c r="DU379"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79"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79" s="417">
        <f>WWWW[[#This Row],['#_Constructed/Existing hand washing stations]]-WWWW[[#This Row],['#_Non-Functional_hand_washing_stations]]</f>
        <v>2</v>
      </c>
      <c r="DX379" s="421">
        <f>IF(WWWW[[#This Row],['# Functional hand washing stations during reporting period]]*20&gt;WWWW[[#This Row],[Total HH]],WWWW[[#This Row],[Total HH]],WWWW[[#This Row],['# Functional hand washing stations during reporting period]]*20)</f>
        <v>40</v>
      </c>
      <c r="DY379" s="421">
        <f>IF(WWWW[[#This Row],[Is sufficient soap available for TLS? (Yes/No)]]="yes",WWWW[[#This Row],['#_Constructed/Existing hand washing stations at TLS/CFS/THF]],0)</f>
        <v>0</v>
      </c>
      <c r="DZ379" s="421">
        <f>IF(WWWW[[#This Row],['# Functional hand washing stations during reporting period]]*100&gt;WWWW[[#This Row],[Total PoP ]],WWWW[[#This Row],[Total PoP ]],WWWW[[#This Row],['# Functional hand washing stations during reporting period]]*100)</f>
        <v>200</v>
      </c>
      <c r="EA379" s="421" t="str">
        <f>IF(OR(WWWW[[#This Row],['#_students at TLS_CFS]]="",WWWW[[#This Row],['#_students at TLS_CFS]]=0),"No","Yes")</f>
        <v>No</v>
      </c>
      <c r="EB37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79" s="566">
        <f>WWWW[[#This Row],[%_of_affected_people_surveyed_who_report_feeling_satistfied_with_the_latrine_design_and_sanitation_service]]*WWWW[[#This Row],[Total PoP ]]</f>
        <v>0</v>
      </c>
      <c r="ED379" s="566">
        <f>WWWW[[#This Row],[%_of_affected_people_surveyed_who_report_feeling_satistfied_with_the_water_point_design_and_water_service]]*WWWW[[#This Row],[Total PoP ]]</f>
        <v>0</v>
      </c>
      <c r="EE379" s="566">
        <f>WWWW[[#This Row],[%_of_complaints_received_that_result_in_timely_corrective_action_and_feedback_to_the_community]]*WWWW[[#This Row],[Total PoP ]]</f>
        <v>0</v>
      </c>
      <c r="EF37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7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1000</v>
      </c>
      <c r="EH37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79" s="418" t="str">
        <f>VLOOKUP(WWWW[[#This Row],[Site Name]],SiteDB6[[Site Name]:[CCCM Management]],6,FALSE)</f>
        <v>Yes</v>
      </c>
      <c r="EJ379" s="418" t="str">
        <f>VLOOKUP(WWWW[[#This Row],[Site Name]],SiteDB6[[Site Name]:[CCCM Focal Agency]],7,FALSE)</f>
        <v>KBC-NSS</v>
      </c>
      <c r="EK379" s="418" t="str">
        <f>VLOOKUP(WWWW[[#This Row],[Site Name]],SiteDB6[[Site Name]:[Location Type 1]],9,FALSE)</f>
        <v>Camp</v>
      </c>
      <c r="EL379" s="418" t="str">
        <f>VLOOKUP(WWWW[[#This Row],[Site Name]],SiteDB6[[Site Name]:[Type of Accommodation]],10,FALSE)</f>
        <v>Camp like setting</v>
      </c>
      <c r="EM379" s="418" t="str">
        <f>VLOOKUP(WWWW[[#This Row],[Site Name]],SiteDB6[[Site Name]:[Ethnic or GCA/NGCA]],11,FALSE)</f>
        <v>GCA</v>
      </c>
      <c r="EN379" s="418">
        <f>VLOOKUP(WWWW[[#This Row],[Site Name]],SiteDB6[[Site Name]:[Lat]],12,FALSE)</f>
        <v>23.38503</v>
      </c>
      <c r="EO379" s="418">
        <f>VLOOKUP(WWWW[[#This Row],[Site Name]],SiteDB6[[Site Name]:[Long]],13,FALSE)</f>
        <v>97.837040000000002</v>
      </c>
      <c r="EP379" s="418" t="str">
        <f>VLOOKUP(WWWW[[#This Row],[Site Name]],SiteDB6[[Site Name]:[Pcode]],3,FALSE)</f>
        <v>MMR015CMP020</v>
      </c>
      <c r="EQ379" s="950" t="str">
        <f t="shared" si="9"/>
        <v>Covered</v>
      </c>
      <c r="ER379" s="950" t="s">
        <v>3126</v>
      </c>
      <c r="ES379" s="950" t="s">
        <v>3311</v>
      </c>
      <c r="ET379" s="418">
        <f>VLOOKUP(WWWW[[#This Row],[Site Name]],SiteDB6[[Site Name]:[Pop
(Kachin/Shan-CCCM as of May 2023)]],16,FALSE)</f>
        <v>209</v>
      </c>
      <c r="EU379" s="418">
        <f>VLOOKUP(WWWW[[#This Row],[Site Name]],SiteDB6[[Site Name]:[Pop
(Kachin/Shan-CCCM as of May 2023)]],17,FALSE)</f>
        <v>1084</v>
      </c>
    </row>
    <row r="380" spans="1:151" s="974" customFormat="1">
      <c r="A380" s="946" t="s">
        <v>2962</v>
      </c>
      <c r="B380" s="946" t="s">
        <v>309</v>
      </c>
      <c r="C380" s="938" t="s">
        <v>309</v>
      </c>
      <c r="D380" s="938"/>
      <c r="E380" s="938" t="s">
        <v>515</v>
      </c>
      <c r="F380" s="938" t="s">
        <v>955</v>
      </c>
      <c r="G380" s="902" t="str">
        <f>VLOOKUP(WWWW[[#This Row],[Site Name]],SiteDB6[[Site Name]:[Location Type]],8,FALSE)</f>
        <v>Camp</v>
      </c>
      <c r="H380" s="938" t="s">
        <v>2646</v>
      </c>
      <c r="I380" s="441">
        <v>142</v>
      </c>
      <c r="J380" s="441">
        <v>504</v>
      </c>
      <c r="K380" s="948"/>
      <c r="L380" s="949"/>
      <c r="M380" s="441"/>
      <c r="N380" s="441"/>
      <c r="O380" s="441"/>
      <c r="P380" s="441"/>
      <c r="Q380" s="421"/>
      <c r="R380" s="441"/>
      <c r="S380" s="441"/>
      <c r="T380" s="441"/>
      <c r="U380" s="441"/>
      <c r="V380" s="441"/>
      <c r="W380" s="441"/>
      <c r="X380" s="441"/>
      <c r="Y380" s="441"/>
      <c r="Z380" s="441"/>
      <c r="AA380" s="441"/>
      <c r="AB380" s="441"/>
      <c r="AC380" s="441"/>
      <c r="AD380" s="441"/>
      <c r="AE380" s="441"/>
      <c r="AF380" s="441"/>
      <c r="AG380" s="441"/>
      <c r="AH380" s="441"/>
      <c r="AI380" s="441"/>
      <c r="AJ380" s="441"/>
      <c r="AK380" s="441"/>
      <c r="AL380" s="441"/>
      <c r="AM380" s="441"/>
      <c r="AN380" s="441"/>
      <c r="AO380" s="441"/>
      <c r="AP380" s="950"/>
      <c r="AQ380" s="441"/>
      <c r="AR380" s="441"/>
      <c r="AS380" s="416"/>
      <c r="AT380" s="441"/>
      <c r="AU380" s="441"/>
      <c r="AV380" s="441"/>
      <c r="AW380" s="441"/>
      <c r="AX380" s="441"/>
      <c r="AY380" s="418" t="s">
        <v>140</v>
      </c>
      <c r="AZ380" s="950" t="s">
        <v>140</v>
      </c>
      <c r="BA380" s="441"/>
      <c r="BB380" s="441"/>
      <c r="BC380" s="441"/>
      <c r="BD380" s="441"/>
      <c r="BE380" s="441"/>
      <c r="BF380" s="418"/>
      <c r="BG380" s="441"/>
      <c r="BH380" s="441"/>
      <c r="BI380" s="441"/>
      <c r="BJ380" s="441"/>
      <c r="BK380" s="441"/>
      <c r="BL380" s="441"/>
      <c r="BM380" s="441"/>
      <c r="BN380" s="441"/>
      <c r="BO380" s="441"/>
      <c r="BP380" s="418"/>
      <c r="BQ380" s="417"/>
      <c r="BR380" s="416"/>
      <c r="BS380" s="418"/>
      <c r="BT380" s="416"/>
      <c r="BU380" s="416"/>
      <c r="BV380" s="418"/>
      <c r="BW380" s="416"/>
      <c r="BX380" s="441"/>
      <c r="BY380" s="441"/>
      <c r="BZ380" s="441"/>
      <c r="CA380" s="441"/>
      <c r="CB380" s="441"/>
      <c r="CC380" s="693"/>
      <c r="CD380" s="441"/>
      <c r="CE380" s="615" t="str">
        <f>IFERROR(WWWW[[#This Row],['#_Water sources passed]]/WWWW[[#This Row],['#_Water sources tested for fecal coliform ]],"no test")</f>
        <v>no test</v>
      </c>
      <c r="CF380" s="416" t="str">
        <f>IFERROR(WWWW[[#This Row],['#_Household passed]]/WWWW[[#This Row],['#_Household water samples tested for fecal coliform]],"no test")</f>
        <v>no test</v>
      </c>
      <c r="CG380" s="417" t="str">
        <f>IF(AND(WWWW[[#This Row],[% of water sources passed]]="no test",WWWW[[#This Row],[% Household passed]]="no test"),"No Test","Tested")</f>
        <v>No Test</v>
      </c>
      <c r="CH380" s="417">
        <f>WWWW[[#This Row],['#_Constructed/existing protected hand dug well]]-WWWW[[#This Row],['#_Non-functional protected hand dug well]]</f>
        <v>0</v>
      </c>
      <c r="CI380" s="417">
        <f>(WWWW[[#This Row],['#_Constructed/Existing tube wells/boreholes/handpumps_WASH_agency]]+WWWW[[#This Row],['#_Non-Cluster partner water tube-wells/boreholes/handpumps]])-WWWW[[#This Row],['#_Non-functional tube wells/boreholes/handpumps]]</f>
        <v>0</v>
      </c>
      <c r="CJ380" s="417">
        <f>WWWW[[#This Row],['#_Constructed/Existingwater storage tank with gravity fed reticulation system]]-WWWW[[#This Row],['#_Non-functional storage tank gravity fed reticulation system]]</f>
        <v>0</v>
      </c>
      <c r="CK380" s="417">
        <f>(WWWW[[#This Row],['#_Water_Liters_supplied_by_Water boating or water trucking]]/90)/15</f>
        <v>0</v>
      </c>
      <c r="CL380" s="417">
        <f>WWWW[[#This Row],['#_Water_Liters_from_Constructed/Existing water distribution system from river or natural spring]]/90/15</f>
        <v>0</v>
      </c>
      <c r="CM380" s="417">
        <f>IF(WWWW[[#This Row],['#_of water points in TLS/CFS]]*500&gt;WWWW[[#This Row],[Total PoP ]],WWWW[[#This Row],[Total PoP ]],WWWW[[#This Row],['#_of water points in TLS/CFS]]*500)</f>
        <v>0</v>
      </c>
      <c r="CN380" s="417">
        <f>IF(WWWW[[#This Row],['#_of water points in THF]]*500&gt;WWWW[[#This Row],[Total PoP ]],WWWW[[#This Row],[Total PoP ]],WWWW[[#This Row],['#_of water points in THF]]*500)</f>
        <v>0</v>
      </c>
      <c r="CO380" s="417"/>
      <c r="CP380"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80"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80" s="416">
        <f>IF(WWWW[[#This Row],[Location Type 1]]="Village",WWWW[[#This Row],[Access to safe drinking water for Village]],WWWW[[#This Row],[Access to safe drinking water for Camp]])</f>
        <v>0</v>
      </c>
      <c r="CS380" s="421">
        <f>WWWW[[#This Row],[%Equitable and continuous access to sufficient quantity of safe drinking water]]*WWWW[[#This Row],[Total PoP ]]</f>
        <v>0</v>
      </c>
      <c r="CT380" s="416">
        <f>IF((WWWW[[#This Row],['#_Constructed/Existing protected/fenced ponds]]*250)/WWWW[[#This Row],[Total PoP ]]&gt;1,1,(WWWW[[#This Row],['#_Constructed/Existing protected/fenced ponds]]*250)/WWWW[[#This Row],[Total PoP ]])</f>
        <v>0</v>
      </c>
      <c r="CU380" s="421">
        <f>WWWW[[#This Row],[% Access to unimproved water points]]*WWWW[[#This Row],[Total PoP ]]</f>
        <v>0</v>
      </c>
      <c r="CV380"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80"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80" s="421">
        <f>WWWW[[#This Row],[HRP1]]/500</f>
        <v>0</v>
      </c>
      <c r="CY380" s="951">
        <f>1-WWWW[[#This Row],[% Equitable and continuous access to sufficient quantity of domestic water]]</f>
        <v>1</v>
      </c>
      <c r="CZ380" s="421">
        <f>WWWW[[#This Row],[%equitable and continuous access to sufficient quantity of safe drinking and domestic water''s GAP]]*WWWW[[#This Row],[Total PoP ]]</f>
        <v>504</v>
      </c>
      <c r="DA380" s="417">
        <f>IF(WWWW[[#This Row],[Total required water points]]-WWWW[[#This Row],['#Water points coverage]]&lt;0,0,WWWW[[#This Row],[Total required water points]]-WWWW[[#This Row],['#Water points coverage]])</f>
        <v>1</v>
      </c>
      <c r="DB380" s="417">
        <f>ROUND(IF(WWWW[[#This Row],[Total PoP ]]&lt;500,1,WWWW[[#This Row],[Total PoP ]]/500),0)</f>
        <v>1</v>
      </c>
      <c r="DC380" s="417">
        <f>(WWWW[[#This Row],['#_Constructed latrines_by_WASHAgencies]]+WWWW[[#This Row],['#_Non Cluster partner latrines]])-WWWW[[#This Row],['#_Non-functional latrines]]</f>
        <v>0</v>
      </c>
      <c r="DD380" s="615">
        <f>WWWW[[#This Row],[HRP2]]/WWWW[[#This Row],[Total PoP ]]</f>
        <v>0</v>
      </c>
      <c r="DE380"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80"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80"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80" s="417">
        <f>IF(WWWW[[#This Row],['# of functional latrines in THF supported by WASH partners during the reporting period2]]="",0,WWWW[[#This Row],['# of functional latrines in THF supported by WASH partners during the reporting period2]]*50)</f>
        <v>0</v>
      </c>
      <c r="DI380" s="417">
        <f>ROUND(IF(WWWW[[#This Row],[Location Type 1]]="camp",WWWW[[#This Row],[Total PoP ]]/20,IF(WWWW[[#This Row],[Location Type 1]]="Temporary Location",WWWW[[#This Row],[Total PoP ]]/50,(WWWW[[#This Row],[Total PoP ]]/6))),0)</f>
        <v>25</v>
      </c>
      <c r="DJ380" s="417">
        <f>IF(WWWW[[#This Row],[Total required Latrines]]-(WWWW[[#This Row],['#_Constructed latrines_by_WASHAgencies]]+WWWW[[#This Row],['#_Non Cluster partner latrines]])&lt;0,0,WWWW[[#This Row],[Total required Latrines]]-(WWWW[[#This Row],['#_Constructed latrines_by_WASHAgencies]]+WWWW[[#This Row],['#_Non Cluster partner latrines]]))</f>
        <v>25</v>
      </c>
      <c r="DK380" s="951">
        <f>1-WWWW[[#This Row],[% people access to functioning Latrine]]</f>
        <v>1</v>
      </c>
      <c r="DL380" s="615">
        <f>IF(OR(WWWW[[#This Row],['#_Non-functional latrines]]="",WWWW[[#This Row],['#_Non-functional latrines]]=0),0,WWWW[[#This Row],['#_Non-functional latrines]]/(WWWW[[#This Row],['#_Constructed latrines_by_WASHAgencies]]+WWWW[[#This Row],['#_Non Cluster partner latrines]]))</f>
        <v>0</v>
      </c>
      <c r="DM380" s="421">
        <f>IF(500*(WWWW[[#This Row],['#_male hygiene promoters]]+WWWW[[#This Row],['#_female hygiene promoters]])&gt;WWWW[[#This Row],[Total PoP ]],WWWW[[#This Row],[Total PoP ]],500*(WWWW[[#This Row],['#_male hygiene promoters]]+WWWW[[#This Row],['#_female hygiene promoters]]))</f>
        <v>0</v>
      </c>
      <c r="DN380"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80"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80" s="417">
        <f>IF(WWWW[[#This Row],['# People with access to soap]]&gt;WWWW[[#This Row],['# People with access to Sanity Pads]],WWWW[[#This Row],['# People with access to soap]],WWWW[[#This Row],['# People with access to Sanity Pads]])</f>
        <v>0</v>
      </c>
      <c r="DQ380"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80" s="951">
        <f>IF(WWWW[[#This Row],[HRP3]]/WWWW[[#This Row],[Total PoP ]]&gt;1,1,WWWW[[#This Row],[HRP3]]/WWWW[[#This Row],[Total PoP ]])</f>
        <v>0</v>
      </c>
      <c r="DS380" s="615">
        <f>1-WWWW[[#This Row],[Hygiene Coverage%]]</f>
        <v>1</v>
      </c>
      <c r="DT380" s="416">
        <f>WWWW[[#This Row],['# people reached by regular dedicated hygiene promotion_5]]/WWWW[[#This Row],[Total PoP ]]</f>
        <v>0</v>
      </c>
      <c r="DU380"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80"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80" s="417">
        <f>WWWW[[#This Row],['#_Constructed/Existing hand washing stations]]-WWWW[[#This Row],['#_Non-Functional_hand_washing_stations]]</f>
        <v>0</v>
      </c>
      <c r="DX380" s="421">
        <f>IF(WWWW[[#This Row],['# Functional hand washing stations during reporting period]]*20&gt;WWWW[[#This Row],[Total HH]],WWWW[[#This Row],[Total HH]],WWWW[[#This Row],['# Functional hand washing stations during reporting period]]*20)</f>
        <v>0</v>
      </c>
      <c r="DY380" s="421">
        <f>IF(WWWW[[#This Row],[Is sufficient soap available for TLS? (Yes/No)]]="yes",WWWW[[#This Row],['#_Constructed/Existing hand washing stations at TLS/CFS/THF]],0)</f>
        <v>0</v>
      </c>
      <c r="DZ380" s="421">
        <f>IF(WWWW[[#This Row],['# Functional hand washing stations during reporting period]]*100&gt;WWWW[[#This Row],[Total PoP ]],WWWW[[#This Row],[Total PoP ]],WWWW[[#This Row],['# Functional hand washing stations during reporting period]]*100)</f>
        <v>0</v>
      </c>
      <c r="EA380" s="421" t="str">
        <f>IF(OR(WWWW[[#This Row],['#_students at TLS_CFS]]="",WWWW[[#This Row],['#_students at TLS_CFS]]=0),"No","Yes")</f>
        <v>No</v>
      </c>
      <c r="EB38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80" s="566">
        <f>WWWW[[#This Row],[%_of_affected_people_surveyed_who_report_feeling_satistfied_with_the_latrine_design_and_sanitation_service]]*WWWW[[#This Row],[Total PoP ]]</f>
        <v>0</v>
      </c>
      <c r="ED380" s="566">
        <f>WWWW[[#This Row],[%_of_affected_people_surveyed_who_report_feeling_satistfied_with_the_water_point_design_and_water_service]]*WWWW[[#This Row],[Total PoP ]]</f>
        <v>0</v>
      </c>
      <c r="EE380" s="566">
        <f>WWWW[[#This Row],[%_of_complaints_received_that_result_in_timely_corrective_action_and_feedback_to_the_community]]*WWWW[[#This Row],[Total PoP ]]</f>
        <v>0</v>
      </c>
      <c r="EF38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8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8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80" s="418">
        <f>VLOOKUP(WWWW[[#This Row],[Site Name]],SiteDB6[[Site Name]:[CCCM Management]],6,FALSE)</f>
        <v>0</v>
      </c>
      <c r="EJ380" s="418" t="str">
        <f>VLOOKUP(WWWW[[#This Row],[Site Name]],SiteDB6[[Site Name]:[CCCM Focal Agency]],7,FALSE)</f>
        <v>uncovered</v>
      </c>
      <c r="EK380" s="418" t="str">
        <f>VLOOKUP(WWWW[[#This Row],[Site Name]],SiteDB6[[Site Name]:[Location Type 1]],9,FALSE)</f>
        <v>Camp</v>
      </c>
      <c r="EL380" s="418" t="str">
        <f>VLOOKUP(WWWW[[#This Row],[Site Name]],SiteDB6[[Site Name]:[Type of Accommodation]],10,FALSE)</f>
        <v>IDPs in host</v>
      </c>
      <c r="EM380" s="418" t="str">
        <f>VLOOKUP(WWWW[[#This Row],[Site Name]],SiteDB6[[Site Name]:[Ethnic or GCA/NGCA]],11,FALSE)</f>
        <v>GCA</v>
      </c>
      <c r="EN380" s="418">
        <f>VLOOKUP(WWWW[[#This Row],[Site Name]],SiteDB6[[Site Name]:[Lat]],12,FALSE)</f>
        <v>22.325900000000001</v>
      </c>
      <c r="EO380" s="418">
        <f>VLOOKUP(WWWW[[#This Row],[Site Name]],SiteDB6[[Site Name]:[Long]],13,FALSE)</f>
        <v>97.021000000000001</v>
      </c>
      <c r="EP380" s="418" t="str">
        <f>VLOOKUP(WWWW[[#This Row],[Site Name]],SiteDB6[[Site Name]:[Pcode]],3,FALSE)</f>
        <v>MMR015CMP075</v>
      </c>
      <c r="EQ380" s="950" t="str">
        <f t="shared" si="9"/>
        <v>Notcovered</v>
      </c>
      <c r="ER380" s="950"/>
      <c r="ES380" s="950"/>
      <c r="ET380" s="418">
        <f>VLOOKUP(WWWW[[#This Row],[Site Name]],SiteDB6[[Site Name]:[Pop
(Kachin/Shan-CCCM as of May 2023)]],16,FALSE)</f>
        <v>941</v>
      </c>
      <c r="EU380" s="418">
        <f>VLOOKUP(WWWW[[#This Row],[Site Name]],SiteDB6[[Site Name]:[Pop
(Kachin/Shan-CCCM as of May 2023)]],17,FALSE)</f>
        <v>3558</v>
      </c>
    </row>
    <row r="381" spans="1:151">
      <c r="A381" s="946" t="s">
        <v>2962</v>
      </c>
      <c r="B381" s="946" t="s">
        <v>309</v>
      </c>
      <c r="C381" s="946" t="s">
        <v>309</v>
      </c>
      <c r="D381" s="938"/>
      <c r="E381" s="938" t="s">
        <v>515</v>
      </c>
      <c r="F381" s="938" t="s">
        <v>955</v>
      </c>
      <c r="G381" s="902" t="str">
        <f>VLOOKUP(WWWW[[#This Row],[Site Name]],SiteDB6[[Site Name]:[Location Type]],8,FALSE)</f>
        <v>Camp</v>
      </c>
      <c r="H381" s="938" t="s">
        <v>2842</v>
      </c>
      <c r="I381" s="441">
        <v>11</v>
      </c>
      <c r="J381" s="441">
        <v>40</v>
      </c>
      <c r="K381" s="948"/>
      <c r="L381" s="949"/>
      <c r="M381" s="441"/>
      <c r="N381" s="441"/>
      <c r="O381" s="441"/>
      <c r="P381" s="441"/>
      <c r="Q381" s="421"/>
      <c r="R381" s="441"/>
      <c r="S381" s="441"/>
      <c r="T381" s="441"/>
      <c r="U381" s="441"/>
      <c r="V381" s="441"/>
      <c r="W381" s="441"/>
      <c r="X381" s="441"/>
      <c r="Y381" s="441"/>
      <c r="Z381" s="441"/>
      <c r="AA381" s="441"/>
      <c r="AB381" s="441"/>
      <c r="AC381" s="441"/>
      <c r="AD381" s="441"/>
      <c r="AE381" s="441"/>
      <c r="AF381" s="441"/>
      <c r="AG381" s="441"/>
      <c r="AH381" s="441"/>
      <c r="AI381" s="441"/>
      <c r="AJ381" s="441"/>
      <c r="AK381" s="441"/>
      <c r="AL381" s="441"/>
      <c r="AM381" s="441"/>
      <c r="AN381" s="441"/>
      <c r="AO381" s="441"/>
      <c r="AP381" s="950"/>
      <c r="AQ381" s="441"/>
      <c r="AR381" s="441">
        <v>3</v>
      </c>
      <c r="AS381" s="416"/>
      <c r="AT381" s="441"/>
      <c r="AU381" s="441"/>
      <c r="AV381" s="441"/>
      <c r="AW381" s="441"/>
      <c r="AX381" s="441"/>
      <c r="AY381" s="418" t="s">
        <v>140</v>
      </c>
      <c r="AZ381" s="950" t="s">
        <v>140</v>
      </c>
      <c r="BA381" s="441"/>
      <c r="BB381" s="441"/>
      <c r="BC381" s="441"/>
      <c r="BD381" s="441"/>
      <c r="BE381" s="441"/>
      <c r="BF381" s="418"/>
      <c r="BG381" s="441"/>
      <c r="BH381" s="441"/>
      <c r="BI381" s="441"/>
      <c r="BJ381" s="441"/>
      <c r="BK381" s="441"/>
      <c r="BL381" s="441"/>
      <c r="BM381" s="441"/>
      <c r="BN381" s="441"/>
      <c r="BO381" s="441"/>
      <c r="BP381" s="418" t="s">
        <v>41</v>
      </c>
      <c r="BQ381" s="417"/>
      <c r="BR381" s="416"/>
      <c r="BS381" s="418"/>
      <c r="BT381" s="416"/>
      <c r="BU381" s="416"/>
      <c r="BV381" s="418"/>
      <c r="BW381" s="416"/>
      <c r="BX381" s="441"/>
      <c r="BY381" s="441"/>
      <c r="BZ381" s="441"/>
      <c r="CA381" s="441"/>
      <c r="CB381" s="441"/>
      <c r="CC381" s="693"/>
      <c r="CD381" s="441"/>
      <c r="CE381" s="615" t="str">
        <f>IFERROR(WWWW[[#This Row],['#_Water sources passed]]/WWWW[[#This Row],['#_Water sources tested for fecal coliform ]],"no test")</f>
        <v>no test</v>
      </c>
      <c r="CF381" s="416" t="str">
        <f>IFERROR(WWWW[[#This Row],['#_Household passed]]/WWWW[[#This Row],['#_Household water samples tested for fecal coliform]],"no test")</f>
        <v>no test</v>
      </c>
      <c r="CG381" s="417" t="str">
        <f>IF(AND(WWWW[[#This Row],[% of water sources passed]]="no test",WWWW[[#This Row],[% Household passed]]="no test"),"No Test","Tested")</f>
        <v>No Test</v>
      </c>
      <c r="CH381" s="417">
        <f>WWWW[[#This Row],['#_Constructed/existing protected hand dug well]]-WWWW[[#This Row],['#_Non-functional protected hand dug well]]</f>
        <v>0</v>
      </c>
      <c r="CI381" s="417">
        <f>(WWWW[[#This Row],['#_Constructed/Existing tube wells/boreholes/handpumps_WASH_agency]]+WWWW[[#This Row],['#_Non-Cluster partner water tube-wells/boreholes/handpumps]])-WWWW[[#This Row],['#_Non-functional tube wells/boreholes/handpumps]]</f>
        <v>0</v>
      </c>
      <c r="CJ381" s="417">
        <f>WWWW[[#This Row],['#_Constructed/Existingwater storage tank with gravity fed reticulation system]]-WWWW[[#This Row],['#_Non-functional storage tank gravity fed reticulation system]]</f>
        <v>0</v>
      </c>
      <c r="CK381" s="417">
        <f>(WWWW[[#This Row],['#_Water_Liters_supplied_by_Water boating or water trucking]]/90)/15</f>
        <v>0</v>
      </c>
      <c r="CL381" s="417">
        <f>WWWW[[#This Row],['#_Water_Liters_from_Constructed/Existing water distribution system from river or natural spring]]/90/15</f>
        <v>0</v>
      </c>
      <c r="CM381" s="417">
        <f>IF(WWWW[[#This Row],['#_of water points in TLS/CFS]]*500&gt;WWWW[[#This Row],[Total PoP ]],WWWW[[#This Row],[Total PoP ]],WWWW[[#This Row],['#_of water points in TLS/CFS]]*500)</f>
        <v>0</v>
      </c>
      <c r="CN381" s="417">
        <f>IF(WWWW[[#This Row],['#_of water points in THF]]*500&gt;WWWW[[#This Row],[Total PoP ]],WWWW[[#This Row],[Total PoP ]],WWWW[[#This Row],['#_of water points in THF]]*500)</f>
        <v>0</v>
      </c>
      <c r="CO381" s="417"/>
      <c r="CP381"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81"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81" s="416">
        <f>IF(WWWW[[#This Row],[Location Type 1]]="Village",WWWW[[#This Row],[Access to safe drinking water for Village]],WWWW[[#This Row],[Access to safe drinking water for Camp]])</f>
        <v>0</v>
      </c>
      <c r="CS381" s="421">
        <f>WWWW[[#This Row],[%Equitable and continuous access to sufficient quantity of safe drinking water]]*WWWW[[#This Row],[Total PoP ]]</f>
        <v>0</v>
      </c>
      <c r="CT381" s="416">
        <f>IF((WWWW[[#This Row],['#_Constructed/Existing protected/fenced ponds]]*250)/WWWW[[#This Row],[Total PoP ]]&gt;1,1,(WWWW[[#This Row],['#_Constructed/Existing protected/fenced ponds]]*250)/WWWW[[#This Row],[Total PoP ]])</f>
        <v>0</v>
      </c>
      <c r="CU381" s="421">
        <f>WWWW[[#This Row],[% Access to unimproved water points]]*WWWW[[#This Row],[Total PoP ]]</f>
        <v>0</v>
      </c>
      <c r="CV381"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81"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81" s="421">
        <f>WWWW[[#This Row],[HRP1]]/500</f>
        <v>0</v>
      </c>
      <c r="CY381" s="951">
        <f>1-WWWW[[#This Row],[% Equitable and continuous access to sufficient quantity of domestic water]]</f>
        <v>1</v>
      </c>
      <c r="CZ381" s="421">
        <f>WWWW[[#This Row],[%equitable and continuous access to sufficient quantity of safe drinking and domestic water''s GAP]]*WWWW[[#This Row],[Total PoP ]]</f>
        <v>40</v>
      </c>
      <c r="DA381" s="417">
        <f>IF(WWWW[[#This Row],[Total required water points]]-WWWW[[#This Row],['#Water points coverage]]&lt;0,0,WWWW[[#This Row],[Total required water points]]-WWWW[[#This Row],['#Water points coverage]])</f>
        <v>1</v>
      </c>
      <c r="DB381" s="417">
        <f>ROUND(IF(WWWW[[#This Row],[Total PoP ]]&lt;500,1,WWWW[[#This Row],[Total PoP ]]/500),0)</f>
        <v>1</v>
      </c>
      <c r="DC381" s="417">
        <f>(WWWW[[#This Row],['#_Constructed latrines_by_WASHAgencies]]+WWWW[[#This Row],['#_Non Cluster partner latrines]])-WWWW[[#This Row],['#_Non-functional latrines]]</f>
        <v>3</v>
      </c>
      <c r="DD381" s="615">
        <f>WWWW[[#This Row],[HRP2]]/WWWW[[#This Row],[Total PoP ]]</f>
        <v>1</v>
      </c>
      <c r="DE381"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40</v>
      </c>
      <c r="DF381"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81"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81" s="417">
        <f>IF(WWWW[[#This Row],['# of functional latrines in THF supported by WASH partners during the reporting period2]]="",0,WWWW[[#This Row],['# of functional latrines in THF supported by WASH partners during the reporting period2]]*50)</f>
        <v>0</v>
      </c>
      <c r="DI381" s="417">
        <f>ROUND(IF(WWWW[[#This Row],[Location Type 1]]="camp",WWWW[[#This Row],[Total PoP ]]/20,IF(WWWW[[#This Row],[Location Type 1]]="Temporary Location",WWWW[[#This Row],[Total PoP ]]/50,(WWWW[[#This Row],[Total PoP ]]/6))),0)</f>
        <v>2</v>
      </c>
      <c r="DJ381" s="417">
        <f>IF(WWWW[[#This Row],[Total required Latrines]]-(WWWW[[#This Row],['#_Constructed latrines_by_WASHAgencies]]+WWWW[[#This Row],['#_Non Cluster partner latrines]])&lt;0,0,WWWW[[#This Row],[Total required Latrines]]-(WWWW[[#This Row],['#_Constructed latrines_by_WASHAgencies]]+WWWW[[#This Row],['#_Non Cluster partner latrines]]))</f>
        <v>0</v>
      </c>
      <c r="DK381" s="951">
        <f>1-WWWW[[#This Row],[% people access to functioning Latrine]]</f>
        <v>0</v>
      </c>
      <c r="DL381" s="615">
        <f>IF(OR(WWWW[[#This Row],['#_Non-functional latrines]]="",WWWW[[#This Row],['#_Non-functional latrines]]=0),0,WWWW[[#This Row],['#_Non-functional latrines]]/(WWWW[[#This Row],['#_Constructed latrines_by_WASHAgencies]]+WWWW[[#This Row],['#_Non Cluster partner latrines]]))</f>
        <v>0</v>
      </c>
      <c r="DM381" s="421">
        <f>IF(500*(WWWW[[#This Row],['#_male hygiene promoters]]+WWWW[[#This Row],['#_female hygiene promoters]])&gt;WWWW[[#This Row],[Total PoP ]],WWWW[[#This Row],[Total PoP ]],500*(WWWW[[#This Row],['#_male hygiene promoters]]+WWWW[[#This Row],['#_female hygiene promoters]]))</f>
        <v>0</v>
      </c>
      <c r="DN381"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81"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81" s="417">
        <f>IF(WWWW[[#This Row],['# People with access to soap]]&gt;WWWW[[#This Row],['# People with access to Sanity Pads]],WWWW[[#This Row],['# People with access to soap]],WWWW[[#This Row],['# People with access to Sanity Pads]])</f>
        <v>0</v>
      </c>
      <c r="DQ381"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81" s="951">
        <f>IF(WWWW[[#This Row],[HRP3]]/WWWW[[#This Row],[Total PoP ]]&gt;1,1,WWWW[[#This Row],[HRP3]]/WWWW[[#This Row],[Total PoP ]])</f>
        <v>0</v>
      </c>
      <c r="DS381" s="615">
        <f>1-WWWW[[#This Row],[Hygiene Coverage%]]</f>
        <v>1</v>
      </c>
      <c r="DT381" s="416">
        <f>WWWW[[#This Row],['# people reached by regular dedicated hygiene promotion_5]]/WWWW[[#This Row],[Total PoP ]]</f>
        <v>0</v>
      </c>
      <c r="DU381"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81"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81" s="417">
        <f>WWWW[[#This Row],['#_Constructed/Existing hand washing stations]]-WWWW[[#This Row],['#_Non-Functional_hand_washing_stations]]</f>
        <v>0</v>
      </c>
      <c r="DX381" s="421">
        <f>IF(WWWW[[#This Row],['# Functional hand washing stations during reporting period]]*20&gt;WWWW[[#This Row],[Total HH]],WWWW[[#This Row],[Total HH]],WWWW[[#This Row],['# Functional hand washing stations during reporting period]]*20)</f>
        <v>0</v>
      </c>
      <c r="DY381" s="421">
        <f>IF(WWWW[[#This Row],[Is sufficient soap available for TLS? (Yes/No)]]="yes",WWWW[[#This Row],['#_Constructed/Existing hand washing stations at TLS/CFS/THF]],0)</f>
        <v>0</v>
      </c>
      <c r="DZ381" s="421">
        <f>IF(WWWW[[#This Row],['# Functional hand washing stations during reporting period]]*100&gt;WWWW[[#This Row],[Total PoP ]],WWWW[[#This Row],[Total PoP ]],WWWW[[#This Row],['# Functional hand washing stations during reporting period]]*100)</f>
        <v>0</v>
      </c>
      <c r="EA381" s="421" t="str">
        <f>IF(OR(WWWW[[#This Row],['#_students at TLS_CFS]]="",WWWW[[#This Row],['#_students at TLS_CFS]]=0),"No","Yes")</f>
        <v>No</v>
      </c>
      <c r="EB38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81" s="566">
        <f>WWWW[[#This Row],[%_of_affected_people_surveyed_who_report_feeling_satistfied_with_the_latrine_design_and_sanitation_service]]*WWWW[[#This Row],[Total PoP ]]</f>
        <v>0</v>
      </c>
      <c r="ED381" s="566">
        <f>WWWW[[#This Row],[%_of_affected_people_surveyed_who_report_feeling_satistfied_with_the_water_point_design_and_water_service]]*WWWW[[#This Row],[Total PoP ]]</f>
        <v>0</v>
      </c>
      <c r="EE381" s="566">
        <f>WWWW[[#This Row],[%_of_complaints_received_that_result_in_timely_corrective_action_and_feedback_to_the_community]]*WWWW[[#This Row],[Total PoP ]]</f>
        <v>0</v>
      </c>
      <c r="EF38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8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8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81" s="418">
        <f>VLOOKUP(WWWW[[#This Row],[Site Name]],SiteDB6[[Site Name]:[CCCM Management]],6,FALSE)</f>
        <v>0</v>
      </c>
      <c r="EJ381" s="418">
        <f>VLOOKUP(WWWW[[#This Row],[Site Name]],SiteDB6[[Site Name]:[CCCM Focal Agency]],7,FALSE)</f>
        <v>0</v>
      </c>
      <c r="EK381" s="418" t="str">
        <f>VLOOKUP(WWWW[[#This Row],[Site Name]],SiteDB6[[Site Name]:[Location Type 1]],9,FALSE)</f>
        <v>Camp</v>
      </c>
      <c r="EL381" s="418" t="str">
        <f>VLOOKUP(WWWW[[#This Row],[Site Name]],SiteDB6[[Site Name]:[Type of Accommodation]],10,FALSE)</f>
        <v>Camp like setting</v>
      </c>
      <c r="EM381" s="418" t="str">
        <f>VLOOKUP(WWWW[[#This Row],[Site Name]],SiteDB6[[Site Name]:[Ethnic or GCA/NGCA]],11,FALSE)</f>
        <v>GCA</v>
      </c>
      <c r="EN381" s="418">
        <f>VLOOKUP(WWWW[[#This Row],[Site Name]],SiteDB6[[Site Name]:[Lat]],12,FALSE)</f>
        <v>0</v>
      </c>
      <c r="EO381" s="418">
        <f>VLOOKUP(WWWW[[#This Row],[Site Name]],SiteDB6[[Site Name]:[Long]],13,FALSE)</f>
        <v>0</v>
      </c>
      <c r="EP381" s="418" t="str">
        <f>VLOOKUP(WWWW[[#This Row],[Site Name]],SiteDB6[[Site Name]:[Pcode]],3,FALSE)</f>
        <v>MMR015CMP077</v>
      </c>
      <c r="EQ381" s="950" t="str">
        <f t="shared" si="9"/>
        <v>Notcovered</v>
      </c>
      <c r="ER381" s="950"/>
      <c r="ES381" s="950"/>
      <c r="ET381" s="418">
        <f>VLOOKUP(WWWW[[#This Row],[Site Name]],SiteDB6[[Site Name]:[Pop
(Kachin/Shan-CCCM as of May 2023)]],16,FALSE)</f>
        <v>7</v>
      </c>
      <c r="EU381" s="418">
        <f>VLOOKUP(WWWW[[#This Row],[Site Name]],SiteDB6[[Site Name]:[Pop
(Kachin/Shan-CCCM as of May 2023)]],17,FALSE)</f>
        <v>25</v>
      </c>
    </row>
    <row r="382" spans="1:151">
      <c r="A382" s="946" t="s">
        <v>2962</v>
      </c>
      <c r="B382" s="946" t="s">
        <v>309</v>
      </c>
      <c r="C382" s="946" t="s">
        <v>309</v>
      </c>
      <c r="D382" s="938"/>
      <c r="E382" s="938" t="s">
        <v>515</v>
      </c>
      <c r="F382" s="938" t="s">
        <v>955</v>
      </c>
      <c r="G382" s="902" t="str">
        <f>VLOOKUP(WWWW[[#This Row],[Site Name]],SiteDB6[[Site Name]:[Location Type]],8,FALSE)</f>
        <v>Camp</v>
      </c>
      <c r="H382" s="938" t="s">
        <v>2843</v>
      </c>
      <c r="I382" s="441">
        <v>9</v>
      </c>
      <c r="J382" s="441">
        <v>28</v>
      </c>
      <c r="K382" s="948"/>
      <c r="L382" s="949"/>
      <c r="M382" s="441"/>
      <c r="N382" s="441"/>
      <c r="O382" s="441"/>
      <c r="P382" s="441"/>
      <c r="Q382" s="421"/>
      <c r="R382" s="441"/>
      <c r="S382" s="441"/>
      <c r="T382" s="441"/>
      <c r="U382" s="441"/>
      <c r="V382" s="441"/>
      <c r="W382" s="441"/>
      <c r="X382" s="441"/>
      <c r="Y382" s="441"/>
      <c r="Z382" s="441"/>
      <c r="AA382" s="441"/>
      <c r="AB382" s="441"/>
      <c r="AC382" s="441"/>
      <c r="AD382" s="441"/>
      <c r="AE382" s="441"/>
      <c r="AF382" s="441"/>
      <c r="AG382" s="441"/>
      <c r="AH382" s="441"/>
      <c r="AI382" s="441"/>
      <c r="AJ382" s="441"/>
      <c r="AK382" s="441"/>
      <c r="AL382" s="441"/>
      <c r="AM382" s="441"/>
      <c r="AN382" s="441"/>
      <c r="AO382" s="441"/>
      <c r="AP382" s="950"/>
      <c r="AQ382" s="441"/>
      <c r="AR382" s="441">
        <v>6</v>
      </c>
      <c r="AS382" s="416"/>
      <c r="AT382" s="441"/>
      <c r="AU382" s="441"/>
      <c r="AV382" s="441"/>
      <c r="AW382" s="441"/>
      <c r="AX382" s="441"/>
      <c r="AY382" s="418" t="s">
        <v>140</v>
      </c>
      <c r="AZ382" s="950" t="s">
        <v>140</v>
      </c>
      <c r="BA382" s="441"/>
      <c r="BB382" s="441"/>
      <c r="BC382" s="441"/>
      <c r="BD382" s="441"/>
      <c r="BE382" s="441"/>
      <c r="BF382" s="418"/>
      <c r="BG382" s="441"/>
      <c r="BH382" s="441"/>
      <c r="BI382" s="441"/>
      <c r="BJ382" s="441"/>
      <c r="BK382" s="441"/>
      <c r="BL382" s="441"/>
      <c r="BM382" s="441"/>
      <c r="BN382" s="441"/>
      <c r="BO382" s="441"/>
      <c r="BP382" s="418" t="s">
        <v>41</v>
      </c>
      <c r="BQ382" s="417"/>
      <c r="BR382" s="416"/>
      <c r="BS382" s="418"/>
      <c r="BT382" s="416"/>
      <c r="BU382" s="416"/>
      <c r="BV382" s="418"/>
      <c r="BW382" s="416"/>
      <c r="BX382" s="441"/>
      <c r="BY382" s="441"/>
      <c r="BZ382" s="441"/>
      <c r="CA382" s="441"/>
      <c r="CB382" s="441"/>
      <c r="CC382" s="693"/>
      <c r="CD382" s="441"/>
      <c r="CE382" s="615" t="str">
        <f>IFERROR(WWWW[[#This Row],['#_Water sources passed]]/WWWW[[#This Row],['#_Water sources tested for fecal coliform ]],"no test")</f>
        <v>no test</v>
      </c>
      <c r="CF382" s="416" t="str">
        <f>IFERROR(WWWW[[#This Row],['#_Household passed]]/WWWW[[#This Row],['#_Household water samples tested for fecal coliform]],"no test")</f>
        <v>no test</v>
      </c>
      <c r="CG382" s="417" t="str">
        <f>IF(AND(WWWW[[#This Row],[% of water sources passed]]="no test",WWWW[[#This Row],[% Household passed]]="no test"),"No Test","Tested")</f>
        <v>No Test</v>
      </c>
      <c r="CH382" s="417">
        <f>WWWW[[#This Row],['#_Constructed/existing protected hand dug well]]-WWWW[[#This Row],['#_Non-functional protected hand dug well]]</f>
        <v>0</v>
      </c>
      <c r="CI382" s="417">
        <f>(WWWW[[#This Row],['#_Constructed/Existing tube wells/boreholes/handpumps_WASH_agency]]+WWWW[[#This Row],['#_Non-Cluster partner water tube-wells/boreholes/handpumps]])-WWWW[[#This Row],['#_Non-functional tube wells/boreholes/handpumps]]</f>
        <v>0</v>
      </c>
      <c r="CJ382" s="417">
        <f>WWWW[[#This Row],['#_Constructed/Existingwater storage tank with gravity fed reticulation system]]-WWWW[[#This Row],['#_Non-functional storage tank gravity fed reticulation system]]</f>
        <v>0</v>
      </c>
      <c r="CK382" s="417">
        <f>(WWWW[[#This Row],['#_Water_Liters_supplied_by_Water boating or water trucking]]/90)/15</f>
        <v>0</v>
      </c>
      <c r="CL382" s="417">
        <f>WWWW[[#This Row],['#_Water_Liters_from_Constructed/Existing water distribution system from river or natural spring]]/90/15</f>
        <v>0</v>
      </c>
      <c r="CM382" s="417">
        <f>IF(WWWW[[#This Row],['#_of water points in TLS/CFS]]*500&gt;WWWW[[#This Row],[Total PoP ]],WWWW[[#This Row],[Total PoP ]],WWWW[[#This Row],['#_of water points in TLS/CFS]]*500)</f>
        <v>0</v>
      </c>
      <c r="CN382" s="417">
        <f>IF(WWWW[[#This Row],['#_of water points in THF]]*500&gt;WWWW[[#This Row],[Total PoP ]],WWWW[[#This Row],[Total PoP ]],WWWW[[#This Row],['#_of water points in THF]]*500)</f>
        <v>0</v>
      </c>
      <c r="CO382" s="417"/>
      <c r="CP382"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82"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82" s="416">
        <f>IF(WWWW[[#This Row],[Location Type 1]]="Village",WWWW[[#This Row],[Access to safe drinking water for Village]],WWWW[[#This Row],[Access to safe drinking water for Camp]])</f>
        <v>0</v>
      </c>
      <c r="CS382" s="421">
        <f>WWWW[[#This Row],[%Equitable and continuous access to sufficient quantity of safe drinking water]]*WWWW[[#This Row],[Total PoP ]]</f>
        <v>0</v>
      </c>
      <c r="CT382" s="416">
        <f>IF((WWWW[[#This Row],['#_Constructed/Existing protected/fenced ponds]]*250)/WWWW[[#This Row],[Total PoP ]]&gt;1,1,(WWWW[[#This Row],['#_Constructed/Existing protected/fenced ponds]]*250)/WWWW[[#This Row],[Total PoP ]])</f>
        <v>0</v>
      </c>
      <c r="CU382" s="421">
        <f>WWWW[[#This Row],[% Access to unimproved water points]]*WWWW[[#This Row],[Total PoP ]]</f>
        <v>0</v>
      </c>
      <c r="CV382"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82"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82" s="421">
        <f>WWWW[[#This Row],[HRP1]]/500</f>
        <v>0</v>
      </c>
      <c r="CY382" s="951">
        <f>1-WWWW[[#This Row],[% Equitable and continuous access to sufficient quantity of domestic water]]</f>
        <v>1</v>
      </c>
      <c r="CZ382" s="421">
        <f>WWWW[[#This Row],[%equitable and continuous access to sufficient quantity of safe drinking and domestic water''s GAP]]*WWWW[[#This Row],[Total PoP ]]</f>
        <v>28</v>
      </c>
      <c r="DA382" s="417">
        <f>IF(WWWW[[#This Row],[Total required water points]]-WWWW[[#This Row],['#Water points coverage]]&lt;0,0,WWWW[[#This Row],[Total required water points]]-WWWW[[#This Row],['#Water points coverage]])</f>
        <v>1</v>
      </c>
      <c r="DB382" s="417">
        <f>ROUND(IF(WWWW[[#This Row],[Total PoP ]]&lt;500,1,WWWW[[#This Row],[Total PoP ]]/500),0)</f>
        <v>1</v>
      </c>
      <c r="DC382" s="417">
        <f>(WWWW[[#This Row],['#_Constructed latrines_by_WASHAgencies]]+WWWW[[#This Row],['#_Non Cluster partner latrines]])-WWWW[[#This Row],['#_Non-functional latrines]]</f>
        <v>6</v>
      </c>
      <c r="DD382" s="615">
        <f>WWWW[[#This Row],[HRP2]]/WWWW[[#This Row],[Total PoP ]]</f>
        <v>1</v>
      </c>
      <c r="DE382"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28</v>
      </c>
      <c r="DF382"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82"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82" s="417">
        <f>IF(WWWW[[#This Row],['# of functional latrines in THF supported by WASH partners during the reporting period2]]="",0,WWWW[[#This Row],['# of functional latrines in THF supported by WASH partners during the reporting period2]]*50)</f>
        <v>0</v>
      </c>
      <c r="DI382" s="417">
        <f>ROUND(IF(WWWW[[#This Row],[Location Type 1]]="camp",WWWW[[#This Row],[Total PoP ]]/20,IF(WWWW[[#This Row],[Location Type 1]]="Temporary Location",WWWW[[#This Row],[Total PoP ]]/50,(WWWW[[#This Row],[Total PoP ]]/6))),0)</f>
        <v>1</v>
      </c>
      <c r="DJ382" s="417">
        <f>IF(WWWW[[#This Row],[Total required Latrines]]-(WWWW[[#This Row],['#_Constructed latrines_by_WASHAgencies]]+WWWW[[#This Row],['#_Non Cluster partner latrines]])&lt;0,0,WWWW[[#This Row],[Total required Latrines]]-(WWWW[[#This Row],['#_Constructed latrines_by_WASHAgencies]]+WWWW[[#This Row],['#_Non Cluster partner latrines]]))</f>
        <v>0</v>
      </c>
      <c r="DK382" s="951">
        <f>1-WWWW[[#This Row],[% people access to functioning Latrine]]</f>
        <v>0</v>
      </c>
      <c r="DL382" s="615">
        <f>IF(OR(WWWW[[#This Row],['#_Non-functional latrines]]="",WWWW[[#This Row],['#_Non-functional latrines]]=0),0,WWWW[[#This Row],['#_Non-functional latrines]]/(WWWW[[#This Row],['#_Constructed latrines_by_WASHAgencies]]+WWWW[[#This Row],['#_Non Cluster partner latrines]]))</f>
        <v>0</v>
      </c>
      <c r="DM382" s="421">
        <f>IF(500*(WWWW[[#This Row],['#_male hygiene promoters]]+WWWW[[#This Row],['#_female hygiene promoters]])&gt;WWWW[[#This Row],[Total PoP ]],WWWW[[#This Row],[Total PoP ]],500*(WWWW[[#This Row],['#_male hygiene promoters]]+WWWW[[#This Row],['#_female hygiene promoters]]))</f>
        <v>0</v>
      </c>
      <c r="DN382"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82"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82" s="417">
        <f>IF(WWWW[[#This Row],['# People with access to soap]]&gt;WWWW[[#This Row],['# People with access to Sanity Pads]],WWWW[[#This Row],['# People with access to soap]],WWWW[[#This Row],['# People with access to Sanity Pads]])</f>
        <v>0</v>
      </c>
      <c r="DQ382"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82" s="951">
        <f>IF(WWWW[[#This Row],[HRP3]]/WWWW[[#This Row],[Total PoP ]]&gt;1,1,WWWW[[#This Row],[HRP3]]/WWWW[[#This Row],[Total PoP ]])</f>
        <v>0</v>
      </c>
      <c r="DS382" s="615">
        <f>1-WWWW[[#This Row],[Hygiene Coverage%]]</f>
        <v>1</v>
      </c>
      <c r="DT382" s="416">
        <f>WWWW[[#This Row],['# people reached by regular dedicated hygiene promotion_5]]/WWWW[[#This Row],[Total PoP ]]</f>
        <v>0</v>
      </c>
      <c r="DU382"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82"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82" s="417">
        <f>WWWW[[#This Row],['#_Constructed/Existing hand washing stations]]-WWWW[[#This Row],['#_Non-Functional_hand_washing_stations]]</f>
        <v>0</v>
      </c>
      <c r="DX382" s="421">
        <f>IF(WWWW[[#This Row],['# Functional hand washing stations during reporting period]]*20&gt;WWWW[[#This Row],[Total HH]],WWWW[[#This Row],[Total HH]],WWWW[[#This Row],['# Functional hand washing stations during reporting period]]*20)</f>
        <v>0</v>
      </c>
      <c r="DY382" s="421">
        <f>IF(WWWW[[#This Row],[Is sufficient soap available for TLS? (Yes/No)]]="yes",WWWW[[#This Row],['#_Constructed/Existing hand washing stations at TLS/CFS/THF]],0)</f>
        <v>0</v>
      </c>
      <c r="DZ382" s="421">
        <f>IF(WWWW[[#This Row],['# Functional hand washing stations during reporting period]]*100&gt;WWWW[[#This Row],[Total PoP ]],WWWW[[#This Row],[Total PoP ]],WWWW[[#This Row],['# Functional hand washing stations during reporting period]]*100)</f>
        <v>0</v>
      </c>
      <c r="EA382" s="421" t="str">
        <f>IF(OR(WWWW[[#This Row],['#_students at TLS_CFS]]="",WWWW[[#This Row],['#_students at TLS_CFS]]=0),"No","Yes")</f>
        <v>No</v>
      </c>
      <c r="EB38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82" s="566">
        <f>WWWW[[#This Row],[%_of_affected_people_surveyed_who_report_feeling_satistfied_with_the_latrine_design_and_sanitation_service]]*WWWW[[#This Row],[Total PoP ]]</f>
        <v>0</v>
      </c>
      <c r="ED382" s="566">
        <f>WWWW[[#This Row],[%_of_affected_people_surveyed_who_report_feeling_satistfied_with_the_water_point_design_and_water_service]]*WWWW[[#This Row],[Total PoP ]]</f>
        <v>0</v>
      </c>
      <c r="EE382" s="566">
        <f>WWWW[[#This Row],[%_of_complaints_received_that_result_in_timely_corrective_action_and_feedback_to_the_community]]*WWWW[[#This Row],[Total PoP ]]</f>
        <v>0</v>
      </c>
      <c r="EF38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8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8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82" s="418">
        <f>VLOOKUP(WWWW[[#This Row],[Site Name]],SiteDB6[[Site Name]:[CCCM Management]],6,FALSE)</f>
        <v>0</v>
      </c>
      <c r="EJ382" s="418">
        <f>VLOOKUP(WWWW[[#This Row],[Site Name]],SiteDB6[[Site Name]:[CCCM Focal Agency]],7,FALSE)</f>
        <v>0</v>
      </c>
      <c r="EK382" s="418" t="str">
        <f>VLOOKUP(WWWW[[#This Row],[Site Name]],SiteDB6[[Site Name]:[Location Type 1]],9,FALSE)</f>
        <v>Camp</v>
      </c>
      <c r="EL382" s="418" t="str">
        <f>VLOOKUP(WWWW[[#This Row],[Site Name]],SiteDB6[[Site Name]:[Type of Accommodation]],10,FALSE)</f>
        <v>Camp like setting</v>
      </c>
      <c r="EM382" s="418" t="str">
        <f>VLOOKUP(WWWW[[#This Row],[Site Name]],SiteDB6[[Site Name]:[Ethnic or GCA/NGCA]],11,FALSE)</f>
        <v>GCA</v>
      </c>
      <c r="EN382" s="418">
        <f>VLOOKUP(WWWW[[#This Row],[Site Name]],SiteDB6[[Site Name]:[Lat]],12,FALSE)</f>
        <v>0</v>
      </c>
      <c r="EO382" s="418">
        <f>VLOOKUP(WWWW[[#This Row],[Site Name]],SiteDB6[[Site Name]:[Long]],13,FALSE)</f>
        <v>0</v>
      </c>
      <c r="EP382" s="418" t="str">
        <f>VLOOKUP(WWWW[[#This Row],[Site Name]],SiteDB6[[Site Name]:[Pcode]],3,FALSE)</f>
        <v>MMR015CMP078</v>
      </c>
      <c r="EQ382" s="950" t="str">
        <f t="shared" si="9"/>
        <v>Notcovered</v>
      </c>
      <c r="ER382" s="950"/>
      <c r="ES382" s="950"/>
      <c r="ET382" s="418">
        <f>VLOOKUP(WWWW[[#This Row],[Site Name]],SiteDB6[[Site Name]:[Pop
(Kachin/Shan-CCCM as of May 2023)]],16,FALSE)</f>
        <v>9</v>
      </c>
      <c r="EU382" s="418">
        <f>VLOOKUP(WWWW[[#This Row],[Site Name]],SiteDB6[[Site Name]:[Pop
(Kachin/Shan-CCCM as of May 2023)]],17,FALSE)</f>
        <v>28</v>
      </c>
    </row>
    <row r="383" spans="1:151">
      <c r="A383" s="946" t="s">
        <v>2962</v>
      </c>
      <c r="B383" s="946" t="s">
        <v>309</v>
      </c>
      <c r="C383" s="946" t="s">
        <v>309</v>
      </c>
      <c r="D383" s="938"/>
      <c r="E383" s="938" t="s">
        <v>515</v>
      </c>
      <c r="F383" s="938" t="s">
        <v>955</v>
      </c>
      <c r="G383" s="902" t="str">
        <f>VLOOKUP(WWWW[[#This Row],[Site Name]],SiteDB6[[Site Name]:[Location Type]],8,FALSE)</f>
        <v>Camp</v>
      </c>
      <c r="H383" s="938" t="s">
        <v>2844</v>
      </c>
      <c r="I383" s="441">
        <v>14</v>
      </c>
      <c r="J383" s="441">
        <v>31</v>
      </c>
      <c r="K383" s="948"/>
      <c r="L383" s="949"/>
      <c r="M383" s="441"/>
      <c r="N383" s="441"/>
      <c r="O383" s="441"/>
      <c r="P383" s="441"/>
      <c r="Q383" s="421"/>
      <c r="R383" s="441"/>
      <c r="S383" s="441"/>
      <c r="T383" s="441"/>
      <c r="U383" s="441"/>
      <c r="V383" s="441"/>
      <c r="W383" s="441"/>
      <c r="X383" s="441"/>
      <c r="Y383" s="441"/>
      <c r="Z383" s="441"/>
      <c r="AA383" s="441"/>
      <c r="AB383" s="441"/>
      <c r="AC383" s="441"/>
      <c r="AD383" s="441"/>
      <c r="AE383" s="441"/>
      <c r="AF383" s="441"/>
      <c r="AG383" s="441"/>
      <c r="AH383" s="441"/>
      <c r="AI383" s="441"/>
      <c r="AJ383" s="441"/>
      <c r="AK383" s="441"/>
      <c r="AL383" s="441"/>
      <c r="AM383" s="441"/>
      <c r="AN383" s="441"/>
      <c r="AO383" s="441"/>
      <c r="AP383" s="950"/>
      <c r="AQ383" s="441"/>
      <c r="AR383" s="441">
        <v>4</v>
      </c>
      <c r="AS383" s="416"/>
      <c r="AT383" s="441"/>
      <c r="AU383" s="441"/>
      <c r="AV383" s="441"/>
      <c r="AW383" s="441"/>
      <c r="AX383" s="441"/>
      <c r="AY383" s="418" t="s">
        <v>140</v>
      </c>
      <c r="AZ383" s="950" t="s">
        <v>140</v>
      </c>
      <c r="BA383" s="441"/>
      <c r="BB383" s="441"/>
      <c r="BC383" s="441"/>
      <c r="BD383" s="441"/>
      <c r="BE383" s="441"/>
      <c r="BF383" s="418"/>
      <c r="BG383" s="441"/>
      <c r="BH383" s="441"/>
      <c r="BI383" s="441"/>
      <c r="BJ383" s="441"/>
      <c r="BK383" s="441"/>
      <c r="BL383" s="441"/>
      <c r="BM383" s="441"/>
      <c r="BN383" s="441"/>
      <c r="BO383" s="441"/>
      <c r="BP383" s="418" t="s">
        <v>41</v>
      </c>
      <c r="BQ383" s="417"/>
      <c r="BR383" s="416"/>
      <c r="BS383" s="418"/>
      <c r="BT383" s="416"/>
      <c r="BU383" s="416"/>
      <c r="BV383" s="418"/>
      <c r="BW383" s="416"/>
      <c r="BX383" s="441"/>
      <c r="BY383" s="441"/>
      <c r="BZ383" s="441"/>
      <c r="CA383" s="441"/>
      <c r="CB383" s="441"/>
      <c r="CC383" s="693"/>
      <c r="CD383" s="441"/>
      <c r="CE383" s="615" t="str">
        <f>IFERROR(WWWW[[#This Row],['#_Water sources passed]]/WWWW[[#This Row],['#_Water sources tested for fecal coliform ]],"no test")</f>
        <v>no test</v>
      </c>
      <c r="CF383" s="416" t="str">
        <f>IFERROR(WWWW[[#This Row],['#_Household passed]]/WWWW[[#This Row],['#_Household water samples tested for fecal coliform]],"no test")</f>
        <v>no test</v>
      </c>
      <c r="CG383" s="417" t="str">
        <f>IF(AND(WWWW[[#This Row],[% of water sources passed]]="no test",WWWW[[#This Row],[% Household passed]]="no test"),"No Test","Tested")</f>
        <v>No Test</v>
      </c>
      <c r="CH383" s="417">
        <f>WWWW[[#This Row],['#_Constructed/existing protected hand dug well]]-WWWW[[#This Row],['#_Non-functional protected hand dug well]]</f>
        <v>0</v>
      </c>
      <c r="CI383" s="417">
        <f>(WWWW[[#This Row],['#_Constructed/Existing tube wells/boreholes/handpumps_WASH_agency]]+WWWW[[#This Row],['#_Non-Cluster partner water tube-wells/boreholes/handpumps]])-WWWW[[#This Row],['#_Non-functional tube wells/boreholes/handpumps]]</f>
        <v>0</v>
      </c>
      <c r="CJ383" s="417">
        <f>WWWW[[#This Row],['#_Constructed/Existingwater storage tank with gravity fed reticulation system]]-WWWW[[#This Row],['#_Non-functional storage tank gravity fed reticulation system]]</f>
        <v>0</v>
      </c>
      <c r="CK383" s="417">
        <f>(WWWW[[#This Row],['#_Water_Liters_supplied_by_Water boating or water trucking]]/90)/15</f>
        <v>0</v>
      </c>
      <c r="CL383" s="417">
        <f>WWWW[[#This Row],['#_Water_Liters_from_Constructed/Existing water distribution system from river or natural spring]]/90/15</f>
        <v>0</v>
      </c>
      <c r="CM383" s="417">
        <f>IF(WWWW[[#This Row],['#_of water points in TLS/CFS]]*500&gt;WWWW[[#This Row],[Total PoP ]],WWWW[[#This Row],[Total PoP ]],WWWW[[#This Row],['#_of water points in TLS/CFS]]*500)</f>
        <v>0</v>
      </c>
      <c r="CN383" s="417">
        <f>IF(WWWW[[#This Row],['#_of water points in THF]]*500&gt;WWWW[[#This Row],[Total PoP ]],WWWW[[#This Row],[Total PoP ]],WWWW[[#This Row],['#_of water points in THF]]*500)</f>
        <v>0</v>
      </c>
      <c r="CO383" s="417"/>
      <c r="CP383"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83"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83" s="416">
        <f>IF(WWWW[[#This Row],[Location Type 1]]="Village",WWWW[[#This Row],[Access to safe drinking water for Village]],WWWW[[#This Row],[Access to safe drinking water for Camp]])</f>
        <v>0</v>
      </c>
      <c r="CS383" s="421">
        <f>WWWW[[#This Row],[%Equitable and continuous access to sufficient quantity of safe drinking water]]*WWWW[[#This Row],[Total PoP ]]</f>
        <v>0</v>
      </c>
      <c r="CT383" s="416">
        <f>IF((WWWW[[#This Row],['#_Constructed/Existing protected/fenced ponds]]*250)/WWWW[[#This Row],[Total PoP ]]&gt;1,1,(WWWW[[#This Row],['#_Constructed/Existing protected/fenced ponds]]*250)/WWWW[[#This Row],[Total PoP ]])</f>
        <v>0</v>
      </c>
      <c r="CU383" s="421">
        <f>WWWW[[#This Row],[% Access to unimproved water points]]*WWWW[[#This Row],[Total PoP ]]</f>
        <v>0</v>
      </c>
      <c r="CV383"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83"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83" s="421">
        <f>WWWW[[#This Row],[HRP1]]/500</f>
        <v>0</v>
      </c>
      <c r="CY383" s="951">
        <f>1-WWWW[[#This Row],[% Equitable and continuous access to sufficient quantity of domestic water]]</f>
        <v>1</v>
      </c>
      <c r="CZ383" s="421">
        <f>WWWW[[#This Row],[%equitable and continuous access to sufficient quantity of safe drinking and domestic water''s GAP]]*WWWW[[#This Row],[Total PoP ]]</f>
        <v>31</v>
      </c>
      <c r="DA383" s="417">
        <f>IF(WWWW[[#This Row],[Total required water points]]-WWWW[[#This Row],['#Water points coverage]]&lt;0,0,WWWW[[#This Row],[Total required water points]]-WWWW[[#This Row],['#Water points coverage]])</f>
        <v>1</v>
      </c>
      <c r="DB383" s="417">
        <f>ROUND(IF(WWWW[[#This Row],[Total PoP ]]&lt;500,1,WWWW[[#This Row],[Total PoP ]]/500),0)</f>
        <v>1</v>
      </c>
      <c r="DC383" s="417">
        <f>(WWWW[[#This Row],['#_Constructed latrines_by_WASHAgencies]]+WWWW[[#This Row],['#_Non Cluster partner latrines]])-WWWW[[#This Row],['#_Non-functional latrines]]</f>
        <v>4</v>
      </c>
      <c r="DD383" s="615">
        <f>WWWW[[#This Row],[HRP2]]/WWWW[[#This Row],[Total PoP ]]</f>
        <v>1</v>
      </c>
      <c r="DE383"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31</v>
      </c>
      <c r="DF383"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83"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83" s="417">
        <f>IF(WWWW[[#This Row],['# of functional latrines in THF supported by WASH partners during the reporting period2]]="",0,WWWW[[#This Row],['# of functional latrines in THF supported by WASH partners during the reporting period2]]*50)</f>
        <v>0</v>
      </c>
      <c r="DI383" s="417">
        <f>ROUND(IF(WWWW[[#This Row],[Location Type 1]]="camp",WWWW[[#This Row],[Total PoP ]]/20,IF(WWWW[[#This Row],[Location Type 1]]="Temporary Location",WWWW[[#This Row],[Total PoP ]]/50,(WWWW[[#This Row],[Total PoP ]]/6))),0)</f>
        <v>2</v>
      </c>
      <c r="DJ383" s="417">
        <f>IF(WWWW[[#This Row],[Total required Latrines]]-(WWWW[[#This Row],['#_Constructed latrines_by_WASHAgencies]]+WWWW[[#This Row],['#_Non Cluster partner latrines]])&lt;0,0,WWWW[[#This Row],[Total required Latrines]]-(WWWW[[#This Row],['#_Constructed latrines_by_WASHAgencies]]+WWWW[[#This Row],['#_Non Cluster partner latrines]]))</f>
        <v>0</v>
      </c>
      <c r="DK383" s="951">
        <f>1-WWWW[[#This Row],[% people access to functioning Latrine]]</f>
        <v>0</v>
      </c>
      <c r="DL383" s="615">
        <f>IF(OR(WWWW[[#This Row],['#_Non-functional latrines]]="",WWWW[[#This Row],['#_Non-functional latrines]]=0),0,WWWW[[#This Row],['#_Non-functional latrines]]/(WWWW[[#This Row],['#_Constructed latrines_by_WASHAgencies]]+WWWW[[#This Row],['#_Non Cluster partner latrines]]))</f>
        <v>0</v>
      </c>
      <c r="DM383" s="421">
        <f>IF(500*(WWWW[[#This Row],['#_male hygiene promoters]]+WWWW[[#This Row],['#_female hygiene promoters]])&gt;WWWW[[#This Row],[Total PoP ]],WWWW[[#This Row],[Total PoP ]],500*(WWWW[[#This Row],['#_male hygiene promoters]]+WWWW[[#This Row],['#_female hygiene promoters]]))</f>
        <v>0</v>
      </c>
      <c r="DN383"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83"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83" s="417">
        <f>IF(WWWW[[#This Row],['# People with access to soap]]&gt;WWWW[[#This Row],['# People with access to Sanity Pads]],WWWW[[#This Row],['# People with access to soap]],WWWW[[#This Row],['# People with access to Sanity Pads]])</f>
        <v>0</v>
      </c>
      <c r="DQ383"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83" s="951">
        <f>IF(WWWW[[#This Row],[HRP3]]/WWWW[[#This Row],[Total PoP ]]&gt;1,1,WWWW[[#This Row],[HRP3]]/WWWW[[#This Row],[Total PoP ]])</f>
        <v>0</v>
      </c>
      <c r="DS383" s="615">
        <f>1-WWWW[[#This Row],[Hygiene Coverage%]]</f>
        <v>1</v>
      </c>
      <c r="DT383" s="416">
        <f>WWWW[[#This Row],['# people reached by regular dedicated hygiene promotion_5]]/WWWW[[#This Row],[Total PoP ]]</f>
        <v>0</v>
      </c>
      <c r="DU383"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83"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83" s="417">
        <f>WWWW[[#This Row],['#_Constructed/Existing hand washing stations]]-WWWW[[#This Row],['#_Non-Functional_hand_washing_stations]]</f>
        <v>0</v>
      </c>
      <c r="DX383" s="421">
        <f>IF(WWWW[[#This Row],['# Functional hand washing stations during reporting period]]*20&gt;WWWW[[#This Row],[Total HH]],WWWW[[#This Row],[Total HH]],WWWW[[#This Row],['# Functional hand washing stations during reporting period]]*20)</f>
        <v>0</v>
      </c>
      <c r="DY383" s="421">
        <f>IF(WWWW[[#This Row],[Is sufficient soap available for TLS? (Yes/No)]]="yes",WWWW[[#This Row],['#_Constructed/Existing hand washing stations at TLS/CFS/THF]],0)</f>
        <v>0</v>
      </c>
      <c r="DZ383" s="421">
        <f>IF(WWWW[[#This Row],['# Functional hand washing stations during reporting period]]*100&gt;WWWW[[#This Row],[Total PoP ]],WWWW[[#This Row],[Total PoP ]],WWWW[[#This Row],['# Functional hand washing stations during reporting period]]*100)</f>
        <v>0</v>
      </c>
      <c r="EA383" s="421" t="str">
        <f>IF(OR(WWWW[[#This Row],['#_students at TLS_CFS]]="",WWWW[[#This Row],['#_students at TLS_CFS]]=0),"No","Yes")</f>
        <v>No</v>
      </c>
      <c r="EB38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83" s="566">
        <f>WWWW[[#This Row],[%_of_affected_people_surveyed_who_report_feeling_satistfied_with_the_latrine_design_and_sanitation_service]]*WWWW[[#This Row],[Total PoP ]]</f>
        <v>0</v>
      </c>
      <c r="ED383" s="566">
        <f>WWWW[[#This Row],[%_of_affected_people_surveyed_who_report_feeling_satistfied_with_the_water_point_design_and_water_service]]*WWWW[[#This Row],[Total PoP ]]</f>
        <v>0</v>
      </c>
      <c r="EE383" s="566">
        <f>WWWW[[#This Row],[%_of_complaints_received_that_result_in_timely_corrective_action_and_feedback_to_the_community]]*WWWW[[#This Row],[Total PoP ]]</f>
        <v>0</v>
      </c>
      <c r="EF38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8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8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83" s="418">
        <f>VLOOKUP(WWWW[[#This Row],[Site Name]],SiteDB6[[Site Name]:[CCCM Management]],6,FALSE)</f>
        <v>0</v>
      </c>
      <c r="EJ383" s="418">
        <f>VLOOKUP(WWWW[[#This Row],[Site Name]],SiteDB6[[Site Name]:[CCCM Focal Agency]],7,FALSE)</f>
        <v>0</v>
      </c>
      <c r="EK383" s="418" t="str">
        <f>VLOOKUP(WWWW[[#This Row],[Site Name]],SiteDB6[[Site Name]:[Location Type 1]],9,FALSE)</f>
        <v>Camp</v>
      </c>
      <c r="EL383" s="418" t="str">
        <f>VLOOKUP(WWWW[[#This Row],[Site Name]],SiteDB6[[Site Name]:[Type of Accommodation]],10,FALSE)</f>
        <v>Camp like setting</v>
      </c>
      <c r="EM383" s="418" t="str">
        <f>VLOOKUP(WWWW[[#This Row],[Site Name]],SiteDB6[[Site Name]:[Ethnic or GCA/NGCA]],11,FALSE)</f>
        <v>GCA</v>
      </c>
      <c r="EN383" s="418">
        <f>VLOOKUP(WWWW[[#This Row],[Site Name]],SiteDB6[[Site Name]:[Lat]],12,FALSE)</f>
        <v>0</v>
      </c>
      <c r="EO383" s="418">
        <f>VLOOKUP(WWWW[[#This Row],[Site Name]],SiteDB6[[Site Name]:[Long]],13,FALSE)</f>
        <v>0</v>
      </c>
      <c r="EP383" s="418" t="str">
        <f>VLOOKUP(WWWW[[#This Row],[Site Name]],SiteDB6[[Site Name]:[Pcode]],3,FALSE)</f>
        <v>MMR015CMP079</v>
      </c>
      <c r="EQ383" s="950" t="str">
        <f t="shared" si="9"/>
        <v>Notcovered</v>
      </c>
      <c r="ER383" s="950"/>
      <c r="ES383" s="950"/>
      <c r="ET383" s="418">
        <f>VLOOKUP(WWWW[[#This Row],[Site Name]],SiteDB6[[Site Name]:[Pop
(Kachin/Shan-CCCM as of May 2023)]],16,FALSE)</f>
        <v>14</v>
      </c>
      <c r="EU383" s="418">
        <f>VLOOKUP(WWWW[[#This Row],[Site Name]],SiteDB6[[Site Name]:[Pop
(Kachin/Shan-CCCM as of May 2023)]],17,FALSE)</f>
        <v>31</v>
      </c>
    </row>
    <row r="384" spans="1:151">
      <c r="A384" s="946" t="s">
        <v>2962</v>
      </c>
      <c r="B384" s="946" t="s">
        <v>309</v>
      </c>
      <c r="C384" s="946" t="s">
        <v>309</v>
      </c>
      <c r="D384" s="938"/>
      <c r="E384" s="938" t="s">
        <v>515</v>
      </c>
      <c r="F384" s="938" t="s">
        <v>955</v>
      </c>
      <c r="G384" s="902" t="str">
        <f>VLOOKUP(WWWW[[#This Row],[Site Name]],SiteDB6[[Site Name]:[Location Type]],8,FALSE)</f>
        <v>Camp</v>
      </c>
      <c r="H384" s="938" t="s">
        <v>2846</v>
      </c>
      <c r="I384" s="441">
        <v>12</v>
      </c>
      <c r="J384" s="441">
        <v>26</v>
      </c>
      <c r="K384" s="948"/>
      <c r="L384" s="949"/>
      <c r="M384" s="441"/>
      <c r="N384" s="441"/>
      <c r="O384" s="441"/>
      <c r="P384" s="441"/>
      <c r="Q384" s="421"/>
      <c r="R384" s="441"/>
      <c r="S384" s="441"/>
      <c r="T384" s="441"/>
      <c r="U384" s="441"/>
      <c r="V384" s="441"/>
      <c r="W384" s="441"/>
      <c r="X384" s="441">
        <v>1</v>
      </c>
      <c r="Y384" s="441"/>
      <c r="Z384" s="441"/>
      <c r="AA384" s="441"/>
      <c r="AB384" s="441"/>
      <c r="AC384" s="441"/>
      <c r="AD384" s="441"/>
      <c r="AE384" s="441"/>
      <c r="AF384" s="441"/>
      <c r="AG384" s="441"/>
      <c r="AH384" s="441"/>
      <c r="AI384" s="441"/>
      <c r="AJ384" s="441"/>
      <c r="AK384" s="441"/>
      <c r="AL384" s="441"/>
      <c r="AM384" s="441"/>
      <c r="AN384" s="441"/>
      <c r="AO384" s="441"/>
      <c r="AP384" s="950"/>
      <c r="AQ384" s="441">
        <v>2</v>
      </c>
      <c r="AR384" s="441"/>
      <c r="AS384" s="416"/>
      <c r="AT384" s="441"/>
      <c r="AU384" s="441"/>
      <c r="AV384" s="441"/>
      <c r="AW384" s="441"/>
      <c r="AX384" s="441"/>
      <c r="AY384" s="418" t="s">
        <v>140</v>
      </c>
      <c r="AZ384" s="950" t="s">
        <v>140</v>
      </c>
      <c r="BA384" s="441"/>
      <c r="BB384" s="441"/>
      <c r="BC384" s="441"/>
      <c r="BD384" s="441"/>
      <c r="BE384" s="441"/>
      <c r="BF384" s="418"/>
      <c r="BG384" s="441">
        <v>4</v>
      </c>
      <c r="BH384" s="441"/>
      <c r="BI384" s="441"/>
      <c r="BJ384" s="441"/>
      <c r="BK384" s="441"/>
      <c r="BL384" s="441"/>
      <c r="BM384" s="441"/>
      <c r="BN384" s="441"/>
      <c r="BO384" s="441"/>
      <c r="BP384" s="418" t="s">
        <v>41</v>
      </c>
      <c r="BQ384" s="417"/>
      <c r="BR384" s="416"/>
      <c r="BS384" s="418"/>
      <c r="BT384" s="416"/>
      <c r="BU384" s="416"/>
      <c r="BV384" s="418"/>
      <c r="BW384" s="416"/>
      <c r="BX384" s="441"/>
      <c r="BY384" s="441"/>
      <c r="BZ384" s="441"/>
      <c r="CA384" s="441"/>
      <c r="CB384" s="441"/>
      <c r="CC384" s="693"/>
      <c r="CD384" s="441"/>
      <c r="CE384" s="615" t="str">
        <f>IFERROR(WWWW[[#This Row],['#_Water sources passed]]/WWWW[[#This Row],['#_Water sources tested for fecal coliform ]],"no test")</f>
        <v>no test</v>
      </c>
      <c r="CF384" s="416" t="str">
        <f>IFERROR(WWWW[[#This Row],['#_Household passed]]/WWWW[[#This Row],['#_Household water samples tested for fecal coliform]],"no test")</f>
        <v>no test</v>
      </c>
      <c r="CG384" s="417" t="str">
        <f>IF(AND(WWWW[[#This Row],[% of water sources passed]]="no test",WWWW[[#This Row],[% Household passed]]="no test"),"No Test","Tested")</f>
        <v>No Test</v>
      </c>
      <c r="CH384" s="417">
        <f>WWWW[[#This Row],['#_Constructed/existing protected hand dug well]]-WWWW[[#This Row],['#_Non-functional protected hand dug well]]</f>
        <v>0</v>
      </c>
      <c r="CI384" s="417">
        <f>(WWWW[[#This Row],['#_Constructed/Existing tube wells/boreholes/handpumps_WASH_agency]]+WWWW[[#This Row],['#_Non-Cluster partner water tube-wells/boreholes/handpumps]])-WWWW[[#This Row],['#_Non-functional tube wells/boreholes/handpumps]]</f>
        <v>1</v>
      </c>
      <c r="CJ384" s="417">
        <f>WWWW[[#This Row],['#_Constructed/Existingwater storage tank with gravity fed reticulation system]]-WWWW[[#This Row],['#_Non-functional storage tank gravity fed reticulation system]]</f>
        <v>0</v>
      </c>
      <c r="CK384" s="417">
        <f>(WWWW[[#This Row],['#_Water_Liters_supplied_by_Water boating or water trucking]]/90)/15</f>
        <v>0</v>
      </c>
      <c r="CL384" s="417">
        <f>WWWW[[#This Row],['#_Water_Liters_from_Constructed/Existing water distribution system from river or natural spring]]/90/15</f>
        <v>0</v>
      </c>
      <c r="CM384" s="417">
        <f>IF(WWWW[[#This Row],['#_of water points in TLS/CFS]]*500&gt;WWWW[[#This Row],[Total PoP ]],WWWW[[#This Row],[Total PoP ]],WWWW[[#This Row],['#_of water points in TLS/CFS]]*500)</f>
        <v>0</v>
      </c>
      <c r="CN384" s="417">
        <f>IF(WWWW[[#This Row],['#_of water points in THF]]*500&gt;WWWW[[#This Row],[Total PoP ]],WWWW[[#This Row],[Total PoP ]],WWWW[[#This Row],['#_of water points in THF]]*500)</f>
        <v>0</v>
      </c>
      <c r="CO384" s="417"/>
      <c r="CP384"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84"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84" s="416">
        <f>IF(WWWW[[#This Row],[Location Type 1]]="Village",WWWW[[#This Row],[Access to safe drinking water for Village]],WWWW[[#This Row],[Access to safe drinking water for Camp]])</f>
        <v>1</v>
      </c>
      <c r="CS384" s="421">
        <f>WWWW[[#This Row],[%Equitable and continuous access to sufficient quantity of safe drinking water]]*WWWW[[#This Row],[Total PoP ]]</f>
        <v>26</v>
      </c>
      <c r="CT384" s="416">
        <f>IF((WWWW[[#This Row],['#_Constructed/Existing protected/fenced ponds]]*250)/WWWW[[#This Row],[Total PoP ]]&gt;1,1,(WWWW[[#This Row],['#_Constructed/Existing protected/fenced ponds]]*250)/WWWW[[#This Row],[Total PoP ]])</f>
        <v>0</v>
      </c>
      <c r="CU384" s="421">
        <f>WWWW[[#This Row],[% Access to unimproved water points]]*WWWW[[#This Row],[Total PoP ]]</f>
        <v>0</v>
      </c>
      <c r="CV384"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84"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v>
      </c>
      <c r="CX384" s="421">
        <f>WWWW[[#This Row],[HRP1]]/500</f>
        <v>5.1999999999999998E-2</v>
      </c>
      <c r="CY384" s="951">
        <f>1-WWWW[[#This Row],[% Equitable and continuous access to sufficient quantity of domestic water]]</f>
        <v>0</v>
      </c>
      <c r="CZ384" s="421">
        <f>WWWW[[#This Row],[%equitable and continuous access to sufficient quantity of safe drinking and domestic water''s GAP]]*WWWW[[#This Row],[Total PoP ]]</f>
        <v>0</v>
      </c>
      <c r="DA384" s="417">
        <f>IF(WWWW[[#This Row],[Total required water points]]-WWWW[[#This Row],['#Water points coverage]]&lt;0,0,WWWW[[#This Row],[Total required water points]]-WWWW[[#This Row],['#Water points coverage]])</f>
        <v>0.94799999999999995</v>
      </c>
      <c r="DB384" s="417">
        <f>ROUND(IF(WWWW[[#This Row],[Total PoP ]]&lt;500,1,WWWW[[#This Row],[Total PoP ]]/500),0)</f>
        <v>1</v>
      </c>
      <c r="DC384" s="417">
        <f>(WWWW[[#This Row],['#_Constructed latrines_by_WASHAgencies]]+WWWW[[#This Row],['#_Non Cluster partner latrines]])-WWWW[[#This Row],['#_Non-functional latrines]]</f>
        <v>2</v>
      </c>
      <c r="DD384" s="615">
        <f>WWWW[[#This Row],[HRP2]]/WWWW[[#This Row],[Total PoP ]]</f>
        <v>1</v>
      </c>
      <c r="DE384"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26</v>
      </c>
      <c r="DF384"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84"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84" s="417">
        <f>IF(WWWW[[#This Row],['# of functional latrines in THF supported by WASH partners during the reporting period2]]="",0,WWWW[[#This Row],['# of functional latrines in THF supported by WASH partners during the reporting period2]]*50)</f>
        <v>0</v>
      </c>
      <c r="DI384" s="417">
        <f>ROUND(IF(WWWW[[#This Row],[Location Type 1]]="camp",WWWW[[#This Row],[Total PoP ]]/20,IF(WWWW[[#This Row],[Location Type 1]]="Temporary Location",WWWW[[#This Row],[Total PoP ]]/50,(WWWW[[#This Row],[Total PoP ]]/6))),0)</f>
        <v>1</v>
      </c>
      <c r="DJ384" s="417">
        <f>IF(WWWW[[#This Row],[Total required Latrines]]-(WWWW[[#This Row],['#_Constructed latrines_by_WASHAgencies]]+WWWW[[#This Row],['#_Non Cluster partner latrines]])&lt;0,0,WWWW[[#This Row],[Total required Latrines]]-(WWWW[[#This Row],['#_Constructed latrines_by_WASHAgencies]]+WWWW[[#This Row],['#_Non Cluster partner latrines]]))</f>
        <v>0</v>
      </c>
      <c r="DK384" s="951">
        <f>1-WWWW[[#This Row],[% people access to functioning Latrine]]</f>
        <v>0</v>
      </c>
      <c r="DL384" s="615">
        <f>IF(OR(WWWW[[#This Row],['#_Non-functional latrines]]="",WWWW[[#This Row],['#_Non-functional latrines]]=0),0,WWWW[[#This Row],['#_Non-functional latrines]]/(WWWW[[#This Row],['#_Constructed latrines_by_WASHAgencies]]+WWWW[[#This Row],['#_Non Cluster partner latrines]]))</f>
        <v>0</v>
      </c>
      <c r="DM384" s="421">
        <f>IF(500*(WWWW[[#This Row],['#_male hygiene promoters]]+WWWW[[#This Row],['#_female hygiene promoters]])&gt;WWWW[[#This Row],[Total PoP ]],WWWW[[#This Row],[Total PoP ]],500*(WWWW[[#This Row],['#_male hygiene promoters]]+WWWW[[#This Row],['#_female hygiene promoters]]))</f>
        <v>0</v>
      </c>
      <c r="DN384"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84"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84" s="417">
        <f>IF(WWWW[[#This Row],['# People with access to soap]]&gt;WWWW[[#This Row],['# People with access to Sanity Pads]],WWWW[[#This Row],['# People with access to soap]],WWWW[[#This Row],['# People with access to Sanity Pads]])</f>
        <v>0</v>
      </c>
      <c r="DQ384"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84" s="951">
        <f>IF(WWWW[[#This Row],[HRP3]]/WWWW[[#This Row],[Total PoP ]]&gt;1,1,WWWW[[#This Row],[HRP3]]/WWWW[[#This Row],[Total PoP ]])</f>
        <v>0</v>
      </c>
      <c r="DS384" s="615">
        <f>1-WWWW[[#This Row],[Hygiene Coverage%]]</f>
        <v>1</v>
      </c>
      <c r="DT384" s="416">
        <f>WWWW[[#This Row],['# people reached by regular dedicated hygiene promotion_5]]/WWWW[[#This Row],[Total PoP ]]</f>
        <v>0</v>
      </c>
      <c r="DU384"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84"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84" s="417">
        <f>WWWW[[#This Row],['#_Constructed/Existing hand washing stations]]-WWWW[[#This Row],['#_Non-Functional_hand_washing_stations]]</f>
        <v>4</v>
      </c>
      <c r="DX384" s="421">
        <f>IF(WWWW[[#This Row],['# Functional hand washing stations during reporting period]]*20&gt;WWWW[[#This Row],[Total HH]],WWWW[[#This Row],[Total HH]],WWWW[[#This Row],['# Functional hand washing stations during reporting period]]*20)</f>
        <v>12</v>
      </c>
      <c r="DY384" s="421">
        <f>IF(WWWW[[#This Row],[Is sufficient soap available for TLS? (Yes/No)]]="yes",WWWW[[#This Row],['#_Constructed/Existing hand washing stations at TLS/CFS/THF]],0)</f>
        <v>0</v>
      </c>
      <c r="DZ384" s="421">
        <f>IF(WWWW[[#This Row],['# Functional hand washing stations during reporting period]]*100&gt;WWWW[[#This Row],[Total PoP ]],WWWW[[#This Row],[Total PoP ]],WWWW[[#This Row],['# Functional hand washing stations during reporting period]]*100)</f>
        <v>26</v>
      </c>
      <c r="EA384" s="421" t="str">
        <f>IF(OR(WWWW[[#This Row],['#_students at TLS_CFS]]="",WWWW[[#This Row],['#_students at TLS_CFS]]=0),"No","Yes")</f>
        <v>No</v>
      </c>
      <c r="EB38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84" s="566">
        <f>WWWW[[#This Row],[%_of_affected_people_surveyed_who_report_feeling_satistfied_with_the_latrine_design_and_sanitation_service]]*WWWW[[#This Row],[Total PoP ]]</f>
        <v>0</v>
      </c>
      <c r="ED384" s="566">
        <f>WWWW[[#This Row],[%_of_affected_people_surveyed_who_report_feeling_satistfied_with_the_water_point_design_and_water_service]]*WWWW[[#This Row],[Total PoP ]]</f>
        <v>0</v>
      </c>
      <c r="EE384" s="566">
        <f>WWWW[[#This Row],[%_of_complaints_received_that_result_in_timely_corrective_action_and_feedback_to_the_community]]*WWWW[[#This Row],[Total PoP ]]</f>
        <v>0</v>
      </c>
      <c r="EF38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8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8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84" s="418">
        <f>VLOOKUP(WWWW[[#This Row],[Site Name]],SiteDB6[[Site Name]:[CCCM Management]],6,FALSE)</f>
        <v>0</v>
      </c>
      <c r="EJ384" s="418">
        <f>VLOOKUP(WWWW[[#This Row],[Site Name]],SiteDB6[[Site Name]:[CCCM Focal Agency]],7,FALSE)</f>
        <v>0</v>
      </c>
      <c r="EK384" s="418" t="str">
        <f>VLOOKUP(WWWW[[#This Row],[Site Name]],SiteDB6[[Site Name]:[Location Type 1]],9,FALSE)</f>
        <v>Camp</v>
      </c>
      <c r="EL384" s="418" t="str">
        <f>VLOOKUP(WWWW[[#This Row],[Site Name]],SiteDB6[[Site Name]:[Type of Accommodation]],10,FALSE)</f>
        <v>Camp like setting</v>
      </c>
      <c r="EM384" s="418" t="str">
        <f>VLOOKUP(WWWW[[#This Row],[Site Name]],SiteDB6[[Site Name]:[Ethnic or GCA/NGCA]],11,FALSE)</f>
        <v>GCA</v>
      </c>
      <c r="EN384" s="418">
        <f>VLOOKUP(WWWW[[#This Row],[Site Name]],SiteDB6[[Site Name]:[Lat]],12,FALSE)</f>
        <v>0</v>
      </c>
      <c r="EO384" s="418">
        <f>VLOOKUP(WWWW[[#This Row],[Site Name]],SiteDB6[[Site Name]:[Long]],13,FALSE)</f>
        <v>0</v>
      </c>
      <c r="EP384" s="418" t="str">
        <f>VLOOKUP(WWWW[[#This Row],[Site Name]],SiteDB6[[Site Name]:[Pcode]],3,FALSE)</f>
        <v>MMR015CMP081</v>
      </c>
      <c r="EQ384" s="950" t="str">
        <f t="shared" si="9"/>
        <v>Notcovered</v>
      </c>
      <c r="ER384" s="950"/>
      <c r="ES384" s="950"/>
      <c r="ET384" s="418">
        <f>VLOOKUP(WWWW[[#This Row],[Site Name]],SiteDB6[[Site Name]:[Pop
(Kachin/Shan-CCCM as of May 2023)]],16,FALSE)</f>
        <v>16</v>
      </c>
      <c r="EU384" s="418">
        <f>VLOOKUP(WWWW[[#This Row],[Site Name]],SiteDB6[[Site Name]:[Pop
(Kachin/Shan-CCCM as of May 2023)]],17,FALSE)</f>
        <v>43</v>
      </c>
    </row>
    <row r="385" spans="1:151">
      <c r="A385" s="946" t="s">
        <v>2962</v>
      </c>
      <c r="B385" s="946" t="s">
        <v>309</v>
      </c>
      <c r="C385" s="938" t="s">
        <v>309</v>
      </c>
      <c r="D385" s="938"/>
      <c r="E385" s="938" t="s">
        <v>515</v>
      </c>
      <c r="F385" s="938" t="s">
        <v>956</v>
      </c>
      <c r="G385" s="902" t="str">
        <f>VLOOKUP(WWWW[[#This Row],[Site Name]],SiteDB6[[Site Name]:[Location Type]],8,FALSE)</f>
        <v>Camp</v>
      </c>
      <c r="H385" s="938" t="s">
        <v>2985</v>
      </c>
      <c r="I385" s="441">
        <v>7</v>
      </c>
      <c r="J385" s="441">
        <v>30</v>
      </c>
      <c r="K385" s="948"/>
      <c r="L385" s="949"/>
      <c r="M385" s="441"/>
      <c r="N385" s="441"/>
      <c r="O385" s="441"/>
      <c r="P385" s="441"/>
      <c r="Q385" s="421"/>
      <c r="R385" s="441"/>
      <c r="S385" s="441"/>
      <c r="T385" s="441"/>
      <c r="U385" s="441"/>
      <c r="V385" s="441"/>
      <c r="W385" s="441"/>
      <c r="X385" s="441"/>
      <c r="Y385" s="441"/>
      <c r="Z385" s="441"/>
      <c r="AA385" s="441"/>
      <c r="AB385" s="441"/>
      <c r="AC385" s="441"/>
      <c r="AD385" s="441"/>
      <c r="AE385" s="441"/>
      <c r="AF385" s="441"/>
      <c r="AG385" s="441"/>
      <c r="AH385" s="441"/>
      <c r="AI385" s="441"/>
      <c r="AJ385" s="441"/>
      <c r="AK385" s="441"/>
      <c r="AL385" s="441"/>
      <c r="AM385" s="441"/>
      <c r="AN385" s="441"/>
      <c r="AO385" s="441"/>
      <c r="AP385" s="950"/>
      <c r="AQ385" s="441"/>
      <c r="AR385" s="441"/>
      <c r="AS385" s="416"/>
      <c r="AT385" s="441"/>
      <c r="AU385" s="441"/>
      <c r="AV385" s="441"/>
      <c r="AW385" s="441"/>
      <c r="AX385" s="441"/>
      <c r="AY385" s="418"/>
      <c r="AZ385" s="950"/>
      <c r="BA385" s="441"/>
      <c r="BB385" s="441"/>
      <c r="BC385" s="441"/>
      <c r="BD385" s="441"/>
      <c r="BE385" s="441"/>
      <c r="BF385" s="418"/>
      <c r="BG385" s="441"/>
      <c r="BH385" s="441"/>
      <c r="BI385" s="441"/>
      <c r="BJ385" s="441"/>
      <c r="BK385" s="441"/>
      <c r="BL385" s="441"/>
      <c r="BM385" s="441"/>
      <c r="BN385" s="441"/>
      <c r="BO385" s="441"/>
      <c r="BP385" s="418"/>
      <c r="BQ385" s="417"/>
      <c r="BR385" s="416"/>
      <c r="BS385" s="418"/>
      <c r="BT385" s="416"/>
      <c r="BU385" s="416"/>
      <c r="BV385" s="418"/>
      <c r="BW385" s="416"/>
      <c r="BX385" s="441"/>
      <c r="BY385" s="441"/>
      <c r="BZ385" s="441"/>
      <c r="CA385" s="441"/>
      <c r="CB385" s="441"/>
      <c r="CC385" s="693"/>
      <c r="CD385" s="441"/>
      <c r="CE385" s="615" t="str">
        <f>IFERROR(WWWW[[#This Row],['#_Water sources passed]]/WWWW[[#This Row],['#_Water sources tested for fecal coliform ]],"no test")</f>
        <v>no test</v>
      </c>
      <c r="CF385" s="416" t="str">
        <f>IFERROR(WWWW[[#This Row],['#_Household passed]]/WWWW[[#This Row],['#_Household water samples tested for fecal coliform]],"no test")</f>
        <v>no test</v>
      </c>
      <c r="CG385" s="417" t="str">
        <f>IF(AND(WWWW[[#This Row],[% of water sources passed]]="no test",WWWW[[#This Row],[% Household passed]]="no test"),"No Test","Tested")</f>
        <v>No Test</v>
      </c>
      <c r="CH385" s="417">
        <f>WWWW[[#This Row],['#_Constructed/existing protected hand dug well]]-WWWW[[#This Row],['#_Non-functional protected hand dug well]]</f>
        <v>0</v>
      </c>
      <c r="CI385" s="417">
        <f>(WWWW[[#This Row],['#_Constructed/Existing tube wells/boreholes/handpumps_WASH_agency]]+WWWW[[#This Row],['#_Non-Cluster partner water tube-wells/boreholes/handpumps]])-WWWW[[#This Row],['#_Non-functional tube wells/boreholes/handpumps]]</f>
        <v>0</v>
      </c>
      <c r="CJ385" s="417">
        <f>WWWW[[#This Row],['#_Constructed/Existingwater storage tank with gravity fed reticulation system]]-WWWW[[#This Row],['#_Non-functional storage tank gravity fed reticulation system]]</f>
        <v>0</v>
      </c>
      <c r="CK385" s="417">
        <f>(WWWW[[#This Row],['#_Water_Liters_supplied_by_Water boating or water trucking]]/90)/15</f>
        <v>0</v>
      </c>
      <c r="CL385" s="417">
        <f>WWWW[[#This Row],['#_Water_Liters_from_Constructed/Existing water distribution system from river or natural spring]]/90/15</f>
        <v>0</v>
      </c>
      <c r="CM385" s="417">
        <f>IF(WWWW[[#This Row],['#_of water points in TLS/CFS]]*500&gt;WWWW[[#This Row],[Total PoP ]],WWWW[[#This Row],[Total PoP ]],WWWW[[#This Row],['#_of water points in TLS/CFS]]*500)</f>
        <v>0</v>
      </c>
      <c r="CN385" s="417">
        <f>IF(WWWW[[#This Row],['#_of water points in THF]]*500&gt;WWWW[[#This Row],[Total PoP ]],WWWW[[#This Row],[Total PoP ]],WWWW[[#This Row],['#_of water points in THF]]*500)</f>
        <v>0</v>
      </c>
      <c r="CO385" s="417"/>
      <c r="CP385"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85"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85" s="416">
        <f>IF(WWWW[[#This Row],[Location Type 1]]="Village",WWWW[[#This Row],[Access to safe drinking water for Village]],WWWW[[#This Row],[Access to safe drinking water for Camp]])</f>
        <v>0</v>
      </c>
      <c r="CS385" s="421">
        <f>WWWW[[#This Row],[%Equitable and continuous access to sufficient quantity of safe drinking water]]*WWWW[[#This Row],[Total PoP ]]</f>
        <v>0</v>
      </c>
      <c r="CT385" s="416">
        <f>IF((WWWW[[#This Row],['#_Constructed/Existing protected/fenced ponds]]*250)/WWWW[[#This Row],[Total PoP ]]&gt;1,1,(WWWW[[#This Row],['#_Constructed/Existing protected/fenced ponds]]*250)/WWWW[[#This Row],[Total PoP ]])</f>
        <v>0</v>
      </c>
      <c r="CU385" s="421">
        <f>WWWW[[#This Row],[% Access to unimproved water points]]*WWWW[[#This Row],[Total PoP ]]</f>
        <v>0</v>
      </c>
      <c r="CV385"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85"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85" s="421">
        <f>WWWW[[#This Row],[HRP1]]/500</f>
        <v>0</v>
      </c>
      <c r="CY385" s="951">
        <f>1-WWWW[[#This Row],[% Equitable and continuous access to sufficient quantity of domestic water]]</f>
        <v>1</v>
      </c>
      <c r="CZ385" s="421">
        <f>WWWW[[#This Row],[%equitable and continuous access to sufficient quantity of safe drinking and domestic water''s GAP]]*WWWW[[#This Row],[Total PoP ]]</f>
        <v>30</v>
      </c>
      <c r="DA385" s="417">
        <f>IF(WWWW[[#This Row],[Total required water points]]-WWWW[[#This Row],['#Water points coverage]]&lt;0,0,WWWW[[#This Row],[Total required water points]]-WWWW[[#This Row],['#Water points coverage]])</f>
        <v>1</v>
      </c>
      <c r="DB385" s="417">
        <f>ROUND(IF(WWWW[[#This Row],[Total PoP ]]&lt;500,1,WWWW[[#This Row],[Total PoP ]]/500),0)</f>
        <v>1</v>
      </c>
      <c r="DC385" s="417">
        <f>(WWWW[[#This Row],['#_Constructed latrines_by_WASHAgencies]]+WWWW[[#This Row],['#_Non Cluster partner latrines]])-WWWW[[#This Row],['#_Non-functional latrines]]</f>
        <v>0</v>
      </c>
      <c r="DD385" s="615">
        <f>WWWW[[#This Row],[HRP2]]/WWWW[[#This Row],[Total PoP ]]</f>
        <v>0</v>
      </c>
      <c r="DE385"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85"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85"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85" s="417">
        <f>IF(WWWW[[#This Row],['# of functional latrines in THF supported by WASH partners during the reporting period2]]="",0,WWWW[[#This Row],['# of functional latrines in THF supported by WASH partners during the reporting period2]]*50)</f>
        <v>0</v>
      </c>
      <c r="DI385" s="417">
        <f>ROUND(IF(WWWW[[#This Row],[Location Type 1]]="camp",WWWW[[#This Row],[Total PoP ]]/20,IF(WWWW[[#This Row],[Location Type 1]]="Temporary Location",WWWW[[#This Row],[Total PoP ]]/50,(WWWW[[#This Row],[Total PoP ]]/6))),0)</f>
        <v>2</v>
      </c>
      <c r="DJ385" s="417">
        <f>IF(WWWW[[#This Row],[Total required Latrines]]-(WWWW[[#This Row],['#_Constructed latrines_by_WASHAgencies]]+WWWW[[#This Row],['#_Non Cluster partner latrines]])&lt;0,0,WWWW[[#This Row],[Total required Latrines]]-(WWWW[[#This Row],['#_Constructed latrines_by_WASHAgencies]]+WWWW[[#This Row],['#_Non Cluster partner latrines]]))</f>
        <v>2</v>
      </c>
      <c r="DK385" s="951">
        <f>1-WWWW[[#This Row],[% people access to functioning Latrine]]</f>
        <v>1</v>
      </c>
      <c r="DL385" s="615">
        <f>IF(OR(WWWW[[#This Row],['#_Non-functional latrines]]="",WWWW[[#This Row],['#_Non-functional latrines]]=0),0,WWWW[[#This Row],['#_Non-functional latrines]]/(WWWW[[#This Row],['#_Constructed latrines_by_WASHAgencies]]+WWWW[[#This Row],['#_Non Cluster partner latrines]]))</f>
        <v>0</v>
      </c>
      <c r="DM385" s="421">
        <f>IF(500*(WWWW[[#This Row],['#_male hygiene promoters]]+WWWW[[#This Row],['#_female hygiene promoters]])&gt;WWWW[[#This Row],[Total PoP ]],WWWW[[#This Row],[Total PoP ]],500*(WWWW[[#This Row],['#_male hygiene promoters]]+WWWW[[#This Row],['#_female hygiene promoters]]))</f>
        <v>0</v>
      </c>
      <c r="DN385"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85"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85" s="417">
        <f>IF(WWWW[[#This Row],['# People with access to soap]]&gt;WWWW[[#This Row],['# People with access to Sanity Pads]],WWWW[[#This Row],['# People with access to soap]],WWWW[[#This Row],['# People with access to Sanity Pads]])</f>
        <v>0</v>
      </c>
      <c r="DQ385"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85" s="951">
        <f>IF(WWWW[[#This Row],[HRP3]]/WWWW[[#This Row],[Total PoP ]]&gt;1,1,WWWW[[#This Row],[HRP3]]/WWWW[[#This Row],[Total PoP ]])</f>
        <v>0</v>
      </c>
      <c r="DS385" s="615">
        <f>1-WWWW[[#This Row],[Hygiene Coverage%]]</f>
        <v>1</v>
      </c>
      <c r="DT385" s="416">
        <f>WWWW[[#This Row],['# people reached by regular dedicated hygiene promotion_5]]/WWWW[[#This Row],[Total PoP ]]</f>
        <v>0</v>
      </c>
      <c r="DU385"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85"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85" s="417">
        <f>WWWW[[#This Row],['#_Constructed/Existing hand washing stations]]-WWWW[[#This Row],['#_Non-Functional_hand_washing_stations]]</f>
        <v>0</v>
      </c>
      <c r="DX385" s="421">
        <f>IF(WWWW[[#This Row],['# Functional hand washing stations during reporting period]]*20&gt;WWWW[[#This Row],[Total HH]],WWWW[[#This Row],[Total HH]],WWWW[[#This Row],['# Functional hand washing stations during reporting period]]*20)</f>
        <v>0</v>
      </c>
      <c r="DY385" s="421">
        <f>IF(WWWW[[#This Row],[Is sufficient soap available for TLS? (Yes/No)]]="yes",WWWW[[#This Row],['#_Constructed/Existing hand washing stations at TLS/CFS/THF]],0)</f>
        <v>0</v>
      </c>
      <c r="DZ385" s="421">
        <f>IF(WWWW[[#This Row],['# Functional hand washing stations during reporting period]]*100&gt;WWWW[[#This Row],[Total PoP ]],WWWW[[#This Row],[Total PoP ]],WWWW[[#This Row],['# Functional hand washing stations during reporting period]]*100)</f>
        <v>0</v>
      </c>
      <c r="EA385" s="421" t="str">
        <f>IF(OR(WWWW[[#This Row],['#_students at TLS_CFS]]="",WWWW[[#This Row],['#_students at TLS_CFS]]=0),"No","Yes")</f>
        <v>No</v>
      </c>
      <c r="EB38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85" s="566">
        <f>WWWW[[#This Row],[%_of_affected_people_surveyed_who_report_feeling_satistfied_with_the_latrine_design_and_sanitation_service]]*WWWW[[#This Row],[Total PoP ]]</f>
        <v>0</v>
      </c>
      <c r="ED385" s="566">
        <f>WWWW[[#This Row],[%_of_affected_people_surveyed_who_report_feeling_satistfied_with_the_water_point_design_and_water_service]]*WWWW[[#This Row],[Total PoP ]]</f>
        <v>0</v>
      </c>
      <c r="EE385" s="566">
        <f>WWWW[[#This Row],[%_of_complaints_received_that_result_in_timely_corrective_action_and_feedback_to_the_community]]*WWWW[[#This Row],[Total PoP ]]</f>
        <v>0</v>
      </c>
      <c r="EF38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8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8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85" s="418">
        <f>VLOOKUP(WWWW[[#This Row],[Site Name]],SiteDB6[[Site Name]:[CCCM Management]],6,FALSE)</f>
        <v>0</v>
      </c>
      <c r="EJ385" s="418" t="str">
        <f>VLOOKUP(WWWW[[#This Row],[Site Name]],SiteDB6[[Site Name]:[CCCM Focal Agency]],7,FALSE)</f>
        <v>Uncovered</v>
      </c>
      <c r="EK385" s="418" t="str">
        <f>VLOOKUP(WWWW[[#This Row],[Site Name]],SiteDB6[[Site Name]:[Location Type 1]],9,FALSE)</f>
        <v>Camp</v>
      </c>
      <c r="EL385" s="418" t="str">
        <f>VLOOKUP(WWWW[[#This Row],[Site Name]],SiteDB6[[Site Name]:[Type of Accommodation]],10,FALSE)</f>
        <v>Camp like setting</v>
      </c>
      <c r="EM385" s="418" t="str">
        <f>VLOOKUP(WWWW[[#This Row],[Site Name]],SiteDB6[[Site Name]:[Ethnic or GCA/NGCA]],11,FALSE)</f>
        <v>GCA</v>
      </c>
      <c r="EN385" s="418">
        <f>VLOOKUP(WWWW[[#This Row],[Site Name]],SiteDB6[[Site Name]:[Lat]],12,FALSE)</f>
        <v>0</v>
      </c>
      <c r="EO385" s="418" t="str">
        <f>VLOOKUP(WWWW[[#This Row],[Site Name]],SiteDB6[[Site Name]:[Long]],13,FALSE)</f>
        <v>not available</v>
      </c>
      <c r="EP385" s="418" t="str">
        <f>VLOOKUP(WWWW[[#This Row],[Site Name]],SiteDB6[[Site Name]:[Pcode]],3,FALSE)</f>
        <v>MMR015CMP096</v>
      </c>
      <c r="EQ385" s="950" t="str">
        <f t="shared" si="9"/>
        <v>Notcovered</v>
      </c>
      <c r="ER385" s="950"/>
      <c r="ES385" s="950"/>
      <c r="ET385" s="418">
        <f>VLOOKUP(WWWW[[#This Row],[Site Name]],SiteDB6[[Site Name]:[Pop
(Kachin/Shan-CCCM as of May 2023)]],16,FALSE)</f>
        <v>7</v>
      </c>
      <c r="EU385" s="418">
        <f>VLOOKUP(WWWW[[#This Row],[Site Name]],SiteDB6[[Site Name]:[Pop
(Kachin/Shan-CCCM as of May 2023)]],17,FALSE)</f>
        <v>30</v>
      </c>
    </row>
    <row r="386" spans="1:151">
      <c r="A386" s="946" t="s">
        <v>2962</v>
      </c>
      <c r="B386" s="946" t="s">
        <v>309</v>
      </c>
      <c r="C386" s="938" t="s">
        <v>309</v>
      </c>
      <c r="D386" s="938"/>
      <c r="E386" s="938" t="s">
        <v>515</v>
      </c>
      <c r="F386" s="938" t="s">
        <v>956</v>
      </c>
      <c r="G386" s="902" t="str">
        <f>VLOOKUP(WWWW[[#This Row],[Site Name]],SiteDB6[[Site Name]:[Location Type]],8,FALSE)</f>
        <v>Camp</v>
      </c>
      <c r="H386" s="938" t="s">
        <v>2973</v>
      </c>
      <c r="I386" s="441">
        <v>19</v>
      </c>
      <c r="J386" s="441">
        <v>82</v>
      </c>
      <c r="K386" s="948"/>
      <c r="L386" s="949"/>
      <c r="M386" s="441"/>
      <c r="N386" s="441"/>
      <c r="O386" s="441"/>
      <c r="P386" s="441"/>
      <c r="Q386" s="421"/>
      <c r="R386" s="441"/>
      <c r="S386" s="441"/>
      <c r="T386" s="441"/>
      <c r="U386" s="441"/>
      <c r="V386" s="441"/>
      <c r="W386" s="441"/>
      <c r="X386" s="441"/>
      <c r="Y386" s="441"/>
      <c r="Z386" s="441"/>
      <c r="AA386" s="441"/>
      <c r="AB386" s="441"/>
      <c r="AC386" s="441"/>
      <c r="AD386" s="441"/>
      <c r="AE386" s="441"/>
      <c r="AF386" s="441"/>
      <c r="AG386" s="441"/>
      <c r="AH386" s="441"/>
      <c r="AI386" s="441"/>
      <c r="AJ386" s="441"/>
      <c r="AK386" s="441"/>
      <c r="AL386" s="441"/>
      <c r="AM386" s="441"/>
      <c r="AN386" s="441"/>
      <c r="AO386" s="441"/>
      <c r="AP386" s="950"/>
      <c r="AQ386" s="441"/>
      <c r="AR386" s="441"/>
      <c r="AS386" s="416"/>
      <c r="AT386" s="441"/>
      <c r="AU386" s="441"/>
      <c r="AV386" s="441"/>
      <c r="AW386" s="441"/>
      <c r="AX386" s="441"/>
      <c r="AY386" s="418"/>
      <c r="AZ386" s="950"/>
      <c r="BA386" s="441"/>
      <c r="BB386" s="441"/>
      <c r="BC386" s="441"/>
      <c r="BD386" s="441"/>
      <c r="BE386" s="441"/>
      <c r="BF386" s="418"/>
      <c r="BG386" s="441"/>
      <c r="BH386" s="441"/>
      <c r="BI386" s="441"/>
      <c r="BJ386" s="441"/>
      <c r="BK386" s="441"/>
      <c r="BL386" s="441"/>
      <c r="BM386" s="441"/>
      <c r="BN386" s="441"/>
      <c r="BO386" s="441"/>
      <c r="BP386" s="418"/>
      <c r="BQ386" s="417"/>
      <c r="BR386" s="416"/>
      <c r="BS386" s="418"/>
      <c r="BT386" s="416"/>
      <c r="BU386" s="416"/>
      <c r="BV386" s="418"/>
      <c r="BW386" s="416"/>
      <c r="BX386" s="441"/>
      <c r="BY386" s="441"/>
      <c r="BZ386" s="441"/>
      <c r="CA386" s="441"/>
      <c r="CB386" s="441"/>
      <c r="CC386" s="693"/>
      <c r="CD386" s="441"/>
      <c r="CE386" s="615" t="str">
        <f>IFERROR(WWWW[[#This Row],['#_Water sources passed]]/WWWW[[#This Row],['#_Water sources tested for fecal coliform ]],"no test")</f>
        <v>no test</v>
      </c>
      <c r="CF386" s="416" t="str">
        <f>IFERROR(WWWW[[#This Row],['#_Household passed]]/WWWW[[#This Row],['#_Household water samples tested for fecal coliform]],"no test")</f>
        <v>no test</v>
      </c>
      <c r="CG386" s="417" t="str">
        <f>IF(AND(WWWW[[#This Row],[% of water sources passed]]="no test",WWWW[[#This Row],[% Household passed]]="no test"),"No Test","Tested")</f>
        <v>No Test</v>
      </c>
      <c r="CH386" s="417">
        <f>WWWW[[#This Row],['#_Constructed/existing protected hand dug well]]-WWWW[[#This Row],['#_Non-functional protected hand dug well]]</f>
        <v>0</v>
      </c>
      <c r="CI386" s="417">
        <f>(WWWW[[#This Row],['#_Constructed/Existing tube wells/boreholes/handpumps_WASH_agency]]+WWWW[[#This Row],['#_Non-Cluster partner water tube-wells/boreholes/handpumps]])-WWWW[[#This Row],['#_Non-functional tube wells/boreholes/handpumps]]</f>
        <v>0</v>
      </c>
      <c r="CJ386" s="417">
        <f>WWWW[[#This Row],['#_Constructed/Existingwater storage tank with gravity fed reticulation system]]-WWWW[[#This Row],['#_Non-functional storage tank gravity fed reticulation system]]</f>
        <v>0</v>
      </c>
      <c r="CK386" s="417">
        <f>(WWWW[[#This Row],['#_Water_Liters_supplied_by_Water boating or water trucking]]/90)/15</f>
        <v>0</v>
      </c>
      <c r="CL386" s="417">
        <f>WWWW[[#This Row],['#_Water_Liters_from_Constructed/Existing water distribution system from river or natural spring]]/90/15</f>
        <v>0</v>
      </c>
      <c r="CM386" s="417">
        <f>IF(WWWW[[#This Row],['#_of water points in TLS/CFS]]*500&gt;WWWW[[#This Row],[Total PoP ]],WWWW[[#This Row],[Total PoP ]],WWWW[[#This Row],['#_of water points in TLS/CFS]]*500)</f>
        <v>0</v>
      </c>
      <c r="CN386" s="417">
        <f>IF(WWWW[[#This Row],['#_of water points in THF]]*500&gt;WWWW[[#This Row],[Total PoP ]],WWWW[[#This Row],[Total PoP ]],WWWW[[#This Row],['#_of water points in THF]]*500)</f>
        <v>0</v>
      </c>
      <c r="CO386" s="417"/>
      <c r="CP386"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86"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86" s="416">
        <f>IF(WWWW[[#This Row],[Location Type 1]]="Village",WWWW[[#This Row],[Access to safe drinking water for Village]],WWWW[[#This Row],[Access to safe drinking water for Camp]])</f>
        <v>0</v>
      </c>
      <c r="CS386" s="421">
        <f>WWWW[[#This Row],[%Equitable and continuous access to sufficient quantity of safe drinking water]]*WWWW[[#This Row],[Total PoP ]]</f>
        <v>0</v>
      </c>
      <c r="CT386" s="416">
        <f>IF((WWWW[[#This Row],['#_Constructed/Existing protected/fenced ponds]]*250)/WWWW[[#This Row],[Total PoP ]]&gt;1,1,(WWWW[[#This Row],['#_Constructed/Existing protected/fenced ponds]]*250)/WWWW[[#This Row],[Total PoP ]])</f>
        <v>0</v>
      </c>
      <c r="CU386" s="421">
        <f>WWWW[[#This Row],[% Access to unimproved water points]]*WWWW[[#This Row],[Total PoP ]]</f>
        <v>0</v>
      </c>
      <c r="CV386"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86"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86" s="421">
        <f>WWWW[[#This Row],[HRP1]]/500</f>
        <v>0</v>
      </c>
      <c r="CY386" s="951">
        <f>1-WWWW[[#This Row],[% Equitable and continuous access to sufficient quantity of domestic water]]</f>
        <v>1</v>
      </c>
      <c r="CZ386" s="421">
        <f>WWWW[[#This Row],[%equitable and continuous access to sufficient quantity of safe drinking and domestic water''s GAP]]*WWWW[[#This Row],[Total PoP ]]</f>
        <v>82</v>
      </c>
      <c r="DA386" s="417">
        <f>IF(WWWW[[#This Row],[Total required water points]]-WWWW[[#This Row],['#Water points coverage]]&lt;0,0,WWWW[[#This Row],[Total required water points]]-WWWW[[#This Row],['#Water points coverage]])</f>
        <v>1</v>
      </c>
      <c r="DB386" s="417">
        <f>ROUND(IF(WWWW[[#This Row],[Total PoP ]]&lt;500,1,WWWW[[#This Row],[Total PoP ]]/500),0)</f>
        <v>1</v>
      </c>
      <c r="DC386" s="417">
        <f>(WWWW[[#This Row],['#_Constructed latrines_by_WASHAgencies]]+WWWW[[#This Row],['#_Non Cluster partner latrines]])-WWWW[[#This Row],['#_Non-functional latrines]]</f>
        <v>0</v>
      </c>
      <c r="DD386" s="615">
        <f>WWWW[[#This Row],[HRP2]]/WWWW[[#This Row],[Total PoP ]]</f>
        <v>0</v>
      </c>
      <c r="DE386"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86"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86"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86" s="417">
        <f>IF(WWWW[[#This Row],['# of functional latrines in THF supported by WASH partners during the reporting period2]]="",0,WWWW[[#This Row],['# of functional latrines in THF supported by WASH partners during the reporting period2]]*50)</f>
        <v>0</v>
      </c>
      <c r="DI386" s="417">
        <f>ROUND(IF(WWWW[[#This Row],[Location Type 1]]="camp",WWWW[[#This Row],[Total PoP ]]/20,IF(WWWW[[#This Row],[Location Type 1]]="Temporary Location",WWWW[[#This Row],[Total PoP ]]/50,(WWWW[[#This Row],[Total PoP ]]/6))),0)</f>
        <v>4</v>
      </c>
      <c r="DJ386" s="417">
        <f>IF(WWWW[[#This Row],[Total required Latrines]]-(WWWW[[#This Row],['#_Constructed latrines_by_WASHAgencies]]+WWWW[[#This Row],['#_Non Cluster partner latrines]])&lt;0,0,WWWW[[#This Row],[Total required Latrines]]-(WWWW[[#This Row],['#_Constructed latrines_by_WASHAgencies]]+WWWW[[#This Row],['#_Non Cluster partner latrines]]))</f>
        <v>4</v>
      </c>
      <c r="DK386" s="951">
        <f>1-WWWW[[#This Row],[% people access to functioning Latrine]]</f>
        <v>1</v>
      </c>
      <c r="DL386" s="615">
        <f>IF(OR(WWWW[[#This Row],['#_Non-functional latrines]]="",WWWW[[#This Row],['#_Non-functional latrines]]=0),0,WWWW[[#This Row],['#_Non-functional latrines]]/(WWWW[[#This Row],['#_Constructed latrines_by_WASHAgencies]]+WWWW[[#This Row],['#_Non Cluster partner latrines]]))</f>
        <v>0</v>
      </c>
      <c r="DM386" s="421">
        <f>IF(500*(WWWW[[#This Row],['#_male hygiene promoters]]+WWWW[[#This Row],['#_female hygiene promoters]])&gt;WWWW[[#This Row],[Total PoP ]],WWWW[[#This Row],[Total PoP ]],500*(WWWW[[#This Row],['#_male hygiene promoters]]+WWWW[[#This Row],['#_female hygiene promoters]]))</f>
        <v>0</v>
      </c>
      <c r="DN386"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86"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86" s="417">
        <f>IF(WWWW[[#This Row],['# People with access to soap]]&gt;WWWW[[#This Row],['# People with access to Sanity Pads]],WWWW[[#This Row],['# People with access to soap]],WWWW[[#This Row],['# People with access to Sanity Pads]])</f>
        <v>0</v>
      </c>
      <c r="DQ386"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86" s="951">
        <f>IF(WWWW[[#This Row],[HRP3]]/WWWW[[#This Row],[Total PoP ]]&gt;1,1,WWWW[[#This Row],[HRP3]]/WWWW[[#This Row],[Total PoP ]])</f>
        <v>0</v>
      </c>
      <c r="DS386" s="615">
        <f>1-WWWW[[#This Row],[Hygiene Coverage%]]</f>
        <v>1</v>
      </c>
      <c r="DT386" s="416">
        <f>WWWW[[#This Row],['# people reached by regular dedicated hygiene promotion_5]]/WWWW[[#This Row],[Total PoP ]]</f>
        <v>0</v>
      </c>
      <c r="DU386"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86"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86" s="417">
        <f>WWWW[[#This Row],['#_Constructed/Existing hand washing stations]]-WWWW[[#This Row],['#_Non-Functional_hand_washing_stations]]</f>
        <v>0</v>
      </c>
      <c r="DX386" s="421">
        <f>IF(WWWW[[#This Row],['# Functional hand washing stations during reporting period]]*20&gt;WWWW[[#This Row],[Total HH]],WWWW[[#This Row],[Total HH]],WWWW[[#This Row],['# Functional hand washing stations during reporting period]]*20)</f>
        <v>0</v>
      </c>
      <c r="DY386" s="421">
        <f>IF(WWWW[[#This Row],[Is sufficient soap available for TLS? (Yes/No)]]="yes",WWWW[[#This Row],['#_Constructed/Existing hand washing stations at TLS/CFS/THF]],0)</f>
        <v>0</v>
      </c>
      <c r="DZ386" s="421">
        <f>IF(WWWW[[#This Row],['# Functional hand washing stations during reporting period]]*100&gt;WWWW[[#This Row],[Total PoP ]],WWWW[[#This Row],[Total PoP ]],WWWW[[#This Row],['# Functional hand washing stations during reporting period]]*100)</f>
        <v>0</v>
      </c>
      <c r="EA386" s="421" t="str">
        <f>IF(OR(WWWW[[#This Row],['#_students at TLS_CFS]]="",WWWW[[#This Row],['#_students at TLS_CFS]]=0),"No","Yes")</f>
        <v>No</v>
      </c>
      <c r="EB38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86" s="566">
        <f>WWWW[[#This Row],[%_of_affected_people_surveyed_who_report_feeling_satistfied_with_the_latrine_design_and_sanitation_service]]*WWWW[[#This Row],[Total PoP ]]</f>
        <v>0</v>
      </c>
      <c r="ED386" s="566">
        <f>WWWW[[#This Row],[%_of_affected_people_surveyed_who_report_feeling_satistfied_with_the_water_point_design_and_water_service]]*WWWW[[#This Row],[Total PoP ]]</f>
        <v>0</v>
      </c>
      <c r="EE386" s="566">
        <f>WWWW[[#This Row],[%_of_complaints_received_that_result_in_timely_corrective_action_and_feedback_to_the_community]]*WWWW[[#This Row],[Total PoP ]]</f>
        <v>0</v>
      </c>
      <c r="EF38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8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8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86" s="418">
        <f>VLOOKUP(WWWW[[#This Row],[Site Name]],SiteDB6[[Site Name]:[CCCM Management]],6,FALSE)</f>
        <v>0</v>
      </c>
      <c r="EJ386" s="418" t="str">
        <f>VLOOKUP(WWWW[[#This Row],[Site Name]],SiteDB6[[Site Name]:[CCCM Focal Agency]],7,FALSE)</f>
        <v>Uncovered</v>
      </c>
      <c r="EK386" s="418" t="str">
        <f>VLOOKUP(WWWW[[#This Row],[Site Name]],SiteDB6[[Site Name]:[Location Type 1]],9,FALSE)</f>
        <v>Camp</v>
      </c>
      <c r="EL386" s="418" t="str">
        <f>VLOOKUP(WWWW[[#This Row],[Site Name]],SiteDB6[[Site Name]:[Type of Accommodation]],10,FALSE)</f>
        <v>Camp like setting</v>
      </c>
      <c r="EM386" s="418" t="str">
        <f>VLOOKUP(WWWW[[#This Row],[Site Name]],SiteDB6[[Site Name]:[Ethnic or GCA/NGCA]],11,FALSE)</f>
        <v>GCA</v>
      </c>
      <c r="EN386" s="418">
        <f>VLOOKUP(WWWW[[#This Row],[Site Name]],SiteDB6[[Site Name]:[Lat]],12,FALSE)</f>
        <v>22.97711</v>
      </c>
      <c r="EO386" s="418">
        <f>VLOOKUP(WWWW[[#This Row],[Site Name]],SiteDB6[[Site Name]:[Long]],13,FALSE)</f>
        <v>97.699299999999994</v>
      </c>
      <c r="EP386" s="418" t="str">
        <f>VLOOKUP(WWWW[[#This Row],[Site Name]],SiteDB6[[Site Name]:[Pcode]],3,FALSE)</f>
        <v>MMR015CMP086</v>
      </c>
      <c r="EQ386" s="950" t="str">
        <f t="shared" si="9"/>
        <v>Notcovered</v>
      </c>
      <c r="ER386" s="950"/>
      <c r="ES386" s="950"/>
      <c r="ET386" s="418">
        <f>VLOOKUP(WWWW[[#This Row],[Site Name]],SiteDB6[[Site Name]:[Pop
(Kachin/Shan-CCCM as of May 2023)]],16,FALSE)</f>
        <v>19</v>
      </c>
      <c r="EU386" s="418">
        <f>VLOOKUP(WWWW[[#This Row],[Site Name]],SiteDB6[[Site Name]:[Pop
(Kachin/Shan-CCCM as of May 2023)]],17,FALSE)</f>
        <v>82</v>
      </c>
    </row>
    <row r="387" spans="1:151">
      <c r="A387" s="946" t="s">
        <v>2962</v>
      </c>
      <c r="B387" s="946" t="s">
        <v>309</v>
      </c>
      <c r="C387" s="938" t="s">
        <v>309</v>
      </c>
      <c r="D387" s="938"/>
      <c r="E387" s="938" t="s">
        <v>515</v>
      </c>
      <c r="F387" s="938" t="s">
        <v>956</v>
      </c>
      <c r="G387" s="902" t="str">
        <f>VLOOKUP(WWWW[[#This Row],[Site Name]],SiteDB6[[Site Name]:[Location Type]],8,FALSE)</f>
        <v>Camp</v>
      </c>
      <c r="H387" s="938" t="s">
        <v>2981</v>
      </c>
      <c r="I387" s="441">
        <v>20</v>
      </c>
      <c r="J387" s="441">
        <v>61</v>
      </c>
      <c r="K387" s="948"/>
      <c r="L387" s="949"/>
      <c r="M387" s="441"/>
      <c r="N387" s="441"/>
      <c r="O387" s="441"/>
      <c r="P387" s="441"/>
      <c r="Q387" s="421"/>
      <c r="R387" s="441"/>
      <c r="S387" s="441"/>
      <c r="T387" s="441"/>
      <c r="U387" s="441"/>
      <c r="V387" s="441"/>
      <c r="W387" s="441"/>
      <c r="X387" s="441"/>
      <c r="Y387" s="441"/>
      <c r="Z387" s="441"/>
      <c r="AA387" s="441"/>
      <c r="AB387" s="441"/>
      <c r="AC387" s="441"/>
      <c r="AD387" s="441"/>
      <c r="AE387" s="441"/>
      <c r="AF387" s="441"/>
      <c r="AG387" s="441"/>
      <c r="AH387" s="441"/>
      <c r="AI387" s="441"/>
      <c r="AJ387" s="441"/>
      <c r="AK387" s="441"/>
      <c r="AL387" s="441"/>
      <c r="AM387" s="441"/>
      <c r="AN387" s="441"/>
      <c r="AO387" s="441"/>
      <c r="AP387" s="950"/>
      <c r="AQ387" s="441"/>
      <c r="AR387" s="441"/>
      <c r="AS387" s="416"/>
      <c r="AT387" s="441"/>
      <c r="AU387" s="441"/>
      <c r="AV387" s="441"/>
      <c r="AW387" s="441"/>
      <c r="AX387" s="441"/>
      <c r="AY387" s="418"/>
      <c r="AZ387" s="950"/>
      <c r="BA387" s="441"/>
      <c r="BB387" s="441"/>
      <c r="BC387" s="441"/>
      <c r="BD387" s="441"/>
      <c r="BE387" s="441"/>
      <c r="BF387" s="418"/>
      <c r="BG387" s="441"/>
      <c r="BH387" s="441"/>
      <c r="BI387" s="441"/>
      <c r="BJ387" s="441"/>
      <c r="BK387" s="441"/>
      <c r="BL387" s="441"/>
      <c r="BM387" s="441"/>
      <c r="BN387" s="441"/>
      <c r="BO387" s="441"/>
      <c r="BP387" s="418"/>
      <c r="BQ387" s="417"/>
      <c r="BR387" s="416"/>
      <c r="BS387" s="418"/>
      <c r="BT387" s="416"/>
      <c r="BU387" s="416"/>
      <c r="BV387" s="418"/>
      <c r="BW387" s="416"/>
      <c r="BX387" s="441"/>
      <c r="BY387" s="441"/>
      <c r="BZ387" s="441"/>
      <c r="CA387" s="441"/>
      <c r="CB387" s="441"/>
      <c r="CC387" s="693"/>
      <c r="CD387" s="441"/>
      <c r="CE387" s="615" t="str">
        <f>IFERROR(WWWW[[#This Row],['#_Water sources passed]]/WWWW[[#This Row],['#_Water sources tested for fecal coliform ]],"no test")</f>
        <v>no test</v>
      </c>
      <c r="CF387" s="416" t="str">
        <f>IFERROR(WWWW[[#This Row],['#_Household passed]]/WWWW[[#This Row],['#_Household water samples tested for fecal coliform]],"no test")</f>
        <v>no test</v>
      </c>
      <c r="CG387" s="417" t="str">
        <f>IF(AND(WWWW[[#This Row],[% of water sources passed]]="no test",WWWW[[#This Row],[% Household passed]]="no test"),"No Test","Tested")</f>
        <v>No Test</v>
      </c>
      <c r="CH387" s="417">
        <f>WWWW[[#This Row],['#_Constructed/existing protected hand dug well]]-WWWW[[#This Row],['#_Non-functional protected hand dug well]]</f>
        <v>0</v>
      </c>
      <c r="CI387" s="417">
        <f>(WWWW[[#This Row],['#_Constructed/Existing tube wells/boreholes/handpumps_WASH_agency]]+WWWW[[#This Row],['#_Non-Cluster partner water tube-wells/boreholes/handpumps]])-WWWW[[#This Row],['#_Non-functional tube wells/boreholes/handpumps]]</f>
        <v>0</v>
      </c>
      <c r="CJ387" s="417">
        <f>WWWW[[#This Row],['#_Constructed/Existingwater storage tank with gravity fed reticulation system]]-WWWW[[#This Row],['#_Non-functional storage tank gravity fed reticulation system]]</f>
        <v>0</v>
      </c>
      <c r="CK387" s="417">
        <f>(WWWW[[#This Row],['#_Water_Liters_supplied_by_Water boating or water trucking]]/90)/15</f>
        <v>0</v>
      </c>
      <c r="CL387" s="417">
        <f>WWWW[[#This Row],['#_Water_Liters_from_Constructed/Existing water distribution system from river or natural spring]]/90/15</f>
        <v>0</v>
      </c>
      <c r="CM387" s="417">
        <f>IF(WWWW[[#This Row],['#_of water points in TLS/CFS]]*500&gt;WWWW[[#This Row],[Total PoP ]],WWWW[[#This Row],[Total PoP ]],WWWW[[#This Row],['#_of water points in TLS/CFS]]*500)</f>
        <v>0</v>
      </c>
      <c r="CN387" s="417">
        <f>IF(WWWW[[#This Row],['#_of water points in THF]]*500&gt;WWWW[[#This Row],[Total PoP ]],WWWW[[#This Row],[Total PoP ]],WWWW[[#This Row],['#_of water points in THF]]*500)</f>
        <v>0</v>
      </c>
      <c r="CO387" s="417"/>
      <c r="CP387"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87"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87" s="416">
        <f>IF(WWWW[[#This Row],[Location Type 1]]="Village",WWWW[[#This Row],[Access to safe drinking water for Village]],WWWW[[#This Row],[Access to safe drinking water for Camp]])</f>
        <v>0</v>
      </c>
      <c r="CS387" s="421">
        <f>WWWW[[#This Row],[%Equitable and continuous access to sufficient quantity of safe drinking water]]*WWWW[[#This Row],[Total PoP ]]</f>
        <v>0</v>
      </c>
      <c r="CT387" s="416">
        <f>IF((WWWW[[#This Row],['#_Constructed/Existing protected/fenced ponds]]*250)/WWWW[[#This Row],[Total PoP ]]&gt;1,1,(WWWW[[#This Row],['#_Constructed/Existing protected/fenced ponds]]*250)/WWWW[[#This Row],[Total PoP ]])</f>
        <v>0</v>
      </c>
      <c r="CU387" s="421">
        <f>WWWW[[#This Row],[% Access to unimproved water points]]*WWWW[[#This Row],[Total PoP ]]</f>
        <v>0</v>
      </c>
      <c r="CV387"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87"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87" s="421">
        <f>WWWW[[#This Row],[HRP1]]/500</f>
        <v>0</v>
      </c>
      <c r="CY387" s="951">
        <f>1-WWWW[[#This Row],[% Equitable and continuous access to sufficient quantity of domestic water]]</f>
        <v>1</v>
      </c>
      <c r="CZ387" s="421">
        <f>WWWW[[#This Row],[%equitable and continuous access to sufficient quantity of safe drinking and domestic water''s GAP]]*WWWW[[#This Row],[Total PoP ]]</f>
        <v>61</v>
      </c>
      <c r="DA387" s="417">
        <f>IF(WWWW[[#This Row],[Total required water points]]-WWWW[[#This Row],['#Water points coverage]]&lt;0,0,WWWW[[#This Row],[Total required water points]]-WWWW[[#This Row],['#Water points coverage]])</f>
        <v>1</v>
      </c>
      <c r="DB387" s="417">
        <f>ROUND(IF(WWWW[[#This Row],[Total PoP ]]&lt;500,1,WWWW[[#This Row],[Total PoP ]]/500),0)</f>
        <v>1</v>
      </c>
      <c r="DC387" s="417">
        <f>(WWWW[[#This Row],['#_Constructed latrines_by_WASHAgencies]]+WWWW[[#This Row],['#_Non Cluster partner latrines]])-WWWW[[#This Row],['#_Non-functional latrines]]</f>
        <v>0</v>
      </c>
      <c r="DD387" s="615">
        <f>WWWW[[#This Row],[HRP2]]/WWWW[[#This Row],[Total PoP ]]</f>
        <v>0</v>
      </c>
      <c r="DE387"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87"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87"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87" s="417">
        <f>IF(WWWW[[#This Row],['# of functional latrines in THF supported by WASH partners during the reporting period2]]="",0,WWWW[[#This Row],['# of functional latrines in THF supported by WASH partners during the reporting period2]]*50)</f>
        <v>0</v>
      </c>
      <c r="DI387" s="417">
        <f>ROUND(IF(WWWW[[#This Row],[Location Type 1]]="camp",WWWW[[#This Row],[Total PoP ]]/20,IF(WWWW[[#This Row],[Location Type 1]]="Temporary Location",WWWW[[#This Row],[Total PoP ]]/50,(WWWW[[#This Row],[Total PoP ]]/6))),0)</f>
        <v>3</v>
      </c>
      <c r="DJ387" s="417">
        <f>IF(WWWW[[#This Row],[Total required Latrines]]-(WWWW[[#This Row],['#_Constructed latrines_by_WASHAgencies]]+WWWW[[#This Row],['#_Non Cluster partner latrines]])&lt;0,0,WWWW[[#This Row],[Total required Latrines]]-(WWWW[[#This Row],['#_Constructed latrines_by_WASHAgencies]]+WWWW[[#This Row],['#_Non Cluster partner latrines]]))</f>
        <v>3</v>
      </c>
      <c r="DK387" s="951">
        <f>1-WWWW[[#This Row],[% people access to functioning Latrine]]</f>
        <v>1</v>
      </c>
      <c r="DL387" s="615">
        <f>IF(OR(WWWW[[#This Row],['#_Non-functional latrines]]="",WWWW[[#This Row],['#_Non-functional latrines]]=0),0,WWWW[[#This Row],['#_Non-functional latrines]]/(WWWW[[#This Row],['#_Constructed latrines_by_WASHAgencies]]+WWWW[[#This Row],['#_Non Cluster partner latrines]]))</f>
        <v>0</v>
      </c>
      <c r="DM387" s="421">
        <f>IF(500*(WWWW[[#This Row],['#_male hygiene promoters]]+WWWW[[#This Row],['#_female hygiene promoters]])&gt;WWWW[[#This Row],[Total PoP ]],WWWW[[#This Row],[Total PoP ]],500*(WWWW[[#This Row],['#_male hygiene promoters]]+WWWW[[#This Row],['#_female hygiene promoters]]))</f>
        <v>0</v>
      </c>
      <c r="DN387"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87"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87" s="417">
        <f>IF(WWWW[[#This Row],['# People with access to soap]]&gt;WWWW[[#This Row],['# People with access to Sanity Pads]],WWWW[[#This Row],['# People with access to soap]],WWWW[[#This Row],['# People with access to Sanity Pads]])</f>
        <v>0</v>
      </c>
      <c r="DQ387"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87" s="951">
        <f>IF(WWWW[[#This Row],[HRP3]]/WWWW[[#This Row],[Total PoP ]]&gt;1,1,WWWW[[#This Row],[HRP3]]/WWWW[[#This Row],[Total PoP ]])</f>
        <v>0</v>
      </c>
      <c r="DS387" s="615">
        <f>1-WWWW[[#This Row],[Hygiene Coverage%]]</f>
        <v>1</v>
      </c>
      <c r="DT387" s="416">
        <f>WWWW[[#This Row],['# people reached by regular dedicated hygiene promotion_5]]/WWWW[[#This Row],[Total PoP ]]</f>
        <v>0</v>
      </c>
      <c r="DU387"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87"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87" s="417">
        <f>WWWW[[#This Row],['#_Constructed/Existing hand washing stations]]-WWWW[[#This Row],['#_Non-Functional_hand_washing_stations]]</f>
        <v>0</v>
      </c>
      <c r="DX387" s="421">
        <f>IF(WWWW[[#This Row],['# Functional hand washing stations during reporting period]]*20&gt;WWWW[[#This Row],[Total HH]],WWWW[[#This Row],[Total HH]],WWWW[[#This Row],['# Functional hand washing stations during reporting period]]*20)</f>
        <v>0</v>
      </c>
      <c r="DY387" s="421">
        <f>IF(WWWW[[#This Row],[Is sufficient soap available for TLS? (Yes/No)]]="yes",WWWW[[#This Row],['#_Constructed/Existing hand washing stations at TLS/CFS/THF]],0)</f>
        <v>0</v>
      </c>
      <c r="DZ387" s="421">
        <f>IF(WWWW[[#This Row],['# Functional hand washing stations during reporting period]]*100&gt;WWWW[[#This Row],[Total PoP ]],WWWW[[#This Row],[Total PoP ]],WWWW[[#This Row],['# Functional hand washing stations during reporting period]]*100)</f>
        <v>0</v>
      </c>
      <c r="EA387" s="421" t="str">
        <f>IF(OR(WWWW[[#This Row],['#_students at TLS_CFS]]="",WWWW[[#This Row],['#_students at TLS_CFS]]=0),"No","Yes")</f>
        <v>No</v>
      </c>
      <c r="EB38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87" s="566">
        <f>WWWW[[#This Row],[%_of_affected_people_surveyed_who_report_feeling_satistfied_with_the_latrine_design_and_sanitation_service]]*WWWW[[#This Row],[Total PoP ]]</f>
        <v>0</v>
      </c>
      <c r="ED387" s="566">
        <f>WWWW[[#This Row],[%_of_affected_people_surveyed_who_report_feeling_satistfied_with_the_water_point_design_and_water_service]]*WWWW[[#This Row],[Total PoP ]]</f>
        <v>0</v>
      </c>
      <c r="EE387" s="566">
        <f>WWWW[[#This Row],[%_of_complaints_received_that_result_in_timely_corrective_action_and_feedback_to_the_community]]*WWWW[[#This Row],[Total PoP ]]</f>
        <v>0</v>
      </c>
      <c r="EF38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8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8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87" s="418">
        <f>VLOOKUP(WWWW[[#This Row],[Site Name]],SiteDB6[[Site Name]:[CCCM Management]],6,FALSE)</f>
        <v>0</v>
      </c>
      <c r="EJ387" s="418" t="str">
        <f>VLOOKUP(WWWW[[#This Row],[Site Name]],SiteDB6[[Site Name]:[CCCM Focal Agency]],7,FALSE)</f>
        <v>Uncovered</v>
      </c>
      <c r="EK387" s="418" t="str">
        <f>VLOOKUP(WWWW[[#This Row],[Site Name]],SiteDB6[[Site Name]:[Location Type 1]],9,FALSE)</f>
        <v>Camp</v>
      </c>
      <c r="EL387" s="418" t="str">
        <f>VLOOKUP(WWWW[[#This Row],[Site Name]],SiteDB6[[Site Name]:[Type of Accommodation]],10,FALSE)</f>
        <v>Camp like setting</v>
      </c>
      <c r="EM387" s="418" t="str">
        <f>VLOOKUP(WWWW[[#This Row],[Site Name]],SiteDB6[[Site Name]:[Ethnic or GCA/NGCA]],11,FALSE)</f>
        <v>GCA</v>
      </c>
      <c r="EN387" s="418">
        <f>VLOOKUP(WWWW[[#This Row],[Site Name]],SiteDB6[[Site Name]:[Lat]],12,FALSE)</f>
        <v>0</v>
      </c>
      <c r="EO387" s="418" t="str">
        <f>VLOOKUP(WWWW[[#This Row],[Site Name]],SiteDB6[[Site Name]:[Long]],13,FALSE)</f>
        <v>not available</v>
      </c>
      <c r="EP387" s="418" t="str">
        <f>VLOOKUP(WWWW[[#This Row],[Site Name]],SiteDB6[[Site Name]:[Pcode]],3,FALSE)</f>
        <v>MMR015CMP092</v>
      </c>
      <c r="EQ387" s="950" t="str">
        <f t="shared" si="9"/>
        <v>Notcovered</v>
      </c>
      <c r="ER387" s="950"/>
      <c r="ES387" s="950"/>
      <c r="ET387" s="418">
        <f>VLOOKUP(WWWW[[#This Row],[Site Name]],SiteDB6[[Site Name]:[Pop
(Kachin/Shan-CCCM as of May 2023)]],16,FALSE)</f>
        <v>20</v>
      </c>
      <c r="EU387" s="418">
        <f>VLOOKUP(WWWW[[#This Row],[Site Name]],SiteDB6[[Site Name]:[Pop
(Kachin/Shan-CCCM as of May 2023)]],17,FALSE)</f>
        <v>61</v>
      </c>
    </row>
    <row r="388" spans="1:151">
      <c r="A388" s="946" t="s">
        <v>2962</v>
      </c>
      <c r="B388" s="946" t="s">
        <v>309</v>
      </c>
      <c r="C388" s="938" t="s">
        <v>309</v>
      </c>
      <c r="D388" s="938"/>
      <c r="E388" s="938" t="s">
        <v>515</v>
      </c>
      <c r="F388" s="938" t="s">
        <v>956</v>
      </c>
      <c r="G388" s="902" t="str">
        <f>VLOOKUP(WWWW[[#This Row],[Site Name]],SiteDB6[[Site Name]:[Location Type]],8,FALSE)</f>
        <v>Camp</v>
      </c>
      <c r="H388" s="938" t="s">
        <v>2974</v>
      </c>
      <c r="I388" s="441">
        <v>26</v>
      </c>
      <c r="J388" s="441">
        <v>135</v>
      </c>
      <c r="K388" s="948"/>
      <c r="L388" s="949"/>
      <c r="M388" s="441"/>
      <c r="N388" s="441"/>
      <c r="O388" s="441"/>
      <c r="P388" s="441"/>
      <c r="Q388" s="421"/>
      <c r="R388" s="441"/>
      <c r="S388" s="441"/>
      <c r="T388" s="441"/>
      <c r="U388" s="441"/>
      <c r="V388" s="441"/>
      <c r="W388" s="441"/>
      <c r="X388" s="441"/>
      <c r="Y388" s="441"/>
      <c r="Z388" s="441"/>
      <c r="AA388" s="441"/>
      <c r="AB388" s="441"/>
      <c r="AC388" s="441"/>
      <c r="AD388" s="441"/>
      <c r="AE388" s="441"/>
      <c r="AF388" s="441"/>
      <c r="AG388" s="441"/>
      <c r="AH388" s="441"/>
      <c r="AI388" s="441"/>
      <c r="AJ388" s="441"/>
      <c r="AK388" s="441"/>
      <c r="AL388" s="441"/>
      <c r="AM388" s="441"/>
      <c r="AN388" s="441"/>
      <c r="AO388" s="441"/>
      <c r="AP388" s="950"/>
      <c r="AQ388" s="441"/>
      <c r="AR388" s="441"/>
      <c r="AS388" s="416"/>
      <c r="AT388" s="441"/>
      <c r="AU388" s="441"/>
      <c r="AV388" s="441"/>
      <c r="AW388" s="441"/>
      <c r="AX388" s="441"/>
      <c r="AY388" s="418"/>
      <c r="AZ388" s="950"/>
      <c r="BA388" s="441"/>
      <c r="BB388" s="441"/>
      <c r="BC388" s="441"/>
      <c r="BD388" s="441"/>
      <c r="BE388" s="441"/>
      <c r="BF388" s="418"/>
      <c r="BG388" s="441"/>
      <c r="BH388" s="441"/>
      <c r="BI388" s="441"/>
      <c r="BJ388" s="441"/>
      <c r="BK388" s="441"/>
      <c r="BL388" s="441"/>
      <c r="BM388" s="441"/>
      <c r="BN388" s="441"/>
      <c r="BO388" s="441"/>
      <c r="BP388" s="418"/>
      <c r="BQ388" s="417"/>
      <c r="BR388" s="416"/>
      <c r="BS388" s="418"/>
      <c r="BT388" s="416"/>
      <c r="BU388" s="416"/>
      <c r="BV388" s="418"/>
      <c r="BW388" s="416"/>
      <c r="BX388" s="441"/>
      <c r="BY388" s="441"/>
      <c r="BZ388" s="441"/>
      <c r="CA388" s="441"/>
      <c r="CB388" s="441"/>
      <c r="CC388" s="693"/>
      <c r="CD388" s="441"/>
      <c r="CE388" s="615" t="str">
        <f>IFERROR(WWWW[[#This Row],['#_Water sources passed]]/WWWW[[#This Row],['#_Water sources tested for fecal coliform ]],"no test")</f>
        <v>no test</v>
      </c>
      <c r="CF388" s="416" t="str">
        <f>IFERROR(WWWW[[#This Row],['#_Household passed]]/WWWW[[#This Row],['#_Household water samples tested for fecal coliform]],"no test")</f>
        <v>no test</v>
      </c>
      <c r="CG388" s="417" t="str">
        <f>IF(AND(WWWW[[#This Row],[% of water sources passed]]="no test",WWWW[[#This Row],[% Household passed]]="no test"),"No Test","Tested")</f>
        <v>No Test</v>
      </c>
      <c r="CH388" s="417">
        <f>WWWW[[#This Row],['#_Constructed/existing protected hand dug well]]-WWWW[[#This Row],['#_Non-functional protected hand dug well]]</f>
        <v>0</v>
      </c>
      <c r="CI388" s="417">
        <f>(WWWW[[#This Row],['#_Constructed/Existing tube wells/boreholes/handpumps_WASH_agency]]+WWWW[[#This Row],['#_Non-Cluster partner water tube-wells/boreholes/handpumps]])-WWWW[[#This Row],['#_Non-functional tube wells/boreholes/handpumps]]</f>
        <v>0</v>
      </c>
      <c r="CJ388" s="417">
        <f>WWWW[[#This Row],['#_Constructed/Existingwater storage tank with gravity fed reticulation system]]-WWWW[[#This Row],['#_Non-functional storage tank gravity fed reticulation system]]</f>
        <v>0</v>
      </c>
      <c r="CK388" s="417">
        <f>(WWWW[[#This Row],['#_Water_Liters_supplied_by_Water boating or water trucking]]/90)/15</f>
        <v>0</v>
      </c>
      <c r="CL388" s="417">
        <f>WWWW[[#This Row],['#_Water_Liters_from_Constructed/Existing water distribution system from river or natural spring]]/90/15</f>
        <v>0</v>
      </c>
      <c r="CM388" s="417">
        <f>IF(WWWW[[#This Row],['#_of water points in TLS/CFS]]*500&gt;WWWW[[#This Row],[Total PoP ]],WWWW[[#This Row],[Total PoP ]],WWWW[[#This Row],['#_of water points in TLS/CFS]]*500)</f>
        <v>0</v>
      </c>
      <c r="CN388" s="417">
        <f>IF(WWWW[[#This Row],['#_of water points in THF]]*500&gt;WWWW[[#This Row],[Total PoP ]],WWWW[[#This Row],[Total PoP ]],WWWW[[#This Row],['#_of water points in THF]]*500)</f>
        <v>0</v>
      </c>
      <c r="CO388" s="417"/>
      <c r="CP388"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88"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88" s="416">
        <f>IF(WWWW[[#This Row],[Location Type 1]]="Village",WWWW[[#This Row],[Access to safe drinking water for Village]],WWWW[[#This Row],[Access to safe drinking water for Camp]])</f>
        <v>0</v>
      </c>
      <c r="CS388" s="421">
        <f>WWWW[[#This Row],[%Equitable and continuous access to sufficient quantity of safe drinking water]]*WWWW[[#This Row],[Total PoP ]]</f>
        <v>0</v>
      </c>
      <c r="CT388" s="416">
        <f>IF((WWWW[[#This Row],['#_Constructed/Existing protected/fenced ponds]]*250)/WWWW[[#This Row],[Total PoP ]]&gt;1,1,(WWWW[[#This Row],['#_Constructed/Existing protected/fenced ponds]]*250)/WWWW[[#This Row],[Total PoP ]])</f>
        <v>0</v>
      </c>
      <c r="CU388" s="421">
        <f>WWWW[[#This Row],[% Access to unimproved water points]]*WWWW[[#This Row],[Total PoP ]]</f>
        <v>0</v>
      </c>
      <c r="CV388"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88"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88" s="421">
        <f>WWWW[[#This Row],[HRP1]]/500</f>
        <v>0</v>
      </c>
      <c r="CY388" s="951">
        <f>1-WWWW[[#This Row],[% Equitable and continuous access to sufficient quantity of domestic water]]</f>
        <v>1</v>
      </c>
      <c r="CZ388" s="421">
        <f>WWWW[[#This Row],[%equitable and continuous access to sufficient quantity of safe drinking and domestic water''s GAP]]*WWWW[[#This Row],[Total PoP ]]</f>
        <v>135</v>
      </c>
      <c r="DA388" s="417">
        <f>IF(WWWW[[#This Row],[Total required water points]]-WWWW[[#This Row],['#Water points coverage]]&lt;0,0,WWWW[[#This Row],[Total required water points]]-WWWW[[#This Row],['#Water points coverage]])</f>
        <v>1</v>
      </c>
      <c r="DB388" s="417">
        <f>ROUND(IF(WWWW[[#This Row],[Total PoP ]]&lt;500,1,WWWW[[#This Row],[Total PoP ]]/500),0)</f>
        <v>1</v>
      </c>
      <c r="DC388" s="417">
        <f>(WWWW[[#This Row],['#_Constructed latrines_by_WASHAgencies]]+WWWW[[#This Row],['#_Non Cluster partner latrines]])-WWWW[[#This Row],['#_Non-functional latrines]]</f>
        <v>0</v>
      </c>
      <c r="DD388" s="615">
        <f>WWWW[[#This Row],[HRP2]]/WWWW[[#This Row],[Total PoP ]]</f>
        <v>0</v>
      </c>
      <c r="DE388"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88"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88"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88" s="417">
        <f>IF(WWWW[[#This Row],['# of functional latrines in THF supported by WASH partners during the reporting period2]]="",0,WWWW[[#This Row],['# of functional latrines in THF supported by WASH partners during the reporting period2]]*50)</f>
        <v>0</v>
      </c>
      <c r="DI388" s="417">
        <f>ROUND(IF(WWWW[[#This Row],[Location Type 1]]="camp",WWWW[[#This Row],[Total PoP ]]/20,IF(WWWW[[#This Row],[Location Type 1]]="Temporary Location",WWWW[[#This Row],[Total PoP ]]/50,(WWWW[[#This Row],[Total PoP ]]/6))),0)</f>
        <v>7</v>
      </c>
      <c r="DJ388" s="417">
        <f>IF(WWWW[[#This Row],[Total required Latrines]]-(WWWW[[#This Row],['#_Constructed latrines_by_WASHAgencies]]+WWWW[[#This Row],['#_Non Cluster partner latrines]])&lt;0,0,WWWW[[#This Row],[Total required Latrines]]-(WWWW[[#This Row],['#_Constructed latrines_by_WASHAgencies]]+WWWW[[#This Row],['#_Non Cluster partner latrines]]))</f>
        <v>7</v>
      </c>
      <c r="DK388" s="951">
        <f>1-WWWW[[#This Row],[% people access to functioning Latrine]]</f>
        <v>1</v>
      </c>
      <c r="DL388" s="615">
        <f>IF(OR(WWWW[[#This Row],['#_Non-functional latrines]]="",WWWW[[#This Row],['#_Non-functional latrines]]=0),0,WWWW[[#This Row],['#_Non-functional latrines]]/(WWWW[[#This Row],['#_Constructed latrines_by_WASHAgencies]]+WWWW[[#This Row],['#_Non Cluster partner latrines]]))</f>
        <v>0</v>
      </c>
      <c r="DM388" s="421">
        <f>IF(500*(WWWW[[#This Row],['#_male hygiene promoters]]+WWWW[[#This Row],['#_female hygiene promoters]])&gt;WWWW[[#This Row],[Total PoP ]],WWWW[[#This Row],[Total PoP ]],500*(WWWW[[#This Row],['#_male hygiene promoters]]+WWWW[[#This Row],['#_female hygiene promoters]]))</f>
        <v>0</v>
      </c>
      <c r="DN388"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88"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88" s="417">
        <f>IF(WWWW[[#This Row],['# People with access to soap]]&gt;WWWW[[#This Row],['# People with access to Sanity Pads]],WWWW[[#This Row],['# People with access to soap]],WWWW[[#This Row],['# People with access to Sanity Pads]])</f>
        <v>0</v>
      </c>
      <c r="DQ388"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88" s="951">
        <f>IF(WWWW[[#This Row],[HRP3]]/WWWW[[#This Row],[Total PoP ]]&gt;1,1,WWWW[[#This Row],[HRP3]]/WWWW[[#This Row],[Total PoP ]])</f>
        <v>0</v>
      </c>
      <c r="DS388" s="615">
        <f>1-WWWW[[#This Row],[Hygiene Coverage%]]</f>
        <v>1</v>
      </c>
      <c r="DT388" s="416">
        <f>WWWW[[#This Row],['# people reached by regular dedicated hygiene promotion_5]]/WWWW[[#This Row],[Total PoP ]]</f>
        <v>0</v>
      </c>
      <c r="DU388"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88"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88" s="417">
        <f>WWWW[[#This Row],['#_Constructed/Existing hand washing stations]]-WWWW[[#This Row],['#_Non-Functional_hand_washing_stations]]</f>
        <v>0</v>
      </c>
      <c r="DX388" s="421">
        <f>IF(WWWW[[#This Row],['# Functional hand washing stations during reporting period]]*20&gt;WWWW[[#This Row],[Total HH]],WWWW[[#This Row],[Total HH]],WWWW[[#This Row],['# Functional hand washing stations during reporting period]]*20)</f>
        <v>0</v>
      </c>
      <c r="DY388" s="421">
        <f>IF(WWWW[[#This Row],[Is sufficient soap available for TLS? (Yes/No)]]="yes",WWWW[[#This Row],['#_Constructed/Existing hand washing stations at TLS/CFS/THF]],0)</f>
        <v>0</v>
      </c>
      <c r="DZ388" s="421">
        <f>IF(WWWW[[#This Row],['# Functional hand washing stations during reporting period]]*100&gt;WWWW[[#This Row],[Total PoP ]],WWWW[[#This Row],[Total PoP ]],WWWW[[#This Row],['# Functional hand washing stations during reporting period]]*100)</f>
        <v>0</v>
      </c>
      <c r="EA388" s="421" t="str">
        <f>IF(OR(WWWW[[#This Row],['#_students at TLS_CFS]]="",WWWW[[#This Row],['#_students at TLS_CFS]]=0),"No","Yes")</f>
        <v>No</v>
      </c>
      <c r="EB38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88" s="566">
        <f>WWWW[[#This Row],[%_of_affected_people_surveyed_who_report_feeling_satistfied_with_the_latrine_design_and_sanitation_service]]*WWWW[[#This Row],[Total PoP ]]</f>
        <v>0</v>
      </c>
      <c r="ED388" s="566">
        <f>WWWW[[#This Row],[%_of_affected_people_surveyed_who_report_feeling_satistfied_with_the_water_point_design_and_water_service]]*WWWW[[#This Row],[Total PoP ]]</f>
        <v>0</v>
      </c>
      <c r="EE388" s="566">
        <f>WWWW[[#This Row],[%_of_complaints_received_that_result_in_timely_corrective_action_and_feedback_to_the_community]]*WWWW[[#This Row],[Total PoP ]]</f>
        <v>0</v>
      </c>
      <c r="EF38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8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8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88" s="418">
        <f>VLOOKUP(WWWW[[#This Row],[Site Name]],SiteDB6[[Site Name]:[CCCM Management]],6,FALSE)</f>
        <v>0</v>
      </c>
      <c r="EJ388" s="418" t="str">
        <f>VLOOKUP(WWWW[[#This Row],[Site Name]],SiteDB6[[Site Name]:[CCCM Focal Agency]],7,FALSE)</f>
        <v>Uncovered</v>
      </c>
      <c r="EK388" s="418" t="str">
        <f>VLOOKUP(WWWW[[#This Row],[Site Name]],SiteDB6[[Site Name]:[Location Type 1]],9,FALSE)</f>
        <v>Camp</v>
      </c>
      <c r="EL388" s="418" t="str">
        <f>VLOOKUP(WWWW[[#This Row],[Site Name]],SiteDB6[[Site Name]:[Type of Accommodation]],10,FALSE)</f>
        <v>Camp like setting</v>
      </c>
      <c r="EM388" s="418" t="str">
        <f>VLOOKUP(WWWW[[#This Row],[Site Name]],SiteDB6[[Site Name]:[Ethnic or GCA/NGCA]],11,FALSE)</f>
        <v>GCA</v>
      </c>
      <c r="EN388" s="418">
        <f>VLOOKUP(WWWW[[#This Row],[Site Name]],SiteDB6[[Site Name]:[Lat]],12,FALSE)</f>
        <v>0</v>
      </c>
      <c r="EO388" s="418" t="str">
        <f>VLOOKUP(WWWW[[#This Row],[Site Name]],SiteDB6[[Site Name]:[Long]],13,FALSE)</f>
        <v>not available</v>
      </c>
      <c r="EP388" s="418" t="str">
        <f>VLOOKUP(WWWW[[#This Row],[Site Name]],SiteDB6[[Site Name]:[Pcode]],3,FALSE)</f>
        <v>MMR015CMP087</v>
      </c>
      <c r="EQ388" s="950" t="str">
        <f t="shared" si="9"/>
        <v>Notcovered</v>
      </c>
      <c r="ER388" s="950"/>
      <c r="ES388" s="950"/>
      <c r="ET388" s="418">
        <f>VLOOKUP(WWWW[[#This Row],[Site Name]],SiteDB6[[Site Name]:[Pop
(Kachin/Shan-CCCM as of May 2023)]],16,FALSE)</f>
        <v>26</v>
      </c>
      <c r="EU388" s="418">
        <f>VLOOKUP(WWWW[[#This Row],[Site Name]],SiteDB6[[Site Name]:[Pop
(Kachin/Shan-CCCM as of May 2023)]],17,FALSE)</f>
        <v>135</v>
      </c>
    </row>
    <row r="389" spans="1:151">
      <c r="A389" s="946" t="s">
        <v>2962</v>
      </c>
      <c r="B389" s="946" t="s">
        <v>309</v>
      </c>
      <c r="C389" s="938" t="s">
        <v>309</v>
      </c>
      <c r="D389" s="938"/>
      <c r="E389" s="938" t="s">
        <v>515</v>
      </c>
      <c r="F389" s="938" t="s">
        <v>956</v>
      </c>
      <c r="G389" s="902" t="str">
        <f>VLOOKUP(WWWW[[#This Row],[Site Name]],SiteDB6[[Site Name]:[Location Type]],8,FALSE)</f>
        <v>Camp</v>
      </c>
      <c r="H389" s="938" t="s">
        <v>2984</v>
      </c>
      <c r="I389" s="441">
        <v>18</v>
      </c>
      <c r="J389" s="441">
        <v>92</v>
      </c>
      <c r="K389" s="948"/>
      <c r="L389" s="949"/>
      <c r="M389" s="441"/>
      <c r="N389" s="441"/>
      <c r="O389" s="441"/>
      <c r="P389" s="441"/>
      <c r="Q389" s="42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41"/>
      <c r="AM389" s="441"/>
      <c r="AN389" s="441"/>
      <c r="AO389" s="441"/>
      <c r="AP389" s="950"/>
      <c r="AQ389" s="441"/>
      <c r="AR389" s="441"/>
      <c r="AS389" s="416"/>
      <c r="AT389" s="441"/>
      <c r="AU389" s="441"/>
      <c r="AV389" s="441"/>
      <c r="AW389" s="441"/>
      <c r="AX389" s="441"/>
      <c r="AY389" s="418"/>
      <c r="AZ389" s="950"/>
      <c r="BA389" s="441"/>
      <c r="BB389" s="441"/>
      <c r="BC389" s="441"/>
      <c r="BD389" s="441"/>
      <c r="BE389" s="441"/>
      <c r="BF389" s="418"/>
      <c r="BG389" s="441"/>
      <c r="BH389" s="441"/>
      <c r="BI389" s="441"/>
      <c r="BJ389" s="441"/>
      <c r="BK389" s="441"/>
      <c r="BL389" s="441"/>
      <c r="BM389" s="441"/>
      <c r="BN389" s="441"/>
      <c r="BO389" s="441"/>
      <c r="BP389" s="418"/>
      <c r="BQ389" s="417"/>
      <c r="BR389" s="416"/>
      <c r="BS389" s="418"/>
      <c r="BT389" s="416"/>
      <c r="BU389" s="416"/>
      <c r="BV389" s="418"/>
      <c r="BW389" s="416"/>
      <c r="BX389" s="441"/>
      <c r="BY389" s="441"/>
      <c r="BZ389" s="441"/>
      <c r="CA389" s="441"/>
      <c r="CB389" s="441"/>
      <c r="CC389" s="693"/>
      <c r="CD389" s="441"/>
      <c r="CE389" s="615" t="str">
        <f>IFERROR(WWWW[[#This Row],['#_Water sources passed]]/WWWW[[#This Row],['#_Water sources tested for fecal coliform ]],"no test")</f>
        <v>no test</v>
      </c>
      <c r="CF389" s="416" t="str">
        <f>IFERROR(WWWW[[#This Row],['#_Household passed]]/WWWW[[#This Row],['#_Household water samples tested for fecal coliform]],"no test")</f>
        <v>no test</v>
      </c>
      <c r="CG389" s="417" t="str">
        <f>IF(AND(WWWW[[#This Row],[% of water sources passed]]="no test",WWWW[[#This Row],[% Household passed]]="no test"),"No Test","Tested")</f>
        <v>No Test</v>
      </c>
      <c r="CH389" s="417">
        <f>WWWW[[#This Row],['#_Constructed/existing protected hand dug well]]-WWWW[[#This Row],['#_Non-functional protected hand dug well]]</f>
        <v>0</v>
      </c>
      <c r="CI389" s="417">
        <f>(WWWW[[#This Row],['#_Constructed/Existing tube wells/boreholes/handpumps_WASH_agency]]+WWWW[[#This Row],['#_Non-Cluster partner water tube-wells/boreholes/handpumps]])-WWWW[[#This Row],['#_Non-functional tube wells/boreholes/handpumps]]</f>
        <v>0</v>
      </c>
      <c r="CJ389" s="417">
        <f>WWWW[[#This Row],['#_Constructed/Existingwater storage tank with gravity fed reticulation system]]-WWWW[[#This Row],['#_Non-functional storage tank gravity fed reticulation system]]</f>
        <v>0</v>
      </c>
      <c r="CK389" s="417">
        <f>(WWWW[[#This Row],['#_Water_Liters_supplied_by_Water boating or water trucking]]/90)/15</f>
        <v>0</v>
      </c>
      <c r="CL389" s="417">
        <f>WWWW[[#This Row],['#_Water_Liters_from_Constructed/Existing water distribution system from river or natural spring]]/90/15</f>
        <v>0</v>
      </c>
      <c r="CM389" s="417">
        <f>IF(WWWW[[#This Row],['#_of water points in TLS/CFS]]*500&gt;WWWW[[#This Row],[Total PoP ]],WWWW[[#This Row],[Total PoP ]],WWWW[[#This Row],['#_of water points in TLS/CFS]]*500)</f>
        <v>0</v>
      </c>
      <c r="CN389" s="417">
        <f>IF(WWWW[[#This Row],['#_of water points in THF]]*500&gt;WWWW[[#This Row],[Total PoP ]],WWWW[[#This Row],[Total PoP ]],WWWW[[#This Row],['#_of water points in THF]]*500)</f>
        <v>0</v>
      </c>
      <c r="CO389" s="417"/>
      <c r="CP389"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89"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89" s="416">
        <f>IF(WWWW[[#This Row],[Location Type 1]]="Village",WWWW[[#This Row],[Access to safe drinking water for Village]],WWWW[[#This Row],[Access to safe drinking water for Camp]])</f>
        <v>0</v>
      </c>
      <c r="CS389" s="421">
        <f>WWWW[[#This Row],[%Equitable and continuous access to sufficient quantity of safe drinking water]]*WWWW[[#This Row],[Total PoP ]]</f>
        <v>0</v>
      </c>
      <c r="CT389" s="416">
        <f>IF((WWWW[[#This Row],['#_Constructed/Existing protected/fenced ponds]]*250)/WWWW[[#This Row],[Total PoP ]]&gt;1,1,(WWWW[[#This Row],['#_Constructed/Existing protected/fenced ponds]]*250)/WWWW[[#This Row],[Total PoP ]])</f>
        <v>0</v>
      </c>
      <c r="CU389" s="421">
        <f>WWWW[[#This Row],[% Access to unimproved water points]]*WWWW[[#This Row],[Total PoP ]]</f>
        <v>0</v>
      </c>
      <c r="CV389"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89"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89" s="421">
        <f>WWWW[[#This Row],[HRP1]]/500</f>
        <v>0</v>
      </c>
      <c r="CY389" s="951">
        <f>1-WWWW[[#This Row],[% Equitable and continuous access to sufficient quantity of domestic water]]</f>
        <v>1</v>
      </c>
      <c r="CZ389" s="421">
        <f>WWWW[[#This Row],[%equitable and continuous access to sufficient quantity of safe drinking and domestic water''s GAP]]*WWWW[[#This Row],[Total PoP ]]</f>
        <v>92</v>
      </c>
      <c r="DA389" s="417">
        <f>IF(WWWW[[#This Row],[Total required water points]]-WWWW[[#This Row],['#Water points coverage]]&lt;0,0,WWWW[[#This Row],[Total required water points]]-WWWW[[#This Row],['#Water points coverage]])</f>
        <v>1</v>
      </c>
      <c r="DB389" s="417">
        <f>ROUND(IF(WWWW[[#This Row],[Total PoP ]]&lt;500,1,WWWW[[#This Row],[Total PoP ]]/500),0)</f>
        <v>1</v>
      </c>
      <c r="DC389" s="417">
        <f>(WWWW[[#This Row],['#_Constructed latrines_by_WASHAgencies]]+WWWW[[#This Row],['#_Non Cluster partner latrines]])-WWWW[[#This Row],['#_Non-functional latrines]]</f>
        <v>0</v>
      </c>
      <c r="DD389" s="615">
        <f>WWWW[[#This Row],[HRP2]]/WWWW[[#This Row],[Total PoP ]]</f>
        <v>0</v>
      </c>
      <c r="DE389"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89"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89"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89" s="417">
        <f>IF(WWWW[[#This Row],['# of functional latrines in THF supported by WASH partners during the reporting period2]]="",0,WWWW[[#This Row],['# of functional latrines in THF supported by WASH partners during the reporting period2]]*50)</f>
        <v>0</v>
      </c>
      <c r="DI389" s="417">
        <f>ROUND(IF(WWWW[[#This Row],[Location Type 1]]="camp",WWWW[[#This Row],[Total PoP ]]/20,IF(WWWW[[#This Row],[Location Type 1]]="Temporary Location",WWWW[[#This Row],[Total PoP ]]/50,(WWWW[[#This Row],[Total PoP ]]/6))),0)</f>
        <v>5</v>
      </c>
      <c r="DJ389" s="417">
        <f>IF(WWWW[[#This Row],[Total required Latrines]]-(WWWW[[#This Row],['#_Constructed latrines_by_WASHAgencies]]+WWWW[[#This Row],['#_Non Cluster partner latrines]])&lt;0,0,WWWW[[#This Row],[Total required Latrines]]-(WWWW[[#This Row],['#_Constructed latrines_by_WASHAgencies]]+WWWW[[#This Row],['#_Non Cluster partner latrines]]))</f>
        <v>5</v>
      </c>
      <c r="DK389" s="951">
        <f>1-WWWW[[#This Row],[% people access to functioning Latrine]]</f>
        <v>1</v>
      </c>
      <c r="DL389" s="615">
        <f>IF(OR(WWWW[[#This Row],['#_Non-functional latrines]]="",WWWW[[#This Row],['#_Non-functional latrines]]=0),0,WWWW[[#This Row],['#_Non-functional latrines]]/(WWWW[[#This Row],['#_Constructed latrines_by_WASHAgencies]]+WWWW[[#This Row],['#_Non Cluster partner latrines]]))</f>
        <v>0</v>
      </c>
      <c r="DM389" s="421">
        <f>IF(500*(WWWW[[#This Row],['#_male hygiene promoters]]+WWWW[[#This Row],['#_female hygiene promoters]])&gt;WWWW[[#This Row],[Total PoP ]],WWWW[[#This Row],[Total PoP ]],500*(WWWW[[#This Row],['#_male hygiene promoters]]+WWWW[[#This Row],['#_female hygiene promoters]]))</f>
        <v>0</v>
      </c>
      <c r="DN389"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89"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89" s="417">
        <f>IF(WWWW[[#This Row],['# People with access to soap]]&gt;WWWW[[#This Row],['# People with access to Sanity Pads]],WWWW[[#This Row],['# People with access to soap]],WWWW[[#This Row],['# People with access to Sanity Pads]])</f>
        <v>0</v>
      </c>
      <c r="DQ389"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89" s="951">
        <f>IF(WWWW[[#This Row],[HRP3]]/WWWW[[#This Row],[Total PoP ]]&gt;1,1,WWWW[[#This Row],[HRP3]]/WWWW[[#This Row],[Total PoP ]])</f>
        <v>0</v>
      </c>
      <c r="DS389" s="615">
        <f>1-WWWW[[#This Row],[Hygiene Coverage%]]</f>
        <v>1</v>
      </c>
      <c r="DT389" s="416">
        <f>WWWW[[#This Row],['# people reached by regular dedicated hygiene promotion_5]]/WWWW[[#This Row],[Total PoP ]]</f>
        <v>0</v>
      </c>
      <c r="DU389"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89"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89" s="417">
        <f>WWWW[[#This Row],['#_Constructed/Existing hand washing stations]]-WWWW[[#This Row],['#_Non-Functional_hand_washing_stations]]</f>
        <v>0</v>
      </c>
      <c r="DX389" s="421">
        <f>IF(WWWW[[#This Row],['# Functional hand washing stations during reporting period]]*20&gt;WWWW[[#This Row],[Total HH]],WWWW[[#This Row],[Total HH]],WWWW[[#This Row],['# Functional hand washing stations during reporting period]]*20)</f>
        <v>0</v>
      </c>
      <c r="DY389" s="421">
        <f>IF(WWWW[[#This Row],[Is sufficient soap available for TLS? (Yes/No)]]="yes",WWWW[[#This Row],['#_Constructed/Existing hand washing stations at TLS/CFS/THF]],0)</f>
        <v>0</v>
      </c>
      <c r="DZ389" s="421">
        <f>IF(WWWW[[#This Row],['# Functional hand washing stations during reporting period]]*100&gt;WWWW[[#This Row],[Total PoP ]],WWWW[[#This Row],[Total PoP ]],WWWW[[#This Row],['# Functional hand washing stations during reporting period]]*100)</f>
        <v>0</v>
      </c>
      <c r="EA389" s="421" t="str">
        <f>IF(OR(WWWW[[#This Row],['#_students at TLS_CFS]]="",WWWW[[#This Row],['#_students at TLS_CFS]]=0),"No","Yes")</f>
        <v>No</v>
      </c>
      <c r="EB38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89" s="566">
        <f>WWWW[[#This Row],[%_of_affected_people_surveyed_who_report_feeling_satistfied_with_the_latrine_design_and_sanitation_service]]*WWWW[[#This Row],[Total PoP ]]</f>
        <v>0</v>
      </c>
      <c r="ED389" s="566">
        <f>WWWW[[#This Row],[%_of_affected_people_surveyed_who_report_feeling_satistfied_with_the_water_point_design_and_water_service]]*WWWW[[#This Row],[Total PoP ]]</f>
        <v>0</v>
      </c>
      <c r="EE389" s="566">
        <f>WWWW[[#This Row],[%_of_complaints_received_that_result_in_timely_corrective_action_and_feedback_to_the_community]]*WWWW[[#This Row],[Total PoP ]]</f>
        <v>0</v>
      </c>
      <c r="EF38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8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8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89" s="418">
        <f>VLOOKUP(WWWW[[#This Row],[Site Name]],SiteDB6[[Site Name]:[CCCM Management]],6,FALSE)</f>
        <v>0</v>
      </c>
      <c r="EJ389" s="418" t="str">
        <f>VLOOKUP(WWWW[[#This Row],[Site Name]],SiteDB6[[Site Name]:[CCCM Focal Agency]],7,FALSE)</f>
        <v>Uncovered</v>
      </c>
      <c r="EK389" s="418" t="str">
        <f>VLOOKUP(WWWW[[#This Row],[Site Name]],SiteDB6[[Site Name]:[Location Type 1]],9,FALSE)</f>
        <v>Camp</v>
      </c>
      <c r="EL389" s="418" t="str">
        <f>VLOOKUP(WWWW[[#This Row],[Site Name]],SiteDB6[[Site Name]:[Type of Accommodation]],10,FALSE)</f>
        <v>Camp like setting</v>
      </c>
      <c r="EM389" s="418" t="str">
        <f>VLOOKUP(WWWW[[#This Row],[Site Name]],SiteDB6[[Site Name]:[Ethnic or GCA/NGCA]],11,FALSE)</f>
        <v>GCA</v>
      </c>
      <c r="EN389" s="418">
        <f>VLOOKUP(WWWW[[#This Row],[Site Name]],SiteDB6[[Site Name]:[Lat]],12,FALSE)</f>
        <v>0</v>
      </c>
      <c r="EO389" s="418" t="str">
        <f>VLOOKUP(WWWW[[#This Row],[Site Name]],SiteDB6[[Site Name]:[Long]],13,FALSE)</f>
        <v>not available</v>
      </c>
      <c r="EP389" s="418" t="str">
        <f>VLOOKUP(WWWW[[#This Row],[Site Name]],SiteDB6[[Site Name]:[Pcode]],3,FALSE)</f>
        <v>MMR015CMP095</v>
      </c>
      <c r="EQ389" s="950" t="str">
        <f t="shared" si="9"/>
        <v>Notcovered</v>
      </c>
      <c r="ER389" s="950"/>
      <c r="ES389" s="950"/>
      <c r="ET389" s="418">
        <f>VLOOKUP(WWWW[[#This Row],[Site Name]],SiteDB6[[Site Name]:[Pop
(Kachin/Shan-CCCM as of May 2023)]],16,FALSE)</f>
        <v>18</v>
      </c>
      <c r="EU389" s="418">
        <f>VLOOKUP(WWWW[[#This Row],[Site Name]],SiteDB6[[Site Name]:[Pop
(Kachin/Shan-CCCM as of May 2023)]],17,FALSE)</f>
        <v>92</v>
      </c>
    </row>
    <row r="390" spans="1:151">
      <c r="A390" s="946" t="s">
        <v>2962</v>
      </c>
      <c r="B390" s="946" t="s">
        <v>311</v>
      </c>
      <c r="C390" s="938" t="s">
        <v>2793</v>
      </c>
      <c r="D390" s="938" t="s">
        <v>3099</v>
      </c>
      <c r="E390" s="938" t="s">
        <v>515</v>
      </c>
      <c r="F390" s="938" t="s">
        <v>956</v>
      </c>
      <c r="G390" s="902" t="str">
        <f>VLOOKUP(WWWW[[#This Row],[Site Name]],SiteDB6[[Site Name]:[Location Type]],8,FALSE)</f>
        <v>Camp</v>
      </c>
      <c r="H390" s="938" t="s">
        <v>2982</v>
      </c>
      <c r="I390" s="441">
        <v>96</v>
      </c>
      <c r="J390" s="441">
        <v>469</v>
      </c>
      <c r="K390" s="948">
        <v>44774</v>
      </c>
      <c r="L390" s="949">
        <v>45046</v>
      </c>
      <c r="M390" s="441"/>
      <c r="N390" s="441"/>
      <c r="O390" s="441"/>
      <c r="P390" s="441"/>
      <c r="Q390" s="421"/>
      <c r="R390" s="441"/>
      <c r="S390" s="441"/>
      <c r="T390" s="441"/>
      <c r="U390" s="441"/>
      <c r="V390" s="441"/>
      <c r="W390" s="441"/>
      <c r="X390" s="441"/>
      <c r="Y390" s="441"/>
      <c r="Z390" s="441"/>
      <c r="AA390" s="441">
        <v>1</v>
      </c>
      <c r="AB390" s="441"/>
      <c r="AC390" s="441"/>
      <c r="AD390" s="441"/>
      <c r="AE390" s="441"/>
      <c r="AF390" s="441"/>
      <c r="AG390" s="441">
        <v>9</v>
      </c>
      <c r="AH390" s="441"/>
      <c r="AI390" s="441"/>
      <c r="AJ390" s="441"/>
      <c r="AK390" s="441"/>
      <c r="AL390" s="441"/>
      <c r="AM390" s="441"/>
      <c r="AN390" s="441"/>
      <c r="AO390" s="441"/>
      <c r="AP390" s="950"/>
      <c r="AQ390" s="441"/>
      <c r="AR390" s="441"/>
      <c r="AS390" s="416"/>
      <c r="AT390" s="441"/>
      <c r="AU390" s="441"/>
      <c r="AV390" s="441"/>
      <c r="AW390" s="441"/>
      <c r="AX390" s="441"/>
      <c r="AY390" s="418" t="s">
        <v>136</v>
      </c>
      <c r="AZ390" s="950" t="s">
        <v>136</v>
      </c>
      <c r="BA390" s="441"/>
      <c r="BB390" s="441"/>
      <c r="BC390" s="441"/>
      <c r="BD390" s="441"/>
      <c r="BE390" s="441"/>
      <c r="BF390" s="418"/>
      <c r="BG390" s="441"/>
      <c r="BH390" s="441"/>
      <c r="BI390" s="441"/>
      <c r="BJ390" s="441"/>
      <c r="BK390" s="441"/>
      <c r="BL390" s="441"/>
      <c r="BM390" s="441"/>
      <c r="BN390" s="441"/>
      <c r="BO390" s="441"/>
      <c r="BP390" s="418"/>
      <c r="BQ390" s="417"/>
      <c r="BR390" s="416"/>
      <c r="BS390" s="418"/>
      <c r="BT390" s="416"/>
      <c r="BU390" s="416"/>
      <c r="BV390" s="418"/>
      <c r="BW390" s="416"/>
      <c r="BX390" s="441"/>
      <c r="BY390" s="441"/>
      <c r="BZ390" s="441"/>
      <c r="CA390" s="441"/>
      <c r="CB390" s="441"/>
      <c r="CC390" s="693"/>
      <c r="CD390" s="441"/>
      <c r="CE390" s="615" t="str">
        <f>IFERROR(WWWW[[#This Row],['#_Water sources passed]]/WWWW[[#This Row],['#_Water sources tested for fecal coliform ]],"no test")</f>
        <v>no test</v>
      </c>
      <c r="CF390" s="416" t="str">
        <f>IFERROR(WWWW[[#This Row],['#_Household passed]]/WWWW[[#This Row],['#_Household water samples tested for fecal coliform]],"no test")</f>
        <v>no test</v>
      </c>
      <c r="CG390" s="417" t="str">
        <f>IF(AND(WWWW[[#This Row],[% of water sources passed]]="no test",WWWW[[#This Row],[% Household passed]]="no test"),"No Test","Tested")</f>
        <v>No Test</v>
      </c>
      <c r="CH390" s="417">
        <f>WWWW[[#This Row],['#_Constructed/existing protected hand dug well]]-WWWW[[#This Row],['#_Non-functional protected hand dug well]]</f>
        <v>0</v>
      </c>
      <c r="CI390" s="417">
        <f>(WWWW[[#This Row],['#_Constructed/Existing tube wells/boreholes/handpumps_WASH_agency]]+WWWW[[#This Row],['#_Non-Cluster partner water tube-wells/boreholes/handpumps]])-WWWW[[#This Row],['#_Non-functional tube wells/boreholes/handpumps]]</f>
        <v>0</v>
      </c>
      <c r="CJ390" s="417">
        <f>WWWW[[#This Row],['#_Constructed/Existingwater storage tank with gravity fed reticulation system]]-WWWW[[#This Row],['#_Non-functional storage tank gravity fed reticulation system]]</f>
        <v>1</v>
      </c>
      <c r="CK390" s="417">
        <f>(WWWW[[#This Row],['#_Water_Liters_supplied_by_Water boating or water trucking]]/90)/15</f>
        <v>0</v>
      </c>
      <c r="CL390" s="417">
        <f>WWWW[[#This Row],['#_Water_Liters_from_Constructed/Existing water distribution system from river or natural spring]]/90/15</f>
        <v>0</v>
      </c>
      <c r="CM390" s="417">
        <f>IF(WWWW[[#This Row],['#_of water points in TLS/CFS]]*500&gt;WWWW[[#This Row],[Total PoP ]],WWWW[[#This Row],[Total PoP ]],WWWW[[#This Row],['#_of water points in TLS/CFS]]*500)</f>
        <v>0</v>
      </c>
      <c r="CN390" s="417">
        <f>IF(WWWW[[#This Row],['#_of water points in THF]]*500&gt;WWWW[[#This Row],[Total PoP ]],WWWW[[#This Row],[Total PoP ]],WWWW[[#This Row],['#_of water points in THF]]*500)</f>
        <v>0</v>
      </c>
      <c r="CO390" s="417"/>
      <c r="CP390"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0.14214641080312723</v>
      </c>
      <c r="CQ390"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0.14214641080312723</v>
      </c>
      <c r="CR390" s="416">
        <f>IF(WWWW[[#This Row],[Location Type 1]]="Village",WWWW[[#This Row],[Access to safe drinking water for Village]],WWWW[[#This Row],[Access to safe drinking water for Camp]])</f>
        <v>0.14214641080312723</v>
      </c>
      <c r="CS390" s="421">
        <f>WWWW[[#This Row],[%Equitable and continuous access to sufficient quantity of safe drinking water]]*WWWW[[#This Row],[Total PoP ]]</f>
        <v>66.666666666666671</v>
      </c>
      <c r="CT390" s="416">
        <f>IF((WWWW[[#This Row],['#_Constructed/Existing protected/fenced ponds]]*250)/WWWW[[#This Row],[Total PoP ]]&gt;1,1,(WWWW[[#This Row],['#_Constructed/Existing protected/fenced ponds]]*250)/WWWW[[#This Row],[Total PoP ]])</f>
        <v>0</v>
      </c>
      <c r="CU390" s="421">
        <f>WWWW[[#This Row],[% Access to unimproved water points]]*WWWW[[#This Row],[Total PoP ]]</f>
        <v>0</v>
      </c>
      <c r="CV390"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0.14214641080312723</v>
      </c>
      <c r="CW390"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66.666666666666671</v>
      </c>
      <c r="CX390" s="421">
        <f>WWWW[[#This Row],[HRP1]]/500</f>
        <v>0.13333333333333333</v>
      </c>
      <c r="CY390" s="951">
        <f>1-WWWW[[#This Row],[% Equitable and continuous access to sufficient quantity of domestic water]]</f>
        <v>0.85785358919687282</v>
      </c>
      <c r="CZ390" s="421">
        <f>WWWW[[#This Row],[%equitable and continuous access to sufficient quantity of safe drinking and domestic water''s GAP]]*WWWW[[#This Row],[Total PoP ]]</f>
        <v>402.33333333333337</v>
      </c>
      <c r="DA390" s="417">
        <f>IF(WWWW[[#This Row],[Total required water points]]-WWWW[[#This Row],['#Water points coverage]]&lt;0,0,WWWW[[#This Row],[Total required water points]]-WWWW[[#This Row],['#Water points coverage]])</f>
        <v>0.8666666666666667</v>
      </c>
      <c r="DB390" s="417">
        <f>ROUND(IF(WWWW[[#This Row],[Total PoP ]]&lt;500,1,WWWW[[#This Row],[Total PoP ]]/500),0)</f>
        <v>1</v>
      </c>
      <c r="DC390" s="417">
        <f>(WWWW[[#This Row],['#_Constructed latrines_by_WASHAgencies]]+WWWW[[#This Row],['#_Non Cluster partner latrines]])-WWWW[[#This Row],['#_Non-functional latrines]]</f>
        <v>0</v>
      </c>
      <c r="DD390" s="615">
        <f>WWWW[[#This Row],[HRP2]]/WWWW[[#This Row],[Total PoP ]]</f>
        <v>0</v>
      </c>
      <c r="DE390"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90"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90"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90" s="417">
        <f>IF(WWWW[[#This Row],['# of functional latrines in THF supported by WASH partners during the reporting period2]]="",0,WWWW[[#This Row],['# of functional latrines in THF supported by WASH partners during the reporting period2]]*50)</f>
        <v>0</v>
      </c>
      <c r="DI390" s="417">
        <f>ROUND(IF(WWWW[[#This Row],[Location Type 1]]="camp",WWWW[[#This Row],[Total PoP ]]/20,IF(WWWW[[#This Row],[Location Type 1]]="Temporary Location",WWWW[[#This Row],[Total PoP ]]/50,(WWWW[[#This Row],[Total PoP ]]/6))),0)</f>
        <v>23</v>
      </c>
      <c r="DJ390" s="417">
        <f>IF(WWWW[[#This Row],[Total required Latrines]]-(WWWW[[#This Row],['#_Constructed latrines_by_WASHAgencies]]+WWWW[[#This Row],['#_Non Cluster partner latrines]])&lt;0,0,WWWW[[#This Row],[Total required Latrines]]-(WWWW[[#This Row],['#_Constructed latrines_by_WASHAgencies]]+WWWW[[#This Row],['#_Non Cluster partner latrines]]))</f>
        <v>23</v>
      </c>
      <c r="DK390" s="951">
        <f>1-WWWW[[#This Row],[% people access to functioning Latrine]]</f>
        <v>1</v>
      </c>
      <c r="DL390" s="615">
        <f>IF(OR(WWWW[[#This Row],['#_Non-functional latrines]]="",WWWW[[#This Row],['#_Non-functional latrines]]=0),0,WWWW[[#This Row],['#_Non-functional latrines]]/(WWWW[[#This Row],['#_Constructed latrines_by_WASHAgencies]]+WWWW[[#This Row],['#_Non Cluster partner latrines]]))</f>
        <v>0</v>
      </c>
      <c r="DM390" s="421">
        <f>IF(500*(WWWW[[#This Row],['#_male hygiene promoters]]+WWWW[[#This Row],['#_female hygiene promoters]])&gt;WWWW[[#This Row],[Total PoP ]],WWWW[[#This Row],[Total PoP ]],500*(WWWW[[#This Row],['#_male hygiene promoters]]+WWWW[[#This Row],['#_female hygiene promoters]]))</f>
        <v>0</v>
      </c>
      <c r="DN390"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90"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90" s="417">
        <f>IF(WWWW[[#This Row],['# People with access to soap]]&gt;WWWW[[#This Row],['# People with access to Sanity Pads]],WWWW[[#This Row],['# People with access to soap]],WWWW[[#This Row],['# People with access to Sanity Pads]])</f>
        <v>0</v>
      </c>
      <c r="DQ390"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90" s="951">
        <f>IF(WWWW[[#This Row],[HRP3]]/WWWW[[#This Row],[Total PoP ]]&gt;1,1,WWWW[[#This Row],[HRP3]]/WWWW[[#This Row],[Total PoP ]])</f>
        <v>0</v>
      </c>
      <c r="DS390" s="615">
        <f>1-WWWW[[#This Row],[Hygiene Coverage%]]</f>
        <v>1</v>
      </c>
      <c r="DT390" s="416">
        <f>WWWW[[#This Row],['# people reached by regular dedicated hygiene promotion_5]]/WWWW[[#This Row],[Total PoP ]]</f>
        <v>0</v>
      </c>
      <c r="DU390"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90"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90" s="417">
        <f>WWWW[[#This Row],['#_Constructed/Existing hand washing stations]]-WWWW[[#This Row],['#_Non-Functional_hand_washing_stations]]</f>
        <v>0</v>
      </c>
      <c r="DX390" s="421">
        <f>IF(WWWW[[#This Row],['# Functional hand washing stations during reporting period]]*20&gt;WWWW[[#This Row],[Total HH]],WWWW[[#This Row],[Total HH]],WWWW[[#This Row],['# Functional hand washing stations during reporting period]]*20)</f>
        <v>0</v>
      </c>
      <c r="DY390" s="421">
        <f>IF(WWWW[[#This Row],[Is sufficient soap available for TLS? (Yes/No)]]="yes",WWWW[[#This Row],['#_Constructed/Existing hand washing stations at TLS/CFS/THF]],0)</f>
        <v>0</v>
      </c>
      <c r="DZ390" s="421">
        <f>IF(WWWW[[#This Row],['# Functional hand washing stations during reporting period]]*100&gt;WWWW[[#This Row],[Total PoP ]],WWWW[[#This Row],[Total PoP ]],WWWW[[#This Row],['# Functional hand washing stations during reporting period]]*100)</f>
        <v>0</v>
      </c>
      <c r="EA390" s="421" t="str">
        <f>IF(OR(WWWW[[#This Row],['#_students at TLS_CFS]]="",WWWW[[#This Row],['#_students at TLS_CFS]]=0),"No","Yes")</f>
        <v>No</v>
      </c>
      <c r="EB39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90" s="566">
        <f>WWWW[[#This Row],[%_of_affected_people_surveyed_who_report_feeling_satistfied_with_the_latrine_design_and_sanitation_service]]*WWWW[[#This Row],[Total PoP ]]</f>
        <v>0</v>
      </c>
      <c r="ED390" s="566">
        <f>WWWW[[#This Row],[%_of_affected_people_surveyed_who_report_feeling_satistfied_with_the_water_point_design_and_water_service]]*WWWW[[#This Row],[Total PoP ]]</f>
        <v>0</v>
      </c>
      <c r="EE390" s="566">
        <f>WWWW[[#This Row],[%_of_complaints_received_that_result_in_timely_corrective_action_and_feedback_to_the_community]]*WWWW[[#This Row],[Total PoP ]]</f>
        <v>0</v>
      </c>
      <c r="EF39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9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9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90" s="418">
        <f>VLOOKUP(WWWW[[#This Row],[Site Name]],SiteDB6[[Site Name]:[CCCM Management]],6,FALSE)</f>
        <v>0</v>
      </c>
      <c r="EJ390" s="418" t="str">
        <f>VLOOKUP(WWWW[[#This Row],[Site Name]],SiteDB6[[Site Name]:[CCCM Focal Agency]],7,FALSE)</f>
        <v>Uncovered</v>
      </c>
      <c r="EK390" s="418" t="str">
        <f>VLOOKUP(WWWW[[#This Row],[Site Name]],SiteDB6[[Site Name]:[Location Type 1]],9,FALSE)</f>
        <v>Camp</v>
      </c>
      <c r="EL390" s="418" t="str">
        <f>VLOOKUP(WWWW[[#This Row],[Site Name]],SiteDB6[[Site Name]:[Type of Accommodation]],10,FALSE)</f>
        <v>Camp like setting</v>
      </c>
      <c r="EM390" s="418" t="str">
        <f>VLOOKUP(WWWW[[#This Row],[Site Name]],SiteDB6[[Site Name]:[Ethnic or GCA/NGCA]],11,FALSE)</f>
        <v>GCA</v>
      </c>
      <c r="EN390" s="418">
        <f>VLOOKUP(WWWW[[#This Row],[Site Name]],SiteDB6[[Site Name]:[Lat]],12,FALSE)</f>
        <v>0</v>
      </c>
      <c r="EO390" s="418" t="str">
        <f>VLOOKUP(WWWW[[#This Row],[Site Name]],SiteDB6[[Site Name]:[Long]],13,FALSE)</f>
        <v>not available</v>
      </c>
      <c r="EP390" s="418" t="str">
        <f>VLOOKUP(WWWW[[#This Row],[Site Name]],SiteDB6[[Site Name]:[Pcode]],3,FALSE)</f>
        <v>MMR015CMP093</v>
      </c>
      <c r="EQ390" s="950" t="str">
        <f t="shared" si="9"/>
        <v>Covered</v>
      </c>
      <c r="ER390" s="950" t="s">
        <v>3126</v>
      </c>
      <c r="ES390" s="950"/>
      <c r="ET390" s="418">
        <f>VLOOKUP(WWWW[[#This Row],[Site Name]],SiteDB6[[Site Name]:[Pop
(Kachin/Shan-CCCM as of May 2023)]],16,FALSE)</f>
        <v>92</v>
      </c>
      <c r="EU390" s="418">
        <f>VLOOKUP(WWWW[[#This Row],[Site Name]],SiteDB6[[Site Name]:[Pop
(Kachin/Shan-CCCM as of May 2023)]],17,FALSE)</f>
        <v>451</v>
      </c>
    </row>
    <row r="391" spans="1:151">
      <c r="A391" s="946" t="s">
        <v>2962</v>
      </c>
      <c r="B391" s="1004" t="s">
        <v>309</v>
      </c>
      <c r="C391" s="1004" t="s">
        <v>309</v>
      </c>
      <c r="D391" s="1005"/>
      <c r="E391" s="1005" t="s">
        <v>515</v>
      </c>
      <c r="F391" s="1005" t="s">
        <v>956</v>
      </c>
      <c r="G391" s="902" t="str">
        <f>VLOOKUP(WWWW[[#This Row],[Site Name]],SiteDB6[[Site Name]:[Location Type]],8,FALSE)</f>
        <v>Camp</v>
      </c>
      <c r="H391" s="953" t="s">
        <v>3236</v>
      </c>
      <c r="I391" s="954">
        <v>44</v>
      </c>
      <c r="J391" s="954">
        <v>145</v>
      </c>
      <c r="K391" s="955"/>
      <c r="L391" s="956"/>
      <c r="M391" s="954"/>
      <c r="N391" s="954"/>
      <c r="O391" s="954"/>
      <c r="P391" s="954"/>
      <c r="Q391" s="957"/>
      <c r="R391" s="954"/>
      <c r="S391" s="954"/>
      <c r="T391" s="441"/>
      <c r="U391" s="954"/>
      <c r="V391" s="954"/>
      <c r="W391" s="954"/>
      <c r="X391" s="954"/>
      <c r="Y391" s="954"/>
      <c r="Z391" s="954"/>
      <c r="AA391" s="954"/>
      <c r="AB391" s="954"/>
      <c r="AC391" s="954"/>
      <c r="AD391" s="954"/>
      <c r="AE391" s="954"/>
      <c r="AF391" s="954"/>
      <c r="AG391" s="954"/>
      <c r="AH391" s="954"/>
      <c r="AI391" s="954"/>
      <c r="AJ391" s="954"/>
      <c r="AK391" s="954"/>
      <c r="AL391" s="954"/>
      <c r="AM391" s="954"/>
      <c r="AN391" s="954"/>
      <c r="AO391" s="441"/>
      <c r="AP391" s="958"/>
      <c r="AQ391" s="954"/>
      <c r="AR391" s="954"/>
      <c r="AS391" s="959"/>
      <c r="AT391" s="954"/>
      <c r="AU391" s="954"/>
      <c r="AV391" s="954"/>
      <c r="AW391" s="954"/>
      <c r="AX391" s="954"/>
      <c r="AY391" s="953"/>
      <c r="AZ391" s="958"/>
      <c r="BA391" s="954"/>
      <c r="BB391" s="954"/>
      <c r="BC391" s="954"/>
      <c r="BD391" s="441"/>
      <c r="BE391" s="441"/>
      <c r="BF391" s="953"/>
      <c r="BG391" s="954"/>
      <c r="BH391" s="954"/>
      <c r="BI391" s="954"/>
      <c r="BJ391" s="954"/>
      <c r="BK391" s="954"/>
      <c r="BL391" s="954"/>
      <c r="BM391" s="954"/>
      <c r="BN391" s="954"/>
      <c r="BO391" s="954"/>
      <c r="BP391" s="953"/>
      <c r="BQ391" s="960"/>
      <c r="BR391" s="959"/>
      <c r="BS391" s="953"/>
      <c r="BT391" s="416"/>
      <c r="BU391" s="416"/>
      <c r="BV391" s="418"/>
      <c r="BW391" s="416"/>
      <c r="BX391" s="441"/>
      <c r="BY391" s="441"/>
      <c r="BZ391" s="441"/>
      <c r="CA391" s="441"/>
      <c r="CB391" s="441"/>
      <c r="CC391" s="693"/>
      <c r="CD391" s="441"/>
      <c r="CE391" s="961" t="str">
        <f>IFERROR(WWWW[[#This Row],['#_Water sources passed]]/WWWW[[#This Row],['#_Water sources tested for fecal coliform ]],"no test")</f>
        <v>no test</v>
      </c>
      <c r="CF391" s="959" t="str">
        <f>IFERROR(WWWW[[#This Row],['#_Household passed]]/WWWW[[#This Row],['#_Household water samples tested for fecal coliform]],"no test")</f>
        <v>no test</v>
      </c>
      <c r="CG391" s="960" t="str">
        <f>IF(AND(WWWW[[#This Row],[% of water sources passed]]="no test",WWWW[[#This Row],[% Household passed]]="no test"),"No Test","Tested")</f>
        <v>No Test</v>
      </c>
      <c r="CH391" s="960">
        <f>WWWW[[#This Row],['#_Constructed/existing protected hand dug well]]-WWWW[[#This Row],['#_Non-functional protected hand dug well]]</f>
        <v>0</v>
      </c>
      <c r="CI391" s="960">
        <f>(WWWW[[#This Row],['#_Constructed/Existing tube wells/boreholes/handpumps_WASH_agency]]+WWWW[[#This Row],['#_Non-Cluster partner water tube-wells/boreholes/handpumps]])-WWWW[[#This Row],['#_Non-functional tube wells/boreholes/handpumps]]</f>
        <v>0</v>
      </c>
      <c r="CJ391" s="960">
        <f>WWWW[[#This Row],['#_Constructed/Existingwater storage tank with gravity fed reticulation system]]-WWWW[[#This Row],['#_Non-functional storage tank gravity fed reticulation system]]</f>
        <v>0</v>
      </c>
      <c r="CK391" s="960">
        <f>(WWWW[[#This Row],['#_Water_Liters_supplied_by_Water boating or water trucking]]/90)/15</f>
        <v>0</v>
      </c>
      <c r="CL391" s="960">
        <f>WWWW[[#This Row],['#_Water_Liters_from_Constructed/Existing water distribution system from river or natural spring]]/90/15</f>
        <v>0</v>
      </c>
      <c r="CM391" s="417">
        <f>IF(WWWW[[#This Row],['#_of water points in TLS/CFS]]*500&gt;WWWW[[#This Row],[Total PoP ]],WWWW[[#This Row],[Total PoP ]],WWWW[[#This Row],['#_of water points in TLS/CFS]]*500)</f>
        <v>0</v>
      </c>
      <c r="CN391" s="417">
        <f>IF(WWWW[[#This Row],['#_of water points in THF]]*500&gt;WWWW[[#This Row],[Total PoP ]],WWWW[[#This Row],[Total PoP ]],WWWW[[#This Row],['#_of water points in THF]]*500)</f>
        <v>0</v>
      </c>
      <c r="CO391" s="417"/>
      <c r="CP391"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91"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91" s="959">
        <f>IF(WWWW[[#This Row],[Location Type 1]]="Village",WWWW[[#This Row],[Access to safe drinking water for Village]],WWWW[[#This Row],[Access to safe drinking water for Camp]])</f>
        <v>0</v>
      </c>
      <c r="CS391" s="957">
        <f>WWWW[[#This Row],[%Equitable and continuous access to sufficient quantity of safe drinking water]]*WWWW[[#This Row],[Total PoP ]]</f>
        <v>0</v>
      </c>
      <c r="CT391" s="959">
        <f>IF((WWWW[[#This Row],['#_Constructed/Existing protected/fenced ponds]]*250)/WWWW[[#This Row],[Total PoP ]]&gt;1,1,(WWWW[[#This Row],['#_Constructed/Existing protected/fenced ponds]]*250)/WWWW[[#This Row],[Total PoP ]])</f>
        <v>0</v>
      </c>
      <c r="CU391" s="957">
        <f>WWWW[[#This Row],[% Access to unimproved water points]]*WWWW[[#This Row],[Total PoP ]]</f>
        <v>0</v>
      </c>
      <c r="CV391"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91"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91" s="957">
        <f>WWWW[[#This Row],[HRP1]]/500</f>
        <v>0</v>
      </c>
      <c r="CY391" s="962">
        <f>1-WWWW[[#This Row],[% Equitable and continuous access to sufficient quantity of domestic water]]</f>
        <v>1</v>
      </c>
      <c r="CZ391" s="957">
        <f>WWWW[[#This Row],[%equitable and continuous access to sufficient quantity of safe drinking and domestic water''s GAP]]*WWWW[[#This Row],[Total PoP ]]</f>
        <v>145</v>
      </c>
      <c r="DA391" s="960">
        <f>IF(WWWW[[#This Row],[Total required water points]]-WWWW[[#This Row],['#Water points coverage]]&lt;0,0,WWWW[[#This Row],[Total required water points]]-WWWW[[#This Row],['#Water points coverage]])</f>
        <v>1</v>
      </c>
      <c r="DB391" s="960">
        <f>ROUND(IF(WWWW[[#This Row],[Total PoP ]]&lt;500,1,WWWW[[#This Row],[Total PoP ]]/500),0)</f>
        <v>1</v>
      </c>
      <c r="DC391" s="960">
        <f>(WWWW[[#This Row],['#_Constructed latrines_by_WASHAgencies]]+WWWW[[#This Row],['#_Non Cluster partner latrines]])-WWWW[[#This Row],['#_Non-functional latrines]]</f>
        <v>0</v>
      </c>
      <c r="DD391" s="615">
        <f>WWWW[[#This Row],[HRP2]]/WWWW[[#This Row],[Total PoP ]]</f>
        <v>0</v>
      </c>
      <c r="DE391"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91"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91"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91" s="417">
        <f>IF(WWWW[[#This Row],['# of functional latrines in THF supported by WASH partners during the reporting period2]]="",0,WWWW[[#This Row],['# of functional latrines in THF supported by WASH partners during the reporting period2]]*50)</f>
        <v>0</v>
      </c>
      <c r="DI391" s="960">
        <f>ROUND(IF(WWWW[[#This Row],[Location Type 1]]="camp",WWWW[[#This Row],[Total PoP ]]/20,IF(WWWW[[#This Row],[Location Type 1]]="Temporary Location",WWWW[[#This Row],[Total PoP ]]/50,(WWWW[[#This Row],[Total PoP ]]/6))),0)</f>
        <v>7</v>
      </c>
      <c r="DJ391" s="960">
        <f>IF(WWWW[[#This Row],[Total required Latrines]]-(WWWW[[#This Row],['#_Constructed latrines_by_WASHAgencies]]+WWWW[[#This Row],['#_Non Cluster partner latrines]])&lt;0,0,WWWW[[#This Row],[Total required Latrines]]-(WWWW[[#This Row],['#_Constructed latrines_by_WASHAgencies]]+WWWW[[#This Row],['#_Non Cluster partner latrines]]))</f>
        <v>7</v>
      </c>
      <c r="DK391" s="962">
        <f>1-WWWW[[#This Row],[% people access to functioning Latrine]]</f>
        <v>1</v>
      </c>
      <c r="DL391" s="961">
        <f>IF(OR(WWWW[[#This Row],['#_Non-functional latrines]]="",WWWW[[#This Row],['#_Non-functional latrines]]=0),0,WWWW[[#This Row],['#_Non-functional latrines]]/(WWWW[[#This Row],['#_Constructed latrines_by_WASHAgencies]]+WWWW[[#This Row],['#_Non Cluster partner latrines]]))</f>
        <v>0</v>
      </c>
      <c r="DM391" s="957">
        <f>IF(500*(WWWW[[#This Row],['#_male hygiene promoters]]+WWWW[[#This Row],['#_female hygiene promoters]])&gt;WWWW[[#This Row],[Total PoP ]],WWWW[[#This Row],[Total PoP ]],500*(WWWW[[#This Row],['#_male hygiene promoters]]+WWWW[[#This Row],['#_female hygiene promoters]]))</f>
        <v>0</v>
      </c>
      <c r="DN391"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91"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91" s="960">
        <f>IF(WWWW[[#This Row],['# People with access to soap]]&gt;WWWW[[#This Row],['# People with access to Sanity Pads]],WWWW[[#This Row],['# People with access to soap]],WWWW[[#This Row],['# People with access to Sanity Pads]])</f>
        <v>0</v>
      </c>
      <c r="DQ391" s="960">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91" s="962">
        <f>IF(WWWW[[#This Row],[HRP3]]/WWWW[[#This Row],[Total PoP ]]&gt;1,1,WWWW[[#This Row],[HRP3]]/WWWW[[#This Row],[Total PoP ]])</f>
        <v>0</v>
      </c>
      <c r="DS391" s="961">
        <f>1-WWWW[[#This Row],[Hygiene Coverage%]]</f>
        <v>1</v>
      </c>
      <c r="DT391" s="959">
        <f>WWWW[[#This Row],['# people reached by regular dedicated hygiene promotion_5]]/WWWW[[#This Row],[Total PoP ]]</f>
        <v>0</v>
      </c>
      <c r="DU391"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91"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91" s="960">
        <f>WWWW[[#This Row],['#_Constructed/Existing hand washing stations]]-WWWW[[#This Row],['#_Non-Functional_hand_washing_stations]]</f>
        <v>0</v>
      </c>
      <c r="DX391" s="957">
        <f>IF(WWWW[[#This Row],['# Functional hand washing stations during reporting period]]*20&gt;WWWW[[#This Row],[Total HH]],WWWW[[#This Row],[Total HH]],WWWW[[#This Row],['# Functional hand washing stations during reporting period]]*20)</f>
        <v>0</v>
      </c>
      <c r="DY391" s="957">
        <f>IF(WWWW[[#This Row],[Is sufficient soap available for TLS? (Yes/No)]]="yes",WWWW[[#This Row],['#_Constructed/Existing hand washing stations at TLS/CFS/THF]],0)</f>
        <v>0</v>
      </c>
      <c r="DZ391" s="421">
        <f>IF(WWWW[[#This Row],['# Functional hand washing stations during reporting period]]*100&gt;WWWW[[#This Row],[Total PoP ]],WWWW[[#This Row],[Total PoP ]],WWWW[[#This Row],['# Functional hand washing stations during reporting period]]*100)</f>
        <v>0</v>
      </c>
      <c r="EA391" s="421" t="str">
        <f>IF(OR(WWWW[[#This Row],['#_students at TLS_CFS]]="",WWWW[[#This Row],['#_students at TLS_CFS]]=0),"No","Yes")</f>
        <v>No</v>
      </c>
      <c r="EB39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91" s="566">
        <f>WWWW[[#This Row],[%_of_affected_people_surveyed_who_report_feeling_satistfied_with_the_latrine_design_and_sanitation_service]]*WWWW[[#This Row],[Total PoP ]]</f>
        <v>0</v>
      </c>
      <c r="ED391" s="566">
        <f>WWWW[[#This Row],[%_of_affected_people_surveyed_who_report_feeling_satistfied_with_the_water_point_design_and_water_service]]*WWWW[[#This Row],[Total PoP ]]</f>
        <v>0</v>
      </c>
      <c r="EE391" s="566">
        <f>WWWW[[#This Row],[%_of_complaints_received_that_result_in_timely_corrective_action_and_feedback_to_the_community]]*WWWW[[#This Row],[Total PoP ]]</f>
        <v>0</v>
      </c>
      <c r="EF39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9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9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91" s="953">
        <f>VLOOKUP(WWWW[[#This Row],[Site Name]],SiteDB6[[Site Name]:[CCCM Management]],6,FALSE)</f>
        <v>0</v>
      </c>
      <c r="EJ391" s="953">
        <f>VLOOKUP(WWWW[[#This Row],[Site Name]],SiteDB6[[Site Name]:[CCCM Focal Agency]],7,FALSE)</f>
        <v>0</v>
      </c>
      <c r="EK391" s="953" t="str">
        <f>VLOOKUP(WWWW[[#This Row],[Site Name]],SiteDB6[[Site Name]:[Location Type 1]],9,FALSE)</f>
        <v>Camp</v>
      </c>
      <c r="EL391" s="953" t="str">
        <f>VLOOKUP(WWWW[[#This Row],[Site Name]],SiteDB6[[Site Name]:[Type of Accommodation]],10,FALSE)</f>
        <v>IDPs in host</v>
      </c>
      <c r="EM391" s="953" t="str">
        <f>VLOOKUP(WWWW[[#This Row],[Site Name]],SiteDB6[[Site Name]:[Ethnic or GCA/NGCA]],11,FALSE)</f>
        <v>GCA</v>
      </c>
      <c r="EN391" s="953">
        <f>VLOOKUP(WWWW[[#This Row],[Site Name]],SiteDB6[[Site Name]:[Lat]],12,FALSE)</f>
        <v>0</v>
      </c>
      <c r="EO391" s="953">
        <f>VLOOKUP(WWWW[[#This Row],[Site Name]],SiteDB6[[Site Name]:[Long]],13,FALSE)</f>
        <v>0</v>
      </c>
      <c r="EP391" s="953" t="str">
        <f>VLOOKUP(WWWW[[#This Row],[Site Name]],SiteDB6[[Site Name]:[Pcode]],3,FALSE)</f>
        <v>MMR015CMP097</v>
      </c>
      <c r="EQ391" s="958" t="str">
        <f t="shared" si="9"/>
        <v>Notcovered</v>
      </c>
      <c r="ER391" s="950"/>
      <c r="ES391" s="950"/>
      <c r="ET391" s="953">
        <f>VLOOKUP(WWWW[[#This Row],[Site Name]],SiteDB6[[Site Name]:[Pop
(Kachin/Shan-CCCM as of May 2023)]],16,FALSE)</f>
        <v>44</v>
      </c>
      <c r="EU391" s="953">
        <f>VLOOKUP(WWWW[[#This Row],[Site Name]],SiteDB6[[Site Name]:[Pop
(Kachin/Shan-CCCM as of May 2023)]],17,FALSE)</f>
        <v>145</v>
      </c>
    </row>
    <row r="392" spans="1:151">
      <c r="A392" s="946" t="s">
        <v>2962</v>
      </c>
      <c r="B392" s="1004" t="s">
        <v>309</v>
      </c>
      <c r="C392" s="1004" t="s">
        <v>309</v>
      </c>
      <c r="D392" s="1005"/>
      <c r="E392" s="1005" t="s">
        <v>515</v>
      </c>
      <c r="F392" s="1005" t="s">
        <v>956</v>
      </c>
      <c r="G392" s="902" t="str">
        <f>VLOOKUP(WWWW[[#This Row],[Site Name]],SiteDB6[[Site Name]:[Location Type]],8,FALSE)</f>
        <v>Camp</v>
      </c>
      <c r="H392" s="953" t="s">
        <v>3237</v>
      </c>
      <c r="I392" s="954">
        <v>37</v>
      </c>
      <c r="J392" s="954">
        <v>114</v>
      </c>
      <c r="K392" s="955"/>
      <c r="L392" s="956"/>
      <c r="M392" s="954"/>
      <c r="N392" s="954"/>
      <c r="O392" s="954"/>
      <c r="P392" s="954"/>
      <c r="Q392" s="957"/>
      <c r="R392" s="954"/>
      <c r="S392" s="954"/>
      <c r="T392" s="441"/>
      <c r="U392" s="954"/>
      <c r="V392" s="954"/>
      <c r="W392" s="954"/>
      <c r="X392" s="954"/>
      <c r="Y392" s="954"/>
      <c r="Z392" s="954"/>
      <c r="AA392" s="954"/>
      <c r="AB392" s="954"/>
      <c r="AC392" s="954"/>
      <c r="AD392" s="954"/>
      <c r="AE392" s="954"/>
      <c r="AF392" s="954"/>
      <c r="AG392" s="954"/>
      <c r="AH392" s="954"/>
      <c r="AI392" s="954"/>
      <c r="AJ392" s="954"/>
      <c r="AK392" s="954"/>
      <c r="AL392" s="954"/>
      <c r="AM392" s="954"/>
      <c r="AN392" s="954"/>
      <c r="AO392" s="441"/>
      <c r="AP392" s="958"/>
      <c r="AQ392" s="954"/>
      <c r="AR392" s="954"/>
      <c r="AS392" s="959"/>
      <c r="AT392" s="954"/>
      <c r="AU392" s="954"/>
      <c r="AV392" s="954"/>
      <c r="AW392" s="954"/>
      <c r="AX392" s="954"/>
      <c r="AY392" s="953"/>
      <c r="AZ392" s="958"/>
      <c r="BA392" s="954"/>
      <c r="BB392" s="954"/>
      <c r="BC392" s="954"/>
      <c r="BD392" s="441"/>
      <c r="BE392" s="441"/>
      <c r="BF392" s="953"/>
      <c r="BG392" s="954"/>
      <c r="BH392" s="954"/>
      <c r="BI392" s="954"/>
      <c r="BJ392" s="954"/>
      <c r="BK392" s="954"/>
      <c r="BL392" s="954"/>
      <c r="BM392" s="954"/>
      <c r="BN392" s="954"/>
      <c r="BO392" s="954"/>
      <c r="BP392" s="953"/>
      <c r="BQ392" s="960"/>
      <c r="BR392" s="959"/>
      <c r="BS392" s="953"/>
      <c r="BT392" s="416"/>
      <c r="BU392" s="416"/>
      <c r="BV392" s="418"/>
      <c r="BW392" s="416"/>
      <c r="BX392" s="441"/>
      <c r="BY392" s="441"/>
      <c r="BZ392" s="441"/>
      <c r="CA392" s="441"/>
      <c r="CB392" s="441"/>
      <c r="CC392" s="693"/>
      <c r="CD392" s="441"/>
      <c r="CE392" s="961" t="str">
        <f>IFERROR(WWWW[[#This Row],['#_Water sources passed]]/WWWW[[#This Row],['#_Water sources tested for fecal coliform ]],"no test")</f>
        <v>no test</v>
      </c>
      <c r="CF392" s="959" t="str">
        <f>IFERROR(WWWW[[#This Row],['#_Household passed]]/WWWW[[#This Row],['#_Household water samples tested for fecal coliform]],"no test")</f>
        <v>no test</v>
      </c>
      <c r="CG392" s="960" t="str">
        <f>IF(AND(WWWW[[#This Row],[% of water sources passed]]="no test",WWWW[[#This Row],[% Household passed]]="no test"),"No Test","Tested")</f>
        <v>No Test</v>
      </c>
      <c r="CH392" s="960">
        <f>WWWW[[#This Row],['#_Constructed/existing protected hand dug well]]-WWWW[[#This Row],['#_Non-functional protected hand dug well]]</f>
        <v>0</v>
      </c>
      <c r="CI392" s="960">
        <f>(WWWW[[#This Row],['#_Constructed/Existing tube wells/boreholes/handpumps_WASH_agency]]+WWWW[[#This Row],['#_Non-Cluster partner water tube-wells/boreholes/handpumps]])-WWWW[[#This Row],['#_Non-functional tube wells/boreholes/handpumps]]</f>
        <v>0</v>
      </c>
      <c r="CJ392" s="960">
        <f>WWWW[[#This Row],['#_Constructed/Existingwater storage tank with gravity fed reticulation system]]-WWWW[[#This Row],['#_Non-functional storage tank gravity fed reticulation system]]</f>
        <v>0</v>
      </c>
      <c r="CK392" s="960">
        <f>(WWWW[[#This Row],['#_Water_Liters_supplied_by_Water boating or water trucking]]/90)/15</f>
        <v>0</v>
      </c>
      <c r="CL392" s="960">
        <f>WWWW[[#This Row],['#_Water_Liters_from_Constructed/Existing water distribution system from river or natural spring]]/90/15</f>
        <v>0</v>
      </c>
      <c r="CM392" s="417">
        <f>IF(WWWW[[#This Row],['#_of water points in TLS/CFS]]*500&gt;WWWW[[#This Row],[Total PoP ]],WWWW[[#This Row],[Total PoP ]],WWWW[[#This Row],['#_of water points in TLS/CFS]]*500)</f>
        <v>0</v>
      </c>
      <c r="CN392" s="417">
        <f>IF(WWWW[[#This Row],['#_of water points in THF]]*500&gt;WWWW[[#This Row],[Total PoP ]],WWWW[[#This Row],[Total PoP ]],WWWW[[#This Row],['#_of water points in THF]]*500)</f>
        <v>0</v>
      </c>
      <c r="CO392" s="417"/>
      <c r="CP392"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92"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92" s="959">
        <f>IF(WWWW[[#This Row],[Location Type 1]]="Village",WWWW[[#This Row],[Access to safe drinking water for Village]],WWWW[[#This Row],[Access to safe drinking water for Camp]])</f>
        <v>0</v>
      </c>
      <c r="CS392" s="957">
        <f>WWWW[[#This Row],[%Equitable and continuous access to sufficient quantity of safe drinking water]]*WWWW[[#This Row],[Total PoP ]]</f>
        <v>0</v>
      </c>
      <c r="CT392" s="959">
        <f>IF((WWWW[[#This Row],['#_Constructed/Existing protected/fenced ponds]]*250)/WWWW[[#This Row],[Total PoP ]]&gt;1,1,(WWWW[[#This Row],['#_Constructed/Existing protected/fenced ponds]]*250)/WWWW[[#This Row],[Total PoP ]])</f>
        <v>0</v>
      </c>
      <c r="CU392" s="957">
        <f>WWWW[[#This Row],[% Access to unimproved water points]]*WWWW[[#This Row],[Total PoP ]]</f>
        <v>0</v>
      </c>
      <c r="CV392"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92"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92" s="957">
        <f>WWWW[[#This Row],[HRP1]]/500</f>
        <v>0</v>
      </c>
      <c r="CY392" s="962">
        <f>1-WWWW[[#This Row],[% Equitable and continuous access to sufficient quantity of domestic water]]</f>
        <v>1</v>
      </c>
      <c r="CZ392" s="957">
        <f>WWWW[[#This Row],[%equitable and continuous access to sufficient quantity of safe drinking and domestic water''s GAP]]*WWWW[[#This Row],[Total PoP ]]</f>
        <v>114</v>
      </c>
      <c r="DA392" s="960">
        <f>IF(WWWW[[#This Row],[Total required water points]]-WWWW[[#This Row],['#Water points coverage]]&lt;0,0,WWWW[[#This Row],[Total required water points]]-WWWW[[#This Row],['#Water points coverage]])</f>
        <v>1</v>
      </c>
      <c r="DB392" s="960">
        <f>ROUND(IF(WWWW[[#This Row],[Total PoP ]]&lt;500,1,WWWW[[#This Row],[Total PoP ]]/500),0)</f>
        <v>1</v>
      </c>
      <c r="DC392" s="960">
        <f>(WWWW[[#This Row],['#_Constructed latrines_by_WASHAgencies]]+WWWW[[#This Row],['#_Non Cluster partner latrines]])-WWWW[[#This Row],['#_Non-functional latrines]]</f>
        <v>0</v>
      </c>
      <c r="DD392" s="615">
        <f>WWWW[[#This Row],[HRP2]]/WWWW[[#This Row],[Total PoP ]]</f>
        <v>0</v>
      </c>
      <c r="DE392"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92"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92"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92" s="417">
        <f>IF(WWWW[[#This Row],['# of functional latrines in THF supported by WASH partners during the reporting period2]]="",0,WWWW[[#This Row],['# of functional latrines in THF supported by WASH partners during the reporting period2]]*50)</f>
        <v>0</v>
      </c>
      <c r="DI392" s="960">
        <f>ROUND(IF(WWWW[[#This Row],[Location Type 1]]="camp",WWWW[[#This Row],[Total PoP ]]/20,IF(WWWW[[#This Row],[Location Type 1]]="Temporary Location",WWWW[[#This Row],[Total PoP ]]/50,(WWWW[[#This Row],[Total PoP ]]/6))),0)</f>
        <v>6</v>
      </c>
      <c r="DJ392" s="960">
        <f>IF(WWWW[[#This Row],[Total required Latrines]]-(WWWW[[#This Row],['#_Constructed latrines_by_WASHAgencies]]+WWWW[[#This Row],['#_Non Cluster partner latrines]])&lt;0,0,WWWW[[#This Row],[Total required Latrines]]-(WWWW[[#This Row],['#_Constructed latrines_by_WASHAgencies]]+WWWW[[#This Row],['#_Non Cluster partner latrines]]))</f>
        <v>6</v>
      </c>
      <c r="DK392" s="962">
        <f>1-WWWW[[#This Row],[% people access to functioning Latrine]]</f>
        <v>1</v>
      </c>
      <c r="DL392" s="961">
        <f>IF(OR(WWWW[[#This Row],['#_Non-functional latrines]]="",WWWW[[#This Row],['#_Non-functional latrines]]=0),0,WWWW[[#This Row],['#_Non-functional latrines]]/(WWWW[[#This Row],['#_Constructed latrines_by_WASHAgencies]]+WWWW[[#This Row],['#_Non Cluster partner latrines]]))</f>
        <v>0</v>
      </c>
      <c r="DM392" s="957">
        <f>IF(500*(WWWW[[#This Row],['#_male hygiene promoters]]+WWWW[[#This Row],['#_female hygiene promoters]])&gt;WWWW[[#This Row],[Total PoP ]],WWWW[[#This Row],[Total PoP ]],500*(WWWW[[#This Row],['#_male hygiene promoters]]+WWWW[[#This Row],['#_female hygiene promoters]]))</f>
        <v>0</v>
      </c>
      <c r="DN392"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92"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92" s="960">
        <f>IF(WWWW[[#This Row],['# People with access to soap]]&gt;WWWW[[#This Row],['# People with access to Sanity Pads]],WWWW[[#This Row],['# People with access to soap]],WWWW[[#This Row],['# People with access to Sanity Pads]])</f>
        <v>0</v>
      </c>
      <c r="DQ392" s="960">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92" s="962">
        <f>IF(WWWW[[#This Row],[HRP3]]/WWWW[[#This Row],[Total PoP ]]&gt;1,1,WWWW[[#This Row],[HRP3]]/WWWW[[#This Row],[Total PoP ]])</f>
        <v>0</v>
      </c>
      <c r="DS392" s="961">
        <f>1-WWWW[[#This Row],[Hygiene Coverage%]]</f>
        <v>1</v>
      </c>
      <c r="DT392" s="959">
        <f>WWWW[[#This Row],['# people reached by regular dedicated hygiene promotion_5]]/WWWW[[#This Row],[Total PoP ]]</f>
        <v>0</v>
      </c>
      <c r="DU392"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92"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92" s="960">
        <f>WWWW[[#This Row],['#_Constructed/Existing hand washing stations]]-WWWW[[#This Row],['#_Non-Functional_hand_washing_stations]]</f>
        <v>0</v>
      </c>
      <c r="DX392" s="957">
        <f>IF(WWWW[[#This Row],['# Functional hand washing stations during reporting period]]*20&gt;WWWW[[#This Row],[Total HH]],WWWW[[#This Row],[Total HH]],WWWW[[#This Row],['# Functional hand washing stations during reporting period]]*20)</f>
        <v>0</v>
      </c>
      <c r="DY392" s="957">
        <f>IF(WWWW[[#This Row],[Is sufficient soap available for TLS? (Yes/No)]]="yes",WWWW[[#This Row],['#_Constructed/Existing hand washing stations at TLS/CFS/THF]],0)</f>
        <v>0</v>
      </c>
      <c r="DZ392" s="421">
        <f>IF(WWWW[[#This Row],['# Functional hand washing stations during reporting period]]*100&gt;WWWW[[#This Row],[Total PoP ]],WWWW[[#This Row],[Total PoP ]],WWWW[[#This Row],['# Functional hand washing stations during reporting period]]*100)</f>
        <v>0</v>
      </c>
      <c r="EA392" s="421" t="str">
        <f>IF(OR(WWWW[[#This Row],['#_students at TLS_CFS]]="",WWWW[[#This Row],['#_students at TLS_CFS]]=0),"No","Yes")</f>
        <v>No</v>
      </c>
      <c r="EB39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92" s="566">
        <f>WWWW[[#This Row],[%_of_affected_people_surveyed_who_report_feeling_satistfied_with_the_latrine_design_and_sanitation_service]]*WWWW[[#This Row],[Total PoP ]]</f>
        <v>0</v>
      </c>
      <c r="ED392" s="566">
        <f>WWWW[[#This Row],[%_of_affected_people_surveyed_who_report_feeling_satistfied_with_the_water_point_design_and_water_service]]*WWWW[[#This Row],[Total PoP ]]</f>
        <v>0</v>
      </c>
      <c r="EE392" s="566">
        <f>WWWW[[#This Row],[%_of_complaints_received_that_result_in_timely_corrective_action_and_feedback_to_the_community]]*WWWW[[#This Row],[Total PoP ]]</f>
        <v>0</v>
      </c>
      <c r="EF39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9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9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92" s="953">
        <f>VLOOKUP(WWWW[[#This Row],[Site Name]],SiteDB6[[Site Name]:[CCCM Management]],6,FALSE)</f>
        <v>0</v>
      </c>
      <c r="EJ392" s="953">
        <f>VLOOKUP(WWWW[[#This Row],[Site Name]],SiteDB6[[Site Name]:[CCCM Focal Agency]],7,FALSE)</f>
        <v>0</v>
      </c>
      <c r="EK392" s="953" t="str">
        <f>VLOOKUP(WWWW[[#This Row],[Site Name]],SiteDB6[[Site Name]:[Location Type 1]],9,FALSE)</f>
        <v>Camp</v>
      </c>
      <c r="EL392" s="953" t="str">
        <f>VLOOKUP(WWWW[[#This Row],[Site Name]],SiteDB6[[Site Name]:[Type of Accommodation]],10,FALSE)</f>
        <v>IDPs in host</v>
      </c>
      <c r="EM392" s="953" t="str">
        <f>VLOOKUP(WWWW[[#This Row],[Site Name]],SiteDB6[[Site Name]:[Ethnic or GCA/NGCA]],11,FALSE)</f>
        <v>GCA</v>
      </c>
      <c r="EN392" s="953">
        <f>VLOOKUP(WWWW[[#This Row],[Site Name]],SiteDB6[[Site Name]:[Lat]],12,FALSE)</f>
        <v>0</v>
      </c>
      <c r="EO392" s="953">
        <f>VLOOKUP(WWWW[[#This Row],[Site Name]],SiteDB6[[Site Name]:[Long]],13,FALSE)</f>
        <v>0</v>
      </c>
      <c r="EP392" s="953" t="str">
        <f>VLOOKUP(WWWW[[#This Row],[Site Name]],SiteDB6[[Site Name]:[Pcode]],3,FALSE)</f>
        <v>MMR015CMP098</v>
      </c>
      <c r="EQ392" s="958" t="str">
        <f t="shared" si="9"/>
        <v>Notcovered</v>
      </c>
      <c r="ER392" s="950"/>
      <c r="ES392" s="950"/>
      <c r="ET392" s="953">
        <f>VLOOKUP(WWWW[[#This Row],[Site Name]],SiteDB6[[Site Name]:[Pop
(Kachin/Shan-CCCM as of May 2023)]],16,FALSE)</f>
        <v>37</v>
      </c>
      <c r="EU392" s="953">
        <f>VLOOKUP(WWWW[[#This Row],[Site Name]],SiteDB6[[Site Name]:[Pop
(Kachin/Shan-CCCM as of May 2023)]],17,FALSE)</f>
        <v>114</v>
      </c>
    </row>
    <row r="393" spans="1:151">
      <c r="A393" s="946" t="s">
        <v>2962</v>
      </c>
      <c r="B393" s="946" t="s">
        <v>309</v>
      </c>
      <c r="C393" s="938" t="s">
        <v>309</v>
      </c>
      <c r="D393" s="938"/>
      <c r="E393" s="938" t="s">
        <v>515</v>
      </c>
      <c r="F393" s="938" t="s">
        <v>956</v>
      </c>
      <c r="G393" s="902" t="str">
        <f>VLOOKUP(WWWW[[#This Row],[Site Name]],SiteDB6[[Site Name]:[Location Type]],8,FALSE)</f>
        <v>Camp</v>
      </c>
      <c r="H393" s="938" t="s">
        <v>2975</v>
      </c>
      <c r="I393" s="441">
        <v>18</v>
      </c>
      <c r="J393" s="441">
        <v>123</v>
      </c>
      <c r="K393" s="948"/>
      <c r="L393" s="949"/>
      <c r="M393" s="441"/>
      <c r="N393" s="441"/>
      <c r="O393" s="441"/>
      <c r="P393" s="441"/>
      <c r="Q393" s="421"/>
      <c r="R393" s="441"/>
      <c r="S393" s="441"/>
      <c r="T393" s="441"/>
      <c r="U393" s="441"/>
      <c r="V393" s="441"/>
      <c r="W393" s="441"/>
      <c r="X393" s="441"/>
      <c r="Y393" s="441"/>
      <c r="Z393" s="441"/>
      <c r="AA393" s="441"/>
      <c r="AB393" s="441"/>
      <c r="AC393" s="441"/>
      <c r="AD393" s="441"/>
      <c r="AE393" s="441"/>
      <c r="AF393" s="441"/>
      <c r="AG393" s="441"/>
      <c r="AH393" s="441"/>
      <c r="AI393" s="441"/>
      <c r="AJ393" s="441"/>
      <c r="AK393" s="441"/>
      <c r="AL393" s="441"/>
      <c r="AM393" s="441"/>
      <c r="AN393" s="441"/>
      <c r="AO393" s="441"/>
      <c r="AP393" s="950"/>
      <c r="AQ393" s="441"/>
      <c r="AR393" s="441"/>
      <c r="AS393" s="416"/>
      <c r="AT393" s="441"/>
      <c r="AU393" s="441"/>
      <c r="AV393" s="441"/>
      <c r="AW393" s="441"/>
      <c r="AX393" s="441"/>
      <c r="AY393" s="418"/>
      <c r="AZ393" s="950"/>
      <c r="BA393" s="441"/>
      <c r="BB393" s="441"/>
      <c r="BC393" s="441"/>
      <c r="BD393" s="441"/>
      <c r="BE393" s="441"/>
      <c r="BF393" s="418"/>
      <c r="BG393" s="441"/>
      <c r="BH393" s="441"/>
      <c r="BI393" s="441"/>
      <c r="BJ393" s="441"/>
      <c r="BK393" s="441"/>
      <c r="BL393" s="441"/>
      <c r="BM393" s="441"/>
      <c r="BN393" s="441"/>
      <c r="BO393" s="441"/>
      <c r="BP393" s="418"/>
      <c r="BQ393" s="417"/>
      <c r="BR393" s="416"/>
      <c r="BS393" s="418"/>
      <c r="BT393" s="416"/>
      <c r="BU393" s="416"/>
      <c r="BV393" s="418"/>
      <c r="BW393" s="416"/>
      <c r="BX393" s="441"/>
      <c r="BY393" s="441"/>
      <c r="BZ393" s="441"/>
      <c r="CA393" s="441"/>
      <c r="CB393" s="441"/>
      <c r="CC393" s="693"/>
      <c r="CD393" s="441"/>
      <c r="CE393" s="615" t="str">
        <f>IFERROR(WWWW[[#This Row],['#_Water sources passed]]/WWWW[[#This Row],['#_Water sources tested for fecal coliform ]],"no test")</f>
        <v>no test</v>
      </c>
      <c r="CF393" s="416" t="str">
        <f>IFERROR(WWWW[[#This Row],['#_Household passed]]/WWWW[[#This Row],['#_Household water samples tested for fecal coliform]],"no test")</f>
        <v>no test</v>
      </c>
      <c r="CG393" s="417" t="str">
        <f>IF(AND(WWWW[[#This Row],[% of water sources passed]]="no test",WWWW[[#This Row],[% Household passed]]="no test"),"No Test","Tested")</f>
        <v>No Test</v>
      </c>
      <c r="CH393" s="417">
        <f>WWWW[[#This Row],['#_Constructed/existing protected hand dug well]]-WWWW[[#This Row],['#_Non-functional protected hand dug well]]</f>
        <v>0</v>
      </c>
      <c r="CI393" s="417">
        <f>(WWWW[[#This Row],['#_Constructed/Existing tube wells/boreholes/handpumps_WASH_agency]]+WWWW[[#This Row],['#_Non-Cluster partner water tube-wells/boreholes/handpumps]])-WWWW[[#This Row],['#_Non-functional tube wells/boreholes/handpumps]]</f>
        <v>0</v>
      </c>
      <c r="CJ393" s="417">
        <f>WWWW[[#This Row],['#_Constructed/Existingwater storage tank with gravity fed reticulation system]]-WWWW[[#This Row],['#_Non-functional storage tank gravity fed reticulation system]]</f>
        <v>0</v>
      </c>
      <c r="CK393" s="417">
        <f>(WWWW[[#This Row],['#_Water_Liters_supplied_by_Water boating or water trucking]]/90)/15</f>
        <v>0</v>
      </c>
      <c r="CL393" s="417">
        <f>WWWW[[#This Row],['#_Water_Liters_from_Constructed/Existing water distribution system from river or natural spring]]/90/15</f>
        <v>0</v>
      </c>
      <c r="CM393" s="417">
        <f>IF(WWWW[[#This Row],['#_of water points in TLS/CFS]]*500&gt;WWWW[[#This Row],[Total PoP ]],WWWW[[#This Row],[Total PoP ]],WWWW[[#This Row],['#_of water points in TLS/CFS]]*500)</f>
        <v>0</v>
      </c>
      <c r="CN393" s="417">
        <f>IF(WWWW[[#This Row],['#_of water points in THF]]*500&gt;WWWW[[#This Row],[Total PoP ]],WWWW[[#This Row],[Total PoP ]],WWWW[[#This Row],['#_of water points in THF]]*500)</f>
        <v>0</v>
      </c>
      <c r="CO393" s="417"/>
      <c r="CP393"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93"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93" s="416">
        <f>IF(WWWW[[#This Row],[Location Type 1]]="Village",WWWW[[#This Row],[Access to safe drinking water for Village]],WWWW[[#This Row],[Access to safe drinking water for Camp]])</f>
        <v>0</v>
      </c>
      <c r="CS393" s="421">
        <f>WWWW[[#This Row],[%Equitable and continuous access to sufficient quantity of safe drinking water]]*WWWW[[#This Row],[Total PoP ]]</f>
        <v>0</v>
      </c>
      <c r="CT393" s="416">
        <f>IF((WWWW[[#This Row],['#_Constructed/Existing protected/fenced ponds]]*250)/WWWW[[#This Row],[Total PoP ]]&gt;1,1,(WWWW[[#This Row],['#_Constructed/Existing protected/fenced ponds]]*250)/WWWW[[#This Row],[Total PoP ]])</f>
        <v>0</v>
      </c>
      <c r="CU393" s="421">
        <f>WWWW[[#This Row],[% Access to unimproved water points]]*WWWW[[#This Row],[Total PoP ]]</f>
        <v>0</v>
      </c>
      <c r="CV393"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93"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93" s="421">
        <f>WWWW[[#This Row],[HRP1]]/500</f>
        <v>0</v>
      </c>
      <c r="CY393" s="951">
        <f>1-WWWW[[#This Row],[% Equitable and continuous access to sufficient quantity of domestic water]]</f>
        <v>1</v>
      </c>
      <c r="CZ393" s="421">
        <f>WWWW[[#This Row],[%equitable and continuous access to sufficient quantity of safe drinking and domestic water''s GAP]]*WWWW[[#This Row],[Total PoP ]]</f>
        <v>123</v>
      </c>
      <c r="DA393" s="417">
        <f>IF(WWWW[[#This Row],[Total required water points]]-WWWW[[#This Row],['#Water points coverage]]&lt;0,0,WWWW[[#This Row],[Total required water points]]-WWWW[[#This Row],['#Water points coverage]])</f>
        <v>1</v>
      </c>
      <c r="DB393" s="417">
        <f>ROUND(IF(WWWW[[#This Row],[Total PoP ]]&lt;500,1,WWWW[[#This Row],[Total PoP ]]/500),0)</f>
        <v>1</v>
      </c>
      <c r="DC393" s="417">
        <f>(WWWW[[#This Row],['#_Constructed latrines_by_WASHAgencies]]+WWWW[[#This Row],['#_Non Cluster partner latrines]])-WWWW[[#This Row],['#_Non-functional latrines]]</f>
        <v>0</v>
      </c>
      <c r="DD393" s="615">
        <f>WWWW[[#This Row],[HRP2]]/WWWW[[#This Row],[Total PoP ]]</f>
        <v>0</v>
      </c>
      <c r="DE393"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93"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93"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93" s="417">
        <f>IF(WWWW[[#This Row],['# of functional latrines in THF supported by WASH partners during the reporting period2]]="",0,WWWW[[#This Row],['# of functional latrines in THF supported by WASH partners during the reporting period2]]*50)</f>
        <v>0</v>
      </c>
      <c r="DI393" s="417">
        <f>ROUND(IF(WWWW[[#This Row],[Location Type 1]]="camp",WWWW[[#This Row],[Total PoP ]]/20,IF(WWWW[[#This Row],[Location Type 1]]="Temporary Location",WWWW[[#This Row],[Total PoP ]]/50,(WWWW[[#This Row],[Total PoP ]]/6))),0)</f>
        <v>6</v>
      </c>
      <c r="DJ393" s="417">
        <f>IF(WWWW[[#This Row],[Total required Latrines]]-(WWWW[[#This Row],['#_Constructed latrines_by_WASHAgencies]]+WWWW[[#This Row],['#_Non Cluster partner latrines]])&lt;0,0,WWWW[[#This Row],[Total required Latrines]]-(WWWW[[#This Row],['#_Constructed latrines_by_WASHAgencies]]+WWWW[[#This Row],['#_Non Cluster partner latrines]]))</f>
        <v>6</v>
      </c>
      <c r="DK393" s="951">
        <f>1-WWWW[[#This Row],[% people access to functioning Latrine]]</f>
        <v>1</v>
      </c>
      <c r="DL393" s="615">
        <f>IF(OR(WWWW[[#This Row],['#_Non-functional latrines]]="",WWWW[[#This Row],['#_Non-functional latrines]]=0),0,WWWW[[#This Row],['#_Non-functional latrines]]/(WWWW[[#This Row],['#_Constructed latrines_by_WASHAgencies]]+WWWW[[#This Row],['#_Non Cluster partner latrines]]))</f>
        <v>0</v>
      </c>
      <c r="DM393" s="421">
        <f>IF(500*(WWWW[[#This Row],['#_male hygiene promoters]]+WWWW[[#This Row],['#_female hygiene promoters]])&gt;WWWW[[#This Row],[Total PoP ]],WWWW[[#This Row],[Total PoP ]],500*(WWWW[[#This Row],['#_male hygiene promoters]]+WWWW[[#This Row],['#_female hygiene promoters]]))</f>
        <v>0</v>
      </c>
      <c r="DN393"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93"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93" s="417">
        <f>IF(WWWW[[#This Row],['# People with access to soap]]&gt;WWWW[[#This Row],['# People with access to Sanity Pads]],WWWW[[#This Row],['# People with access to soap]],WWWW[[#This Row],['# People with access to Sanity Pads]])</f>
        <v>0</v>
      </c>
      <c r="DQ393"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93" s="951">
        <f>IF(WWWW[[#This Row],[HRP3]]/WWWW[[#This Row],[Total PoP ]]&gt;1,1,WWWW[[#This Row],[HRP3]]/WWWW[[#This Row],[Total PoP ]])</f>
        <v>0</v>
      </c>
      <c r="DS393" s="615">
        <f>1-WWWW[[#This Row],[Hygiene Coverage%]]</f>
        <v>1</v>
      </c>
      <c r="DT393" s="416">
        <f>WWWW[[#This Row],['# people reached by regular dedicated hygiene promotion_5]]/WWWW[[#This Row],[Total PoP ]]</f>
        <v>0</v>
      </c>
      <c r="DU393"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93"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93" s="417">
        <f>WWWW[[#This Row],['#_Constructed/Existing hand washing stations]]-WWWW[[#This Row],['#_Non-Functional_hand_washing_stations]]</f>
        <v>0</v>
      </c>
      <c r="DX393" s="421">
        <f>IF(WWWW[[#This Row],['# Functional hand washing stations during reporting period]]*20&gt;WWWW[[#This Row],[Total HH]],WWWW[[#This Row],[Total HH]],WWWW[[#This Row],['# Functional hand washing stations during reporting period]]*20)</f>
        <v>0</v>
      </c>
      <c r="DY393" s="421">
        <f>IF(WWWW[[#This Row],[Is sufficient soap available for TLS? (Yes/No)]]="yes",WWWW[[#This Row],['#_Constructed/Existing hand washing stations at TLS/CFS/THF]],0)</f>
        <v>0</v>
      </c>
      <c r="DZ393" s="421">
        <f>IF(WWWW[[#This Row],['# Functional hand washing stations during reporting period]]*100&gt;WWWW[[#This Row],[Total PoP ]],WWWW[[#This Row],[Total PoP ]],WWWW[[#This Row],['# Functional hand washing stations during reporting period]]*100)</f>
        <v>0</v>
      </c>
      <c r="EA393" s="421" t="str">
        <f>IF(OR(WWWW[[#This Row],['#_students at TLS_CFS]]="",WWWW[[#This Row],['#_students at TLS_CFS]]=0),"No","Yes")</f>
        <v>No</v>
      </c>
      <c r="EB39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93" s="566">
        <f>WWWW[[#This Row],[%_of_affected_people_surveyed_who_report_feeling_satistfied_with_the_latrine_design_and_sanitation_service]]*WWWW[[#This Row],[Total PoP ]]</f>
        <v>0</v>
      </c>
      <c r="ED393" s="566">
        <f>WWWW[[#This Row],[%_of_affected_people_surveyed_who_report_feeling_satistfied_with_the_water_point_design_and_water_service]]*WWWW[[#This Row],[Total PoP ]]</f>
        <v>0</v>
      </c>
      <c r="EE393" s="566">
        <f>WWWW[[#This Row],[%_of_complaints_received_that_result_in_timely_corrective_action_and_feedback_to_the_community]]*WWWW[[#This Row],[Total PoP ]]</f>
        <v>0</v>
      </c>
      <c r="EF39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9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9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93" s="418">
        <f>VLOOKUP(WWWW[[#This Row],[Site Name]],SiteDB6[[Site Name]:[CCCM Management]],6,FALSE)</f>
        <v>0</v>
      </c>
      <c r="EJ393" s="418" t="str">
        <f>VLOOKUP(WWWW[[#This Row],[Site Name]],SiteDB6[[Site Name]:[CCCM Focal Agency]],7,FALSE)</f>
        <v>Uncovered</v>
      </c>
      <c r="EK393" s="418" t="str">
        <f>VLOOKUP(WWWW[[#This Row],[Site Name]],SiteDB6[[Site Name]:[Location Type 1]],9,FALSE)</f>
        <v>Camp</v>
      </c>
      <c r="EL393" s="418" t="str">
        <f>VLOOKUP(WWWW[[#This Row],[Site Name]],SiteDB6[[Site Name]:[Type of Accommodation]],10,FALSE)</f>
        <v>Camp like setting</v>
      </c>
      <c r="EM393" s="418" t="str">
        <f>VLOOKUP(WWWW[[#This Row],[Site Name]],SiteDB6[[Site Name]:[Ethnic or GCA/NGCA]],11,FALSE)</f>
        <v>GCA</v>
      </c>
      <c r="EN393" s="418">
        <f>VLOOKUP(WWWW[[#This Row],[Site Name]],SiteDB6[[Site Name]:[Lat]],12,FALSE)</f>
        <v>0</v>
      </c>
      <c r="EO393" s="418" t="str">
        <f>VLOOKUP(WWWW[[#This Row],[Site Name]],SiteDB6[[Site Name]:[Long]],13,FALSE)</f>
        <v>not available</v>
      </c>
      <c r="EP393" s="418" t="str">
        <f>VLOOKUP(WWWW[[#This Row],[Site Name]],SiteDB6[[Site Name]:[Pcode]],3,FALSE)</f>
        <v>MMR015CMP088</v>
      </c>
      <c r="EQ393" s="950" t="str">
        <f t="shared" si="9"/>
        <v>Notcovered</v>
      </c>
      <c r="ER393" s="950"/>
      <c r="ES393" s="950"/>
      <c r="ET393" s="418">
        <f>VLOOKUP(WWWW[[#This Row],[Site Name]],SiteDB6[[Site Name]:[Pop
(Kachin/Shan-CCCM as of May 2023)]],16,FALSE)</f>
        <v>18</v>
      </c>
      <c r="EU393" s="418">
        <f>VLOOKUP(WWWW[[#This Row],[Site Name]],SiteDB6[[Site Name]:[Pop
(Kachin/Shan-CCCM as of May 2023)]],17,FALSE)</f>
        <v>123</v>
      </c>
    </row>
    <row r="394" spans="1:151">
      <c r="A394" s="946" t="s">
        <v>2962</v>
      </c>
      <c r="B394" s="946" t="s">
        <v>309</v>
      </c>
      <c r="C394" s="938" t="s">
        <v>309</v>
      </c>
      <c r="D394" s="938"/>
      <c r="E394" s="938" t="s">
        <v>515</v>
      </c>
      <c r="F394" s="938" t="s">
        <v>956</v>
      </c>
      <c r="G394" s="902" t="str">
        <f>VLOOKUP(WWWW[[#This Row],[Site Name]],SiteDB6[[Site Name]:[Location Type]],8,FALSE)</f>
        <v>Camp</v>
      </c>
      <c r="H394" s="938" t="s">
        <v>2980</v>
      </c>
      <c r="I394" s="441">
        <v>62</v>
      </c>
      <c r="J394" s="441">
        <v>144</v>
      </c>
      <c r="K394" s="948"/>
      <c r="L394" s="949"/>
      <c r="M394" s="441"/>
      <c r="N394" s="441"/>
      <c r="O394" s="441"/>
      <c r="P394" s="441"/>
      <c r="Q394" s="421"/>
      <c r="R394" s="441"/>
      <c r="S394" s="441"/>
      <c r="T394" s="441"/>
      <c r="U394" s="441"/>
      <c r="V394" s="441"/>
      <c r="W394" s="441"/>
      <c r="X394" s="441"/>
      <c r="Y394" s="441"/>
      <c r="Z394" s="441"/>
      <c r="AA394" s="441"/>
      <c r="AB394" s="441"/>
      <c r="AC394" s="441"/>
      <c r="AD394" s="441"/>
      <c r="AE394" s="441"/>
      <c r="AF394" s="441"/>
      <c r="AG394" s="441"/>
      <c r="AH394" s="441"/>
      <c r="AI394" s="441"/>
      <c r="AJ394" s="441"/>
      <c r="AK394" s="441"/>
      <c r="AL394" s="441"/>
      <c r="AM394" s="441"/>
      <c r="AN394" s="441"/>
      <c r="AO394" s="441"/>
      <c r="AP394" s="950"/>
      <c r="AQ394" s="441"/>
      <c r="AR394" s="441"/>
      <c r="AS394" s="416"/>
      <c r="AT394" s="441"/>
      <c r="AU394" s="441"/>
      <c r="AV394" s="441"/>
      <c r="AW394" s="441"/>
      <c r="AX394" s="441"/>
      <c r="AY394" s="418"/>
      <c r="AZ394" s="950"/>
      <c r="BA394" s="441"/>
      <c r="BB394" s="441"/>
      <c r="BC394" s="441"/>
      <c r="BD394" s="441"/>
      <c r="BE394" s="441"/>
      <c r="BF394" s="418"/>
      <c r="BG394" s="441"/>
      <c r="BH394" s="441"/>
      <c r="BI394" s="441"/>
      <c r="BJ394" s="441"/>
      <c r="BK394" s="441"/>
      <c r="BL394" s="441"/>
      <c r="BM394" s="441"/>
      <c r="BN394" s="441"/>
      <c r="BO394" s="441"/>
      <c r="BP394" s="418"/>
      <c r="BQ394" s="417"/>
      <c r="BR394" s="416"/>
      <c r="BS394" s="418"/>
      <c r="BT394" s="416"/>
      <c r="BU394" s="416"/>
      <c r="BV394" s="418"/>
      <c r="BW394" s="416"/>
      <c r="BX394" s="441"/>
      <c r="BY394" s="441"/>
      <c r="BZ394" s="441"/>
      <c r="CA394" s="441"/>
      <c r="CB394" s="441"/>
      <c r="CC394" s="693"/>
      <c r="CD394" s="441"/>
      <c r="CE394" s="615" t="str">
        <f>IFERROR(WWWW[[#This Row],['#_Water sources passed]]/WWWW[[#This Row],['#_Water sources tested for fecal coliform ]],"no test")</f>
        <v>no test</v>
      </c>
      <c r="CF394" s="416" t="str">
        <f>IFERROR(WWWW[[#This Row],['#_Household passed]]/WWWW[[#This Row],['#_Household water samples tested for fecal coliform]],"no test")</f>
        <v>no test</v>
      </c>
      <c r="CG394" s="417" t="str">
        <f>IF(AND(WWWW[[#This Row],[% of water sources passed]]="no test",WWWW[[#This Row],[% Household passed]]="no test"),"No Test","Tested")</f>
        <v>No Test</v>
      </c>
      <c r="CH394" s="417">
        <f>WWWW[[#This Row],['#_Constructed/existing protected hand dug well]]-WWWW[[#This Row],['#_Non-functional protected hand dug well]]</f>
        <v>0</v>
      </c>
      <c r="CI394" s="417">
        <f>(WWWW[[#This Row],['#_Constructed/Existing tube wells/boreholes/handpumps_WASH_agency]]+WWWW[[#This Row],['#_Non-Cluster partner water tube-wells/boreholes/handpumps]])-WWWW[[#This Row],['#_Non-functional tube wells/boreholes/handpumps]]</f>
        <v>0</v>
      </c>
      <c r="CJ394" s="417">
        <f>WWWW[[#This Row],['#_Constructed/Existingwater storage tank with gravity fed reticulation system]]-WWWW[[#This Row],['#_Non-functional storage tank gravity fed reticulation system]]</f>
        <v>0</v>
      </c>
      <c r="CK394" s="417">
        <f>(WWWW[[#This Row],['#_Water_Liters_supplied_by_Water boating or water trucking]]/90)/15</f>
        <v>0</v>
      </c>
      <c r="CL394" s="417">
        <f>WWWW[[#This Row],['#_Water_Liters_from_Constructed/Existing water distribution system from river or natural spring]]/90/15</f>
        <v>0</v>
      </c>
      <c r="CM394" s="417">
        <f>IF(WWWW[[#This Row],['#_of water points in TLS/CFS]]*500&gt;WWWW[[#This Row],[Total PoP ]],WWWW[[#This Row],[Total PoP ]],WWWW[[#This Row],['#_of water points in TLS/CFS]]*500)</f>
        <v>0</v>
      </c>
      <c r="CN394" s="417">
        <f>IF(WWWW[[#This Row],['#_of water points in THF]]*500&gt;WWWW[[#This Row],[Total PoP ]],WWWW[[#This Row],[Total PoP ]],WWWW[[#This Row],['#_of water points in THF]]*500)</f>
        <v>0</v>
      </c>
      <c r="CO394" s="417"/>
      <c r="CP394"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94"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94" s="416">
        <f>IF(WWWW[[#This Row],[Location Type 1]]="Village",WWWW[[#This Row],[Access to safe drinking water for Village]],WWWW[[#This Row],[Access to safe drinking water for Camp]])</f>
        <v>0</v>
      </c>
      <c r="CS394" s="421">
        <f>WWWW[[#This Row],[%Equitable and continuous access to sufficient quantity of safe drinking water]]*WWWW[[#This Row],[Total PoP ]]</f>
        <v>0</v>
      </c>
      <c r="CT394" s="416">
        <f>IF((WWWW[[#This Row],['#_Constructed/Existing protected/fenced ponds]]*250)/WWWW[[#This Row],[Total PoP ]]&gt;1,1,(WWWW[[#This Row],['#_Constructed/Existing protected/fenced ponds]]*250)/WWWW[[#This Row],[Total PoP ]])</f>
        <v>0</v>
      </c>
      <c r="CU394" s="421">
        <f>WWWW[[#This Row],[% Access to unimproved water points]]*WWWW[[#This Row],[Total PoP ]]</f>
        <v>0</v>
      </c>
      <c r="CV394"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94"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94" s="421">
        <f>WWWW[[#This Row],[HRP1]]/500</f>
        <v>0</v>
      </c>
      <c r="CY394" s="951">
        <f>1-WWWW[[#This Row],[% Equitable and continuous access to sufficient quantity of domestic water]]</f>
        <v>1</v>
      </c>
      <c r="CZ394" s="421">
        <f>WWWW[[#This Row],[%equitable and continuous access to sufficient quantity of safe drinking and domestic water''s GAP]]*WWWW[[#This Row],[Total PoP ]]</f>
        <v>144</v>
      </c>
      <c r="DA394" s="417">
        <f>IF(WWWW[[#This Row],[Total required water points]]-WWWW[[#This Row],['#Water points coverage]]&lt;0,0,WWWW[[#This Row],[Total required water points]]-WWWW[[#This Row],['#Water points coverage]])</f>
        <v>1</v>
      </c>
      <c r="DB394" s="417">
        <f>ROUND(IF(WWWW[[#This Row],[Total PoP ]]&lt;500,1,WWWW[[#This Row],[Total PoP ]]/500),0)</f>
        <v>1</v>
      </c>
      <c r="DC394" s="417">
        <f>(WWWW[[#This Row],['#_Constructed latrines_by_WASHAgencies]]+WWWW[[#This Row],['#_Non Cluster partner latrines]])-WWWW[[#This Row],['#_Non-functional latrines]]</f>
        <v>0</v>
      </c>
      <c r="DD394" s="615">
        <f>WWWW[[#This Row],[HRP2]]/WWWW[[#This Row],[Total PoP ]]</f>
        <v>0</v>
      </c>
      <c r="DE394"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94"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94"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94" s="417">
        <f>IF(WWWW[[#This Row],['# of functional latrines in THF supported by WASH partners during the reporting period2]]="",0,WWWW[[#This Row],['# of functional latrines in THF supported by WASH partners during the reporting period2]]*50)</f>
        <v>0</v>
      </c>
      <c r="DI394" s="417">
        <f>ROUND(IF(WWWW[[#This Row],[Location Type 1]]="camp",WWWW[[#This Row],[Total PoP ]]/20,IF(WWWW[[#This Row],[Location Type 1]]="Temporary Location",WWWW[[#This Row],[Total PoP ]]/50,(WWWW[[#This Row],[Total PoP ]]/6))),0)</f>
        <v>7</v>
      </c>
      <c r="DJ394" s="417">
        <f>IF(WWWW[[#This Row],[Total required Latrines]]-(WWWW[[#This Row],['#_Constructed latrines_by_WASHAgencies]]+WWWW[[#This Row],['#_Non Cluster partner latrines]])&lt;0,0,WWWW[[#This Row],[Total required Latrines]]-(WWWW[[#This Row],['#_Constructed latrines_by_WASHAgencies]]+WWWW[[#This Row],['#_Non Cluster partner latrines]]))</f>
        <v>7</v>
      </c>
      <c r="DK394" s="951">
        <f>1-WWWW[[#This Row],[% people access to functioning Latrine]]</f>
        <v>1</v>
      </c>
      <c r="DL394" s="615">
        <f>IF(OR(WWWW[[#This Row],['#_Non-functional latrines]]="",WWWW[[#This Row],['#_Non-functional latrines]]=0),0,WWWW[[#This Row],['#_Non-functional latrines]]/(WWWW[[#This Row],['#_Constructed latrines_by_WASHAgencies]]+WWWW[[#This Row],['#_Non Cluster partner latrines]]))</f>
        <v>0</v>
      </c>
      <c r="DM394" s="421">
        <f>IF(500*(WWWW[[#This Row],['#_male hygiene promoters]]+WWWW[[#This Row],['#_female hygiene promoters]])&gt;WWWW[[#This Row],[Total PoP ]],WWWW[[#This Row],[Total PoP ]],500*(WWWW[[#This Row],['#_male hygiene promoters]]+WWWW[[#This Row],['#_female hygiene promoters]]))</f>
        <v>0</v>
      </c>
      <c r="DN394"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94"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94" s="417">
        <f>IF(WWWW[[#This Row],['# People with access to soap]]&gt;WWWW[[#This Row],['# People with access to Sanity Pads]],WWWW[[#This Row],['# People with access to soap]],WWWW[[#This Row],['# People with access to Sanity Pads]])</f>
        <v>0</v>
      </c>
      <c r="DQ394"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94" s="951">
        <f>IF(WWWW[[#This Row],[HRP3]]/WWWW[[#This Row],[Total PoP ]]&gt;1,1,WWWW[[#This Row],[HRP3]]/WWWW[[#This Row],[Total PoP ]])</f>
        <v>0</v>
      </c>
      <c r="DS394" s="615">
        <f>1-WWWW[[#This Row],[Hygiene Coverage%]]</f>
        <v>1</v>
      </c>
      <c r="DT394" s="416">
        <f>WWWW[[#This Row],['# people reached by regular dedicated hygiene promotion_5]]/WWWW[[#This Row],[Total PoP ]]</f>
        <v>0</v>
      </c>
      <c r="DU394"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94"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94" s="417">
        <f>WWWW[[#This Row],['#_Constructed/Existing hand washing stations]]-WWWW[[#This Row],['#_Non-Functional_hand_washing_stations]]</f>
        <v>0</v>
      </c>
      <c r="DX394" s="421">
        <f>IF(WWWW[[#This Row],['# Functional hand washing stations during reporting period]]*20&gt;WWWW[[#This Row],[Total HH]],WWWW[[#This Row],[Total HH]],WWWW[[#This Row],['# Functional hand washing stations during reporting period]]*20)</f>
        <v>0</v>
      </c>
      <c r="DY394" s="421">
        <f>IF(WWWW[[#This Row],[Is sufficient soap available for TLS? (Yes/No)]]="yes",WWWW[[#This Row],['#_Constructed/Existing hand washing stations at TLS/CFS/THF]],0)</f>
        <v>0</v>
      </c>
      <c r="DZ394" s="421">
        <f>IF(WWWW[[#This Row],['# Functional hand washing stations during reporting period]]*100&gt;WWWW[[#This Row],[Total PoP ]],WWWW[[#This Row],[Total PoP ]],WWWW[[#This Row],['# Functional hand washing stations during reporting period]]*100)</f>
        <v>0</v>
      </c>
      <c r="EA394" s="421" t="str">
        <f>IF(OR(WWWW[[#This Row],['#_students at TLS_CFS]]="",WWWW[[#This Row],['#_students at TLS_CFS]]=0),"No","Yes")</f>
        <v>No</v>
      </c>
      <c r="EB39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94" s="566">
        <f>WWWW[[#This Row],[%_of_affected_people_surveyed_who_report_feeling_satistfied_with_the_latrine_design_and_sanitation_service]]*WWWW[[#This Row],[Total PoP ]]</f>
        <v>0</v>
      </c>
      <c r="ED394" s="566">
        <f>WWWW[[#This Row],[%_of_affected_people_surveyed_who_report_feeling_satistfied_with_the_water_point_design_and_water_service]]*WWWW[[#This Row],[Total PoP ]]</f>
        <v>0</v>
      </c>
      <c r="EE394" s="566">
        <f>WWWW[[#This Row],[%_of_complaints_received_that_result_in_timely_corrective_action_and_feedback_to_the_community]]*WWWW[[#This Row],[Total PoP ]]</f>
        <v>0</v>
      </c>
      <c r="EF39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9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9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94" s="418">
        <f>VLOOKUP(WWWW[[#This Row],[Site Name]],SiteDB6[[Site Name]:[CCCM Management]],6,FALSE)</f>
        <v>0</v>
      </c>
      <c r="EJ394" s="418" t="str">
        <f>VLOOKUP(WWWW[[#This Row],[Site Name]],SiteDB6[[Site Name]:[CCCM Focal Agency]],7,FALSE)</f>
        <v>Uncovered</v>
      </c>
      <c r="EK394" s="418" t="str">
        <f>VLOOKUP(WWWW[[#This Row],[Site Name]],SiteDB6[[Site Name]:[Location Type 1]],9,FALSE)</f>
        <v>Camp</v>
      </c>
      <c r="EL394" s="418" t="str">
        <f>VLOOKUP(WWWW[[#This Row],[Site Name]],SiteDB6[[Site Name]:[Type of Accommodation]],10,FALSE)</f>
        <v>Camp like setting</v>
      </c>
      <c r="EM394" s="418" t="str">
        <f>VLOOKUP(WWWW[[#This Row],[Site Name]],SiteDB6[[Site Name]:[Ethnic or GCA/NGCA]],11,FALSE)</f>
        <v>GCA</v>
      </c>
      <c r="EN394" s="418">
        <f>VLOOKUP(WWWW[[#This Row],[Site Name]],SiteDB6[[Site Name]:[Lat]],12,FALSE)</f>
        <v>0</v>
      </c>
      <c r="EO394" s="418" t="str">
        <f>VLOOKUP(WWWW[[#This Row],[Site Name]],SiteDB6[[Site Name]:[Long]],13,FALSE)</f>
        <v>not available</v>
      </c>
      <c r="EP394" s="418" t="str">
        <f>VLOOKUP(WWWW[[#This Row],[Site Name]],SiteDB6[[Site Name]:[Pcode]],3,FALSE)</f>
        <v>MMR015CMP091</v>
      </c>
      <c r="EQ394" s="950" t="str">
        <f t="shared" si="9"/>
        <v>Notcovered</v>
      </c>
      <c r="ER394" s="950"/>
      <c r="ES394" s="950"/>
      <c r="ET394" s="418">
        <f>VLOOKUP(WWWW[[#This Row],[Site Name]],SiteDB6[[Site Name]:[Pop
(Kachin/Shan-CCCM as of May 2023)]],16,FALSE)</f>
        <v>62</v>
      </c>
      <c r="EU394" s="418">
        <f>VLOOKUP(WWWW[[#This Row],[Site Name]],SiteDB6[[Site Name]:[Pop
(Kachin/Shan-CCCM as of May 2023)]],17,FALSE)</f>
        <v>144</v>
      </c>
    </row>
    <row r="395" spans="1:151">
      <c r="A395" s="946" t="s">
        <v>2962</v>
      </c>
      <c r="B395" s="946" t="s">
        <v>2154</v>
      </c>
      <c r="C395" s="938" t="s">
        <v>2154</v>
      </c>
      <c r="D395" s="938" t="s">
        <v>241</v>
      </c>
      <c r="E395" s="938" t="s">
        <v>515</v>
      </c>
      <c r="F395" s="938" t="s">
        <v>958</v>
      </c>
      <c r="G395" s="902" t="str">
        <f>VLOOKUP(WWWW[[#This Row],[Site Name]],SiteDB6[[Site Name]:[Location Type]],8,FALSE)</f>
        <v>Camp</v>
      </c>
      <c r="H395" s="938" t="s">
        <v>2570</v>
      </c>
      <c r="I395" s="441">
        <v>340</v>
      </c>
      <c r="J395" s="441">
        <v>1674</v>
      </c>
      <c r="K395" s="948">
        <v>44488</v>
      </c>
      <c r="L395" s="949">
        <v>44852</v>
      </c>
      <c r="M395" s="441"/>
      <c r="N395" s="441"/>
      <c r="O395" s="441"/>
      <c r="P395" s="441"/>
      <c r="Q395" s="421" t="s">
        <v>41</v>
      </c>
      <c r="R395" s="441">
        <v>2</v>
      </c>
      <c r="S395" s="441">
        <v>2</v>
      </c>
      <c r="T395" s="441"/>
      <c r="U395" s="441"/>
      <c r="V395" s="441"/>
      <c r="W395" s="441"/>
      <c r="X395" s="441"/>
      <c r="Y395" s="441"/>
      <c r="Z395" s="441"/>
      <c r="AA395" s="441">
        <v>24</v>
      </c>
      <c r="AB395" s="441"/>
      <c r="AC395" s="441"/>
      <c r="AD395" s="441"/>
      <c r="AE395" s="441"/>
      <c r="AF395" s="441"/>
      <c r="AG395" s="441"/>
      <c r="AH395" s="441">
        <v>1</v>
      </c>
      <c r="AI395" s="441"/>
      <c r="AJ395" s="441"/>
      <c r="AK395" s="441"/>
      <c r="AL395" s="441"/>
      <c r="AM395" s="441"/>
      <c r="AN395" s="441">
        <v>1</v>
      </c>
      <c r="AO395" s="441"/>
      <c r="AP395" s="950"/>
      <c r="AQ395" s="441">
        <v>30</v>
      </c>
      <c r="AR395" s="441"/>
      <c r="AS395" s="416"/>
      <c r="AT395" s="441"/>
      <c r="AU395" s="441"/>
      <c r="AV395" s="441"/>
      <c r="AW395" s="441"/>
      <c r="AX395" s="441"/>
      <c r="AY395" s="418" t="s">
        <v>136</v>
      </c>
      <c r="AZ395" s="950" t="s">
        <v>136</v>
      </c>
      <c r="BA395" s="441"/>
      <c r="BB395" s="441"/>
      <c r="BC395" s="441"/>
      <c r="BD395" s="441"/>
      <c r="BE395" s="441"/>
      <c r="BF395" s="418"/>
      <c r="BG395" s="441">
        <v>3</v>
      </c>
      <c r="BH395" s="441"/>
      <c r="BI395" s="441"/>
      <c r="BJ395" s="441"/>
      <c r="BK395" s="441"/>
      <c r="BL395" s="441"/>
      <c r="BM395" s="441"/>
      <c r="BN395" s="441"/>
      <c r="BO395" s="441"/>
      <c r="BP395" s="418"/>
      <c r="BQ395" s="417"/>
      <c r="BR395" s="416"/>
      <c r="BS395" s="418"/>
      <c r="BT395" s="416"/>
      <c r="BU395" s="416"/>
      <c r="BV395" s="418"/>
      <c r="BW395" s="416"/>
      <c r="BX395" s="441"/>
      <c r="BY395" s="441"/>
      <c r="BZ395" s="441"/>
      <c r="CA395" s="441"/>
      <c r="CB395" s="441"/>
      <c r="CC395" s="693"/>
      <c r="CD395" s="441"/>
      <c r="CE395" s="615" t="str">
        <f>IFERROR(WWWW[[#This Row],['#_Water sources passed]]/WWWW[[#This Row],['#_Water sources tested for fecal coliform ]],"no test")</f>
        <v>no test</v>
      </c>
      <c r="CF395" s="416" t="str">
        <f>IFERROR(WWWW[[#This Row],['#_Household passed]]/WWWW[[#This Row],['#_Household water samples tested for fecal coliform]],"no test")</f>
        <v>no test</v>
      </c>
      <c r="CG395" s="417" t="str">
        <f>IF(AND(WWWW[[#This Row],[% of water sources passed]]="no test",WWWW[[#This Row],[% Household passed]]="no test"),"No Test","Tested")</f>
        <v>No Test</v>
      </c>
      <c r="CH395" s="417">
        <f>WWWW[[#This Row],['#_Constructed/existing protected hand dug well]]-WWWW[[#This Row],['#_Non-functional protected hand dug well]]</f>
        <v>0</v>
      </c>
      <c r="CI395" s="417">
        <f>(WWWW[[#This Row],['#_Constructed/Existing tube wells/boreholes/handpumps_WASH_agency]]+WWWW[[#This Row],['#_Non-Cluster partner water tube-wells/boreholes/handpumps]])-WWWW[[#This Row],['#_Non-functional tube wells/boreholes/handpumps]]</f>
        <v>0</v>
      </c>
      <c r="CJ395" s="417">
        <f>WWWW[[#This Row],['#_Constructed/Existingwater storage tank with gravity fed reticulation system]]-WWWW[[#This Row],['#_Non-functional storage tank gravity fed reticulation system]]</f>
        <v>24</v>
      </c>
      <c r="CK395" s="417">
        <f>(WWWW[[#This Row],['#_Water_Liters_supplied_by_Water boating or water trucking]]/90)/15</f>
        <v>0</v>
      </c>
      <c r="CL395" s="417">
        <f>WWWW[[#This Row],['#_Water_Liters_from_Constructed/Existing water distribution system from river or natural spring]]/90/15</f>
        <v>0</v>
      </c>
      <c r="CM395" s="417">
        <f>IF(WWWW[[#This Row],['#_of water points in TLS/CFS]]*500&gt;WWWW[[#This Row],[Total PoP ]],WWWW[[#This Row],[Total PoP ]],WWWW[[#This Row],['#_of water points in TLS/CFS]]*500)</f>
        <v>500</v>
      </c>
      <c r="CN395" s="417">
        <f>IF(WWWW[[#This Row],['#_of water points in THF]]*500&gt;WWWW[[#This Row],[Total PoP ]],WWWW[[#This Row],[Total PoP ]],WWWW[[#This Row],['#_of water points in THF]]*500)</f>
        <v>0</v>
      </c>
      <c r="CO395" s="417"/>
      <c r="CP395"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0.95579450418160095</v>
      </c>
      <c r="CQ395"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0.95579450418160095</v>
      </c>
      <c r="CR395" s="416">
        <f>IF(WWWW[[#This Row],[Location Type 1]]="Village",WWWW[[#This Row],[Access to safe drinking water for Village]],WWWW[[#This Row],[Access to safe drinking water for Camp]])</f>
        <v>0.95579450418160095</v>
      </c>
      <c r="CS395" s="421">
        <f>WWWW[[#This Row],[%Equitable and continuous access to sufficient quantity of safe drinking water]]*WWWW[[#This Row],[Total PoP ]]</f>
        <v>1600</v>
      </c>
      <c r="CT395" s="416">
        <f>IF((WWWW[[#This Row],['#_Constructed/Existing protected/fenced ponds]]*250)/WWWW[[#This Row],[Total PoP ]]&gt;1,1,(WWWW[[#This Row],['#_Constructed/Existing protected/fenced ponds]]*250)/WWWW[[#This Row],[Total PoP ]])</f>
        <v>0</v>
      </c>
      <c r="CU395" s="421">
        <f>WWWW[[#This Row],[% Access to unimproved water points]]*WWWW[[#This Row],[Total PoP ]]</f>
        <v>0</v>
      </c>
      <c r="CV395"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0.95579450418160095</v>
      </c>
      <c r="CW395"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1600</v>
      </c>
      <c r="CX395" s="421">
        <f>WWWW[[#This Row],[HRP1]]/500</f>
        <v>3.2</v>
      </c>
      <c r="CY395" s="951">
        <f>1-WWWW[[#This Row],[% Equitable and continuous access to sufficient quantity of domestic water]]</f>
        <v>4.4205495818399054E-2</v>
      </c>
      <c r="CZ395" s="421">
        <f>WWWW[[#This Row],[%equitable and continuous access to sufficient quantity of safe drinking and domestic water''s GAP]]*WWWW[[#This Row],[Total PoP ]]</f>
        <v>74.000000000000014</v>
      </c>
      <c r="DA395" s="417">
        <f>IF(WWWW[[#This Row],[Total required water points]]-WWWW[[#This Row],['#Water points coverage]]&lt;0,0,WWWW[[#This Row],[Total required water points]]-WWWW[[#This Row],['#Water points coverage]])</f>
        <v>0</v>
      </c>
      <c r="DB395" s="417">
        <f>ROUND(IF(WWWW[[#This Row],[Total PoP ]]&lt;500,1,WWWW[[#This Row],[Total PoP ]]/500),0)</f>
        <v>3</v>
      </c>
      <c r="DC395" s="417">
        <f>(WWWW[[#This Row],['#_Constructed latrines_by_WASHAgencies]]+WWWW[[#This Row],['#_Non Cluster partner latrines]])-WWWW[[#This Row],['#_Non-functional latrines]]</f>
        <v>30</v>
      </c>
      <c r="DD395" s="615">
        <f>WWWW[[#This Row],[HRP2]]/WWWW[[#This Row],[Total PoP ]]</f>
        <v>0.35842293906810035</v>
      </c>
      <c r="DE395"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600</v>
      </c>
      <c r="DF395"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95"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95" s="417">
        <f>IF(WWWW[[#This Row],['# of functional latrines in THF supported by WASH partners during the reporting period2]]="",0,WWWW[[#This Row],['# of functional latrines in THF supported by WASH partners during the reporting period2]]*50)</f>
        <v>0</v>
      </c>
      <c r="DI395" s="417">
        <f>ROUND(IF(WWWW[[#This Row],[Location Type 1]]="camp",WWWW[[#This Row],[Total PoP ]]/20,IF(WWWW[[#This Row],[Location Type 1]]="Temporary Location",WWWW[[#This Row],[Total PoP ]]/50,(WWWW[[#This Row],[Total PoP ]]/6))),0)</f>
        <v>84</v>
      </c>
      <c r="DJ395" s="417">
        <f>IF(WWWW[[#This Row],[Total required Latrines]]-(WWWW[[#This Row],['#_Constructed latrines_by_WASHAgencies]]+WWWW[[#This Row],['#_Non Cluster partner latrines]])&lt;0,0,WWWW[[#This Row],[Total required Latrines]]-(WWWW[[#This Row],['#_Constructed latrines_by_WASHAgencies]]+WWWW[[#This Row],['#_Non Cluster partner latrines]]))</f>
        <v>54</v>
      </c>
      <c r="DK395" s="951">
        <f>1-WWWW[[#This Row],[% people access to functioning Latrine]]</f>
        <v>0.64157706093189959</v>
      </c>
      <c r="DL395" s="615">
        <f>IF(OR(WWWW[[#This Row],['#_Non-functional latrines]]="",WWWW[[#This Row],['#_Non-functional latrines]]=0),0,WWWW[[#This Row],['#_Non-functional latrines]]/(WWWW[[#This Row],['#_Constructed latrines_by_WASHAgencies]]+WWWW[[#This Row],['#_Non Cluster partner latrines]]))</f>
        <v>0</v>
      </c>
      <c r="DM395" s="421">
        <f>IF(500*(WWWW[[#This Row],['#_male hygiene promoters]]+WWWW[[#This Row],['#_female hygiene promoters]])&gt;WWWW[[#This Row],[Total PoP ]],WWWW[[#This Row],[Total PoP ]],500*(WWWW[[#This Row],['#_male hygiene promoters]]+WWWW[[#This Row],['#_female hygiene promoters]]))</f>
        <v>0</v>
      </c>
      <c r="DN395"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95"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95" s="417">
        <f>IF(WWWW[[#This Row],['# People with access to soap]]&gt;WWWW[[#This Row],['# People with access to Sanity Pads]],WWWW[[#This Row],['# People with access to soap]],WWWW[[#This Row],['# People with access to Sanity Pads]])</f>
        <v>0</v>
      </c>
      <c r="DQ395"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95" s="951">
        <f>IF(WWWW[[#This Row],[HRP3]]/WWWW[[#This Row],[Total PoP ]]&gt;1,1,WWWW[[#This Row],[HRP3]]/WWWW[[#This Row],[Total PoP ]])</f>
        <v>0</v>
      </c>
      <c r="DS395" s="615">
        <f>1-WWWW[[#This Row],[Hygiene Coverage%]]</f>
        <v>1</v>
      </c>
      <c r="DT395" s="416">
        <f>WWWW[[#This Row],['# people reached by regular dedicated hygiene promotion_5]]/WWWW[[#This Row],[Total PoP ]]</f>
        <v>0</v>
      </c>
      <c r="DU395"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95"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95" s="417">
        <f>WWWW[[#This Row],['#_Constructed/Existing hand washing stations]]-WWWW[[#This Row],['#_Non-Functional_hand_washing_stations]]</f>
        <v>3</v>
      </c>
      <c r="DX395" s="421">
        <f>IF(WWWW[[#This Row],['# Functional hand washing stations during reporting period]]*20&gt;WWWW[[#This Row],[Total HH]],WWWW[[#This Row],[Total HH]],WWWW[[#This Row],['# Functional hand washing stations during reporting period]]*20)</f>
        <v>60</v>
      </c>
      <c r="DY395" s="421">
        <f>IF(WWWW[[#This Row],[Is sufficient soap available for TLS? (Yes/No)]]="yes",WWWW[[#This Row],['#_Constructed/Existing hand washing stations at TLS/CFS/THF]],0)</f>
        <v>0</v>
      </c>
      <c r="DZ395" s="421">
        <f>IF(WWWW[[#This Row],['# Functional hand washing stations during reporting period]]*100&gt;WWWW[[#This Row],[Total PoP ]],WWWW[[#This Row],[Total PoP ]],WWWW[[#This Row],['# Functional hand washing stations during reporting period]]*100)</f>
        <v>300</v>
      </c>
      <c r="EA395" s="421" t="str">
        <f>IF(OR(WWWW[[#This Row],['#_students at TLS_CFS]]="",WWWW[[#This Row],['#_students at TLS_CFS]]=0),"No","Yes")</f>
        <v>No</v>
      </c>
      <c r="EB39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95" s="566">
        <f>WWWW[[#This Row],[%_of_affected_people_surveyed_who_report_feeling_satistfied_with_the_latrine_design_and_sanitation_service]]*WWWW[[#This Row],[Total PoP ]]</f>
        <v>0</v>
      </c>
      <c r="ED395" s="566">
        <f>WWWW[[#This Row],[%_of_affected_people_surveyed_who_report_feeling_satistfied_with_the_water_point_design_and_water_service]]*WWWW[[#This Row],[Total PoP ]]</f>
        <v>0</v>
      </c>
      <c r="EE395" s="566">
        <f>WWWW[[#This Row],[%_of_complaints_received_that_result_in_timely_corrective_action_and_feedback_to_the_community]]*WWWW[[#This Row],[Total PoP ]]</f>
        <v>0</v>
      </c>
      <c r="EF39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9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500</v>
      </c>
      <c r="EH39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95" s="418">
        <f>VLOOKUP(WWWW[[#This Row],[Site Name]],SiteDB6[[Site Name]:[CCCM Management]],6,FALSE)</f>
        <v>0</v>
      </c>
      <c r="EJ395" s="418">
        <f>VLOOKUP(WWWW[[#This Row],[Site Name]],SiteDB6[[Site Name]:[CCCM Focal Agency]],7,FALSE)</f>
        <v>0</v>
      </c>
      <c r="EK395" s="418" t="str">
        <f>VLOOKUP(WWWW[[#This Row],[Site Name]],SiteDB6[[Site Name]:[Location Type 1]],9,FALSE)</f>
        <v>Camp</v>
      </c>
      <c r="EL395" s="418" t="str">
        <f>VLOOKUP(WWWW[[#This Row],[Site Name]],SiteDB6[[Site Name]:[Type of Accommodation]],10,FALSE)</f>
        <v>Camp Like setting</v>
      </c>
      <c r="EM395" s="418" t="str">
        <f>VLOOKUP(WWWW[[#This Row],[Site Name]],SiteDB6[[Site Name]:[Ethnic or GCA/NGCA]],11,FALSE)</f>
        <v>GCA</v>
      </c>
      <c r="EN395" s="418">
        <f>VLOOKUP(WWWW[[#This Row],[Site Name]],SiteDB6[[Site Name]:[Lat]],12,FALSE)</f>
        <v>23.420603</v>
      </c>
      <c r="EO395" s="418">
        <f>VLOOKUP(WWWW[[#This Row],[Site Name]],SiteDB6[[Site Name]:[Long]],13,FALSE)</f>
        <v>98.451791999999998</v>
      </c>
      <c r="EP395" s="418" t="str">
        <f>VLOOKUP(WWWW[[#This Row],[Site Name]],SiteDB6[[Site Name]:[Pcode]],3,FALSE)</f>
        <v>MMR015CMP069</v>
      </c>
      <c r="EQ395" s="950" t="str">
        <f t="shared" si="9"/>
        <v>Covered</v>
      </c>
      <c r="ER395" s="950" t="s">
        <v>3126</v>
      </c>
      <c r="ES395" s="950"/>
      <c r="ET395" s="418">
        <f>VLOOKUP(WWWW[[#This Row],[Site Name]],SiteDB6[[Site Name]:[Pop
(Kachin/Shan-CCCM as of May 2023)]],16,FALSE)</f>
        <v>166</v>
      </c>
      <c r="EU395" s="418">
        <f>VLOOKUP(WWWW[[#This Row],[Site Name]],SiteDB6[[Site Name]:[Pop
(Kachin/Shan-CCCM as of May 2023)]],17,FALSE)</f>
        <v>830</v>
      </c>
    </row>
    <row r="396" spans="1:151">
      <c r="A396" s="946" t="s">
        <v>2962</v>
      </c>
      <c r="B396" s="946" t="s">
        <v>309</v>
      </c>
      <c r="C396" s="938" t="s">
        <v>309</v>
      </c>
      <c r="D396" s="938"/>
      <c r="E396" s="938" t="s">
        <v>515</v>
      </c>
      <c r="F396" s="938" t="s">
        <v>958</v>
      </c>
      <c r="G396" s="902" t="str">
        <f>VLOOKUP(WWWW[[#This Row],[Site Name]],SiteDB6[[Site Name]:[Location Type]],8,FALSE)</f>
        <v>Relocated</v>
      </c>
      <c r="H396" s="938" t="s">
        <v>2574</v>
      </c>
      <c r="I396" s="441">
        <v>219</v>
      </c>
      <c r="J396" s="441">
        <v>653</v>
      </c>
      <c r="K396" s="948"/>
      <c r="L396" s="949"/>
      <c r="M396" s="441"/>
      <c r="N396" s="441"/>
      <c r="O396" s="441"/>
      <c r="P396" s="441"/>
      <c r="Q396" s="421"/>
      <c r="R396" s="441"/>
      <c r="S396" s="441"/>
      <c r="T396" s="441"/>
      <c r="U396" s="441"/>
      <c r="V396" s="441"/>
      <c r="W396" s="441"/>
      <c r="X396" s="441"/>
      <c r="Y396" s="441"/>
      <c r="Z396" s="441"/>
      <c r="AA396" s="441"/>
      <c r="AB396" s="441"/>
      <c r="AC396" s="441"/>
      <c r="AD396" s="441"/>
      <c r="AE396" s="441"/>
      <c r="AF396" s="441"/>
      <c r="AG396" s="441"/>
      <c r="AH396" s="441"/>
      <c r="AI396" s="441"/>
      <c r="AJ396" s="441"/>
      <c r="AK396" s="441"/>
      <c r="AL396" s="441"/>
      <c r="AM396" s="441"/>
      <c r="AN396" s="441"/>
      <c r="AO396" s="441"/>
      <c r="AP396" s="950"/>
      <c r="AQ396" s="441"/>
      <c r="AR396" s="441"/>
      <c r="AS396" s="416"/>
      <c r="AT396" s="441"/>
      <c r="AU396" s="441"/>
      <c r="AV396" s="441"/>
      <c r="AW396" s="441"/>
      <c r="AX396" s="441"/>
      <c r="AY396" s="418" t="s">
        <v>140</v>
      </c>
      <c r="AZ396" s="950" t="s">
        <v>140</v>
      </c>
      <c r="BA396" s="441"/>
      <c r="BB396" s="441"/>
      <c r="BC396" s="441"/>
      <c r="BD396" s="441"/>
      <c r="BE396" s="441"/>
      <c r="BF396" s="418"/>
      <c r="BG396" s="441"/>
      <c r="BH396" s="441"/>
      <c r="BI396" s="441"/>
      <c r="BJ396" s="441"/>
      <c r="BK396" s="441"/>
      <c r="BL396" s="441"/>
      <c r="BM396" s="441"/>
      <c r="BN396" s="441"/>
      <c r="BO396" s="441"/>
      <c r="BP396" s="418"/>
      <c r="BQ396" s="417"/>
      <c r="BR396" s="416"/>
      <c r="BS396" s="418"/>
      <c r="BT396" s="416"/>
      <c r="BU396" s="416"/>
      <c r="BV396" s="418"/>
      <c r="BW396" s="416"/>
      <c r="BX396" s="441"/>
      <c r="BY396" s="441"/>
      <c r="BZ396" s="441"/>
      <c r="CA396" s="441"/>
      <c r="CB396" s="441"/>
      <c r="CC396" s="693"/>
      <c r="CD396" s="441"/>
      <c r="CE396" s="615" t="str">
        <f>IFERROR(WWWW[[#This Row],['#_Water sources passed]]/WWWW[[#This Row],['#_Water sources tested for fecal coliform ]],"no test")</f>
        <v>no test</v>
      </c>
      <c r="CF396" s="416" t="str">
        <f>IFERROR(WWWW[[#This Row],['#_Household passed]]/WWWW[[#This Row],['#_Household water samples tested for fecal coliform]],"no test")</f>
        <v>no test</v>
      </c>
      <c r="CG396" s="417" t="str">
        <f>IF(AND(WWWW[[#This Row],[% of water sources passed]]="no test",WWWW[[#This Row],[% Household passed]]="no test"),"No Test","Tested")</f>
        <v>No Test</v>
      </c>
      <c r="CH396" s="417">
        <f>WWWW[[#This Row],['#_Constructed/existing protected hand dug well]]-WWWW[[#This Row],['#_Non-functional protected hand dug well]]</f>
        <v>0</v>
      </c>
      <c r="CI396" s="417">
        <f>(WWWW[[#This Row],['#_Constructed/Existing tube wells/boreholes/handpumps_WASH_agency]]+WWWW[[#This Row],['#_Non-Cluster partner water tube-wells/boreholes/handpumps]])-WWWW[[#This Row],['#_Non-functional tube wells/boreholes/handpumps]]</f>
        <v>0</v>
      </c>
      <c r="CJ396" s="417">
        <f>WWWW[[#This Row],['#_Constructed/Existingwater storage tank with gravity fed reticulation system]]-WWWW[[#This Row],['#_Non-functional storage tank gravity fed reticulation system]]</f>
        <v>0</v>
      </c>
      <c r="CK396" s="417">
        <f>(WWWW[[#This Row],['#_Water_Liters_supplied_by_Water boating or water trucking]]/90)/15</f>
        <v>0</v>
      </c>
      <c r="CL396" s="417">
        <f>WWWW[[#This Row],['#_Water_Liters_from_Constructed/Existing water distribution system from river or natural spring]]/90/15</f>
        <v>0</v>
      </c>
      <c r="CM396" s="417">
        <f>IF(WWWW[[#This Row],['#_of water points in TLS/CFS]]*500&gt;WWWW[[#This Row],[Total PoP ]],WWWW[[#This Row],[Total PoP ]],WWWW[[#This Row],['#_of water points in TLS/CFS]]*500)</f>
        <v>0</v>
      </c>
      <c r="CN396" s="417">
        <f>IF(WWWW[[#This Row],['#_of water points in THF]]*500&gt;WWWW[[#This Row],[Total PoP ]],WWWW[[#This Row],[Total PoP ]],WWWW[[#This Row],['#_of water points in THF]]*500)</f>
        <v>0</v>
      </c>
      <c r="CO396" s="417"/>
      <c r="CP396"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96"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96" s="416">
        <f>IF(WWWW[[#This Row],[Location Type 1]]="Village",WWWW[[#This Row],[Access to safe drinking water for Village]],WWWW[[#This Row],[Access to safe drinking water for Camp]])</f>
        <v>0</v>
      </c>
      <c r="CS396" s="421">
        <f>WWWW[[#This Row],[%Equitable and continuous access to sufficient quantity of safe drinking water]]*WWWW[[#This Row],[Total PoP ]]</f>
        <v>0</v>
      </c>
      <c r="CT396" s="416">
        <f>IF((WWWW[[#This Row],['#_Constructed/Existing protected/fenced ponds]]*250)/WWWW[[#This Row],[Total PoP ]]&gt;1,1,(WWWW[[#This Row],['#_Constructed/Existing protected/fenced ponds]]*250)/WWWW[[#This Row],[Total PoP ]])</f>
        <v>0</v>
      </c>
      <c r="CU396" s="421">
        <f>WWWW[[#This Row],[% Access to unimproved water points]]*WWWW[[#This Row],[Total PoP ]]</f>
        <v>0</v>
      </c>
      <c r="CV396"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96"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96" s="421">
        <f>WWWW[[#This Row],[HRP1]]/500</f>
        <v>0</v>
      </c>
      <c r="CY396" s="951">
        <f>1-WWWW[[#This Row],[% Equitable and continuous access to sufficient quantity of domestic water]]</f>
        <v>1</v>
      </c>
      <c r="CZ396" s="421">
        <f>WWWW[[#This Row],[%equitable and continuous access to sufficient quantity of safe drinking and domestic water''s GAP]]*WWWW[[#This Row],[Total PoP ]]</f>
        <v>653</v>
      </c>
      <c r="DA396" s="417">
        <f>IF(WWWW[[#This Row],[Total required water points]]-WWWW[[#This Row],['#Water points coverage]]&lt;0,0,WWWW[[#This Row],[Total required water points]]-WWWW[[#This Row],['#Water points coverage]])</f>
        <v>1</v>
      </c>
      <c r="DB396" s="417">
        <f>ROUND(IF(WWWW[[#This Row],[Total PoP ]]&lt;500,1,WWWW[[#This Row],[Total PoP ]]/500),0)</f>
        <v>1</v>
      </c>
      <c r="DC396" s="417">
        <f>(WWWW[[#This Row],['#_Constructed latrines_by_WASHAgencies]]+WWWW[[#This Row],['#_Non Cluster partner latrines]])-WWWW[[#This Row],['#_Non-functional latrines]]</f>
        <v>0</v>
      </c>
      <c r="DD396" s="615">
        <f>WWWW[[#This Row],[HRP2]]/WWWW[[#This Row],[Total PoP ]]</f>
        <v>0</v>
      </c>
      <c r="DE396"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96"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96"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96" s="417">
        <f>IF(WWWW[[#This Row],['# of functional latrines in THF supported by WASH partners during the reporting period2]]="",0,WWWW[[#This Row],['# of functional latrines in THF supported by WASH partners during the reporting period2]]*50)</f>
        <v>0</v>
      </c>
      <c r="DI396" s="417">
        <f>ROUND(IF(WWWW[[#This Row],[Location Type 1]]="camp",WWWW[[#This Row],[Total PoP ]]/20,IF(WWWW[[#This Row],[Location Type 1]]="Temporary Location",WWWW[[#This Row],[Total PoP ]]/50,(WWWW[[#This Row],[Total PoP ]]/6))),0)</f>
        <v>109</v>
      </c>
      <c r="DJ396" s="417">
        <f>IF(WWWW[[#This Row],[Total required Latrines]]-(WWWW[[#This Row],['#_Constructed latrines_by_WASHAgencies]]+WWWW[[#This Row],['#_Non Cluster partner latrines]])&lt;0,0,WWWW[[#This Row],[Total required Latrines]]-(WWWW[[#This Row],['#_Constructed latrines_by_WASHAgencies]]+WWWW[[#This Row],['#_Non Cluster partner latrines]]))</f>
        <v>109</v>
      </c>
      <c r="DK396" s="951">
        <f>1-WWWW[[#This Row],[% people access to functioning Latrine]]</f>
        <v>1</v>
      </c>
      <c r="DL396" s="615">
        <f>IF(OR(WWWW[[#This Row],['#_Non-functional latrines]]="",WWWW[[#This Row],['#_Non-functional latrines]]=0),0,WWWW[[#This Row],['#_Non-functional latrines]]/(WWWW[[#This Row],['#_Constructed latrines_by_WASHAgencies]]+WWWW[[#This Row],['#_Non Cluster partner latrines]]))</f>
        <v>0</v>
      </c>
      <c r="DM396" s="421">
        <f>IF(500*(WWWW[[#This Row],['#_male hygiene promoters]]+WWWW[[#This Row],['#_female hygiene promoters]])&gt;WWWW[[#This Row],[Total PoP ]],WWWW[[#This Row],[Total PoP ]],500*(WWWW[[#This Row],['#_male hygiene promoters]]+WWWW[[#This Row],['#_female hygiene promoters]]))</f>
        <v>0</v>
      </c>
      <c r="DN396"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96"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96" s="417">
        <f>IF(WWWW[[#This Row],['# People with access to soap]]&gt;WWWW[[#This Row],['# People with access to Sanity Pads]],WWWW[[#This Row],['# People with access to soap]],WWWW[[#This Row],['# People with access to Sanity Pads]])</f>
        <v>0</v>
      </c>
      <c r="DQ396"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96" s="951">
        <f>IF(WWWW[[#This Row],[HRP3]]/WWWW[[#This Row],[Total PoP ]]&gt;1,1,WWWW[[#This Row],[HRP3]]/WWWW[[#This Row],[Total PoP ]])</f>
        <v>0</v>
      </c>
      <c r="DS396" s="615">
        <f>1-WWWW[[#This Row],[Hygiene Coverage%]]</f>
        <v>1</v>
      </c>
      <c r="DT396" s="416">
        <f>WWWW[[#This Row],['# people reached by regular dedicated hygiene promotion_5]]/WWWW[[#This Row],[Total PoP ]]</f>
        <v>0</v>
      </c>
      <c r="DU396"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96"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96" s="417">
        <f>WWWW[[#This Row],['#_Constructed/Existing hand washing stations]]-WWWW[[#This Row],['#_Non-Functional_hand_washing_stations]]</f>
        <v>0</v>
      </c>
      <c r="DX396" s="421">
        <f>IF(WWWW[[#This Row],['# Functional hand washing stations during reporting period]]*20&gt;WWWW[[#This Row],[Total HH]],WWWW[[#This Row],[Total HH]],WWWW[[#This Row],['# Functional hand washing stations during reporting period]]*20)</f>
        <v>0</v>
      </c>
      <c r="DY396" s="421">
        <f>IF(WWWW[[#This Row],[Is sufficient soap available for TLS? (Yes/No)]]="yes",WWWW[[#This Row],['#_Constructed/Existing hand washing stations at TLS/CFS/THF]],0)</f>
        <v>0</v>
      </c>
      <c r="DZ396" s="421">
        <f>IF(WWWW[[#This Row],['# Functional hand washing stations during reporting period]]*100&gt;WWWW[[#This Row],[Total PoP ]],WWWW[[#This Row],[Total PoP ]],WWWW[[#This Row],['# Functional hand washing stations during reporting period]]*100)</f>
        <v>0</v>
      </c>
      <c r="EA396" s="421" t="str">
        <f>IF(OR(WWWW[[#This Row],['#_students at TLS_CFS]]="",WWWW[[#This Row],['#_students at TLS_CFS]]=0),"No","Yes")</f>
        <v>No</v>
      </c>
      <c r="EB39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96" s="566">
        <f>WWWW[[#This Row],[%_of_affected_people_surveyed_who_report_feeling_satistfied_with_the_latrine_design_and_sanitation_service]]*WWWW[[#This Row],[Total PoP ]]</f>
        <v>0</v>
      </c>
      <c r="ED396" s="566">
        <f>WWWW[[#This Row],[%_of_affected_people_surveyed_who_report_feeling_satistfied_with_the_water_point_design_and_water_service]]*WWWW[[#This Row],[Total PoP ]]</f>
        <v>0</v>
      </c>
      <c r="EE396" s="566">
        <f>WWWW[[#This Row],[%_of_complaints_received_that_result_in_timely_corrective_action_and_feedback_to_the_community]]*WWWW[[#This Row],[Total PoP ]]</f>
        <v>0</v>
      </c>
      <c r="EF39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9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9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96" s="418">
        <f>VLOOKUP(WWWW[[#This Row],[Site Name]],SiteDB6[[Site Name]:[CCCM Management]],6,FALSE)</f>
        <v>0</v>
      </c>
      <c r="EJ396" s="418">
        <f>VLOOKUP(WWWW[[#This Row],[Site Name]],SiteDB6[[Site Name]:[CCCM Focal Agency]],7,FALSE)</f>
        <v>0</v>
      </c>
      <c r="EK396" s="418" t="str">
        <f>VLOOKUP(WWWW[[#This Row],[Site Name]],SiteDB6[[Site Name]:[Location Type 1]],9,FALSE)</f>
        <v>Relocated</v>
      </c>
      <c r="EL396" s="418" t="str">
        <f>VLOOKUP(WWWW[[#This Row],[Site Name]],SiteDB6[[Site Name]:[Type of Accommodation]],10,FALSE)</f>
        <v>Relocated-Individual House</v>
      </c>
      <c r="EM396" s="418" t="str">
        <f>VLOOKUP(WWWW[[#This Row],[Site Name]],SiteDB6[[Site Name]:[Ethnic or GCA/NGCA]],11,FALSE)</f>
        <v>GCA</v>
      </c>
      <c r="EN396" s="418">
        <f>VLOOKUP(WWWW[[#This Row],[Site Name]],SiteDB6[[Site Name]:[Lat]],12,FALSE)</f>
        <v>23.415991000000002</v>
      </c>
      <c r="EO396" s="418">
        <f>VLOOKUP(WWWW[[#This Row],[Site Name]],SiteDB6[[Site Name]:[Long]],13,FALSE)</f>
        <v>98.471779999999995</v>
      </c>
      <c r="EP396" s="418" t="str">
        <f>VLOOKUP(WWWW[[#This Row],[Site Name]],SiteDB6[[Site Name]:[Pcode]],3,FALSE)</f>
        <v>MMR015CMP073</v>
      </c>
      <c r="EQ396" s="950" t="str">
        <f t="shared" si="9"/>
        <v>Notcovered</v>
      </c>
      <c r="ER396" s="950"/>
      <c r="ES396" s="950" t="s">
        <v>3310</v>
      </c>
      <c r="ET396" s="418">
        <f>VLOOKUP(WWWW[[#This Row],[Site Name]],SiteDB6[[Site Name]:[Pop
(Kachin/Shan-CCCM as of May 2023)]],16,FALSE)</f>
        <v>219</v>
      </c>
      <c r="EU396" s="418">
        <f>VLOOKUP(WWWW[[#This Row],[Site Name]],SiteDB6[[Site Name]:[Pop
(Kachin/Shan-CCCM as of May 2023)]],17,FALSE)</f>
        <v>653</v>
      </c>
    </row>
    <row r="397" spans="1:151">
      <c r="A397" s="946" t="s">
        <v>2962</v>
      </c>
      <c r="B397" s="946" t="s">
        <v>309</v>
      </c>
      <c r="C397" s="938" t="s">
        <v>309</v>
      </c>
      <c r="D397" s="938"/>
      <c r="E397" s="938" t="s">
        <v>515</v>
      </c>
      <c r="F397" s="938" t="s">
        <v>958</v>
      </c>
      <c r="G397" s="902" t="str">
        <f>VLOOKUP(WWWW[[#This Row],[Site Name]],SiteDB6[[Site Name]:[Location Type]],8,FALSE)</f>
        <v>Relocated</v>
      </c>
      <c r="H397" s="938" t="s">
        <v>2573</v>
      </c>
      <c r="I397" s="441">
        <v>657</v>
      </c>
      <c r="J397" s="441">
        <v>2786</v>
      </c>
      <c r="K397" s="948"/>
      <c r="L397" s="949"/>
      <c r="M397" s="441"/>
      <c r="N397" s="441"/>
      <c r="O397" s="441"/>
      <c r="P397" s="441"/>
      <c r="Q397" s="421"/>
      <c r="R397" s="441"/>
      <c r="S397" s="441"/>
      <c r="T397" s="441"/>
      <c r="U397" s="441"/>
      <c r="V397" s="441"/>
      <c r="W397" s="441"/>
      <c r="X397" s="441"/>
      <c r="Y397" s="441"/>
      <c r="Z397" s="441"/>
      <c r="AA397" s="441"/>
      <c r="AB397" s="441"/>
      <c r="AC397" s="441"/>
      <c r="AD397" s="441"/>
      <c r="AE397" s="441"/>
      <c r="AF397" s="441"/>
      <c r="AG397" s="441"/>
      <c r="AH397" s="441"/>
      <c r="AI397" s="441"/>
      <c r="AJ397" s="441"/>
      <c r="AK397" s="441"/>
      <c r="AL397" s="441"/>
      <c r="AM397" s="441"/>
      <c r="AN397" s="441"/>
      <c r="AO397" s="441"/>
      <c r="AP397" s="950"/>
      <c r="AQ397" s="441"/>
      <c r="AR397" s="441"/>
      <c r="AS397" s="416"/>
      <c r="AT397" s="441"/>
      <c r="AU397" s="441"/>
      <c r="AV397" s="441"/>
      <c r="AW397" s="441"/>
      <c r="AX397" s="441"/>
      <c r="AY397" s="418" t="s">
        <v>140</v>
      </c>
      <c r="AZ397" s="950" t="s">
        <v>140</v>
      </c>
      <c r="BA397" s="441"/>
      <c r="BB397" s="441"/>
      <c r="BC397" s="441"/>
      <c r="BD397" s="441"/>
      <c r="BE397" s="441"/>
      <c r="BF397" s="418"/>
      <c r="BG397" s="441"/>
      <c r="BH397" s="441"/>
      <c r="BI397" s="441"/>
      <c r="BJ397" s="441"/>
      <c r="BK397" s="441"/>
      <c r="BL397" s="441"/>
      <c r="BM397" s="441"/>
      <c r="BN397" s="441"/>
      <c r="BO397" s="441"/>
      <c r="BP397" s="418"/>
      <c r="BQ397" s="417"/>
      <c r="BR397" s="416"/>
      <c r="BS397" s="418"/>
      <c r="BT397" s="416"/>
      <c r="BU397" s="416"/>
      <c r="BV397" s="418"/>
      <c r="BW397" s="416"/>
      <c r="BX397" s="441"/>
      <c r="BY397" s="441"/>
      <c r="BZ397" s="441"/>
      <c r="CA397" s="441"/>
      <c r="CB397" s="441"/>
      <c r="CC397" s="693"/>
      <c r="CD397" s="441"/>
      <c r="CE397" s="615" t="str">
        <f>IFERROR(WWWW[[#This Row],['#_Water sources passed]]/WWWW[[#This Row],['#_Water sources tested for fecal coliform ]],"no test")</f>
        <v>no test</v>
      </c>
      <c r="CF397" s="416" t="str">
        <f>IFERROR(WWWW[[#This Row],['#_Household passed]]/WWWW[[#This Row],['#_Household water samples tested for fecal coliform]],"no test")</f>
        <v>no test</v>
      </c>
      <c r="CG397" s="417" t="str">
        <f>IF(AND(WWWW[[#This Row],[% of water sources passed]]="no test",WWWW[[#This Row],[% Household passed]]="no test"),"No Test","Tested")</f>
        <v>No Test</v>
      </c>
      <c r="CH397" s="417">
        <f>WWWW[[#This Row],['#_Constructed/existing protected hand dug well]]-WWWW[[#This Row],['#_Non-functional protected hand dug well]]</f>
        <v>0</v>
      </c>
      <c r="CI397" s="417">
        <f>(WWWW[[#This Row],['#_Constructed/Existing tube wells/boreholes/handpumps_WASH_agency]]+WWWW[[#This Row],['#_Non-Cluster partner water tube-wells/boreholes/handpumps]])-WWWW[[#This Row],['#_Non-functional tube wells/boreholes/handpumps]]</f>
        <v>0</v>
      </c>
      <c r="CJ397" s="417">
        <f>WWWW[[#This Row],['#_Constructed/Existingwater storage tank with gravity fed reticulation system]]-WWWW[[#This Row],['#_Non-functional storage tank gravity fed reticulation system]]</f>
        <v>0</v>
      </c>
      <c r="CK397" s="417">
        <f>(WWWW[[#This Row],['#_Water_Liters_supplied_by_Water boating or water trucking]]/90)/15</f>
        <v>0</v>
      </c>
      <c r="CL397" s="417">
        <f>WWWW[[#This Row],['#_Water_Liters_from_Constructed/Existing water distribution system from river or natural spring]]/90/15</f>
        <v>0</v>
      </c>
      <c r="CM397" s="417">
        <f>IF(WWWW[[#This Row],['#_of water points in TLS/CFS]]*500&gt;WWWW[[#This Row],[Total PoP ]],WWWW[[#This Row],[Total PoP ]],WWWW[[#This Row],['#_of water points in TLS/CFS]]*500)</f>
        <v>0</v>
      </c>
      <c r="CN397" s="417">
        <f>IF(WWWW[[#This Row],['#_of water points in THF]]*500&gt;WWWW[[#This Row],[Total PoP ]],WWWW[[#This Row],[Total PoP ]],WWWW[[#This Row],['#_of water points in THF]]*500)</f>
        <v>0</v>
      </c>
      <c r="CO397" s="417"/>
      <c r="CP397"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97"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97" s="416">
        <f>IF(WWWW[[#This Row],[Location Type 1]]="Village",WWWW[[#This Row],[Access to safe drinking water for Village]],WWWW[[#This Row],[Access to safe drinking water for Camp]])</f>
        <v>0</v>
      </c>
      <c r="CS397" s="421">
        <f>WWWW[[#This Row],[%Equitable and continuous access to sufficient quantity of safe drinking water]]*WWWW[[#This Row],[Total PoP ]]</f>
        <v>0</v>
      </c>
      <c r="CT397" s="416">
        <f>IF((WWWW[[#This Row],['#_Constructed/Existing protected/fenced ponds]]*250)/WWWW[[#This Row],[Total PoP ]]&gt;1,1,(WWWW[[#This Row],['#_Constructed/Existing protected/fenced ponds]]*250)/WWWW[[#This Row],[Total PoP ]])</f>
        <v>0</v>
      </c>
      <c r="CU397" s="421">
        <f>WWWW[[#This Row],[% Access to unimproved water points]]*WWWW[[#This Row],[Total PoP ]]</f>
        <v>0</v>
      </c>
      <c r="CV397"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97"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97" s="421">
        <f>WWWW[[#This Row],[HRP1]]/500</f>
        <v>0</v>
      </c>
      <c r="CY397" s="951">
        <f>1-WWWW[[#This Row],[% Equitable and continuous access to sufficient quantity of domestic water]]</f>
        <v>1</v>
      </c>
      <c r="CZ397" s="421">
        <f>WWWW[[#This Row],[%equitable and continuous access to sufficient quantity of safe drinking and domestic water''s GAP]]*WWWW[[#This Row],[Total PoP ]]</f>
        <v>2786</v>
      </c>
      <c r="DA397" s="417">
        <f>IF(WWWW[[#This Row],[Total required water points]]-WWWW[[#This Row],['#Water points coverage]]&lt;0,0,WWWW[[#This Row],[Total required water points]]-WWWW[[#This Row],['#Water points coverage]])</f>
        <v>6</v>
      </c>
      <c r="DB397" s="417">
        <f>ROUND(IF(WWWW[[#This Row],[Total PoP ]]&lt;500,1,WWWW[[#This Row],[Total PoP ]]/500),0)</f>
        <v>6</v>
      </c>
      <c r="DC397" s="417">
        <f>(WWWW[[#This Row],['#_Constructed latrines_by_WASHAgencies]]+WWWW[[#This Row],['#_Non Cluster partner latrines]])-WWWW[[#This Row],['#_Non-functional latrines]]</f>
        <v>0</v>
      </c>
      <c r="DD397" s="615">
        <f>WWWW[[#This Row],[HRP2]]/WWWW[[#This Row],[Total PoP ]]</f>
        <v>0</v>
      </c>
      <c r="DE397"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97"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97"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97" s="417">
        <f>IF(WWWW[[#This Row],['# of functional latrines in THF supported by WASH partners during the reporting period2]]="",0,WWWW[[#This Row],['# of functional latrines in THF supported by WASH partners during the reporting period2]]*50)</f>
        <v>0</v>
      </c>
      <c r="DI397" s="417">
        <f>ROUND(IF(WWWW[[#This Row],[Location Type 1]]="camp",WWWW[[#This Row],[Total PoP ]]/20,IF(WWWW[[#This Row],[Location Type 1]]="Temporary Location",WWWW[[#This Row],[Total PoP ]]/50,(WWWW[[#This Row],[Total PoP ]]/6))),0)</f>
        <v>464</v>
      </c>
      <c r="DJ397" s="417">
        <f>IF(WWWW[[#This Row],[Total required Latrines]]-(WWWW[[#This Row],['#_Constructed latrines_by_WASHAgencies]]+WWWW[[#This Row],['#_Non Cluster partner latrines]])&lt;0,0,WWWW[[#This Row],[Total required Latrines]]-(WWWW[[#This Row],['#_Constructed latrines_by_WASHAgencies]]+WWWW[[#This Row],['#_Non Cluster partner latrines]]))</f>
        <v>464</v>
      </c>
      <c r="DK397" s="951">
        <f>1-WWWW[[#This Row],[% people access to functioning Latrine]]</f>
        <v>1</v>
      </c>
      <c r="DL397" s="615">
        <f>IF(OR(WWWW[[#This Row],['#_Non-functional latrines]]="",WWWW[[#This Row],['#_Non-functional latrines]]=0),0,WWWW[[#This Row],['#_Non-functional latrines]]/(WWWW[[#This Row],['#_Constructed latrines_by_WASHAgencies]]+WWWW[[#This Row],['#_Non Cluster partner latrines]]))</f>
        <v>0</v>
      </c>
      <c r="DM397" s="421">
        <f>IF(500*(WWWW[[#This Row],['#_male hygiene promoters]]+WWWW[[#This Row],['#_female hygiene promoters]])&gt;WWWW[[#This Row],[Total PoP ]],WWWW[[#This Row],[Total PoP ]],500*(WWWW[[#This Row],['#_male hygiene promoters]]+WWWW[[#This Row],['#_female hygiene promoters]]))</f>
        <v>0</v>
      </c>
      <c r="DN397"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97"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97" s="417">
        <f>IF(WWWW[[#This Row],['# People with access to soap]]&gt;WWWW[[#This Row],['# People with access to Sanity Pads]],WWWW[[#This Row],['# People with access to soap]],WWWW[[#This Row],['# People with access to Sanity Pads]])</f>
        <v>0</v>
      </c>
      <c r="DQ397"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97" s="951">
        <f>IF(WWWW[[#This Row],[HRP3]]/WWWW[[#This Row],[Total PoP ]]&gt;1,1,WWWW[[#This Row],[HRP3]]/WWWW[[#This Row],[Total PoP ]])</f>
        <v>0</v>
      </c>
      <c r="DS397" s="615">
        <f>1-WWWW[[#This Row],[Hygiene Coverage%]]</f>
        <v>1</v>
      </c>
      <c r="DT397" s="416">
        <f>WWWW[[#This Row],['# people reached by regular dedicated hygiene promotion_5]]/WWWW[[#This Row],[Total PoP ]]</f>
        <v>0</v>
      </c>
      <c r="DU397"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97"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97" s="417">
        <f>WWWW[[#This Row],['#_Constructed/Existing hand washing stations]]-WWWW[[#This Row],['#_Non-Functional_hand_washing_stations]]</f>
        <v>0</v>
      </c>
      <c r="DX397" s="421">
        <f>IF(WWWW[[#This Row],['# Functional hand washing stations during reporting period]]*20&gt;WWWW[[#This Row],[Total HH]],WWWW[[#This Row],[Total HH]],WWWW[[#This Row],['# Functional hand washing stations during reporting period]]*20)</f>
        <v>0</v>
      </c>
      <c r="DY397" s="421">
        <f>IF(WWWW[[#This Row],[Is sufficient soap available for TLS? (Yes/No)]]="yes",WWWW[[#This Row],['#_Constructed/Existing hand washing stations at TLS/CFS/THF]],0)</f>
        <v>0</v>
      </c>
      <c r="DZ397" s="421">
        <f>IF(WWWW[[#This Row],['# Functional hand washing stations during reporting period]]*100&gt;WWWW[[#This Row],[Total PoP ]],WWWW[[#This Row],[Total PoP ]],WWWW[[#This Row],['# Functional hand washing stations during reporting period]]*100)</f>
        <v>0</v>
      </c>
      <c r="EA397" s="421" t="str">
        <f>IF(OR(WWWW[[#This Row],['#_students at TLS_CFS]]="",WWWW[[#This Row],['#_students at TLS_CFS]]=0),"No","Yes")</f>
        <v>No</v>
      </c>
      <c r="EB39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97" s="566">
        <f>WWWW[[#This Row],[%_of_affected_people_surveyed_who_report_feeling_satistfied_with_the_latrine_design_and_sanitation_service]]*WWWW[[#This Row],[Total PoP ]]</f>
        <v>0</v>
      </c>
      <c r="ED397" s="566">
        <f>WWWW[[#This Row],[%_of_affected_people_surveyed_who_report_feeling_satistfied_with_the_water_point_design_and_water_service]]*WWWW[[#This Row],[Total PoP ]]</f>
        <v>0</v>
      </c>
      <c r="EE397" s="566">
        <f>WWWW[[#This Row],[%_of_complaints_received_that_result_in_timely_corrective_action_and_feedback_to_the_community]]*WWWW[[#This Row],[Total PoP ]]</f>
        <v>0</v>
      </c>
      <c r="EF39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9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9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97" s="418">
        <f>VLOOKUP(WWWW[[#This Row],[Site Name]],SiteDB6[[Site Name]:[CCCM Management]],6,FALSE)</f>
        <v>0</v>
      </c>
      <c r="EJ397" s="418">
        <f>VLOOKUP(WWWW[[#This Row],[Site Name]],SiteDB6[[Site Name]:[CCCM Focal Agency]],7,FALSE)</f>
        <v>0</v>
      </c>
      <c r="EK397" s="418" t="str">
        <f>VLOOKUP(WWWW[[#This Row],[Site Name]],SiteDB6[[Site Name]:[Location Type 1]],9,FALSE)</f>
        <v>Relocated</v>
      </c>
      <c r="EL397" s="418" t="str">
        <f>VLOOKUP(WWWW[[#This Row],[Site Name]],SiteDB6[[Site Name]:[Type of Accommodation]],10,FALSE)</f>
        <v>Relocated-Individual House</v>
      </c>
      <c r="EM397" s="418" t="str">
        <f>VLOOKUP(WWWW[[#This Row],[Site Name]],SiteDB6[[Site Name]:[Ethnic or GCA/NGCA]],11,FALSE)</f>
        <v>GCA</v>
      </c>
      <c r="EN397" s="418">
        <f>VLOOKUP(WWWW[[#This Row],[Site Name]],SiteDB6[[Site Name]:[Lat]],12,FALSE)</f>
        <v>23.363275999999999</v>
      </c>
      <c r="EO397" s="418">
        <f>VLOOKUP(WWWW[[#This Row],[Site Name]],SiteDB6[[Site Name]:[Long]],13,FALSE)</f>
        <v>98.472977999999998</v>
      </c>
      <c r="EP397" s="418" t="str">
        <f>VLOOKUP(WWWW[[#This Row],[Site Name]],SiteDB6[[Site Name]:[Pcode]],3,FALSE)</f>
        <v>MMR015CMP072</v>
      </c>
      <c r="EQ397" s="950" t="str">
        <f t="shared" si="9"/>
        <v>Notcovered</v>
      </c>
      <c r="ER397" s="950"/>
      <c r="ES397" s="950" t="s">
        <v>3310</v>
      </c>
      <c r="ET397" s="418">
        <f>VLOOKUP(WWWW[[#This Row],[Site Name]],SiteDB6[[Site Name]:[Pop
(Kachin/Shan-CCCM as of May 2023)]],16,FALSE)</f>
        <v>657</v>
      </c>
      <c r="EU397" s="418">
        <f>VLOOKUP(WWWW[[#This Row],[Site Name]],SiteDB6[[Site Name]:[Pop
(Kachin/Shan-CCCM as of May 2023)]],17,FALSE)</f>
        <v>2786</v>
      </c>
    </row>
    <row r="398" spans="1:151">
      <c r="A398" s="946" t="s">
        <v>2962</v>
      </c>
      <c r="B398" s="946" t="s">
        <v>309</v>
      </c>
      <c r="C398" s="938" t="s">
        <v>309</v>
      </c>
      <c r="D398" s="938"/>
      <c r="E398" s="938" t="s">
        <v>515</v>
      </c>
      <c r="F398" s="938" t="s">
        <v>958</v>
      </c>
      <c r="G398" s="902" t="str">
        <f>VLOOKUP(WWWW[[#This Row],[Site Name]],SiteDB6[[Site Name]:[Location Type]],8,FALSE)</f>
        <v>Camp</v>
      </c>
      <c r="H398" s="938" t="s">
        <v>2571</v>
      </c>
      <c r="I398" s="441">
        <v>34</v>
      </c>
      <c r="J398" s="441">
        <v>170</v>
      </c>
      <c r="K398" s="948"/>
      <c r="L398" s="949"/>
      <c r="M398" s="441"/>
      <c r="N398" s="441"/>
      <c r="O398" s="441"/>
      <c r="P398" s="441"/>
      <c r="Q398" s="421"/>
      <c r="R398" s="441"/>
      <c r="S398" s="441"/>
      <c r="T398" s="441"/>
      <c r="U398" s="441"/>
      <c r="V398" s="441"/>
      <c r="W398" s="441"/>
      <c r="X398" s="441"/>
      <c r="Y398" s="441"/>
      <c r="Z398" s="441"/>
      <c r="AA398" s="441"/>
      <c r="AB398" s="441"/>
      <c r="AC398" s="441"/>
      <c r="AD398" s="441"/>
      <c r="AE398" s="441"/>
      <c r="AF398" s="441"/>
      <c r="AG398" s="441"/>
      <c r="AH398" s="441"/>
      <c r="AI398" s="441"/>
      <c r="AJ398" s="441"/>
      <c r="AK398" s="441"/>
      <c r="AL398" s="441"/>
      <c r="AM398" s="441"/>
      <c r="AN398" s="441"/>
      <c r="AO398" s="441"/>
      <c r="AP398" s="950"/>
      <c r="AQ398" s="441"/>
      <c r="AR398" s="441"/>
      <c r="AS398" s="416"/>
      <c r="AT398" s="441"/>
      <c r="AU398" s="441"/>
      <c r="AV398" s="441"/>
      <c r="AW398" s="441"/>
      <c r="AX398" s="441"/>
      <c r="AY398" s="418" t="s">
        <v>140</v>
      </c>
      <c r="AZ398" s="950" t="s">
        <v>140</v>
      </c>
      <c r="BA398" s="441"/>
      <c r="BB398" s="441"/>
      <c r="BC398" s="441"/>
      <c r="BD398" s="441"/>
      <c r="BE398" s="441"/>
      <c r="BF398" s="418"/>
      <c r="BG398" s="441"/>
      <c r="BH398" s="441"/>
      <c r="BI398" s="441"/>
      <c r="BJ398" s="441"/>
      <c r="BK398" s="441"/>
      <c r="BL398" s="441"/>
      <c r="BM398" s="441"/>
      <c r="BN398" s="441"/>
      <c r="BO398" s="441"/>
      <c r="BP398" s="418"/>
      <c r="BQ398" s="417"/>
      <c r="BR398" s="416"/>
      <c r="BS398" s="418"/>
      <c r="BT398" s="416"/>
      <c r="BU398" s="416"/>
      <c r="BV398" s="418"/>
      <c r="BW398" s="416"/>
      <c r="BX398" s="441"/>
      <c r="BY398" s="441"/>
      <c r="BZ398" s="441"/>
      <c r="CA398" s="441"/>
      <c r="CB398" s="441"/>
      <c r="CC398" s="693"/>
      <c r="CD398" s="441"/>
      <c r="CE398" s="615" t="str">
        <f>IFERROR(WWWW[[#This Row],['#_Water sources passed]]/WWWW[[#This Row],['#_Water sources tested for fecal coliform ]],"no test")</f>
        <v>no test</v>
      </c>
      <c r="CF398" s="416" t="str">
        <f>IFERROR(WWWW[[#This Row],['#_Household passed]]/WWWW[[#This Row],['#_Household water samples tested for fecal coliform]],"no test")</f>
        <v>no test</v>
      </c>
      <c r="CG398" s="417" t="str">
        <f>IF(AND(WWWW[[#This Row],[% of water sources passed]]="no test",WWWW[[#This Row],[% Household passed]]="no test"),"No Test","Tested")</f>
        <v>No Test</v>
      </c>
      <c r="CH398" s="417">
        <f>WWWW[[#This Row],['#_Constructed/existing protected hand dug well]]-WWWW[[#This Row],['#_Non-functional protected hand dug well]]</f>
        <v>0</v>
      </c>
      <c r="CI398" s="417">
        <f>(WWWW[[#This Row],['#_Constructed/Existing tube wells/boreholes/handpumps_WASH_agency]]+WWWW[[#This Row],['#_Non-Cluster partner water tube-wells/boreholes/handpumps]])-WWWW[[#This Row],['#_Non-functional tube wells/boreholes/handpumps]]</f>
        <v>0</v>
      </c>
      <c r="CJ398" s="417">
        <f>WWWW[[#This Row],['#_Constructed/Existingwater storage tank with gravity fed reticulation system]]-WWWW[[#This Row],['#_Non-functional storage tank gravity fed reticulation system]]</f>
        <v>0</v>
      </c>
      <c r="CK398" s="417">
        <f>(WWWW[[#This Row],['#_Water_Liters_supplied_by_Water boating or water trucking]]/90)/15</f>
        <v>0</v>
      </c>
      <c r="CL398" s="417">
        <f>WWWW[[#This Row],['#_Water_Liters_from_Constructed/Existing water distribution system from river or natural spring]]/90/15</f>
        <v>0</v>
      </c>
      <c r="CM398" s="417">
        <f>IF(WWWW[[#This Row],['#_of water points in TLS/CFS]]*500&gt;WWWW[[#This Row],[Total PoP ]],WWWW[[#This Row],[Total PoP ]],WWWW[[#This Row],['#_of water points in TLS/CFS]]*500)</f>
        <v>0</v>
      </c>
      <c r="CN398" s="417">
        <f>IF(WWWW[[#This Row],['#_of water points in THF]]*500&gt;WWWW[[#This Row],[Total PoP ]],WWWW[[#This Row],[Total PoP ]],WWWW[[#This Row],['#_of water points in THF]]*500)</f>
        <v>0</v>
      </c>
      <c r="CO398" s="417"/>
      <c r="CP398"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398"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398" s="416">
        <f>IF(WWWW[[#This Row],[Location Type 1]]="Village",WWWW[[#This Row],[Access to safe drinking water for Village]],WWWW[[#This Row],[Access to safe drinking water for Camp]])</f>
        <v>0</v>
      </c>
      <c r="CS398" s="421">
        <f>WWWW[[#This Row],[%Equitable and continuous access to sufficient quantity of safe drinking water]]*WWWW[[#This Row],[Total PoP ]]</f>
        <v>0</v>
      </c>
      <c r="CT398" s="416">
        <f>IF((WWWW[[#This Row],['#_Constructed/Existing protected/fenced ponds]]*250)/WWWW[[#This Row],[Total PoP ]]&gt;1,1,(WWWW[[#This Row],['#_Constructed/Existing protected/fenced ponds]]*250)/WWWW[[#This Row],[Total PoP ]])</f>
        <v>0</v>
      </c>
      <c r="CU398" s="421">
        <f>WWWW[[#This Row],[% Access to unimproved water points]]*WWWW[[#This Row],[Total PoP ]]</f>
        <v>0</v>
      </c>
      <c r="CV398"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398"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398" s="421">
        <f>WWWW[[#This Row],[HRP1]]/500</f>
        <v>0</v>
      </c>
      <c r="CY398" s="951">
        <f>1-WWWW[[#This Row],[% Equitable and continuous access to sufficient quantity of domestic water]]</f>
        <v>1</v>
      </c>
      <c r="CZ398" s="421">
        <f>WWWW[[#This Row],[%equitable and continuous access to sufficient quantity of safe drinking and domestic water''s GAP]]*WWWW[[#This Row],[Total PoP ]]</f>
        <v>170</v>
      </c>
      <c r="DA398" s="417">
        <f>IF(WWWW[[#This Row],[Total required water points]]-WWWW[[#This Row],['#Water points coverage]]&lt;0,0,WWWW[[#This Row],[Total required water points]]-WWWW[[#This Row],['#Water points coverage]])</f>
        <v>1</v>
      </c>
      <c r="DB398" s="417">
        <f>ROUND(IF(WWWW[[#This Row],[Total PoP ]]&lt;500,1,WWWW[[#This Row],[Total PoP ]]/500),0)</f>
        <v>1</v>
      </c>
      <c r="DC398" s="417">
        <f>(WWWW[[#This Row],['#_Constructed latrines_by_WASHAgencies]]+WWWW[[#This Row],['#_Non Cluster partner latrines]])-WWWW[[#This Row],['#_Non-functional latrines]]</f>
        <v>0</v>
      </c>
      <c r="DD398" s="615">
        <f>WWWW[[#This Row],[HRP2]]/WWWW[[#This Row],[Total PoP ]]</f>
        <v>0</v>
      </c>
      <c r="DE398"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98"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98"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98" s="417">
        <f>IF(WWWW[[#This Row],['# of functional latrines in THF supported by WASH partners during the reporting period2]]="",0,WWWW[[#This Row],['# of functional latrines in THF supported by WASH partners during the reporting period2]]*50)</f>
        <v>0</v>
      </c>
      <c r="DI398" s="417">
        <f>ROUND(IF(WWWW[[#This Row],[Location Type 1]]="camp",WWWW[[#This Row],[Total PoP ]]/20,IF(WWWW[[#This Row],[Location Type 1]]="Temporary Location",WWWW[[#This Row],[Total PoP ]]/50,(WWWW[[#This Row],[Total PoP ]]/6))),0)</f>
        <v>9</v>
      </c>
      <c r="DJ398" s="417">
        <f>IF(WWWW[[#This Row],[Total required Latrines]]-(WWWW[[#This Row],['#_Constructed latrines_by_WASHAgencies]]+WWWW[[#This Row],['#_Non Cluster partner latrines]])&lt;0,0,WWWW[[#This Row],[Total required Latrines]]-(WWWW[[#This Row],['#_Constructed latrines_by_WASHAgencies]]+WWWW[[#This Row],['#_Non Cluster partner latrines]]))</f>
        <v>9</v>
      </c>
      <c r="DK398" s="951">
        <f>1-WWWW[[#This Row],[% people access to functioning Latrine]]</f>
        <v>1</v>
      </c>
      <c r="DL398" s="615">
        <f>IF(OR(WWWW[[#This Row],['#_Non-functional latrines]]="",WWWW[[#This Row],['#_Non-functional latrines]]=0),0,WWWW[[#This Row],['#_Non-functional latrines]]/(WWWW[[#This Row],['#_Constructed latrines_by_WASHAgencies]]+WWWW[[#This Row],['#_Non Cluster partner latrines]]))</f>
        <v>0</v>
      </c>
      <c r="DM398" s="421">
        <f>IF(500*(WWWW[[#This Row],['#_male hygiene promoters]]+WWWW[[#This Row],['#_female hygiene promoters]])&gt;WWWW[[#This Row],[Total PoP ]],WWWW[[#This Row],[Total PoP ]],500*(WWWW[[#This Row],['#_male hygiene promoters]]+WWWW[[#This Row],['#_female hygiene promoters]]))</f>
        <v>0</v>
      </c>
      <c r="DN398"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98"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98" s="417">
        <f>IF(WWWW[[#This Row],['# People with access to soap]]&gt;WWWW[[#This Row],['# People with access to Sanity Pads]],WWWW[[#This Row],['# People with access to soap]],WWWW[[#This Row],['# People with access to Sanity Pads]])</f>
        <v>0</v>
      </c>
      <c r="DQ398"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98" s="951">
        <f>IF(WWWW[[#This Row],[HRP3]]/WWWW[[#This Row],[Total PoP ]]&gt;1,1,WWWW[[#This Row],[HRP3]]/WWWW[[#This Row],[Total PoP ]])</f>
        <v>0</v>
      </c>
      <c r="DS398" s="615">
        <f>1-WWWW[[#This Row],[Hygiene Coverage%]]</f>
        <v>1</v>
      </c>
      <c r="DT398" s="416">
        <f>WWWW[[#This Row],['# people reached by regular dedicated hygiene promotion_5]]/WWWW[[#This Row],[Total PoP ]]</f>
        <v>0</v>
      </c>
      <c r="DU398"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98"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98" s="417">
        <f>WWWW[[#This Row],['#_Constructed/Existing hand washing stations]]-WWWW[[#This Row],['#_Non-Functional_hand_washing_stations]]</f>
        <v>0</v>
      </c>
      <c r="DX398" s="421">
        <f>IF(WWWW[[#This Row],['# Functional hand washing stations during reporting period]]*20&gt;WWWW[[#This Row],[Total HH]],WWWW[[#This Row],[Total HH]],WWWW[[#This Row],['# Functional hand washing stations during reporting period]]*20)</f>
        <v>0</v>
      </c>
      <c r="DY398" s="421">
        <f>IF(WWWW[[#This Row],[Is sufficient soap available for TLS? (Yes/No)]]="yes",WWWW[[#This Row],['#_Constructed/Existing hand washing stations at TLS/CFS/THF]],0)</f>
        <v>0</v>
      </c>
      <c r="DZ398" s="421">
        <f>IF(WWWW[[#This Row],['# Functional hand washing stations during reporting period]]*100&gt;WWWW[[#This Row],[Total PoP ]],WWWW[[#This Row],[Total PoP ]],WWWW[[#This Row],['# Functional hand washing stations during reporting period]]*100)</f>
        <v>0</v>
      </c>
      <c r="EA398" s="421" t="str">
        <f>IF(OR(WWWW[[#This Row],['#_students at TLS_CFS]]="",WWWW[[#This Row],['#_students at TLS_CFS]]=0),"No","Yes")</f>
        <v>No</v>
      </c>
      <c r="EB398"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98" s="566">
        <f>WWWW[[#This Row],[%_of_affected_people_surveyed_who_report_feeling_satistfied_with_the_latrine_design_and_sanitation_service]]*WWWW[[#This Row],[Total PoP ]]</f>
        <v>0</v>
      </c>
      <c r="ED398" s="566">
        <f>WWWW[[#This Row],[%_of_affected_people_surveyed_who_report_feeling_satistfied_with_the_water_point_design_and_water_service]]*WWWW[[#This Row],[Total PoP ]]</f>
        <v>0</v>
      </c>
      <c r="EE398" s="566">
        <f>WWWW[[#This Row],[%_of_complaints_received_that_result_in_timely_corrective_action_and_feedback_to_the_community]]*WWWW[[#This Row],[Total PoP ]]</f>
        <v>0</v>
      </c>
      <c r="EF398"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98"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98"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98" s="418">
        <f>VLOOKUP(WWWW[[#This Row],[Site Name]],SiteDB6[[Site Name]:[CCCM Management]],6,FALSE)</f>
        <v>0</v>
      </c>
      <c r="EJ398" s="418">
        <f>VLOOKUP(WWWW[[#This Row],[Site Name]],SiteDB6[[Site Name]:[CCCM Focal Agency]],7,FALSE)</f>
        <v>0</v>
      </c>
      <c r="EK398" s="418" t="str">
        <f>VLOOKUP(WWWW[[#This Row],[Site Name]],SiteDB6[[Site Name]:[Location Type 1]],9,FALSE)</f>
        <v>Camp</v>
      </c>
      <c r="EL398" s="418" t="str">
        <f>VLOOKUP(WWWW[[#This Row],[Site Name]],SiteDB6[[Site Name]:[Type of Accommodation]],10,FALSE)</f>
        <v>Camp Like setting</v>
      </c>
      <c r="EM398" s="418" t="str">
        <f>VLOOKUP(WWWW[[#This Row],[Site Name]],SiteDB6[[Site Name]:[Ethnic or GCA/NGCA]],11,FALSE)</f>
        <v>GCA</v>
      </c>
      <c r="EN398" s="418">
        <f>VLOOKUP(WWWW[[#This Row],[Site Name]],SiteDB6[[Site Name]:[Lat]],12,FALSE)</f>
        <v>23.729893000000001</v>
      </c>
      <c r="EO398" s="418">
        <f>VLOOKUP(WWWW[[#This Row],[Site Name]],SiteDB6[[Site Name]:[Long]],13,FALSE)</f>
        <v>98.779853500000002</v>
      </c>
      <c r="EP398" s="418" t="str">
        <f>VLOOKUP(WWWW[[#This Row],[Site Name]],SiteDB6[[Site Name]:[Pcode]],3,FALSE)</f>
        <v>MMR015CMP070</v>
      </c>
      <c r="EQ398" s="950" t="str">
        <f t="shared" si="9"/>
        <v>Notcovered</v>
      </c>
      <c r="ER398" s="950"/>
      <c r="ES398" s="950"/>
      <c r="ET398" s="418">
        <f>VLOOKUP(WWWW[[#This Row],[Site Name]],SiteDB6[[Site Name]:[Pop
(Kachin/Shan-CCCM as of May 2023)]],16,FALSE)</f>
        <v>34</v>
      </c>
      <c r="EU398" s="418">
        <f>VLOOKUP(WWWW[[#This Row],[Site Name]],SiteDB6[[Site Name]:[Pop
(Kachin/Shan-CCCM as of May 2023)]],17,FALSE)</f>
        <v>170</v>
      </c>
    </row>
    <row r="399" spans="1:151">
      <c r="A399" s="946" t="s">
        <v>2962</v>
      </c>
      <c r="B399" s="946" t="s">
        <v>311</v>
      </c>
      <c r="C399" s="938" t="s">
        <v>2793</v>
      </c>
      <c r="D399" s="938" t="s">
        <v>3099</v>
      </c>
      <c r="E399" s="938" t="s">
        <v>515</v>
      </c>
      <c r="F399" s="938" t="s">
        <v>525</v>
      </c>
      <c r="G399" s="902" t="str">
        <f>VLOOKUP(WWWW[[#This Row],[Site Name]],SiteDB6[[Site Name]:[Location Type]],8,FALSE)</f>
        <v>Camp</v>
      </c>
      <c r="H399" s="938" t="s">
        <v>2976</v>
      </c>
      <c r="I399" s="441">
        <v>11</v>
      </c>
      <c r="J399" s="441">
        <v>37</v>
      </c>
      <c r="K399" s="948">
        <v>44774</v>
      </c>
      <c r="L399" s="949">
        <v>45046</v>
      </c>
      <c r="M399" s="441"/>
      <c r="N399" s="441"/>
      <c r="O399" s="441"/>
      <c r="P399" s="441"/>
      <c r="Q399" s="421"/>
      <c r="R399" s="441"/>
      <c r="S399" s="441"/>
      <c r="T399" s="441"/>
      <c r="U399" s="441"/>
      <c r="V399" s="441"/>
      <c r="W399" s="441"/>
      <c r="X399" s="441"/>
      <c r="Y399" s="441"/>
      <c r="Z399" s="441"/>
      <c r="AA399" s="441">
        <v>1</v>
      </c>
      <c r="AB399" s="441"/>
      <c r="AC399" s="441"/>
      <c r="AD399" s="441"/>
      <c r="AE399" s="441"/>
      <c r="AF399" s="441"/>
      <c r="AG399" s="441">
        <v>26</v>
      </c>
      <c r="AH399" s="441"/>
      <c r="AI399" s="441"/>
      <c r="AJ399" s="441"/>
      <c r="AK399" s="441"/>
      <c r="AL399" s="441"/>
      <c r="AM399" s="441"/>
      <c r="AN399" s="441"/>
      <c r="AO399" s="441"/>
      <c r="AP399" s="950"/>
      <c r="AQ399" s="441"/>
      <c r="AR399" s="441"/>
      <c r="AS399" s="416"/>
      <c r="AT399" s="441"/>
      <c r="AU399" s="441"/>
      <c r="AV399" s="441"/>
      <c r="AW399" s="441"/>
      <c r="AX399" s="441"/>
      <c r="AY399" s="418" t="s">
        <v>136</v>
      </c>
      <c r="AZ399" s="950" t="s">
        <v>136</v>
      </c>
      <c r="BA399" s="441"/>
      <c r="BB399" s="441"/>
      <c r="BC399" s="441"/>
      <c r="BD399" s="441"/>
      <c r="BE399" s="441"/>
      <c r="BF399" s="418"/>
      <c r="BG399" s="441"/>
      <c r="BH399" s="441"/>
      <c r="BI399" s="441"/>
      <c r="BJ399" s="441"/>
      <c r="BK399" s="441"/>
      <c r="BL399" s="441"/>
      <c r="BM399" s="441"/>
      <c r="BN399" s="441"/>
      <c r="BO399" s="441"/>
      <c r="BP399" s="418"/>
      <c r="BQ399" s="417"/>
      <c r="BR399" s="416"/>
      <c r="BS399" s="418"/>
      <c r="BT399" s="416"/>
      <c r="BU399" s="416"/>
      <c r="BV399" s="418"/>
      <c r="BW399" s="416"/>
      <c r="BX399" s="441"/>
      <c r="BY399" s="441"/>
      <c r="BZ399" s="441"/>
      <c r="CA399" s="441"/>
      <c r="CB399" s="441"/>
      <c r="CC399" s="693"/>
      <c r="CD399" s="441"/>
      <c r="CE399" s="615" t="str">
        <f>IFERROR(WWWW[[#This Row],['#_Water sources passed]]/WWWW[[#This Row],['#_Water sources tested for fecal coliform ]],"no test")</f>
        <v>no test</v>
      </c>
      <c r="CF399" s="416" t="str">
        <f>IFERROR(WWWW[[#This Row],['#_Household passed]]/WWWW[[#This Row],['#_Household water samples tested for fecal coliform]],"no test")</f>
        <v>no test</v>
      </c>
      <c r="CG399" s="417" t="str">
        <f>IF(AND(WWWW[[#This Row],[% of water sources passed]]="no test",WWWW[[#This Row],[% Household passed]]="no test"),"No Test","Tested")</f>
        <v>No Test</v>
      </c>
      <c r="CH399" s="417">
        <f>WWWW[[#This Row],['#_Constructed/existing protected hand dug well]]-WWWW[[#This Row],['#_Non-functional protected hand dug well]]</f>
        <v>0</v>
      </c>
      <c r="CI399" s="417">
        <f>(WWWW[[#This Row],['#_Constructed/Existing tube wells/boreholes/handpumps_WASH_agency]]+WWWW[[#This Row],['#_Non-Cluster partner water tube-wells/boreholes/handpumps]])-WWWW[[#This Row],['#_Non-functional tube wells/boreholes/handpumps]]</f>
        <v>0</v>
      </c>
      <c r="CJ399" s="417">
        <f>WWWW[[#This Row],['#_Constructed/Existingwater storage tank with gravity fed reticulation system]]-WWWW[[#This Row],['#_Non-functional storage tank gravity fed reticulation system]]</f>
        <v>1</v>
      </c>
      <c r="CK399" s="417">
        <f>(WWWW[[#This Row],['#_Water_Liters_supplied_by_Water boating or water trucking]]/90)/15</f>
        <v>0</v>
      </c>
      <c r="CL399" s="417">
        <f>WWWW[[#This Row],['#_Water_Liters_from_Constructed/Existing water distribution system from river or natural spring]]/90/15</f>
        <v>0</v>
      </c>
      <c r="CM399" s="417">
        <f>IF(WWWW[[#This Row],['#_of water points in TLS/CFS]]*500&gt;WWWW[[#This Row],[Total PoP ]],WWWW[[#This Row],[Total PoP ]],WWWW[[#This Row],['#_of water points in TLS/CFS]]*500)</f>
        <v>0</v>
      </c>
      <c r="CN399" s="417">
        <f>IF(WWWW[[#This Row],['#_of water points in THF]]*500&gt;WWWW[[#This Row],[Total PoP ]],WWWW[[#This Row],[Total PoP ]],WWWW[[#This Row],['#_of water points in THF]]*500)</f>
        <v>0</v>
      </c>
      <c r="CO399" s="417"/>
      <c r="CP399"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399"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399" s="416">
        <f>IF(WWWW[[#This Row],[Location Type 1]]="Village",WWWW[[#This Row],[Access to safe drinking water for Village]],WWWW[[#This Row],[Access to safe drinking water for Camp]])</f>
        <v>1</v>
      </c>
      <c r="CS399" s="421">
        <f>WWWW[[#This Row],[%Equitable and continuous access to sufficient quantity of safe drinking water]]*WWWW[[#This Row],[Total PoP ]]</f>
        <v>37</v>
      </c>
      <c r="CT399" s="416">
        <f>IF((WWWW[[#This Row],['#_Constructed/Existing protected/fenced ponds]]*250)/WWWW[[#This Row],[Total PoP ]]&gt;1,1,(WWWW[[#This Row],['#_Constructed/Existing protected/fenced ponds]]*250)/WWWW[[#This Row],[Total PoP ]])</f>
        <v>0</v>
      </c>
      <c r="CU399" s="421">
        <f>WWWW[[#This Row],[% Access to unimproved water points]]*WWWW[[#This Row],[Total PoP ]]</f>
        <v>0</v>
      </c>
      <c r="CV399"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399"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37</v>
      </c>
      <c r="CX399" s="421">
        <f>WWWW[[#This Row],[HRP1]]/500</f>
        <v>7.3999999999999996E-2</v>
      </c>
      <c r="CY399" s="951">
        <f>1-WWWW[[#This Row],[% Equitable and continuous access to sufficient quantity of domestic water]]</f>
        <v>0</v>
      </c>
      <c r="CZ399" s="421">
        <f>WWWW[[#This Row],[%equitable and continuous access to sufficient quantity of safe drinking and domestic water''s GAP]]*WWWW[[#This Row],[Total PoP ]]</f>
        <v>0</v>
      </c>
      <c r="DA399" s="417">
        <f>IF(WWWW[[#This Row],[Total required water points]]-WWWW[[#This Row],['#Water points coverage]]&lt;0,0,WWWW[[#This Row],[Total required water points]]-WWWW[[#This Row],['#Water points coverage]])</f>
        <v>0.92600000000000005</v>
      </c>
      <c r="DB399" s="417">
        <f>ROUND(IF(WWWW[[#This Row],[Total PoP ]]&lt;500,1,WWWW[[#This Row],[Total PoP ]]/500),0)</f>
        <v>1</v>
      </c>
      <c r="DC399" s="417">
        <f>(WWWW[[#This Row],['#_Constructed latrines_by_WASHAgencies]]+WWWW[[#This Row],['#_Non Cluster partner latrines]])-WWWW[[#This Row],['#_Non-functional latrines]]</f>
        <v>0</v>
      </c>
      <c r="DD399" s="615">
        <f>WWWW[[#This Row],[HRP2]]/WWWW[[#This Row],[Total PoP ]]</f>
        <v>0</v>
      </c>
      <c r="DE399"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399"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399"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399" s="417">
        <f>IF(WWWW[[#This Row],['# of functional latrines in THF supported by WASH partners during the reporting period2]]="",0,WWWW[[#This Row],['# of functional latrines in THF supported by WASH partners during the reporting period2]]*50)</f>
        <v>0</v>
      </c>
      <c r="DI399" s="417">
        <f>ROUND(IF(WWWW[[#This Row],[Location Type 1]]="camp",WWWW[[#This Row],[Total PoP ]]/20,IF(WWWW[[#This Row],[Location Type 1]]="Temporary Location",WWWW[[#This Row],[Total PoP ]]/50,(WWWW[[#This Row],[Total PoP ]]/6))),0)</f>
        <v>2</v>
      </c>
      <c r="DJ399" s="417">
        <f>IF(WWWW[[#This Row],[Total required Latrines]]-(WWWW[[#This Row],['#_Constructed latrines_by_WASHAgencies]]+WWWW[[#This Row],['#_Non Cluster partner latrines]])&lt;0,0,WWWW[[#This Row],[Total required Latrines]]-(WWWW[[#This Row],['#_Constructed latrines_by_WASHAgencies]]+WWWW[[#This Row],['#_Non Cluster partner latrines]]))</f>
        <v>2</v>
      </c>
      <c r="DK399" s="951">
        <f>1-WWWW[[#This Row],[% people access to functioning Latrine]]</f>
        <v>1</v>
      </c>
      <c r="DL399" s="615">
        <f>IF(OR(WWWW[[#This Row],['#_Non-functional latrines]]="",WWWW[[#This Row],['#_Non-functional latrines]]=0),0,WWWW[[#This Row],['#_Non-functional latrines]]/(WWWW[[#This Row],['#_Constructed latrines_by_WASHAgencies]]+WWWW[[#This Row],['#_Non Cluster partner latrines]]))</f>
        <v>0</v>
      </c>
      <c r="DM399" s="421">
        <f>IF(500*(WWWW[[#This Row],['#_male hygiene promoters]]+WWWW[[#This Row],['#_female hygiene promoters]])&gt;WWWW[[#This Row],[Total PoP ]],WWWW[[#This Row],[Total PoP ]],500*(WWWW[[#This Row],['#_male hygiene promoters]]+WWWW[[#This Row],['#_female hygiene promoters]]))</f>
        <v>0</v>
      </c>
      <c r="DN399"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399"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399" s="417">
        <f>IF(WWWW[[#This Row],['# People with access to soap]]&gt;WWWW[[#This Row],['# People with access to Sanity Pads]],WWWW[[#This Row],['# People with access to soap]],WWWW[[#This Row],['# People with access to Sanity Pads]])</f>
        <v>0</v>
      </c>
      <c r="DQ399"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399" s="951">
        <f>IF(WWWW[[#This Row],[HRP3]]/WWWW[[#This Row],[Total PoP ]]&gt;1,1,WWWW[[#This Row],[HRP3]]/WWWW[[#This Row],[Total PoP ]])</f>
        <v>0</v>
      </c>
      <c r="DS399" s="615">
        <f>1-WWWW[[#This Row],[Hygiene Coverage%]]</f>
        <v>1</v>
      </c>
      <c r="DT399" s="416">
        <f>WWWW[[#This Row],['# people reached by regular dedicated hygiene promotion_5]]/WWWW[[#This Row],[Total PoP ]]</f>
        <v>0</v>
      </c>
      <c r="DU399"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399"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399" s="417">
        <f>WWWW[[#This Row],['#_Constructed/Existing hand washing stations]]-WWWW[[#This Row],['#_Non-Functional_hand_washing_stations]]</f>
        <v>0</v>
      </c>
      <c r="DX399" s="421">
        <f>IF(WWWW[[#This Row],['# Functional hand washing stations during reporting period]]*20&gt;WWWW[[#This Row],[Total HH]],WWWW[[#This Row],[Total HH]],WWWW[[#This Row],['# Functional hand washing stations during reporting period]]*20)</f>
        <v>0</v>
      </c>
      <c r="DY399" s="421">
        <f>IF(WWWW[[#This Row],[Is sufficient soap available for TLS? (Yes/No)]]="yes",WWWW[[#This Row],['#_Constructed/Existing hand washing stations at TLS/CFS/THF]],0)</f>
        <v>0</v>
      </c>
      <c r="DZ399" s="421">
        <f>IF(WWWW[[#This Row],['# Functional hand washing stations during reporting period]]*100&gt;WWWW[[#This Row],[Total PoP ]],WWWW[[#This Row],[Total PoP ]],WWWW[[#This Row],['# Functional hand washing stations during reporting period]]*100)</f>
        <v>0</v>
      </c>
      <c r="EA399" s="421" t="str">
        <f>IF(OR(WWWW[[#This Row],['#_students at TLS_CFS]]="",WWWW[[#This Row],['#_students at TLS_CFS]]=0),"No","Yes")</f>
        <v>No</v>
      </c>
      <c r="EB399"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399" s="566">
        <f>WWWW[[#This Row],[%_of_affected_people_surveyed_who_report_feeling_satistfied_with_the_latrine_design_and_sanitation_service]]*WWWW[[#This Row],[Total PoP ]]</f>
        <v>0</v>
      </c>
      <c r="ED399" s="566">
        <f>WWWW[[#This Row],[%_of_affected_people_surveyed_who_report_feeling_satistfied_with_the_water_point_design_and_water_service]]*WWWW[[#This Row],[Total PoP ]]</f>
        <v>0</v>
      </c>
      <c r="EE399" s="566">
        <f>WWWW[[#This Row],[%_of_complaints_received_that_result_in_timely_corrective_action_and_feedback_to_the_community]]*WWWW[[#This Row],[Total PoP ]]</f>
        <v>0</v>
      </c>
      <c r="EF399"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399"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399"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399" s="418">
        <f>VLOOKUP(WWWW[[#This Row],[Site Name]],SiteDB6[[Site Name]:[CCCM Management]],6,FALSE)</f>
        <v>0</v>
      </c>
      <c r="EJ399" s="418" t="str">
        <f>VLOOKUP(WWWW[[#This Row],[Site Name]],SiteDB6[[Site Name]:[CCCM Focal Agency]],7,FALSE)</f>
        <v>Uncovered</v>
      </c>
      <c r="EK399" s="418" t="str">
        <f>VLOOKUP(WWWW[[#This Row],[Site Name]],SiteDB6[[Site Name]:[Location Type 1]],9,FALSE)</f>
        <v>Camp</v>
      </c>
      <c r="EL399" s="418" t="str">
        <f>VLOOKUP(WWWW[[#This Row],[Site Name]],SiteDB6[[Site Name]:[Type of Accommodation]],10,FALSE)</f>
        <v>Closed Camp</v>
      </c>
      <c r="EM399" s="418" t="str">
        <f>VLOOKUP(WWWW[[#This Row],[Site Name]],SiteDB6[[Site Name]:[Ethnic or GCA/NGCA]],11,FALSE)</f>
        <v>GCA</v>
      </c>
      <c r="EN399" s="418">
        <f>VLOOKUP(WWWW[[#This Row],[Site Name]],SiteDB6[[Site Name]:[Lat]],12,FALSE)</f>
        <v>0</v>
      </c>
      <c r="EO399" s="418" t="str">
        <f>VLOOKUP(WWWW[[#This Row],[Site Name]],SiteDB6[[Site Name]:[Long]],13,FALSE)</f>
        <v>not available</v>
      </c>
      <c r="EP399" s="418" t="str">
        <f>VLOOKUP(WWWW[[#This Row],[Site Name]],SiteDB6[[Site Name]:[Pcode]],3,FALSE)</f>
        <v>MMR015CMP089</v>
      </c>
      <c r="EQ399" s="950" t="str">
        <f t="shared" si="9"/>
        <v>Covered</v>
      </c>
      <c r="ER399" s="950" t="s">
        <v>3126</v>
      </c>
      <c r="ES399" s="950"/>
      <c r="ET399" s="418">
        <f>VLOOKUP(WWWW[[#This Row],[Site Name]],SiteDB6[[Site Name]:[Pop
(Kachin/Shan-CCCM as of May 2023)]],16,FALSE)</f>
        <v>11</v>
      </c>
      <c r="EU399" s="418">
        <f>VLOOKUP(WWWW[[#This Row],[Site Name]],SiteDB6[[Site Name]:[Pop
(Kachin/Shan-CCCM as of May 2023)]],17,FALSE)</f>
        <v>32</v>
      </c>
    </row>
    <row r="400" spans="1:151">
      <c r="A400" s="946" t="s">
        <v>2962</v>
      </c>
      <c r="B400" s="946" t="s">
        <v>311</v>
      </c>
      <c r="C400" s="938" t="s">
        <v>2672</v>
      </c>
      <c r="D400" s="938" t="s">
        <v>3099</v>
      </c>
      <c r="E400" s="938" t="s">
        <v>515</v>
      </c>
      <c r="F400" s="938" t="s">
        <v>525</v>
      </c>
      <c r="G400" s="902" t="str">
        <f>VLOOKUP(WWWW[[#This Row],[Site Name]],SiteDB6[[Site Name]:[Location Type]],8,FALSE)</f>
        <v>Camp</v>
      </c>
      <c r="H400" s="938" t="s">
        <v>555</v>
      </c>
      <c r="I400" s="441">
        <v>270</v>
      </c>
      <c r="J400" s="441">
        <v>1414</v>
      </c>
      <c r="K400" s="948">
        <v>44774</v>
      </c>
      <c r="L400" s="949">
        <v>45046</v>
      </c>
      <c r="M400" s="441"/>
      <c r="N400" s="441"/>
      <c r="O400" s="441"/>
      <c r="P400" s="441"/>
      <c r="Q400" s="421"/>
      <c r="R400" s="441"/>
      <c r="S400" s="441"/>
      <c r="T400" s="441"/>
      <c r="U400" s="441"/>
      <c r="V400" s="441"/>
      <c r="W400" s="441"/>
      <c r="X400" s="441"/>
      <c r="Y400" s="441"/>
      <c r="Z400" s="441"/>
      <c r="AA400" s="441">
        <v>18</v>
      </c>
      <c r="AB400" s="441"/>
      <c r="AC400" s="441"/>
      <c r="AD400" s="441"/>
      <c r="AE400" s="441"/>
      <c r="AF400" s="441"/>
      <c r="AG400" s="441"/>
      <c r="AH400" s="441"/>
      <c r="AI400" s="441"/>
      <c r="AJ400" s="441"/>
      <c r="AK400" s="441"/>
      <c r="AL400" s="441"/>
      <c r="AM400" s="441"/>
      <c r="AN400" s="441"/>
      <c r="AO400" s="441"/>
      <c r="AP400" s="950"/>
      <c r="AQ400" s="441"/>
      <c r="AR400" s="441"/>
      <c r="AS400" s="416"/>
      <c r="AT400" s="441"/>
      <c r="AU400" s="441"/>
      <c r="AV400" s="441"/>
      <c r="AW400" s="441"/>
      <c r="AX400" s="441"/>
      <c r="AY400" s="418" t="s">
        <v>136</v>
      </c>
      <c r="AZ400" s="950" t="s">
        <v>136</v>
      </c>
      <c r="BA400" s="441"/>
      <c r="BB400" s="441"/>
      <c r="BC400" s="441"/>
      <c r="BD400" s="441"/>
      <c r="BE400" s="441"/>
      <c r="BF400" s="418"/>
      <c r="BG400" s="441"/>
      <c r="BH400" s="441"/>
      <c r="BI400" s="441"/>
      <c r="BJ400" s="441"/>
      <c r="BK400" s="441"/>
      <c r="BL400" s="441"/>
      <c r="BM400" s="441"/>
      <c r="BN400" s="441"/>
      <c r="BO400" s="441"/>
      <c r="BP400" s="418"/>
      <c r="BQ400" s="417"/>
      <c r="BR400" s="416"/>
      <c r="BS400" s="418"/>
      <c r="BT400" s="416"/>
      <c r="BU400" s="416"/>
      <c r="BV400" s="418"/>
      <c r="BW400" s="416"/>
      <c r="BX400" s="441"/>
      <c r="BY400" s="441"/>
      <c r="BZ400" s="441"/>
      <c r="CA400" s="441"/>
      <c r="CB400" s="441"/>
      <c r="CC400" s="693"/>
      <c r="CD400" s="441"/>
      <c r="CE400" s="615" t="str">
        <f>IFERROR(WWWW[[#This Row],['#_Water sources passed]]/WWWW[[#This Row],['#_Water sources tested for fecal coliform ]],"no test")</f>
        <v>no test</v>
      </c>
      <c r="CF400" s="416" t="str">
        <f>IFERROR(WWWW[[#This Row],['#_Household passed]]/WWWW[[#This Row],['#_Household water samples tested for fecal coliform]],"no test")</f>
        <v>no test</v>
      </c>
      <c r="CG400" s="417" t="str">
        <f>IF(AND(WWWW[[#This Row],[% of water sources passed]]="no test",WWWW[[#This Row],[% Household passed]]="no test"),"No Test","Tested")</f>
        <v>No Test</v>
      </c>
      <c r="CH400" s="417">
        <f>WWWW[[#This Row],['#_Constructed/existing protected hand dug well]]-WWWW[[#This Row],['#_Non-functional protected hand dug well]]</f>
        <v>0</v>
      </c>
      <c r="CI400" s="417">
        <f>(WWWW[[#This Row],['#_Constructed/Existing tube wells/boreholes/handpumps_WASH_agency]]+WWWW[[#This Row],['#_Non-Cluster partner water tube-wells/boreholes/handpumps]])-WWWW[[#This Row],['#_Non-functional tube wells/boreholes/handpumps]]</f>
        <v>0</v>
      </c>
      <c r="CJ400" s="417">
        <f>WWWW[[#This Row],['#_Constructed/Existingwater storage tank with gravity fed reticulation system]]-WWWW[[#This Row],['#_Non-functional storage tank gravity fed reticulation system]]</f>
        <v>18</v>
      </c>
      <c r="CK400" s="417">
        <f>(WWWW[[#This Row],['#_Water_Liters_supplied_by_Water boating or water trucking]]/90)/15</f>
        <v>0</v>
      </c>
      <c r="CL400" s="417">
        <f>WWWW[[#This Row],['#_Water_Liters_from_Constructed/Existing water distribution system from river or natural spring]]/90/15</f>
        <v>0</v>
      </c>
      <c r="CM400" s="417">
        <f>IF(WWWW[[#This Row],['#_of water points in TLS/CFS]]*500&gt;WWWW[[#This Row],[Total PoP ]],WWWW[[#This Row],[Total PoP ]],WWWW[[#This Row],['#_of water points in TLS/CFS]]*500)</f>
        <v>0</v>
      </c>
      <c r="CN400" s="417">
        <f>IF(WWWW[[#This Row],['#_of water points in THF]]*500&gt;WWWW[[#This Row],[Total PoP ]],WWWW[[#This Row],[Total PoP ]],WWWW[[#This Row],['#_of water points in THF]]*500)</f>
        <v>0</v>
      </c>
      <c r="CO400" s="417"/>
      <c r="CP400"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0.84865629420084865</v>
      </c>
      <c r="CQ400"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0.84865629420084865</v>
      </c>
      <c r="CR400" s="416">
        <f>IF(WWWW[[#This Row],[Location Type 1]]="Village",WWWW[[#This Row],[Access to safe drinking water for Village]],WWWW[[#This Row],[Access to safe drinking water for Camp]])</f>
        <v>0.84865629420084865</v>
      </c>
      <c r="CS400" s="421">
        <f>WWWW[[#This Row],[%Equitable and continuous access to sufficient quantity of safe drinking water]]*WWWW[[#This Row],[Total PoP ]]</f>
        <v>1200</v>
      </c>
      <c r="CT400" s="416">
        <f>IF((WWWW[[#This Row],['#_Constructed/Existing protected/fenced ponds]]*250)/WWWW[[#This Row],[Total PoP ]]&gt;1,1,(WWWW[[#This Row],['#_Constructed/Existing protected/fenced ponds]]*250)/WWWW[[#This Row],[Total PoP ]])</f>
        <v>0</v>
      </c>
      <c r="CU400" s="421">
        <f>WWWW[[#This Row],[% Access to unimproved water points]]*WWWW[[#This Row],[Total PoP ]]</f>
        <v>0</v>
      </c>
      <c r="CV400"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0.84865629420084865</v>
      </c>
      <c r="CW400"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1200</v>
      </c>
      <c r="CX400" s="421">
        <f>WWWW[[#This Row],[HRP1]]/500</f>
        <v>2.4</v>
      </c>
      <c r="CY400" s="951">
        <f>1-WWWW[[#This Row],[% Equitable and continuous access to sufficient quantity of domestic water]]</f>
        <v>0.15134370579915135</v>
      </c>
      <c r="CZ400" s="421">
        <f>WWWW[[#This Row],[%equitable and continuous access to sufficient quantity of safe drinking and domestic water''s GAP]]*WWWW[[#This Row],[Total PoP ]]</f>
        <v>214</v>
      </c>
      <c r="DA400" s="417">
        <f>IF(WWWW[[#This Row],[Total required water points]]-WWWW[[#This Row],['#Water points coverage]]&lt;0,0,WWWW[[#This Row],[Total required water points]]-WWWW[[#This Row],['#Water points coverage]])</f>
        <v>0.60000000000000009</v>
      </c>
      <c r="DB400" s="417">
        <f>ROUND(IF(WWWW[[#This Row],[Total PoP ]]&lt;500,1,WWWW[[#This Row],[Total PoP ]]/500),0)</f>
        <v>3</v>
      </c>
      <c r="DC400" s="417">
        <f>(WWWW[[#This Row],['#_Constructed latrines_by_WASHAgencies]]+WWWW[[#This Row],['#_Non Cluster partner latrines]])-WWWW[[#This Row],['#_Non-functional latrines]]</f>
        <v>0</v>
      </c>
      <c r="DD400" s="615">
        <f>WWWW[[#This Row],[HRP2]]/WWWW[[#This Row],[Total PoP ]]</f>
        <v>0</v>
      </c>
      <c r="DE400"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400"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00"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00" s="417">
        <f>IF(WWWW[[#This Row],['# of functional latrines in THF supported by WASH partners during the reporting period2]]="",0,WWWW[[#This Row],['# of functional latrines in THF supported by WASH partners during the reporting period2]]*50)</f>
        <v>0</v>
      </c>
      <c r="DI400" s="417">
        <f>ROUND(IF(WWWW[[#This Row],[Location Type 1]]="camp",WWWW[[#This Row],[Total PoP ]]/20,IF(WWWW[[#This Row],[Location Type 1]]="Temporary Location",WWWW[[#This Row],[Total PoP ]]/50,(WWWW[[#This Row],[Total PoP ]]/6))),0)</f>
        <v>71</v>
      </c>
      <c r="DJ400" s="417">
        <f>IF(WWWW[[#This Row],[Total required Latrines]]-(WWWW[[#This Row],['#_Constructed latrines_by_WASHAgencies]]+WWWW[[#This Row],['#_Non Cluster partner latrines]])&lt;0,0,WWWW[[#This Row],[Total required Latrines]]-(WWWW[[#This Row],['#_Constructed latrines_by_WASHAgencies]]+WWWW[[#This Row],['#_Non Cluster partner latrines]]))</f>
        <v>71</v>
      </c>
      <c r="DK400" s="951">
        <f>1-WWWW[[#This Row],[% people access to functioning Latrine]]</f>
        <v>1</v>
      </c>
      <c r="DL400" s="615">
        <f>IF(OR(WWWW[[#This Row],['#_Non-functional latrines]]="",WWWW[[#This Row],['#_Non-functional latrines]]=0),0,WWWW[[#This Row],['#_Non-functional latrines]]/(WWWW[[#This Row],['#_Constructed latrines_by_WASHAgencies]]+WWWW[[#This Row],['#_Non Cluster partner latrines]]))</f>
        <v>0</v>
      </c>
      <c r="DM400" s="421">
        <f>IF(500*(WWWW[[#This Row],['#_male hygiene promoters]]+WWWW[[#This Row],['#_female hygiene promoters]])&gt;WWWW[[#This Row],[Total PoP ]],WWWW[[#This Row],[Total PoP ]],500*(WWWW[[#This Row],['#_male hygiene promoters]]+WWWW[[#This Row],['#_female hygiene promoters]]))</f>
        <v>0</v>
      </c>
      <c r="DN400"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00"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00" s="417">
        <f>IF(WWWW[[#This Row],['# People with access to soap]]&gt;WWWW[[#This Row],['# People with access to Sanity Pads]],WWWW[[#This Row],['# People with access to soap]],WWWW[[#This Row],['# People with access to Sanity Pads]])</f>
        <v>0</v>
      </c>
      <c r="DQ400"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00" s="951">
        <f>IF(WWWW[[#This Row],[HRP3]]/WWWW[[#This Row],[Total PoP ]]&gt;1,1,WWWW[[#This Row],[HRP3]]/WWWW[[#This Row],[Total PoP ]])</f>
        <v>0</v>
      </c>
      <c r="DS400" s="615">
        <f>1-WWWW[[#This Row],[Hygiene Coverage%]]</f>
        <v>1</v>
      </c>
      <c r="DT400" s="416">
        <f>WWWW[[#This Row],['# people reached by regular dedicated hygiene promotion_5]]/WWWW[[#This Row],[Total PoP ]]</f>
        <v>0</v>
      </c>
      <c r="DU400"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00"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00" s="417">
        <f>WWWW[[#This Row],['#_Constructed/Existing hand washing stations]]-WWWW[[#This Row],['#_Non-Functional_hand_washing_stations]]</f>
        <v>0</v>
      </c>
      <c r="DX400" s="421">
        <f>IF(WWWW[[#This Row],['# Functional hand washing stations during reporting period]]*20&gt;WWWW[[#This Row],[Total HH]],WWWW[[#This Row],[Total HH]],WWWW[[#This Row],['# Functional hand washing stations during reporting period]]*20)</f>
        <v>0</v>
      </c>
      <c r="DY400" s="421">
        <f>IF(WWWW[[#This Row],[Is sufficient soap available for TLS? (Yes/No)]]="yes",WWWW[[#This Row],['#_Constructed/Existing hand washing stations at TLS/CFS/THF]],0)</f>
        <v>0</v>
      </c>
      <c r="DZ400" s="421">
        <f>IF(WWWW[[#This Row],['# Functional hand washing stations during reporting period]]*100&gt;WWWW[[#This Row],[Total PoP ]],WWWW[[#This Row],[Total PoP ]],WWWW[[#This Row],['# Functional hand washing stations during reporting period]]*100)</f>
        <v>0</v>
      </c>
      <c r="EA400" s="421" t="str">
        <f>IF(OR(WWWW[[#This Row],['#_students at TLS_CFS]]="",WWWW[[#This Row],['#_students at TLS_CFS]]=0),"No","Yes")</f>
        <v>No</v>
      </c>
      <c r="EB400"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00" s="566">
        <f>WWWW[[#This Row],[%_of_affected_people_surveyed_who_report_feeling_satistfied_with_the_latrine_design_and_sanitation_service]]*WWWW[[#This Row],[Total PoP ]]</f>
        <v>0</v>
      </c>
      <c r="ED400" s="566">
        <f>WWWW[[#This Row],[%_of_affected_people_surveyed_who_report_feeling_satistfied_with_the_water_point_design_and_water_service]]*WWWW[[#This Row],[Total PoP ]]</f>
        <v>0</v>
      </c>
      <c r="EE400" s="566">
        <f>WWWW[[#This Row],[%_of_complaints_received_that_result_in_timely_corrective_action_and_feedback_to_the_community]]*WWWW[[#This Row],[Total PoP ]]</f>
        <v>0</v>
      </c>
      <c r="EF400"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00"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00"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00" s="418" t="str">
        <f>VLOOKUP(WWWW[[#This Row],[Site Name]],SiteDB6[[Site Name]:[CCCM Management]],6,FALSE)</f>
        <v>Yes</v>
      </c>
      <c r="EJ400" s="418" t="str">
        <f>VLOOKUP(WWWW[[#This Row],[Site Name]],SiteDB6[[Site Name]:[CCCM Focal Agency]],7,FALSE)</f>
        <v>KBC-NSS</v>
      </c>
      <c r="EK400" s="418" t="str">
        <f>VLOOKUP(WWWW[[#This Row],[Site Name]],SiteDB6[[Site Name]:[Location Type 1]],9,FALSE)</f>
        <v>Camp</v>
      </c>
      <c r="EL400" s="418" t="str">
        <f>VLOOKUP(WWWW[[#This Row],[Site Name]],SiteDB6[[Site Name]:[Type of Accommodation]],10,FALSE)</f>
        <v>Camp Like setting</v>
      </c>
      <c r="EM400" s="418" t="str">
        <f>VLOOKUP(WWWW[[#This Row],[Site Name]],SiteDB6[[Site Name]:[Ethnic or GCA/NGCA]],11,FALSE)</f>
        <v>GCA</v>
      </c>
      <c r="EN400" s="418">
        <f>VLOOKUP(WWWW[[#This Row],[Site Name]],SiteDB6[[Site Name]:[Lat]],12,FALSE)</f>
        <v>24.08738</v>
      </c>
      <c r="EO400" s="418">
        <f>VLOOKUP(WWWW[[#This Row],[Site Name]],SiteDB6[[Site Name]:[Long]],13,FALSE)</f>
        <v>98.115809999999996</v>
      </c>
      <c r="EP400" s="418" t="str">
        <f>VLOOKUP(WWWW[[#This Row],[Site Name]],SiteDB6[[Site Name]:[Pcode]],3,FALSE)</f>
        <v>MMR015CMP065</v>
      </c>
      <c r="EQ400" s="950" t="str">
        <f t="shared" si="9"/>
        <v>Covered</v>
      </c>
      <c r="ER400" s="950" t="s">
        <v>3126</v>
      </c>
      <c r="ES400" s="950"/>
      <c r="ET400" s="418">
        <f>VLOOKUP(WWWW[[#This Row],[Site Name]],SiteDB6[[Site Name]:[Pop
(Kachin/Shan-CCCM as of May 2023)]],16,FALSE)</f>
        <v>307</v>
      </c>
      <c r="EU400" s="418">
        <f>VLOOKUP(WWWW[[#This Row],[Site Name]],SiteDB6[[Site Name]:[Pop
(Kachin/Shan-CCCM as of May 2023)]],17,FALSE)</f>
        <v>1581</v>
      </c>
    </row>
    <row r="401" spans="1:151">
      <c r="A401" s="946" t="s">
        <v>2962</v>
      </c>
      <c r="B401" s="1004" t="s">
        <v>309</v>
      </c>
      <c r="C401" s="1004" t="s">
        <v>3315</v>
      </c>
      <c r="D401" s="1005" t="s">
        <v>299</v>
      </c>
      <c r="E401" s="1005" t="s">
        <v>515</v>
      </c>
      <c r="F401" s="1005" t="s">
        <v>525</v>
      </c>
      <c r="G401" s="902" t="str">
        <f>VLOOKUP(WWWW[[#This Row],[Site Name]],SiteDB6[[Site Name]:[Location Type]],8,FALSE)</f>
        <v>Camp</v>
      </c>
      <c r="H401" s="953" t="s">
        <v>3240</v>
      </c>
      <c r="I401" s="954">
        <v>85</v>
      </c>
      <c r="J401" s="954">
        <v>362</v>
      </c>
      <c r="K401" s="955">
        <v>44511</v>
      </c>
      <c r="L401" s="956">
        <v>45146</v>
      </c>
      <c r="M401" s="954"/>
      <c r="N401" s="954"/>
      <c r="O401" s="954"/>
      <c r="P401" s="954"/>
      <c r="Q401" s="957"/>
      <c r="R401" s="954"/>
      <c r="S401" s="954"/>
      <c r="T401" s="441"/>
      <c r="U401" s="954"/>
      <c r="V401" s="954"/>
      <c r="W401" s="954"/>
      <c r="X401" s="954"/>
      <c r="Y401" s="954"/>
      <c r="Z401" s="954"/>
      <c r="AA401" s="954"/>
      <c r="AB401" s="954"/>
      <c r="AC401" s="954"/>
      <c r="AD401" s="954"/>
      <c r="AE401" s="954"/>
      <c r="AF401" s="954"/>
      <c r="AG401" s="954"/>
      <c r="AH401" s="954"/>
      <c r="AI401" s="954"/>
      <c r="AJ401" s="954"/>
      <c r="AK401" s="954"/>
      <c r="AL401" s="954"/>
      <c r="AM401" s="954"/>
      <c r="AN401" s="954"/>
      <c r="AO401" s="441"/>
      <c r="AP401" s="958"/>
      <c r="AQ401" s="954"/>
      <c r="AR401" s="954"/>
      <c r="AS401" s="959"/>
      <c r="AT401" s="954"/>
      <c r="AU401" s="954"/>
      <c r="AV401" s="954"/>
      <c r="AW401" s="954"/>
      <c r="AX401" s="954"/>
      <c r="AY401" s="418" t="s">
        <v>140</v>
      </c>
      <c r="AZ401" s="958"/>
      <c r="BA401" s="954"/>
      <c r="BB401" s="954"/>
      <c r="BC401" s="954"/>
      <c r="BD401" s="441"/>
      <c r="BE401" s="441"/>
      <c r="BF401" s="953"/>
      <c r="BG401" s="954"/>
      <c r="BH401" s="954"/>
      <c r="BI401" s="954"/>
      <c r="BJ401" s="954"/>
      <c r="BK401" s="954"/>
      <c r="BL401" s="954"/>
      <c r="BM401" s="954"/>
      <c r="BN401" s="954"/>
      <c r="BO401" s="954"/>
      <c r="BP401" s="953"/>
      <c r="BQ401" s="960"/>
      <c r="BR401" s="959"/>
      <c r="BS401" s="953"/>
      <c r="BT401" s="416"/>
      <c r="BU401" s="416"/>
      <c r="BV401" s="418"/>
      <c r="BW401" s="416"/>
      <c r="BX401" s="441"/>
      <c r="BY401" s="441"/>
      <c r="BZ401" s="441"/>
      <c r="CA401" s="441"/>
      <c r="CB401" s="441"/>
      <c r="CC401" s="693"/>
      <c r="CD401" s="441"/>
      <c r="CE401" s="961" t="str">
        <f>IFERROR(WWWW[[#This Row],['#_Water sources passed]]/WWWW[[#This Row],['#_Water sources tested for fecal coliform ]],"no test")</f>
        <v>no test</v>
      </c>
      <c r="CF401" s="959" t="str">
        <f>IFERROR(WWWW[[#This Row],['#_Household passed]]/WWWW[[#This Row],['#_Household water samples tested for fecal coliform]],"no test")</f>
        <v>no test</v>
      </c>
      <c r="CG401" s="960" t="str">
        <f>IF(AND(WWWW[[#This Row],[% of water sources passed]]="no test",WWWW[[#This Row],[% Household passed]]="no test"),"No Test","Tested")</f>
        <v>No Test</v>
      </c>
      <c r="CH401" s="960">
        <f>WWWW[[#This Row],['#_Constructed/existing protected hand dug well]]-WWWW[[#This Row],['#_Non-functional protected hand dug well]]</f>
        <v>0</v>
      </c>
      <c r="CI401" s="960">
        <f>(WWWW[[#This Row],['#_Constructed/Existing tube wells/boreholes/handpumps_WASH_agency]]+WWWW[[#This Row],['#_Non-Cluster partner water tube-wells/boreholes/handpumps]])-WWWW[[#This Row],['#_Non-functional tube wells/boreholes/handpumps]]</f>
        <v>0</v>
      </c>
      <c r="CJ401" s="960">
        <f>WWWW[[#This Row],['#_Constructed/Existingwater storage tank with gravity fed reticulation system]]-WWWW[[#This Row],['#_Non-functional storage tank gravity fed reticulation system]]</f>
        <v>0</v>
      </c>
      <c r="CK401" s="960">
        <f>(WWWW[[#This Row],['#_Water_Liters_supplied_by_Water boating or water trucking]]/90)/15</f>
        <v>0</v>
      </c>
      <c r="CL401" s="960">
        <f>WWWW[[#This Row],['#_Water_Liters_from_Constructed/Existing water distribution system from river or natural spring]]/90/15</f>
        <v>0</v>
      </c>
      <c r="CM401" s="417">
        <f>IF(WWWW[[#This Row],['#_of water points in TLS/CFS]]*500&gt;WWWW[[#This Row],[Total PoP ]],WWWW[[#This Row],[Total PoP ]],WWWW[[#This Row],['#_of water points in TLS/CFS]]*500)</f>
        <v>0</v>
      </c>
      <c r="CN401" s="417">
        <f>IF(WWWW[[#This Row],['#_of water points in THF]]*500&gt;WWWW[[#This Row],[Total PoP ]],WWWW[[#This Row],[Total PoP ]],WWWW[[#This Row],['#_of water points in THF]]*500)</f>
        <v>0</v>
      </c>
      <c r="CO401" s="417"/>
      <c r="CP401"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401"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401" s="959">
        <f>IF(WWWW[[#This Row],[Location Type 1]]="Village",WWWW[[#This Row],[Access to safe drinking water for Village]],WWWW[[#This Row],[Access to safe drinking water for Camp]])</f>
        <v>0</v>
      </c>
      <c r="CS401" s="957">
        <f>WWWW[[#This Row],[%Equitable and continuous access to sufficient quantity of safe drinking water]]*WWWW[[#This Row],[Total PoP ]]</f>
        <v>0</v>
      </c>
      <c r="CT401" s="959">
        <f>IF((WWWW[[#This Row],['#_Constructed/Existing protected/fenced ponds]]*250)/WWWW[[#This Row],[Total PoP ]]&gt;1,1,(WWWW[[#This Row],['#_Constructed/Existing protected/fenced ponds]]*250)/WWWW[[#This Row],[Total PoP ]])</f>
        <v>0</v>
      </c>
      <c r="CU401" s="957">
        <f>WWWW[[#This Row],[% Access to unimproved water points]]*WWWW[[#This Row],[Total PoP ]]</f>
        <v>0</v>
      </c>
      <c r="CV401"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401"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401" s="957">
        <f>WWWW[[#This Row],[HRP1]]/500</f>
        <v>0</v>
      </c>
      <c r="CY401" s="962">
        <f>1-WWWW[[#This Row],[% Equitable and continuous access to sufficient quantity of domestic water]]</f>
        <v>1</v>
      </c>
      <c r="CZ401" s="957">
        <f>WWWW[[#This Row],[%equitable and continuous access to sufficient quantity of safe drinking and domestic water''s GAP]]*WWWW[[#This Row],[Total PoP ]]</f>
        <v>362</v>
      </c>
      <c r="DA401" s="960">
        <f>IF(WWWW[[#This Row],[Total required water points]]-WWWW[[#This Row],['#Water points coverage]]&lt;0,0,WWWW[[#This Row],[Total required water points]]-WWWW[[#This Row],['#Water points coverage]])</f>
        <v>1</v>
      </c>
      <c r="DB401" s="960">
        <f>ROUND(IF(WWWW[[#This Row],[Total PoP ]]&lt;500,1,WWWW[[#This Row],[Total PoP ]]/500),0)</f>
        <v>1</v>
      </c>
      <c r="DC401" s="960">
        <f>(WWWW[[#This Row],['#_Constructed latrines_by_WASHAgencies]]+WWWW[[#This Row],['#_Non Cluster partner latrines]])-WWWW[[#This Row],['#_Non-functional latrines]]</f>
        <v>0</v>
      </c>
      <c r="DD401" s="615">
        <f>WWWW[[#This Row],[HRP2]]/WWWW[[#This Row],[Total PoP ]]</f>
        <v>0</v>
      </c>
      <c r="DE401"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401"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01"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01" s="417">
        <f>IF(WWWW[[#This Row],['# of functional latrines in THF supported by WASH partners during the reporting period2]]="",0,WWWW[[#This Row],['# of functional latrines in THF supported by WASH partners during the reporting period2]]*50)</f>
        <v>0</v>
      </c>
      <c r="DI401" s="960">
        <f>ROUND(IF(WWWW[[#This Row],[Location Type 1]]="camp",WWWW[[#This Row],[Total PoP ]]/20,IF(WWWW[[#This Row],[Location Type 1]]="Temporary Location",WWWW[[#This Row],[Total PoP ]]/50,(WWWW[[#This Row],[Total PoP ]]/6))),0)</f>
        <v>18</v>
      </c>
      <c r="DJ401" s="960">
        <f>IF(WWWW[[#This Row],[Total required Latrines]]-(WWWW[[#This Row],['#_Constructed latrines_by_WASHAgencies]]+WWWW[[#This Row],['#_Non Cluster partner latrines]])&lt;0,0,WWWW[[#This Row],[Total required Latrines]]-(WWWW[[#This Row],['#_Constructed latrines_by_WASHAgencies]]+WWWW[[#This Row],['#_Non Cluster partner latrines]]))</f>
        <v>18</v>
      </c>
      <c r="DK401" s="962">
        <f>1-WWWW[[#This Row],[% people access to functioning Latrine]]</f>
        <v>1</v>
      </c>
      <c r="DL401" s="961">
        <f>IF(OR(WWWW[[#This Row],['#_Non-functional latrines]]="",WWWW[[#This Row],['#_Non-functional latrines]]=0),0,WWWW[[#This Row],['#_Non-functional latrines]]/(WWWW[[#This Row],['#_Constructed latrines_by_WASHAgencies]]+WWWW[[#This Row],['#_Non Cluster partner latrines]]))</f>
        <v>0</v>
      </c>
      <c r="DM401" s="957">
        <f>IF(500*(WWWW[[#This Row],['#_male hygiene promoters]]+WWWW[[#This Row],['#_female hygiene promoters]])&gt;WWWW[[#This Row],[Total PoP ]],WWWW[[#This Row],[Total PoP ]],500*(WWWW[[#This Row],['#_male hygiene promoters]]+WWWW[[#This Row],['#_female hygiene promoters]]))</f>
        <v>0</v>
      </c>
      <c r="DN401"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01"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01" s="960">
        <f>IF(WWWW[[#This Row],['# People with access to soap]]&gt;WWWW[[#This Row],['# People with access to Sanity Pads]],WWWW[[#This Row],['# People with access to soap]],WWWW[[#This Row],['# People with access to Sanity Pads]])</f>
        <v>0</v>
      </c>
      <c r="DQ401" s="960">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01" s="962">
        <f>IF(WWWW[[#This Row],[HRP3]]/WWWW[[#This Row],[Total PoP ]]&gt;1,1,WWWW[[#This Row],[HRP3]]/WWWW[[#This Row],[Total PoP ]])</f>
        <v>0</v>
      </c>
      <c r="DS401" s="961">
        <f>1-WWWW[[#This Row],[Hygiene Coverage%]]</f>
        <v>1</v>
      </c>
      <c r="DT401" s="959">
        <f>WWWW[[#This Row],['# people reached by regular dedicated hygiene promotion_5]]/WWWW[[#This Row],[Total PoP ]]</f>
        <v>0</v>
      </c>
      <c r="DU401"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01"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01" s="960">
        <f>WWWW[[#This Row],['#_Constructed/Existing hand washing stations]]-WWWW[[#This Row],['#_Non-Functional_hand_washing_stations]]</f>
        <v>0</v>
      </c>
      <c r="DX401" s="957">
        <f>IF(WWWW[[#This Row],['# Functional hand washing stations during reporting period]]*20&gt;WWWW[[#This Row],[Total HH]],WWWW[[#This Row],[Total HH]],WWWW[[#This Row],['# Functional hand washing stations during reporting period]]*20)</f>
        <v>0</v>
      </c>
      <c r="DY401" s="957">
        <f>IF(WWWW[[#This Row],[Is sufficient soap available for TLS? (Yes/No)]]="yes",WWWW[[#This Row],['#_Constructed/Existing hand washing stations at TLS/CFS/THF]],0)</f>
        <v>0</v>
      </c>
      <c r="DZ401" s="421">
        <f>IF(WWWW[[#This Row],['# Functional hand washing stations during reporting period]]*100&gt;WWWW[[#This Row],[Total PoP ]],WWWW[[#This Row],[Total PoP ]],WWWW[[#This Row],['# Functional hand washing stations during reporting period]]*100)</f>
        <v>0</v>
      </c>
      <c r="EA401" s="421" t="str">
        <f>IF(OR(WWWW[[#This Row],['#_students at TLS_CFS]]="",WWWW[[#This Row],['#_students at TLS_CFS]]=0),"No","Yes")</f>
        <v>No</v>
      </c>
      <c r="EB401"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01" s="566">
        <f>WWWW[[#This Row],[%_of_affected_people_surveyed_who_report_feeling_satistfied_with_the_latrine_design_and_sanitation_service]]*WWWW[[#This Row],[Total PoP ]]</f>
        <v>0</v>
      </c>
      <c r="ED401" s="566">
        <f>WWWW[[#This Row],[%_of_affected_people_surveyed_who_report_feeling_satistfied_with_the_water_point_design_and_water_service]]*WWWW[[#This Row],[Total PoP ]]</f>
        <v>0</v>
      </c>
      <c r="EE401" s="566">
        <f>WWWW[[#This Row],[%_of_complaints_received_that_result_in_timely_corrective_action_and_feedback_to_the_community]]*WWWW[[#This Row],[Total PoP ]]</f>
        <v>0</v>
      </c>
      <c r="EF401"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01"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01"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01" s="953">
        <f>VLOOKUP(WWWW[[#This Row],[Site Name]],SiteDB6[[Site Name]:[CCCM Management]],6,FALSE)</f>
        <v>0</v>
      </c>
      <c r="EJ401" s="953">
        <f>VLOOKUP(WWWW[[#This Row],[Site Name]],SiteDB6[[Site Name]:[CCCM Focal Agency]],7,FALSE)</f>
        <v>0</v>
      </c>
      <c r="EK401" s="953" t="str">
        <f>VLOOKUP(WWWW[[#This Row],[Site Name]],SiteDB6[[Site Name]:[Location Type 1]],9,FALSE)</f>
        <v>Camp</v>
      </c>
      <c r="EL401" s="953" t="str">
        <f>VLOOKUP(WWWW[[#This Row],[Site Name]],SiteDB6[[Site Name]:[Type of Accommodation]],10,FALSE)</f>
        <v>IDPs in host</v>
      </c>
      <c r="EM401" s="953" t="str">
        <f>VLOOKUP(WWWW[[#This Row],[Site Name]],SiteDB6[[Site Name]:[Ethnic or GCA/NGCA]],11,FALSE)</f>
        <v>GCA</v>
      </c>
      <c r="EN401" s="953">
        <f>VLOOKUP(WWWW[[#This Row],[Site Name]],SiteDB6[[Site Name]:[Lat]],12,FALSE)</f>
        <v>0</v>
      </c>
      <c r="EO401" s="953">
        <f>VLOOKUP(WWWW[[#This Row],[Site Name]],SiteDB6[[Site Name]:[Long]],13,FALSE)</f>
        <v>0</v>
      </c>
      <c r="EP401" s="953" t="str">
        <f>VLOOKUP(WWWW[[#This Row],[Site Name]],SiteDB6[[Site Name]:[Pcode]],3,FALSE)</f>
        <v>MMR015CMP101</v>
      </c>
      <c r="EQ401" s="958" t="str">
        <f t="shared" si="9"/>
        <v>Covered</v>
      </c>
      <c r="ER401" s="950" t="s">
        <v>3126</v>
      </c>
      <c r="ES401" s="950" t="s">
        <v>3314</v>
      </c>
      <c r="ET401" s="953">
        <f>VLOOKUP(WWWW[[#This Row],[Site Name]],SiteDB6[[Site Name]:[Pop
(Kachin/Shan-CCCM as of May 2023)]],16,FALSE)</f>
        <v>85</v>
      </c>
      <c r="EU401" s="953">
        <f>VLOOKUP(WWWW[[#This Row],[Site Name]],SiteDB6[[Site Name]:[Pop
(Kachin/Shan-CCCM as of May 2023)]],17,FALSE)</f>
        <v>362</v>
      </c>
    </row>
    <row r="402" spans="1:151">
      <c r="A402" s="946" t="s">
        <v>2962</v>
      </c>
      <c r="B402" s="1004" t="s">
        <v>309</v>
      </c>
      <c r="C402" s="1004" t="s">
        <v>3315</v>
      </c>
      <c r="D402" s="1005" t="s">
        <v>299</v>
      </c>
      <c r="E402" s="1005" t="s">
        <v>515</v>
      </c>
      <c r="F402" s="1005" t="s">
        <v>525</v>
      </c>
      <c r="G402" s="902" t="str">
        <f>VLOOKUP(WWWW[[#This Row],[Site Name]],SiteDB6[[Site Name]:[Location Type]],8,FALSE)</f>
        <v>Camp</v>
      </c>
      <c r="H402" s="953" t="s">
        <v>3239</v>
      </c>
      <c r="I402" s="954">
        <v>35</v>
      </c>
      <c r="J402" s="954">
        <v>136</v>
      </c>
      <c r="K402" s="955">
        <v>44511</v>
      </c>
      <c r="L402" s="956">
        <v>45146</v>
      </c>
      <c r="M402" s="954"/>
      <c r="N402" s="954"/>
      <c r="O402" s="954"/>
      <c r="P402" s="954"/>
      <c r="Q402" s="957"/>
      <c r="R402" s="954"/>
      <c r="S402" s="954"/>
      <c r="T402" s="441"/>
      <c r="U402" s="954"/>
      <c r="V402" s="954"/>
      <c r="W402" s="954"/>
      <c r="X402" s="954"/>
      <c r="Y402" s="954"/>
      <c r="Z402" s="954"/>
      <c r="AA402" s="954"/>
      <c r="AB402" s="954"/>
      <c r="AC402" s="954"/>
      <c r="AD402" s="954"/>
      <c r="AE402" s="954"/>
      <c r="AF402" s="954"/>
      <c r="AG402" s="954"/>
      <c r="AH402" s="954"/>
      <c r="AI402" s="954"/>
      <c r="AJ402" s="954"/>
      <c r="AK402" s="954"/>
      <c r="AL402" s="954"/>
      <c r="AM402" s="954"/>
      <c r="AN402" s="954"/>
      <c r="AO402" s="441"/>
      <c r="AP402" s="958"/>
      <c r="AQ402" s="954"/>
      <c r="AR402" s="954"/>
      <c r="AS402" s="959"/>
      <c r="AT402" s="954"/>
      <c r="AU402" s="954"/>
      <c r="AV402" s="954"/>
      <c r="AW402" s="954"/>
      <c r="AX402" s="954"/>
      <c r="AY402" s="418" t="s">
        <v>140</v>
      </c>
      <c r="AZ402" s="958"/>
      <c r="BA402" s="954"/>
      <c r="BB402" s="954"/>
      <c r="BC402" s="954"/>
      <c r="BD402" s="441"/>
      <c r="BE402" s="441"/>
      <c r="BF402" s="953"/>
      <c r="BG402" s="954"/>
      <c r="BH402" s="954"/>
      <c r="BI402" s="954"/>
      <c r="BJ402" s="954"/>
      <c r="BK402" s="954"/>
      <c r="BL402" s="954"/>
      <c r="BM402" s="954"/>
      <c r="BN402" s="954"/>
      <c r="BO402" s="954"/>
      <c r="BP402" s="953"/>
      <c r="BQ402" s="960"/>
      <c r="BR402" s="959"/>
      <c r="BS402" s="953"/>
      <c r="BT402" s="416"/>
      <c r="BU402" s="416"/>
      <c r="BV402" s="418"/>
      <c r="BW402" s="416"/>
      <c r="BX402" s="441"/>
      <c r="BY402" s="441"/>
      <c r="BZ402" s="441"/>
      <c r="CA402" s="441"/>
      <c r="CB402" s="441"/>
      <c r="CC402" s="693"/>
      <c r="CD402" s="441"/>
      <c r="CE402" s="961" t="str">
        <f>IFERROR(WWWW[[#This Row],['#_Water sources passed]]/WWWW[[#This Row],['#_Water sources tested for fecal coliform ]],"no test")</f>
        <v>no test</v>
      </c>
      <c r="CF402" s="959" t="str">
        <f>IFERROR(WWWW[[#This Row],['#_Household passed]]/WWWW[[#This Row],['#_Household water samples tested for fecal coliform]],"no test")</f>
        <v>no test</v>
      </c>
      <c r="CG402" s="960" t="str">
        <f>IF(AND(WWWW[[#This Row],[% of water sources passed]]="no test",WWWW[[#This Row],[% Household passed]]="no test"),"No Test","Tested")</f>
        <v>No Test</v>
      </c>
      <c r="CH402" s="960">
        <f>WWWW[[#This Row],['#_Constructed/existing protected hand dug well]]-WWWW[[#This Row],['#_Non-functional protected hand dug well]]</f>
        <v>0</v>
      </c>
      <c r="CI402" s="960">
        <f>(WWWW[[#This Row],['#_Constructed/Existing tube wells/boreholes/handpumps_WASH_agency]]+WWWW[[#This Row],['#_Non-Cluster partner water tube-wells/boreholes/handpumps]])-WWWW[[#This Row],['#_Non-functional tube wells/boreholes/handpumps]]</f>
        <v>0</v>
      </c>
      <c r="CJ402" s="960">
        <f>WWWW[[#This Row],['#_Constructed/Existingwater storage tank with gravity fed reticulation system]]-WWWW[[#This Row],['#_Non-functional storage tank gravity fed reticulation system]]</f>
        <v>0</v>
      </c>
      <c r="CK402" s="960">
        <f>(WWWW[[#This Row],['#_Water_Liters_supplied_by_Water boating or water trucking]]/90)/15</f>
        <v>0</v>
      </c>
      <c r="CL402" s="960">
        <f>WWWW[[#This Row],['#_Water_Liters_from_Constructed/Existing water distribution system from river or natural spring]]/90/15</f>
        <v>0</v>
      </c>
      <c r="CM402" s="417">
        <f>IF(WWWW[[#This Row],['#_of water points in TLS/CFS]]*500&gt;WWWW[[#This Row],[Total PoP ]],WWWW[[#This Row],[Total PoP ]],WWWW[[#This Row],['#_of water points in TLS/CFS]]*500)</f>
        <v>0</v>
      </c>
      <c r="CN402" s="417">
        <f>IF(WWWW[[#This Row],['#_of water points in THF]]*500&gt;WWWW[[#This Row],[Total PoP ]],WWWW[[#This Row],[Total PoP ]],WWWW[[#This Row],['#_of water points in THF]]*500)</f>
        <v>0</v>
      </c>
      <c r="CO402" s="417"/>
      <c r="CP402"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402"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402" s="959">
        <f>IF(WWWW[[#This Row],[Location Type 1]]="Village",WWWW[[#This Row],[Access to safe drinking water for Village]],WWWW[[#This Row],[Access to safe drinking water for Camp]])</f>
        <v>0</v>
      </c>
      <c r="CS402" s="957">
        <f>WWWW[[#This Row],[%Equitable and continuous access to sufficient quantity of safe drinking water]]*WWWW[[#This Row],[Total PoP ]]</f>
        <v>0</v>
      </c>
      <c r="CT402" s="959">
        <f>IF((WWWW[[#This Row],['#_Constructed/Existing protected/fenced ponds]]*250)/WWWW[[#This Row],[Total PoP ]]&gt;1,1,(WWWW[[#This Row],['#_Constructed/Existing protected/fenced ponds]]*250)/WWWW[[#This Row],[Total PoP ]])</f>
        <v>0</v>
      </c>
      <c r="CU402" s="957">
        <f>WWWW[[#This Row],[% Access to unimproved water points]]*WWWW[[#This Row],[Total PoP ]]</f>
        <v>0</v>
      </c>
      <c r="CV402"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402"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402" s="957">
        <f>WWWW[[#This Row],[HRP1]]/500</f>
        <v>0</v>
      </c>
      <c r="CY402" s="962">
        <f>1-WWWW[[#This Row],[% Equitable and continuous access to sufficient quantity of domestic water]]</f>
        <v>1</v>
      </c>
      <c r="CZ402" s="957">
        <f>WWWW[[#This Row],[%equitable and continuous access to sufficient quantity of safe drinking and domestic water''s GAP]]*WWWW[[#This Row],[Total PoP ]]</f>
        <v>136</v>
      </c>
      <c r="DA402" s="960">
        <f>IF(WWWW[[#This Row],[Total required water points]]-WWWW[[#This Row],['#Water points coverage]]&lt;0,0,WWWW[[#This Row],[Total required water points]]-WWWW[[#This Row],['#Water points coverage]])</f>
        <v>1</v>
      </c>
      <c r="DB402" s="960">
        <f>ROUND(IF(WWWW[[#This Row],[Total PoP ]]&lt;500,1,WWWW[[#This Row],[Total PoP ]]/500),0)</f>
        <v>1</v>
      </c>
      <c r="DC402" s="960">
        <f>(WWWW[[#This Row],['#_Constructed latrines_by_WASHAgencies]]+WWWW[[#This Row],['#_Non Cluster partner latrines]])-WWWW[[#This Row],['#_Non-functional latrines]]</f>
        <v>0</v>
      </c>
      <c r="DD402" s="615">
        <f>WWWW[[#This Row],[HRP2]]/WWWW[[#This Row],[Total PoP ]]</f>
        <v>0</v>
      </c>
      <c r="DE402"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402"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02"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02" s="417">
        <f>IF(WWWW[[#This Row],['# of functional latrines in THF supported by WASH partners during the reporting period2]]="",0,WWWW[[#This Row],['# of functional latrines in THF supported by WASH partners during the reporting period2]]*50)</f>
        <v>0</v>
      </c>
      <c r="DI402" s="960">
        <f>ROUND(IF(WWWW[[#This Row],[Location Type 1]]="camp",WWWW[[#This Row],[Total PoP ]]/20,IF(WWWW[[#This Row],[Location Type 1]]="Temporary Location",WWWW[[#This Row],[Total PoP ]]/50,(WWWW[[#This Row],[Total PoP ]]/6))),0)</f>
        <v>7</v>
      </c>
      <c r="DJ402" s="960">
        <f>IF(WWWW[[#This Row],[Total required Latrines]]-(WWWW[[#This Row],['#_Constructed latrines_by_WASHAgencies]]+WWWW[[#This Row],['#_Non Cluster partner latrines]])&lt;0,0,WWWW[[#This Row],[Total required Latrines]]-(WWWW[[#This Row],['#_Constructed latrines_by_WASHAgencies]]+WWWW[[#This Row],['#_Non Cluster partner latrines]]))</f>
        <v>7</v>
      </c>
      <c r="DK402" s="962">
        <f>1-WWWW[[#This Row],[% people access to functioning Latrine]]</f>
        <v>1</v>
      </c>
      <c r="DL402" s="961">
        <f>IF(OR(WWWW[[#This Row],['#_Non-functional latrines]]="",WWWW[[#This Row],['#_Non-functional latrines]]=0),0,WWWW[[#This Row],['#_Non-functional latrines]]/(WWWW[[#This Row],['#_Constructed latrines_by_WASHAgencies]]+WWWW[[#This Row],['#_Non Cluster partner latrines]]))</f>
        <v>0</v>
      </c>
      <c r="DM402" s="957">
        <f>IF(500*(WWWW[[#This Row],['#_male hygiene promoters]]+WWWW[[#This Row],['#_female hygiene promoters]])&gt;WWWW[[#This Row],[Total PoP ]],WWWW[[#This Row],[Total PoP ]],500*(WWWW[[#This Row],['#_male hygiene promoters]]+WWWW[[#This Row],['#_female hygiene promoters]]))</f>
        <v>0</v>
      </c>
      <c r="DN402"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02"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02" s="960">
        <f>IF(WWWW[[#This Row],['# People with access to soap]]&gt;WWWW[[#This Row],['# People with access to Sanity Pads]],WWWW[[#This Row],['# People with access to soap]],WWWW[[#This Row],['# People with access to Sanity Pads]])</f>
        <v>0</v>
      </c>
      <c r="DQ402" s="960">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02" s="962">
        <f>IF(WWWW[[#This Row],[HRP3]]/WWWW[[#This Row],[Total PoP ]]&gt;1,1,WWWW[[#This Row],[HRP3]]/WWWW[[#This Row],[Total PoP ]])</f>
        <v>0</v>
      </c>
      <c r="DS402" s="961">
        <f>1-WWWW[[#This Row],[Hygiene Coverage%]]</f>
        <v>1</v>
      </c>
      <c r="DT402" s="959">
        <f>WWWW[[#This Row],['# people reached by regular dedicated hygiene promotion_5]]/WWWW[[#This Row],[Total PoP ]]</f>
        <v>0</v>
      </c>
      <c r="DU402"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02"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02" s="960">
        <f>WWWW[[#This Row],['#_Constructed/Existing hand washing stations]]-WWWW[[#This Row],['#_Non-Functional_hand_washing_stations]]</f>
        <v>0</v>
      </c>
      <c r="DX402" s="957">
        <f>IF(WWWW[[#This Row],['# Functional hand washing stations during reporting period]]*20&gt;WWWW[[#This Row],[Total HH]],WWWW[[#This Row],[Total HH]],WWWW[[#This Row],['# Functional hand washing stations during reporting period]]*20)</f>
        <v>0</v>
      </c>
      <c r="DY402" s="957">
        <f>IF(WWWW[[#This Row],[Is sufficient soap available for TLS? (Yes/No)]]="yes",WWWW[[#This Row],['#_Constructed/Existing hand washing stations at TLS/CFS/THF]],0)</f>
        <v>0</v>
      </c>
      <c r="DZ402" s="421">
        <f>IF(WWWW[[#This Row],['# Functional hand washing stations during reporting period]]*100&gt;WWWW[[#This Row],[Total PoP ]],WWWW[[#This Row],[Total PoP ]],WWWW[[#This Row],['# Functional hand washing stations during reporting period]]*100)</f>
        <v>0</v>
      </c>
      <c r="EA402" s="421" t="str">
        <f>IF(OR(WWWW[[#This Row],['#_students at TLS_CFS]]="",WWWW[[#This Row],['#_students at TLS_CFS]]=0),"No","Yes")</f>
        <v>No</v>
      </c>
      <c r="EB402"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02" s="566">
        <f>WWWW[[#This Row],[%_of_affected_people_surveyed_who_report_feeling_satistfied_with_the_latrine_design_and_sanitation_service]]*WWWW[[#This Row],[Total PoP ]]</f>
        <v>0</v>
      </c>
      <c r="ED402" s="566">
        <f>WWWW[[#This Row],[%_of_affected_people_surveyed_who_report_feeling_satistfied_with_the_water_point_design_and_water_service]]*WWWW[[#This Row],[Total PoP ]]</f>
        <v>0</v>
      </c>
      <c r="EE402" s="566">
        <f>WWWW[[#This Row],[%_of_complaints_received_that_result_in_timely_corrective_action_and_feedback_to_the_community]]*WWWW[[#This Row],[Total PoP ]]</f>
        <v>0</v>
      </c>
      <c r="EF402"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02"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02"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02" s="953">
        <f>VLOOKUP(WWWW[[#This Row],[Site Name]],SiteDB6[[Site Name]:[CCCM Management]],6,FALSE)</f>
        <v>0</v>
      </c>
      <c r="EJ402" s="953">
        <f>VLOOKUP(WWWW[[#This Row],[Site Name]],SiteDB6[[Site Name]:[CCCM Focal Agency]],7,FALSE)</f>
        <v>0</v>
      </c>
      <c r="EK402" s="953" t="str">
        <f>VLOOKUP(WWWW[[#This Row],[Site Name]],SiteDB6[[Site Name]:[Location Type 1]],9,FALSE)</f>
        <v>Camp</v>
      </c>
      <c r="EL402" s="953" t="str">
        <f>VLOOKUP(WWWW[[#This Row],[Site Name]],SiteDB6[[Site Name]:[Type of Accommodation]],10,FALSE)</f>
        <v>Camp like setting</v>
      </c>
      <c r="EM402" s="418" t="s">
        <v>44</v>
      </c>
      <c r="EN402" s="953">
        <f>VLOOKUP(WWWW[[#This Row],[Site Name]],SiteDB6[[Site Name]:[Lat]],12,FALSE)</f>
        <v>0</v>
      </c>
      <c r="EO402" s="953">
        <f>VLOOKUP(WWWW[[#This Row],[Site Name]],SiteDB6[[Site Name]:[Long]],13,FALSE)</f>
        <v>0</v>
      </c>
      <c r="EP402" s="953" t="str">
        <f>VLOOKUP(WWWW[[#This Row],[Site Name]],SiteDB6[[Site Name]:[Pcode]],3,FALSE)</f>
        <v>MMR015CMP100</v>
      </c>
      <c r="EQ402" s="958" t="str">
        <f t="shared" si="9"/>
        <v>Covered</v>
      </c>
      <c r="ER402" s="950" t="s">
        <v>3126</v>
      </c>
      <c r="ES402" s="950" t="s">
        <v>3314</v>
      </c>
      <c r="ET402" s="953">
        <f>VLOOKUP(WWWW[[#This Row],[Site Name]],SiteDB6[[Site Name]:[Pop
(Kachin/Shan-CCCM as of May 2023)]],16,FALSE)</f>
        <v>35</v>
      </c>
      <c r="EU402" s="953">
        <f>VLOOKUP(WWWW[[#This Row],[Site Name]],SiteDB6[[Site Name]:[Pop
(Kachin/Shan-CCCM as of May 2023)]],17,FALSE)</f>
        <v>136</v>
      </c>
    </row>
    <row r="403" spans="1:151">
      <c r="A403" s="946" t="s">
        <v>2962</v>
      </c>
      <c r="B403" s="1004" t="s">
        <v>309</v>
      </c>
      <c r="C403" s="1004" t="s">
        <v>3315</v>
      </c>
      <c r="D403" s="1005" t="s">
        <v>299</v>
      </c>
      <c r="E403" s="1005" t="s">
        <v>515</v>
      </c>
      <c r="F403" s="1005" t="s">
        <v>525</v>
      </c>
      <c r="G403" s="902" t="str">
        <f>VLOOKUP(WWWW[[#This Row],[Site Name]],SiteDB6[[Site Name]:[Location Type]],8,FALSE)</f>
        <v>Camp</v>
      </c>
      <c r="H403" s="953" t="s">
        <v>3238</v>
      </c>
      <c r="I403" s="954">
        <v>30</v>
      </c>
      <c r="J403" s="954">
        <v>127</v>
      </c>
      <c r="K403" s="955">
        <v>44511</v>
      </c>
      <c r="L403" s="956">
        <v>45146</v>
      </c>
      <c r="M403" s="954"/>
      <c r="N403" s="954"/>
      <c r="O403" s="954"/>
      <c r="P403" s="954"/>
      <c r="Q403" s="957"/>
      <c r="R403" s="954"/>
      <c r="S403" s="954"/>
      <c r="T403" s="441"/>
      <c r="U403" s="954"/>
      <c r="V403" s="954"/>
      <c r="W403" s="954"/>
      <c r="X403" s="954"/>
      <c r="Y403" s="954"/>
      <c r="Z403" s="954"/>
      <c r="AA403" s="954"/>
      <c r="AB403" s="954"/>
      <c r="AC403" s="954"/>
      <c r="AD403" s="954"/>
      <c r="AE403" s="954"/>
      <c r="AF403" s="954"/>
      <c r="AG403" s="954"/>
      <c r="AH403" s="954"/>
      <c r="AI403" s="954"/>
      <c r="AJ403" s="954"/>
      <c r="AK403" s="954"/>
      <c r="AL403" s="954"/>
      <c r="AM403" s="954"/>
      <c r="AN403" s="954"/>
      <c r="AO403" s="441"/>
      <c r="AP403" s="958"/>
      <c r="AQ403" s="954"/>
      <c r="AR403" s="954"/>
      <c r="AS403" s="959"/>
      <c r="AT403" s="954"/>
      <c r="AU403" s="954"/>
      <c r="AV403" s="954"/>
      <c r="AW403" s="954"/>
      <c r="AX403" s="954"/>
      <c r="AY403" s="418" t="s">
        <v>140</v>
      </c>
      <c r="AZ403" s="958"/>
      <c r="BA403" s="954"/>
      <c r="BB403" s="954"/>
      <c r="BC403" s="954"/>
      <c r="BD403" s="441"/>
      <c r="BE403" s="441"/>
      <c r="BF403" s="953"/>
      <c r="BG403" s="954"/>
      <c r="BH403" s="954"/>
      <c r="BI403" s="954"/>
      <c r="BJ403" s="954"/>
      <c r="BK403" s="954"/>
      <c r="BL403" s="954"/>
      <c r="BM403" s="954"/>
      <c r="BN403" s="954"/>
      <c r="BO403" s="954"/>
      <c r="BP403" s="953"/>
      <c r="BQ403" s="960"/>
      <c r="BR403" s="959"/>
      <c r="BS403" s="953"/>
      <c r="BT403" s="416"/>
      <c r="BU403" s="416"/>
      <c r="BV403" s="418"/>
      <c r="BW403" s="416"/>
      <c r="BX403" s="441"/>
      <c r="BY403" s="441"/>
      <c r="BZ403" s="441"/>
      <c r="CA403" s="441"/>
      <c r="CB403" s="441"/>
      <c r="CC403" s="693"/>
      <c r="CD403" s="441"/>
      <c r="CE403" s="961" t="str">
        <f>IFERROR(WWWW[[#This Row],['#_Water sources passed]]/WWWW[[#This Row],['#_Water sources tested for fecal coliform ]],"no test")</f>
        <v>no test</v>
      </c>
      <c r="CF403" s="959" t="str">
        <f>IFERROR(WWWW[[#This Row],['#_Household passed]]/WWWW[[#This Row],['#_Household water samples tested for fecal coliform]],"no test")</f>
        <v>no test</v>
      </c>
      <c r="CG403" s="960" t="str">
        <f>IF(AND(WWWW[[#This Row],[% of water sources passed]]="no test",WWWW[[#This Row],[% Household passed]]="no test"),"No Test","Tested")</f>
        <v>No Test</v>
      </c>
      <c r="CH403" s="960">
        <f>WWWW[[#This Row],['#_Constructed/existing protected hand dug well]]-WWWW[[#This Row],['#_Non-functional protected hand dug well]]</f>
        <v>0</v>
      </c>
      <c r="CI403" s="960">
        <f>(WWWW[[#This Row],['#_Constructed/Existing tube wells/boreholes/handpumps_WASH_agency]]+WWWW[[#This Row],['#_Non-Cluster partner water tube-wells/boreholes/handpumps]])-WWWW[[#This Row],['#_Non-functional tube wells/boreholes/handpumps]]</f>
        <v>0</v>
      </c>
      <c r="CJ403" s="960">
        <f>WWWW[[#This Row],['#_Constructed/Existingwater storage tank with gravity fed reticulation system]]-WWWW[[#This Row],['#_Non-functional storage tank gravity fed reticulation system]]</f>
        <v>0</v>
      </c>
      <c r="CK403" s="960">
        <f>(WWWW[[#This Row],['#_Water_Liters_supplied_by_Water boating or water trucking]]/90)/15</f>
        <v>0</v>
      </c>
      <c r="CL403" s="960">
        <f>WWWW[[#This Row],['#_Water_Liters_from_Constructed/Existing water distribution system from river or natural spring]]/90/15</f>
        <v>0</v>
      </c>
      <c r="CM403" s="417">
        <f>IF(WWWW[[#This Row],['#_of water points in TLS/CFS]]*500&gt;WWWW[[#This Row],[Total PoP ]],WWWW[[#This Row],[Total PoP ]],WWWW[[#This Row],['#_of water points in TLS/CFS]]*500)</f>
        <v>0</v>
      </c>
      <c r="CN403" s="417">
        <f>IF(WWWW[[#This Row],['#_of water points in THF]]*500&gt;WWWW[[#This Row],[Total PoP ]],WWWW[[#This Row],[Total PoP ]],WWWW[[#This Row],['#_of water points in THF]]*500)</f>
        <v>0</v>
      </c>
      <c r="CO403" s="417"/>
      <c r="CP403" s="961">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403" s="961">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403" s="959">
        <f>IF(WWWW[[#This Row],[Location Type 1]]="Village",WWWW[[#This Row],[Access to safe drinking water for Village]],WWWW[[#This Row],[Access to safe drinking water for Camp]])</f>
        <v>0</v>
      </c>
      <c r="CS403" s="957">
        <f>WWWW[[#This Row],[%Equitable and continuous access to sufficient quantity of safe drinking water]]*WWWW[[#This Row],[Total PoP ]]</f>
        <v>0</v>
      </c>
      <c r="CT403" s="959">
        <f>IF((WWWW[[#This Row],['#_Constructed/Existing protected/fenced ponds]]*250)/WWWW[[#This Row],[Total PoP ]]&gt;1,1,(WWWW[[#This Row],['#_Constructed/Existing protected/fenced ponds]]*250)/WWWW[[#This Row],[Total PoP ]])</f>
        <v>0</v>
      </c>
      <c r="CU403" s="957">
        <f>WWWW[[#This Row],[% Access to unimproved water points]]*WWWW[[#This Row],[Total PoP ]]</f>
        <v>0</v>
      </c>
      <c r="CV403" s="95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403" s="95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403" s="957">
        <f>WWWW[[#This Row],[HRP1]]/500</f>
        <v>0</v>
      </c>
      <c r="CY403" s="962">
        <f>1-WWWW[[#This Row],[% Equitable and continuous access to sufficient quantity of domestic water]]</f>
        <v>1</v>
      </c>
      <c r="CZ403" s="957">
        <f>WWWW[[#This Row],[%equitable and continuous access to sufficient quantity of safe drinking and domestic water''s GAP]]*WWWW[[#This Row],[Total PoP ]]</f>
        <v>127</v>
      </c>
      <c r="DA403" s="960">
        <f>IF(WWWW[[#This Row],[Total required water points]]-WWWW[[#This Row],['#Water points coverage]]&lt;0,0,WWWW[[#This Row],[Total required water points]]-WWWW[[#This Row],['#Water points coverage]])</f>
        <v>1</v>
      </c>
      <c r="DB403" s="960">
        <f>ROUND(IF(WWWW[[#This Row],[Total PoP ]]&lt;500,1,WWWW[[#This Row],[Total PoP ]]/500),0)</f>
        <v>1</v>
      </c>
      <c r="DC403" s="960">
        <f>(WWWW[[#This Row],['#_Constructed latrines_by_WASHAgencies]]+WWWW[[#This Row],['#_Non Cluster partner latrines]])-WWWW[[#This Row],['#_Non-functional latrines]]</f>
        <v>0</v>
      </c>
      <c r="DD403" s="615">
        <f>WWWW[[#This Row],[HRP2]]/WWWW[[#This Row],[Total PoP ]]</f>
        <v>0</v>
      </c>
      <c r="DE403" s="957">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403" s="963">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03" s="960">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03" s="417">
        <f>IF(WWWW[[#This Row],['# of functional latrines in THF supported by WASH partners during the reporting period2]]="",0,WWWW[[#This Row],['# of functional latrines in THF supported by WASH partners during the reporting period2]]*50)</f>
        <v>0</v>
      </c>
      <c r="DI403" s="960">
        <f>ROUND(IF(WWWW[[#This Row],[Location Type 1]]="camp",WWWW[[#This Row],[Total PoP ]]/20,IF(WWWW[[#This Row],[Location Type 1]]="Temporary Location",WWWW[[#This Row],[Total PoP ]]/50,(WWWW[[#This Row],[Total PoP ]]/6))),0)</f>
        <v>6</v>
      </c>
      <c r="DJ403" s="960">
        <f>IF(WWWW[[#This Row],[Total required Latrines]]-(WWWW[[#This Row],['#_Constructed latrines_by_WASHAgencies]]+WWWW[[#This Row],['#_Non Cluster partner latrines]])&lt;0,0,WWWW[[#This Row],[Total required Latrines]]-(WWWW[[#This Row],['#_Constructed latrines_by_WASHAgencies]]+WWWW[[#This Row],['#_Non Cluster partner latrines]]))</f>
        <v>6</v>
      </c>
      <c r="DK403" s="962">
        <f>1-WWWW[[#This Row],[% people access to functioning Latrine]]</f>
        <v>1</v>
      </c>
      <c r="DL403" s="961">
        <f>IF(OR(WWWW[[#This Row],['#_Non-functional latrines]]="",WWWW[[#This Row],['#_Non-functional latrines]]=0),0,WWWW[[#This Row],['#_Non-functional latrines]]/(WWWW[[#This Row],['#_Constructed latrines_by_WASHAgencies]]+WWWW[[#This Row],['#_Non Cluster partner latrines]]))</f>
        <v>0</v>
      </c>
      <c r="DM403" s="957">
        <f>IF(500*(WWWW[[#This Row],['#_male hygiene promoters]]+WWWW[[#This Row],['#_female hygiene promoters]])&gt;WWWW[[#This Row],[Total PoP ]],WWWW[[#This Row],[Total PoP ]],500*(WWWW[[#This Row],['#_male hygiene promoters]]+WWWW[[#This Row],['#_female hygiene promoters]]))</f>
        <v>0</v>
      </c>
      <c r="DN403" s="960">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03" s="960">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03" s="960">
        <f>IF(WWWW[[#This Row],['# People with access to soap]]&gt;WWWW[[#This Row],['# People with access to Sanity Pads]],WWWW[[#This Row],['# People with access to soap]],WWWW[[#This Row],['# People with access to Sanity Pads]])</f>
        <v>0</v>
      </c>
      <c r="DQ403" s="960">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03" s="962">
        <f>IF(WWWW[[#This Row],[HRP3]]/WWWW[[#This Row],[Total PoP ]]&gt;1,1,WWWW[[#This Row],[HRP3]]/WWWW[[#This Row],[Total PoP ]])</f>
        <v>0</v>
      </c>
      <c r="DS403" s="961">
        <f>1-WWWW[[#This Row],[Hygiene Coverage%]]</f>
        <v>1</v>
      </c>
      <c r="DT403" s="959">
        <f>WWWW[[#This Row],['# people reached by regular dedicated hygiene promotion_5]]/WWWW[[#This Row],[Total PoP ]]</f>
        <v>0</v>
      </c>
      <c r="DU403" s="961">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03" s="959">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03" s="960">
        <f>WWWW[[#This Row],['#_Constructed/Existing hand washing stations]]-WWWW[[#This Row],['#_Non-Functional_hand_washing_stations]]</f>
        <v>0</v>
      </c>
      <c r="DX403" s="957">
        <f>IF(WWWW[[#This Row],['# Functional hand washing stations during reporting period]]*20&gt;WWWW[[#This Row],[Total HH]],WWWW[[#This Row],[Total HH]],WWWW[[#This Row],['# Functional hand washing stations during reporting period]]*20)</f>
        <v>0</v>
      </c>
      <c r="DY403" s="957">
        <f>IF(WWWW[[#This Row],[Is sufficient soap available for TLS? (Yes/No)]]="yes",WWWW[[#This Row],['#_Constructed/Existing hand washing stations at TLS/CFS/THF]],0)</f>
        <v>0</v>
      </c>
      <c r="DZ403" s="421">
        <f>IF(WWWW[[#This Row],['# Functional hand washing stations during reporting period]]*100&gt;WWWW[[#This Row],[Total PoP ]],WWWW[[#This Row],[Total PoP ]],WWWW[[#This Row],['# Functional hand washing stations during reporting period]]*100)</f>
        <v>0</v>
      </c>
      <c r="EA403" s="421" t="str">
        <f>IF(OR(WWWW[[#This Row],['#_students at TLS_CFS]]="",WWWW[[#This Row],['#_students at TLS_CFS]]=0),"No","Yes")</f>
        <v>No</v>
      </c>
      <c r="EB403"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03" s="566">
        <f>WWWW[[#This Row],[%_of_affected_people_surveyed_who_report_feeling_satistfied_with_the_latrine_design_and_sanitation_service]]*WWWW[[#This Row],[Total PoP ]]</f>
        <v>0</v>
      </c>
      <c r="ED403" s="566">
        <f>WWWW[[#This Row],[%_of_affected_people_surveyed_who_report_feeling_satistfied_with_the_water_point_design_and_water_service]]*WWWW[[#This Row],[Total PoP ]]</f>
        <v>0</v>
      </c>
      <c r="EE403" s="566">
        <f>WWWW[[#This Row],[%_of_complaints_received_that_result_in_timely_corrective_action_and_feedback_to_the_community]]*WWWW[[#This Row],[Total PoP ]]</f>
        <v>0</v>
      </c>
      <c r="EF403"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03"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03"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03" s="953">
        <f>VLOOKUP(WWWW[[#This Row],[Site Name]],SiteDB6[[Site Name]:[CCCM Management]],6,FALSE)</f>
        <v>0</v>
      </c>
      <c r="EJ403" s="953">
        <f>VLOOKUP(WWWW[[#This Row],[Site Name]],SiteDB6[[Site Name]:[CCCM Focal Agency]],7,FALSE)</f>
        <v>0</v>
      </c>
      <c r="EK403" s="953" t="str">
        <f>VLOOKUP(WWWW[[#This Row],[Site Name]],SiteDB6[[Site Name]:[Location Type 1]],9,FALSE)</f>
        <v>Camp</v>
      </c>
      <c r="EL403" s="953" t="str">
        <f>VLOOKUP(WWWW[[#This Row],[Site Name]],SiteDB6[[Site Name]:[Type of Accommodation]],10,FALSE)</f>
        <v>Camp like setting</v>
      </c>
      <c r="EM403" s="418" t="s">
        <v>44</v>
      </c>
      <c r="EN403" s="953">
        <f>VLOOKUP(WWWW[[#This Row],[Site Name]],SiteDB6[[Site Name]:[Lat]],12,FALSE)</f>
        <v>0</v>
      </c>
      <c r="EO403" s="953">
        <f>VLOOKUP(WWWW[[#This Row],[Site Name]],SiteDB6[[Site Name]:[Long]],13,FALSE)</f>
        <v>0</v>
      </c>
      <c r="EP403" s="953" t="str">
        <f>VLOOKUP(WWWW[[#This Row],[Site Name]],SiteDB6[[Site Name]:[Pcode]],3,FALSE)</f>
        <v>MMR015CMP099</v>
      </c>
      <c r="EQ403" s="958" t="str">
        <f t="shared" si="9"/>
        <v>Covered</v>
      </c>
      <c r="ER403" s="950" t="s">
        <v>3126</v>
      </c>
      <c r="ES403" s="950" t="s">
        <v>3314</v>
      </c>
      <c r="ET403" s="953">
        <f>VLOOKUP(WWWW[[#This Row],[Site Name]],SiteDB6[[Site Name]:[Pop
(Kachin/Shan-CCCM as of May 2023)]],16,FALSE)</f>
        <v>30</v>
      </c>
      <c r="EU403" s="953">
        <f>VLOOKUP(WWWW[[#This Row],[Site Name]],SiteDB6[[Site Name]:[Pop
(Kachin/Shan-CCCM as of May 2023)]],17,FALSE)</f>
        <v>127</v>
      </c>
    </row>
    <row r="404" spans="1:151">
      <c r="A404" s="946" t="s">
        <v>2962</v>
      </c>
      <c r="B404" s="946" t="s">
        <v>192</v>
      </c>
      <c r="C404" s="938" t="s">
        <v>2341</v>
      </c>
      <c r="D404" s="938" t="s">
        <v>299</v>
      </c>
      <c r="E404" s="938" t="s">
        <v>515</v>
      </c>
      <c r="F404" s="938" t="s">
        <v>516</v>
      </c>
      <c r="G404" s="902" t="str">
        <f>VLOOKUP(WWWW[[#This Row],[Site Name]],SiteDB6[[Site Name]:[Location Type]],8,FALSE)</f>
        <v>Camp</v>
      </c>
      <c r="H404" s="938" t="s">
        <v>527</v>
      </c>
      <c r="I404" s="441">
        <v>85</v>
      </c>
      <c r="J404" s="441">
        <v>396</v>
      </c>
      <c r="K404" s="964">
        <v>44511</v>
      </c>
      <c r="L404" s="965">
        <v>45146</v>
      </c>
      <c r="M404" s="441"/>
      <c r="N404" s="441">
        <v>2</v>
      </c>
      <c r="O404" s="441"/>
      <c r="P404" s="441"/>
      <c r="Q404" s="421" t="s">
        <v>41</v>
      </c>
      <c r="R404" s="441">
        <v>7</v>
      </c>
      <c r="S404" s="441">
        <v>9</v>
      </c>
      <c r="T404" s="441"/>
      <c r="U404" s="441"/>
      <c r="V404" s="441"/>
      <c r="W404" s="441"/>
      <c r="X404" s="441">
        <v>1</v>
      </c>
      <c r="Y404" s="441"/>
      <c r="Z404" s="441"/>
      <c r="AA404" s="441">
        <v>1</v>
      </c>
      <c r="AB404" s="441"/>
      <c r="AC404" s="441"/>
      <c r="AD404" s="441"/>
      <c r="AE404" s="441"/>
      <c r="AF404" s="441"/>
      <c r="AG404" s="441"/>
      <c r="AH404" s="441">
        <v>2</v>
      </c>
      <c r="AI404" s="441"/>
      <c r="AJ404" s="441"/>
      <c r="AK404" s="441"/>
      <c r="AL404" s="441"/>
      <c r="AM404" s="441">
        <v>8</v>
      </c>
      <c r="AN404" s="441"/>
      <c r="AO404" s="441"/>
      <c r="AP404" s="950"/>
      <c r="AQ404" s="441">
        <v>14</v>
      </c>
      <c r="AR404" s="441">
        <v>6</v>
      </c>
      <c r="AS404" s="416"/>
      <c r="AT404" s="441"/>
      <c r="AU404" s="441"/>
      <c r="AV404" s="441"/>
      <c r="AW404" s="441"/>
      <c r="AX404" s="441">
        <v>14</v>
      </c>
      <c r="AY404" s="418" t="s">
        <v>41</v>
      </c>
      <c r="AZ404" s="950" t="s">
        <v>137</v>
      </c>
      <c r="BA404" s="441"/>
      <c r="BB404" s="441"/>
      <c r="BC404" s="441"/>
      <c r="BD404" s="441"/>
      <c r="BE404" s="441"/>
      <c r="BF404" s="418"/>
      <c r="BG404" s="441">
        <v>8</v>
      </c>
      <c r="BH404" s="441"/>
      <c r="BI404" s="441"/>
      <c r="BJ404" s="441">
        <v>2</v>
      </c>
      <c r="BK404" s="441"/>
      <c r="BL404" s="441">
        <v>1</v>
      </c>
      <c r="BM404" s="441">
        <v>1</v>
      </c>
      <c r="BN404" s="441"/>
      <c r="BO404" s="441"/>
      <c r="BP404" s="418" t="s">
        <v>41</v>
      </c>
      <c r="BQ404" s="417"/>
      <c r="BR404" s="416"/>
      <c r="BS404" s="418"/>
      <c r="BT404" s="416"/>
      <c r="BU404" s="416"/>
      <c r="BV404" s="418"/>
      <c r="BW404" s="416"/>
      <c r="BX404" s="441"/>
      <c r="BY404" s="441"/>
      <c r="BZ404" s="441"/>
      <c r="CA404" s="441"/>
      <c r="CB404" s="441"/>
      <c r="CC404" s="693"/>
      <c r="CD404" s="441"/>
      <c r="CE404" s="615" t="str">
        <f>IFERROR(WWWW[[#This Row],['#_Water sources passed]]/WWWW[[#This Row],['#_Water sources tested for fecal coliform ]],"no test")</f>
        <v>no test</v>
      </c>
      <c r="CF404" s="416" t="str">
        <f>IFERROR(WWWW[[#This Row],['#_Household passed]]/WWWW[[#This Row],['#_Household water samples tested for fecal coliform]],"no test")</f>
        <v>no test</v>
      </c>
      <c r="CG404" s="417" t="str">
        <f>IF(AND(WWWW[[#This Row],[% of water sources passed]]="no test",WWWW[[#This Row],[% Household passed]]="no test"),"No Test","Tested")</f>
        <v>No Test</v>
      </c>
      <c r="CH404" s="417">
        <f>WWWW[[#This Row],['#_Constructed/existing protected hand dug well]]-WWWW[[#This Row],['#_Non-functional protected hand dug well]]</f>
        <v>0</v>
      </c>
      <c r="CI404" s="417">
        <f>(WWWW[[#This Row],['#_Constructed/Existing tube wells/boreholes/handpumps_WASH_agency]]+WWWW[[#This Row],['#_Non-Cluster partner water tube-wells/boreholes/handpumps]])-WWWW[[#This Row],['#_Non-functional tube wells/boreholes/handpumps]]</f>
        <v>1</v>
      </c>
      <c r="CJ404" s="417">
        <f>WWWW[[#This Row],['#_Constructed/Existingwater storage tank with gravity fed reticulation system]]-WWWW[[#This Row],['#_Non-functional storage tank gravity fed reticulation system]]</f>
        <v>1</v>
      </c>
      <c r="CK404" s="417">
        <f>(WWWW[[#This Row],['#_Water_Liters_supplied_by_Water boating or water trucking]]/90)/15</f>
        <v>0</v>
      </c>
      <c r="CL404" s="417">
        <f>WWWW[[#This Row],['#_Water_Liters_from_Constructed/Existing water distribution system from river or natural spring]]/90/15</f>
        <v>0</v>
      </c>
      <c r="CM404" s="417">
        <f>IF(WWWW[[#This Row],['#_of water points in TLS/CFS]]*500&gt;WWWW[[#This Row],[Total PoP ]],WWWW[[#This Row],[Total PoP ]],WWWW[[#This Row],['#_of water points in TLS/CFS]]*500)</f>
        <v>0</v>
      </c>
      <c r="CN404" s="417">
        <f>IF(WWWW[[#This Row],['#_of water points in THF]]*500&gt;WWWW[[#This Row],[Total PoP ]],WWWW[[#This Row],[Total PoP ]],WWWW[[#This Row],['#_of water points in THF]]*500)</f>
        <v>0</v>
      </c>
      <c r="CO404" s="417"/>
      <c r="CP404"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04"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0.79966329966329974</v>
      </c>
      <c r="CR404" s="416">
        <f>IF(WWWW[[#This Row],[Location Type 1]]="Village",WWWW[[#This Row],[Access to safe drinking water for Village]],WWWW[[#This Row],[Access to safe drinking water for Camp]])</f>
        <v>1</v>
      </c>
      <c r="CS404" s="421">
        <f>WWWW[[#This Row],[%Equitable and continuous access to sufficient quantity of safe drinking water]]*WWWW[[#This Row],[Total PoP ]]</f>
        <v>396</v>
      </c>
      <c r="CT404" s="416">
        <f>IF((WWWW[[#This Row],['#_Constructed/Existing protected/fenced ponds]]*250)/WWWW[[#This Row],[Total PoP ]]&gt;1,1,(WWWW[[#This Row],['#_Constructed/Existing protected/fenced ponds]]*250)/WWWW[[#This Row],[Total PoP ]])</f>
        <v>0</v>
      </c>
      <c r="CU404" s="421">
        <f>WWWW[[#This Row],[% Access to unimproved water points]]*WWWW[[#This Row],[Total PoP ]]</f>
        <v>0</v>
      </c>
      <c r="CV404"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04"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396</v>
      </c>
      <c r="CX404" s="421">
        <f>WWWW[[#This Row],[HRP1]]/500</f>
        <v>0.79200000000000004</v>
      </c>
      <c r="CY404" s="951">
        <f>1-WWWW[[#This Row],[% Equitable and continuous access to sufficient quantity of domestic water]]</f>
        <v>0</v>
      </c>
      <c r="CZ404" s="421">
        <f>WWWW[[#This Row],[%equitable and continuous access to sufficient quantity of safe drinking and domestic water''s GAP]]*WWWW[[#This Row],[Total PoP ]]</f>
        <v>0</v>
      </c>
      <c r="DA404" s="417">
        <f>IF(WWWW[[#This Row],[Total required water points]]-WWWW[[#This Row],['#Water points coverage]]&lt;0,0,WWWW[[#This Row],[Total required water points]]-WWWW[[#This Row],['#Water points coverage]])</f>
        <v>0.20799999999999996</v>
      </c>
      <c r="DB404" s="417">
        <f>ROUND(IF(WWWW[[#This Row],[Total PoP ]]&lt;500,1,WWWW[[#This Row],[Total PoP ]]/500),0)</f>
        <v>1</v>
      </c>
      <c r="DC404" s="417">
        <f>(WWWW[[#This Row],['#_Constructed latrines_by_WASHAgencies]]+WWWW[[#This Row],['#_Non Cluster partner latrines]])-WWWW[[#This Row],['#_Non-functional latrines]]</f>
        <v>20</v>
      </c>
      <c r="DD404" s="615">
        <f>WWWW[[#This Row],[HRP2]]/WWWW[[#This Row],[Total PoP ]]</f>
        <v>1</v>
      </c>
      <c r="DE404"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396</v>
      </c>
      <c r="DF404"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04"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04" s="417">
        <f>IF(WWWW[[#This Row],['# of functional latrines in THF supported by WASH partners during the reporting period2]]="",0,WWWW[[#This Row],['# of functional latrines in THF supported by WASH partners during the reporting period2]]*50)</f>
        <v>0</v>
      </c>
      <c r="DI404" s="417">
        <f>ROUND(IF(WWWW[[#This Row],[Location Type 1]]="camp",WWWW[[#This Row],[Total PoP ]]/20,IF(WWWW[[#This Row],[Location Type 1]]="Temporary Location",WWWW[[#This Row],[Total PoP ]]/50,(WWWW[[#This Row],[Total PoP ]]/6))),0)</f>
        <v>20</v>
      </c>
      <c r="DJ404" s="417">
        <f>IF(WWWW[[#This Row],[Total required Latrines]]-(WWWW[[#This Row],['#_Constructed latrines_by_WASHAgencies]]+WWWW[[#This Row],['#_Non Cluster partner latrines]])&lt;0,0,WWWW[[#This Row],[Total required Latrines]]-(WWWW[[#This Row],['#_Constructed latrines_by_WASHAgencies]]+WWWW[[#This Row],['#_Non Cluster partner latrines]]))</f>
        <v>0</v>
      </c>
      <c r="DK404" s="951">
        <f>1-WWWW[[#This Row],[% people access to functioning Latrine]]</f>
        <v>0</v>
      </c>
      <c r="DL404" s="615">
        <f>IF(OR(WWWW[[#This Row],['#_Non-functional latrines]]="",WWWW[[#This Row],['#_Non-functional latrines]]=0),0,WWWW[[#This Row],['#_Non-functional latrines]]/(WWWW[[#This Row],['#_Constructed latrines_by_WASHAgencies]]+WWWW[[#This Row],['#_Non Cluster partner latrines]]))</f>
        <v>0</v>
      </c>
      <c r="DM404" s="421">
        <f>IF(500*(WWWW[[#This Row],['#_male hygiene promoters]]+WWWW[[#This Row],['#_female hygiene promoters]])&gt;WWWW[[#This Row],[Total PoP ]],WWWW[[#This Row],[Total PoP ]],500*(WWWW[[#This Row],['#_male hygiene promoters]]+WWWW[[#This Row],['#_female hygiene promoters]]))</f>
        <v>396</v>
      </c>
      <c r="DN404"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04"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04" s="417">
        <f>IF(WWWW[[#This Row],['# People with access to soap]]&gt;WWWW[[#This Row],['# People with access to Sanity Pads]],WWWW[[#This Row],['# People with access to soap]],WWWW[[#This Row],['# People with access to Sanity Pads]])</f>
        <v>0</v>
      </c>
      <c r="DQ404" s="417">
        <f>IF(WWWW[[#This Row],['# people reached by regular dedicated hygiene promotion_5]]&gt;WWWW[[#This Row],['# People received regular supply of hygiene items_6]],WWWW[[#This Row],['# people reached by regular dedicated hygiene promotion_5]],WWWW[[#This Row],['# People received regular supply of hygiene items_6]])</f>
        <v>396</v>
      </c>
      <c r="DR404" s="951">
        <f>IF(WWWW[[#This Row],[HRP3]]/WWWW[[#This Row],[Total PoP ]]&gt;1,1,WWWW[[#This Row],[HRP3]]/WWWW[[#This Row],[Total PoP ]])</f>
        <v>1</v>
      </c>
      <c r="DS404" s="615">
        <f>1-WWWW[[#This Row],[Hygiene Coverage%]]</f>
        <v>0</v>
      </c>
      <c r="DT404" s="416">
        <f>WWWW[[#This Row],['# people reached by regular dedicated hygiene promotion_5]]/WWWW[[#This Row],[Total PoP ]]</f>
        <v>1</v>
      </c>
      <c r="DU404"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04"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04" s="417">
        <f>WWWW[[#This Row],['#_Constructed/Existing hand washing stations]]-WWWW[[#This Row],['#_Non-Functional_hand_washing_stations]]</f>
        <v>8</v>
      </c>
      <c r="DX404" s="421">
        <f>IF(WWWW[[#This Row],['# Functional hand washing stations during reporting period]]*20&gt;WWWW[[#This Row],[Total HH]],WWWW[[#This Row],[Total HH]],WWWW[[#This Row],['# Functional hand washing stations during reporting period]]*20)</f>
        <v>85</v>
      </c>
      <c r="DY404" s="421">
        <f>IF(WWWW[[#This Row],[Is sufficient soap available for TLS? (Yes/No)]]="yes",WWWW[[#This Row],['#_Constructed/Existing hand washing stations at TLS/CFS/THF]],0)</f>
        <v>8</v>
      </c>
      <c r="DZ404" s="421">
        <f>IF(WWWW[[#This Row],['# Functional hand washing stations during reporting period]]*100&gt;WWWW[[#This Row],[Total PoP ]],WWWW[[#This Row],[Total PoP ]],WWWW[[#This Row],['# Functional hand washing stations during reporting period]]*100)</f>
        <v>396</v>
      </c>
      <c r="EA404" s="421" t="str">
        <f>IF(OR(WWWW[[#This Row],['#_students at TLS_CFS]]="",WWWW[[#This Row],['#_students at TLS_CFS]]=0),"No","Yes")</f>
        <v>No</v>
      </c>
      <c r="EB404"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04" s="566">
        <f>WWWW[[#This Row],[%_of_affected_people_surveyed_who_report_feeling_satistfied_with_the_latrine_design_and_sanitation_service]]*WWWW[[#This Row],[Total PoP ]]</f>
        <v>0</v>
      </c>
      <c r="ED404" s="566">
        <f>WWWW[[#This Row],[%_of_affected_people_surveyed_who_report_feeling_satistfied_with_the_water_point_design_and_water_service]]*WWWW[[#This Row],[Total PoP ]]</f>
        <v>0</v>
      </c>
      <c r="EE404" s="566">
        <f>WWWW[[#This Row],[%_of_complaints_received_that_result_in_timely_corrective_action_and_feedback_to_the_community]]*WWWW[[#This Row],[Total PoP ]]</f>
        <v>0</v>
      </c>
      <c r="EF404"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04"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04"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04" s="418" t="str">
        <f>VLOOKUP(WWWW[[#This Row],[Site Name]],SiteDB6[[Site Name]:[CCCM Management]],6,FALSE)</f>
        <v>Yes</v>
      </c>
      <c r="EJ404" s="418" t="str">
        <f>VLOOKUP(WWWW[[#This Row],[Site Name]],SiteDB6[[Site Name]:[CCCM Focal Agency]],7,FALSE)</f>
        <v>KBC-NSS</v>
      </c>
      <c r="EK404" s="418" t="str">
        <f>VLOOKUP(WWWW[[#This Row],[Site Name]],SiteDB6[[Site Name]:[Location Type 1]],9,FALSE)</f>
        <v>Camp</v>
      </c>
      <c r="EL404" s="418" t="str">
        <f>VLOOKUP(WWWW[[#This Row],[Site Name]],SiteDB6[[Site Name]:[Type of Accommodation]],10,FALSE)</f>
        <v>Camp</v>
      </c>
      <c r="EM404" s="418" t="str">
        <f>VLOOKUP(WWWW[[#This Row],[Site Name]],SiteDB6[[Site Name]:[Ethnic or GCA/NGCA]],11,FALSE)</f>
        <v>GCA</v>
      </c>
      <c r="EN404" s="418">
        <f>VLOOKUP(WWWW[[#This Row],[Site Name]],SiteDB6[[Site Name]:[Lat]],12,FALSE)</f>
        <v>23.821380000000001</v>
      </c>
      <c r="EO404" s="418">
        <f>VLOOKUP(WWWW[[#This Row],[Site Name]],SiteDB6[[Site Name]:[Long]],13,FALSE)</f>
        <v>97.681970000000007</v>
      </c>
      <c r="EP404" s="418" t="str">
        <f>VLOOKUP(WWWW[[#This Row],[Site Name]],SiteDB6[[Site Name]:[Pcode]],3,FALSE)</f>
        <v>MMR015CMP004</v>
      </c>
      <c r="EQ404" s="950" t="str">
        <f t="shared" si="9"/>
        <v>Covered</v>
      </c>
      <c r="ER404" s="950" t="s">
        <v>3126</v>
      </c>
      <c r="ES404" s="950" t="s">
        <v>3311</v>
      </c>
      <c r="ET404" s="418">
        <f>VLOOKUP(WWWW[[#This Row],[Site Name]],SiteDB6[[Site Name]:[Pop
(Kachin/Shan-CCCM as of May 2023)]],16,FALSE)</f>
        <v>89</v>
      </c>
      <c r="EU404" s="418">
        <f>VLOOKUP(WWWW[[#This Row],[Site Name]],SiteDB6[[Site Name]:[Pop
(Kachin/Shan-CCCM as of May 2023)]],17,FALSE)</f>
        <v>407</v>
      </c>
    </row>
    <row r="405" spans="1:151">
      <c r="A405" s="946" t="s">
        <v>2962</v>
      </c>
      <c r="B405" s="946" t="s">
        <v>192</v>
      </c>
      <c r="C405" s="938" t="s">
        <v>192</v>
      </c>
      <c r="D405" s="938" t="s">
        <v>299</v>
      </c>
      <c r="E405" s="938" t="s">
        <v>515</v>
      </c>
      <c r="F405" s="938" t="s">
        <v>516</v>
      </c>
      <c r="G405" s="902" t="str">
        <f>VLOOKUP(WWWW[[#This Row],[Site Name]],SiteDB6[[Site Name]:[Location Type]],8,FALSE)</f>
        <v>Camp</v>
      </c>
      <c r="H405" s="938" t="s">
        <v>562</v>
      </c>
      <c r="I405" s="441">
        <v>64</v>
      </c>
      <c r="J405" s="441">
        <v>323</v>
      </c>
      <c r="K405" s="964">
        <v>44511</v>
      </c>
      <c r="L405" s="965">
        <v>45146</v>
      </c>
      <c r="M405" s="441"/>
      <c r="N405" s="441">
        <v>1</v>
      </c>
      <c r="O405" s="441">
        <v>1</v>
      </c>
      <c r="P405" s="441"/>
      <c r="Q405" s="421" t="s">
        <v>41</v>
      </c>
      <c r="R405" s="441"/>
      <c r="S405" s="441"/>
      <c r="T405" s="441"/>
      <c r="U405" s="441"/>
      <c r="V405" s="441"/>
      <c r="W405" s="441"/>
      <c r="X405" s="441">
        <v>1</v>
      </c>
      <c r="Y405" s="441"/>
      <c r="Z405" s="441"/>
      <c r="AA405" s="441"/>
      <c r="AB405" s="441"/>
      <c r="AC405" s="441"/>
      <c r="AD405" s="441"/>
      <c r="AE405" s="441"/>
      <c r="AF405" s="441"/>
      <c r="AG405" s="441"/>
      <c r="AH405" s="441"/>
      <c r="AI405" s="441"/>
      <c r="AJ405" s="441"/>
      <c r="AK405" s="441"/>
      <c r="AL405" s="441"/>
      <c r="AM405" s="441"/>
      <c r="AN405" s="441"/>
      <c r="AO405" s="441"/>
      <c r="AP405" s="950"/>
      <c r="AQ405" s="441">
        <v>10</v>
      </c>
      <c r="AR405" s="441"/>
      <c r="AS405" s="416"/>
      <c r="AT405" s="441"/>
      <c r="AU405" s="441"/>
      <c r="AV405" s="441"/>
      <c r="AW405" s="441"/>
      <c r="AX405" s="441"/>
      <c r="AY405" s="418" t="s">
        <v>140</v>
      </c>
      <c r="AZ405" s="950" t="s">
        <v>140</v>
      </c>
      <c r="BA405" s="441"/>
      <c r="BB405" s="441"/>
      <c r="BC405" s="441"/>
      <c r="BD405" s="441"/>
      <c r="BE405" s="441"/>
      <c r="BF405" s="418"/>
      <c r="BG405" s="441">
        <v>7</v>
      </c>
      <c r="BH405" s="441"/>
      <c r="BI405" s="441"/>
      <c r="BJ405" s="441">
        <v>7</v>
      </c>
      <c r="BK405" s="441"/>
      <c r="BL405" s="441"/>
      <c r="BM405" s="441"/>
      <c r="BN405" s="441"/>
      <c r="BO405" s="441"/>
      <c r="BP405" s="418" t="s">
        <v>41</v>
      </c>
      <c r="BQ405" s="417"/>
      <c r="BR405" s="416"/>
      <c r="BS405" s="418"/>
      <c r="BT405" s="416"/>
      <c r="BU405" s="416"/>
      <c r="BV405" s="418"/>
      <c r="BW405" s="416"/>
      <c r="BX405" s="441"/>
      <c r="BY405" s="441"/>
      <c r="BZ405" s="441"/>
      <c r="CA405" s="441"/>
      <c r="CB405" s="441"/>
      <c r="CC405" s="693"/>
      <c r="CD405" s="441"/>
      <c r="CE405" s="615" t="str">
        <f>IFERROR(WWWW[[#This Row],['#_Water sources passed]]/WWWW[[#This Row],['#_Water sources tested for fecal coliform ]],"no test")</f>
        <v>no test</v>
      </c>
      <c r="CF405" s="416" t="str">
        <f>IFERROR(WWWW[[#This Row],['#_Household passed]]/WWWW[[#This Row],['#_Household water samples tested for fecal coliform]],"no test")</f>
        <v>no test</v>
      </c>
      <c r="CG405" s="417" t="str">
        <f>IF(AND(WWWW[[#This Row],[% of water sources passed]]="no test",WWWW[[#This Row],[% Household passed]]="no test"),"No Test","Tested")</f>
        <v>No Test</v>
      </c>
      <c r="CH405" s="417">
        <f>WWWW[[#This Row],['#_Constructed/existing protected hand dug well]]-WWWW[[#This Row],['#_Non-functional protected hand dug well]]</f>
        <v>0</v>
      </c>
      <c r="CI405" s="417">
        <f>(WWWW[[#This Row],['#_Constructed/Existing tube wells/boreholes/handpumps_WASH_agency]]+WWWW[[#This Row],['#_Non-Cluster partner water tube-wells/boreholes/handpumps]])-WWWW[[#This Row],['#_Non-functional tube wells/boreholes/handpumps]]</f>
        <v>1</v>
      </c>
      <c r="CJ405" s="417">
        <f>WWWW[[#This Row],['#_Constructed/Existingwater storage tank with gravity fed reticulation system]]-WWWW[[#This Row],['#_Non-functional storage tank gravity fed reticulation system]]</f>
        <v>0</v>
      </c>
      <c r="CK405" s="417">
        <f>(WWWW[[#This Row],['#_Water_Liters_supplied_by_Water boating or water trucking]]/90)/15</f>
        <v>0</v>
      </c>
      <c r="CL405" s="417">
        <f>WWWW[[#This Row],['#_Water_Liters_from_Constructed/Existing water distribution system from river or natural spring]]/90/15</f>
        <v>0</v>
      </c>
      <c r="CM405" s="417">
        <f>IF(WWWW[[#This Row],['#_of water points in TLS/CFS]]*500&gt;WWWW[[#This Row],[Total PoP ]],WWWW[[#This Row],[Total PoP ]],WWWW[[#This Row],['#_of water points in TLS/CFS]]*500)</f>
        <v>0</v>
      </c>
      <c r="CN405" s="417">
        <f>IF(WWWW[[#This Row],['#_of water points in THF]]*500&gt;WWWW[[#This Row],[Total PoP ]],WWWW[[#This Row],[Total PoP ]],WWWW[[#This Row],['#_of water points in THF]]*500)</f>
        <v>0</v>
      </c>
      <c r="CO405" s="417"/>
      <c r="CP405"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05"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0.77399380804953566</v>
      </c>
      <c r="CR405" s="416">
        <f>IF(WWWW[[#This Row],[Location Type 1]]="Village",WWWW[[#This Row],[Access to safe drinking water for Village]],WWWW[[#This Row],[Access to safe drinking water for Camp]])</f>
        <v>1</v>
      </c>
      <c r="CS405" s="421">
        <f>WWWW[[#This Row],[%Equitable and continuous access to sufficient quantity of safe drinking water]]*WWWW[[#This Row],[Total PoP ]]</f>
        <v>323</v>
      </c>
      <c r="CT405" s="416">
        <f>IF((WWWW[[#This Row],['#_Constructed/Existing protected/fenced ponds]]*250)/WWWW[[#This Row],[Total PoP ]]&gt;1,1,(WWWW[[#This Row],['#_Constructed/Existing protected/fenced ponds]]*250)/WWWW[[#This Row],[Total PoP ]])</f>
        <v>0</v>
      </c>
      <c r="CU405" s="421">
        <f>WWWW[[#This Row],[% Access to unimproved water points]]*WWWW[[#This Row],[Total PoP ]]</f>
        <v>0</v>
      </c>
      <c r="CV405"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05"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323</v>
      </c>
      <c r="CX405" s="421">
        <f>WWWW[[#This Row],[HRP1]]/500</f>
        <v>0.64600000000000002</v>
      </c>
      <c r="CY405" s="951">
        <f>1-WWWW[[#This Row],[% Equitable and continuous access to sufficient quantity of domestic water]]</f>
        <v>0</v>
      </c>
      <c r="CZ405" s="421">
        <f>WWWW[[#This Row],[%equitable and continuous access to sufficient quantity of safe drinking and domestic water''s GAP]]*WWWW[[#This Row],[Total PoP ]]</f>
        <v>0</v>
      </c>
      <c r="DA405" s="417">
        <f>IF(WWWW[[#This Row],[Total required water points]]-WWWW[[#This Row],['#Water points coverage]]&lt;0,0,WWWW[[#This Row],[Total required water points]]-WWWW[[#This Row],['#Water points coverage]])</f>
        <v>0.35399999999999998</v>
      </c>
      <c r="DB405" s="417">
        <f>ROUND(IF(WWWW[[#This Row],[Total PoP ]]&lt;500,1,WWWW[[#This Row],[Total PoP ]]/500),0)</f>
        <v>1</v>
      </c>
      <c r="DC405" s="417">
        <f>(WWWW[[#This Row],['#_Constructed latrines_by_WASHAgencies]]+WWWW[[#This Row],['#_Non Cluster partner latrines]])-WWWW[[#This Row],['#_Non-functional latrines]]</f>
        <v>10</v>
      </c>
      <c r="DD405" s="615">
        <f>WWWW[[#This Row],[HRP2]]/WWWW[[#This Row],[Total PoP ]]</f>
        <v>0.61919504643962853</v>
      </c>
      <c r="DE405"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200</v>
      </c>
      <c r="DF405"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05"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05" s="417">
        <f>IF(WWWW[[#This Row],['# of functional latrines in THF supported by WASH partners during the reporting period2]]="",0,WWWW[[#This Row],['# of functional latrines in THF supported by WASH partners during the reporting period2]]*50)</f>
        <v>0</v>
      </c>
      <c r="DI405" s="417">
        <f>ROUND(IF(WWWW[[#This Row],[Location Type 1]]="camp",WWWW[[#This Row],[Total PoP ]]/20,IF(WWWW[[#This Row],[Location Type 1]]="Temporary Location",WWWW[[#This Row],[Total PoP ]]/50,(WWWW[[#This Row],[Total PoP ]]/6))),0)</f>
        <v>16</v>
      </c>
      <c r="DJ405" s="417">
        <f>IF(WWWW[[#This Row],[Total required Latrines]]-(WWWW[[#This Row],['#_Constructed latrines_by_WASHAgencies]]+WWWW[[#This Row],['#_Non Cluster partner latrines]])&lt;0,0,WWWW[[#This Row],[Total required Latrines]]-(WWWW[[#This Row],['#_Constructed latrines_by_WASHAgencies]]+WWWW[[#This Row],['#_Non Cluster partner latrines]]))</f>
        <v>6</v>
      </c>
      <c r="DK405" s="951">
        <f>1-WWWW[[#This Row],[% people access to functioning Latrine]]</f>
        <v>0.38080495356037147</v>
      </c>
      <c r="DL405" s="615">
        <f>IF(OR(WWWW[[#This Row],['#_Non-functional latrines]]="",WWWW[[#This Row],['#_Non-functional latrines]]=0),0,WWWW[[#This Row],['#_Non-functional latrines]]/(WWWW[[#This Row],['#_Constructed latrines_by_WASHAgencies]]+WWWW[[#This Row],['#_Non Cluster partner latrines]]))</f>
        <v>0</v>
      </c>
      <c r="DM405" s="421">
        <f>IF(500*(WWWW[[#This Row],['#_male hygiene promoters]]+WWWW[[#This Row],['#_female hygiene promoters]])&gt;WWWW[[#This Row],[Total PoP ]],WWWW[[#This Row],[Total PoP ]],500*(WWWW[[#This Row],['#_male hygiene promoters]]+WWWW[[#This Row],['#_female hygiene promoters]]))</f>
        <v>0</v>
      </c>
      <c r="DN405"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05"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05" s="417">
        <f>IF(WWWW[[#This Row],['# People with access to soap]]&gt;WWWW[[#This Row],['# People with access to Sanity Pads]],WWWW[[#This Row],['# People with access to soap]],WWWW[[#This Row],['# People with access to Sanity Pads]])</f>
        <v>0</v>
      </c>
      <c r="DQ405"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05" s="951">
        <f>IF(WWWW[[#This Row],[HRP3]]/WWWW[[#This Row],[Total PoP ]]&gt;1,1,WWWW[[#This Row],[HRP3]]/WWWW[[#This Row],[Total PoP ]])</f>
        <v>0</v>
      </c>
      <c r="DS405" s="615">
        <f>1-WWWW[[#This Row],[Hygiene Coverage%]]</f>
        <v>1</v>
      </c>
      <c r="DT405" s="416">
        <f>WWWW[[#This Row],['# people reached by regular dedicated hygiene promotion_5]]/WWWW[[#This Row],[Total PoP ]]</f>
        <v>0</v>
      </c>
      <c r="DU405"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05"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05" s="417">
        <f>WWWW[[#This Row],['#_Constructed/Existing hand washing stations]]-WWWW[[#This Row],['#_Non-Functional_hand_washing_stations]]</f>
        <v>7</v>
      </c>
      <c r="DX405" s="421">
        <f>IF(WWWW[[#This Row],['# Functional hand washing stations during reporting period]]*20&gt;WWWW[[#This Row],[Total HH]],WWWW[[#This Row],[Total HH]],WWWW[[#This Row],['# Functional hand washing stations during reporting period]]*20)</f>
        <v>64</v>
      </c>
      <c r="DY405" s="421">
        <f>IF(WWWW[[#This Row],[Is sufficient soap available for TLS? (Yes/No)]]="yes",WWWW[[#This Row],['#_Constructed/Existing hand washing stations at TLS/CFS/THF]],0)</f>
        <v>0</v>
      </c>
      <c r="DZ405" s="421">
        <f>IF(WWWW[[#This Row],['# Functional hand washing stations during reporting period]]*100&gt;WWWW[[#This Row],[Total PoP ]],WWWW[[#This Row],[Total PoP ]],WWWW[[#This Row],['# Functional hand washing stations during reporting period]]*100)</f>
        <v>323</v>
      </c>
      <c r="EA405" s="421" t="str">
        <f>IF(OR(WWWW[[#This Row],['#_students at TLS_CFS]]="",WWWW[[#This Row],['#_students at TLS_CFS]]=0),"No","Yes")</f>
        <v>No</v>
      </c>
      <c r="EB405"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05" s="566">
        <f>WWWW[[#This Row],[%_of_affected_people_surveyed_who_report_feeling_satistfied_with_the_latrine_design_and_sanitation_service]]*WWWW[[#This Row],[Total PoP ]]</f>
        <v>0</v>
      </c>
      <c r="ED405" s="566">
        <f>WWWW[[#This Row],[%_of_affected_people_surveyed_who_report_feeling_satistfied_with_the_water_point_design_and_water_service]]*WWWW[[#This Row],[Total PoP ]]</f>
        <v>0</v>
      </c>
      <c r="EE405" s="566">
        <f>WWWW[[#This Row],[%_of_complaints_received_that_result_in_timely_corrective_action_and_feedback_to_the_community]]*WWWW[[#This Row],[Total PoP ]]</f>
        <v>0</v>
      </c>
      <c r="EF405"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05"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05"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05" s="418" t="str">
        <f>VLOOKUP(WWWW[[#This Row],[Site Name]],SiteDB6[[Site Name]:[CCCM Management]],6,FALSE)</f>
        <v>Yes</v>
      </c>
      <c r="EJ405" s="418" t="str">
        <f>VLOOKUP(WWWW[[#This Row],[Site Name]],SiteDB6[[Site Name]:[CCCM Focal Agency]],7,FALSE)</f>
        <v>KBC-NSS</v>
      </c>
      <c r="EK405" s="418" t="str">
        <f>VLOOKUP(WWWW[[#This Row],[Site Name]],SiteDB6[[Site Name]:[Location Type 1]],9,FALSE)</f>
        <v>Camp</v>
      </c>
      <c r="EL405" s="418" t="str">
        <f>VLOOKUP(WWWW[[#This Row],[Site Name]],SiteDB6[[Site Name]:[Type of Accommodation]],10,FALSE)</f>
        <v>Camp</v>
      </c>
      <c r="EM405" s="418" t="str">
        <f>VLOOKUP(WWWW[[#This Row],[Site Name]],SiteDB6[[Site Name]:[Ethnic or GCA/NGCA]],11,FALSE)</f>
        <v>GCA</v>
      </c>
      <c r="EN405" s="418">
        <f>VLOOKUP(WWWW[[#This Row],[Site Name]],SiteDB6[[Site Name]:[Lat]],12,FALSE)</f>
        <v>23.828520000000001</v>
      </c>
      <c r="EO405" s="418">
        <f>VLOOKUP(WWWW[[#This Row],[Site Name]],SiteDB6[[Site Name]:[Long]],13,FALSE)</f>
        <v>97.669557999999995</v>
      </c>
      <c r="EP405" s="418" t="str">
        <f>VLOOKUP(WWWW[[#This Row],[Site Name]],SiteDB6[[Site Name]:[Pcode]],3,FALSE)</f>
        <v>MMR015CMP001</v>
      </c>
      <c r="EQ405" s="950" t="str">
        <f t="shared" si="9"/>
        <v>Covered</v>
      </c>
      <c r="ER405" s="950" t="s">
        <v>3126</v>
      </c>
      <c r="ES405" s="950" t="s">
        <v>3311</v>
      </c>
      <c r="ET405" s="418">
        <f>VLOOKUP(WWWW[[#This Row],[Site Name]],SiteDB6[[Site Name]:[Pop
(Kachin/Shan-CCCM as of May 2023)]],16,FALSE)</f>
        <v>51</v>
      </c>
      <c r="EU405" s="418">
        <f>VLOOKUP(WWWW[[#This Row],[Site Name]],SiteDB6[[Site Name]:[Pop
(Kachin/Shan-CCCM as of May 2023)]],17,FALSE)</f>
        <v>250</v>
      </c>
    </row>
    <row r="406" spans="1:151">
      <c r="A406" s="946" t="s">
        <v>2962</v>
      </c>
      <c r="B406" s="946" t="s">
        <v>192</v>
      </c>
      <c r="C406" s="938" t="s">
        <v>2341</v>
      </c>
      <c r="D406" s="938" t="s">
        <v>299</v>
      </c>
      <c r="E406" s="938" t="s">
        <v>515</v>
      </c>
      <c r="F406" s="938" t="s">
        <v>516</v>
      </c>
      <c r="G406" s="902" t="str">
        <f>VLOOKUP(WWWW[[#This Row],[Site Name]],SiteDB6[[Site Name]:[Location Type]],8,FALSE)</f>
        <v>Camp</v>
      </c>
      <c r="H406" s="938" t="s">
        <v>517</v>
      </c>
      <c r="I406" s="441">
        <v>44</v>
      </c>
      <c r="J406" s="441">
        <v>213</v>
      </c>
      <c r="K406" s="964">
        <v>44511</v>
      </c>
      <c r="L406" s="965">
        <v>45146</v>
      </c>
      <c r="M406" s="441"/>
      <c r="N406" s="441">
        <v>2</v>
      </c>
      <c r="O406" s="441"/>
      <c r="P406" s="441"/>
      <c r="Q406" s="421" t="s">
        <v>41</v>
      </c>
      <c r="R406" s="441">
        <v>3</v>
      </c>
      <c r="S406" s="441">
        <v>9</v>
      </c>
      <c r="T406" s="441">
        <v>1</v>
      </c>
      <c r="U406" s="441"/>
      <c r="V406" s="441"/>
      <c r="W406" s="441"/>
      <c r="X406" s="441">
        <v>2</v>
      </c>
      <c r="Y406" s="441"/>
      <c r="Z406" s="441"/>
      <c r="AA406" s="441"/>
      <c r="AB406" s="441"/>
      <c r="AC406" s="441"/>
      <c r="AD406" s="441"/>
      <c r="AE406" s="441">
        <v>1</v>
      </c>
      <c r="AF406" s="441"/>
      <c r="AG406" s="441"/>
      <c r="AH406" s="441">
        <v>2</v>
      </c>
      <c r="AI406" s="441"/>
      <c r="AJ406" s="441"/>
      <c r="AK406" s="441"/>
      <c r="AL406" s="441"/>
      <c r="AM406" s="441">
        <v>3</v>
      </c>
      <c r="AN406" s="441"/>
      <c r="AO406" s="441"/>
      <c r="AP406" s="950"/>
      <c r="AQ406" s="441">
        <v>14</v>
      </c>
      <c r="AR406" s="441"/>
      <c r="AS406" s="416"/>
      <c r="AT406" s="441"/>
      <c r="AU406" s="441"/>
      <c r="AV406" s="441"/>
      <c r="AW406" s="441"/>
      <c r="AX406" s="441">
        <v>14</v>
      </c>
      <c r="AY406" s="418" t="s">
        <v>41</v>
      </c>
      <c r="AZ406" s="950" t="s">
        <v>137</v>
      </c>
      <c r="BA406" s="441"/>
      <c r="BB406" s="441"/>
      <c r="BC406" s="441"/>
      <c r="BD406" s="441"/>
      <c r="BE406" s="441"/>
      <c r="BF406" s="418"/>
      <c r="BG406" s="441">
        <v>3</v>
      </c>
      <c r="BH406" s="441"/>
      <c r="BI406" s="441"/>
      <c r="BJ406" s="441">
        <v>2</v>
      </c>
      <c r="BK406" s="441"/>
      <c r="BL406" s="441">
        <v>1</v>
      </c>
      <c r="BM406" s="441">
        <v>1</v>
      </c>
      <c r="BN406" s="441"/>
      <c r="BO406" s="441"/>
      <c r="BP406" s="418" t="s">
        <v>41</v>
      </c>
      <c r="BQ406" s="417"/>
      <c r="BR406" s="416"/>
      <c r="BS406" s="418"/>
      <c r="BT406" s="416"/>
      <c r="BU406" s="416"/>
      <c r="BV406" s="418"/>
      <c r="BW406" s="416"/>
      <c r="BX406" s="441"/>
      <c r="BY406" s="441"/>
      <c r="BZ406" s="441"/>
      <c r="CA406" s="441"/>
      <c r="CB406" s="441"/>
      <c r="CC406" s="693"/>
      <c r="CD406" s="441"/>
      <c r="CE406" s="615" t="str">
        <f>IFERROR(WWWW[[#This Row],['#_Water sources passed]]/WWWW[[#This Row],['#_Water sources tested for fecal coliform ]],"no test")</f>
        <v>no test</v>
      </c>
      <c r="CF406" s="416" t="str">
        <f>IFERROR(WWWW[[#This Row],['#_Household passed]]/WWWW[[#This Row],['#_Household water samples tested for fecal coliform]],"no test")</f>
        <v>no test</v>
      </c>
      <c r="CG406" s="417" t="str">
        <f>IF(AND(WWWW[[#This Row],[% of water sources passed]]="no test",WWWW[[#This Row],[% Household passed]]="no test"),"No Test","Tested")</f>
        <v>No Test</v>
      </c>
      <c r="CH406" s="417">
        <f>WWWW[[#This Row],['#_Constructed/existing protected hand dug well]]-WWWW[[#This Row],['#_Non-functional protected hand dug well]]</f>
        <v>1</v>
      </c>
      <c r="CI406" s="417">
        <f>(WWWW[[#This Row],['#_Constructed/Existing tube wells/boreholes/handpumps_WASH_agency]]+WWWW[[#This Row],['#_Non-Cluster partner water tube-wells/boreholes/handpumps]])-WWWW[[#This Row],['#_Non-functional tube wells/boreholes/handpumps]]</f>
        <v>2</v>
      </c>
      <c r="CJ406" s="417">
        <f>WWWW[[#This Row],['#_Constructed/Existingwater storage tank with gravity fed reticulation system]]-WWWW[[#This Row],['#_Non-functional storage tank gravity fed reticulation system]]</f>
        <v>0</v>
      </c>
      <c r="CK406" s="417">
        <f>(WWWW[[#This Row],['#_Water_Liters_supplied_by_Water boating or water trucking]]/90)/15</f>
        <v>0</v>
      </c>
      <c r="CL406" s="417">
        <f>WWWW[[#This Row],['#_Water_Liters_from_Constructed/Existing water distribution system from river or natural spring]]/90/15</f>
        <v>0</v>
      </c>
      <c r="CM406" s="417">
        <f>IF(WWWW[[#This Row],['#_of water points in TLS/CFS]]*500&gt;WWWW[[#This Row],[Total PoP ]],WWWW[[#This Row],[Total PoP ]],WWWW[[#This Row],['#_of water points in TLS/CFS]]*500)</f>
        <v>0</v>
      </c>
      <c r="CN406" s="417">
        <f>IF(WWWW[[#This Row],['#_of water points in THF]]*500&gt;WWWW[[#This Row],[Total PoP ]],WWWW[[#This Row],[Total PoP ]],WWWW[[#This Row],['#_of water points in THF]]*500)</f>
        <v>0</v>
      </c>
      <c r="CO406" s="417"/>
      <c r="CP406"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1</v>
      </c>
      <c r="CQ406"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1</v>
      </c>
      <c r="CR406" s="416">
        <f>IF(WWWW[[#This Row],[Location Type 1]]="Village",WWWW[[#This Row],[Access to safe drinking water for Village]],WWWW[[#This Row],[Access to safe drinking water for Camp]])</f>
        <v>1</v>
      </c>
      <c r="CS406" s="421">
        <f>WWWW[[#This Row],[%Equitable and continuous access to sufficient quantity of safe drinking water]]*WWWW[[#This Row],[Total PoP ]]</f>
        <v>213</v>
      </c>
      <c r="CT406" s="416">
        <f>IF((WWWW[[#This Row],['#_Constructed/Existing protected/fenced ponds]]*250)/WWWW[[#This Row],[Total PoP ]]&gt;1,1,(WWWW[[#This Row],['#_Constructed/Existing protected/fenced ponds]]*250)/WWWW[[#This Row],[Total PoP ]])</f>
        <v>1</v>
      </c>
      <c r="CU406" s="421">
        <f>WWWW[[#This Row],[% Access to unimproved water points]]*WWWW[[#This Row],[Total PoP ]]</f>
        <v>213</v>
      </c>
      <c r="CV406"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CW406"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213</v>
      </c>
      <c r="CX406" s="421">
        <f>WWWW[[#This Row],[HRP1]]/500</f>
        <v>0.42599999999999999</v>
      </c>
      <c r="CY406" s="951">
        <f>1-WWWW[[#This Row],[% Equitable and continuous access to sufficient quantity of domestic water]]</f>
        <v>0</v>
      </c>
      <c r="CZ406" s="421">
        <f>WWWW[[#This Row],[%equitable and continuous access to sufficient quantity of safe drinking and domestic water''s GAP]]*WWWW[[#This Row],[Total PoP ]]</f>
        <v>0</v>
      </c>
      <c r="DA406" s="417">
        <f>IF(WWWW[[#This Row],[Total required water points]]-WWWW[[#This Row],['#Water points coverage]]&lt;0,0,WWWW[[#This Row],[Total required water points]]-WWWW[[#This Row],['#Water points coverage]])</f>
        <v>0.57400000000000007</v>
      </c>
      <c r="DB406" s="417">
        <f>ROUND(IF(WWWW[[#This Row],[Total PoP ]]&lt;500,1,WWWW[[#This Row],[Total PoP ]]/500),0)</f>
        <v>1</v>
      </c>
      <c r="DC406" s="417">
        <f>(WWWW[[#This Row],['#_Constructed latrines_by_WASHAgencies]]+WWWW[[#This Row],['#_Non Cluster partner latrines]])-WWWW[[#This Row],['#_Non-functional latrines]]</f>
        <v>14</v>
      </c>
      <c r="DD406" s="615">
        <f>WWWW[[#This Row],[HRP2]]/WWWW[[#This Row],[Total PoP ]]</f>
        <v>1</v>
      </c>
      <c r="DE406"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213</v>
      </c>
      <c r="DF406"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06"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06" s="417">
        <f>IF(WWWW[[#This Row],['# of functional latrines in THF supported by WASH partners during the reporting period2]]="",0,WWWW[[#This Row],['# of functional latrines in THF supported by WASH partners during the reporting period2]]*50)</f>
        <v>0</v>
      </c>
      <c r="DI406" s="417">
        <f>ROUND(IF(WWWW[[#This Row],[Location Type 1]]="camp",WWWW[[#This Row],[Total PoP ]]/20,IF(WWWW[[#This Row],[Location Type 1]]="Temporary Location",WWWW[[#This Row],[Total PoP ]]/50,(WWWW[[#This Row],[Total PoP ]]/6))),0)</f>
        <v>11</v>
      </c>
      <c r="DJ406" s="417">
        <f>IF(WWWW[[#This Row],[Total required Latrines]]-(WWWW[[#This Row],['#_Constructed latrines_by_WASHAgencies]]+WWWW[[#This Row],['#_Non Cluster partner latrines]])&lt;0,0,WWWW[[#This Row],[Total required Latrines]]-(WWWW[[#This Row],['#_Constructed latrines_by_WASHAgencies]]+WWWW[[#This Row],['#_Non Cluster partner latrines]]))</f>
        <v>0</v>
      </c>
      <c r="DK406" s="951">
        <f>1-WWWW[[#This Row],[% people access to functioning Latrine]]</f>
        <v>0</v>
      </c>
      <c r="DL406" s="615">
        <f>IF(OR(WWWW[[#This Row],['#_Non-functional latrines]]="",WWWW[[#This Row],['#_Non-functional latrines]]=0),0,WWWW[[#This Row],['#_Non-functional latrines]]/(WWWW[[#This Row],['#_Constructed latrines_by_WASHAgencies]]+WWWW[[#This Row],['#_Non Cluster partner latrines]]))</f>
        <v>0</v>
      </c>
      <c r="DM406" s="421">
        <f>IF(500*(WWWW[[#This Row],['#_male hygiene promoters]]+WWWW[[#This Row],['#_female hygiene promoters]])&gt;WWWW[[#This Row],[Total PoP ]],WWWW[[#This Row],[Total PoP ]],500*(WWWW[[#This Row],['#_male hygiene promoters]]+WWWW[[#This Row],['#_female hygiene promoters]]))</f>
        <v>213</v>
      </c>
      <c r="DN406"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06"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06" s="417">
        <f>IF(WWWW[[#This Row],['# People with access to soap]]&gt;WWWW[[#This Row],['# People with access to Sanity Pads]],WWWW[[#This Row],['# People with access to soap]],WWWW[[#This Row],['# People with access to Sanity Pads]])</f>
        <v>0</v>
      </c>
      <c r="DQ406" s="417">
        <f>IF(WWWW[[#This Row],['# people reached by regular dedicated hygiene promotion_5]]&gt;WWWW[[#This Row],['# People received regular supply of hygiene items_6]],WWWW[[#This Row],['# people reached by regular dedicated hygiene promotion_5]],WWWW[[#This Row],['# People received regular supply of hygiene items_6]])</f>
        <v>213</v>
      </c>
      <c r="DR406" s="951">
        <f>IF(WWWW[[#This Row],[HRP3]]/WWWW[[#This Row],[Total PoP ]]&gt;1,1,WWWW[[#This Row],[HRP3]]/WWWW[[#This Row],[Total PoP ]])</f>
        <v>1</v>
      </c>
      <c r="DS406" s="615">
        <f>1-WWWW[[#This Row],[Hygiene Coverage%]]</f>
        <v>0</v>
      </c>
      <c r="DT406" s="416">
        <f>WWWW[[#This Row],['# people reached by regular dedicated hygiene promotion_5]]/WWWW[[#This Row],[Total PoP ]]</f>
        <v>1</v>
      </c>
      <c r="DU406"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06"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06" s="417">
        <f>WWWW[[#This Row],['#_Constructed/Existing hand washing stations]]-WWWW[[#This Row],['#_Non-Functional_hand_washing_stations]]</f>
        <v>3</v>
      </c>
      <c r="DX406" s="421">
        <f>IF(WWWW[[#This Row],['# Functional hand washing stations during reporting period]]*20&gt;WWWW[[#This Row],[Total HH]],WWWW[[#This Row],[Total HH]],WWWW[[#This Row],['# Functional hand washing stations during reporting period]]*20)</f>
        <v>44</v>
      </c>
      <c r="DY406" s="421">
        <f>IF(WWWW[[#This Row],[Is sufficient soap available for TLS? (Yes/No)]]="yes",WWWW[[#This Row],['#_Constructed/Existing hand washing stations at TLS/CFS/THF]],0)</f>
        <v>3</v>
      </c>
      <c r="DZ406" s="421">
        <f>IF(WWWW[[#This Row],['# Functional hand washing stations during reporting period]]*100&gt;WWWW[[#This Row],[Total PoP ]],WWWW[[#This Row],[Total PoP ]],WWWW[[#This Row],['# Functional hand washing stations during reporting period]]*100)</f>
        <v>213</v>
      </c>
      <c r="EA406" s="421" t="str">
        <f>IF(OR(WWWW[[#This Row],['#_students at TLS_CFS]]="",WWWW[[#This Row],['#_students at TLS_CFS]]=0),"No","Yes")</f>
        <v>No</v>
      </c>
      <c r="EB406"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06" s="566">
        <f>WWWW[[#This Row],[%_of_affected_people_surveyed_who_report_feeling_satistfied_with_the_latrine_design_and_sanitation_service]]*WWWW[[#This Row],[Total PoP ]]</f>
        <v>0</v>
      </c>
      <c r="ED406" s="566">
        <f>WWWW[[#This Row],[%_of_affected_people_surveyed_who_report_feeling_satistfied_with_the_water_point_design_and_water_service]]*WWWW[[#This Row],[Total PoP ]]</f>
        <v>0</v>
      </c>
      <c r="EE406" s="566">
        <f>WWWW[[#This Row],[%_of_complaints_received_that_result_in_timely_corrective_action_and_feedback_to_the_community]]*WWWW[[#This Row],[Total PoP ]]</f>
        <v>0</v>
      </c>
      <c r="EF406"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06"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06"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06" s="418" t="str">
        <f>VLOOKUP(WWWW[[#This Row],[Site Name]],SiteDB6[[Site Name]:[CCCM Management]],6,FALSE)</f>
        <v>Yes</v>
      </c>
      <c r="EJ406" s="418" t="str">
        <f>VLOOKUP(WWWW[[#This Row],[Site Name]],SiteDB6[[Site Name]:[CCCM Focal Agency]],7,FALSE)</f>
        <v>KMSS-LSO</v>
      </c>
      <c r="EK406" s="418" t="str">
        <f>VLOOKUP(WWWW[[#This Row],[Site Name]],SiteDB6[[Site Name]:[Location Type 1]],9,FALSE)</f>
        <v>Camp</v>
      </c>
      <c r="EL406" s="418" t="str">
        <f>VLOOKUP(WWWW[[#This Row],[Site Name]],SiteDB6[[Site Name]:[Type of Accommodation]],10,FALSE)</f>
        <v>Camp</v>
      </c>
      <c r="EM406" s="418" t="str">
        <f>VLOOKUP(WWWW[[#This Row],[Site Name]],SiteDB6[[Site Name]:[Ethnic or GCA/NGCA]],11,FALSE)</f>
        <v>GCA</v>
      </c>
      <c r="EN406" s="418">
        <f>VLOOKUP(WWWW[[#This Row],[Site Name]],SiteDB6[[Site Name]:[Lat]],12,FALSE)</f>
        <v>23.828150000000001</v>
      </c>
      <c r="EO406" s="418">
        <f>VLOOKUP(WWWW[[#This Row],[Site Name]],SiteDB6[[Site Name]:[Long]],13,FALSE)</f>
        <v>97.670360000000002</v>
      </c>
      <c r="EP406" s="418" t="str">
        <f>VLOOKUP(WWWW[[#This Row],[Site Name]],SiteDB6[[Site Name]:[Pcode]],3,FALSE)</f>
        <v>MMR015CMP003</v>
      </c>
      <c r="EQ406" s="950" t="str">
        <f t="shared" si="9"/>
        <v>Covered</v>
      </c>
      <c r="ER406" s="950" t="s">
        <v>3126</v>
      </c>
      <c r="ES406" s="950" t="s">
        <v>3311</v>
      </c>
      <c r="ET406" s="418">
        <f>VLOOKUP(WWWW[[#This Row],[Site Name]],SiteDB6[[Site Name]:[Pop
(Kachin/Shan-CCCM as of May 2023)]],16,FALSE)</f>
        <v>44</v>
      </c>
      <c r="EU406" s="418">
        <f>VLOOKUP(WWWW[[#This Row],[Site Name]],SiteDB6[[Site Name]:[Pop
(Kachin/Shan-CCCM as of May 2023)]],17,FALSE)</f>
        <v>220</v>
      </c>
    </row>
    <row r="407" spans="1:151">
      <c r="A407" s="946" t="s">
        <v>2962</v>
      </c>
      <c r="B407" s="938" t="s">
        <v>297</v>
      </c>
      <c r="C407" s="938" t="s">
        <v>297</v>
      </c>
      <c r="D407" s="938"/>
      <c r="E407" s="938" t="s">
        <v>515</v>
      </c>
      <c r="F407" s="938" t="s">
        <v>979</v>
      </c>
      <c r="G407" s="902" t="str">
        <f>VLOOKUP(WWWW[[#This Row],[Site Name]],SiteDB6[[Site Name]:[Location Type]],8,FALSE)</f>
        <v>Camp</v>
      </c>
      <c r="H407" s="938" t="s">
        <v>2983</v>
      </c>
      <c r="I407" s="441">
        <v>43</v>
      </c>
      <c r="J407" s="441">
        <v>157</v>
      </c>
      <c r="K407" s="948"/>
      <c r="L407" s="949"/>
      <c r="M407" s="441"/>
      <c r="N407" s="441"/>
      <c r="O407" s="441"/>
      <c r="P407" s="441"/>
      <c r="Q407" s="421"/>
      <c r="R407" s="441"/>
      <c r="S407" s="441"/>
      <c r="T407" s="441"/>
      <c r="U407" s="441"/>
      <c r="V407" s="441"/>
      <c r="W407" s="441"/>
      <c r="X407" s="441"/>
      <c r="Y407" s="441"/>
      <c r="Z407" s="441"/>
      <c r="AA407" s="441"/>
      <c r="AB407" s="441"/>
      <c r="AC407" s="441"/>
      <c r="AD407" s="441"/>
      <c r="AE407" s="441"/>
      <c r="AF407" s="441"/>
      <c r="AG407" s="441"/>
      <c r="AH407" s="441"/>
      <c r="AI407" s="441"/>
      <c r="AJ407" s="441"/>
      <c r="AK407" s="441"/>
      <c r="AL407" s="441"/>
      <c r="AM407" s="441"/>
      <c r="AN407" s="441"/>
      <c r="AO407" s="441"/>
      <c r="AP407" s="950"/>
      <c r="AQ407" s="441"/>
      <c r="AR407" s="441"/>
      <c r="AS407" s="416"/>
      <c r="AT407" s="441"/>
      <c r="AU407" s="441"/>
      <c r="AV407" s="441"/>
      <c r="AW407" s="441"/>
      <c r="AX407" s="441"/>
      <c r="AY407" s="418" t="s">
        <v>140</v>
      </c>
      <c r="AZ407" s="950"/>
      <c r="BA407" s="441"/>
      <c r="BB407" s="441"/>
      <c r="BC407" s="441"/>
      <c r="BD407" s="441"/>
      <c r="BE407" s="441"/>
      <c r="BF407" s="418"/>
      <c r="BG407" s="441"/>
      <c r="BH407" s="441"/>
      <c r="BI407" s="441"/>
      <c r="BJ407" s="441"/>
      <c r="BK407" s="441"/>
      <c r="BL407" s="441"/>
      <c r="BM407" s="441"/>
      <c r="BN407" s="441"/>
      <c r="BO407" s="441"/>
      <c r="BP407" s="418"/>
      <c r="BQ407" s="417"/>
      <c r="BR407" s="416"/>
      <c r="BS407" s="418"/>
      <c r="BT407" s="416"/>
      <c r="BU407" s="416"/>
      <c r="BV407" s="418"/>
      <c r="BW407" s="416"/>
      <c r="BX407" s="441"/>
      <c r="BY407" s="441"/>
      <c r="BZ407" s="441"/>
      <c r="CA407" s="441"/>
      <c r="CB407" s="441"/>
      <c r="CC407" s="693"/>
      <c r="CD407" s="441"/>
      <c r="CE407" s="615" t="str">
        <f>IFERROR(WWWW[[#This Row],['#_Water sources passed]]/WWWW[[#This Row],['#_Water sources tested for fecal coliform ]],"no test")</f>
        <v>no test</v>
      </c>
      <c r="CF407" s="416" t="str">
        <f>IFERROR(WWWW[[#This Row],['#_Household passed]]/WWWW[[#This Row],['#_Household water samples tested for fecal coliform]],"no test")</f>
        <v>no test</v>
      </c>
      <c r="CG407" s="417" t="str">
        <f>IF(AND(WWWW[[#This Row],[% of water sources passed]]="no test",WWWW[[#This Row],[% Household passed]]="no test"),"No Test","Tested")</f>
        <v>No Test</v>
      </c>
      <c r="CH407" s="417">
        <f>WWWW[[#This Row],['#_Constructed/existing protected hand dug well]]-WWWW[[#This Row],['#_Non-functional protected hand dug well]]</f>
        <v>0</v>
      </c>
      <c r="CI407" s="417">
        <f>(WWWW[[#This Row],['#_Constructed/Existing tube wells/boreholes/handpumps_WASH_agency]]+WWWW[[#This Row],['#_Non-Cluster partner water tube-wells/boreholes/handpumps]])-WWWW[[#This Row],['#_Non-functional tube wells/boreholes/handpumps]]</f>
        <v>0</v>
      </c>
      <c r="CJ407" s="417">
        <f>WWWW[[#This Row],['#_Constructed/Existingwater storage tank with gravity fed reticulation system]]-WWWW[[#This Row],['#_Non-functional storage tank gravity fed reticulation system]]</f>
        <v>0</v>
      </c>
      <c r="CK407" s="417">
        <f>(WWWW[[#This Row],['#_Water_Liters_supplied_by_Water boating or water trucking]]/90)/15</f>
        <v>0</v>
      </c>
      <c r="CL407" s="417">
        <f>WWWW[[#This Row],['#_Water_Liters_from_Constructed/Existing water distribution system from river or natural spring]]/90/15</f>
        <v>0</v>
      </c>
      <c r="CM407" s="417">
        <f>IF(WWWW[[#This Row],['#_of water points in TLS/CFS]]*500&gt;WWWW[[#This Row],[Total PoP ]],WWWW[[#This Row],[Total PoP ]],WWWW[[#This Row],['#_of water points in TLS/CFS]]*500)</f>
        <v>0</v>
      </c>
      <c r="CN407" s="417">
        <f>IF(WWWW[[#This Row],['#_of water points in THF]]*500&gt;WWWW[[#This Row],[Total PoP ]],WWWW[[#This Row],[Total PoP ]],WWWW[[#This Row],['#_of water points in THF]]*500)</f>
        <v>0</v>
      </c>
      <c r="CO407" s="417"/>
      <c r="CP407" s="615">
        <f>IF(WWWW[[#This Row],[Total PoP ]]="","",IF(((WWWW[[#This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]]&gt;1,1,((WWWW[[#This Row],[Functional protected hand dug well]]*400)+(WWWW[[#This Row],[Functional tube wells/boreholes/handpumps (including non-cluster partners)]]*500)+((WWWW[[#This Row],[Functional storage tank with gravity fed reticulation system]]*1000)/15)+WWWW[[#This Row],[Liters_Water boating or water trucking]]+WWWW[[#This Row],[Liters_Constructed water distribution system from river]])/WWWW[[#This Row],[Total PoP ]]))</f>
        <v>0</v>
      </c>
      <c r="CQ407" s="615">
        <f>IF(WWWW[[#This Row],[Total PoP ]]="","",IF(((WWWW[[#This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]]&gt;1,1,((WWWW[[#This Row],[Functional protected hand dug well]]*250)+(WWWW[[#This Row],[Functional tube wells/boreholes/handpumps (including non-cluster partners)]]*250)+((WWWW[[#This Row],[Functional storage tank with gravity fed reticulation system]]*1000)/15)+(WWWW[[#This Row],[Liters_Water boating or water trucking]])+(WWWW[[#This Row],[Liters_Constructed water distribution system from river]]))/WWWW[[#This Row],[Total PoP ]]))</f>
        <v>0</v>
      </c>
      <c r="CR407" s="416">
        <f>IF(WWWW[[#This Row],[Location Type 1]]="Village",WWWW[[#This Row],[Access to safe drinking water for Village]],WWWW[[#This Row],[Access to safe drinking water for Camp]])</f>
        <v>0</v>
      </c>
      <c r="CS407" s="421">
        <f>WWWW[[#This Row],[%Equitable and continuous access to sufficient quantity of safe drinking water]]*WWWW[[#This Row],[Total PoP ]]</f>
        <v>0</v>
      </c>
      <c r="CT407" s="416">
        <f>IF((WWWW[[#This Row],['#_Constructed/Existing protected/fenced ponds]]*250)/WWWW[[#This Row],[Total PoP ]]&gt;1,1,(WWWW[[#This Row],['#_Constructed/Existing protected/fenced ponds]]*250)/WWWW[[#This Row],[Total PoP ]])</f>
        <v>0</v>
      </c>
      <c r="CU407" s="421">
        <f>WWWW[[#This Row],[% Access to unimproved water points]]*WWWW[[#This Row],[Total PoP ]]</f>
        <v>0</v>
      </c>
      <c r="CV407" s="416">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CW407" s="421">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CX407" s="421">
        <f>WWWW[[#This Row],[HRP1]]/500</f>
        <v>0</v>
      </c>
      <c r="CY407" s="951">
        <f>1-WWWW[[#This Row],[% Equitable and continuous access to sufficient quantity of domestic water]]</f>
        <v>1</v>
      </c>
      <c r="CZ407" s="421">
        <f>WWWW[[#This Row],[%equitable and continuous access to sufficient quantity of safe drinking and domestic water''s GAP]]*WWWW[[#This Row],[Total PoP ]]</f>
        <v>157</v>
      </c>
      <c r="DA407" s="417">
        <f>IF(WWWW[[#This Row],[Total required water points]]-WWWW[[#This Row],['#Water points coverage]]&lt;0,0,WWWW[[#This Row],[Total required water points]]-WWWW[[#This Row],['#Water points coverage]])</f>
        <v>1</v>
      </c>
      <c r="DB407" s="417">
        <f>ROUND(IF(WWWW[[#This Row],[Total PoP ]]&lt;500,1,WWWW[[#This Row],[Total PoP ]]/500),0)</f>
        <v>1</v>
      </c>
      <c r="DC407" s="417">
        <f>(WWWW[[#This Row],['#_Constructed latrines_by_WASHAgencies]]+WWWW[[#This Row],['#_Non Cluster partner latrines]])-WWWW[[#This Row],['#_Non-functional latrines]]</f>
        <v>0</v>
      </c>
      <c r="DD407" s="615">
        <f>WWWW[[#This Row],[HRP2]]/WWWW[[#This Row],[Total PoP ]]</f>
        <v>0</v>
      </c>
      <c r="DE407" s="421">
        <f>IF(WWWW[[#This Row],[Total PoP ]]="",0,IF(WWWW[[#This Row],[Location Type 1]]="camp",IF((WWWW[[#This Row],['# of Functioning latrine]]*20)+(WWWW[[#This Row],['#_Constructed/Existing child friendly latrines]]*20)+WWWW[[#This Row],['#_of_persons_with_disabilities_with_adapted_sanitation_option]]&gt;WWWW[[#This Row],[Total PoP ]],WWWW[[#This Row],[Total PoP ]],(WWWW[[#This Row],['# of Functioning latrine]]*20)+(WWWW[[#This Row],['#_Constructed/Existing child friendly latrines]]*20)+WWWW[[#This Row],['#_of_persons_with_disabilities_with_adapted_sanitation_option]]),IF(WWWW[[#This Row],[Location Type 1]]="Temporary location", IF((WWWW[[#This Row],['# of Functioning latrine]]*50)+(WWWW[[#This Row],['#_Constructed/Existing child friendly latrines]]*20)+WWWW[[#This Row],['#_of_persons_with_disabilities_with_adapted_sanitation_option]]&gt;WWWW[[#This Row],[Total PoP ]],WWWW[[#This Row],[Total PoP ]],(WWWW[[#This Row],['# of Functioning latrine]]*50)+(WWWW[[#This Row],['#_Constructed/Existing child friendly latrines]]*20)+WWWW[[#This Row],['#_of_persons_with_disabilities_with_adapted_sanitation_option]]), IF((WWWW[[#This Row],['# of Functioning latrine]]*5)+(WWWW[[#This Row],['#_Constructed/Existing child friendly latrines]]*20)+WWWW[[#This Row],['#_of_persons_with_disabilities_with_adapted_sanitation_option]]&gt;WWWW[[#This Row],[Total PoP ]],WWWW[[#This Row],[Total PoP ]],(WWWW[[#This Row],['# of Functioning latrine]]*5)+(WWWW[[#This Row],['#_Constructed/Existing child friendly latrines]]*20)+WWWW[[#This Row],['#_of_persons_with_disabilities_with_adapted_sanitation_option]]))))</f>
        <v>0</v>
      </c>
      <c r="DF407" s="952">
        <f>IF(WWWW[[#This Row],[Location Type 1]]="Village","N/A",IF(WWWW[[#This Row],[Location Type 1]]="camp",IF(20*WWWW[[#This Row],['#_Latrines desludged during the past quarter]]&gt;WWWW[[#This Row],[Total PoP ]],WWWW[[#This Row],[Total PoP ]],20*WWWW[[#This Row],['#_Latrines desludged during the past quarter]]),IF(6*WWWW[[#This Row],['#_Latrines desludged during the past quarter]]&gt;WWWW[[#This Row],[Total PoP ]],WWWW[[#This Row],[Total PoP ]],6*WWWW[[#This Row],['#_Latrines desludged during the past quarter]])))</f>
        <v>0</v>
      </c>
      <c r="DG407" s="417">
        <f>IF(WWWW[[#This Row],['# of functional latrines in TLS/CFS supported by WASH partners during the reporting period]]*50&gt;WWWW[[#This Row],['#_students at TLS_CFS]],WWWW[[#This Row],['#_students at TLS_CFS]],(WWWW[[#This Row],['# of functional latrines in TLS/CFS supported by WASH partners during the reporting period]]*50))</f>
        <v>0</v>
      </c>
      <c r="DH407" s="417">
        <f>IF(WWWW[[#This Row],['# of functional latrines in THF supported by WASH partners during the reporting period2]]="",0,WWWW[[#This Row],['# of functional latrines in THF supported by WASH partners during the reporting period2]]*50)</f>
        <v>0</v>
      </c>
      <c r="DI407" s="417">
        <f>ROUND(IF(WWWW[[#This Row],[Location Type 1]]="camp",WWWW[[#This Row],[Total PoP ]]/20,IF(WWWW[[#This Row],[Location Type 1]]="Temporary Location",WWWW[[#This Row],[Total PoP ]]/50,(WWWW[[#This Row],[Total PoP ]]/6))),0)</f>
        <v>8</v>
      </c>
      <c r="DJ407" s="417">
        <f>IF(WWWW[[#This Row],[Total required Latrines]]-(WWWW[[#This Row],['#_Constructed latrines_by_WASHAgencies]]+WWWW[[#This Row],['#_Non Cluster partner latrines]])&lt;0,0,WWWW[[#This Row],[Total required Latrines]]-(WWWW[[#This Row],['#_Constructed latrines_by_WASHAgencies]]+WWWW[[#This Row],['#_Non Cluster partner latrines]]))</f>
        <v>8</v>
      </c>
      <c r="DK407" s="951">
        <f>1-WWWW[[#This Row],[% people access to functioning Latrine]]</f>
        <v>1</v>
      </c>
      <c r="DL407" s="615">
        <f>IF(OR(WWWW[[#This Row],['#_Non-functional latrines]]="",WWWW[[#This Row],['#_Non-functional latrines]]=0),0,WWWW[[#This Row],['#_Non-functional latrines]]/(WWWW[[#This Row],['#_Constructed latrines_by_WASHAgencies]]+WWWW[[#This Row],['#_Non Cluster partner latrines]]))</f>
        <v>0</v>
      </c>
      <c r="DM407" s="421">
        <f>IF(500*(WWWW[[#This Row],['#_male hygiene promoters]]+WWWW[[#This Row],['#_female hygiene promoters]])&gt;WWWW[[#This Row],[Total PoP ]],WWWW[[#This Row],[Total PoP ]],500*(WWWW[[#This Row],['#_male hygiene promoters]]+WWWW[[#This Row],['#_female hygiene promoters]]))</f>
        <v>0</v>
      </c>
      <c r="DN407" s="417">
        <f>IF(WWWW[[#This Row],['#_households that received standard amount of soap for this quarter]]=0,0,IF(WWWW[[#This Row],['#_households that received standard amount of soap for this quarter]]=WWWW[[#This Row],[Total HH]],WWWW[[#This Row],[Total PoP ]],IF(WWWW[[#This Row],['#_households that received standard amount of soap for this quarter]]*5&gt;WWWW[[#This Row],[Total PoP ]],WWWW[[#This Row],[Total PoP ]],WWWW[[#This Row],['#_households that received standard amount of soap for this quarter]]*5)))</f>
        <v>0</v>
      </c>
      <c r="DO407" s="417">
        <f>IF(WWWW[[#This Row],['# of affected women and girls receiving a sufficient quantity of sanitary pads from direct distribution or from MHM room facilities]]=0,0,IF(WWWW[[#This Row],['# of affected women and girls receiving a sufficient quantity of sanitary pads from direct distribution or from MHM room facilities]]&gt;WWWW[[#This Row],[Total PoP ]],WWWW[[#This Row],[Total PoP ]],WWWW[[#This Row],['# of affected women and girls receiving a sufficient quantity of sanitary pads from direct distribution or from MHM room facilities]]))</f>
        <v>0</v>
      </c>
      <c r="DP407" s="417">
        <f>IF(WWWW[[#This Row],['# People with access to soap]]&gt;WWWW[[#This Row],['# People with access to Sanity Pads]],WWWW[[#This Row],['# People with access to soap]],WWWW[[#This Row],['# People with access to Sanity Pads]])</f>
        <v>0</v>
      </c>
      <c r="DQ407" s="417">
        <f>IF(WWWW[[#This Row],['# people reached by regular dedicated hygiene promotion_5]]&gt;WWWW[[#This Row],['# People received regular supply of hygiene items_6]],WWWW[[#This Row],['# people reached by regular dedicated hygiene promotion_5]],WWWW[[#This Row],['# People received regular supply of hygiene items_6]])</f>
        <v>0</v>
      </c>
      <c r="DR407" s="951">
        <f>IF(WWWW[[#This Row],[HRP3]]/WWWW[[#This Row],[Total PoP ]]&gt;1,1,WWWW[[#This Row],[HRP3]]/WWWW[[#This Row],[Total PoP ]])</f>
        <v>0</v>
      </c>
      <c r="DS407" s="615">
        <f>1-WWWW[[#This Row],[Hygiene Coverage%]]</f>
        <v>1</v>
      </c>
      <c r="DT407" s="416">
        <f>WWWW[[#This Row],['# people reached by regular dedicated hygiene promotion_5]]/WWWW[[#This Row],[Total PoP ]]</f>
        <v>0</v>
      </c>
      <c r="DU407" s="615">
        <f>IF(WWWW[[#This Row],[Ethnic or GCA/NGCA]]="GCA",IF(WWWW[[#This Row],['#_households that received standard amount of soap for this quarter]]/(WWWW[[#This Row],[Total HH]]*25%)&gt;1,1,WWWW[[#This Row],['#_households that received standard amount of soap for this quarter]]/(WWWW[[#This Row],[Total HH]]*25%)),IF(WWWW[[#This Row],['#_households that received standard amount of soap for this quarter]]/WWWW[[#This Row],[Total HH]]&gt;1,1,WWWW[[#This Row],['#_households that received standard amount of soap for this quarter]]/WWWW[[#This Row],[Total HH]]))</f>
        <v>0</v>
      </c>
      <c r="DV407" s="416">
        <f>IF(WWWW[[#This Row],['# of affected women and girls receiving a sufficient quantity of sanitary pads from direct distribution or from MHM room facilities]]/WWWW[[#This Row],[Total HH]]&gt;1,1,WWWW[[#This Row],['# of affected women and girls receiving a sufficient quantity of sanitary pads from direct distribution or from MHM room facilities]]/WWWW[[#This Row],[Total HH]])</f>
        <v>0</v>
      </c>
      <c r="DW407" s="417">
        <f>WWWW[[#This Row],['#_Constructed/Existing hand washing stations]]-WWWW[[#This Row],['#_Non-Functional_hand_washing_stations]]</f>
        <v>0</v>
      </c>
      <c r="DX407" s="421">
        <f>IF(WWWW[[#This Row],['# Functional hand washing stations during reporting period]]*20&gt;WWWW[[#This Row],[Total HH]],WWWW[[#This Row],[Total HH]],WWWW[[#This Row],['# Functional hand washing stations during reporting period]]*20)</f>
        <v>0</v>
      </c>
      <c r="DY407" s="421">
        <f>IF(WWWW[[#This Row],[Is sufficient soap available for TLS? (Yes/No)]]="yes",WWWW[[#This Row],['#_Constructed/Existing hand washing stations at TLS/CFS/THF]],0)</f>
        <v>0</v>
      </c>
      <c r="DZ407" s="421">
        <f>IF(WWWW[[#This Row],['# Functional hand washing stations during reporting period]]*100&gt;WWWW[[#This Row],[Total PoP ]],WWWW[[#This Row],[Total PoP ]],WWWW[[#This Row],['# Functional hand washing stations during reporting period]]*100)</f>
        <v>0</v>
      </c>
      <c r="EA407" s="421" t="str">
        <f>IF(OR(WWWW[[#This Row],['#_students at TLS_CFS]]="",WWWW[[#This Row],['#_students at TLS_CFS]]=0),"No","Yes")</f>
        <v>No</v>
      </c>
      <c r="EB407" s="615" t="str">
        <f>IF(WWWW[[#This Row],['#_of_affected_people_surveyed_who_report_feeling_informed_about_the_different_WASH_services_available_to_them]]="","",WWWW[[#This Row],['#_of_affected_people_surveyed_who_report_feeling_informed_about_the_different_WASH_services_available_to_them]]/WWWW[[#This Row],[Total PoP ]])</f>
        <v/>
      </c>
      <c r="EC407" s="566">
        <f>WWWW[[#This Row],[%_of_affected_people_surveyed_who_report_feeling_satistfied_with_the_latrine_design_and_sanitation_service]]*WWWW[[#This Row],[Total PoP ]]</f>
        <v>0</v>
      </c>
      <c r="ED407" s="566">
        <f>WWWW[[#This Row],[%_of_affected_people_surveyed_who_report_feeling_satistfied_with_the_water_point_design_and_water_service]]*WWWW[[#This Row],[Total PoP ]]</f>
        <v>0</v>
      </c>
      <c r="EE407" s="566">
        <f>WWWW[[#This Row],[%_of_complaints_received_that_result_in_timely_corrective_action_and_feedback_to_the_community]]*WWWW[[#This Row],[Total PoP ]]</f>
        <v>0</v>
      </c>
      <c r="EF407" s="566">
        <f>MAX(WWWW[[#This Row],['#_of_affected_people_surveyed_who_report_feeling_informed_about_the_different_WASH_services_available_to_them]],WWWW[[#This Row],['# of affected people surveyed who report feeling satistfied with the latrine design and sanitation service ]],WWWW[[#This Row],['# of affected people surveyed who report feeling satistfied with the water point design and water service]],WWWW[[#This Row],['# complaints received that result in timely, corrective action and feedback to the community]])</f>
        <v>0</v>
      </c>
      <c r="EG407" s="441">
        <f>IF(WWWW[[#This Row],['# People access to functional water points or water provision supported by WASH partners in TLS/CFS_HRP5]]&gt;WWWW[[#This Row],['# students access to functioning school latrines_HRP5]],WWWW[[#This Row],['# People access to functional water points or water provision supported by WASH partners in TLS/CFS_HRP5]],WWWW[[#This Row],['# students access to functioning school latrines_HRP5]])</f>
        <v>0</v>
      </c>
      <c r="EH407" s="441">
        <f>IF(WWWW[[#This Row],['# People access to functional water points or water provision supported by WASH partners in THF_HRP6]]&gt;WWWW[[#This Row],['# People access to functioning latrines in THF_HRP6]],WWWW[[#This Row],['# People access to functional water points or water provision supported by WASH partners in THF_HRP6]],WWWW[[#This Row],['# People access to functioning latrines in THF_HRP6]])</f>
        <v>0</v>
      </c>
      <c r="EI407" s="418">
        <f>VLOOKUP(WWWW[[#This Row],[Site Name]],SiteDB6[[Site Name]:[CCCM Management]],6,FALSE)</f>
        <v>0</v>
      </c>
      <c r="EJ407" s="418" t="str">
        <f>VLOOKUP(WWWW[[#This Row],[Site Name]],SiteDB6[[Site Name]:[CCCM Focal Agency]],7,FALSE)</f>
        <v>Uncovered</v>
      </c>
      <c r="EK407" s="418" t="str">
        <f>VLOOKUP(WWWW[[#This Row],[Site Name]],SiteDB6[[Site Name]:[Location Type 1]],9,FALSE)</f>
        <v>Camp</v>
      </c>
      <c r="EL407" s="418" t="str">
        <f>VLOOKUP(WWWW[[#This Row],[Site Name]],SiteDB6[[Site Name]:[Type of Accommodation]],10,FALSE)</f>
        <v>Camp like setting</v>
      </c>
      <c r="EM407" s="418" t="str">
        <f>VLOOKUP(WWWW[[#This Row],[Site Name]],SiteDB6[[Site Name]:[Ethnic or GCA/NGCA]],11,FALSE)</f>
        <v>GCA</v>
      </c>
      <c r="EN407" s="418"/>
      <c r="EO407" s="418"/>
      <c r="EP407" s="418" t="str">
        <f>VLOOKUP(WWWW[[#This Row],[Site Name]],SiteDB6[[Site Name]:[Pcode]],3,FALSE)</f>
        <v>MMR015CMP094</v>
      </c>
      <c r="EQ407" s="950" t="str">
        <f t="shared" si="9"/>
        <v>Covered</v>
      </c>
      <c r="ER407" s="950" t="s">
        <v>3126</v>
      </c>
      <c r="ES407" s="950" t="s">
        <v>3316</v>
      </c>
      <c r="ET407" s="418">
        <f>VLOOKUP(WWWW[[#This Row],[Site Name]],SiteDB6[[Site Name]:[Pop
(Kachin/Shan-CCCM as of May 2023)]],16,FALSE)</f>
        <v>43</v>
      </c>
      <c r="EU407" s="418">
        <f>VLOOKUP(WWWW[[#This Row],[Site Name]],SiteDB6[[Site Name]:[Pop
(Kachin/Shan-CCCM as of May 2023)]],17,FALSE)</f>
        <v>157</v>
      </c>
    </row>
  </sheetData>
  <mergeCells count="22">
    <mergeCell ref="K1:L1"/>
    <mergeCell ref="CE2:CG3"/>
    <mergeCell ref="CH2:CR3"/>
    <mergeCell ref="CS2:CS3"/>
    <mergeCell ref="CT2:CU3"/>
    <mergeCell ref="BT1:BW1"/>
    <mergeCell ref="BX1:BZ1"/>
    <mergeCell ref="ET5:EU5"/>
    <mergeCell ref="CV2:CV3"/>
    <mergeCell ref="CW2:CW3"/>
    <mergeCell ref="CE5:CG5"/>
    <mergeCell ref="CY5:CZ5"/>
    <mergeCell ref="DL2:DL3"/>
    <mergeCell ref="DI2:DI3"/>
    <mergeCell ref="DJ2:DK3"/>
    <mergeCell ref="DA2:DB3"/>
    <mergeCell ref="CX2:CX3"/>
    <mergeCell ref="DC2:DC3"/>
    <mergeCell ref="DG2:DG3"/>
    <mergeCell ref="DF2:DF3"/>
    <mergeCell ref="DE2:DE3"/>
    <mergeCell ref="CY2:CZ3"/>
  </mergeCells>
  <phoneticPr fontId="147" type="noConversion"/>
  <conditionalFormatting sqref="DM5">
    <cfRule type="iconSet" priority="53">
      <iconSet reverse="1">
        <cfvo type="percent" val="0"/>
        <cfvo type="percent" val="0" gte="0"/>
        <cfvo type="percent" val="30"/>
      </iconSet>
    </cfRule>
  </conditionalFormatting>
  <conditionalFormatting sqref="DS4">
    <cfRule type="iconSet" priority="50">
      <iconSet reverse="1">
        <cfvo type="percent" val="0"/>
        <cfvo type="percent" val="0" gte="0"/>
        <cfvo type="percent" val="30"/>
      </iconSet>
    </cfRule>
  </conditionalFormatting>
  <conditionalFormatting sqref="CY4">
    <cfRule type="iconSet" priority="52">
      <iconSet reverse="1">
        <cfvo type="percent" val="0"/>
        <cfvo type="percent" val="0" gte="0"/>
        <cfvo type="percent" val="30"/>
      </iconSet>
    </cfRule>
  </conditionalFormatting>
  <conditionalFormatting sqref="DK4">
    <cfRule type="iconSet" priority="11741">
      <iconSet reverse="1">
        <cfvo type="percent" val="0"/>
        <cfvo type="percent" val="0" gte="0"/>
        <cfvo type="percent" val="30"/>
      </iconSet>
    </cfRule>
  </conditionalFormatting>
  <conditionalFormatting sqref="DL5 DF5:DH5">
    <cfRule type="iconSet" priority="11761">
      <iconSet reverse="1">
        <cfvo type="percent" val="0"/>
        <cfvo type="percent" val="0" gte="0"/>
        <cfvo type="percent" val="10"/>
      </iconSet>
    </cfRule>
  </conditionalFormatting>
  <conditionalFormatting sqref="CZ4">
    <cfRule type="iconSet" priority="43">
      <iconSet reverse="1">
        <cfvo type="percent" val="0"/>
        <cfvo type="percent" val="0" gte="0"/>
        <cfvo type="percent" val="30"/>
      </iconSet>
    </cfRule>
  </conditionalFormatting>
  <conditionalFormatting sqref="DS2 DM2">
    <cfRule type="iconSet" priority="12253">
      <iconSet reverse="1">
        <cfvo type="percent" val="0"/>
        <cfvo type="percent" val="0" gte="0"/>
        <cfvo type="percent" val="30"/>
      </iconSet>
    </cfRule>
  </conditionalFormatting>
  <conditionalFormatting sqref="DS3">
    <cfRule type="iconSet" priority="12256">
      <iconSet reverse="1">
        <cfvo type="percent" val="0"/>
        <cfvo type="percent" val="0" gte="0"/>
        <cfvo type="percent" val="30"/>
      </iconSet>
    </cfRule>
  </conditionalFormatting>
  <conditionalFormatting sqref="CY199:CY203 CY7:CY197">
    <cfRule type="iconSet" priority="13434">
      <iconSet reverse="1">
        <cfvo type="percent" val="0"/>
        <cfvo type="percent" val="0" gte="0"/>
        <cfvo type="percent" val="30"/>
      </iconSet>
    </cfRule>
  </conditionalFormatting>
  <conditionalFormatting sqref="DS199:DS203 DS7:DS197">
    <cfRule type="iconSet" priority="13436">
      <iconSet reverse="1">
        <cfvo type="percent" val="0"/>
        <cfvo type="percent" val="0" gte="0"/>
        <cfvo type="percent" val="30"/>
      </iconSet>
    </cfRule>
  </conditionalFormatting>
  <conditionalFormatting sqref="DK199:DK203 DK7:DK197">
    <cfRule type="iconSet" priority="13438">
      <iconSet reverse="1">
        <cfvo type="percent" val="0"/>
        <cfvo type="percent" val="0" gte="0"/>
        <cfvo type="percent" val="30"/>
      </iconSet>
    </cfRule>
  </conditionalFormatting>
  <conditionalFormatting sqref="CY198">
    <cfRule type="iconSet" priority="3">
      <iconSet reverse="1">
        <cfvo type="percent" val="0"/>
        <cfvo type="percent" val="0" gte="0"/>
        <cfvo type="percent" val="30"/>
      </iconSet>
    </cfRule>
  </conditionalFormatting>
  <conditionalFormatting sqref="DK198">
    <cfRule type="iconSet" priority="4">
      <iconSet reverse="1">
        <cfvo type="percent" val="0"/>
        <cfvo type="percent" val="0" gte="0"/>
        <cfvo type="percent" val="30"/>
      </iconSet>
    </cfRule>
  </conditionalFormatting>
  <conditionalFormatting sqref="DS198">
    <cfRule type="iconSet" priority="2">
      <iconSet reverse="1">
        <cfvo type="percent" val="0"/>
        <cfvo type="percent" val="0" gte="0"/>
        <cfvo type="percent" val="30"/>
      </iconSet>
    </cfRule>
  </conditionalFormatting>
  <conditionalFormatting sqref="H7:H219">
    <cfRule type="duplicateValues" dxfId="1224" priority="13719"/>
  </conditionalFormatting>
  <conditionalFormatting sqref="H220:H319">
    <cfRule type="duplicateValues" dxfId="1223" priority="1"/>
  </conditionalFormatting>
  <dataValidations count="8">
    <dataValidation type="list" allowBlank="1" showInputMessage="1" showErrorMessage="1" sqref="AZ103 AZ159 AZ202:AZ203 AY7:AY407" xr:uid="{D0016B6D-1FEB-4632-97EA-443A5F593847}">
      <formula1>"Yes, No, NA"</formula1>
    </dataValidation>
    <dataValidation type="list" allowBlank="1" showInputMessage="1" showErrorMessage="1" sqref="AZ104:AZ158 AZ160:AZ201 AZ7:AZ102" xr:uid="{1D0713F1-C99E-42E7-AD96-8BB60B932351}">
      <formula1>"Functional,Not_Functional,No,NA"</formula1>
    </dataValidation>
    <dataValidation type="list" allowBlank="1" showInputMessage="1" showErrorMessage="1" sqref="H7:H344" xr:uid="{00000000-0002-0000-0200-000004000000}">
      <formula1>OFFSET(Township_start,MATCH(F7,Township_list, 0),1, COUNTIF(Township_list,F7),1)</formula1>
    </dataValidation>
    <dataValidation type="whole" operator="lessThan" allowBlank="1" showInputMessage="1" showErrorMessage="1" sqref="M7:P407" xr:uid="{00000000-0002-0000-0200-000005000000}">
      <formula1>999999</formula1>
    </dataValidation>
    <dataValidation type="list" allowBlank="1" showInputMessage="1" showErrorMessage="1" sqref="BP7:BP407" xr:uid="{00000000-0002-0000-0200-00000A000000}">
      <formula1>"Yes, No"</formula1>
    </dataValidation>
    <dataValidation type="list" allowBlank="1" showInputMessage="1" showErrorMessage="1" sqref="Q7:Q407" xr:uid="{00000000-0002-0000-0200-000003000000}">
      <formula1>"Yes,No"</formula1>
    </dataValidation>
    <dataValidation type="list" allowBlank="1" showInputMessage="1" showErrorMessage="1" sqref="E7:E407" xr:uid="{00000000-0002-0000-0200-000001000000}">
      <formula1>"Kachin, Central Rakhine, Northern Rakhine, Shan (North)"</formula1>
    </dataValidation>
    <dataValidation type="list" allowBlank="1" showInputMessage="1" showErrorMessage="1" sqref="F7:F407" xr:uid="{00000000-0002-0000-0200-00000B000000}">
      <formula1>OFFSET(Statestart_1,MATCH(E7, State_list, 0), 1,COUNTIF(State_list,E7),1)</formula1>
    </dataValidation>
  </dataValidations>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E000000}">
          <x14:formula1>
            <xm:f>Lookup!$A$4:$A$7</xm:f>
          </x14:formula1>
          <xm:sqref>A7:A407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F423"/>
  <sheetViews>
    <sheetView zoomScale="110" zoomScaleNormal="110" workbookViewId="0">
      <pane xSplit="1" ySplit="2" topLeftCell="B3" activePane="bottomRight" state="frozen"/>
      <selection activeCell="E391" sqref="E391"/>
      <selection pane="topRight" activeCell="E391" sqref="E391"/>
      <selection pane="bottomLeft" activeCell="E391" sqref="E391"/>
      <selection pane="bottomRight" activeCell="C7" sqref="C7"/>
    </sheetView>
  </sheetViews>
  <sheetFormatPr defaultColWidth="9" defaultRowHeight="14.25" customHeight="1"/>
  <cols>
    <col min="1" max="1" width="9.6640625" bestFit="1" customWidth="1"/>
    <col min="2" max="2" width="17" style="17" customWidth="1"/>
    <col min="3" max="3" width="29.1640625" customWidth="1"/>
    <col min="4" max="4" width="16.6640625" style="88" customWidth="1"/>
    <col min="5" max="6" width="13.58203125" style="44" customWidth="1"/>
    <col min="7" max="7" width="15.83203125" customWidth="1"/>
    <col min="8" max="8" width="8.33203125" style="17" customWidth="1"/>
    <col min="9" max="9" width="6.4140625" style="17" customWidth="1"/>
    <col min="10" max="10" width="19.5" style="17" customWidth="1"/>
    <col min="11" max="11" width="13.1640625" style="17" customWidth="1"/>
    <col min="12" max="12" width="16.1640625" style="17" customWidth="1"/>
    <col min="13" max="13" width="14.83203125" style="17" customWidth="1"/>
    <col min="14" max="14" width="11.83203125" style="17" customWidth="1"/>
    <col min="15" max="16" width="12.6640625" style="17" customWidth="1"/>
    <col min="17" max="17" width="17.1640625" style="17" customWidth="1"/>
    <col min="18" max="19" width="9.9140625" style="17" customWidth="1"/>
    <col min="20" max="20" width="8.5" style="17" customWidth="1"/>
    <col min="21" max="21" width="7.6640625" style="17" customWidth="1"/>
    <col min="22" max="22" width="11.1640625" style="17" customWidth="1"/>
    <col min="23" max="23" width="15.6640625" style="17" customWidth="1"/>
    <col min="24" max="25" width="10.5" style="17" customWidth="1"/>
    <col min="26" max="26" width="16.5" style="44" customWidth="1"/>
    <col min="27" max="27" width="10.08203125" style="43" customWidth="1"/>
    <col min="28" max="28" width="8.58203125"/>
    <col min="29" max="29" width="12.08203125" style="90" customWidth="1"/>
    <col min="30" max="30" width="55" style="45" customWidth="1"/>
    <col min="31" max="31" width="16.58203125" style="17" customWidth="1"/>
    <col min="32" max="32" width="9" style="89"/>
    <col min="33" max="16384" width="9" style="17"/>
  </cols>
  <sheetData>
    <row r="1" spans="1:32" ht="14.25" customHeight="1">
      <c r="A1" s="17"/>
      <c r="C1" s="420"/>
      <c r="D1" s="17"/>
      <c r="E1" s="17"/>
      <c r="F1" s="17"/>
      <c r="G1" s="17"/>
      <c r="U1" s="67"/>
      <c r="V1" s="67"/>
      <c r="W1" s="90"/>
      <c r="X1" s="45"/>
      <c r="Z1" s="17"/>
      <c r="AA1" s="17"/>
      <c r="AB1" s="17"/>
      <c r="AC1" s="17"/>
      <c r="AD1" s="17"/>
      <c r="AF1" s="17"/>
    </row>
    <row r="2" spans="1:32" ht="24" customHeight="1">
      <c r="A2" s="17" t="s">
        <v>21</v>
      </c>
      <c r="B2" s="17" t="s">
        <v>22</v>
      </c>
      <c r="C2" s="68" t="s">
        <v>23</v>
      </c>
      <c r="D2" s="17" t="s">
        <v>1291</v>
      </c>
      <c r="E2" s="17" t="s">
        <v>33</v>
      </c>
      <c r="F2" s="17" t="s">
        <v>1292</v>
      </c>
      <c r="G2" s="17" t="s">
        <v>1293</v>
      </c>
      <c r="H2" s="17" t="s">
        <v>27</v>
      </c>
      <c r="I2" s="17" t="s">
        <v>28</v>
      </c>
      <c r="J2" s="17" t="s">
        <v>134</v>
      </c>
      <c r="K2" s="17" t="s">
        <v>135</v>
      </c>
      <c r="L2" s="17" t="s">
        <v>566</v>
      </c>
      <c r="M2" s="17" t="s">
        <v>30</v>
      </c>
      <c r="N2" s="17" t="s">
        <v>31</v>
      </c>
      <c r="O2" s="17" t="s">
        <v>32</v>
      </c>
      <c r="P2" s="17" t="s">
        <v>567</v>
      </c>
      <c r="Q2" s="17" t="s">
        <v>568</v>
      </c>
      <c r="R2" s="67" t="s">
        <v>3252</v>
      </c>
      <c r="S2" s="67" t="s">
        <v>3253</v>
      </c>
      <c r="T2" s="90" t="s">
        <v>569</v>
      </c>
      <c r="U2" s="45" t="s">
        <v>35</v>
      </c>
      <c r="V2" s="17" t="s">
        <v>570</v>
      </c>
      <c r="W2" s="17" t="s">
        <v>1706</v>
      </c>
      <c r="X2" s="17" t="s">
        <v>2834</v>
      </c>
      <c r="Z2" s="17"/>
      <c r="AA2" s="17"/>
      <c r="AB2" s="17"/>
      <c r="AC2" s="17"/>
      <c r="AD2" s="17"/>
      <c r="AF2" s="17"/>
    </row>
    <row r="3" spans="1:32" s="68" customFormat="1" ht="14.25" customHeight="1">
      <c r="A3" s="429" t="s">
        <v>37</v>
      </c>
      <c r="B3" s="428" t="s">
        <v>195</v>
      </c>
      <c r="C3" s="434" t="s">
        <v>2880</v>
      </c>
      <c r="D3" s="423" t="s">
        <v>3235</v>
      </c>
      <c r="E3" s="422" t="s">
        <v>2647</v>
      </c>
      <c r="F3" s="422" t="s">
        <v>2648</v>
      </c>
      <c r="G3" s="422" t="s">
        <v>2649</v>
      </c>
      <c r="H3" s="422" t="s">
        <v>41</v>
      </c>
      <c r="I3" s="422" t="s">
        <v>242</v>
      </c>
      <c r="J3" s="422" t="s">
        <v>43</v>
      </c>
      <c r="K3" s="420" t="s">
        <v>43</v>
      </c>
      <c r="L3" s="420" t="s">
        <v>43</v>
      </c>
      <c r="M3" s="420" t="s">
        <v>44</v>
      </c>
      <c r="N3" s="422">
        <v>24.154199999999999</v>
      </c>
      <c r="O3" s="422">
        <v>97.160600000000002</v>
      </c>
      <c r="P3" s="420" t="s">
        <v>573</v>
      </c>
      <c r="Q3" s="422" t="s">
        <v>2650</v>
      </c>
      <c r="R3" s="432">
        <v>67</v>
      </c>
      <c r="S3" s="425">
        <v>324</v>
      </c>
      <c r="T3" s="438">
        <v>44544</v>
      </c>
      <c r="U3" s="430"/>
      <c r="V3" s="434" t="s">
        <v>2642</v>
      </c>
      <c r="W3" s="420" t="s">
        <v>2651</v>
      </c>
      <c r="X3" s="423"/>
    </row>
    <row r="4" spans="1:32" s="68" customFormat="1" ht="14.25" customHeight="1">
      <c r="A4" s="420" t="s">
        <v>37</v>
      </c>
      <c r="B4" s="420" t="s">
        <v>195</v>
      </c>
      <c r="C4" s="420" t="s">
        <v>2192</v>
      </c>
      <c r="D4" s="383"/>
      <c r="E4" s="420"/>
      <c r="F4" s="420"/>
      <c r="G4" s="420"/>
      <c r="H4" s="420"/>
      <c r="I4" s="420"/>
      <c r="J4" s="420" t="s">
        <v>1094</v>
      </c>
      <c r="K4" s="420" t="s">
        <v>43</v>
      </c>
      <c r="L4" s="420" t="s">
        <v>821</v>
      </c>
      <c r="M4" s="420" t="s">
        <v>44</v>
      </c>
      <c r="N4" s="420"/>
      <c r="O4" s="420"/>
      <c r="P4" s="420" t="s">
        <v>573</v>
      </c>
      <c r="Q4" s="420" t="s">
        <v>2164</v>
      </c>
      <c r="R4" s="424"/>
      <c r="S4" s="425"/>
      <c r="T4" s="437">
        <v>43749</v>
      </c>
      <c r="U4" s="426"/>
      <c r="V4" s="420"/>
      <c r="W4" s="420"/>
      <c r="X4" s="383"/>
    </row>
    <row r="5" spans="1:32" s="68" customFormat="1" ht="14.25" customHeight="1">
      <c r="A5" s="420" t="s">
        <v>37</v>
      </c>
      <c r="B5" s="420" t="s">
        <v>195</v>
      </c>
      <c r="C5" s="420" t="s">
        <v>809</v>
      </c>
      <c r="D5" s="383"/>
      <c r="E5" s="420"/>
      <c r="F5" s="420"/>
      <c r="G5" s="420"/>
      <c r="H5" s="420"/>
      <c r="I5" s="420"/>
      <c r="J5" s="420" t="s">
        <v>1094</v>
      </c>
      <c r="K5" s="420" t="s">
        <v>43</v>
      </c>
      <c r="L5" s="420" t="s">
        <v>810</v>
      </c>
      <c r="M5" s="420" t="s">
        <v>44</v>
      </c>
      <c r="N5" s="632"/>
      <c r="O5" s="632"/>
      <c r="P5" s="420" t="s">
        <v>573</v>
      </c>
      <c r="Q5" s="420"/>
      <c r="R5" s="424"/>
      <c r="S5" s="424"/>
      <c r="T5" s="437"/>
      <c r="U5" s="426"/>
      <c r="V5" s="420" t="s">
        <v>809</v>
      </c>
      <c r="W5" s="420"/>
      <c r="X5" s="383"/>
    </row>
    <row r="6" spans="1:32" s="68" customFormat="1" ht="14.25" customHeight="1">
      <c r="A6" s="420" t="s">
        <v>37</v>
      </c>
      <c r="B6" s="420" t="s">
        <v>195</v>
      </c>
      <c r="C6" s="420" t="s">
        <v>277</v>
      </c>
      <c r="D6" s="423" t="s">
        <v>3235</v>
      </c>
      <c r="E6" s="420" t="s">
        <v>1127</v>
      </c>
      <c r="F6" s="420" t="s">
        <v>1390</v>
      </c>
      <c r="G6" s="420" t="s">
        <v>1390</v>
      </c>
      <c r="H6" s="420" t="s">
        <v>41</v>
      </c>
      <c r="I6" s="420" t="s">
        <v>42</v>
      </c>
      <c r="J6" s="420" t="s">
        <v>43</v>
      </c>
      <c r="K6" s="420" t="s">
        <v>43</v>
      </c>
      <c r="L6" s="420" t="s">
        <v>43</v>
      </c>
      <c r="M6" s="420" t="s">
        <v>44</v>
      </c>
      <c r="N6" s="420">
        <v>24.260719999999999</v>
      </c>
      <c r="O6" s="420">
        <v>97.238829999999993</v>
      </c>
      <c r="P6" s="420" t="s">
        <v>573</v>
      </c>
      <c r="Q6" s="420" t="s">
        <v>591</v>
      </c>
      <c r="R6" s="432">
        <v>145</v>
      </c>
      <c r="S6" s="425">
        <v>671</v>
      </c>
      <c r="T6" s="437"/>
      <c r="U6" s="426"/>
      <c r="V6" s="420" t="s">
        <v>277</v>
      </c>
      <c r="W6" s="420"/>
      <c r="X6" s="423"/>
    </row>
    <row r="7" spans="1:32" s="68" customFormat="1" ht="14.25" customHeight="1">
      <c r="A7" s="420" t="s">
        <v>37</v>
      </c>
      <c r="B7" s="422" t="s">
        <v>195</v>
      </c>
      <c r="C7" s="422" t="s">
        <v>196</v>
      </c>
      <c r="D7" s="423" t="s">
        <v>3235</v>
      </c>
      <c r="E7" s="420" t="s">
        <v>1126</v>
      </c>
      <c r="F7" s="422" t="s">
        <v>1389</v>
      </c>
      <c r="G7" s="420" t="s">
        <v>1389</v>
      </c>
      <c r="H7" s="420" t="s">
        <v>41</v>
      </c>
      <c r="I7" s="420" t="s">
        <v>2111</v>
      </c>
      <c r="J7" s="420" t="s">
        <v>43</v>
      </c>
      <c r="K7" s="420" t="s">
        <v>43</v>
      </c>
      <c r="L7" s="420" t="s">
        <v>43</v>
      </c>
      <c r="M7" s="420" t="s">
        <v>44</v>
      </c>
      <c r="N7" s="420">
        <v>24.260466999999998</v>
      </c>
      <c r="O7" s="420">
        <v>97.252650000000003</v>
      </c>
      <c r="P7" s="420" t="s">
        <v>573</v>
      </c>
      <c r="Q7" s="420" t="s">
        <v>591</v>
      </c>
      <c r="R7" s="432">
        <v>5</v>
      </c>
      <c r="S7" s="425">
        <v>23</v>
      </c>
      <c r="T7" s="437"/>
      <c r="U7" s="426"/>
      <c r="V7" s="420" t="s">
        <v>196</v>
      </c>
      <c r="W7" s="358"/>
      <c r="X7" s="423"/>
    </row>
    <row r="8" spans="1:32" s="68" customFormat="1" ht="14.25" customHeight="1">
      <c r="A8" s="420" t="s">
        <v>37</v>
      </c>
      <c r="B8" s="420" t="s">
        <v>195</v>
      </c>
      <c r="C8" s="420" t="s">
        <v>2870</v>
      </c>
      <c r="D8" s="423" t="s">
        <v>3235</v>
      </c>
      <c r="E8" s="420" t="s">
        <v>1130</v>
      </c>
      <c r="F8" s="420"/>
      <c r="G8" s="420"/>
      <c r="H8" s="420"/>
      <c r="I8" s="420" t="s">
        <v>1614</v>
      </c>
      <c r="J8" s="420" t="s">
        <v>43</v>
      </c>
      <c r="K8" s="420" t="s">
        <v>43</v>
      </c>
      <c r="L8" s="420" t="s">
        <v>2576</v>
      </c>
      <c r="M8" s="420" t="s">
        <v>44</v>
      </c>
      <c r="N8" s="420">
        <v>24.263786</v>
      </c>
      <c r="O8" s="420">
        <v>97.228835000000004</v>
      </c>
      <c r="P8" s="420" t="s">
        <v>584</v>
      </c>
      <c r="Q8" s="420" t="s">
        <v>574</v>
      </c>
      <c r="R8" s="432">
        <v>17</v>
      </c>
      <c r="S8" s="425">
        <v>87</v>
      </c>
      <c r="T8" s="437"/>
      <c r="U8" s="426" t="s">
        <v>735</v>
      </c>
      <c r="V8" s="420" t="s">
        <v>734</v>
      </c>
      <c r="W8" s="420"/>
      <c r="X8" s="423"/>
    </row>
    <row r="9" spans="1:32" s="68" customFormat="1" ht="14.25" customHeight="1">
      <c r="A9" s="420" t="s">
        <v>37</v>
      </c>
      <c r="B9" s="420" t="s">
        <v>195</v>
      </c>
      <c r="C9" s="420" t="s">
        <v>580</v>
      </c>
      <c r="D9" s="383" t="s">
        <v>1295</v>
      </c>
      <c r="E9" s="420" t="s">
        <v>1028</v>
      </c>
      <c r="F9" s="420">
        <v>0</v>
      </c>
      <c r="G9" s="420">
        <v>0</v>
      </c>
      <c r="H9" s="420"/>
      <c r="I9" s="420">
        <v>0</v>
      </c>
      <c r="J9" s="420" t="s">
        <v>43</v>
      </c>
      <c r="K9" s="420" t="s">
        <v>43</v>
      </c>
      <c r="L9" s="420" t="s">
        <v>572</v>
      </c>
      <c r="M9" s="420" t="s">
        <v>44</v>
      </c>
      <c r="N9" s="420"/>
      <c r="O9" s="420"/>
      <c r="P9" s="420" t="s">
        <v>573</v>
      </c>
      <c r="Q9" s="420"/>
      <c r="R9" s="424">
        <v>0</v>
      </c>
      <c r="S9" s="424">
        <v>0</v>
      </c>
      <c r="T9" s="437"/>
      <c r="U9" s="426"/>
      <c r="V9" s="420" t="s">
        <v>580</v>
      </c>
      <c r="W9" s="420" t="s">
        <v>1615</v>
      </c>
      <c r="X9" s="383"/>
    </row>
    <row r="10" spans="1:32" s="68" customFormat="1" ht="14.25" customHeight="1">
      <c r="A10" s="420" t="s">
        <v>37</v>
      </c>
      <c r="B10" s="420" t="s">
        <v>195</v>
      </c>
      <c r="C10" s="420" t="s">
        <v>198</v>
      </c>
      <c r="D10" s="423" t="s">
        <v>3235</v>
      </c>
      <c r="E10" s="420" t="s">
        <v>1118</v>
      </c>
      <c r="F10" s="420" t="s">
        <v>1387</v>
      </c>
      <c r="G10" s="420" t="s">
        <v>1388</v>
      </c>
      <c r="H10" s="420" t="s">
        <v>41</v>
      </c>
      <c r="I10" s="420" t="s">
        <v>2111</v>
      </c>
      <c r="J10" s="420" t="s">
        <v>43</v>
      </c>
      <c r="K10" s="420" t="s">
        <v>43</v>
      </c>
      <c r="L10" s="420" t="s">
        <v>43</v>
      </c>
      <c r="M10" s="420" t="s">
        <v>44</v>
      </c>
      <c r="N10" s="420">
        <v>24.24766</v>
      </c>
      <c r="O10" s="420">
        <v>97.236919999999998</v>
      </c>
      <c r="P10" s="420" t="s">
        <v>573</v>
      </c>
      <c r="Q10" s="420" t="s">
        <v>591</v>
      </c>
      <c r="R10" s="432">
        <v>39</v>
      </c>
      <c r="S10" s="425">
        <v>229</v>
      </c>
      <c r="T10" s="437"/>
      <c r="U10" s="426"/>
      <c r="V10" s="420" t="s">
        <v>198</v>
      </c>
      <c r="W10" s="420"/>
      <c r="X10" s="423"/>
    </row>
    <row r="11" spans="1:32" s="68" customFormat="1" ht="14.25" customHeight="1">
      <c r="A11" s="420" t="s">
        <v>37</v>
      </c>
      <c r="B11" s="420" t="s">
        <v>195</v>
      </c>
      <c r="C11" s="420" t="s">
        <v>733</v>
      </c>
      <c r="D11" s="383" t="s">
        <v>1295</v>
      </c>
      <c r="E11" s="420" t="s">
        <v>1128</v>
      </c>
      <c r="F11" s="420">
        <v>0</v>
      </c>
      <c r="G11" s="420">
        <v>0</v>
      </c>
      <c r="H11" s="420"/>
      <c r="I11" s="420">
        <v>0</v>
      </c>
      <c r="J11" s="420" t="s">
        <v>43</v>
      </c>
      <c r="K11" s="420" t="s">
        <v>43</v>
      </c>
      <c r="L11" s="420" t="s">
        <v>572</v>
      </c>
      <c r="M11" s="420" t="s">
        <v>44</v>
      </c>
      <c r="N11" s="420">
        <v>24.262418019999998</v>
      </c>
      <c r="O11" s="420">
        <v>97.221556500000005</v>
      </c>
      <c r="P11" s="420" t="s">
        <v>573</v>
      </c>
      <c r="Q11" s="420"/>
      <c r="R11" s="424">
        <v>0</v>
      </c>
      <c r="S11" s="424">
        <v>0</v>
      </c>
      <c r="T11" s="437"/>
      <c r="U11" s="426"/>
      <c r="V11" s="420" t="s">
        <v>733</v>
      </c>
      <c r="W11" s="420" t="s">
        <v>1616</v>
      </c>
      <c r="X11" s="383"/>
    </row>
    <row r="12" spans="1:32" s="68" customFormat="1" ht="14.25" customHeight="1">
      <c r="A12" s="420" t="s">
        <v>37</v>
      </c>
      <c r="B12" s="420" t="s">
        <v>195</v>
      </c>
      <c r="C12" s="420" t="s">
        <v>200</v>
      </c>
      <c r="D12" s="423" t="s">
        <v>3235</v>
      </c>
      <c r="E12" s="420" t="s">
        <v>1129</v>
      </c>
      <c r="F12" s="420" t="s">
        <v>1390</v>
      </c>
      <c r="G12" s="420" t="s">
        <v>1390</v>
      </c>
      <c r="H12" s="420" t="s">
        <v>41</v>
      </c>
      <c r="I12" s="420" t="s">
        <v>242</v>
      </c>
      <c r="J12" s="420" t="s">
        <v>43</v>
      </c>
      <c r="K12" s="420" t="s">
        <v>43</v>
      </c>
      <c r="L12" s="420" t="s">
        <v>43</v>
      </c>
      <c r="M12" s="420" t="s">
        <v>44</v>
      </c>
      <c r="N12" s="420">
        <v>24.2631743589744</v>
      </c>
      <c r="O12" s="420">
        <v>97.240183461538507</v>
      </c>
      <c r="P12" s="420" t="s">
        <v>573</v>
      </c>
      <c r="Q12" s="420" t="s">
        <v>591</v>
      </c>
      <c r="R12" s="432">
        <v>135</v>
      </c>
      <c r="S12" s="425">
        <v>780</v>
      </c>
      <c r="T12" s="437"/>
      <c r="U12" s="426"/>
      <c r="V12" s="420" t="s">
        <v>200</v>
      </c>
      <c r="W12" s="420"/>
      <c r="X12" s="423"/>
    </row>
    <row r="13" spans="1:32" s="68" customFormat="1" ht="14.25" customHeight="1">
      <c r="A13" s="420" t="s">
        <v>37</v>
      </c>
      <c r="B13" s="420" t="s">
        <v>195</v>
      </c>
      <c r="C13" s="420" t="s">
        <v>2222</v>
      </c>
      <c r="D13" s="383"/>
      <c r="E13" s="420"/>
      <c r="F13" s="420"/>
      <c r="G13" s="420"/>
      <c r="H13" s="420"/>
      <c r="I13" s="420"/>
      <c r="J13" s="420" t="s">
        <v>1094</v>
      </c>
      <c r="K13" s="420" t="s">
        <v>43</v>
      </c>
      <c r="L13" s="420" t="s">
        <v>587</v>
      </c>
      <c r="M13" s="420" t="s">
        <v>44</v>
      </c>
      <c r="N13" s="420"/>
      <c r="O13" s="420"/>
      <c r="P13" s="420" t="s">
        <v>573</v>
      </c>
      <c r="Q13" s="420"/>
      <c r="R13" s="424"/>
      <c r="S13" s="424"/>
      <c r="T13" s="437">
        <v>43774</v>
      </c>
      <c r="U13" s="426" t="s">
        <v>2223</v>
      </c>
      <c r="V13" s="420" t="s">
        <v>1587</v>
      </c>
      <c r="W13" s="667"/>
      <c r="X13" s="383"/>
    </row>
    <row r="14" spans="1:32" s="68" customFormat="1" ht="14.25" customHeight="1">
      <c r="A14" s="420" t="s">
        <v>37</v>
      </c>
      <c r="B14" s="420" t="s">
        <v>195</v>
      </c>
      <c r="C14" s="420" t="s">
        <v>201</v>
      </c>
      <c r="D14" s="473" t="s">
        <v>2618</v>
      </c>
      <c r="E14" s="420" t="s">
        <v>1124</v>
      </c>
      <c r="F14" s="420" t="s">
        <v>1387</v>
      </c>
      <c r="G14" s="420" t="s">
        <v>1388</v>
      </c>
      <c r="H14" s="420" t="s">
        <v>41</v>
      </c>
      <c r="I14" s="420" t="s">
        <v>242</v>
      </c>
      <c r="J14" s="420" t="s">
        <v>43</v>
      </c>
      <c r="K14" s="420" t="s">
        <v>43</v>
      </c>
      <c r="L14" s="420" t="s">
        <v>572</v>
      </c>
      <c r="M14" s="420" t="s">
        <v>44</v>
      </c>
      <c r="N14" s="420">
        <v>24.253067000000001</v>
      </c>
      <c r="O14" s="420">
        <v>97.234200000000001</v>
      </c>
      <c r="P14" s="420" t="s">
        <v>573</v>
      </c>
      <c r="Q14" s="420" t="s">
        <v>591</v>
      </c>
      <c r="R14" s="424"/>
      <c r="S14" s="424"/>
      <c r="T14" s="437"/>
      <c r="U14" s="426"/>
      <c r="V14" s="420" t="s">
        <v>201</v>
      </c>
      <c r="W14" s="420" t="s">
        <v>2617</v>
      </c>
      <c r="X14" s="473"/>
    </row>
    <row r="15" spans="1:32" s="68" customFormat="1" ht="14.25" customHeight="1">
      <c r="A15" s="425" t="s">
        <v>37</v>
      </c>
      <c r="B15" s="428" t="s">
        <v>195</v>
      </c>
      <c r="C15" s="429" t="s">
        <v>2703</v>
      </c>
      <c r="D15" s="423" t="s">
        <v>3235</v>
      </c>
      <c r="E15" s="420" t="s">
        <v>2714</v>
      </c>
      <c r="F15" s="420" t="s">
        <v>1394</v>
      </c>
      <c r="G15" s="420" t="s">
        <v>2726</v>
      </c>
      <c r="H15" s="420"/>
      <c r="I15" s="420"/>
      <c r="J15" s="420" t="s">
        <v>43</v>
      </c>
      <c r="K15" s="420" t="s">
        <v>43</v>
      </c>
      <c r="L15" s="420" t="s">
        <v>43</v>
      </c>
      <c r="M15" s="420" t="s">
        <v>44</v>
      </c>
      <c r="N15" s="420">
        <v>24.314934000000001</v>
      </c>
      <c r="O15" s="420">
        <v>97.305190999999994</v>
      </c>
      <c r="P15" s="420" t="s">
        <v>573</v>
      </c>
      <c r="Q15" s="420" t="s">
        <v>2731</v>
      </c>
      <c r="R15" s="432">
        <v>50</v>
      </c>
      <c r="S15" s="425">
        <v>224</v>
      </c>
      <c r="T15" s="437">
        <v>44662</v>
      </c>
      <c r="U15" s="426">
        <v>44501</v>
      </c>
      <c r="V15" s="424"/>
      <c r="W15" s="674" t="s">
        <v>2733</v>
      </c>
      <c r="X15" s="423"/>
    </row>
    <row r="16" spans="1:32" s="68" customFormat="1" ht="14.25" customHeight="1">
      <c r="A16" s="420" t="s">
        <v>37</v>
      </c>
      <c r="B16" s="420" t="s">
        <v>195</v>
      </c>
      <c r="C16" s="420" t="s">
        <v>203</v>
      </c>
      <c r="D16" s="383" t="s">
        <v>2240</v>
      </c>
      <c r="E16" s="420" t="s">
        <v>1134</v>
      </c>
      <c r="F16" s="420" t="s">
        <v>1394</v>
      </c>
      <c r="G16" s="420" t="s">
        <v>1394</v>
      </c>
      <c r="H16" s="420" t="s">
        <v>41</v>
      </c>
      <c r="I16" s="420" t="s">
        <v>42</v>
      </c>
      <c r="J16" s="420" t="s">
        <v>43</v>
      </c>
      <c r="K16" s="420" t="s">
        <v>43</v>
      </c>
      <c r="L16" s="420" t="s">
        <v>43</v>
      </c>
      <c r="M16" s="420" t="s">
        <v>44</v>
      </c>
      <c r="N16" s="420">
        <v>24.32638</v>
      </c>
      <c r="O16" s="420">
        <v>97.315860000000001</v>
      </c>
      <c r="P16" s="420" t="s">
        <v>573</v>
      </c>
      <c r="Q16" s="420" t="s">
        <v>591</v>
      </c>
      <c r="R16" s="424"/>
      <c r="S16" s="424"/>
      <c r="T16" s="437"/>
      <c r="U16" s="426"/>
      <c r="V16" s="420" t="s">
        <v>203</v>
      </c>
      <c r="W16" s="420"/>
      <c r="X16" s="383"/>
    </row>
    <row r="17" spans="1:24" s="420" customFormat="1" ht="14.25" customHeight="1">
      <c r="A17" s="425" t="s">
        <v>37</v>
      </c>
      <c r="B17" s="420" t="s">
        <v>195</v>
      </c>
      <c r="C17" s="357" t="s">
        <v>279</v>
      </c>
      <c r="D17" s="423" t="s">
        <v>3235</v>
      </c>
      <c r="E17" s="420" t="s">
        <v>1115</v>
      </c>
      <c r="F17" s="420" t="s">
        <v>1384</v>
      </c>
      <c r="G17" s="420" t="s">
        <v>1385</v>
      </c>
      <c r="H17" s="420" t="s">
        <v>41</v>
      </c>
      <c r="I17" s="420" t="s">
        <v>2111</v>
      </c>
      <c r="J17" s="420" t="s">
        <v>43</v>
      </c>
      <c r="K17" s="420" t="s">
        <v>43</v>
      </c>
      <c r="L17" s="420" t="s">
        <v>43</v>
      </c>
      <c r="M17" s="420" t="s">
        <v>44</v>
      </c>
      <c r="N17" s="420">
        <v>24.222349999999999</v>
      </c>
      <c r="O17" s="420">
        <v>97.252650000000003</v>
      </c>
      <c r="P17" s="420" t="s">
        <v>573</v>
      </c>
      <c r="Q17" s="420" t="s">
        <v>591</v>
      </c>
      <c r="R17" s="432">
        <v>58</v>
      </c>
      <c r="S17" s="425">
        <v>314</v>
      </c>
      <c r="T17" s="437"/>
      <c r="U17" s="426"/>
      <c r="V17" s="357" t="s">
        <v>279</v>
      </c>
      <c r="X17" s="423"/>
    </row>
    <row r="18" spans="1:24" s="68" customFormat="1" ht="14.25" customHeight="1">
      <c r="A18" s="425" t="s">
        <v>37</v>
      </c>
      <c r="B18" s="428" t="s">
        <v>195</v>
      </c>
      <c r="C18" s="429" t="s">
        <v>280</v>
      </c>
      <c r="D18" s="423" t="s">
        <v>3235</v>
      </c>
      <c r="E18" s="420" t="s">
        <v>1131</v>
      </c>
      <c r="F18" s="420" t="s">
        <v>1387</v>
      </c>
      <c r="G18" s="420" t="s">
        <v>1391</v>
      </c>
      <c r="H18" s="420" t="s">
        <v>41</v>
      </c>
      <c r="I18" s="420" t="s">
        <v>2111</v>
      </c>
      <c r="J18" s="422" t="s">
        <v>43</v>
      </c>
      <c r="K18" s="420" t="s">
        <v>43</v>
      </c>
      <c r="L18" s="420" t="s">
        <v>43</v>
      </c>
      <c r="M18" s="420" t="s">
        <v>44</v>
      </c>
      <c r="N18" s="420">
        <v>24.268292826086999</v>
      </c>
      <c r="O18" s="420">
        <v>97.229116811594196</v>
      </c>
      <c r="P18" s="420" t="s">
        <v>573</v>
      </c>
      <c r="Q18" s="420" t="s">
        <v>591</v>
      </c>
      <c r="R18" s="432">
        <v>565</v>
      </c>
      <c r="S18" s="425">
        <v>3369</v>
      </c>
      <c r="T18" s="437"/>
      <c r="U18" s="432"/>
      <c r="V18" s="420" t="s">
        <v>280</v>
      </c>
      <c r="W18" s="424" t="s">
        <v>1728</v>
      </c>
      <c r="X18" s="423"/>
    </row>
    <row r="19" spans="1:24" s="68" customFormat="1" ht="14.25" customHeight="1">
      <c r="A19" s="429" t="s">
        <v>37</v>
      </c>
      <c r="B19" s="428" t="s">
        <v>195</v>
      </c>
      <c r="C19" s="434" t="s">
        <v>2191</v>
      </c>
      <c r="D19" s="383"/>
      <c r="E19" s="422"/>
      <c r="F19" s="422"/>
      <c r="G19" s="422"/>
      <c r="H19" s="422" t="s">
        <v>136</v>
      </c>
      <c r="I19" s="422"/>
      <c r="J19" s="422" t="s">
        <v>1094</v>
      </c>
      <c r="K19" s="420" t="s">
        <v>43</v>
      </c>
      <c r="L19" s="420" t="s">
        <v>43</v>
      </c>
      <c r="M19" s="420" t="s">
        <v>44</v>
      </c>
      <c r="N19" s="422"/>
      <c r="O19" s="422"/>
      <c r="P19" s="420" t="s">
        <v>573</v>
      </c>
      <c r="Q19" s="422"/>
      <c r="R19" s="433"/>
      <c r="S19" s="429"/>
      <c r="T19" s="438">
        <v>43749</v>
      </c>
      <c r="U19" s="430"/>
      <c r="V19" s="422"/>
      <c r="W19" s="420"/>
      <c r="X19" s="383"/>
    </row>
    <row r="20" spans="1:24" s="68" customFormat="1" ht="14.25" customHeight="1">
      <c r="A20" s="420" t="s">
        <v>37</v>
      </c>
      <c r="B20" s="422" t="s">
        <v>195</v>
      </c>
      <c r="C20" s="422" t="s">
        <v>1287</v>
      </c>
      <c r="D20" s="383"/>
      <c r="E20" s="422"/>
      <c r="F20" s="420"/>
      <c r="G20" s="420"/>
      <c r="H20" s="420" t="s">
        <v>136</v>
      </c>
      <c r="I20" s="420"/>
      <c r="J20" s="420" t="s">
        <v>1094</v>
      </c>
      <c r="K20" s="420" t="s">
        <v>43</v>
      </c>
      <c r="L20" s="420" t="s">
        <v>43</v>
      </c>
      <c r="M20" s="420" t="s">
        <v>44</v>
      </c>
      <c r="N20" s="420"/>
      <c r="O20" s="420"/>
      <c r="P20" s="420" t="s">
        <v>573</v>
      </c>
      <c r="Q20" s="420"/>
      <c r="R20" s="424"/>
      <c r="S20" s="425"/>
      <c r="T20" s="437"/>
      <c r="U20" s="426"/>
      <c r="V20" s="420"/>
      <c r="W20" s="358"/>
      <c r="X20" s="383"/>
    </row>
    <row r="21" spans="1:24" s="68" customFormat="1" ht="14.25" customHeight="1">
      <c r="A21" s="420" t="s">
        <v>37</v>
      </c>
      <c r="B21" s="422" t="s">
        <v>195</v>
      </c>
      <c r="C21" s="422" t="s">
        <v>736</v>
      </c>
      <c r="D21" s="383" t="s">
        <v>1536</v>
      </c>
      <c r="E21" s="422" t="s">
        <v>1133</v>
      </c>
      <c r="F21" s="420" t="s">
        <v>1387</v>
      </c>
      <c r="G21" s="420" t="s">
        <v>1455</v>
      </c>
      <c r="H21" s="420" t="s">
        <v>41</v>
      </c>
      <c r="I21" s="420" t="s">
        <v>242</v>
      </c>
      <c r="J21" s="420" t="s">
        <v>43</v>
      </c>
      <c r="K21" s="420" t="s">
        <v>43</v>
      </c>
      <c r="L21" s="420" t="s">
        <v>572</v>
      </c>
      <c r="M21" s="420" t="s">
        <v>44</v>
      </c>
      <c r="N21" s="420">
        <v>24.29138</v>
      </c>
      <c r="O21" s="420">
        <v>97.227789999999999</v>
      </c>
      <c r="P21" s="420" t="s">
        <v>573</v>
      </c>
      <c r="Q21" s="420" t="s">
        <v>574</v>
      </c>
      <c r="R21" s="424"/>
      <c r="S21" s="425"/>
      <c r="T21" s="437">
        <v>43276</v>
      </c>
      <c r="U21" s="426" t="s">
        <v>1537</v>
      </c>
      <c r="V21" s="420" t="s">
        <v>736</v>
      </c>
      <c r="W21" s="420" t="s">
        <v>1617</v>
      </c>
      <c r="X21" s="383"/>
    </row>
    <row r="22" spans="1:24" s="68" customFormat="1" ht="14.25" customHeight="1">
      <c r="A22" s="420" t="s">
        <v>37</v>
      </c>
      <c r="B22" s="422" t="s">
        <v>195</v>
      </c>
      <c r="C22" s="422" t="s">
        <v>602</v>
      </c>
      <c r="D22" s="383" t="s">
        <v>1295</v>
      </c>
      <c r="E22" s="422" t="s">
        <v>1048</v>
      </c>
      <c r="F22" s="420">
        <v>0</v>
      </c>
      <c r="G22" s="420">
        <v>0</v>
      </c>
      <c r="H22" s="420"/>
      <c r="I22" s="420">
        <v>0</v>
      </c>
      <c r="J22" s="420" t="s">
        <v>43</v>
      </c>
      <c r="K22" s="420" t="s">
        <v>43</v>
      </c>
      <c r="L22" s="420" t="s">
        <v>572</v>
      </c>
      <c r="M22" s="420" t="s">
        <v>44</v>
      </c>
      <c r="N22" s="420"/>
      <c r="O22" s="420"/>
      <c r="P22" s="420" t="s">
        <v>573</v>
      </c>
      <c r="Q22" s="420"/>
      <c r="R22" s="424">
        <v>0</v>
      </c>
      <c r="S22" s="424">
        <v>0</v>
      </c>
      <c r="T22" s="437"/>
      <c r="U22" s="426"/>
      <c r="V22" s="420" t="s">
        <v>602</v>
      </c>
      <c r="W22" s="420" t="s">
        <v>1618</v>
      </c>
      <c r="X22" s="383"/>
    </row>
    <row r="23" spans="1:24" s="68" customFormat="1" ht="14.25" customHeight="1">
      <c r="A23" s="420" t="s">
        <v>37</v>
      </c>
      <c r="B23" s="420" t="s">
        <v>195</v>
      </c>
      <c r="C23" s="420" t="s">
        <v>204</v>
      </c>
      <c r="D23" s="383" t="s">
        <v>2108</v>
      </c>
      <c r="E23" s="420" t="s">
        <v>1119</v>
      </c>
      <c r="F23" s="420" t="s">
        <v>1384</v>
      </c>
      <c r="G23" s="420" t="s">
        <v>1384</v>
      </c>
      <c r="H23" s="420" t="s">
        <v>41</v>
      </c>
      <c r="I23" s="420" t="s">
        <v>242</v>
      </c>
      <c r="J23" s="420" t="s">
        <v>43</v>
      </c>
      <c r="K23" s="420" t="s">
        <v>43</v>
      </c>
      <c r="L23" s="420" t="s">
        <v>43</v>
      </c>
      <c r="M23" s="420" t="s">
        <v>44</v>
      </c>
      <c r="N23" s="420">
        <v>24.24953</v>
      </c>
      <c r="O23" s="420">
        <v>97.240639999999999</v>
      </c>
      <c r="P23" s="420" t="s">
        <v>573</v>
      </c>
      <c r="Q23" s="420" t="s">
        <v>591</v>
      </c>
      <c r="R23" s="424"/>
      <c r="S23" s="425"/>
      <c r="T23" s="437"/>
      <c r="U23" s="426"/>
      <c r="V23" s="420" t="s">
        <v>204</v>
      </c>
      <c r="W23" s="420"/>
      <c r="X23" s="383"/>
    </row>
    <row r="24" spans="1:24" s="68" customFormat="1" ht="14.25" customHeight="1">
      <c r="A24" s="420" t="s">
        <v>37</v>
      </c>
      <c r="B24" s="420" t="s">
        <v>146</v>
      </c>
      <c r="C24" s="420" t="s">
        <v>820</v>
      </c>
      <c r="D24" s="383" t="s">
        <v>1294</v>
      </c>
      <c r="E24" s="420"/>
      <c r="F24" s="420"/>
      <c r="G24" s="420"/>
      <c r="H24" s="420"/>
      <c r="I24" s="420"/>
      <c r="J24" s="420" t="s">
        <v>43</v>
      </c>
      <c r="K24" s="420" t="s">
        <v>43</v>
      </c>
      <c r="L24" s="420" t="s">
        <v>821</v>
      </c>
      <c r="M24" s="420" t="s">
        <v>44</v>
      </c>
      <c r="N24" s="420"/>
      <c r="O24" s="420"/>
      <c r="P24" s="420" t="s">
        <v>573</v>
      </c>
      <c r="Q24" s="420"/>
      <c r="R24" s="424"/>
      <c r="S24" s="424"/>
      <c r="T24" s="437"/>
      <c r="U24" s="426"/>
      <c r="V24" s="420" t="s">
        <v>820</v>
      </c>
      <c r="W24" s="420"/>
      <c r="X24" s="383"/>
    </row>
    <row r="25" spans="1:24" s="68" customFormat="1" ht="14.25" customHeight="1">
      <c r="A25" s="420" t="s">
        <v>37</v>
      </c>
      <c r="B25" s="420" t="s">
        <v>146</v>
      </c>
      <c r="C25" s="420" t="s">
        <v>245</v>
      </c>
      <c r="D25" s="423" t="s">
        <v>3235</v>
      </c>
      <c r="E25" s="420" t="s">
        <v>1239</v>
      </c>
      <c r="F25" s="420" t="s">
        <v>1448</v>
      </c>
      <c r="G25" s="420" t="s">
        <v>1449</v>
      </c>
      <c r="H25" s="420" t="s">
        <v>41</v>
      </c>
      <c r="I25" s="420" t="s">
        <v>242</v>
      </c>
      <c r="J25" s="420" t="s">
        <v>43</v>
      </c>
      <c r="K25" s="420" t="s">
        <v>43</v>
      </c>
      <c r="L25" s="420" t="s">
        <v>43</v>
      </c>
      <c r="M25" s="420" t="s">
        <v>44</v>
      </c>
      <c r="N25" s="420">
        <v>25.889410000000002</v>
      </c>
      <c r="O25" s="420">
        <v>98.131550000000004</v>
      </c>
      <c r="P25" s="420" t="s">
        <v>573</v>
      </c>
      <c r="Q25" s="420" t="s">
        <v>591</v>
      </c>
      <c r="R25" s="432">
        <v>137</v>
      </c>
      <c r="S25" s="425">
        <v>713</v>
      </c>
      <c r="T25" s="437"/>
      <c r="U25" s="426"/>
      <c r="V25" s="420" t="s">
        <v>245</v>
      </c>
      <c r="W25" s="358"/>
      <c r="X25" s="423"/>
    </row>
    <row r="26" spans="1:24" s="68" customFormat="1" ht="14.25" customHeight="1">
      <c r="A26" s="420" t="s">
        <v>37</v>
      </c>
      <c r="B26" s="422" t="s">
        <v>146</v>
      </c>
      <c r="C26" s="422" t="s">
        <v>2873</v>
      </c>
      <c r="D26" s="423" t="s">
        <v>3060</v>
      </c>
      <c r="E26" s="420" t="s">
        <v>1216</v>
      </c>
      <c r="F26" s="420" t="s">
        <v>1440</v>
      </c>
      <c r="G26" s="420" t="s">
        <v>1333</v>
      </c>
      <c r="H26" s="420" t="s">
        <v>41</v>
      </c>
      <c r="I26" s="420" t="s">
        <v>1030</v>
      </c>
      <c r="J26" s="420" t="s">
        <v>43</v>
      </c>
      <c r="K26" s="420" t="s">
        <v>43</v>
      </c>
      <c r="L26" s="420" t="s">
        <v>572</v>
      </c>
      <c r="M26" s="420" t="s">
        <v>44</v>
      </c>
      <c r="N26" s="420">
        <v>25.60867</v>
      </c>
      <c r="O26" s="420">
        <v>98.377780000000001</v>
      </c>
      <c r="P26" s="420" t="s">
        <v>573</v>
      </c>
      <c r="Q26" s="420" t="s">
        <v>591</v>
      </c>
      <c r="R26" s="432">
        <v>4</v>
      </c>
      <c r="S26" s="425">
        <v>20</v>
      </c>
      <c r="T26" s="437"/>
      <c r="U26" s="426"/>
      <c r="V26" s="420" t="s">
        <v>225</v>
      </c>
      <c r="W26" s="420"/>
      <c r="X26" s="423"/>
    </row>
    <row r="27" spans="1:24" s="68" customFormat="1" ht="14.25" customHeight="1">
      <c r="A27" s="420" t="s">
        <v>37</v>
      </c>
      <c r="B27" s="420" t="s">
        <v>146</v>
      </c>
      <c r="C27" s="420" t="s">
        <v>581</v>
      </c>
      <c r="D27" s="383" t="s">
        <v>1295</v>
      </c>
      <c r="E27" s="420" t="s">
        <v>1029</v>
      </c>
      <c r="F27" s="420">
        <v>0</v>
      </c>
      <c r="G27" s="420">
        <v>0</v>
      </c>
      <c r="H27" s="420" t="s">
        <v>41</v>
      </c>
      <c r="I27" s="420" t="s">
        <v>1030</v>
      </c>
      <c r="J27" s="420" t="s">
        <v>43</v>
      </c>
      <c r="K27" s="420" t="s">
        <v>43</v>
      </c>
      <c r="L27" s="420" t="s">
        <v>572</v>
      </c>
      <c r="M27" s="420" t="s">
        <v>44</v>
      </c>
      <c r="N27" s="420"/>
      <c r="O27" s="420"/>
      <c r="P27" s="420" t="s">
        <v>573</v>
      </c>
      <c r="Q27" s="420"/>
      <c r="R27" s="424">
        <v>0</v>
      </c>
      <c r="S27" s="424">
        <v>0</v>
      </c>
      <c r="T27" s="437"/>
      <c r="U27" s="426"/>
      <c r="V27" s="420" t="s">
        <v>581</v>
      </c>
      <c r="W27" s="358" t="s">
        <v>1619</v>
      </c>
      <c r="X27" s="383"/>
    </row>
    <row r="28" spans="1:24" s="68" customFormat="1" ht="14.25" customHeight="1">
      <c r="A28" s="420" t="s">
        <v>37</v>
      </c>
      <c r="B28" s="420" t="s">
        <v>146</v>
      </c>
      <c r="C28" s="420" t="s">
        <v>147</v>
      </c>
      <c r="D28" s="423" t="s">
        <v>3235</v>
      </c>
      <c r="E28" s="420" t="s">
        <v>1235</v>
      </c>
      <c r="F28" s="420" t="s">
        <v>1445</v>
      </c>
      <c r="G28" s="420" t="s">
        <v>1446</v>
      </c>
      <c r="H28" s="420" t="s">
        <v>41</v>
      </c>
      <c r="I28" s="420" t="s">
        <v>2112</v>
      </c>
      <c r="J28" s="420" t="s">
        <v>43</v>
      </c>
      <c r="K28" s="420" t="s">
        <v>43</v>
      </c>
      <c r="L28" s="420" t="s">
        <v>43</v>
      </c>
      <c r="M28" s="420" t="s">
        <v>589</v>
      </c>
      <c r="N28" s="420">
        <v>25.754110000000001</v>
      </c>
      <c r="O28" s="420">
        <v>98.475719999999995</v>
      </c>
      <c r="P28" s="420" t="s">
        <v>573</v>
      </c>
      <c r="Q28" s="420" t="s">
        <v>591</v>
      </c>
      <c r="R28" s="432">
        <v>178</v>
      </c>
      <c r="S28" s="425">
        <v>1089</v>
      </c>
      <c r="T28" s="437"/>
      <c r="U28" s="426"/>
      <c r="V28" s="420" t="s">
        <v>147</v>
      </c>
      <c r="W28" s="420" t="s">
        <v>1729</v>
      </c>
      <c r="X28" s="423"/>
    </row>
    <row r="29" spans="1:24" s="68" customFormat="1" ht="14.25" customHeight="1">
      <c r="A29" s="420" t="s">
        <v>37</v>
      </c>
      <c r="B29" s="420" t="s">
        <v>146</v>
      </c>
      <c r="C29" s="420" t="s">
        <v>787</v>
      </c>
      <c r="D29" s="383" t="s">
        <v>1295</v>
      </c>
      <c r="E29" s="420" t="s">
        <v>1233</v>
      </c>
      <c r="F29" s="420" t="s">
        <v>1349</v>
      </c>
      <c r="G29" s="420" t="s">
        <v>1350</v>
      </c>
      <c r="H29" s="420"/>
      <c r="I29" s="420">
        <v>0</v>
      </c>
      <c r="J29" s="420" t="s">
        <v>43</v>
      </c>
      <c r="K29" s="420" t="s">
        <v>43</v>
      </c>
      <c r="L29" s="420" t="s">
        <v>572</v>
      </c>
      <c r="M29" s="420" t="s">
        <v>44</v>
      </c>
      <c r="N29" s="420">
        <v>25.708763000000001</v>
      </c>
      <c r="O29" s="420">
        <v>98.354146999999998</v>
      </c>
      <c r="P29" s="420" t="s">
        <v>584</v>
      </c>
      <c r="Q29" s="420" t="s">
        <v>574</v>
      </c>
      <c r="R29" s="424">
        <v>0</v>
      </c>
      <c r="S29" s="424">
        <v>0</v>
      </c>
      <c r="T29" s="437">
        <v>42983</v>
      </c>
      <c r="U29" s="426" t="s">
        <v>788</v>
      </c>
      <c r="V29" s="420" t="s">
        <v>787</v>
      </c>
      <c r="W29" s="420" t="s">
        <v>1620</v>
      </c>
      <c r="X29" s="383"/>
    </row>
    <row r="30" spans="1:24" s="68" customFormat="1" ht="14.25" customHeight="1">
      <c r="A30" s="420" t="s">
        <v>37</v>
      </c>
      <c r="B30" s="420" t="s">
        <v>146</v>
      </c>
      <c r="C30" s="420" t="s">
        <v>247</v>
      </c>
      <c r="D30" s="423" t="s">
        <v>3235</v>
      </c>
      <c r="E30" s="420" t="s">
        <v>1238</v>
      </c>
      <c r="F30" s="420" t="s">
        <v>1316</v>
      </c>
      <c r="G30" s="420" t="s">
        <v>1447</v>
      </c>
      <c r="H30" s="420" t="s">
        <v>41</v>
      </c>
      <c r="I30" s="420" t="s">
        <v>242</v>
      </c>
      <c r="J30" s="420" t="s">
        <v>43</v>
      </c>
      <c r="K30" s="420" t="s">
        <v>43</v>
      </c>
      <c r="L30" s="420" t="s">
        <v>43</v>
      </c>
      <c r="M30" s="420" t="s">
        <v>44</v>
      </c>
      <c r="N30" s="420">
        <v>25.887339999999998</v>
      </c>
      <c r="O30" s="420">
        <v>98.129990000000006</v>
      </c>
      <c r="P30" s="420" t="s">
        <v>573</v>
      </c>
      <c r="Q30" s="420" t="s">
        <v>591</v>
      </c>
      <c r="R30" s="432">
        <v>179</v>
      </c>
      <c r="S30" s="425">
        <v>860</v>
      </c>
      <c r="T30" s="437"/>
      <c r="U30" s="426"/>
      <c r="V30" s="420" t="s">
        <v>247</v>
      </c>
      <c r="W30" s="420"/>
      <c r="X30" s="423"/>
    </row>
    <row r="31" spans="1:24" s="68" customFormat="1" ht="14.25" customHeight="1">
      <c r="A31" s="420" t="s">
        <v>37</v>
      </c>
      <c r="B31" s="420" t="s">
        <v>146</v>
      </c>
      <c r="C31" s="420" t="s">
        <v>227</v>
      </c>
      <c r="D31" s="383" t="s">
        <v>2588</v>
      </c>
      <c r="E31" s="420" t="s">
        <v>1226</v>
      </c>
      <c r="F31" s="420" t="s">
        <v>1350</v>
      </c>
      <c r="G31" s="420" t="s">
        <v>227</v>
      </c>
      <c r="H31" s="420" t="s">
        <v>41</v>
      </c>
      <c r="I31" s="420" t="s">
        <v>1030</v>
      </c>
      <c r="J31" s="420" t="s">
        <v>43</v>
      </c>
      <c r="K31" s="420" t="s">
        <v>43</v>
      </c>
      <c r="L31" s="420" t="s">
        <v>572</v>
      </c>
      <c r="M31" s="420" t="s">
        <v>44</v>
      </c>
      <c r="N31" s="420">
        <v>25.645959999999999</v>
      </c>
      <c r="O31" s="420">
        <v>98.356260000000006</v>
      </c>
      <c r="P31" s="420" t="s">
        <v>573</v>
      </c>
      <c r="Q31" s="420" t="s">
        <v>591</v>
      </c>
      <c r="R31" s="424"/>
      <c r="S31" s="425"/>
      <c r="T31" s="437"/>
      <c r="U31" s="426"/>
      <c r="V31" s="420" t="s">
        <v>782</v>
      </c>
      <c r="W31" s="358"/>
      <c r="X31" s="383"/>
    </row>
    <row r="32" spans="1:24" s="68" customFormat="1" ht="14.25" customHeight="1">
      <c r="A32" s="420" t="s">
        <v>37</v>
      </c>
      <c r="B32" s="420" t="s">
        <v>148</v>
      </c>
      <c r="C32" s="420" t="s">
        <v>783</v>
      </c>
      <c r="D32" s="383" t="s">
        <v>1295</v>
      </c>
      <c r="E32" s="420" t="s">
        <v>1229</v>
      </c>
      <c r="F32" s="420" t="s">
        <v>1347</v>
      </c>
      <c r="G32" s="420" t="s">
        <v>1347</v>
      </c>
      <c r="H32" s="420" t="s">
        <v>41</v>
      </c>
      <c r="I32" s="420" t="s">
        <v>141</v>
      </c>
      <c r="J32" s="420" t="s">
        <v>43</v>
      </c>
      <c r="K32" s="420" t="s">
        <v>43</v>
      </c>
      <c r="L32" s="420" t="s">
        <v>572</v>
      </c>
      <c r="M32" s="420" t="s">
        <v>44</v>
      </c>
      <c r="N32" s="420">
        <v>25.656130000000001</v>
      </c>
      <c r="O32" s="420">
        <v>96.355270000000004</v>
      </c>
      <c r="P32" s="420" t="s">
        <v>573</v>
      </c>
      <c r="Q32" s="420" t="s">
        <v>591</v>
      </c>
      <c r="R32" s="424">
        <v>0</v>
      </c>
      <c r="S32" s="424">
        <v>0</v>
      </c>
      <c r="T32" s="437">
        <v>42983</v>
      </c>
      <c r="U32" s="426" t="s">
        <v>784</v>
      </c>
      <c r="V32" s="420" t="s">
        <v>783</v>
      </c>
      <c r="W32" s="420" t="s">
        <v>1621</v>
      </c>
      <c r="X32" s="383"/>
    </row>
    <row r="33" spans="1:24" s="68" customFormat="1" ht="14.25" customHeight="1">
      <c r="A33" s="420" t="s">
        <v>37</v>
      </c>
      <c r="B33" s="420" t="s">
        <v>148</v>
      </c>
      <c r="C33" s="420" t="s">
        <v>793</v>
      </c>
      <c r="D33" s="383" t="s">
        <v>1295</v>
      </c>
      <c r="E33" s="420" t="s">
        <v>1240</v>
      </c>
      <c r="F33" s="420" t="s">
        <v>1354</v>
      </c>
      <c r="G33" s="420" t="s">
        <v>1355</v>
      </c>
      <c r="H33" s="420"/>
      <c r="I33" s="420">
        <v>0</v>
      </c>
      <c r="J33" s="420" t="s">
        <v>43</v>
      </c>
      <c r="K33" s="420" t="s">
        <v>43</v>
      </c>
      <c r="L33" s="420" t="s">
        <v>572</v>
      </c>
      <c r="M33" s="420" t="s">
        <v>44</v>
      </c>
      <c r="N33" s="420">
        <v>25.920006000000001</v>
      </c>
      <c r="O33" s="420">
        <v>96.662092000000001</v>
      </c>
      <c r="P33" s="420" t="s">
        <v>573</v>
      </c>
      <c r="Q33" s="420" t="s">
        <v>574</v>
      </c>
      <c r="R33" s="424">
        <v>0</v>
      </c>
      <c r="S33" s="424">
        <v>0</v>
      </c>
      <c r="T33" s="437"/>
      <c r="U33" s="426"/>
      <c r="V33" s="420"/>
      <c r="W33" s="420" t="s">
        <v>1622</v>
      </c>
      <c r="X33" s="383"/>
    </row>
    <row r="34" spans="1:24" s="68" customFormat="1" ht="14.25" customHeight="1">
      <c r="A34" s="420" t="s">
        <v>37</v>
      </c>
      <c r="B34" s="420" t="s">
        <v>148</v>
      </c>
      <c r="C34" s="420" t="s">
        <v>248</v>
      </c>
      <c r="D34" s="423" t="s">
        <v>3235</v>
      </c>
      <c r="E34" s="420" t="s">
        <v>1224</v>
      </c>
      <c r="F34" s="420" t="s">
        <v>1347</v>
      </c>
      <c r="G34" s="420" t="s">
        <v>1347</v>
      </c>
      <c r="H34" s="420" t="s">
        <v>41</v>
      </c>
      <c r="I34" s="420" t="s">
        <v>242</v>
      </c>
      <c r="J34" s="420" t="s">
        <v>43</v>
      </c>
      <c r="K34" s="420" t="s">
        <v>43</v>
      </c>
      <c r="L34" s="420" t="s">
        <v>43</v>
      </c>
      <c r="M34" s="420" t="s">
        <v>44</v>
      </c>
      <c r="N34" s="420">
        <v>25.635300000000001</v>
      </c>
      <c r="O34" s="420">
        <v>96.345569999999995</v>
      </c>
      <c r="P34" s="420" t="s">
        <v>573</v>
      </c>
      <c r="Q34" s="420" t="s">
        <v>591</v>
      </c>
      <c r="R34" s="432">
        <v>96</v>
      </c>
      <c r="S34" s="425">
        <v>448</v>
      </c>
      <c r="T34" s="437"/>
      <c r="U34" s="426"/>
      <c r="V34" s="420" t="s">
        <v>248</v>
      </c>
      <c r="W34" s="420"/>
      <c r="X34" s="423"/>
    </row>
    <row r="35" spans="1:24" s="68" customFormat="1" ht="14.25" customHeight="1">
      <c r="A35" s="420" t="s">
        <v>37</v>
      </c>
      <c r="B35" s="420" t="s">
        <v>148</v>
      </c>
      <c r="C35" s="420" t="s">
        <v>249</v>
      </c>
      <c r="D35" s="423" t="s">
        <v>3235</v>
      </c>
      <c r="E35" s="420" t="s">
        <v>1221</v>
      </c>
      <c r="F35" s="420" t="s">
        <v>1441</v>
      </c>
      <c r="G35" s="420" t="s">
        <v>1442</v>
      </c>
      <c r="H35" s="420" t="s">
        <v>41</v>
      </c>
      <c r="I35" s="420" t="s">
        <v>242</v>
      </c>
      <c r="J35" s="420" t="s">
        <v>43</v>
      </c>
      <c r="K35" s="420" t="s">
        <v>43</v>
      </c>
      <c r="L35" s="420" t="s">
        <v>43</v>
      </c>
      <c r="M35" s="420" t="s">
        <v>44</v>
      </c>
      <c r="N35" s="420">
        <v>25.616509000000001</v>
      </c>
      <c r="O35" s="420">
        <v>96.317350000000005</v>
      </c>
      <c r="P35" s="420" t="s">
        <v>573</v>
      </c>
      <c r="Q35" s="420" t="s">
        <v>591</v>
      </c>
      <c r="R35" s="432">
        <v>22</v>
      </c>
      <c r="S35" s="425">
        <v>115</v>
      </c>
      <c r="T35" s="437"/>
      <c r="U35" s="426"/>
      <c r="V35" s="420" t="s">
        <v>249</v>
      </c>
      <c r="W35" s="420"/>
      <c r="X35" s="423"/>
    </row>
    <row r="36" spans="1:24" s="68" customFormat="1" ht="14.25" customHeight="1">
      <c r="A36" s="420" t="s">
        <v>37</v>
      </c>
      <c r="B36" s="420" t="s">
        <v>148</v>
      </c>
      <c r="C36" s="420" t="s">
        <v>250</v>
      </c>
      <c r="D36" s="423" t="s">
        <v>3235</v>
      </c>
      <c r="E36" s="420" t="s">
        <v>1227</v>
      </c>
      <c r="F36" s="420" t="s">
        <v>1347</v>
      </c>
      <c r="G36" s="420" t="s">
        <v>1444</v>
      </c>
      <c r="H36" s="420" t="s">
        <v>41</v>
      </c>
      <c r="I36" s="420" t="s">
        <v>2112</v>
      </c>
      <c r="J36" s="420" t="s">
        <v>43</v>
      </c>
      <c r="K36" s="420" t="s">
        <v>43</v>
      </c>
      <c r="L36" s="420" t="s">
        <v>43</v>
      </c>
      <c r="M36" s="420" t="s">
        <v>44</v>
      </c>
      <c r="N36" s="420">
        <v>25.647649999999999</v>
      </c>
      <c r="O36" s="420">
        <v>96.346469999999997</v>
      </c>
      <c r="P36" s="420" t="s">
        <v>573</v>
      </c>
      <c r="Q36" s="420" t="s">
        <v>591</v>
      </c>
      <c r="R36" s="432">
        <v>40</v>
      </c>
      <c r="S36" s="425">
        <v>245</v>
      </c>
      <c r="T36" s="437"/>
      <c r="U36" s="426"/>
      <c r="V36" s="420" t="s">
        <v>250</v>
      </c>
      <c r="W36" s="358"/>
      <c r="X36" s="423"/>
    </row>
    <row r="37" spans="1:24" s="68" customFormat="1" ht="14.25" customHeight="1">
      <c r="A37" s="420" t="s">
        <v>37</v>
      </c>
      <c r="B37" s="420" t="s">
        <v>148</v>
      </c>
      <c r="C37" s="420" t="s">
        <v>789</v>
      </c>
      <c r="D37" s="383" t="s">
        <v>1295</v>
      </c>
      <c r="E37" s="420" t="s">
        <v>1234</v>
      </c>
      <c r="F37" s="420" t="s">
        <v>1351</v>
      </c>
      <c r="G37" s="420" t="s">
        <v>1352</v>
      </c>
      <c r="H37" s="420" t="s">
        <v>41</v>
      </c>
      <c r="I37" s="420" t="s">
        <v>242</v>
      </c>
      <c r="J37" s="420" t="s">
        <v>43</v>
      </c>
      <c r="K37" s="420" t="s">
        <v>43</v>
      </c>
      <c r="L37" s="420" t="s">
        <v>572</v>
      </c>
      <c r="M37" s="420" t="s">
        <v>44</v>
      </c>
      <c r="N37" s="420">
        <v>25.728653000000001</v>
      </c>
      <c r="O37" s="420">
        <v>96.673805000000002</v>
      </c>
      <c r="P37" s="420" t="s">
        <v>573</v>
      </c>
      <c r="Q37" s="420"/>
      <c r="R37" s="424">
        <v>0</v>
      </c>
      <c r="S37" s="425">
        <v>0</v>
      </c>
      <c r="T37" s="437"/>
      <c r="U37" s="426"/>
      <c r="V37" s="420" t="s">
        <v>789</v>
      </c>
      <c r="W37" s="420" t="s">
        <v>1623</v>
      </c>
      <c r="X37" s="383"/>
    </row>
    <row r="38" spans="1:24" s="68" customFormat="1" ht="14.25" customHeight="1">
      <c r="A38" s="420" t="s">
        <v>37</v>
      </c>
      <c r="B38" s="420" t="s">
        <v>148</v>
      </c>
      <c r="C38" s="420" t="s">
        <v>786</v>
      </c>
      <c r="D38" s="383" t="s">
        <v>1295</v>
      </c>
      <c r="E38" s="420" t="s">
        <v>1232</v>
      </c>
      <c r="F38" s="420" t="s">
        <v>1347</v>
      </c>
      <c r="G38" s="420" t="s">
        <v>1348</v>
      </c>
      <c r="H38" s="420"/>
      <c r="I38" s="420">
        <v>0</v>
      </c>
      <c r="J38" s="420" t="s">
        <v>43</v>
      </c>
      <c r="K38" s="420" t="s">
        <v>43</v>
      </c>
      <c r="L38" s="420" t="s">
        <v>572</v>
      </c>
      <c r="M38" s="420" t="s">
        <v>44</v>
      </c>
      <c r="N38" s="420">
        <v>25.668469999999999</v>
      </c>
      <c r="O38" s="420">
        <v>96.353070000000002</v>
      </c>
      <c r="P38" s="420" t="s">
        <v>573</v>
      </c>
      <c r="Q38" s="420"/>
      <c r="R38" s="424">
        <v>0</v>
      </c>
      <c r="S38" s="424">
        <v>0</v>
      </c>
      <c r="T38" s="437"/>
      <c r="U38" s="426"/>
      <c r="V38" s="420" t="s">
        <v>786</v>
      </c>
      <c r="W38" s="420" t="s">
        <v>1624</v>
      </c>
      <c r="X38" s="383"/>
    </row>
    <row r="39" spans="1:24" s="68" customFormat="1" ht="14.25" customHeight="1">
      <c r="A39" s="420" t="s">
        <v>37</v>
      </c>
      <c r="B39" s="420" t="s">
        <v>148</v>
      </c>
      <c r="C39" s="420" t="s">
        <v>251</v>
      </c>
      <c r="D39" s="423" t="s">
        <v>3233</v>
      </c>
      <c r="E39" s="420" t="s">
        <v>1214</v>
      </c>
      <c r="F39" s="420" t="s">
        <v>1304</v>
      </c>
      <c r="G39" s="420" t="s">
        <v>1304</v>
      </c>
      <c r="H39" s="420" t="s">
        <v>41</v>
      </c>
      <c r="I39" s="420" t="s">
        <v>242</v>
      </c>
      <c r="J39" s="420" t="s">
        <v>43</v>
      </c>
      <c r="K39" s="420" t="s">
        <v>43</v>
      </c>
      <c r="L39" s="420" t="s">
        <v>572</v>
      </c>
      <c r="M39" s="420" t="s">
        <v>44</v>
      </c>
      <c r="N39" s="420">
        <v>25.582065</v>
      </c>
      <c r="O39" s="420">
        <v>96.283377000000002</v>
      </c>
      <c r="P39" s="420" t="s">
        <v>573</v>
      </c>
      <c r="Q39" s="420" t="s">
        <v>591</v>
      </c>
      <c r="R39" s="432">
        <v>5</v>
      </c>
      <c r="S39" s="425">
        <v>26</v>
      </c>
      <c r="T39" s="437"/>
      <c r="U39" s="426"/>
      <c r="V39" s="420" t="s">
        <v>251</v>
      </c>
      <c r="W39" s="420"/>
      <c r="X39" s="423"/>
    </row>
    <row r="40" spans="1:24" s="68" customFormat="1" ht="14.25" customHeight="1">
      <c r="A40" s="420" t="s">
        <v>37</v>
      </c>
      <c r="B40" s="420" t="s">
        <v>148</v>
      </c>
      <c r="C40" s="420" t="s">
        <v>252</v>
      </c>
      <c r="D40" s="423" t="s">
        <v>3235</v>
      </c>
      <c r="E40" s="420" t="s">
        <v>1225</v>
      </c>
      <c r="F40" s="420" t="s">
        <v>1347</v>
      </c>
      <c r="G40" s="420" t="s">
        <v>1443</v>
      </c>
      <c r="H40" s="420" t="s">
        <v>41</v>
      </c>
      <c r="I40" s="420" t="s">
        <v>242</v>
      </c>
      <c r="J40" s="420" t="s">
        <v>43</v>
      </c>
      <c r="K40" s="420" t="s">
        <v>43</v>
      </c>
      <c r="L40" s="420" t="s">
        <v>43</v>
      </c>
      <c r="M40" s="420" t="s">
        <v>44</v>
      </c>
      <c r="N40" s="420">
        <v>25.637309999999999</v>
      </c>
      <c r="O40" s="420">
        <v>96.35257</v>
      </c>
      <c r="P40" s="420" t="s">
        <v>573</v>
      </c>
      <c r="Q40" s="420" t="s">
        <v>591</v>
      </c>
      <c r="R40" s="432">
        <v>91</v>
      </c>
      <c r="S40" s="425">
        <v>454</v>
      </c>
      <c r="T40" s="437"/>
      <c r="U40" s="426"/>
      <c r="V40" s="420" t="s">
        <v>252</v>
      </c>
      <c r="W40" s="420"/>
      <c r="X40" s="423"/>
    </row>
    <row r="41" spans="1:24" s="68" customFormat="1" ht="14.25" customHeight="1">
      <c r="A41" s="420" t="s">
        <v>37</v>
      </c>
      <c r="B41" s="420" t="s">
        <v>148</v>
      </c>
      <c r="C41" s="420" t="s">
        <v>149</v>
      </c>
      <c r="D41" s="423" t="s">
        <v>3235</v>
      </c>
      <c r="E41" s="420" t="s">
        <v>1209</v>
      </c>
      <c r="F41" s="420" t="s">
        <v>1436</v>
      </c>
      <c r="G41" s="420" t="s">
        <v>1437</v>
      </c>
      <c r="H41" s="420" t="s">
        <v>41</v>
      </c>
      <c r="I41" s="420" t="s">
        <v>2112</v>
      </c>
      <c r="J41" s="420" t="s">
        <v>43</v>
      </c>
      <c r="K41" s="420" t="s">
        <v>43</v>
      </c>
      <c r="L41" s="420" t="s">
        <v>43</v>
      </c>
      <c r="M41" s="420" t="s">
        <v>44</v>
      </c>
      <c r="N41" s="420">
        <v>25.51352</v>
      </c>
      <c r="O41" s="420">
        <v>96.705960000000005</v>
      </c>
      <c r="P41" s="420" t="s">
        <v>573</v>
      </c>
      <c r="Q41" s="420" t="s">
        <v>591</v>
      </c>
      <c r="R41" s="432">
        <v>26</v>
      </c>
      <c r="S41" s="425">
        <v>128</v>
      </c>
      <c r="T41" s="437"/>
      <c r="U41" s="426"/>
      <c r="V41" s="420" t="s">
        <v>149</v>
      </c>
      <c r="W41" s="420"/>
      <c r="X41" s="423"/>
    </row>
    <row r="42" spans="1:24" s="68" customFormat="1" ht="14.25" customHeight="1">
      <c r="A42" s="420" t="s">
        <v>37</v>
      </c>
      <c r="B42" s="420" t="s">
        <v>148</v>
      </c>
      <c r="C42" s="420" t="s">
        <v>253</v>
      </c>
      <c r="D42" s="383" t="s">
        <v>2618</v>
      </c>
      <c r="E42" s="420" t="s">
        <v>1220</v>
      </c>
      <c r="F42" s="420" t="s">
        <v>1441</v>
      </c>
      <c r="G42" s="420" t="s">
        <v>1442</v>
      </c>
      <c r="H42" s="420" t="s">
        <v>41</v>
      </c>
      <c r="I42" s="420" t="s">
        <v>242</v>
      </c>
      <c r="J42" s="420" t="s">
        <v>43</v>
      </c>
      <c r="K42" s="420" t="s">
        <v>43</v>
      </c>
      <c r="L42" s="420" t="s">
        <v>572</v>
      </c>
      <c r="M42" s="420" t="s">
        <v>44</v>
      </c>
      <c r="N42" s="420">
        <v>25.615960999999999</v>
      </c>
      <c r="O42" s="420">
        <v>96.316564</v>
      </c>
      <c r="P42" s="420" t="s">
        <v>573</v>
      </c>
      <c r="Q42" s="420" t="s">
        <v>591</v>
      </c>
      <c r="R42" s="424"/>
      <c r="S42" s="424"/>
      <c r="T42" s="437"/>
      <c r="U42" s="426"/>
      <c r="V42" s="420" t="s">
        <v>253</v>
      </c>
      <c r="W42" s="420"/>
      <c r="X42" s="383"/>
    </row>
    <row r="43" spans="1:24" s="68" customFormat="1" ht="14.25" customHeight="1">
      <c r="A43" s="429" t="s">
        <v>37</v>
      </c>
      <c r="B43" s="428" t="s">
        <v>148</v>
      </c>
      <c r="C43" s="422" t="s">
        <v>254</v>
      </c>
      <c r="D43" s="423" t="s">
        <v>3235</v>
      </c>
      <c r="E43" s="420" t="s">
        <v>1217</v>
      </c>
      <c r="F43" s="420" t="s">
        <v>1439</v>
      </c>
      <c r="G43" s="420" t="s">
        <v>1439</v>
      </c>
      <c r="H43" s="420" t="s">
        <v>41</v>
      </c>
      <c r="I43" s="420" t="s">
        <v>2112</v>
      </c>
      <c r="J43" s="420" t="s">
        <v>43</v>
      </c>
      <c r="K43" s="420" t="s">
        <v>43</v>
      </c>
      <c r="L43" s="420" t="s">
        <v>43</v>
      </c>
      <c r="M43" s="420" t="s">
        <v>44</v>
      </c>
      <c r="N43" s="420">
        <v>25.611160000000002</v>
      </c>
      <c r="O43" s="420">
        <v>96.312790000000007</v>
      </c>
      <c r="P43" s="420" t="s">
        <v>573</v>
      </c>
      <c r="Q43" s="420" t="s">
        <v>591</v>
      </c>
      <c r="R43" s="432">
        <v>83</v>
      </c>
      <c r="S43" s="425">
        <v>413</v>
      </c>
      <c r="T43" s="437"/>
      <c r="U43" s="426"/>
      <c r="V43" s="420" t="s">
        <v>254</v>
      </c>
      <c r="W43" s="420"/>
      <c r="X43" s="423"/>
    </row>
    <row r="44" spans="1:24" s="68" customFormat="1" ht="14.25" customHeight="1">
      <c r="A44" s="429" t="s">
        <v>37</v>
      </c>
      <c r="B44" s="428" t="s">
        <v>148</v>
      </c>
      <c r="C44" s="422" t="s">
        <v>1524</v>
      </c>
      <c r="D44" s="383"/>
      <c r="E44" s="422"/>
      <c r="F44" s="422"/>
      <c r="G44" s="422"/>
      <c r="H44" s="422"/>
      <c r="I44" s="420"/>
      <c r="J44" s="420" t="s">
        <v>1094</v>
      </c>
      <c r="K44" s="420" t="s">
        <v>43</v>
      </c>
      <c r="L44" s="422" t="s">
        <v>43</v>
      </c>
      <c r="M44" s="420" t="s">
        <v>44</v>
      </c>
      <c r="N44" s="420"/>
      <c r="O44" s="420"/>
      <c r="P44" s="422" t="s">
        <v>573</v>
      </c>
      <c r="Q44" s="420" t="s">
        <v>1525</v>
      </c>
      <c r="R44" s="424"/>
      <c r="S44" s="424"/>
      <c r="T44" s="437">
        <v>43270</v>
      </c>
      <c r="U44" s="430"/>
      <c r="V44" s="422"/>
      <c r="W44" s="358"/>
      <c r="X44" s="383"/>
    </row>
    <row r="45" spans="1:24" s="68" customFormat="1" ht="14.25" customHeight="1">
      <c r="A45" s="420" t="s">
        <v>37</v>
      </c>
      <c r="B45" s="420" t="s">
        <v>148</v>
      </c>
      <c r="C45" s="420" t="s">
        <v>1558</v>
      </c>
      <c r="D45" s="423" t="s">
        <v>3233</v>
      </c>
      <c r="E45" s="420" t="s">
        <v>1559</v>
      </c>
      <c r="F45" s="420"/>
      <c r="G45" s="420"/>
      <c r="H45" s="420"/>
      <c r="I45" s="420" t="s">
        <v>1030</v>
      </c>
      <c r="J45" s="420" t="s">
        <v>43</v>
      </c>
      <c r="K45" s="420" t="s">
        <v>43</v>
      </c>
      <c r="L45" s="420" t="s">
        <v>572</v>
      </c>
      <c r="M45" s="420" t="s">
        <v>44</v>
      </c>
      <c r="N45" s="420">
        <v>25.522594999999999</v>
      </c>
      <c r="O45" s="420">
        <v>96.711534</v>
      </c>
      <c r="P45" s="420" t="s">
        <v>573</v>
      </c>
      <c r="Q45" s="420" t="s">
        <v>1525</v>
      </c>
      <c r="R45" s="432">
        <v>14</v>
      </c>
      <c r="S45" s="425">
        <v>52</v>
      </c>
      <c r="T45" s="437">
        <v>43276</v>
      </c>
      <c r="U45" s="426" t="s">
        <v>1574</v>
      </c>
      <c r="V45" s="420"/>
      <c r="W45" s="358" t="s">
        <v>1730</v>
      </c>
      <c r="X45" s="423"/>
    </row>
    <row r="46" spans="1:24" s="68" customFormat="1" ht="14.25" customHeight="1">
      <c r="A46" s="429" t="s">
        <v>37</v>
      </c>
      <c r="B46" s="428" t="s">
        <v>148</v>
      </c>
      <c r="C46" s="422" t="s">
        <v>790</v>
      </c>
      <c r="D46" s="383" t="s">
        <v>1295</v>
      </c>
      <c r="E46" s="422" t="s">
        <v>1236</v>
      </c>
      <c r="F46" s="422" t="s">
        <v>1347</v>
      </c>
      <c r="G46" s="422" t="s">
        <v>1353</v>
      </c>
      <c r="H46" s="422" t="s">
        <v>41</v>
      </c>
      <c r="I46" s="420" t="s">
        <v>141</v>
      </c>
      <c r="J46" s="420" t="s">
        <v>43</v>
      </c>
      <c r="K46" s="420" t="s">
        <v>43</v>
      </c>
      <c r="L46" s="422" t="s">
        <v>572</v>
      </c>
      <c r="M46" s="420" t="s">
        <v>44</v>
      </c>
      <c r="N46" s="420">
        <v>25.806999999999999</v>
      </c>
      <c r="O46" s="420">
        <v>96.637</v>
      </c>
      <c r="P46" s="422" t="s">
        <v>573</v>
      </c>
      <c r="Q46" s="420" t="s">
        <v>591</v>
      </c>
      <c r="R46" s="424">
        <v>0</v>
      </c>
      <c r="S46" s="424">
        <v>0</v>
      </c>
      <c r="T46" s="437">
        <v>42983</v>
      </c>
      <c r="U46" s="430" t="s">
        <v>784</v>
      </c>
      <c r="V46" s="422" t="s">
        <v>790</v>
      </c>
      <c r="W46" s="358" t="s">
        <v>1626</v>
      </c>
      <c r="X46" s="383"/>
    </row>
    <row r="47" spans="1:24" s="68" customFormat="1" ht="14.25" customHeight="1">
      <c r="A47" s="429" t="s">
        <v>37</v>
      </c>
      <c r="B47" s="428" t="s">
        <v>148</v>
      </c>
      <c r="C47" s="422" t="s">
        <v>1556</v>
      </c>
      <c r="D47" s="423" t="s">
        <v>2835</v>
      </c>
      <c r="E47" s="420" t="s">
        <v>1557</v>
      </c>
      <c r="F47" s="420"/>
      <c r="G47" s="420"/>
      <c r="H47" s="420"/>
      <c r="I47" s="420" t="s">
        <v>1030</v>
      </c>
      <c r="J47" s="420" t="s">
        <v>43</v>
      </c>
      <c r="K47" s="420" t="s">
        <v>43</v>
      </c>
      <c r="L47" s="420" t="s">
        <v>572</v>
      </c>
      <c r="M47" s="420" t="s">
        <v>44</v>
      </c>
      <c r="N47" s="420">
        <v>25.54677963</v>
      </c>
      <c r="O47" s="420">
        <v>96.793539999999993</v>
      </c>
      <c r="P47" s="420" t="s">
        <v>573</v>
      </c>
      <c r="Q47" s="420" t="s">
        <v>1525</v>
      </c>
      <c r="R47" s="432"/>
      <c r="S47" s="425"/>
      <c r="T47" s="437">
        <v>43276</v>
      </c>
      <c r="U47" s="426" t="s">
        <v>1574</v>
      </c>
      <c r="V47" s="420"/>
      <c r="W47" s="420" t="s">
        <v>1731</v>
      </c>
      <c r="X47" s="423"/>
    </row>
    <row r="48" spans="1:24" s="68" customFormat="1" ht="14.25" customHeight="1">
      <c r="A48" s="420" t="s">
        <v>37</v>
      </c>
      <c r="B48" s="420" t="s">
        <v>148</v>
      </c>
      <c r="C48" s="420" t="s">
        <v>1526</v>
      </c>
      <c r="D48" s="383"/>
      <c r="E48" s="420"/>
      <c r="F48" s="420"/>
      <c r="G48" s="420"/>
      <c r="H48" s="420"/>
      <c r="I48" s="420"/>
      <c r="J48" s="420" t="s">
        <v>1094</v>
      </c>
      <c r="K48" s="420" t="s">
        <v>43</v>
      </c>
      <c r="L48" s="420" t="s">
        <v>43</v>
      </c>
      <c r="M48" s="420" t="s">
        <v>44</v>
      </c>
      <c r="N48" s="420"/>
      <c r="O48" s="420"/>
      <c r="P48" s="17" t="s">
        <v>573</v>
      </c>
      <c r="Q48" s="420" t="s">
        <v>1525</v>
      </c>
      <c r="R48" s="424"/>
      <c r="S48" s="424"/>
      <c r="T48" s="437">
        <v>43270</v>
      </c>
      <c r="U48" s="426"/>
      <c r="V48" s="420"/>
      <c r="W48" s="358"/>
      <c r="X48" s="383"/>
    </row>
    <row r="49" spans="1:24" s="68" customFormat="1" ht="14.25" customHeight="1">
      <c r="A49" s="420" t="s">
        <v>37</v>
      </c>
      <c r="B49" s="420" t="s">
        <v>148</v>
      </c>
      <c r="C49" s="420" t="s">
        <v>243</v>
      </c>
      <c r="D49" s="423" t="s">
        <v>3235</v>
      </c>
      <c r="E49" s="420" t="s">
        <v>1255</v>
      </c>
      <c r="F49" s="420" t="s">
        <v>1347</v>
      </c>
      <c r="G49" s="420" t="s">
        <v>1453</v>
      </c>
      <c r="H49" s="420" t="s">
        <v>41</v>
      </c>
      <c r="I49" s="420" t="s">
        <v>2112</v>
      </c>
      <c r="J49" s="420" t="s">
        <v>43</v>
      </c>
      <c r="K49" s="420" t="s">
        <v>43</v>
      </c>
      <c r="L49" s="420" t="s">
        <v>810</v>
      </c>
      <c r="M49" s="420" t="s">
        <v>44</v>
      </c>
      <c r="N49" s="420">
        <v>25.664000000000001</v>
      </c>
      <c r="O49" s="420">
        <v>96.34</v>
      </c>
      <c r="P49" s="420" t="s">
        <v>573</v>
      </c>
      <c r="Q49" s="420" t="s">
        <v>664</v>
      </c>
      <c r="R49" s="432">
        <v>122</v>
      </c>
      <c r="S49" s="425">
        <v>630</v>
      </c>
      <c r="T49" s="437">
        <v>42983</v>
      </c>
      <c r="U49" s="426" t="s">
        <v>826</v>
      </c>
      <c r="V49" s="420"/>
      <c r="W49" s="420" t="s">
        <v>2078</v>
      </c>
      <c r="X49" s="423"/>
    </row>
    <row r="50" spans="1:24" s="68" customFormat="1" ht="14.25" customHeight="1">
      <c r="A50" s="420" t="s">
        <v>37</v>
      </c>
      <c r="B50" s="420" t="s">
        <v>148</v>
      </c>
      <c r="C50" s="420" t="s">
        <v>255</v>
      </c>
      <c r="D50" s="423" t="s">
        <v>3235</v>
      </c>
      <c r="E50" s="420" t="s">
        <v>1211</v>
      </c>
      <c r="F50" s="420" t="s">
        <v>1304</v>
      </c>
      <c r="G50" s="420" t="s">
        <v>1305</v>
      </c>
      <c r="H50" s="420" t="s">
        <v>41</v>
      </c>
      <c r="I50" s="420" t="s">
        <v>242</v>
      </c>
      <c r="J50" s="420" t="s">
        <v>43</v>
      </c>
      <c r="K50" s="420" t="s">
        <v>43</v>
      </c>
      <c r="L50" s="420" t="s">
        <v>43</v>
      </c>
      <c r="M50" s="420" t="s">
        <v>44</v>
      </c>
      <c r="N50" s="420">
        <v>25.566510000000001</v>
      </c>
      <c r="O50" s="420">
        <v>96.269199999999998</v>
      </c>
      <c r="P50" s="420" t="s">
        <v>573</v>
      </c>
      <c r="Q50" s="420" t="s">
        <v>591</v>
      </c>
      <c r="R50" s="432">
        <v>19</v>
      </c>
      <c r="S50" s="425">
        <v>108</v>
      </c>
      <c r="T50" s="437"/>
      <c r="U50" s="426"/>
      <c r="V50" s="420" t="s">
        <v>255</v>
      </c>
      <c r="W50" s="420"/>
      <c r="X50" s="423"/>
    </row>
    <row r="51" spans="1:24" s="68" customFormat="1" ht="14.25" customHeight="1">
      <c r="A51" s="425" t="s">
        <v>37</v>
      </c>
      <c r="B51" s="428" t="s">
        <v>148</v>
      </c>
      <c r="C51" s="429" t="s">
        <v>256</v>
      </c>
      <c r="D51" s="423" t="s">
        <v>3235</v>
      </c>
      <c r="E51" s="420" t="s">
        <v>1223</v>
      </c>
      <c r="F51" s="420" t="s">
        <v>1441</v>
      </c>
      <c r="G51" s="420" t="s">
        <v>1442</v>
      </c>
      <c r="H51" s="420" t="s">
        <v>41</v>
      </c>
      <c r="I51" s="420" t="s">
        <v>242</v>
      </c>
      <c r="J51" s="420" t="s">
        <v>43</v>
      </c>
      <c r="K51" s="422" t="s">
        <v>43</v>
      </c>
      <c r="L51" s="422" t="s">
        <v>43</v>
      </c>
      <c r="M51" s="420" t="s">
        <v>44</v>
      </c>
      <c r="N51" s="420">
        <v>25.61842</v>
      </c>
      <c r="O51" s="420">
        <v>96.316400000000002</v>
      </c>
      <c r="P51" s="420" t="s">
        <v>573</v>
      </c>
      <c r="Q51" s="420" t="s">
        <v>591</v>
      </c>
      <c r="R51" s="432">
        <v>10</v>
      </c>
      <c r="S51" s="425">
        <v>58</v>
      </c>
      <c r="T51" s="437"/>
      <c r="U51" s="426"/>
      <c r="V51" s="420" t="s">
        <v>256</v>
      </c>
      <c r="W51" s="420"/>
      <c r="X51" s="423"/>
    </row>
    <row r="52" spans="1:24" s="68" customFormat="1" ht="14.25" customHeight="1">
      <c r="A52" s="420" t="s">
        <v>37</v>
      </c>
      <c r="B52" s="420" t="s">
        <v>148</v>
      </c>
      <c r="C52" s="420" t="s">
        <v>1586</v>
      </c>
      <c r="D52" s="383"/>
      <c r="E52" s="420"/>
      <c r="F52" s="420"/>
      <c r="G52" s="420"/>
      <c r="H52" s="420"/>
      <c r="I52" s="420"/>
      <c r="J52" s="420" t="s">
        <v>1094</v>
      </c>
      <c r="K52" s="420" t="s">
        <v>43</v>
      </c>
      <c r="L52" s="420" t="s">
        <v>587</v>
      </c>
      <c r="M52" s="420" t="s">
        <v>44</v>
      </c>
      <c r="N52" s="420"/>
      <c r="O52" s="420"/>
      <c r="P52" s="420" t="s">
        <v>573</v>
      </c>
      <c r="Q52" s="420"/>
      <c r="R52" s="424"/>
      <c r="S52" s="424"/>
      <c r="T52" s="437">
        <v>43297</v>
      </c>
      <c r="U52" s="426"/>
      <c r="V52" s="420"/>
      <c r="W52" s="420"/>
      <c r="X52" s="383"/>
    </row>
    <row r="53" spans="1:24" s="68" customFormat="1" ht="14.25" customHeight="1">
      <c r="A53" s="420" t="s">
        <v>37</v>
      </c>
      <c r="B53" s="420" t="s">
        <v>148</v>
      </c>
      <c r="C53" s="420" t="s">
        <v>257</v>
      </c>
      <c r="D53" s="423" t="s">
        <v>3235</v>
      </c>
      <c r="E53" s="420" t="s">
        <v>1219</v>
      </c>
      <c r="F53" s="420" t="s">
        <v>1441</v>
      </c>
      <c r="G53" s="420" t="s">
        <v>1442</v>
      </c>
      <c r="H53" s="420" t="s">
        <v>41</v>
      </c>
      <c r="I53" s="420" t="s">
        <v>242</v>
      </c>
      <c r="J53" s="420" t="s">
        <v>43</v>
      </c>
      <c r="K53" s="420" t="s">
        <v>43</v>
      </c>
      <c r="L53" s="420" t="s">
        <v>587</v>
      </c>
      <c r="M53" s="420" t="s">
        <v>44</v>
      </c>
      <c r="N53" s="420">
        <v>25.6145</v>
      </c>
      <c r="O53" s="420">
        <v>96.319829999999996</v>
      </c>
      <c r="P53" s="420" t="s">
        <v>573</v>
      </c>
      <c r="Q53" s="420" t="s">
        <v>591</v>
      </c>
      <c r="R53" s="432">
        <v>3</v>
      </c>
      <c r="S53" s="425">
        <v>14</v>
      </c>
      <c r="T53" s="437"/>
      <c r="U53" s="426"/>
      <c r="V53" s="420" t="s">
        <v>257</v>
      </c>
      <c r="W53" s="420"/>
      <c r="X53" s="423"/>
    </row>
    <row r="54" spans="1:24" s="68" customFormat="1" ht="14.25" customHeight="1">
      <c r="A54" s="420" t="s">
        <v>37</v>
      </c>
      <c r="B54" s="420" t="s">
        <v>148</v>
      </c>
      <c r="C54" s="420" t="s">
        <v>785</v>
      </c>
      <c r="D54" s="383" t="s">
        <v>1295</v>
      </c>
      <c r="E54" s="420" t="s">
        <v>1230</v>
      </c>
      <c r="F54" s="420" t="s">
        <v>1347</v>
      </c>
      <c r="G54" s="420" t="s">
        <v>1347</v>
      </c>
      <c r="H54" s="420"/>
      <c r="I54" s="420">
        <v>0</v>
      </c>
      <c r="J54" s="420" t="s">
        <v>43</v>
      </c>
      <c r="K54" s="420" t="s">
        <v>43</v>
      </c>
      <c r="L54" s="420" t="s">
        <v>572</v>
      </c>
      <c r="M54" s="420" t="s">
        <v>44</v>
      </c>
      <c r="N54" s="420">
        <v>25.658670000000001</v>
      </c>
      <c r="O54" s="420">
        <v>96.354159999999993</v>
      </c>
      <c r="P54" s="420" t="s">
        <v>573</v>
      </c>
      <c r="Q54" s="420"/>
      <c r="R54" s="424">
        <v>0</v>
      </c>
      <c r="S54" s="424">
        <v>0</v>
      </c>
      <c r="T54" s="437"/>
      <c r="U54" s="426"/>
      <c r="V54" s="420" t="s">
        <v>785</v>
      </c>
      <c r="W54" s="420" t="s">
        <v>1627</v>
      </c>
      <c r="X54" s="383"/>
    </row>
    <row r="55" spans="1:24" s="68" customFormat="1" ht="14.25" customHeight="1">
      <c r="A55" s="420" t="s">
        <v>37</v>
      </c>
      <c r="B55" s="420" t="s">
        <v>148</v>
      </c>
      <c r="C55" s="420" t="s">
        <v>190</v>
      </c>
      <c r="D55" s="423" t="s">
        <v>3235</v>
      </c>
      <c r="E55" s="422" t="s">
        <v>1241</v>
      </c>
      <c r="F55" s="420" t="s">
        <v>1354</v>
      </c>
      <c r="G55" s="420" t="s">
        <v>1355</v>
      </c>
      <c r="H55" s="420" t="s">
        <v>41</v>
      </c>
      <c r="I55" s="420" t="s">
        <v>1030</v>
      </c>
      <c r="J55" s="420" t="s">
        <v>43</v>
      </c>
      <c r="K55" s="420" t="s">
        <v>43</v>
      </c>
      <c r="L55" s="420" t="s">
        <v>43</v>
      </c>
      <c r="M55" s="420" t="s">
        <v>44</v>
      </c>
      <c r="N55" s="420">
        <v>25.920006000000001</v>
      </c>
      <c r="O55" s="420">
        <v>96.662092000000001</v>
      </c>
      <c r="P55" s="420" t="s">
        <v>573</v>
      </c>
      <c r="Q55" s="420" t="s">
        <v>574</v>
      </c>
      <c r="R55" s="432">
        <v>24</v>
      </c>
      <c r="S55" s="425">
        <v>103</v>
      </c>
      <c r="T55" s="437"/>
      <c r="U55" s="426"/>
      <c r="V55" s="420"/>
      <c r="W55" s="420"/>
      <c r="X55" s="423"/>
    </row>
    <row r="56" spans="1:24" s="68" customFormat="1" ht="14.25" customHeight="1">
      <c r="A56" s="420" t="s">
        <v>37</v>
      </c>
      <c r="B56" s="420" t="s">
        <v>148</v>
      </c>
      <c r="C56" s="420" t="s">
        <v>258</v>
      </c>
      <c r="D56" s="423" t="s">
        <v>3235</v>
      </c>
      <c r="E56" s="420" t="s">
        <v>1222</v>
      </c>
      <c r="F56" s="420" t="s">
        <v>1439</v>
      </c>
      <c r="G56" s="420" t="s">
        <v>1439</v>
      </c>
      <c r="H56" s="420" t="s">
        <v>41</v>
      </c>
      <c r="I56" s="420" t="s">
        <v>242</v>
      </c>
      <c r="J56" s="420" t="s">
        <v>43</v>
      </c>
      <c r="K56" s="420" t="s">
        <v>43</v>
      </c>
      <c r="L56" s="420" t="s">
        <v>587</v>
      </c>
      <c r="M56" s="420" t="s">
        <v>44</v>
      </c>
      <c r="N56" s="420">
        <v>25.617998</v>
      </c>
      <c r="O56" s="420">
        <v>96.339590000000001</v>
      </c>
      <c r="P56" s="420" t="s">
        <v>573</v>
      </c>
      <c r="Q56" s="420" t="s">
        <v>591</v>
      </c>
      <c r="R56" s="432">
        <v>7</v>
      </c>
      <c r="S56" s="425">
        <v>24</v>
      </c>
      <c r="T56" s="437"/>
      <c r="U56" s="426"/>
      <c r="V56" s="420" t="s">
        <v>258</v>
      </c>
      <c r="W56" s="420"/>
      <c r="X56" s="423"/>
    </row>
    <row r="57" spans="1:24" s="68" customFormat="1" ht="14.25" customHeight="1">
      <c r="A57" s="422" t="s">
        <v>37</v>
      </c>
      <c r="B57" s="422" t="s">
        <v>148</v>
      </c>
      <c r="C57" s="422" t="s">
        <v>231</v>
      </c>
      <c r="D57" s="423" t="s">
        <v>3235</v>
      </c>
      <c r="E57" s="420" t="s">
        <v>1218</v>
      </c>
      <c r="F57" s="420" t="s">
        <v>1439</v>
      </c>
      <c r="G57" s="420" t="s">
        <v>1439</v>
      </c>
      <c r="H57" s="420" t="s">
        <v>41</v>
      </c>
      <c r="I57" s="420" t="s">
        <v>1030</v>
      </c>
      <c r="J57" s="420" t="s">
        <v>43</v>
      </c>
      <c r="K57" s="420" t="s">
        <v>43</v>
      </c>
      <c r="L57" s="420" t="s">
        <v>43</v>
      </c>
      <c r="M57" s="420" t="s">
        <v>44</v>
      </c>
      <c r="N57" s="420">
        <v>25.613894999999999</v>
      </c>
      <c r="O57" s="420">
        <v>96.341352999999998</v>
      </c>
      <c r="P57" s="420" t="s">
        <v>573</v>
      </c>
      <c r="Q57" s="420" t="s">
        <v>591</v>
      </c>
      <c r="R57" s="432">
        <v>46</v>
      </c>
      <c r="S57" s="425">
        <v>227</v>
      </c>
      <c r="T57" s="437"/>
      <c r="U57" s="426"/>
      <c r="V57" s="420" t="s">
        <v>231</v>
      </c>
      <c r="W57" s="420"/>
      <c r="X57" s="423"/>
    </row>
    <row r="58" spans="1:24" s="68" customFormat="1" ht="14.25" customHeight="1">
      <c r="A58" s="420" t="s">
        <v>37</v>
      </c>
      <c r="B58" s="422" t="s">
        <v>148</v>
      </c>
      <c r="C58" s="422" t="s">
        <v>259</v>
      </c>
      <c r="D58" s="423" t="s">
        <v>3235</v>
      </c>
      <c r="E58" s="420" t="s">
        <v>1210</v>
      </c>
      <c r="F58" s="420" t="s">
        <v>1304</v>
      </c>
      <c r="G58" s="420" t="s">
        <v>1305</v>
      </c>
      <c r="H58" s="420" t="s">
        <v>41</v>
      </c>
      <c r="I58" s="420" t="s">
        <v>242</v>
      </c>
      <c r="J58" s="420" t="s">
        <v>43</v>
      </c>
      <c r="K58" s="420" t="s">
        <v>43</v>
      </c>
      <c r="L58" s="420" t="s">
        <v>587</v>
      </c>
      <c r="M58" s="420" t="s">
        <v>44</v>
      </c>
      <c r="N58" s="420">
        <v>25.56551</v>
      </c>
      <c r="O58" s="420">
        <v>96.279200000000003</v>
      </c>
      <c r="P58" s="420" t="s">
        <v>573</v>
      </c>
      <c r="Q58" s="420" t="s">
        <v>591</v>
      </c>
      <c r="R58" s="432">
        <v>21</v>
      </c>
      <c r="S58" s="425">
        <v>96</v>
      </c>
      <c r="T58" s="437"/>
      <c r="U58" s="426"/>
      <c r="V58" s="420" t="s">
        <v>259</v>
      </c>
      <c r="W58" s="358"/>
      <c r="X58" s="423"/>
    </row>
    <row r="59" spans="1:24" s="68" customFormat="1" ht="14.25" customHeight="1">
      <c r="A59" s="429" t="s">
        <v>37</v>
      </c>
      <c r="B59" s="428" t="s">
        <v>148</v>
      </c>
      <c r="C59" s="429" t="s">
        <v>2986</v>
      </c>
      <c r="D59" s="423" t="s">
        <v>3235</v>
      </c>
      <c r="E59" s="429" t="s">
        <v>3008</v>
      </c>
      <c r="F59" s="420" t="s">
        <v>1304</v>
      </c>
      <c r="G59" s="420" t="s">
        <v>3038</v>
      </c>
      <c r="H59" s="420"/>
      <c r="I59" s="420" t="s">
        <v>2732</v>
      </c>
      <c r="J59" s="420" t="s">
        <v>43</v>
      </c>
      <c r="K59" s="420" t="s">
        <v>43</v>
      </c>
      <c r="L59" s="420" t="s">
        <v>587</v>
      </c>
      <c r="M59" s="420" t="s">
        <v>44</v>
      </c>
      <c r="N59" s="420"/>
      <c r="O59" s="422" t="s">
        <v>3041</v>
      </c>
      <c r="P59" s="420" t="s">
        <v>573</v>
      </c>
      <c r="Q59" s="420" t="s">
        <v>3042</v>
      </c>
      <c r="R59" s="432">
        <v>12</v>
      </c>
      <c r="S59" s="425">
        <v>54</v>
      </c>
      <c r="T59" s="437">
        <v>45009</v>
      </c>
      <c r="U59" s="426" t="s">
        <v>3043</v>
      </c>
      <c r="V59" s="420"/>
      <c r="W59" s="424" t="s">
        <v>3052</v>
      </c>
      <c r="X59" s="423"/>
    </row>
    <row r="60" spans="1:24" s="68" customFormat="1" ht="14.25" customHeight="1">
      <c r="A60" s="420" t="s">
        <v>37</v>
      </c>
      <c r="B60" s="422" t="s">
        <v>148</v>
      </c>
      <c r="C60" s="422" t="s">
        <v>260</v>
      </c>
      <c r="D60" s="383" t="s">
        <v>1295</v>
      </c>
      <c r="E60" s="420" t="s">
        <v>1231</v>
      </c>
      <c r="F60" s="420" t="s">
        <v>1304</v>
      </c>
      <c r="G60" s="420" t="s">
        <v>1305</v>
      </c>
      <c r="H60" s="420" t="s">
        <v>41</v>
      </c>
      <c r="I60" s="420" t="s">
        <v>141</v>
      </c>
      <c r="J60" s="420" t="s">
        <v>43</v>
      </c>
      <c r="K60" s="422" t="s">
        <v>43</v>
      </c>
      <c r="L60" s="422" t="s">
        <v>572</v>
      </c>
      <c r="M60" s="420" t="s">
        <v>44</v>
      </c>
      <c r="N60" s="420">
        <v>25.668399999999998</v>
      </c>
      <c r="O60" s="420">
        <v>96.353030000000004</v>
      </c>
      <c r="P60" s="420" t="s">
        <v>573</v>
      </c>
      <c r="Q60" s="420" t="s">
        <v>591</v>
      </c>
      <c r="R60" s="424"/>
      <c r="S60" s="424"/>
      <c r="T60" s="437"/>
      <c r="U60" s="426"/>
      <c r="V60" s="420" t="s">
        <v>260</v>
      </c>
      <c r="W60" s="420" t="s">
        <v>2079</v>
      </c>
      <c r="X60" s="383"/>
    </row>
    <row r="61" spans="1:24" s="68" customFormat="1" ht="14.25" customHeight="1">
      <c r="A61" s="422" t="s">
        <v>37</v>
      </c>
      <c r="B61" s="422" t="s">
        <v>148</v>
      </c>
      <c r="C61" s="422" t="s">
        <v>188</v>
      </c>
      <c r="D61" s="423" t="s">
        <v>3235</v>
      </c>
      <c r="E61" s="420" t="s">
        <v>1242</v>
      </c>
      <c r="F61" s="420" t="s">
        <v>1354</v>
      </c>
      <c r="G61" s="420" t="s">
        <v>1355</v>
      </c>
      <c r="H61" s="420" t="s">
        <v>41</v>
      </c>
      <c r="I61" s="420" t="s">
        <v>2112</v>
      </c>
      <c r="J61" s="420" t="s">
        <v>43</v>
      </c>
      <c r="K61" s="422" t="s">
        <v>43</v>
      </c>
      <c r="L61" s="420" t="s">
        <v>43</v>
      </c>
      <c r="M61" s="420" t="s">
        <v>44</v>
      </c>
      <c r="N61" s="420">
        <v>25.920006000000001</v>
      </c>
      <c r="O61" s="420">
        <v>96.662092000000001</v>
      </c>
      <c r="P61" s="420" t="s">
        <v>573</v>
      </c>
      <c r="Q61" s="420" t="s">
        <v>574</v>
      </c>
      <c r="R61" s="432">
        <v>24</v>
      </c>
      <c r="S61" s="425">
        <v>111</v>
      </c>
      <c r="T61" s="437"/>
      <c r="U61" s="426"/>
      <c r="V61" s="420"/>
      <c r="W61" s="420"/>
      <c r="X61" s="423"/>
    </row>
    <row r="62" spans="1:24" s="68" customFormat="1" ht="14.25" customHeight="1">
      <c r="A62" s="420" t="s">
        <v>37</v>
      </c>
      <c r="B62" s="420" t="s">
        <v>148</v>
      </c>
      <c r="C62" s="422" t="s">
        <v>189</v>
      </c>
      <c r="D62" s="383" t="s">
        <v>2588</v>
      </c>
      <c r="E62" s="420" t="s">
        <v>1243</v>
      </c>
      <c r="F62" s="420" t="s">
        <v>1354</v>
      </c>
      <c r="G62" s="420" t="s">
        <v>1355</v>
      </c>
      <c r="H62" s="420" t="s">
        <v>41</v>
      </c>
      <c r="I62" s="420" t="s">
        <v>1614</v>
      </c>
      <c r="J62" s="420" t="s">
        <v>43</v>
      </c>
      <c r="K62" s="422" t="s">
        <v>43</v>
      </c>
      <c r="L62" s="422" t="s">
        <v>572</v>
      </c>
      <c r="M62" s="420" t="s">
        <v>44</v>
      </c>
      <c r="N62" s="420">
        <v>25.920006000000001</v>
      </c>
      <c r="O62" s="420">
        <v>96.662092000000001</v>
      </c>
      <c r="P62" s="420" t="s">
        <v>573</v>
      </c>
      <c r="Q62" s="420" t="s">
        <v>574</v>
      </c>
      <c r="R62" s="424"/>
      <c r="S62" s="425"/>
      <c r="T62" s="437"/>
      <c r="U62" s="426" t="s">
        <v>2130</v>
      </c>
      <c r="V62" s="420"/>
      <c r="W62" s="420"/>
      <c r="X62" s="383"/>
    </row>
    <row r="63" spans="1:24" s="68" customFormat="1" ht="14.25" customHeight="1">
      <c r="A63" s="420" t="s">
        <v>37</v>
      </c>
      <c r="B63" s="422" t="s">
        <v>148</v>
      </c>
      <c r="C63" s="422" t="s">
        <v>191</v>
      </c>
      <c r="D63" s="383"/>
      <c r="E63" s="420"/>
      <c r="F63" s="420"/>
      <c r="G63" s="420"/>
      <c r="H63" s="420"/>
      <c r="I63" s="420"/>
      <c r="J63" s="420" t="s">
        <v>1094</v>
      </c>
      <c r="K63" s="420" t="s">
        <v>43</v>
      </c>
      <c r="L63" s="420" t="s">
        <v>43</v>
      </c>
      <c r="M63" s="420" t="s">
        <v>44</v>
      </c>
      <c r="N63" s="420"/>
      <c r="O63" s="420"/>
      <c r="P63" s="420" t="s">
        <v>573</v>
      </c>
      <c r="Q63" s="420" t="s">
        <v>574</v>
      </c>
      <c r="R63" s="424"/>
      <c r="S63" s="425"/>
      <c r="T63" s="437">
        <v>42824</v>
      </c>
      <c r="U63" s="426"/>
      <c r="V63" s="420"/>
      <c r="W63" s="358"/>
      <c r="X63" s="383"/>
    </row>
    <row r="64" spans="1:24" s="68" customFormat="1" ht="14.25" customHeight="1">
      <c r="A64" s="420" t="s">
        <v>37</v>
      </c>
      <c r="B64" s="420" t="s">
        <v>148</v>
      </c>
      <c r="C64" s="420" t="s">
        <v>2871</v>
      </c>
      <c r="D64" s="423" t="s">
        <v>3235</v>
      </c>
      <c r="E64" s="420" t="s">
        <v>1228</v>
      </c>
      <c r="F64" s="420" t="s">
        <v>1347</v>
      </c>
      <c r="G64" s="420" t="s">
        <v>1347</v>
      </c>
      <c r="H64" s="420" t="s">
        <v>41</v>
      </c>
      <c r="I64" s="420" t="s">
        <v>1030</v>
      </c>
      <c r="J64" s="420" t="s">
        <v>43</v>
      </c>
      <c r="K64" s="420" t="s">
        <v>43</v>
      </c>
      <c r="L64" s="420" t="s">
        <v>43</v>
      </c>
      <c r="M64" s="420" t="s">
        <v>44</v>
      </c>
      <c r="N64" s="420">
        <v>25.656009999999998</v>
      </c>
      <c r="O64" s="420">
        <v>96.361609999999999</v>
      </c>
      <c r="P64" s="420" t="s">
        <v>573</v>
      </c>
      <c r="Q64" s="420" t="s">
        <v>591</v>
      </c>
      <c r="R64" s="432">
        <v>93</v>
      </c>
      <c r="S64" s="425">
        <v>467</v>
      </c>
      <c r="T64" s="437"/>
      <c r="U64" s="426"/>
      <c r="V64" s="420" t="s">
        <v>230</v>
      </c>
      <c r="W64" s="358"/>
      <c r="X64" s="423"/>
    </row>
    <row r="65" spans="1:24" s="68" customFormat="1" ht="14.25" customHeight="1">
      <c r="A65" s="420" t="s">
        <v>37</v>
      </c>
      <c r="B65" s="422" t="s">
        <v>148</v>
      </c>
      <c r="C65" s="422" t="s">
        <v>794</v>
      </c>
      <c r="D65" s="383" t="s">
        <v>1295</v>
      </c>
      <c r="E65" s="422" t="s">
        <v>1244</v>
      </c>
      <c r="F65" s="420" t="s">
        <v>1354</v>
      </c>
      <c r="G65" s="420" t="s">
        <v>1355</v>
      </c>
      <c r="H65" s="420"/>
      <c r="I65" s="420">
        <v>0</v>
      </c>
      <c r="J65" s="420" t="s">
        <v>43</v>
      </c>
      <c r="K65" s="420" t="s">
        <v>43</v>
      </c>
      <c r="L65" s="420" t="s">
        <v>572</v>
      </c>
      <c r="M65" s="420" t="s">
        <v>44</v>
      </c>
      <c r="N65" s="420">
        <v>25.920006000000001</v>
      </c>
      <c r="O65" s="420">
        <v>96.662092000000001</v>
      </c>
      <c r="P65" s="420" t="s">
        <v>573</v>
      </c>
      <c r="Q65" s="420" t="s">
        <v>574</v>
      </c>
      <c r="R65" s="424">
        <v>0</v>
      </c>
      <c r="S65" s="425">
        <v>0</v>
      </c>
      <c r="T65" s="437"/>
      <c r="U65" s="426"/>
      <c r="V65" s="420"/>
      <c r="W65" s="358" t="s">
        <v>1622</v>
      </c>
      <c r="X65" s="383"/>
    </row>
    <row r="66" spans="1:24" s="68" customFormat="1" ht="14.25" customHeight="1">
      <c r="A66" s="420" t="s">
        <v>37</v>
      </c>
      <c r="B66" s="422" t="s">
        <v>148</v>
      </c>
      <c r="C66" s="422" t="s">
        <v>791</v>
      </c>
      <c r="D66" s="383" t="s">
        <v>1295</v>
      </c>
      <c r="E66" s="420" t="s">
        <v>1237</v>
      </c>
      <c r="F66" s="420" t="s">
        <v>1354</v>
      </c>
      <c r="G66" s="420" t="s">
        <v>1354</v>
      </c>
      <c r="H66" s="420"/>
      <c r="I66" s="420">
        <v>0</v>
      </c>
      <c r="J66" s="420" t="s">
        <v>43</v>
      </c>
      <c r="K66" s="420" t="s">
        <v>43</v>
      </c>
      <c r="L66" s="420" t="s">
        <v>572</v>
      </c>
      <c r="M66" s="420" t="s">
        <v>44</v>
      </c>
      <c r="N66" s="420">
        <v>25.806999999999999</v>
      </c>
      <c r="O66" s="420">
        <v>96.637</v>
      </c>
      <c r="P66" s="420" t="s">
        <v>573</v>
      </c>
      <c r="Q66" s="420" t="s">
        <v>574</v>
      </c>
      <c r="R66" s="424">
        <v>0</v>
      </c>
      <c r="S66" s="425">
        <v>0</v>
      </c>
      <c r="T66" s="437">
        <v>42983</v>
      </c>
      <c r="U66" s="426" t="s">
        <v>792</v>
      </c>
      <c r="V66" s="420"/>
      <c r="W66" s="420" t="s">
        <v>1628</v>
      </c>
      <c r="X66" s="383"/>
    </row>
    <row r="67" spans="1:24" s="68" customFormat="1" ht="14.25" customHeight="1">
      <c r="A67" s="420" t="s">
        <v>37</v>
      </c>
      <c r="B67" s="422" t="s">
        <v>148</v>
      </c>
      <c r="C67" s="422" t="s">
        <v>781</v>
      </c>
      <c r="D67" s="383" t="s">
        <v>1295</v>
      </c>
      <c r="E67" s="420" t="s">
        <v>1213</v>
      </c>
      <c r="F67" s="420" t="s">
        <v>1304</v>
      </c>
      <c r="G67" s="420" t="s">
        <v>1304</v>
      </c>
      <c r="H67" s="420" t="s">
        <v>41</v>
      </c>
      <c r="I67" s="420" t="s">
        <v>1030</v>
      </c>
      <c r="J67" s="420" t="s">
        <v>43</v>
      </c>
      <c r="K67" s="420" t="s">
        <v>43</v>
      </c>
      <c r="L67" s="420" t="s">
        <v>572</v>
      </c>
      <c r="M67" s="420" t="s">
        <v>44</v>
      </c>
      <c r="N67" s="420">
        <v>25.57921</v>
      </c>
      <c r="O67" s="420">
        <v>96.288250000000005</v>
      </c>
      <c r="P67" s="420" t="s">
        <v>573</v>
      </c>
      <c r="Q67" s="420"/>
      <c r="R67" s="424">
        <v>0</v>
      </c>
      <c r="S67" s="424">
        <v>0</v>
      </c>
      <c r="T67" s="437"/>
      <c r="U67" s="426"/>
      <c r="V67" s="420" t="s">
        <v>781</v>
      </c>
      <c r="W67" s="420" t="s">
        <v>1629</v>
      </c>
      <c r="X67" s="383"/>
    </row>
    <row r="68" spans="1:24" s="68" customFormat="1" ht="14.25" customHeight="1">
      <c r="A68" s="420" t="s">
        <v>37</v>
      </c>
      <c r="B68" s="422" t="s">
        <v>148</v>
      </c>
      <c r="C68" s="422" t="s">
        <v>261</v>
      </c>
      <c r="D68" s="423" t="s">
        <v>3233</v>
      </c>
      <c r="E68" s="420" t="s">
        <v>1212</v>
      </c>
      <c r="F68" s="420" t="s">
        <v>1304</v>
      </c>
      <c r="G68" s="420" t="s">
        <v>1438</v>
      </c>
      <c r="H68" s="420" t="s">
        <v>41</v>
      </c>
      <c r="I68" s="420" t="s">
        <v>2112</v>
      </c>
      <c r="J68" s="420" t="s">
        <v>43</v>
      </c>
      <c r="K68" s="420" t="s">
        <v>43</v>
      </c>
      <c r="L68" s="420" t="s">
        <v>572</v>
      </c>
      <c r="M68" s="420" t="s">
        <v>44</v>
      </c>
      <c r="N68" s="420">
        <v>25.577559999999998</v>
      </c>
      <c r="O68" s="420">
        <v>96.286680000000004</v>
      </c>
      <c r="P68" s="420" t="s">
        <v>573</v>
      </c>
      <c r="Q68" s="420" t="s">
        <v>591</v>
      </c>
      <c r="R68" s="432">
        <v>25</v>
      </c>
      <c r="S68" s="425">
        <v>133</v>
      </c>
      <c r="T68" s="437"/>
      <c r="U68" s="426"/>
      <c r="V68" s="420" t="s">
        <v>261</v>
      </c>
      <c r="W68" s="420"/>
      <c r="X68" s="423"/>
    </row>
    <row r="69" spans="1:24" s="68" customFormat="1" ht="14.25" customHeight="1">
      <c r="A69" s="425" t="s">
        <v>37</v>
      </c>
      <c r="B69" s="428" t="s">
        <v>148</v>
      </c>
      <c r="C69" s="429" t="s">
        <v>262</v>
      </c>
      <c r="D69" s="423" t="s">
        <v>3233</v>
      </c>
      <c r="E69" s="420" t="s">
        <v>1215</v>
      </c>
      <c r="F69" s="420" t="s">
        <v>1439</v>
      </c>
      <c r="G69" s="420" t="s">
        <v>1439</v>
      </c>
      <c r="H69" s="420" t="s">
        <v>41</v>
      </c>
      <c r="I69" s="420" t="s">
        <v>2112</v>
      </c>
      <c r="J69" s="420" t="s">
        <v>43</v>
      </c>
      <c r="K69" s="420" t="s">
        <v>43</v>
      </c>
      <c r="L69" s="420" t="s">
        <v>572</v>
      </c>
      <c r="M69" s="420" t="s">
        <v>44</v>
      </c>
      <c r="N69" s="420">
        <v>25.599250000000001</v>
      </c>
      <c r="O69" s="420">
        <v>96.306910999999999</v>
      </c>
      <c r="P69" s="420" t="s">
        <v>573</v>
      </c>
      <c r="Q69" s="420" t="s">
        <v>591</v>
      </c>
      <c r="R69" s="432">
        <v>16</v>
      </c>
      <c r="S69" s="425">
        <v>65</v>
      </c>
      <c r="T69" s="437"/>
      <c r="U69" s="432"/>
      <c r="V69" s="420" t="s">
        <v>262</v>
      </c>
      <c r="W69" s="424"/>
      <c r="X69" s="423"/>
    </row>
    <row r="70" spans="1:24" s="68" customFormat="1" ht="14.25" customHeight="1">
      <c r="A70" s="420" t="s">
        <v>37</v>
      </c>
      <c r="B70" s="420" t="s">
        <v>586</v>
      </c>
      <c r="C70" s="420" t="s">
        <v>2643</v>
      </c>
      <c r="D70" s="423" t="s">
        <v>3235</v>
      </c>
      <c r="E70" s="420" t="s">
        <v>2652</v>
      </c>
      <c r="F70" s="420" t="s">
        <v>2653</v>
      </c>
      <c r="G70" s="420" t="s">
        <v>2654</v>
      </c>
      <c r="H70" s="420" t="s">
        <v>41</v>
      </c>
      <c r="I70" s="420" t="s">
        <v>2655</v>
      </c>
      <c r="J70" s="420" t="s">
        <v>43</v>
      </c>
      <c r="K70" s="420" t="s">
        <v>43</v>
      </c>
      <c r="L70" s="420" t="s">
        <v>43</v>
      </c>
      <c r="M70" s="420" t="s">
        <v>589</v>
      </c>
      <c r="N70" s="420">
        <v>26.007408000000002</v>
      </c>
      <c r="O70" s="420">
        <v>97.823777000000007</v>
      </c>
      <c r="P70" s="420" t="s">
        <v>573</v>
      </c>
      <c r="Q70" s="420" t="s">
        <v>2650</v>
      </c>
      <c r="R70" s="432">
        <v>120</v>
      </c>
      <c r="S70" s="425">
        <v>558</v>
      </c>
      <c r="T70" s="437">
        <v>44544</v>
      </c>
      <c r="U70" s="426"/>
      <c r="V70" s="420"/>
      <c r="W70" s="420"/>
      <c r="X70" s="423"/>
    </row>
    <row r="71" spans="1:24" s="68" customFormat="1" ht="14.25" customHeight="1">
      <c r="A71" s="420" t="s">
        <v>37</v>
      </c>
      <c r="B71" s="420" t="s">
        <v>586</v>
      </c>
      <c r="C71" s="420" t="s">
        <v>585</v>
      </c>
      <c r="D71" s="383" t="s">
        <v>1295</v>
      </c>
      <c r="E71" s="422" t="s">
        <v>1034</v>
      </c>
      <c r="F71" s="420">
        <v>0</v>
      </c>
      <c r="G71" s="420">
        <v>0</v>
      </c>
      <c r="H71" s="420"/>
      <c r="I71" s="420">
        <v>0</v>
      </c>
      <c r="J71" s="420" t="s">
        <v>43</v>
      </c>
      <c r="K71" s="420" t="s">
        <v>43</v>
      </c>
      <c r="L71" s="420" t="s">
        <v>572</v>
      </c>
      <c r="M71" s="420" t="s">
        <v>44</v>
      </c>
      <c r="N71" s="420"/>
      <c r="O71" s="420"/>
      <c r="P71" s="420" t="s">
        <v>573</v>
      </c>
      <c r="Q71" s="420"/>
      <c r="R71" s="424">
        <v>0</v>
      </c>
      <c r="S71" s="425">
        <v>0</v>
      </c>
      <c r="T71" s="437"/>
      <c r="U71" s="426"/>
      <c r="V71" s="420" t="s">
        <v>585</v>
      </c>
      <c r="W71" s="358" t="s">
        <v>1630</v>
      </c>
      <c r="X71" s="383"/>
    </row>
    <row r="72" spans="1:24" s="68" customFormat="1" ht="14.25" customHeight="1">
      <c r="A72" s="429" t="s">
        <v>37</v>
      </c>
      <c r="B72" s="428" t="s">
        <v>586</v>
      </c>
      <c r="C72" s="429" t="s">
        <v>2979</v>
      </c>
      <c r="D72" s="423" t="s">
        <v>3235</v>
      </c>
      <c r="E72" s="429" t="s">
        <v>3001</v>
      </c>
      <c r="F72" s="420"/>
      <c r="G72" s="420" t="s">
        <v>3035</v>
      </c>
      <c r="H72" s="420"/>
      <c r="I72" s="420" t="s">
        <v>2732</v>
      </c>
      <c r="J72" s="420" t="s">
        <v>43</v>
      </c>
      <c r="K72" s="420" t="s">
        <v>43</v>
      </c>
      <c r="L72" s="420" t="s">
        <v>587</v>
      </c>
      <c r="M72" s="420" t="s">
        <v>589</v>
      </c>
      <c r="N72" s="420"/>
      <c r="O72" s="420" t="s">
        <v>3041</v>
      </c>
      <c r="P72" s="420" t="s">
        <v>573</v>
      </c>
      <c r="Q72" s="420" t="s">
        <v>3042</v>
      </c>
      <c r="R72" s="432">
        <v>42</v>
      </c>
      <c r="S72" s="425">
        <v>112</v>
      </c>
      <c r="T72" s="437">
        <v>45009</v>
      </c>
      <c r="U72" s="426" t="s">
        <v>3043</v>
      </c>
      <c r="V72" s="420"/>
      <c r="W72" s="424" t="s">
        <v>3048</v>
      </c>
      <c r="X72" s="423"/>
    </row>
    <row r="73" spans="1:24" s="68" customFormat="1" ht="14.25" customHeight="1">
      <c r="A73" s="422" t="s">
        <v>37</v>
      </c>
      <c r="B73" s="422" t="s">
        <v>798</v>
      </c>
      <c r="C73" s="422" t="s">
        <v>797</v>
      </c>
      <c r="D73" s="423" t="s">
        <v>1295</v>
      </c>
      <c r="E73" s="431" t="s">
        <v>1248</v>
      </c>
      <c r="F73" s="431" t="s">
        <v>1356</v>
      </c>
      <c r="G73" s="431" t="s">
        <v>797</v>
      </c>
      <c r="H73" s="431"/>
      <c r="I73" s="431">
        <v>0</v>
      </c>
      <c r="J73" s="420" t="s">
        <v>43</v>
      </c>
      <c r="K73" s="422" t="s">
        <v>43</v>
      </c>
      <c r="L73" s="422" t="s">
        <v>572</v>
      </c>
      <c r="M73" s="420" t="s">
        <v>44</v>
      </c>
      <c r="N73" s="420">
        <v>26.890058</v>
      </c>
      <c r="O73" s="420">
        <v>98.144502500000002</v>
      </c>
      <c r="P73" s="420" t="s">
        <v>573</v>
      </c>
      <c r="Q73" s="420"/>
      <c r="R73" s="432">
        <v>0</v>
      </c>
      <c r="S73" s="425">
        <v>0</v>
      </c>
      <c r="T73" s="437"/>
      <c r="U73" s="426"/>
      <c r="V73" s="420" t="s">
        <v>797</v>
      </c>
      <c r="W73" s="420" t="s">
        <v>1631</v>
      </c>
      <c r="X73" s="423"/>
    </row>
    <row r="74" spans="1:24" s="68" customFormat="1" ht="14.25" customHeight="1">
      <c r="A74" s="422" t="s">
        <v>37</v>
      </c>
      <c r="B74" s="422" t="s">
        <v>803</v>
      </c>
      <c r="C74" s="422" t="s">
        <v>802</v>
      </c>
      <c r="D74" s="423" t="s">
        <v>1295</v>
      </c>
      <c r="E74" s="431" t="s">
        <v>1251</v>
      </c>
      <c r="F74" s="431">
        <v>0</v>
      </c>
      <c r="G74" s="431">
        <v>0</v>
      </c>
      <c r="H74" s="431"/>
      <c r="I74" s="431">
        <v>0</v>
      </c>
      <c r="J74" s="420" t="s">
        <v>43</v>
      </c>
      <c r="K74" s="422" t="s">
        <v>43</v>
      </c>
      <c r="L74" s="422" t="s">
        <v>572</v>
      </c>
      <c r="M74" s="422" t="s">
        <v>44</v>
      </c>
      <c r="N74" s="422">
        <v>27.274059999999999</v>
      </c>
      <c r="O74" s="422">
        <v>97.586470000000006</v>
      </c>
      <c r="P74" s="420" t="s">
        <v>573</v>
      </c>
      <c r="Q74" s="422"/>
      <c r="R74" s="433">
        <v>0</v>
      </c>
      <c r="S74" s="429">
        <v>0</v>
      </c>
      <c r="T74" s="438"/>
      <c r="U74" s="430"/>
      <c r="V74" s="422" t="s">
        <v>804</v>
      </c>
      <c r="W74" s="420" t="s">
        <v>1632</v>
      </c>
      <c r="X74" s="423"/>
    </row>
    <row r="75" spans="1:24" s="68" customFormat="1" ht="14.25" customHeight="1">
      <c r="A75" s="420" t="s">
        <v>37</v>
      </c>
      <c r="B75" s="420" t="s">
        <v>1020</v>
      </c>
      <c r="C75" s="420" t="s">
        <v>1467</v>
      </c>
      <c r="D75" s="383"/>
      <c r="E75" s="420"/>
      <c r="F75" s="420"/>
      <c r="G75" s="420"/>
      <c r="H75" s="420"/>
      <c r="I75" s="420"/>
      <c r="J75" s="420" t="s">
        <v>1094</v>
      </c>
      <c r="K75" s="420" t="s">
        <v>43</v>
      </c>
      <c r="L75" s="420" t="s">
        <v>43</v>
      </c>
      <c r="M75" s="420"/>
      <c r="N75" s="420"/>
      <c r="O75" s="420"/>
      <c r="P75" s="420" t="s">
        <v>573</v>
      </c>
      <c r="Q75" s="420"/>
      <c r="R75" s="424"/>
      <c r="S75" s="425"/>
      <c r="T75" s="437"/>
      <c r="U75" s="426"/>
      <c r="V75" s="420"/>
      <c r="W75" s="420"/>
      <c r="X75" s="383"/>
    </row>
    <row r="76" spans="1:24" s="68" customFormat="1" ht="14.25" customHeight="1">
      <c r="A76" s="420" t="s">
        <v>37</v>
      </c>
      <c r="B76" s="420" t="s">
        <v>1020</v>
      </c>
      <c r="C76" s="420" t="s">
        <v>1021</v>
      </c>
      <c r="D76" s="383"/>
      <c r="E76" s="420"/>
      <c r="F76" s="420"/>
      <c r="G76" s="420"/>
      <c r="H76" s="420"/>
      <c r="I76" s="420"/>
      <c r="J76" s="420" t="s">
        <v>1094</v>
      </c>
      <c r="K76" s="420" t="s">
        <v>43</v>
      </c>
      <c r="L76" s="420" t="s">
        <v>43</v>
      </c>
      <c r="M76" s="420"/>
      <c r="N76" s="420"/>
      <c r="O76" s="420"/>
      <c r="P76" s="420" t="s">
        <v>573</v>
      </c>
      <c r="Q76" s="420"/>
      <c r="R76" s="424"/>
      <c r="S76" s="425"/>
      <c r="T76" s="437"/>
      <c r="U76" s="426"/>
      <c r="V76" s="420"/>
      <c r="W76" s="358"/>
      <c r="X76" s="383"/>
    </row>
    <row r="77" spans="1:24" s="68" customFormat="1" ht="14.25" customHeight="1">
      <c r="A77" s="420" t="s">
        <v>37</v>
      </c>
      <c r="B77" s="420" t="s">
        <v>38</v>
      </c>
      <c r="C77" s="420" t="s">
        <v>577</v>
      </c>
      <c r="D77" s="383" t="s">
        <v>1295</v>
      </c>
      <c r="E77" s="420" t="s">
        <v>1025</v>
      </c>
      <c r="F77" s="420">
        <v>0</v>
      </c>
      <c r="G77" s="420">
        <v>0</v>
      </c>
      <c r="H77" s="420"/>
      <c r="I77" s="420">
        <v>0</v>
      </c>
      <c r="J77" s="420" t="s">
        <v>43</v>
      </c>
      <c r="K77" s="420" t="s">
        <v>43</v>
      </c>
      <c r="L77" s="420" t="s">
        <v>572</v>
      </c>
      <c r="M77" s="420" t="s">
        <v>44</v>
      </c>
      <c r="N77" s="420"/>
      <c r="O77" s="420"/>
      <c r="P77" s="420" t="s">
        <v>573</v>
      </c>
      <c r="Q77" s="420"/>
      <c r="R77" s="424">
        <v>0</v>
      </c>
      <c r="S77" s="425">
        <v>0</v>
      </c>
      <c r="T77" s="437"/>
      <c r="U77" s="426"/>
      <c r="V77" s="420" t="s">
        <v>577</v>
      </c>
      <c r="W77" s="420" t="s">
        <v>1633</v>
      </c>
      <c r="X77" s="383"/>
    </row>
    <row r="78" spans="1:24" s="68" customFormat="1" ht="14.25" customHeight="1">
      <c r="A78" s="420" t="s">
        <v>37</v>
      </c>
      <c r="B78" s="420" t="s">
        <v>38</v>
      </c>
      <c r="C78" s="420" t="s">
        <v>578</v>
      </c>
      <c r="D78" s="383" t="s">
        <v>1295</v>
      </c>
      <c r="E78" s="420" t="s">
        <v>1026</v>
      </c>
      <c r="F78" s="420">
        <v>0</v>
      </c>
      <c r="G78" s="420">
        <v>0</v>
      </c>
      <c r="H78" s="420"/>
      <c r="I78" s="420">
        <v>0</v>
      </c>
      <c r="J78" s="420" t="s">
        <v>43</v>
      </c>
      <c r="K78" s="420" t="s">
        <v>43</v>
      </c>
      <c r="L78" s="420" t="s">
        <v>572</v>
      </c>
      <c r="M78" s="420" t="s">
        <v>44</v>
      </c>
      <c r="N78" s="420"/>
      <c r="O78" s="420"/>
      <c r="P78" s="420" t="s">
        <v>573</v>
      </c>
      <c r="Q78" s="420"/>
      <c r="R78" s="424">
        <v>0</v>
      </c>
      <c r="S78" s="424">
        <v>0</v>
      </c>
      <c r="T78" s="437"/>
      <c r="U78" s="426"/>
      <c r="V78" s="420" t="s">
        <v>578</v>
      </c>
      <c r="W78" s="420" t="s">
        <v>1634</v>
      </c>
      <c r="X78" s="383"/>
    </row>
    <row r="79" spans="1:24" s="68" customFormat="1" ht="14.25" customHeight="1">
      <c r="A79" s="420" t="s">
        <v>37</v>
      </c>
      <c r="B79" s="420" t="s">
        <v>38</v>
      </c>
      <c r="C79" s="420" t="s">
        <v>579</v>
      </c>
      <c r="D79" s="383" t="s">
        <v>1295</v>
      </c>
      <c r="E79" s="420" t="s">
        <v>1027</v>
      </c>
      <c r="F79" s="420">
        <v>0</v>
      </c>
      <c r="G79" s="420">
        <v>0</v>
      </c>
      <c r="H79" s="420"/>
      <c r="I79" s="420">
        <v>0</v>
      </c>
      <c r="J79" s="420" t="s">
        <v>43</v>
      </c>
      <c r="K79" s="420" t="s">
        <v>43</v>
      </c>
      <c r="L79" s="420" t="s">
        <v>572</v>
      </c>
      <c r="M79" s="420" t="s">
        <v>44</v>
      </c>
      <c r="N79" s="420"/>
      <c r="O79" s="420"/>
      <c r="P79" s="420" t="s">
        <v>573</v>
      </c>
      <c r="Q79" s="420"/>
      <c r="R79" s="424">
        <v>0</v>
      </c>
      <c r="S79" s="425">
        <v>0</v>
      </c>
      <c r="T79" s="437"/>
      <c r="U79" s="426"/>
      <c r="V79" s="420" t="s">
        <v>579</v>
      </c>
      <c r="W79" s="420" t="s">
        <v>1633</v>
      </c>
      <c r="X79" s="383"/>
    </row>
    <row r="80" spans="1:24" s="68" customFormat="1" ht="14.25" customHeight="1">
      <c r="A80" s="420" t="s">
        <v>37</v>
      </c>
      <c r="B80" s="420" t="s">
        <v>38</v>
      </c>
      <c r="C80" s="420" t="s">
        <v>1485</v>
      </c>
      <c r="D80" s="423" t="s">
        <v>3235</v>
      </c>
      <c r="E80" s="420" t="s">
        <v>1096</v>
      </c>
      <c r="F80" s="420" t="s">
        <v>1324</v>
      </c>
      <c r="G80" s="420" t="s">
        <v>1324</v>
      </c>
      <c r="H80" s="420" t="s">
        <v>41</v>
      </c>
      <c r="I80" s="420" t="s">
        <v>42</v>
      </c>
      <c r="J80" s="420" t="s">
        <v>43</v>
      </c>
      <c r="K80" s="420" t="s">
        <v>43</v>
      </c>
      <c r="L80" s="420" t="s">
        <v>43</v>
      </c>
      <c r="M80" s="420" t="s">
        <v>589</v>
      </c>
      <c r="N80" s="420">
        <v>24.002433</v>
      </c>
      <c r="O80" s="420">
        <v>97.609832999999995</v>
      </c>
      <c r="P80" s="420" t="s">
        <v>573</v>
      </c>
      <c r="Q80" s="420" t="s">
        <v>574</v>
      </c>
      <c r="R80" s="432">
        <v>393</v>
      </c>
      <c r="S80" s="425">
        <v>1919</v>
      </c>
      <c r="T80" s="437"/>
      <c r="U80" s="426"/>
      <c r="V80" s="420"/>
      <c r="W80" s="358"/>
      <c r="X80" s="423"/>
    </row>
    <row r="81" spans="1:24" s="68" customFormat="1" ht="14.25" customHeight="1">
      <c r="A81" s="420" t="s">
        <v>37</v>
      </c>
      <c r="B81" s="420" t="s">
        <v>38</v>
      </c>
      <c r="C81" s="420" t="s">
        <v>1468</v>
      </c>
      <c r="D81" s="383"/>
      <c r="E81" s="420"/>
      <c r="F81" s="420"/>
      <c r="G81" s="420"/>
      <c r="H81" s="420"/>
      <c r="I81" s="420"/>
      <c r="J81" s="420" t="s">
        <v>1094</v>
      </c>
      <c r="K81" s="420" t="s">
        <v>43</v>
      </c>
      <c r="L81" s="420" t="s">
        <v>810</v>
      </c>
      <c r="M81" s="420" t="s">
        <v>589</v>
      </c>
      <c r="N81" s="420"/>
      <c r="O81" s="420"/>
      <c r="P81" s="420" t="s">
        <v>573</v>
      </c>
      <c r="Q81" s="420"/>
      <c r="R81" s="424"/>
      <c r="S81" s="425"/>
      <c r="T81" s="437"/>
      <c r="U81" s="426"/>
      <c r="V81" s="420" t="s">
        <v>819</v>
      </c>
      <c r="W81" s="420"/>
      <c r="X81" s="383"/>
    </row>
    <row r="82" spans="1:24" s="68" customFormat="1" ht="14.25" customHeight="1">
      <c r="A82" s="420" t="s">
        <v>37</v>
      </c>
      <c r="B82" s="420" t="s">
        <v>38</v>
      </c>
      <c r="C82" s="420" t="s">
        <v>1486</v>
      </c>
      <c r="D82" s="383" t="s">
        <v>1295</v>
      </c>
      <c r="E82" s="420" t="s">
        <v>1095</v>
      </c>
      <c r="F82" s="420" t="s">
        <v>1324</v>
      </c>
      <c r="G82" s="420" t="s">
        <v>1324</v>
      </c>
      <c r="H82" s="420" t="s">
        <v>41</v>
      </c>
      <c r="I82" s="420" t="s">
        <v>42</v>
      </c>
      <c r="J82" s="420" t="s">
        <v>43</v>
      </c>
      <c r="K82" s="420" t="s">
        <v>43</v>
      </c>
      <c r="L82" s="420" t="s">
        <v>572</v>
      </c>
      <c r="M82" s="420" t="s">
        <v>589</v>
      </c>
      <c r="N82" s="420">
        <v>24.000250000000001</v>
      </c>
      <c r="O82" s="420">
        <v>97.608249999999998</v>
      </c>
      <c r="P82" s="420" t="s">
        <v>573</v>
      </c>
      <c r="Q82" s="420"/>
      <c r="R82" s="424">
        <v>0</v>
      </c>
      <c r="S82" s="424">
        <v>0</v>
      </c>
      <c r="T82" s="437"/>
      <c r="U82" s="426"/>
      <c r="V82" s="420" t="s">
        <v>715</v>
      </c>
      <c r="W82" s="420" t="s">
        <v>1635</v>
      </c>
      <c r="X82" s="383"/>
    </row>
    <row r="83" spans="1:24" s="68" customFormat="1" ht="14.25" customHeight="1">
      <c r="A83" s="420" t="s">
        <v>37</v>
      </c>
      <c r="B83" s="420" t="s">
        <v>38</v>
      </c>
      <c r="C83" s="420" t="s">
        <v>709</v>
      </c>
      <c r="D83" s="383" t="s">
        <v>1295</v>
      </c>
      <c r="E83" s="420" t="s">
        <v>1088</v>
      </c>
      <c r="F83" s="420" t="s">
        <v>1318</v>
      </c>
      <c r="G83" s="420">
        <v>0</v>
      </c>
      <c r="H83" s="420" t="s">
        <v>41</v>
      </c>
      <c r="I83" s="420" t="s">
        <v>42</v>
      </c>
      <c r="J83" s="420" t="s">
        <v>43</v>
      </c>
      <c r="K83" s="420" t="s">
        <v>43</v>
      </c>
      <c r="L83" s="420" t="s">
        <v>572</v>
      </c>
      <c r="M83" s="420" t="s">
        <v>589</v>
      </c>
      <c r="N83" s="420">
        <v>23.867713999999999</v>
      </c>
      <c r="O83" s="420">
        <v>97.601243999999994</v>
      </c>
      <c r="P83" s="420" t="s">
        <v>573</v>
      </c>
      <c r="Q83" s="420"/>
      <c r="R83" s="424">
        <v>0</v>
      </c>
      <c r="S83" s="425">
        <v>0</v>
      </c>
      <c r="T83" s="437"/>
      <c r="U83" s="426"/>
      <c r="V83" s="420" t="s">
        <v>709</v>
      </c>
      <c r="W83" s="358" t="s">
        <v>1636</v>
      </c>
      <c r="X83" s="383"/>
    </row>
    <row r="84" spans="1:24" s="68" customFormat="1" ht="14.25" customHeight="1">
      <c r="A84" s="420" t="s">
        <v>37</v>
      </c>
      <c r="B84" s="420" t="s">
        <v>38</v>
      </c>
      <c r="C84" s="420" t="s">
        <v>294</v>
      </c>
      <c r="D84" s="423" t="s">
        <v>3235</v>
      </c>
      <c r="E84" s="420" t="s">
        <v>1100</v>
      </c>
      <c r="F84" s="420"/>
      <c r="G84" s="420"/>
      <c r="H84" s="420" t="s">
        <v>41</v>
      </c>
      <c r="I84" s="420" t="s">
        <v>42</v>
      </c>
      <c r="J84" s="420" t="s">
        <v>43</v>
      </c>
      <c r="K84" s="420" t="s">
        <v>43</v>
      </c>
      <c r="L84" s="420" t="s">
        <v>43</v>
      </c>
      <c r="M84" s="420" t="s">
        <v>589</v>
      </c>
      <c r="N84" s="420">
        <v>24.056132999999999</v>
      </c>
      <c r="O84" s="420">
        <v>97.625617000000005</v>
      </c>
      <c r="P84" s="420" t="s">
        <v>573</v>
      </c>
      <c r="Q84" s="420" t="s">
        <v>574</v>
      </c>
      <c r="R84" s="432">
        <v>541</v>
      </c>
      <c r="S84" s="425">
        <v>2507</v>
      </c>
      <c r="T84" s="437"/>
      <c r="U84" s="426"/>
      <c r="V84" s="420"/>
      <c r="W84" s="358"/>
      <c r="X84" s="423"/>
    </row>
    <row r="85" spans="1:24" s="68" customFormat="1" ht="14.25" customHeight="1">
      <c r="A85" s="420" t="s">
        <v>37</v>
      </c>
      <c r="B85" s="420" t="s">
        <v>38</v>
      </c>
      <c r="C85" s="420" t="s">
        <v>710</v>
      </c>
      <c r="D85" s="383" t="s">
        <v>1295</v>
      </c>
      <c r="E85" s="420" t="s">
        <v>1089</v>
      </c>
      <c r="F85" s="420" t="s">
        <v>1319</v>
      </c>
      <c r="G85" s="420">
        <v>0</v>
      </c>
      <c r="H85" s="420" t="s">
        <v>41</v>
      </c>
      <c r="I85" s="420" t="s">
        <v>42</v>
      </c>
      <c r="J85" s="420" t="s">
        <v>43</v>
      </c>
      <c r="K85" s="420" t="s">
        <v>43</v>
      </c>
      <c r="L85" s="420" t="s">
        <v>572</v>
      </c>
      <c r="M85" s="420" t="s">
        <v>589</v>
      </c>
      <c r="N85" s="420">
        <v>23.9055</v>
      </c>
      <c r="O85" s="420">
        <v>97.585667000000001</v>
      </c>
      <c r="P85" s="420" t="s">
        <v>573</v>
      </c>
      <c r="Q85" s="420"/>
      <c r="R85" s="424">
        <v>0</v>
      </c>
      <c r="S85" s="424">
        <v>0</v>
      </c>
      <c r="T85" s="437"/>
      <c r="U85" s="426"/>
      <c r="V85" s="420" t="s">
        <v>710</v>
      </c>
      <c r="W85" s="420" t="s">
        <v>1637</v>
      </c>
      <c r="X85" s="383"/>
    </row>
    <row r="86" spans="1:24" s="68" customFormat="1" ht="14.25" customHeight="1">
      <c r="A86" s="420" t="s">
        <v>37</v>
      </c>
      <c r="B86" s="420" t="s">
        <v>38</v>
      </c>
      <c r="C86" s="420" t="s">
        <v>183</v>
      </c>
      <c r="D86" s="423" t="s">
        <v>3235</v>
      </c>
      <c r="E86" s="420" t="s">
        <v>1091</v>
      </c>
      <c r="F86" s="420" t="s">
        <v>183</v>
      </c>
      <c r="G86" s="420" t="s">
        <v>183</v>
      </c>
      <c r="H86" s="420" t="s">
        <v>41</v>
      </c>
      <c r="I86" s="420" t="s">
        <v>2111</v>
      </c>
      <c r="J86" s="420" t="s">
        <v>43</v>
      </c>
      <c r="K86" s="420" t="s">
        <v>43</v>
      </c>
      <c r="L86" s="420" t="s">
        <v>43</v>
      </c>
      <c r="M86" s="420" t="s">
        <v>44</v>
      </c>
      <c r="N86" s="420">
        <v>23.972453000000002</v>
      </c>
      <c r="O86" s="420">
        <v>97.225881000000001</v>
      </c>
      <c r="P86" s="420" t="s">
        <v>573</v>
      </c>
      <c r="Q86" s="420" t="s">
        <v>591</v>
      </c>
      <c r="R86" s="432">
        <v>365</v>
      </c>
      <c r="S86" s="425">
        <v>1718</v>
      </c>
      <c r="T86" s="437"/>
      <c r="U86" s="426"/>
      <c r="V86" s="420" t="s">
        <v>183</v>
      </c>
      <c r="W86" s="420" t="s">
        <v>1732</v>
      </c>
      <c r="X86" s="423"/>
    </row>
    <row r="87" spans="1:24" s="68" customFormat="1" ht="14.25" customHeight="1">
      <c r="A87" s="420" t="s">
        <v>37</v>
      </c>
      <c r="B87" s="420" t="s">
        <v>38</v>
      </c>
      <c r="C87" s="420" t="s">
        <v>39</v>
      </c>
      <c r="D87" s="423" t="s">
        <v>3235</v>
      </c>
      <c r="E87" s="420" t="s">
        <v>1092</v>
      </c>
      <c r="F87" s="420" t="s">
        <v>183</v>
      </c>
      <c r="G87" s="420" t="s">
        <v>183</v>
      </c>
      <c r="H87" s="420" t="s">
        <v>41</v>
      </c>
      <c r="I87" s="420" t="s">
        <v>42</v>
      </c>
      <c r="J87" s="420" t="s">
        <v>43</v>
      </c>
      <c r="K87" s="420" t="s">
        <v>43</v>
      </c>
      <c r="L87" s="420" t="s">
        <v>43</v>
      </c>
      <c r="M87" s="420" t="s">
        <v>44</v>
      </c>
      <c r="N87" s="420">
        <v>23.976571</v>
      </c>
      <c r="O87" s="420">
        <v>97.227057000000002</v>
      </c>
      <c r="P87" s="420" t="s">
        <v>573</v>
      </c>
      <c r="Q87" s="420" t="s">
        <v>591</v>
      </c>
      <c r="R87" s="432">
        <v>143</v>
      </c>
      <c r="S87" s="425">
        <v>687</v>
      </c>
      <c r="T87" s="437"/>
      <c r="U87" s="426"/>
      <c r="V87" s="420" t="s">
        <v>39</v>
      </c>
      <c r="W87" s="420"/>
      <c r="X87" s="423"/>
    </row>
    <row r="88" spans="1:24" s="68" customFormat="1" ht="14.25" customHeight="1">
      <c r="A88" s="420" t="s">
        <v>37</v>
      </c>
      <c r="B88" s="420" t="s">
        <v>38</v>
      </c>
      <c r="C88" s="420" t="s">
        <v>713</v>
      </c>
      <c r="D88" s="383"/>
      <c r="E88" s="420"/>
      <c r="F88" s="420"/>
      <c r="G88" s="420"/>
      <c r="H88" s="420"/>
      <c r="I88" s="420"/>
      <c r="J88" s="420" t="s">
        <v>1094</v>
      </c>
      <c r="K88" s="420" t="s">
        <v>43</v>
      </c>
      <c r="L88" s="420" t="s">
        <v>43</v>
      </c>
      <c r="M88" s="420" t="s">
        <v>44</v>
      </c>
      <c r="N88" s="420">
        <v>23.989049999999999</v>
      </c>
      <c r="O88" s="420">
        <v>97.225311000000005</v>
      </c>
      <c r="P88" s="420" t="s">
        <v>573</v>
      </c>
      <c r="Q88" s="420" t="s">
        <v>574</v>
      </c>
      <c r="R88" s="424"/>
      <c r="S88" s="425"/>
      <c r="T88" s="437">
        <v>42849</v>
      </c>
      <c r="U88" s="426" t="s">
        <v>714</v>
      </c>
      <c r="V88" s="420"/>
      <c r="W88" s="420"/>
      <c r="X88" s="383"/>
    </row>
    <row r="89" spans="1:24" s="68" customFormat="1" ht="14.25" customHeight="1">
      <c r="A89" s="420" t="s">
        <v>37</v>
      </c>
      <c r="B89" s="420" t="s">
        <v>38</v>
      </c>
      <c r="C89" s="420" t="s">
        <v>723</v>
      </c>
      <c r="D89" s="383" t="s">
        <v>1295</v>
      </c>
      <c r="E89" s="420" t="s">
        <v>1105</v>
      </c>
      <c r="F89" s="420" t="s">
        <v>1325</v>
      </c>
      <c r="G89" s="420" t="s">
        <v>1326</v>
      </c>
      <c r="H89" s="420"/>
      <c r="I89" s="420">
        <v>0</v>
      </c>
      <c r="J89" s="420" t="s">
        <v>43</v>
      </c>
      <c r="K89" s="420" t="s">
        <v>43</v>
      </c>
      <c r="L89" s="420" t="s">
        <v>572</v>
      </c>
      <c r="M89" s="420" t="s">
        <v>44</v>
      </c>
      <c r="N89" s="420">
        <v>24.181640000000002</v>
      </c>
      <c r="O89" s="420">
        <v>97.710989999999995</v>
      </c>
      <c r="P89" s="420" t="s">
        <v>573</v>
      </c>
      <c r="Q89" s="420" t="s">
        <v>591</v>
      </c>
      <c r="R89" s="424">
        <v>0</v>
      </c>
      <c r="S89" s="424">
        <v>0</v>
      </c>
      <c r="T89" s="437"/>
      <c r="U89" s="426" t="s">
        <v>724</v>
      </c>
      <c r="V89" s="420" t="s">
        <v>723</v>
      </c>
      <c r="W89" s="420" t="s">
        <v>1638</v>
      </c>
      <c r="X89" s="383"/>
    </row>
    <row r="90" spans="1:24" s="68" customFormat="1" ht="14.25" customHeight="1">
      <c r="A90" s="420" t="s">
        <v>37</v>
      </c>
      <c r="B90" s="420" t="s">
        <v>38</v>
      </c>
      <c r="C90" s="420" t="s">
        <v>725</v>
      </c>
      <c r="D90" s="383" t="s">
        <v>1295</v>
      </c>
      <c r="E90" s="420" t="s">
        <v>1106</v>
      </c>
      <c r="F90" s="420" t="s">
        <v>1325</v>
      </c>
      <c r="G90" s="420" t="s">
        <v>1326</v>
      </c>
      <c r="H90" s="420"/>
      <c r="I90" s="420">
        <v>0</v>
      </c>
      <c r="J90" s="420" t="s">
        <v>43</v>
      </c>
      <c r="K90" s="420" t="s">
        <v>43</v>
      </c>
      <c r="L90" s="420" t="s">
        <v>572</v>
      </c>
      <c r="M90" s="420" t="s">
        <v>44</v>
      </c>
      <c r="N90" s="420">
        <v>24.181640000000002</v>
      </c>
      <c r="O90" s="420">
        <v>97.710989999999995</v>
      </c>
      <c r="P90" s="420" t="s">
        <v>573</v>
      </c>
      <c r="Q90" s="420"/>
      <c r="R90" s="424">
        <v>0</v>
      </c>
      <c r="S90" s="425">
        <v>0</v>
      </c>
      <c r="T90" s="437"/>
      <c r="U90" s="426"/>
      <c r="V90" s="420" t="s">
        <v>725</v>
      </c>
      <c r="W90" s="420" t="s">
        <v>1638</v>
      </c>
      <c r="X90" s="383"/>
    </row>
    <row r="91" spans="1:24" s="68" customFormat="1" ht="14.25" customHeight="1">
      <c r="A91" s="420" t="s">
        <v>37</v>
      </c>
      <c r="B91" s="420" t="s">
        <v>38</v>
      </c>
      <c r="C91" s="420" t="s">
        <v>298</v>
      </c>
      <c r="D91" s="423" t="s">
        <v>3235</v>
      </c>
      <c r="E91" s="420" t="s">
        <v>1082</v>
      </c>
      <c r="F91" s="420" t="s">
        <v>1309</v>
      </c>
      <c r="G91" s="420" t="s">
        <v>1309</v>
      </c>
      <c r="H91" s="420" t="s">
        <v>41</v>
      </c>
      <c r="I91" s="420" t="s">
        <v>2113</v>
      </c>
      <c r="J91" s="420" t="s">
        <v>43</v>
      </c>
      <c r="K91" s="420" t="s">
        <v>43</v>
      </c>
      <c r="L91" s="420" t="s">
        <v>43</v>
      </c>
      <c r="M91" s="420" t="s">
        <v>44</v>
      </c>
      <c r="N91" s="420">
        <v>23.83013</v>
      </c>
      <c r="O91" s="420">
        <v>97.589979999999997</v>
      </c>
      <c r="P91" s="420" t="s">
        <v>573</v>
      </c>
      <c r="Q91" s="420" t="s">
        <v>591</v>
      </c>
      <c r="R91" s="432">
        <v>138</v>
      </c>
      <c r="S91" s="425">
        <v>633</v>
      </c>
      <c r="T91" s="437"/>
      <c r="U91" s="426" t="s">
        <v>2595</v>
      </c>
      <c r="V91" s="420" t="s">
        <v>298</v>
      </c>
      <c r="W91" s="420"/>
      <c r="X91" s="423"/>
    </row>
    <row r="92" spans="1:24" s="68" customFormat="1" ht="14.25" customHeight="1">
      <c r="A92" s="420" t="s">
        <v>37</v>
      </c>
      <c r="B92" s="420" t="s">
        <v>38</v>
      </c>
      <c r="C92" s="420" t="s">
        <v>835</v>
      </c>
      <c r="D92" s="383" t="s">
        <v>2241</v>
      </c>
      <c r="E92" s="420"/>
      <c r="F92" s="420"/>
      <c r="G92" s="420"/>
      <c r="H92" s="420"/>
      <c r="I92" s="420"/>
      <c r="J92" s="420" t="s">
        <v>43</v>
      </c>
      <c r="K92" s="420" t="s">
        <v>43</v>
      </c>
      <c r="L92" s="420" t="s">
        <v>43</v>
      </c>
      <c r="M92" s="420" t="s">
        <v>44</v>
      </c>
      <c r="N92" s="420"/>
      <c r="O92" s="420"/>
      <c r="P92" s="420" t="s">
        <v>573</v>
      </c>
      <c r="Q92" s="420"/>
      <c r="R92" s="424"/>
      <c r="S92" s="424"/>
      <c r="T92" s="437"/>
      <c r="U92" s="426"/>
      <c r="V92" s="420"/>
      <c r="W92" s="420"/>
      <c r="X92" s="383"/>
    </row>
    <row r="93" spans="1:24" s="68" customFormat="1" ht="14.25" customHeight="1">
      <c r="A93" s="420" t="s">
        <v>37</v>
      </c>
      <c r="B93" s="420" t="s">
        <v>38</v>
      </c>
      <c r="C93" s="420" t="s">
        <v>300</v>
      </c>
      <c r="D93" s="423" t="s">
        <v>3235</v>
      </c>
      <c r="E93" s="420" t="s">
        <v>1081</v>
      </c>
      <c r="F93" s="420" t="s">
        <v>1309</v>
      </c>
      <c r="G93" s="420" t="s">
        <v>1309</v>
      </c>
      <c r="H93" s="420" t="s">
        <v>41</v>
      </c>
      <c r="I93" s="420" t="s">
        <v>2113</v>
      </c>
      <c r="J93" s="420" t="s">
        <v>43</v>
      </c>
      <c r="K93" s="420" t="s">
        <v>43</v>
      </c>
      <c r="L93" s="420" t="s">
        <v>43</v>
      </c>
      <c r="M93" s="420" t="s">
        <v>44</v>
      </c>
      <c r="N93" s="420">
        <v>23.829599000000002</v>
      </c>
      <c r="O93" s="420">
        <v>97.590767</v>
      </c>
      <c r="P93" s="420" t="s">
        <v>573</v>
      </c>
      <c r="Q93" s="420" t="s">
        <v>591</v>
      </c>
      <c r="R93" s="432">
        <v>150</v>
      </c>
      <c r="S93" s="425">
        <v>655</v>
      </c>
      <c r="T93" s="437"/>
      <c r="U93" s="426" t="s">
        <v>2595</v>
      </c>
      <c r="V93" s="420" t="s">
        <v>704</v>
      </c>
      <c r="W93" s="420"/>
      <c r="X93" s="423"/>
    </row>
    <row r="94" spans="1:24" s="68" customFormat="1" ht="14.25" customHeight="1">
      <c r="A94" s="420" t="s">
        <v>37</v>
      </c>
      <c r="B94" s="420" t="s">
        <v>38</v>
      </c>
      <c r="C94" s="420" t="s">
        <v>301</v>
      </c>
      <c r="D94" s="423" t="s">
        <v>3235</v>
      </c>
      <c r="E94" s="420" t="s">
        <v>1084</v>
      </c>
      <c r="F94" s="420" t="s">
        <v>1309</v>
      </c>
      <c r="G94" s="420" t="s">
        <v>1309</v>
      </c>
      <c r="H94" s="420" t="s">
        <v>41</v>
      </c>
      <c r="I94" s="420" t="s">
        <v>42</v>
      </c>
      <c r="J94" s="420" t="s">
        <v>43</v>
      </c>
      <c r="K94" s="420" t="s">
        <v>43</v>
      </c>
      <c r="L94" s="420" t="s">
        <v>43</v>
      </c>
      <c r="M94" s="420" t="s">
        <v>44</v>
      </c>
      <c r="N94" s="420">
        <v>23.835319999999999</v>
      </c>
      <c r="O94" s="420">
        <v>97.578490000000002</v>
      </c>
      <c r="P94" s="420" t="s">
        <v>573</v>
      </c>
      <c r="Q94" s="420" t="s">
        <v>591</v>
      </c>
      <c r="R94" s="432">
        <v>625</v>
      </c>
      <c r="S94" s="425">
        <v>3397</v>
      </c>
      <c r="T94" s="437"/>
      <c r="U94" s="426" t="s">
        <v>2595</v>
      </c>
      <c r="V94" s="420" t="s">
        <v>301</v>
      </c>
      <c r="W94" s="420"/>
      <c r="X94" s="423"/>
    </row>
    <row r="95" spans="1:24" s="68" customFormat="1" ht="14.25" customHeight="1">
      <c r="A95" s="420" t="s">
        <v>37</v>
      </c>
      <c r="B95" s="420" t="s">
        <v>38</v>
      </c>
      <c r="C95" s="420" t="s">
        <v>302</v>
      </c>
      <c r="D95" s="423" t="s">
        <v>3235</v>
      </c>
      <c r="E95" s="420" t="s">
        <v>1083</v>
      </c>
      <c r="F95" s="420" t="s">
        <v>1309</v>
      </c>
      <c r="G95" s="420" t="s">
        <v>1309</v>
      </c>
      <c r="H95" s="420" t="s">
        <v>41</v>
      </c>
      <c r="I95" s="420" t="s">
        <v>42</v>
      </c>
      <c r="J95" s="420" t="s">
        <v>43</v>
      </c>
      <c r="K95" s="420" t="s">
        <v>43</v>
      </c>
      <c r="L95" s="420" t="s">
        <v>43</v>
      </c>
      <c r="M95" s="420" t="s">
        <v>44</v>
      </c>
      <c r="N95" s="420">
        <v>23.833477999999999</v>
      </c>
      <c r="O95" s="420">
        <v>97.578367</v>
      </c>
      <c r="P95" s="420" t="s">
        <v>573</v>
      </c>
      <c r="Q95" s="420" t="s">
        <v>591</v>
      </c>
      <c r="R95" s="432">
        <v>140</v>
      </c>
      <c r="S95" s="425">
        <v>830</v>
      </c>
      <c r="T95" s="437"/>
      <c r="U95" s="426" t="s">
        <v>2595</v>
      </c>
      <c r="V95" s="420" t="s">
        <v>705</v>
      </c>
      <c r="W95" s="420"/>
      <c r="X95" s="423"/>
    </row>
    <row r="96" spans="1:24" s="68" customFormat="1" ht="14.25" customHeight="1">
      <c r="A96" s="420" t="s">
        <v>37</v>
      </c>
      <c r="B96" s="420" t="s">
        <v>38</v>
      </c>
      <c r="C96" s="420" t="s">
        <v>836</v>
      </c>
      <c r="D96" s="383"/>
      <c r="E96" s="420"/>
      <c r="F96" s="420"/>
      <c r="G96" s="420"/>
      <c r="H96" s="420"/>
      <c r="I96" s="420"/>
      <c r="J96" s="420" t="s">
        <v>1094</v>
      </c>
      <c r="K96" s="420" t="s">
        <v>43</v>
      </c>
      <c r="L96" s="420" t="s">
        <v>821</v>
      </c>
      <c r="M96" s="420" t="s">
        <v>44</v>
      </c>
      <c r="N96" s="420"/>
      <c r="O96" s="420"/>
      <c r="P96" s="420" t="s">
        <v>573</v>
      </c>
      <c r="Q96" s="420" t="s">
        <v>591</v>
      </c>
      <c r="R96" s="424"/>
      <c r="S96" s="424"/>
      <c r="T96" s="437"/>
      <c r="U96" s="426" t="s">
        <v>818</v>
      </c>
      <c r="V96" s="420" t="s">
        <v>836</v>
      </c>
      <c r="W96" s="420"/>
      <c r="X96" s="383"/>
    </row>
    <row r="97" spans="1:24" s="68" customFormat="1" ht="14.25" customHeight="1">
      <c r="A97" s="420" t="s">
        <v>37</v>
      </c>
      <c r="B97" s="420" t="s">
        <v>38</v>
      </c>
      <c r="C97" s="420" t="s">
        <v>2874</v>
      </c>
      <c r="D97" s="423" t="s">
        <v>3235</v>
      </c>
      <c r="E97" s="420" t="s">
        <v>1078</v>
      </c>
      <c r="F97" s="420" t="s">
        <v>1309</v>
      </c>
      <c r="G97" s="420" t="s">
        <v>1309</v>
      </c>
      <c r="H97" s="420"/>
      <c r="I97" s="420" t="s">
        <v>1614</v>
      </c>
      <c r="J97" s="420" t="s">
        <v>43</v>
      </c>
      <c r="K97" s="420" t="s">
        <v>43</v>
      </c>
      <c r="L97" s="420" t="s">
        <v>2576</v>
      </c>
      <c r="M97" s="420" t="s">
        <v>44</v>
      </c>
      <c r="N97" s="420">
        <v>23.827870999999998</v>
      </c>
      <c r="O97" s="420">
        <v>97.588291999999996</v>
      </c>
      <c r="P97" s="420" t="s">
        <v>584</v>
      </c>
      <c r="Q97" s="420" t="s">
        <v>574</v>
      </c>
      <c r="R97" s="432">
        <v>120</v>
      </c>
      <c r="S97" s="425">
        <v>664</v>
      </c>
      <c r="T97" s="437"/>
      <c r="U97" s="426" t="s">
        <v>2595</v>
      </c>
      <c r="V97" s="420" t="s">
        <v>703</v>
      </c>
      <c r="W97" s="420"/>
      <c r="X97" s="423"/>
    </row>
    <row r="98" spans="1:24" s="68" customFormat="1" ht="14.25" customHeight="1">
      <c r="A98" s="420" t="s">
        <v>37</v>
      </c>
      <c r="B98" s="420" t="s">
        <v>38</v>
      </c>
      <c r="C98" s="420" t="s">
        <v>193</v>
      </c>
      <c r="D98" s="423" t="s">
        <v>3235</v>
      </c>
      <c r="E98" s="420" t="s">
        <v>1104</v>
      </c>
      <c r="F98" s="420" t="s">
        <v>1377</v>
      </c>
      <c r="G98" s="420" t="s">
        <v>1378</v>
      </c>
      <c r="H98" s="420" t="s">
        <v>41</v>
      </c>
      <c r="I98" s="420" t="s">
        <v>2111</v>
      </c>
      <c r="J98" s="420" t="s">
        <v>43</v>
      </c>
      <c r="K98" s="420" t="s">
        <v>43</v>
      </c>
      <c r="L98" s="420" t="s">
        <v>43</v>
      </c>
      <c r="M98" s="420" t="s">
        <v>44</v>
      </c>
      <c r="N98" s="420">
        <v>24.129059999999999</v>
      </c>
      <c r="O98" s="420">
        <v>97.291820000000001</v>
      </c>
      <c r="P98" s="420" t="s">
        <v>573</v>
      </c>
      <c r="Q98" s="420" t="s">
        <v>591</v>
      </c>
      <c r="R98" s="432">
        <v>114</v>
      </c>
      <c r="S98" s="425">
        <v>547</v>
      </c>
      <c r="T98" s="437"/>
      <c r="U98" s="426"/>
      <c r="V98" s="420" t="s">
        <v>193</v>
      </c>
      <c r="W98" s="420"/>
      <c r="X98" s="423"/>
    </row>
    <row r="99" spans="1:24" s="68" customFormat="1" ht="14.25" customHeight="1">
      <c r="A99" s="420" t="s">
        <v>37</v>
      </c>
      <c r="B99" s="420" t="s">
        <v>38</v>
      </c>
      <c r="C99" s="420" t="s">
        <v>2875</v>
      </c>
      <c r="D99" s="423" t="s">
        <v>3235</v>
      </c>
      <c r="E99" s="420" t="s">
        <v>1103</v>
      </c>
      <c r="F99" s="420"/>
      <c r="G99" s="420"/>
      <c r="H99" s="420"/>
      <c r="I99" s="420" t="s">
        <v>1614</v>
      </c>
      <c r="J99" s="420" t="s">
        <v>43</v>
      </c>
      <c r="K99" s="420" t="s">
        <v>43</v>
      </c>
      <c r="L99" s="420" t="s">
        <v>2576</v>
      </c>
      <c r="M99" s="420" t="s">
        <v>44</v>
      </c>
      <c r="N99" s="420">
        <v>24.118618999999999</v>
      </c>
      <c r="O99" s="420">
        <v>97.298055000000005</v>
      </c>
      <c r="P99" s="420" t="s">
        <v>584</v>
      </c>
      <c r="Q99" s="420" t="s">
        <v>574</v>
      </c>
      <c r="R99" s="432">
        <v>67</v>
      </c>
      <c r="S99" s="425">
        <v>325</v>
      </c>
      <c r="T99" s="437"/>
      <c r="U99" s="426" t="s">
        <v>721</v>
      </c>
      <c r="V99" s="420" t="s">
        <v>722</v>
      </c>
      <c r="W99" s="420"/>
      <c r="X99" s="423"/>
    </row>
    <row r="100" spans="1:24" s="68" customFormat="1" ht="14.25" customHeight="1">
      <c r="A100" s="420" t="s">
        <v>37</v>
      </c>
      <c r="B100" s="420" t="s">
        <v>38</v>
      </c>
      <c r="C100" s="420" t="s">
        <v>726</v>
      </c>
      <c r="D100" s="383" t="s">
        <v>1295</v>
      </c>
      <c r="E100" s="420" t="s">
        <v>1113</v>
      </c>
      <c r="F100" s="420" t="s">
        <v>1327</v>
      </c>
      <c r="G100" s="420">
        <v>0</v>
      </c>
      <c r="H100" s="420"/>
      <c r="I100" s="420">
        <v>0</v>
      </c>
      <c r="J100" s="420" t="s">
        <v>43</v>
      </c>
      <c r="K100" s="420" t="s">
        <v>43</v>
      </c>
      <c r="L100" s="420" t="s">
        <v>572</v>
      </c>
      <c r="M100" s="420" t="s">
        <v>589</v>
      </c>
      <c r="N100" s="420">
        <v>24.20645</v>
      </c>
      <c r="O100" s="420">
        <v>96.808850000000007</v>
      </c>
      <c r="P100" s="420" t="s">
        <v>573</v>
      </c>
      <c r="Q100" s="420"/>
      <c r="R100" s="424">
        <v>0</v>
      </c>
      <c r="S100" s="425">
        <v>0</v>
      </c>
      <c r="T100" s="437"/>
      <c r="U100" s="426"/>
      <c r="V100" s="420" t="s">
        <v>726</v>
      </c>
      <c r="W100" s="420" t="s">
        <v>1616</v>
      </c>
      <c r="X100" s="383"/>
    </row>
    <row r="101" spans="1:24" s="68" customFormat="1" ht="14.25" customHeight="1">
      <c r="A101" s="420" t="s">
        <v>37</v>
      </c>
      <c r="B101" s="420" t="s">
        <v>38</v>
      </c>
      <c r="C101" s="420" t="s">
        <v>588</v>
      </c>
      <c r="D101" s="383" t="s">
        <v>1295</v>
      </c>
      <c r="E101" s="420" t="s">
        <v>1038</v>
      </c>
      <c r="F101" s="420" t="s">
        <v>1309</v>
      </c>
      <c r="G101" s="420">
        <v>0</v>
      </c>
      <c r="H101" s="420"/>
      <c r="I101" s="420">
        <v>0</v>
      </c>
      <c r="J101" s="420" t="s">
        <v>43</v>
      </c>
      <c r="K101" s="420" t="s">
        <v>43</v>
      </c>
      <c r="L101" s="420" t="s">
        <v>572</v>
      </c>
      <c r="M101" s="420" t="s">
        <v>589</v>
      </c>
      <c r="N101" s="420"/>
      <c r="O101" s="420"/>
      <c r="P101" s="420" t="s">
        <v>573</v>
      </c>
      <c r="Q101" s="420"/>
      <c r="R101" s="424">
        <v>0</v>
      </c>
      <c r="S101" s="425">
        <v>0</v>
      </c>
      <c r="T101" s="437"/>
      <c r="U101" s="426"/>
      <c r="V101" s="420" t="s">
        <v>588</v>
      </c>
      <c r="W101" s="420" t="s">
        <v>1639</v>
      </c>
      <c r="X101" s="383"/>
    </row>
    <row r="102" spans="1:24" s="68" customFormat="1" ht="14.25" customHeight="1">
      <c r="A102" s="420" t="s">
        <v>37</v>
      </c>
      <c r="B102" s="420" t="s">
        <v>38</v>
      </c>
      <c r="C102" s="420" t="s">
        <v>701</v>
      </c>
      <c r="D102" s="383" t="s">
        <v>1295</v>
      </c>
      <c r="E102" s="420" t="s">
        <v>1075</v>
      </c>
      <c r="F102" s="420" t="s">
        <v>1311</v>
      </c>
      <c r="G102" s="420">
        <v>0</v>
      </c>
      <c r="H102" s="420"/>
      <c r="I102" s="420">
        <v>0</v>
      </c>
      <c r="J102" s="420" t="s">
        <v>43</v>
      </c>
      <c r="K102" s="420" t="s">
        <v>43</v>
      </c>
      <c r="L102" s="420" t="s">
        <v>572</v>
      </c>
      <c r="M102" s="420" t="s">
        <v>589</v>
      </c>
      <c r="N102" s="420">
        <v>23.75817</v>
      </c>
      <c r="O102" s="420">
        <v>97.132339999999999</v>
      </c>
      <c r="P102" s="420" t="s">
        <v>573</v>
      </c>
      <c r="Q102" s="420"/>
      <c r="R102" s="424">
        <v>0</v>
      </c>
      <c r="S102" s="425">
        <v>0</v>
      </c>
      <c r="T102" s="437"/>
      <c r="U102" s="426"/>
      <c r="V102" s="420" t="s">
        <v>701</v>
      </c>
      <c r="W102" s="420" t="s">
        <v>1616</v>
      </c>
      <c r="X102" s="383"/>
    </row>
    <row r="103" spans="1:24" s="68" customFormat="1" ht="14.25" customHeight="1">
      <c r="A103" s="420" t="s">
        <v>37</v>
      </c>
      <c r="B103" s="422" t="s">
        <v>38</v>
      </c>
      <c r="C103" s="422" t="s">
        <v>592</v>
      </c>
      <c r="D103" s="383" t="s">
        <v>1295</v>
      </c>
      <c r="E103" s="420" t="s">
        <v>1041</v>
      </c>
      <c r="F103" s="420" t="s">
        <v>1311</v>
      </c>
      <c r="G103" s="420">
        <v>0</v>
      </c>
      <c r="H103" s="420"/>
      <c r="I103" s="420">
        <v>0</v>
      </c>
      <c r="J103" s="420" t="s">
        <v>43</v>
      </c>
      <c r="K103" s="420" t="s">
        <v>43</v>
      </c>
      <c r="L103" s="420" t="s">
        <v>572</v>
      </c>
      <c r="M103" s="420" t="s">
        <v>589</v>
      </c>
      <c r="N103" s="420"/>
      <c r="O103" s="420"/>
      <c r="P103" s="420" t="s">
        <v>573</v>
      </c>
      <c r="Q103" s="420"/>
      <c r="R103" s="424">
        <v>0</v>
      </c>
      <c r="S103" s="425">
        <v>0</v>
      </c>
      <c r="T103" s="437"/>
      <c r="U103" s="426"/>
      <c r="V103" s="420" t="s">
        <v>592</v>
      </c>
      <c r="W103" s="420" t="s">
        <v>1616</v>
      </c>
      <c r="X103" s="383"/>
    </row>
    <row r="104" spans="1:24" s="68" customFormat="1" ht="14.25" customHeight="1">
      <c r="A104" s="420" t="s">
        <v>37</v>
      </c>
      <c r="B104" s="422" t="s">
        <v>38</v>
      </c>
      <c r="C104" s="422" t="s">
        <v>702</v>
      </c>
      <c r="D104" s="383" t="s">
        <v>1295</v>
      </c>
      <c r="E104" s="420" t="s">
        <v>1076</v>
      </c>
      <c r="F104" s="420" t="s">
        <v>1311</v>
      </c>
      <c r="G104" s="420">
        <v>0</v>
      </c>
      <c r="H104" s="420"/>
      <c r="I104" s="420">
        <v>0</v>
      </c>
      <c r="J104" s="420" t="s">
        <v>43</v>
      </c>
      <c r="K104" s="420" t="s">
        <v>43</v>
      </c>
      <c r="L104" s="420" t="s">
        <v>572</v>
      </c>
      <c r="M104" s="420" t="s">
        <v>589</v>
      </c>
      <c r="N104" s="420">
        <v>23.75817</v>
      </c>
      <c r="O104" s="420">
        <v>97.132339999999999</v>
      </c>
      <c r="P104" s="420" t="s">
        <v>573</v>
      </c>
      <c r="Q104" s="420"/>
      <c r="R104" s="424">
        <v>0</v>
      </c>
      <c r="S104" s="425">
        <v>0</v>
      </c>
      <c r="T104" s="437"/>
      <c r="U104" s="426"/>
      <c r="V104" s="420" t="s">
        <v>702</v>
      </c>
      <c r="W104" s="420" t="s">
        <v>1640</v>
      </c>
      <c r="X104" s="383"/>
    </row>
    <row r="105" spans="1:24" s="68" customFormat="1" ht="14.25" customHeight="1">
      <c r="A105" s="425" t="s">
        <v>37</v>
      </c>
      <c r="B105" s="428" t="s">
        <v>38</v>
      </c>
      <c r="C105" s="429" t="s">
        <v>600</v>
      </c>
      <c r="D105" s="383" t="s">
        <v>1295</v>
      </c>
      <c r="E105" s="420" t="s">
        <v>1046</v>
      </c>
      <c r="F105" s="420">
        <v>0</v>
      </c>
      <c r="G105" s="420">
        <v>0</v>
      </c>
      <c r="H105" s="420"/>
      <c r="I105" s="420">
        <v>0</v>
      </c>
      <c r="J105" s="420" t="s">
        <v>43</v>
      </c>
      <c r="K105" s="420" t="s">
        <v>43</v>
      </c>
      <c r="L105" s="420" t="s">
        <v>572</v>
      </c>
      <c r="M105" s="420" t="s">
        <v>44</v>
      </c>
      <c r="N105" s="420"/>
      <c r="O105" s="420"/>
      <c r="P105" s="420" t="s">
        <v>573</v>
      </c>
      <c r="Q105" s="420"/>
      <c r="R105" s="424">
        <v>0</v>
      </c>
      <c r="S105" s="424">
        <v>0</v>
      </c>
      <c r="T105" s="437"/>
      <c r="U105" s="426"/>
      <c r="V105" s="424"/>
      <c r="W105" s="424" t="s">
        <v>1641</v>
      </c>
      <c r="X105" s="383"/>
    </row>
    <row r="106" spans="1:24" s="68" customFormat="1" ht="14.25" customHeight="1">
      <c r="A106" s="425" t="s">
        <v>37</v>
      </c>
      <c r="B106" s="428" t="s">
        <v>38</v>
      </c>
      <c r="C106" s="429" t="s">
        <v>139</v>
      </c>
      <c r="D106" s="423"/>
      <c r="E106" s="420"/>
      <c r="F106" s="420"/>
      <c r="G106" s="420"/>
      <c r="H106" s="420"/>
      <c r="I106" s="420"/>
      <c r="J106" s="420" t="s">
        <v>1094</v>
      </c>
      <c r="K106" s="420" t="s">
        <v>43</v>
      </c>
      <c r="L106" s="420" t="s">
        <v>43</v>
      </c>
      <c r="M106" s="420" t="s">
        <v>44</v>
      </c>
      <c r="N106" s="420"/>
      <c r="O106" s="420"/>
      <c r="P106" s="420" t="s">
        <v>573</v>
      </c>
      <c r="Q106" s="420" t="s">
        <v>591</v>
      </c>
      <c r="R106" s="432"/>
      <c r="S106" s="425"/>
      <c r="T106" s="437">
        <v>42747</v>
      </c>
      <c r="U106" s="432" t="s">
        <v>818</v>
      </c>
      <c r="V106" s="420"/>
      <c r="W106" s="424"/>
      <c r="X106" s="423"/>
    </row>
    <row r="107" spans="1:24" s="68" customFormat="1" ht="14.25" customHeight="1">
      <c r="A107" s="429" t="s">
        <v>37</v>
      </c>
      <c r="B107" s="428" t="s">
        <v>38</v>
      </c>
      <c r="C107" s="422" t="s">
        <v>2569</v>
      </c>
      <c r="D107" s="423" t="s">
        <v>3235</v>
      </c>
      <c r="E107" s="420" t="s">
        <v>2562</v>
      </c>
      <c r="F107" s="420" t="s">
        <v>2578</v>
      </c>
      <c r="G107" s="420" t="s">
        <v>2578</v>
      </c>
      <c r="H107" s="420"/>
      <c r="I107" s="420"/>
      <c r="J107" s="420" t="s">
        <v>617</v>
      </c>
      <c r="K107" s="420" t="s">
        <v>617</v>
      </c>
      <c r="L107" s="420" t="s">
        <v>2866</v>
      </c>
      <c r="M107" s="420" t="s">
        <v>44</v>
      </c>
      <c r="N107" s="420">
        <v>24.109690000000001</v>
      </c>
      <c r="O107" s="420">
        <v>97.241101</v>
      </c>
      <c r="P107" s="420" t="s">
        <v>573</v>
      </c>
      <c r="Q107" s="420" t="s">
        <v>2577</v>
      </c>
      <c r="R107" s="432">
        <v>86</v>
      </c>
      <c r="S107" s="425">
        <v>450</v>
      </c>
      <c r="T107" s="437">
        <v>44166</v>
      </c>
      <c r="U107" s="426"/>
      <c r="V107" s="420"/>
      <c r="W107" s="358"/>
      <c r="X107" s="423"/>
    </row>
    <row r="108" spans="1:24" s="68" customFormat="1" ht="14.25" customHeight="1">
      <c r="A108" s="420" t="s">
        <v>37</v>
      </c>
      <c r="B108" s="420" t="s">
        <v>38</v>
      </c>
      <c r="C108" s="420" t="s">
        <v>2193</v>
      </c>
      <c r="D108" s="383"/>
      <c r="E108" s="420"/>
      <c r="F108" s="420"/>
      <c r="G108" s="420"/>
      <c r="H108" s="420"/>
      <c r="I108" s="420"/>
      <c r="J108" s="420" t="s">
        <v>1094</v>
      </c>
      <c r="K108" s="420" t="s">
        <v>43</v>
      </c>
      <c r="L108" s="420" t="s">
        <v>821</v>
      </c>
      <c r="M108" s="420" t="s">
        <v>44</v>
      </c>
      <c r="N108" s="420"/>
      <c r="O108" s="420"/>
      <c r="P108" s="420" t="s">
        <v>573</v>
      </c>
      <c r="Q108" s="420" t="s">
        <v>2164</v>
      </c>
      <c r="R108" s="424"/>
      <c r="S108" s="424"/>
      <c r="T108" s="437">
        <v>43749</v>
      </c>
      <c r="U108" s="426"/>
      <c r="V108" s="420"/>
      <c r="W108" s="420"/>
      <c r="X108" s="383"/>
    </row>
    <row r="109" spans="1:24" s="68" customFormat="1" ht="14.25" customHeight="1">
      <c r="A109" s="429" t="s">
        <v>37</v>
      </c>
      <c r="B109" s="428" t="s">
        <v>152</v>
      </c>
      <c r="C109" s="429" t="s">
        <v>1541</v>
      </c>
      <c r="D109" s="423" t="s">
        <v>3233</v>
      </c>
      <c r="E109" s="420" t="s">
        <v>1547</v>
      </c>
      <c r="F109" s="420"/>
      <c r="G109" s="420"/>
      <c r="H109" s="420"/>
      <c r="I109" s="420" t="s">
        <v>1614</v>
      </c>
      <c r="J109" s="420" t="s">
        <v>43</v>
      </c>
      <c r="K109" s="422" t="s">
        <v>43</v>
      </c>
      <c r="L109" s="420" t="s">
        <v>572</v>
      </c>
      <c r="M109" s="420" t="s">
        <v>44</v>
      </c>
      <c r="N109" s="420">
        <v>25.30274</v>
      </c>
      <c r="O109" s="420">
        <v>96.940380000000005</v>
      </c>
      <c r="P109" s="420" t="s">
        <v>573</v>
      </c>
      <c r="Q109" s="420" t="s">
        <v>1525</v>
      </c>
      <c r="R109" s="432">
        <v>5</v>
      </c>
      <c r="S109" s="425">
        <v>32</v>
      </c>
      <c r="T109" s="437">
        <v>43276</v>
      </c>
      <c r="U109" s="426" t="s">
        <v>1573</v>
      </c>
      <c r="V109" s="420"/>
      <c r="W109" s="420" t="s">
        <v>1733</v>
      </c>
      <c r="X109" s="423"/>
    </row>
    <row r="110" spans="1:24" s="68" customFormat="1" ht="14.25" customHeight="1">
      <c r="A110" s="429" t="s">
        <v>37</v>
      </c>
      <c r="B110" s="428" t="s">
        <v>152</v>
      </c>
      <c r="C110" s="422" t="s">
        <v>153</v>
      </c>
      <c r="D110" s="423" t="s">
        <v>3235</v>
      </c>
      <c r="E110" s="420" t="s">
        <v>1168</v>
      </c>
      <c r="F110" s="420" t="s">
        <v>1360</v>
      </c>
      <c r="G110" s="420" t="s">
        <v>1412</v>
      </c>
      <c r="H110" s="420" t="s">
        <v>41</v>
      </c>
      <c r="I110" s="420" t="s">
        <v>2112</v>
      </c>
      <c r="J110" s="420" t="s">
        <v>43</v>
      </c>
      <c r="K110" s="420" t="s">
        <v>43</v>
      </c>
      <c r="L110" s="422" t="s">
        <v>43</v>
      </c>
      <c r="M110" s="420" t="s">
        <v>44</v>
      </c>
      <c r="N110" s="420">
        <v>25.305669999999999</v>
      </c>
      <c r="O110" s="420">
        <v>96.922619999999995</v>
      </c>
      <c r="P110" s="422" t="s">
        <v>573</v>
      </c>
      <c r="Q110" s="420" t="s">
        <v>591</v>
      </c>
      <c r="R110" s="432">
        <v>13</v>
      </c>
      <c r="S110" s="425">
        <v>77</v>
      </c>
      <c r="T110" s="437"/>
      <c r="U110" s="426"/>
      <c r="V110" s="420" t="s">
        <v>153</v>
      </c>
      <c r="W110" s="358"/>
      <c r="X110" s="423"/>
    </row>
    <row r="111" spans="1:24" s="68" customFormat="1" ht="14.25" customHeight="1">
      <c r="A111" s="429" t="s">
        <v>37</v>
      </c>
      <c r="B111" s="428" t="s">
        <v>152</v>
      </c>
      <c r="C111" s="422" t="s">
        <v>1570</v>
      </c>
      <c r="D111" s="423"/>
      <c r="E111" s="420"/>
      <c r="F111" s="420"/>
      <c r="G111" s="420"/>
      <c r="H111" s="420"/>
      <c r="I111" s="420"/>
      <c r="J111" s="420" t="s">
        <v>1094</v>
      </c>
      <c r="K111" s="420" t="s">
        <v>43</v>
      </c>
      <c r="L111" s="420" t="s">
        <v>587</v>
      </c>
      <c r="M111" s="420"/>
      <c r="N111" s="420"/>
      <c r="O111" s="420"/>
      <c r="P111" s="420" t="s">
        <v>573</v>
      </c>
      <c r="Q111" s="420" t="s">
        <v>1525</v>
      </c>
      <c r="R111" s="432"/>
      <c r="S111" s="425"/>
      <c r="T111" s="437">
        <v>43285</v>
      </c>
      <c r="U111" s="426" t="s">
        <v>1575</v>
      </c>
      <c r="V111" s="420"/>
      <c r="W111" s="420"/>
      <c r="X111" s="423"/>
    </row>
    <row r="112" spans="1:24" s="68" customFormat="1" ht="14.25" customHeight="1">
      <c r="A112" s="420" t="s">
        <v>37</v>
      </c>
      <c r="B112" s="420" t="s">
        <v>152</v>
      </c>
      <c r="C112" s="420" t="s">
        <v>1528</v>
      </c>
      <c r="D112" s="383"/>
      <c r="E112" s="420"/>
      <c r="F112" s="420"/>
      <c r="G112" s="420"/>
      <c r="H112" s="420"/>
      <c r="I112" s="420"/>
      <c r="J112" s="420" t="s">
        <v>1094</v>
      </c>
      <c r="K112" s="420" t="s">
        <v>43</v>
      </c>
      <c r="L112" s="420" t="s">
        <v>43</v>
      </c>
      <c r="M112" s="420" t="s">
        <v>44</v>
      </c>
      <c r="N112" s="420"/>
      <c r="O112" s="420"/>
      <c r="P112" s="420" t="s">
        <v>573</v>
      </c>
      <c r="Q112" s="420" t="s">
        <v>1525</v>
      </c>
      <c r="R112" s="424"/>
      <c r="S112" s="424"/>
      <c r="T112" s="437">
        <v>43270</v>
      </c>
      <c r="U112" s="426"/>
      <c r="V112" s="420"/>
      <c r="W112" s="420"/>
      <c r="X112" s="383"/>
    </row>
    <row r="113" spans="1:24" s="68" customFormat="1" ht="14.25" customHeight="1">
      <c r="A113" s="420" t="s">
        <v>37</v>
      </c>
      <c r="B113" s="420" t="s">
        <v>152</v>
      </c>
      <c r="C113" s="420" t="s">
        <v>1527</v>
      </c>
      <c r="D113" s="383"/>
      <c r="E113" s="420"/>
      <c r="F113" s="420"/>
      <c r="G113" s="420"/>
      <c r="H113" s="420"/>
      <c r="I113" s="420"/>
      <c r="J113" s="420" t="s">
        <v>1094</v>
      </c>
      <c r="K113" s="420" t="s">
        <v>43</v>
      </c>
      <c r="L113" s="420" t="s">
        <v>43</v>
      </c>
      <c r="M113" s="420" t="s">
        <v>44</v>
      </c>
      <c r="N113" s="420"/>
      <c r="O113" s="420"/>
      <c r="P113" s="420" t="s">
        <v>573</v>
      </c>
      <c r="Q113" s="420" t="s">
        <v>1525</v>
      </c>
      <c r="R113" s="424"/>
      <c r="S113" s="425"/>
      <c r="T113" s="437">
        <v>43270</v>
      </c>
      <c r="U113" s="426"/>
      <c r="V113" s="420"/>
      <c r="W113" s="358"/>
      <c r="X113" s="383"/>
    </row>
    <row r="114" spans="1:24" s="68" customFormat="1" ht="14.25" customHeight="1">
      <c r="A114" s="429" t="s">
        <v>37</v>
      </c>
      <c r="B114" s="428" t="s">
        <v>152</v>
      </c>
      <c r="C114" s="422" t="s">
        <v>1608</v>
      </c>
      <c r="D114" s="423" t="s">
        <v>3235</v>
      </c>
      <c r="E114" s="420" t="s">
        <v>1164</v>
      </c>
      <c r="F114" s="420"/>
      <c r="G114" s="420"/>
      <c r="H114" s="420" t="s">
        <v>41</v>
      </c>
      <c r="I114" s="420" t="s">
        <v>2112</v>
      </c>
      <c r="J114" s="420" t="s">
        <v>43</v>
      </c>
      <c r="K114" s="420" t="s">
        <v>43</v>
      </c>
      <c r="L114" s="422" t="s">
        <v>43</v>
      </c>
      <c r="M114" s="420" t="s">
        <v>44</v>
      </c>
      <c r="N114" s="420">
        <v>25.296579999999999</v>
      </c>
      <c r="O114" s="420">
        <v>96.942279999999997</v>
      </c>
      <c r="P114" s="422" t="s">
        <v>573</v>
      </c>
      <c r="Q114" s="420" t="s">
        <v>591</v>
      </c>
      <c r="R114" s="432">
        <v>16</v>
      </c>
      <c r="S114" s="425">
        <v>74</v>
      </c>
      <c r="T114" s="437"/>
      <c r="U114" s="430"/>
      <c r="V114" s="420" t="s">
        <v>154</v>
      </c>
      <c r="W114" s="358"/>
      <c r="X114" s="423"/>
    </row>
    <row r="115" spans="1:24" s="68" customFormat="1" ht="14.25" customHeight="1">
      <c r="A115" s="425" t="s">
        <v>37</v>
      </c>
      <c r="B115" s="428" t="s">
        <v>152</v>
      </c>
      <c r="C115" s="429" t="s">
        <v>240</v>
      </c>
      <c r="D115" s="423" t="s">
        <v>2241</v>
      </c>
      <c r="E115" s="420" t="s">
        <v>1165</v>
      </c>
      <c r="F115" s="420" t="s">
        <v>1409</v>
      </c>
      <c r="G115" s="420" t="s">
        <v>1410</v>
      </c>
      <c r="H115" s="420"/>
      <c r="I115" s="420">
        <v>0</v>
      </c>
      <c r="J115" s="420" t="s">
        <v>43</v>
      </c>
      <c r="K115" s="420" t="s">
        <v>43</v>
      </c>
      <c r="L115" s="420" t="s">
        <v>43</v>
      </c>
      <c r="M115" s="420" t="s">
        <v>44</v>
      </c>
      <c r="N115" s="420">
        <v>25.299679999999999</v>
      </c>
      <c r="O115" s="420">
        <v>96.942279999999997</v>
      </c>
      <c r="P115" s="420" t="s">
        <v>573</v>
      </c>
      <c r="Q115" s="420" t="s">
        <v>591</v>
      </c>
      <c r="R115" s="432"/>
      <c r="S115" s="425"/>
      <c r="T115" s="437">
        <v>42836</v>
      </c>
      <c r="U115" s="426" t="s">
        <v>2116</v>
      </c>
      <c r="V115" s="420" t="s">
        <v>240</v>
      </c>
      <c r="W115" s="420" t="s">
        <v>1642</v>
      </c>
      <c r="X115" s="423"/>
    </row>
    <row r="116" spans="1:24" s="68" customFormat="1" ht="14.25" customHeight="1">
      <c r="A116" s="429" t="s">
        <v>37</v>
      </c>
      <c r="B116" s="428" t="s">
        <v>152</v>
      </c>
      <c r="C116" s="422" t="s">
        <v>2592</v>
      </c>
      <c r="D116" s="383"/>
      <c r="E116" s="420"/>
      <c r="F116" s="420"/>
      <c r="G116" s="420"/>
      <c r="H116" s="420"/>
      <c r="I116" s="420"/>
      <c r="J116" s="420" t="s">
        <v>1094</v>
      </c>
      <c r="K116" s="420" t="s">
        <v>43</v>
      </c>
      <c r="L116" s="420" t="s">
        <v>587</v>
      </c>
      <c r="M116" s="420" t="s">
        <v>44</v>
      </c>
      <c r="N116" s="420"/>
      <c r="O116" s="420"/>
      <c r="P116" s="422" t="s">
        <v>573</v>
      </c>
      <c r="Q116" s="420"/>
      <c r="R116" s="424"/>
      <c r="S116" s="424"/>
      <c r="T116" s="437">
        <v>43298</v>
      </c>
      <c r="U116" s="430"/>
      <c r="V116" s="420"/>
      <c r="W116" s="358"/>
      <c r="X116" s="383"/>
    </row>
    <row r="117" spans="1:24" s="68" customFormat="1" ht="14.25" customHeight="1">
      <c r="A117" s="420" t="s">
        <v>37</v>
      </c>
      <c r="B117" s="420" t="s">
        <v>152</v>
      </c>
      <c r="C117" s="420" t="s">
        <v>843</v>
      </c>
      <c r="D117" s="383" t="s">
        <v>1295</v>
      </c>
      <c r="E117" s="420" t="s">
        <v>1554</v>
      </c>
      <c r="F117" s="420" t="s">
        <v>1360</v>
      </c>
      <c r="G117" s="420" t="s">
        <v>843</v>
      </c>
      <c r="H117" s="420"/>
      <c r="I117" s="420">
        <v>0</v>
      </c>
      <c r="J117" s="420" t="s">
        <v>43</v>
      </c>
      <c r="K117" s="420" t="s">
        <v>43</v>
      </c>
      <c r="L117" s="420" t="s">
        <v>572</v>
      </c>
      <c r="M117" s="420" t="s">
        <v>44</v>
      </c>
      <c r="N117" s="420"/>
      <c r="O117" s="420"/>
      <c r="P117" s="420" t="s">
        <v>573</v>
      </c>
      <c r="Q117" s="420" t="s">
        <v>664</v>
      </c>
      <c r="R117" s="424"/>
      <c r="S117" s="424"/>
      <c r="T117" s="437"/>
      <c r="U117" s="426" t="s">
        <v>844</v>
      </c>
      <c r="V117" s="420"/>
      <c r="W117" s="420" t="s">
        <v>1643</v>
      </c>
      <c r="X117" s="383"/>
    </row>
    <row r="118" spans="1:24" s="68" customFormat="1" ht="14.25" customHeight="1">
      <c r="A118" s="420" t="s">
        <v>37</v>
      </c>
      <c r="B118" s="422" t="s">
        <v>152</v>
      </c>
      <c r="C118" s="422" t="s">
        <v>1607</v>
      </c>
      <c r="D118" s="423" t="s">
        <v>3235</v>
      </c>
      <c r="E118" s="420" t="s">
        <v>1546</v>
      </c>
      <c r="F118" s="420"/>
      <c r="G118" s="420"/>
      <c r="H118" s="420"/>
      <c r="I118" s="420" t="s">
        <v>2112</v>
      </c>
      <c r="J118" s="420" t="s">
        <v>43</v>
      </c>
      <c r="K118" s="420" t="s">
        <v>43</v>
      </c>
      <c r="L118" s="420" t="s">
        <v>43</v>
      </c>
      <c r="M118" s="420" t="s">
        <v>44</v>
      </c>
      <c r="N118" s="420">
        <v>25.2226</v>
      </c>
      <c r="O118" s="420">
        <v>97.012299999999996</v>
      </c>
      <c r="P118" s="420" t="s">
        <v>573</v>
      </c>
      <c r="Q118" s="420" t="s">
        <v>1525</v>
      </c>
      <c r="R118" s="432">
        <v>110</v>
      </c>
      <c r="S118" s="425">
        <v>590</v>
      </c>
      <c r="T118" s="437">
        <v>43276</v>
      </c>
      <c r="U118" s="426" t="s">
        <v>1574</v>
      </c>
      <c r="V118" s="422" t="s">
        <v>1607</v>
      </c>
      <c r="W118" s="358" t="s">
        <v>1735</v>
      </c>
      <c r="X118" s="423"/>
    </row>
    <row r="119" spans="1:24" s="68" customFormat="1" ht="14.25" customHeight="1">
      <c r="A119" s="420" t="s">
        <v>37</v>
      </c>
      <c r="B119" s="422" t="s">
        <v>152</v>
      </c>
      <c r="C119" s="422" t="s">
        <v>155</v>
      </c>
      <c r="D119" s="423" t="s">
        <v>3235</v>
      </c>
      <c r="E119" s="420" t="s">
        <v>1166</v>
      </c>
      <c r="F119" s="420" t="s">
        <v>1360</v>
      </c>
      <c r="G119" s="420" t="s">
        <v>1411</v>
      </c>
      <c r="H119" s="420" t="s">
        <v>41</v>
      </c>
      <c r="I119" s="420" t="s">
        <v>2112</v>
      </c>
      <c r="J119" s="420" t="s">
        <v>43</v>
      </c>
      <c r="K119" s="420" t="s">
        <v>43</v>
      </c>
      <c r="L119" s="420" t="s">
        <v>43</v>
      </c>
      <c r="M119" s="420" t="s">
        <v>44</v>
      </c>
      <c r="N119" s="420">
        <v>25.30442</v>
      </c>
      <c r="O119" s="420">
        <v>96.948740000000001</v>
      </c>
      <c r="P119" s="420" t="s">
        <v>573</v>
      </c>
      <c r="Q119" s="420" t="s">
        <v>591</v>
      </c>
      <c r="R119" s="432">
        <v>10</v>
      </c>
      <c r="S119" s="425">
        <v>48</v>
      </c>
      <c r="T119" s="437"/>
      <c r="U119" s="426"/>
      <c r="V119" s="420" t="s">
        <v>155</v>
      </c>
      <c r="W119" s="420"/>
      <c r="X119" s="423"/>
    </row>
    <row r="120" spans="1:24" s="68" customFormat="1" ht="14.25" customHeight="1">
      <c r="A120" s="420" t="s">
        <v>37</v>
      </c>
      <c r="B120" s="420" t="s">
        <v>152</v>
      </c>
      <c r="C120" s="420" t="s">
        <v>765</v>
      </c>
      <c r="D120" s="383" t="s">
        <v>1295</v>
      </c>
      <c r="E120" s="420" t="s">
        <v>1161</v>
      </c>
      <c r="F120" s="420" t="s">
        <v>1342</v>
      </c>
      <c r="G120" s="420" t="s">
        <v>1342</v>
      </c>
      <c r="H120" s="420"/>
      <c r="I120" s="420">
        <v>0</v>
      </c>
      <c r="J120" s="420" t="s">
        <v>43</v>
      </c>
      <c r="K120" s="420" t="s">
        <v>43</v>
      </c>
      <c r="L120" s="420" t="s">
        <v>572</v>
      </c>
      <c r="M120" s="420" t="s">
        <v>44</v>
      </c>
      <c r="N120" s="420">
        <v>25.225000000000001</v>
      </c>
      <c r="O120" s="420">
        <v>96.793999999999997</v>
      </c>
      <c r="P120" s="420" t="s">
        <v>584</v>
      </c>
      <c r="Q120" s="420" t="s">
        <v>591</v>
      </c>
      <c r="R120" s="424">
        <v>0</v>
      </c>
      <c r="S120" s="424">
        <v>0</v>
      </c>
      <c r="T120" s="437">
        <v>42983</v>
      </c>
      <c r="U120" s="426" t="s">
        <v>766</v>
      </c>
      <c r="V120" s="420" t="s">
        <v>767</v>
      </c>
      <c r="W120" s="420" t="s">
        <v>1644</v>
      </c>
      <c r="X120" s="383"/>
    </row>
    <row r="121" spans="1:24" s="68" customFormat="1" ht="14.25" customHeight="1">
      <c r="A121" s="420" t="s">
        <v>37</v>
      </c>
      <c r="B121" s="420" t="s">
        <v>152</v>
      </c>
      <c r="C121" s="420" t="s">
        <v>156</v>
      </c>
      <c r="D121" s="423" t="s">
        <v>3235</v>
      </c>
      <c r="E121" s="420" t="s">
        <v>1162</v>
      </c>
      <c r="F121" s="420" t="s">
        <v>1342</v>
      </c>
      <c r="G121" s="420" t="s">
        <v>1342</v>
      </c>
      <c r="H121" s="420" t="s">
        <v>41</v>
      </c>
      <c r="I121" s="420" t="s">
        <v>2112</v>
      </c>
      <c r="J121" s="420" t="s">
        <v>43</v>
      </c>
      <c r="K121" s="420" t="s">
        <v>43</v>
      </c>
      <c r="L121" s="420" t="s">
        <v>43</v>
      </c>
      <c r="M121" s="420" t="s">
        <v>44</v>
      </c>
      <c r="N121" s="420">
        <v>25.225000000000001</v>
      </c>
      <c r="O121" s="420">
        <v>96.793999999999997</v>
      </c>
      <c r="P121" s="420" t="s">
        <v>573</v>
      </c>
      <c r="Q121" s="420" t="s">
        <v>591</v>
      </c>
      <c r="R121" s="432">
        <v>25</v>
      </c>
      <c r="S121" s="425">
        <v>138</v>
      </c>
      <c r="T121" s="437"/>
      <c r="U121" s="426"/>
      <c r="V121" s="420" t="s">
        <v>156</v>
      </c>
      <c r="W121" s="420"/>
      <c r="X121" s="423"/>
    </row>
    <row r="122" spans="1:24" s="68" customFormat="1" ht="14.25" customHeight="1">
      <c r="A122" s="420" t="s">
        <v>37</v>
      </c>
      <c r="B122" s="420" t="s">
        <v>152</v>
      </c>
      <c r="C122" s="420" t="s">
        <v>2878</v>
      </c>
      <c r="D122" s="423" t="s">
        <v>3235</v>
      </c>
      <c r="E122" s="420" t="s">
        <v>1544</v>
      </c>
      <c r="F122" s="420"/>
      <c r="G122" s="420"/>
      <c r="H122" s="420"/>
      <c r="I122" s="420" t="s">
        <v>1030</v>
      </c>
      <c r="J122" s="420" t="s">
        <v>43</v>
      </c>
      <c r="K122" s="420" t="s">
        <v>43</v>
      </c>
      <c r="L122" s="420" t="s">
        <v>43</v>
      </c>
      <c r="M122" s="420" t="s">
        <v>44</v>
      </c>
      <c r="N122" s="420">
        <v>25.383058999999999</v>
      </c>
      <c r="O122" s="420">
        <v>97.014313000000001</v>
      </c>
      <c r="P122" s="420" t="s">
        <v>573</v>
      </c>
      <c r="Q122" s="420" t="s">
        <v>1525</v>
      </c>
      <c r="R122" s="432">
        <v>48</v>
      </c>
      <c r="S122" s="425">
        <v>275</v>
      </c>
      <c r="T122" s="437">
        <v>43276</v>
      </c>
      <c r="U122" s="426" t="s">
        <v>1574</v>
      </c>
      <c r="V122" s="420" t="s">
        <v>1539</v>
      </c>
      <c r="W122" s="420" t="s">
        <v>1734</v>
      </c>
      <c r="X122" s="423"/>
    </row>
    <row r="123" spans="1:24" s="68" customFormat="1" ht="14.25" customHeight="1">
      <c r="A123" s="429" t="s">
        <v>37</v>
      </c>
      <c r="B123" s="428" t="s">
        <v>152</v>
      </c>
      <c r="C123" s="422" t="s">
        <v>2879</v>
      </c>
      <c r="D123" s="423" t="s">
        <v>3235</v>
      </c>
      <c r="E123" s="420" t="s">
        <v>1545</v>
      </c>
      <c r="F123" s="420"/>
      <c r="G123" s="420"/>
      <c r="H123" s="420"/>
      <c r="I123" s="420" t="s">
        <v>1030</v>
      </c>
      <c r="J123" s="420" t="s">
        <v>43</v>
      </c>
      <c r="K123" s="420" t="s">
        <v>43</v>
      </c>
      <c r="L123" s="420" t="s">
        <v>43</v>
      </c>
      <c r="M123" s="420" t="s">
        <v>44</v>
      </c>
      <c r="N123" s="420">
        <v>25.383058999999999</v>
      </c>
      <c r="O123" s="420">
        <v>97.014313000000001</v>
      </c>
      <c r="P123" s="420" t="s">
        <v>573</v>
      </c>
      <c r="Q123" s="420" t="s">
        <v>1525</v>
      </c>
      <c r="R123" s="432">
        <v>83</v>
      </c>
      <c r="S123" s="425">
        <v>433</v>
      </c>
      <c r="T123" s="437">
        <v>43276</v>
      </c>
      <c r="U123" s="426" t="s">
        <v>1707</v>
      </c>
      <c r="V123" s="422" t="s">
        <v>1540</v>
      </c>
      <c r="W123" s="420" t="s">
        <v>1734</v>
      </c>
      <c r="X123" s="423"/>
    </row>
    <row r="124" spans="1:24" s="68" customFormat="1" ht="14.25" customHeight="1">
      <c r="A124" s="420" t="s">
        <v>37</v>
      </c>
      <c r="B124" s="420" t="s">
        <v>157</v>
      </c>
      <c r="C124" s="420" t="s">
        <v>2876</v>
      </c>
      <c r="D124" s="423" t="s">
        <v>3235</v>
      </c>
      <c r="E124" s="420" t="s">
        <v>1154</v>
      </c>
      <c r="F124" s="420" t="s">
        <v>1458</v>
      </c>
      <c r="G124" s="420" t="s">
        <v>1459</v>
      </c>
      <c r="H124" s="420"/>
      <c r="I124" s="420" t="s">
        <v>1614</v>
      </c>
      <c r="J124" s="420" t="s">
        <v>43</v>
      </c>
      <c r="K124" s="420" t="s">
        <v>43</v>
      </c>
      <c r="L124" s="420" t="s">
        <v>2576</v>
      </c>
      <c r="M124" s="420" t="s">
        <v>44</v>
      </c>
      <c r="N124" s="420">
        <v>24.996279999999999</v>
      </c>
      <c r="O124" s="420">
        <v>96.52534</v>
      </c>
      <c r="P124" s="420" t="s">
        <v>584</v>
      </c>
      <c r="Q124" s="420" t="s">
        <v>574</v>
      </c>
      <c r="R124" s="432">
        <v>14</v>
      </c>
      <c r="S124" s="425">
        <v>66</v>
      </c>
      <c r="T124" s="437"/>
      <c r="U124" s="426" t="s">
        <v>756</v>
      </c>
      <c r="V124" s="420" t="s">
        <v>759</v>
      </c>
      <c r="W124" s="420"/>
      <c r="X124" s="423"/>
    </row>
    <row r="125" spans="1:24" s="68" customFormat="1" ht="14.25" customHeight="1">
      <c r="A125" s="420" t="s">
        <v>37</v>
      </c>
      <c r="B125" s="420" t="s">
        <v>157</v>
      </c>
      <c r="C125" s="420" t="s">
        <v>2877</v>
      </c>
      <c r="D125" s="423" t="s">
        <v>3235</v>
      </c>
      <c r="E125" s="420" t="s">
        <v>1151</v>
      </c>
      <c r="F125" s="420" t="s">
        <v>1401</v>
      </c>
      <c r="G125" s="420">
        <v>0</v>
      </c>
      <c r="H125" s="420"/>
      <c r="I125" s="420" t="s">
        <v>1614</v>
      </c>
      <c r="J125" s="420" t="s">
        <v>43</v>
      </c>
      <c r="K125" s="420" t="s">
        <v>43</v>
      </c>
      <c r="L125" s="420" t="s">
        <v>2576</v>
      </c>
      <c r="M125" s="420" t="s">
        <v>44</v>
      </c>
      <c r="N125" s="420">
        <v>24.764959999999999</v>
      </c>
      <c r="O125" s="420">
        <v>96.366919999999993</v>
      </c>
      <c r="P125" s="420" t="s">
        <v>584</v>
      </c>
      <c r="Q125" s="420" t="s">
        <v>574</v>
      </c>
      <c r="R125" s="432">
        <v>19</v>
      </c>
      <c r="S125" s="425">
        <v>78</v>
      </c>
      <c r="T125" s="437"/>
      <c r="U125" s="426" t="s">
        <v>756</v>
      </c>
      <c r="V125" s="420" t="s">
        <v>755</v>
      </c>
      <c r="W125" s="420"/>
      <c r="X125" s="423"/>
    </row>
    <row r="126" spans="1:24" s="68" customFormat="1" ht="14.25" customHeight="1">
      <c r="A126" s="429" t="s">
        <v>37</v>
      </c>
      <c r="B126" s="428" t="s">
        <v>157</v>
      </c>
      <c r="C126" s="429" t="s">
        <v>2992</v>
      </c>
      <c r="D126" s="423" t="s">
        <v>3235</v>
      </c>
      <c r="E126" s="425" t="s">
        <v>3014</v>
      </c>
      <c r="F126" s="420"/>
      <c r="G126" s="420"/>
      <c r="H126" s="420"/>
      <c r="I126" s="420" t="s">
        <v>3057</v>
      </c>
      <c r="J126" s="420" t="s">
        <v>43</v>
      </c>
      <c r="K126" s="420" t="s">
        <v>43</v>
      </c>
      <c r="L126" s="420" t="s">
        <v>3040</v>
      </c>
      <c r="M126" s="420" t="s">
        <v>44</v>
      </c>
      <c r="N126" s="420"/>
      <c r="O126" s="420" t="s">
        <v>3041</v>
      </c>
      <c r="P126" s="420" t="s">
        <v>584</v>
      </c>
      <c r="Q126" s="420" t="s">
        <v>3042</v>
      </c>
      <c r="R126" s="432">
        <v>542</v>
      </c>
      <c r="S126" s="425">
        <v>2399</v>
      </c>
      <c r="T126" s="437">
        <v>45009</v>
      </c>
      <c r="U126" s="426" t="s">
        <v>3043</v>
      </c>
      <c r="V126" s="422"/>
      <c r="W126" s="424" t="s">
        <v>3055</v>
      </c>
      <c r="X126" s="423"/>
    </row>
    <row r="127" spans="1:24" s="68" customFormat="1" ht="14.25" customHeight="1">
      <c r="A127" s="420" t="s">
        <v>37</v>
      </c>
      <c r="B127" s="422" t="s">
        <v>157</v>
      </c>
      <c r="C127" s="422" t="s">
        <v>760</v>
      </c>
      <c r="D127" s="383" t="s">
        <v>1295</v>
      </c>
      <c r="E127" s="420" t="s">
        <v>1155</v>
      </c>
      <c r="F127" s="420" t="s">
        <v>1339</v>
      </c>
      <c r="G127" s="420" t="s">
        <v>1339</v>
      </c>
      <c r="H127" s="420" t="s">
        <v>41</v>
      </c>
      <c r="I127" s="420" t="s">
        <v>141</v>
      </c>
      <c r="J127" s="420" t="s">
        <v>43</v>
      </c>
      <c r="K127" s="420" t="s">
        <v>43</v>
      </c>
      <c r="L127" s="420" t="s">
        <v>572</v>
      </c>
      <c r="M127" s="420" t="s">
        <v>44</v>
      </c>
      <c r="N127" s="420">
        <v>24.998349999999999</v>
      </c>
      <c r="O127" s="420">
        <v>96.364949999999993</v>
      </c>
      <c r="P127" s="420" t="s">
        <v>573</v>
      </c>
      <c r="Q127" s="420"/>
      <c r="R127" s="424">
        <v>0</v>
      </c>
      <c r="S127" s="424">
        <v>0</v>
      </c>
      <c r="T127" s="437"/>
      <c r="U127" s="426"/>
      <c r="V127" s="420" t="s">
        <v>760</v>
      </c>
      <c r="W127" s="420" t="s">
        <v>1645</v>
      </c>
      <c r="X127" s="383"/>
    </row>
    <row r="128" spans="1:24" s="68" customFormat="1" ht="14.25" customHeight="1">
      <c r="A128" s="425" t="s">
        <v>37</v>
      </c>
      <c r="B128" s="428" t="s">
        <v>157</v>
      </c>
      <c r="C128" s="429" t="s">
        <v>158</v>
      </c>
      <c r="D128" s="423" t="s">
        <v>3235</v>
      </c>
      <c r="E128" s="420" t="s">
        <v>1156</v>
      </c>
      <c r="F128" s="420"/>
      <c r="G128" s="420"/>
      <c r="H128" s="420" t="s">
        <v>41</v>
      </c>
      <c r="I128" s="420" t="s">
        <v>2112</v>
      </c>
      <c r="J128" s="420" t="s">
        <v>43</v>
      </c>
      <c r="K128" s="422" t="s">
        <v>43</v>
      </c>
      <c r="L128" s="422" t="s">
        <v>43</v>
      </c>
      <c r="M128" s="420" t="s">
        <v>44</v>
      </c>
      <c r="N128" s="420">
        <v>24.998349999999999</v>
      </c>
      <c r="O128" s="420">
        <v>96.364949999999993</v>
      </c>
      <c r="P128" s="420" t="s">
        <v>573</v>
      </c>
      <c r="Q128" s="420" t="s">
        <v>591</v>
      </c>
      <c r="R128" s="432">
        <v>28</v>
      </c>
      <c r="S128" s="425">
        <v>131</v>
      </c>
      <c r="T128" s="437"/>
      <c r="U128" s="426"/>
      <c r="V128" s="420" t="s">
        <v>761</v>
      </c>
      <c r="W128" s="420" t="s">
        <v>1736</v>
      </c>
      <c r="X128" s="423"/>
    </row>
    <row r="129" spans="1:24" s="68" customFormat="1" ht="14.25" customHeight="1">
      <c r="A129" s="420" t="s">
        <v>37</v>
      </c>
      <c r="B129" s="420" t="s">
        <v>157</v>
      </c>
      <c r="C129" s="420" t="s">
        <v>239</v>
      </c>
      <c r="D129" s="423" t="s">
        <v>2835</v>
      </c>
      <c r="E129" s="420" t="s">
        <v>1150</v>
      </c>
      <c r="F129" s="420" t="s">
        <v>1401</v>
      </c>
      <c r="G129" s="420" t="s">
        <v>1402</v>
      </c>
      <c r="H129" s="420" t="s">
        <v>41</v>
      </c>
      <c r="I129" s="420" t="s">
        <v>1030</v>
      </c>
      <c r="J129" s="420" t="s">
        <v>43</v>
      </c>
      <c r="K129" s="420" t="s">
        <v>43</v>
      </c>
      <c r="L129" s="420" t="s">
        <v>572</v>
      </c>
      <c r="M129" s="420" t="s">
        <v>44</v>
      </c>
      <c r="N129" s="420">
        <v>24.764800000000001</v>
      </c>
      <c r="O129" s="420">
        <v>96.367059999999995</v>
      </c>
      <c r="P129" s="420" t="s">
        <v>573</v>
      </c>
      <c r="Q129" s="420" t="s">
        <v>591</v>
      </c>
      <c r="R129" s="432"/>
      <c r="S129" s="425"/>
      <c r="T129" s="437"/>
      <c r="U129" s="426"/>
      <c r="V129" s="420" t="s">
        <v>239</v>
      </c>
      <c r="W129" s="420"/>
      <c r="X129" s="423"/>
    </row>
    <row r="130" spans="1:24" s="68" customFormat="1" ht="14.25" customHeight="1">
      <c r="A130" s="429" t="s">
        <v>37</v>
      </c>
      <c r="B130" s="428" t="s">
        <v>157</v>
      </c>
      <c r="C130" s="429" t="s">
        <v>2987</v>
      </c>
      <c r="D130" s="423" t="s">
        <v>3235</v>
      </c>
      <c r="E130" s="425" t="s">
        <v>3009</v>
      </c>
      <c r="F130" s="420" t="s">
        <v>3026</v>
      </c>
      <c r="G130" s="420" t="s">
        <v>3039</v>
      </c>
      <c r="H130" s="420"/>
      <c r="I130" s="420" t="s">
        <v>3057</v>
      </c>
      <c r="J130" s="420" t="s">
        <v>43</v>
      </c>
      <c r="K130" s="420" t="s">
        <v>43</v>
      </c>
      <c r="L130" s="420" t="s">
        <v>587</v>
      </c>
      <c r="M130" s="420" t="s">
        <v>589</v>
      </c>
      <c r="N130" s="420"/>
      <c r="O130" s="420" t="s">
        <v>3041</v>
      </c>
      <c r="P130" s="420" t="s">
        <v>573</v>
      </c>
      <c r="Q130" s="420" t="s">
        <v>3042</v>
      </c>
      <c r="R130" s="432">
        <v>100</v>
      </c>
      <c r="S130" s="425">
        <v>506</v>
      </c>
      <c r="T130" s="437">
        <v>45009</v>
      </c>
      <c r="U130" s="426" t="s">
        <v>3043</v>
      </c>
      <c r="V130" s="420"/>
      <c r="W130" s="424" t="s">
        <v>3053</v>
      </c>
      <c r="X130" s="423"/>
    </row>
    <row r="131" spans="1:24" s="68" customFormat="1" ht="14.25" customHeight="1">
      <c r="A131" s="420" t="s">
        <v>37</v>
      </c>
      <c r="B131" s="420" t="s">
        <v>1588</v>
      </c>
      <c r="C131" s="420" t="s">
        <v>1593</v>
      </c>
      <c r="D131" s="383"/>
      <c r="E131" s="420"/>
      <c r="F131" s="420"/>
      <c r="G131" s="420"/>
      <c r="H131" s="420"/>
      <c r="I131" s="420"/>
      <c r="J131" s="420" t="s">
        <v>1094</v>
      </c>
      <c r="K131" s="420" t="s">
        <v>43</v>
      </c>
      <c r="L131" s="420" t="s">
        <v>587</v>
      </c>
      <c r="M131" s="420" t="s">
        <v>589</v>
      </c>
      <c r="N131" s="420"/>
      <c r="O131" s="420"/>
      <c r="P131" s="420" t="s">
        <v>573</v>
      </c>
      <c r="Q131" s="420"/>
      <c r="R131" s="424"/>
      <c r="S131" s="425"/>
      <c r="T131" s="437">
        <v>43298</v>
      </c>
      <c r="U131" s="426"/>
      <c r="V131" s="420"/>
      <c r="W131" s="358"/>
      <c r="X131" s="383"/>
    </row>
    <row r="132" spans="1:24" s="68" customFormat="1" ht="14.25" customHeight="1">
      <c r="A132" s="420" t="s">
        <v>37</v>
      </c>
      <c r="B132" s="420" t="s">
        <v>205</v>
      </c>
      <c r="C132" s="420" t="s">
        <v>206</v>
      </c>
      <c r="D132" s="383"/>
      <c r="E132" s="420"/>
      <c r="F132" s="420"/>
      <c r="G132" s="420"/>
      <c r="H132" s="420"/>
      <c r="I132" s="420"/>
      <c r="J132" s="420" t="s">
        <v>1094</v>
      </c>
      <c r="K132" s="420" t="s">
        <v>43</v>
      </c>
      <c r="L132" s="420" t="s">
        <v>43</v>
      </c>
      <c r="M132" s="420" t="s">
        <v>44</v>
      </c>
      <c r="N132" s="420"/>
      <c r="O132" s="420"/>
      <c r="P132" s="420" t="s">
        <v>573</v>
      </c>
      <c r="Q132" s="420" t="s">
        <v>591</v>
      </c>
      <c r="R132" s="424"/>
      <c r="S132" s="424"/>
      <c r="T132" s="437"/>
      <c r="U132" s="426" t="s">
        <v>813</v>
      </c>
      <c r="V132" s="420" t="s">
        <v>206</v>
      </c>
      <c r="W132" s="420"/>
      <c r="X132" s="383"/>
    </row>
    <row r="133" spans="1:24" s="68" customFormat="1" ht="14.25" customHeight="1">
      <c r="A133" s="420" t="s">
        <v>37</v>
      </c>
      <c r="B133" s="422" t="s">
        <v>205</v>
      </c>
      <c r="C133" s="475" t="s">
        <v>746</v>
      </c>
      <c r="D133" s="383" t="s">
        <v>1295</v>
      </c>
      <c r="E133" s="420" t="s">
        <v>1142</v>
      </c>
      <c r="F133" s="420" t="s">
        <v>1332</v>
      </c>
      <c r="G133" s="420" t="s">
        <v>1333</v>
      </c>
      <c r="H133" s="420"/>
      <c r="I133" s="420">
        <v>0</v>
      </c>
      <c r="J133" s="420" t="s">
        <v>43</v>
      </c>
      <c r="K133" s="420" t="s">
        <v>43</v>
      </c>
      <c r="L133" s="420" t="s">
        <v>572</v>
      </c>
      <c r="M133" s="420" t="s">
        <v>44</v>
      </c>
      <c r="N133" s="420">
        <v>24.613976000000001</v>
      </c>
      <c r="O133" s="420">
        <v>97.461271999999994</v>
      </c>
      <c r="P133" s="420" t="s">
        <v>573</v>
      </c>
      <c r="Q133" s="420" t="s">
        <v>574</v>
      </c>
      <c r="R133" s="424">
        <v>0</v>
      </c>
      <c r="S133" s="424">
        <v>0</v>
      </c>
      <c r="T133" s="437">
        <v>42983</v>
      </c>
      <c r="U133" s="474" t="s">
        <v>747</v>
      </c>
      <c r="V133" s="420" t="s">
        <v>746</v>
      </c>
      <c r="W133" s="420" t="s">
        <v>1646</v>
      </c>
      <c r="X133" s="383"/>
    </row>
    <row r="134" spans="1:24" s="68" customFormat="1" ht="14.25" customHeight="1">
      <c r="A134" s="420" t="s">
        <v>37</v>
      </c>
      <c r="B134" s="420" t="s">
        <v>205</v>
      </c>
      <c r="C134" s="420" t="s">
        <v>232</v>
      </c>
      <c r="D134" s="423" t="s">
        <v>3235</v>
      </c>
      <c r="E134" s="420" t="s">
        <v>1140</v>
      </c>
      <c r="F134" s="420" t="s">
        <v>1397</v>
      </c>
      <c r="G134" s="420" t="s">
        <v>1398</v>
      </c>
      <c r="H134" s="420" t="s">
        <v>41</v>
      </c>
      <c r="I134" s="420" t="s">
        <v>1030</v>
      </c>
      <c r="J134" s="420" t="s">
        <v>43</v>
      </c>
      <c r="K134" s="420" t="s">
        <v>43</v>
      </c>
      <c r="L134" s="420" t="s">
        <v>43</v>
      </c>
      <c r="M134" s="420" t="s">
        <v>589</v>
      </c>
      <c r="N134" s="420">
        <v>24.461033</v>
      </c>
      <c r="O134" s="420">
        <v>97.537099999999995</v>
      </c>
      <c r="P134" s="17" t="s">
        <v>573</v>
      </c>
      <c r="Q134" s="420" t="s">
        <v>591</v>
      </c>
      <c r="R134" s="432">
        <v>72</v>
      </c>
      <c r="S134" s="425">
        <v>391</v>
      </c>
      <c r="T134" s="437"/>
      <c r="U134" s="426"/>
      <c r="V134" s="420" t="s">
        <v>232</v>
      </c>
      <c r="W134" s="420"/>
      <c r="X134" s="423"/>
    </row>
    <row r="135" spans="1:24" s="68" customFormat="1" ht="14.25" customHeight="1">
      <c r="A135" s="425" t="s">
        <v>37</v>
      </c>
      <c r="B135" s="428" t="s">
        <v>205</v>
      </c>
      <c r="C135" s="365" t="s">
        <v>2161</v>
      </c>
      <c r="D135" s="423" t="s">
        <v>2702</v>
      </c>
      <c r="E135" s="420" t="s">
        <v>2162</v>
      </c>
      <c r="F135" s="420" t="s">
        <v>205</v>
      </c>
      <c r="G135" s="420" t="s">
        <v>2163</v>
      </c>
      <c r="H135" s="420"/>
      <c r="I135" s="420" t="s">
        <v>1614</v>
      </c>
      <c r="J135" s="420" t="s">
        <v>43</v>
      </c>
      <c r="K135" s="420" t="s">
        <v>43</v>
      </c>
      <c r="L135" s="420" t="s">
        <v>572</v>
      </c>
      <c r="M135" s="420" t="s">
        <v>44</v>
      </c>
      <c r="N135" s="420">
        <v>24.613662999999999</v>
      </c>
      <c r="O135" s="420">
        <v>97.461727999999994</v>
      </c>
      <c r="P135" s="420" t="s">
        <v>573</v>
      </c>
      <c r="Q135" s="420" t="s">
        <v>2164</v>
      </c>
      <c r="R135" s="432">
        <v>0</v>
      </c>
      <c r="S135" s="425">
        <v>24</v>
      </c>
      <c r="T135" s="437">
        <v>43717</v>
      </c>
      <c r="U135" s="432"/>
      <c r="V135" s="420"/>
      <c r="W135" s="424" t="s">
        <v>2165</v>
      </c>
      <c r="X135" s="423"/>
    </row>
    <row r="136" spans="1:24" s="68" customFormat="1" ht="14.25" customHeight="1">
      <c r="A136" s="420" t="s">
        <v>37</v>
      </c>
      <c r="B136" s="420" t="s">
        <v>205</v>
      </c>
      <c r="C136" s="420" t="s">
        <v>217</v>
      </c>
      <c r="D136" s="423" t="s">
        <v>3235</v>
      </c>
      <c r="E136" s="420" t="s">
        <v>1144</v>
      </c>
      <c r="F136" s="420" t="s">
        <v>1399</v>
      </c>
      <c r="G136" s="420" t="s">
        <v>1400</v>
      </c>
      <c r="H136" s="420" t="s">
        <v>41</v>
      </c>
      <c r="I136" s="420" t="s">
        <v>1030</v>
      </c>
      <c r="J136" s="420" t="s">
        <v>43</v>
      </c>
      <c r="K136" s="420" t="s">
        <v>43</v>
      </c>
      <c r="L136" s="420" t="s">
        <v>43</v>
      </c>
      <c r="M136" s="420" t="s">
        <v>589</v>
      </c>
      <c r="N136" s="420">
        <v>24.661905999999998</v>
      </c>
      <c r="O136" s="420">
        <v>97.573126000000002</v>
      </c>
      <c r="P136" s="17" t="s">
        <v>573</v>
      </c>
      <c r="Q136" s="420" t="s">
        <v>591</v>
      </c>
      <c r="R136" s="432">
        <v>676</v>
      </c>
      <c r="S136" s="425">
        <v>3508</v>
      </c>
      <c r="T136" s="437"/>
      <c r="U136" s="426"/>
      <c r="V136" s="420" t="s">
        <v>217</v>
      </c>
      <c r="W136" s="420"/>
      <c r="X136" s="423"/>
    </row>
    <row r="137" spans="1:24" s="68" customFormat="1" ht="14.25" customHeight="1">
      <c r="A137" s="420" t="s">
        <v>37</v>
      </c>
      <c r="B137" s="420" t="s">
        <v>205</v>
      </c>
      <c r="C137" s="420" t="s">
        <v>2153</v>
      </c>
      <c r="D137" s="383"/>
      <c r="E137" s="420"/>
      <c r="F137" s="420"/>
      <c r="G137" s="420"/>
      <c r="H137" s="420"/>
      <c r="I137" s="420"/>
      <c r="J137" s="420" t="s">
        <v>1094</v>
      </c>
      <c r="K137" s="420" t="s">
        <v>43</v>
      </c>
      <c r="L137" s="420" t="s">
        <v>43</v>
      </c>
      <c r="M137" s="420" t="s">
        <v>44</v>
      </c>
      <c r="N137" s="420"/>
      <c r="O137" s="420"/>
      <c r="P137" s="420" t="s">
        <v>573</v>
      </c>
      <c r="Q137" s="420" t="s">
        <v>2151</v>
      </c>
      <c r="R137" s="424"/>
      <c r="S137" s="425"/>
      <c r="T137" s="437">
        <v>42554</v>
      </c>
      <c r="U137" s="426"/>
      <c r="V137" s="420"/>
      <c r="W137" s="420"/>
      <c r="X137" s="383"/>
    </row>
    <row r="138" spans="1:24" s="68" customFormat="1" ht="14.25" customHeight="1">
      <c r="A138" s="420" t="s">
        <v>37</v>
      </c>
      <c r="B138" s="420" t="s">
        <v>205</v>
      </c>
      <c r="C138" s="420" t="s">
        <v>290</v>
      </c>
      <c r="D138" s="423" t="s">
        <v>3235</v>
      </c>
      <c r="E138" s="420" t="s">
        <v>1145</v>
      </c>
      <c r="F138" s="420" t="s">
        <v>1399</v>
      </c>
      <c r="G138" s="420" t="s">
        <v>1400</v>
      </c>
      <c r="H138" s="420" t="s">
        <v>41</v>
      </c>
      <c r="I138" s="420" t="s">
        <v>1030</v>
      </c>
      <c r="J138" s="420" t="s">
        <v>43</v>
      </c>
      <c r="K138" s="420" t="s">
        <v>43</v>
      </c>
      <c r="L138" s="420" t="s">
        <v>43</v>
      </c>
      <c r="M138" s="420" t="s">
        <v>589</v>
      </c>
      <c r="N138" s="420">
        <v>24.688338999999999</v>
      </c>
      <c r="O138" s="420">
        <v>97.568331999999998</v>
      </c>
      <c r="P138" s="420" t="s">
        <v>573</v>
      </c>
      <c r="Q138" s="420" t="s">
        <v>591</v>
      </c>
      <c r="R138" s="432">
        <v>1525</v>
      </c>
      <c r="S138" s="425">
        <v>8205</v>
      </c>
      <c r="T138" s="437"/>
      <c r="U138" s="426"/>
      <c r="V138" s="420" t="s">
        <v>290</v>
      </c>
      <c r="W138" s="420"/>
      <c r="X138" s="423"/>
    </row>
    <row r="139" spans="1:24" s="68" customFormat="1" ht="14.25" customHeight="1">
      <c r="A139" s="420" t="s">
        <v>37</v>
      </c>
      <c r="B139" s="420" t="s">
        <v>205</v>
      </c>
      <c r="C139" s="420" t="s">
        <v>207</v>
      </c>
      <c r="D139" s="383"/>
      <c r="E139" s="420"/>
      <c r="F139" s="420"/>
      <c r="G139" s="420"/>
      <c r="H139" s="420"/>
      <c r="I139" s="420"/>
      <c r="J139" s="420" t="s">
        <v>1094</v>
      </c>
      <c r="K139" s="420" t="s">
        <v>43</v>
      </c>
      <c r="L139" s="420" t="s">
        <v>43</v>
      </c>
      <c r="M139" s="420" t="s">
        <v>44</v>
      </c>
      <c r="N139" s="420"/>
      <c r="O139" s="420"/>
      <c r="P139" s="420" t="s">
        <v>573</v>
      </c>
      <c r="Q139" s="420" t="s">
        <v>591</v>
      </c>
      <c r="R139" s="424"/>
      <c r="S139" s="424"/>
      <c r="T139" s="437"/>
      <c r="U139" s="426" t="s">
        <v>813</v>
      </c>
      <c r="V139" s="420" t="s">
        <v>207</v>
      </c>
      <c r="W139" s="420"/>
      <c r="X139" s="383"/>
    </row>
    <row r="140" spans="1:24" s="68" customFormat="1" ht="14.25" customHeight="1">
      <c r="A140" s="420" t="s">
        <v>37</v>
      </c>
      <c r="B140" s="420" t="s">
        <v>205</v>
      </c>
      <c r="C140" s="420" t="s">
        <v>209</v>
      </c>
      <c r="D140" s="383"/>
      <c r="E140" s="420"/>
      <c r="F140" s="420"/>
      <c r="G140" s="420"/>
      <c r="H140" s="420"/>
      <c r="I140" s="420"/>
      <c r="J140" s="420" t="s">
        <v>1094</v>
      </c>
      <c r="K140" s="420" t="s">
        <v>43</v>
      </c>
      <c r="L140" s="420" t="s">
        <v>43</v>
      </c>
      <c r="M140" s="420" t="s">
        <v>44</v>
      </c>
      <c r="N140" s="420"/>
      <c r="O140" s="420"/>
      <c r="P140" s="420" t="s">
        <v>573</v>
      </c>
      <c r="Q140" s="420" t="s">
        <v>591</v>
      </c>
      <c r="R140" s="424"/>
      <c r="S140" s="425"/>
      <c r="T140" s="437"/>
      <c r="U140" s="426" t="s">
        <v>813</v>
      </c>
      <c r="V140" s="420" t="s">
        <v>209</v>
      </c>
      <c r="W140" s="420"/>
      <c r="X140" s="383"/>
    </row>
    <row r="141" spans="1:24" s="68" customFormat="1" ht="14.25" customHeight="1">
      <c r="A141" s="420" t="s">
        <v>37</v>
      </c>
      <c r="B141" s="420" t="s">
        <v>205</v>
      </c>
      <c r="C141" s="420" t="s">
        <v>737</v>
      </c>
      <c r="D141" s="383" t="s">
        <v>2588</v>
      </c>
      <c r="E141" s="420" t="s">
        <v>1135</v>
      </c>
      <c r="F141" s="420" t="s">
        <v>1456</v>
      </c>
      <c r="G141" s="420" t="s">
        <v>1457</v>
      </c>
      <c r="H141" s="420"/>
      <c r="I141" s="420" t="s">
        <v>1614</v>
      </c>
      <c r="J141" s="420" t="s">
        <v>43</v>
      </c>
      <c r="K141" s="420" t="s">
        <v>43</v>
      </c>
      <c r="L141" s="420" t="s">
        <v>572</v>
      </c>
      <c r="M141" s="420" t="s">
        <v>44</v>
      </c>
      <c r="N141" s="420">
        <v>24.377054000000001</v>
      </c>
      <c r="O141" s="420">
        <v>97.343406999999999</v>
      </c>
      <c r="P141" s="420" t="s">
        <v>584</v>
      </c>
      <c r="Q141" s="420" t="s">
        <v>574</v>
      </c>
      <c r="R141" s="424"/>
      <c r="S141" s="424"/>
      <c r="T141" s="437"/>
      <c r="U141" s="426" t="s">
        <v>738</v>
      </c>
      <c r="V141" s="420" t="s">
        <v>737</v>
      </c>
      <c r="W141" s="420"/>
      <c r="X141" s="383"/>
    </row>
    <row r="142" spans="1:24" s="68" customFormat="1" ht="14.25" customHeight="1">
      <c r="A142" s="420" t="s">
        <v>37</v>
      </c>
      <c r="B142" s="420" t="s">
        <v>205</v>
      </c>
      <c r="C142" s="420" t="s">
        <v>289</v>
      </c>
      <c r="D142" s="383"/>
      <c r="E142" s="420"/>
      <c r="F142" s="420"/>
      <c r="G142" s="420"/>
      <c r="H142" s="420"/>
      <c r="I142" s="420"/>
      <c r="J142" s="420" t="s">
        <v>1094</v>
      </c>
      <c r="K142" s="420" t="s">
        <v>43</v>
      </c>
      <c r="L142" s="420" t="s">
        <v>821</v>
      </c>
      <c r="M142" s="420" t="s">
        <v>589</v>
      </c>
      <c r="N142" s="420"/>
      <c r="O142" s="420"/>
      <c r="P142" s="420" t="s">
        <v>573</v>
      </c>
      <c r="Q142" s="420" t="s">
        <v>574</v>
      </c>
      <c r="R142" s="424"/>
      <c r="S142" s="424"/>
      <c r="T142" s="437">
        <v>42849</v>
      </c>
      <c r="U142" s="426"/>
      <c r="V142" s="420"/>
      <c r="W142" s="420"/>
      <c r="X142" s="383"/>
    </row>
    <row r="143" spans="1:24" s="363" customFormat="1" ht="14.25" customHeight="1">
      <c r="A143" s="420" t="s">
        <v>37</v>
      </c>
      <c r="B143" s="420" t="s">
        <v>205</v>
      </c>
      <c r="C143" s="420" t="s">
        <v>281</v>
      </c>
      <c r="D143" s="423" t="s">
        <v>3235</v>
      </c>
      <c r="E143" s="420" t="s">
        <v>1110</v>
      </c>
      <c r="F143" s="420" t="s">
        <v>1380</v>
      </c>
      <c r="G143" s="420" t="s">
        <v>1382</v>
      </c>
      <c r="H143" s="420" t="s">
        <v>41</v>
      </c>
      <c r="I143" s="420" t="s">
        <v>2111</v>
      </c>
      <c r="J143" s="420" t="s">
        <v>43</v>
      </c>
      <c r="K143" s="420" t="s">
        <v>43</v>
      </c>
      <c r="L143" s="420" t="s">
        <v>43</v>
      </c>
      <c r="M143" s="420" t="s">
        <v>44</v>
      </c>
      <c r="N143" s="420">
        <v>24.200972</v>
      </c>
      <c r="O143" s="420">
        <v>97.718582999999995</v>
      </c>
      <c r="P143" s="420" t="s">
        <v>573</v>
      </c>
      <c r="Q143" s="420" t="s">
        <v>591</v>
      </c>
      <c r="R143" s="432">
        <v>43</v>
      </c>
      <c r="S143" s="425">
        <v>255</v>
      </c>
      <c r="T143" s="437"/>
      <c r="U143" s="426"/>
      <c r="V143" s="420" t="s">
        <v>281</v>
      </c>
      <c r="W143" s="420"/>
      <c r="X143" s="423"/>
    </row>
    <row r="144" spans="1:24" s="68" customFormat="1" ht="14.25" customHeight="1">
      <c r="A144" s="420" t="s">
        <v>37</v>
      </c>
      <c r="B144" s="420" t="s">
        <v>205</v>
      </c>
      <c r="C144" s="420" t="s">
        <v>282</v>
      </c>
      <c r="D144" s="423" t="s">
        <v>3235</v>
      </c>
      <c r="E144" s="420" t="s">
        <v>1111</v>
      </c>
      <c r="F144" s="420" t="s">
        <v>1380</v>
      </c>
      <c r="G144" s="420" t="s">
        <v>1382</v>
      </c>
      <c r="H144" s="420" t="s">
        <v>41</v>
      </c>
      <c r="I144" s="420" t="s">
        <v>42</v>
      </c>
      <c r="J144" s="420" t="s">
        <v>43</v>
      </c>
      <c r="K144" s="420" t="s">
        <v>43</v>
      </c>
      <c r="L144" s="420" t="s">
        <v>43</v>
      </c>
      <c r="M144" s="420" t="s">
        <v>44</v>
      </c>
      <c r="N144" s="420">
        <v>24.205417000000001</v>
      </c>
      <c r="O144" s="420">
        <v>97.724566999999993</v>
      </c>
      <c r="P144" s="420" t="s">
        <v>573</v>
      </c>
      <c r="Q144" s="420" t="s">
        <v>591</v>
      </c>
      <c r="R144" s="432">
        <v>81</v>
      </c>
      <c r="S144" s="425">
        <v>451</v>
      </c>
      <c r="T144" s="437"/>
      <c r="U144" s="426"/>
      <c r="V144" s="420" t="s">
        <v>282</v>
      </c>
      <c r="W144" s="420"/>
      <c r="X144" s="423"/>
    </row>
    <row r="145" spans="1:24" s="68" customFormat="1" ht="14.25" customHeight="1">
      <c r="A145" s="420" t="s">
        <v>37</v>
      </c>
      <c r="B145" s="420" t="s">
        <v>205</v>
      </c>
      <c r="C145" s="420" t="s">
        <v>828</v>
      </c>
      <c r="D145" s="383" t="s">
        <v>1294</v>
      </c>
      <c r="E145" s="420"/>
      <c r="F145" s="420"/>
      <c r="G145" s="420"/>
      <c r="H145" s="420"/>
      <c r="I145" s="420"/>
      <c r="J145" s="420" t="s">
        <v>43</v>
      </c>
      <c r="K145" s="420" t="s">
        <v>43</v>
      </c>
      <c r="L145" s="420" t="s">
        <v>810</v>
      </c>
      <c r="M145" s="420" t="s">
        <v>44</v>
      </c>
      <c r="N145" s="420"/>
      <c r="O145" s="420"/>
      <c r="P145" s="420" t="s">
        <v>573</v>
      </c>
      <c r="Q145" s="420"/>
      <c r="R145" s="424"/>
      <c r="S145" s="425"/>
      <c r="T145" s="437"/>
      <c r="U145" s="426"/>
      <c r="V145" s="420" t="s">
        <v>829</v>
      </c>
      <c r="W145" s="420"/>
      <c r="X145" s="383"/>
    </row>
    <row r="146" spans="1:24" s="68" customFormat="1" ht="14.25" customHeight="1">
      <c r="A146" s="420" t="s">
        <v>37</v>
      </c>
      <c r="B146" s="420" t="s">
        <v>205</v>
      </c>
      <c r="C146" s="420" t="s">
        <v>830</v>
      </c>
      <c r="D146" s="383" t="s">
        <v>1294</v>
      </c>
      <c r="E146" s="420"/>
      <c r="F146" s="420"/>
      <c r="G146" s="420"/>
      <c r="H146" s="420"/>
      <c r="I146" s="420"/>
      <c r="J146" s="420" t="s">
        <v>43</v>
      </c>
      <c r="K146" s="420" t="s">
        <v>43</v>
      </c>
      <c r="L146" s="420" t="s">
        <v>810</v>
      </c>
      <c r="M146" s="420" t="s">
        <v>44</v>
      </c>
      <c r="N146" s="420"/>
      <c r="O146" s="420"/>
      <c r="P146" s="420" t="s">
        <v>573</v>
      </c>
      <c r="Q146" s="420"/>
      <c r="R146" s="424"/>
      <c r="S146" s="424"/>
      <c r="T146" s="437"/>
      <c r="U146" s="426"/>
      <c r="V146" s="420" t="s">
        <v>831</v>
      </c>
      <c r="W146" s="420"/>
      <c r="X146" s="383"/>
    </row>
    <row r="147" spans="1:24" s="68" customFormat="1" ht="14.25" customHeight="1">
      <c r="A147" s="420" t="s">
        <v>37</v>
      </c>
      <c r="B147" s="420" t="s">
        <v>205</v>
      </c>
      <c r="C147" s="420" t="s">
        <v>832</v>
      </c>
      <c r="D147" s="383" t="s">
        <v>1294</v>
      </c>
      <c r="E147" s="420"/>
      <c r="F147" s="420"/>
      <c r="G147" s="420"/>
      <c r="H147" s="420"/>
      <c r="I147" s="420"/>
      <c r="J147" s="420" t="s">
        <v>43</v>
      </c>
      <c r="K147" s="420" t="s">
        <v>43</v>
      </c>
      <c r="L147" s="420" t="s">
        <v>810</v>
      </c>
      <c r="M147" s="420" t="s">
        <v>44</v>
      </c>
      <c r="N147" s="420"/>
      <c r="O147" s="420"/>
      <c r="P147" s="420" t="s">
        <v>573</v>
      </c>
      <c r="Q147" s="420"/>
      <c r="R147" s="424"/>
      <c r="S147" s="425"/>
      <c r="T147" s="437"/>
      <c r="U147" s="426"/>
      <c r="V147" s="420" t="s">
        <v>833</v>
      </c>
      <c r="W147" s="420"/>
      <c r="X147" s="383"/>
    </row>
    <row r="148" spans="1:24" s="68" customFormat="1" ht="14.25" customHeight="1">
      <c r="A148" s="420" t="s">
        <v>37</v>
      </c>
      <c r="B148" s="422" t="s">
        <v>205</v>
      </c>
      <c r="C148" s="475" t="s">
        <v>283</v>
      </c>
      <c r="D148" s="423" t="s">
        <v>3235</v>
      </c>
      <c r="E148" s="476" t="s">
        <v>1109</v>
      </c>
      <c r="F148" s="440" t="s">
        <v>1380</v>
      </c>
      <c r="G148" s="440" t="s">
        <v>1381</v>
      </c>
      <c r="H148" s="420" t="s">
        <v>41</v>
      </c>
      <c r="I148" s="420" t="s">
        <v>2111</v>
      </c>
      <c r="J148" s="420" t="s">
        <v>43</v>
      </c>
      <c r="K148" s="420" t="s">
        <v>43</v>
      </c>
      <c r="L148" s="420" t="s">
        <v>43</v>
      </c>
      <c r="M148" s="420" t="s">
        <v>44</v>
      </c>
      <c r="N148" s="420">
        <v>24.200433</v>
      </c>
      <c r="O148" s="420">
        <v>97.717133000000004</v>
      </c>
      <c r="P148" s="420" t="s">
        <v>573</v>
      </c>
      <c r="Q148" s="420" t="s">
        <v>591</v>
      </c>
      <c r="R148" s="432">
        <v>243</v>
      </c>
      <c r="S148" s="425">
        <v>1420</v>
      </c>
      <c r="T148" s="437"/>
      <c r="U148" s="474"/>
      <c r="V148" s="420" t="s">
        <v>283</v>
      </c>
      <c r="W148" s="420"/>
      <c r="X148" s="423"/>
    </row>
    <row r="149" spans="1:24" s="68" customFormat="1" ht="14.25" customHeight="1">
      <c r="A149" s="420" t="s">
        <v>37</v>
      </c>
      <c r="B149" s="420" t="s">
        <v>205</v>
      </c>
      <c r="C149" s="420" t="s">
        <v>834</v>
      </c>
      <c r="D149" s="383" t="s">
        <v>2241</v>
      </c>
      <c r="E149" s="420"/>
      <c r="F149" s="420"/>
      <c r="G149" s="420"/>
      <c r="H149" s="420"/>
      <c r="I149" s="420"/>
      <c r="J149" s="420" t="s">
        <v>821</v>
      </c>
      <c r="K149" s="420" t="s">
        <v>43</v>
      </c>
      <c r="L149" s="420" t="s">
        <v>821</v>
      </c>
      <c r="M149" s="420" t="s">
        <v>44</v>
      </c>
      <c r="N149" s="420"/>
      <c r="O149" s="420"/>
      <c r="P149" s="420" t="s">
        <v>573</v>
      </c>
      <c r="Q149" s="420"/>
      <c r="R149" s="424"/>
      <c r="S149" s="425"/>
      <c r="T149" s="437"/>
      <c r="U149" s="426"/>
      <c r="V149" s="420" t="s">
        <v>834</v>
      </c>
      <c r="W149" s="420"/>
      <c r="X149" s="383"/>
    </row>
    <row r="150" spans="1:24" s="68" customFormat="1" ht="14.25" customHeight="1">
      <c r="A150" s="420" t="s">
        <v>37</v>
      </c>
      <c r="B150" s="420" t="s">
        <v>205</v>
      </c>
      <c r="C150" s="420" t="s">
        <v>2166</v>
      </c>
      <c r="D150" s="423" t="s">
        <v>2702</v>
      </c>
      <c r="E150" s="420" t="s">
        <v>2167</v>
      </c>
      <c r="F150" s="420" t="s">
        <v>205</v>
      </c>
      <c r="G150" s="420" t="s">
        <v>2168</v>
      </c>
      <c r="H150" s="420"/>
      <c r="I150" s="420" t="s">
        <v>1614</v>
      </c>
      <c r="J150" s="420" t="s">
        <v>43</v>
      </c>
      <c r="K150" s="420" t="s">
        <v>43</v>
      </c>
      <c r="L150" s="420" t="s">
        <v>572</v>
      </c>
      <c r="M150" s="420" t="s">
        <v>44</v>
      </c>
      <c r="N150" s="420">
        <v>24.721878</v>
      </c>
      <c r="O150" s="420">
        <v>97.721878000000004</v>
      </c>
      <c r="P150" s="420" t="s">
        <v>573</v>
      </c>
      <c r="Q150" s="420"/>
      <c r="R150" s="432">
        <v>0</v>
      </c>
      <c r="S150" s="425">
        <v>36</v>
      </c>
      <c r="T150" s="437">
        <v>43717</v>
      </c>
      <c r="U150" s="426"/>
      <c r="V150" s="420"/>
      <c r="W150" s="358" t="s">
        <v>2165</v>
      </c>
      <c r="X150" s="423"/>
    </row>
    <row r="151" spans="1:24" s="68" customFormat="1" ht="14.25" customHeight="1">
      <c r="A151" s="420" t="s">
        <v>37</v>
      </c>
      <c r="B151" s="420" t="s">
        <v>205</v>
      </c>
      <c r="C151" s="420" t="s">
        <v>288</v>
      </c>
      <c r="D151" s="383"/>
      <c r="E151" s="420"/>
      <c r="F151" s="420"/>
      <c r="G151" s="420"/>
      <c r="H151" s="420"/>
      <c r="I151" s="420"/>
      <c r="J151" s="420" t="s">
        <v>1094</v>
      </c>
      <c r="K151" s="420" t="s">
        <v>43</v>
      </c>
      <c r="L151" s="420" t="s">
        <v>821</v>
      </c>
      <c r="M151" s="420" t="s">
        <v>44</v>
      </c>
      <c r="N151" s="420"/>
      <c r="O151" s="420"/>
      <c r="P151" s="420" t="s">
        <v>573</v>
      </c>
      <c r="Q151" s="420" t="s">
        <v>574</v>
      </c>
      <c r="R151" s="424"/>
      <c r="S151" s="424"/>
      <c r="T151" s="437">
        <v>42849</v>
      </c>
      <c r="U151" s="426"/>
      <c r="V151" s="420"/>
      <c r="W151" s="420"/>
      <c r="X151" s="383"/>
    </row>
    <row r="152" spans="1:24" s="68" customFormat="1" ht="14.25" customHeight="1">
      <c r="A152" s="420" t="s">
        <v>37</v>
      </c>
      <c r="B152" s="420" t="s">
        <v>205</v>
      </c>
      <c r="C152" s="420" t="s">
        <v>743</v>
      </c>
      <c r="D152" s="383" t="s">
        <v>1295</v>
      </c>
      <c r="E152" s="420" t="s">
        <v>1139</v>
      </c>
      <c r="F152" s="420" t="s">
        <v>1330</v>
      </c>
      <c r="G152" s="420" t="s">
        <v>1330</v>
      </c>
      <c r="H152" s="420"/>
      <c r="I152" s="420">
        <v>0</v>
      </c>
      <c r="J152" s="420" t="s">
        <v>43</v>
      </c>
      <c r="K152" s="420" t="s">
        <v>43</v>
      </c>
      <c r="L152" s="420" t="s">
        <v>572</v>
      </c>
      <c r="M152" s="420" t="s">
        <v>44</v>
      </c>
      <c r="N152" s="420">
        <v>24.441697000000001</v>
      </c>
      <c r="O152" s="420">
        <v>97.409474000000003</v>
      </c>
      <c r="P152" s="420" t="s">
        <v>584</v>
      </c>
      <c r="Q152" s="420" t="s">
        <v>574</v>
      </c>
      <c r="R152" s="424">
        <v>0</v>
      </c>
      <c r="S152" s="425">
        <v>0</v>
      </c>
      <c r="T152" s="437">
        <v>42983</v>
      </c>
      <c r="U152" s="426" t="s">
        <v>744</v>
      </c>
      <c r="V152" s="420" t="s">
        <v>743</v>
      </c>
      <c r="W152" s="420" t="s">
        <v>1647</v>
      </c>
      <c r="X152" s="383"/>
    </row>
    <row r="153" spans="1:24" s="68" customFormat="1" ht="14.25" customHeight="1">
      <c r="A153" s="420" t="s">
        <v>37</v>
      </c>
      <c r="B153" s="420" t="s">
        <v>205</v>
      </c>
      <c r="C153" s="420" t="s">
        <v>210</v>
      </c>
      <c r="D153" s="423" t="s">
        <v>3235</v>
      </c>
      <c r="E153" s="420" t="s">
        <v>1117</v>
      </c>
      <c r="F153" s="420" t="s">
        <v>1386</v>
      </c>
      <c r="G153" s="420" t="s">
        <v>1386</v>
      </c>
      <c r="H153" s="420" t="s">
        <v>41</v>
      </c>
      <c r="I153" s="420" t="s">
        <v>42</v>
      </c>
      <c r="J153" s="420" t="s">
        <v>43</v>
      </c>
      <c r="K153" s="420" t="s">
        <v>43</v>
      </c>
      <c r="L153" s="420" t="s">
        <v>43</v>
      </c>
      <c r="M153" s="420" t="s">
        <v>44</v>
      </c>
      <c r="N153" s="420">
        <v>24.245100000000001</v>
      </c>
      <c r="O153" s="420">
        <v>97.325019999999995</v>
      </c>
      <c r="P153" s="420" t="s">
        <v>573</v>
      </c>
      <c r="Q153" s="420" t="s">
        <v>591</v>
      </c>
      <c r="R153" s="432">
        <v>93</v>
      </c>
      <c r="S153" s="425">
        <v>441</v>
      </c>
      <c r="T153" s="437"/>
      <c r="U153" s="426"/>
      <c r="V153" s="420" t="s">
        <v>210</v>
      </c>
      <c r="W153" s="420"/>
      <c r="X153" s="423"/>
    </row>
    <row r="154" spans="1:24" s="68" customFormat="1" ht="14.25" customHeight="1">
      <c r="A154" s="420" t="s">
        <v>37</v>
      </c>
      <c r="B154" s="420" t="s">
        <v>205</v>
      </c>
      <c r="C154" s="420" t="s">
        <v>287</v>
      </c>
      <c r="D154" s="383"/>
      <c r="E154" s="420"/>
      <c r="F154" s="420"/>
      <c r="G154" s="420"/>
      <c r="H154" s="420"/>
      <c r="I154" s="420"/>
      <c r="J154" s="420" t="s">
        <v>1094</v>
      </c>
      <c r="K154" s="420" t="s">
        <v>43</v>
      </c>
      <c r="L154" s="420" t="s">
        <v>43</v>
      </c>
      <c r="M154" s="420" t="s">
        <v>44</v>
      </c>
      <c r="N154" s="420"/>
      <c r="O154" s="420"/>
      <c r="P154" s="420" t="s">
        <v>573</v>
      </c>
      <c r="Q154" s="420" t="s">
        <v>591</v>
      </c>
      <c r="R154" s="424"/>
      <c r="S154" s="425"/>
      <c r="T154" s="437"/>
      <c r="U154" s="426" t="s">
        <v>813</v>
      </c>
      <c r="V154" s="420" t="s">
        <v>287</v>
      </c>
      <c r="W154" s="358"/>
      <c r="X154" s="383"/>
    </row>
    <row r="155" spans="1:24" s="68" customFormat="1" ht="14.25" customHeight="1">
      <c r="A155" s="420" t="s">
        <v>37</v>
      </c>
      <c r="B155" s="420" t="s">
        <v>205</v>
      </c>
      <c r="C155" s="420" t="s">
        <v>741</v>
      </c>
      <c r="D155" s="383" t="s">
        <v>1295</v>
      </c>
      <c r="E155" s="420" t="s">
        <v>1138</v>
      </c>
      <c r="F155" s="420" t="s">
        <v>1329</v>
      </c>
      <c r="G155" s="420" t="s">
        <v>1329</v>
      </c>
      <c r="H155" s="420"/>
      <c r="I155" s="420">
        <v>0</v>
      </c>
      <c r="J155" s="420" t="s">
        <v>43</v>
      </c>
      <c r="K155" s="420" t="s">
        <v>43</v>
      </c>
      <c r="L155" s="420" t="s">
        <v>572</v>
      </c>
      <c r="M155" s="420" t="s">
        <v>44</v>
      </c>
      <c r="N155" s="420">
        <v>24.410008999999999</v>
      </c>
      <c r="O155" s="420">
        <v>97.321659999999994</v>
      </c>
      <c r="P155" s="420" t="s">
        <v>584</v>
      </c>
      <c r="Q155" s="420" t="s">
        <v>574</v>
      </c>
      <c r="R155" s="424">
        <v>0</v>
      </c>
      <c r="S155" s="425">
        <v>0</v>
      </c>
      <c r="T155" s="437">
        <v>42983</v>
      </c>
      <c r="U155" s="426" t="s">
        <v>742</v>
      </c>
      <c r="V155" s="420" t="s">
        <v>741</v>
      </c>
      <c r="W155" s="358" t="s">
        <v>1648</v>
      </c>
      <c r="X155" s="383"/>
    </row>
    <row r="156" spans="1:24" s="68" customFormat="1" ht="14.25" customHeight="1">
      <c r="A156" s="420" t="s">
        <v>37</v>
      </c>
      <c r="B156" s="420" t="s">
        <v>205</v>
      </c>
      <c r="C156" s="420" t="s">
        <v>753</v>
      </c>
      <c r="D156" s="383" t="s">
        <v>1295</v>
      </c>
      <c r="E156" s="420" t="s">
        <v>1149</v>
      </c>
      <c r="F156" s="420" t="s">
        <v>1337</v>
      </c>
      <c r="G156" s="420" t="s">
        <v>1338</v>
      </c>
      <c r="H156" s="420"/>
      <c r="I156" s="420">
        <v>0</v>
      </c>
      <c r="J156" s="420" t="s">
        <v>43</v>
      </c>
      <c r="K156" s="420" t="s">
        <v>43</v>
      </c>
      <c r="L156" s="420" t="s">
        <v>572</v>
      </c>
      <c r="M156" s="420" t="s">
        <v>44</v>
      </c>
      <c r="N156" s="420">
        <v>24.759551999999999</v>
      </c>
      <c r="O156" s="420">
        <v>97.276591999999994</v>
      </c>
      <c r="P156" s="420" t="s">
        <v>584</v>
      </c>
      <c r="Q156" s="420" t="s">
        <v>574</v>
      </c>
      <c r="R156" s="424">
        <v>0</v>
      </c>
      <c r="S156" s="424">
        <v>0</v>
      </c>
      <c r="T156" s="437">
        <v>42983</v>
      </c>
      <c r="U156" s="426" t="s">
        <v>754</v>
      </c>
      <c r="V156" s="420" t="s">
        <v>753</v>
      </c>
      <c r="W156" s="420" t="s">
        <v>1649</v>
      </c>
      <c r="X156" s="383"/>
    </row>
    <row r="157" spans="1:24" s="68" customFormat="1" ht="14.25" customHeight="1">
      <c r="A157" s="420" t="s">
        <v>37</v>
      </c>
      <c r="B157" s="420" t="s">
        <v>205</v>
      </c>
      <c r="C157" s="420" t="s">
        <v>211</v>
      </c>
      <c r="D157" s="383" t="s">
        <v>1295</v>
      </c>
      <c r="E157" s="420" t="s">
        <v>1123</v>
      </c>
      <c r="F157" s="420" t="s">
        <v>1302</v>
      </c>
      <c r="G157" s="420" t="s">
        <v>1303</v>
      </c>
      <c r="H157" s="420"/>
      <c r="I157" s="420">
        <v>0</v>
      </c>
      <c r="J157" s="420" t="s">
        <v>43</v>
      </c>
      <c r="K157" s="420" t="s">
        <v>43</v>
      </c>
      <c r="L157" s="420" t="s">
        <v>43</v>
      </c>
      <c r="M157" s="420" t="s">
        <v>44</v>
      </c>
      <c r="N157" s="420">
        <v>24.251860000000001</v>
      </c>
      <c r="O157" s="420">
        <v>97.346940000000004</v>
      </c>
      <c r="P157" s="420" t="s">
        <v>573</v>
      </c>
      <c r="Q157" s="420" t="s">
        <v>591</v>
      </c>
      <c r="R157" s="424">
        <v>0</v>
      </c>
      <c r="S157" s="425">
        <v>0</v>
      </c>
      <c r="T157" s="437"/>
      <c r="U157" s="426" t="s">
        <v>724</v>
      </c>
      <c r="V157" s="420" t="s">
        <v>211</v>
      </c>
      <c r="W157" s="420" t="s">
        <v>1650</v>
      </c>
      <c r="X157" s="383"/>
    </row>
    <row r="158" spans="1:24" s="68" customFormat="1" ht="14.25" customHeight="1">
      <c r="A158" s="429" t="s">
        <v>37</v>
      </c>
      <c r="B158" s="428" t="s">
        <v>205</v>
      </c>
      <c r="C158" s="422" t="s">
        <v>213</v>
      </c>
      <c r="D158" s="423" t="s">
        <v>3235</v>
      </c>
      <c r="E158" s="420" t="s">
        <v>1120</v>
      </c>
      <c r="F158" s="420" t="s">
        <v>1302</v>
      </c>
      <c r="G158" s="420" t="s">
        <v>1303</v>
      </c>
      <c r="H158" s="420" t="s">
        <v>41</v>
      </c>
      <c r="I158" s="420" t="s">
        <v>2111</v>
      </c>
      <c r="J158" s="420" t="s">
        <v>43</v>
      </c>
      <c r="K158" s="420" t="s">
        <v>43</v>
      </c>
      <c r="L158" s="420" t="s">
        <v>43</v>
      </c>
      <c r="M158" s="420" t="s">
        <v>44</v>
      </c>
      <c r="N158" s="420">
        <v>24.250689999999999</v>
      </c>
      <c r="O158" s="420">
        <v>97.344359999999995</v>
      </c>
      <c r="P158" s="420" t="s">
        <v>573</v>
      </c>
      <c r="Q158" s="420" t="s">
        <v>591</v>
      </c>
      <c r="R158" s="432">
        <v>416</v>
      </c>
      <c r="S158" s="425">
        <v>1936</v>
      </c>
      <c r="T158" s="437"/>
      <c r="U158" s="426"/>
      <c r="V158" s="420" t="s">
        <v>213</v>
      </c>
      <c r="W158" s="420"/>
      <c r="X158" s="423"/>
    </row>
    <row r="159" spans="1:24" s="68" customFormat="1" ht="14.25" customHeight="1">
      <c r="A159" s="420" t="s">
        <v>37</v>
      </c>
      <c r="B159" s="420" t="s">
        <v>205</v>
      </c>
      <c r="C159" s="420" t="s">
        <v>731</v>
      </c>
      <c r="D159" s="383" t="s">
        <v>1295</v>
      </c>
      <c r="E159" s="420" t="s">
        <v>1122</v>
      </c>
      <c r="F159" s="420" t="s">
        <v>1302</v>
      </c>
      <c r="G159" s="420" t="s">
        <v>1328</v>
      </c>
      <c r="H159" s="420" t="s">
        <v>41</v>
      </c>
      <c r="I159" s="420" t="s">
        <v>42</v>
      </c>
      <c r="J159" s="420" t="s">
        <v>43</v>
      </c>
      <c r="K159" s="420" t="s">
        <v>43</v>
      </c>
      <c r="L159" s="420" t="s">
        <v>572</v>
      </c>
      <c r="M159" s="420" t="s">
        <v>44</v>
      </c>
      <c r="N159" s="420">
        <v>24.25177</v>
      </c>
      <c r="O159" s="420">
        <v>97.346950000000007</v>
      </c>
      <c r="P159" s="420" t="s">
        <v>573</v>
      </c>
      <c r="Q159" s="420"/>
      <c r="R159" s="424">
        <v>0</v>
      </c>
      <c r="S159" s="424">
        <v>0</v>
      </c>
      <c r="T159" s="437"/>
      <c r="U159" s="426"/>
      <c r="V159" s="420" t="s">
        <v>731</v>
      </c>
      <c r="W159" s="420" t="s">
        <v>1651</v>
      </c>
      <c r="X159" s="383"/>
    </row>
    <row r="160" spans="1:24" s="68" customFormat="1" ht="14.25" customHeight="1">
      <c r="A160" s="420" t="s">
        <v>37</v>
      </c>
      <c r="B160" s="420" t="s">
        <v>205</v>
      </c>
      <c r="C160" s="420" t="s">
        <v>1529</v>
      </c>
      <c r="D160" s="383"/>
      <c r="E160" s="420"/>
      <c r="F160" s="420"/>
      <c r="G160" s="420"/>
      <c r="H160" s="420"/>
      <c r="I160" s="420"/>
      <c r="J160" s="420" t="s">
        <v>1094</v>
      </c>
      <c r="K160" s="420" t="s">
        <v>43</v>
      </c>
      <c r="L160" s="420" t="s">
        <v>43</v>
      </c>
      <c r="M160" s="420" t="s">
        <v>44</v>
      </c>
      <c r="N160" s="420"/>
      <c r="O160" s="420"/>
      <c r="P160" s="420" t="s">
        <v>573</v>
      </c>
      <c r="Q160" s="420" t="s">
        <v>1525</v>
      </c>
      <c r="R160" s="424"/>
      <c r="S160" s="424"/>
      <c r="T160" s="437">
        <v>43270</v>
      </c>
      <c r="U160" s="426"/>
      <c r="V160" s="420"/>
      <c r="W160" s="420"/>
      <c r="X160" s="383"/>
    </row>
    <row r="161" spans="1:24" s="68" customFormat="1" ht="14.25" customHeight="1">
      <c r="A161" s="420" t="s">
        <v>37</v>
      </c>
      <c r="B161" s="420" t="s">
        <v>205</v>
      </c>
      <c r="C161" s="420" t="s">
        <v>2872</v>
      </c>
      <c r="D161" s="423" t="s">
        <v>3235</v>
      </c>
      <c r="E161" s="420" t="s">
        <v>1121</v>
      </c>
      <c r="F161" s="420"/>
      <c r="G161" s="420"/>
      <c r="H161" s="420"/>
      <c r="I161" s="420" t="s">
        <v>1614</v>
      </c>
      <c r="J161" s="420" t="s">
        <v>43</v>
      </c>
      <c r="K161" s="420" t="s">
        <v>43</v>
      </c>
      <c r="L161" s="420" t="s">
        <v>2576</v>
      </c>
      <c r="M161" s="420" t="s">
        <v>44</v>
      </c>
      <c r="N161" s="420">
        <v>24.251232000000002</v>
      </c>
      <c r="O161" s="420">
        <v>97.348405</v>
      </c>
      <c r="P161" s="420" t="s">
        <v>584</v>
      </c>
      <c r="Q161" s="420" t="s">
        <v>574</v>
      </c>
      <c r="R161" s="432">
        <v>112</v>
      </c>
      <c r="S161" s="425">
        <v>567</v>
      </c>
      <c r="T161" s="437"/>
      <c r="U161" s="426" t="s">
        <v>721</v>
      </c>
      <c r="V161" s="420" t="s">
        <v>729</v>
      </c>
      <c r="W161" s="420"/>
      <c r="X161" s="423"/>
    </row>
    <row r="162" spans="1:24" s="68" customFormat="1" ht="14.25" customHeight="1">
      <c r="A162" s="420" t="s">
        <v>37</v>
      </c>
      <c r="B162" s="420" t="s">
        <v>205</v>
      </c>
      <c r="C162" s="420" t="s">
        <v>2869</v>
      </c>
      <c r="D162" s="423" t="s">
        <v>3235</v>
      </c>
      <c r="E162" s="420" t="s">
        <v>1137</v>
      </c>
      <c r="F162" s="420" t="s">
        <v>1456</v>
      </c>
      <c r="G162" s="420" t="s">
        <v>1456</v>
      </c>
      <c r="H162" s="420"/>
      <c r="I162" s="420" t="s">
        <v>1614</v>
      </c>
      <c r="J162" s="420" t="s">
        <v>43</v>
      </c>
      <c r="K162" s="420" t="s">
        <v>43</v>
      </c>
      <c r="L162" s="420" t="s">
        <v>2576</v>
      </c>
      <c r="M162" s="420" t="s">
        <v>44</v>
      </c>
      <c r="N162" s="420">
        <v>24.404876999999999</v>
      </c>
      <c r="O162" s="420">
        <v>97.407787999999996</v>
      </c>
      <c r="P162" s="420" t="s">
        <v>584</v>
      </c>
      <c r="Q162" s="420" t="s">
        <v>574</v>
      </c>
      <c r="R162" s="432">
        <v>15</v>
      </c>
      <c r="S162" s="425">
        <v>101</v>
      </c>
      <c r="T162" s="437"/>
      <c r="U162" s="426" t="s">
        <v>740</v>
      </c>
      <c r="V162" s="420" t="s">
        <v>739</v>
      </c>
      <c r="W162" s="358"/>
      <c r="X162" s="423"/>
    </row>
    <row r="163" spans="1:24" s="68" customFormat="1" ht="14.25" customHeight="1">
      <c r="A163" s="420" t="s">
        <v>37</v>
      </c>
      <c r="B163" s="420" t="s">
        <v>205</v>
      </c>
      <c r="C163" s="420" t="s">
        <v>295</v>
      </c>
      <c r="D163" s="423" t="s">
        <v>3235</v>
      </c>
      <c r="E163" s="420" t="s">
        <v>1136</v>
      </c>
      <c r="F163" s="420" t="s">
        <v>1395</v>
      </c>
      <c r="G163" s="420" t="s">
        <v>1396</v>
      </c>
      <c r="H163" s="420" t="s">
        <v>41</v>
      </c>
      <c r="I163" s="420" t="s">
        <v>42</v>
      </c>
      <c r="J163" s="420" t="s">
        <v>43</v>
      </c>
      <c r="K163" s="420" t="s">
        <v>43</v>
      </c>
      <c r="L163" s="420" t="s">
        <v>43</v>
      </c>
      <c r="M163" s="420" t="s">
        <v>589</v>
      </c>
      <c r="N163" s="420">
        <v>24.378167000000001</v>
      </c>
      <c r="O163" s="420">
        <v>97.669366999999994</v>
      </c>
      <c r="P163" s="420" t="s">
        <v>573</v>
      </c>
      <c r="Q163" s="420" t="s">
        <v>574</v>
      </c>
      <c r="R163" s="432">
        <v>350</v>
      </c>
      <c r="S163" s="425">
        <v>1593</v>
      </c>
      <c r="T163" s="437"/>
      <c r="U163" s="426"/>
      <c r="V163" s="420" t="s">
        <v>295</v>
      </c>
      <c r="W163" s="420"/>
      <c r="X163" s="423"/>
    </row>
    <row r="164" spans="1:24" s="68" customFormat="1" ht="14.25" customHeight="1">
      <c r="A164" s="420" t="s">
        <v>37</v>
      </c>
      <c r="B164" s="420" t="s">
        <v>205</v>
      </c>
      <c r="C164" s="420" t="s">
        <v>732</v>
      </c>
      <c r="D164" s="383" t="s">
        <v>1295</v>
      </c>
      <c r="E164" s="420" t="s">
        <v>1125</v>
      </c>
      <c r="F164" s="420" t="s">
        <v>1302</v>
      </c>
      <c r="G164" s="420" t="s">
        <v>1303</v>
      </c>
      <c r="H164" s="420" t="s">
        <v>41</v>
      </c>
      <c r="I164" s="420" t="s">
        <v>242</v>
      </c>
      <c r="J164" s="420" t="s">
        <v>43</v>
      </c>
      <c r="K164" s="420" t="s">
        <v>43</v>
      </c>
      <c r="L164" s="420" t="s">
        <v>572</v>
      </c>
      <c r="M164" s="420" t="s">
        <v>44</v>
      </c>
      <c r="N164" s="420">
        <v>24.253769999999999</v>
      </c>
      <c r="O164" s="420">
        <v>97.347740000000002</v>
      </c>
      <c r="P164" s="420" t="s">
        <v>573</v>
      </c>
      <c r="Q164" s="420"/>
      <c r="R164" s="424">
        <v>0</v>
      </c>
      <c r="S164" s="424">
        <v>0</v>
      </c>
      <c r="T164" s="437"/>
      <c r="U164" s="426"/>
      <c r="V164" s="420" t="s">
        <v>732</v>
      </c>
      <c r="W164" s="420" t="s">
        <v>1652</v>
      </c>
      <c r="X164" s="383"/>
    </row>
    <row r="165" spans="1:24" s="68" customFormat="1" ht="14.25" customHeight="1">
      <c r="A165" s="420" t="s">
        <v>37</v>
      </c>
      <c r="B165" s="420" t="s">
        <v>205</v>
      </c>
      <c r="C165" s="420" t="s">
        <v>284</v>
      </c>
      <c r="D165" s="423" t="s">
        <v>3235</v>
      </c>
      <c r="E165" s="420" t="s">
        <v>1112</v>
      </c>
      <c r="F165" s="420" t="s">
        <v>1380</v>
      </c>
      <c r="G165" s="420" t="s">
        <v>1381</v>
      </c>
      <c r="H165" s="420" t="s">
        <v>41</v>
      </c>
      <c r="I165" s="420" t="s">
        <v>2111</v>
      </c>
      <c r="J165" s="420" t="s">
        <v>43</v>
      </c>
      <c r="K165" s="420" t="s">
        <v>43</v>
      </c>
      <c r="L165" s="420" t="s">
        <v>43</v>
      </c>
      <c r="M165" s="420" t="s">
        <v>44</v>
      </c>
      <c r="N165" s="420">
        <v>24.205417000000001</v>
      </c>
      <c r="O165" s="420">
        <v>97.724483000000006</v>
      </c>
      <c r="P165" s="420" t="s">
        <v>573</v>
      </c>
      <c r="Q165" s="420" t="s">
        <v>591</v>
      </c>
      <c r="R165" s="432">
        <v>48</v>
      </c>
      <c r="S165" s="425">
        <v>293</v>
      </c>
      <c r="T165" s="437"/>
      <c r="U165" s="426"/>
      <c r="V165" s="420" t="s">
        <v>284</v>
      </c>
      <c r="W165" s="420"/>
      <c r="X165" s="423"/>
    </row>
    <row r="166" spans="1:24" s="68" customFormat="1" ht="14.25" customHeight="1">
      <c r="A166" s="420" t="s">
        <v>37</v>
      </c>
      <c r="B166" s="420" t="s">
        <v>205</v>
      </c>
      <c r="C166" s="420" t="s">
        <v>296</v>
      </c>
      <c r="D166" s="423" t="s">
        <v>3235</v>
      </c>
      <c r="E166" s="420" t="s">
        <v>1132</v>
      </c>
      <c r="F166" s="420" t="s">
        <v>1392</v>
      </c>
      <c r="G166" s="420" t="s">
        <v>1393</v>
      </c>
      <c r="H166" s="420" t="s">
        <v>41</v>
      </c>
      <c r="I166" s="420" t="s">
        <v>42</v>
      </c>
      <c r="J166" s="420" t="s">
        <v>43</v>
      </c>
      <c r="K166" s="420" t="s">
        <v>43</v>
      </c>
      <c r="L166" s="420" t="s">
        <v>43</v>
      </c>
      <c r="M166" s="420" t="s">
        <v>589</v>
      </c>
      <c r="N166" s="420">
        <v>24.2744</v>
      </c>
      <c r="O166" s="420">
        <v>97.752667000000002</v>
      </c>
      <c r="P166" s="420" t="s">
        <v>573</v>
      </c>
      <c r="Q166" s="420" t="s">
        <v>574</v>
      </c>
      <c r="R166" s="432">
        <v>614</v>
      </c>
      <c r="S166" s="425">
        <v>3654</v>
      </c>
      <c r="T166" s="437"/>
      <c r="U166" s="426"/>
      <c r="V166" s="420" t="s">
        <v>296</v>
      </c>
      <c r="W166" s="420"/>
      <c r="X166" s="423"/>
    </row>
    <row r="167" spans="1:24" s="68" customFormat="1" ht="14.25" customHeight="1">
      <c r="A167" s="420" t="s">
        <v>37</v>
      </c>
      <c r="B167" s="420" t="s">
        <v>205</v>
      </c>
      <c r="C167" s="420" t="s">
        <v>849</v>
      </c>
      <c r="D167" s="383" t="s">
        <v>1294</v>
      </c>
      <c r="E167" s="420"/>
      <c r="F167" s="420"/>
      <c r="G167" s="420"/>
      <c r="H167" s="420"/>
      <c r="I167" s="420"/>
      <c r="J167" s="420" t="s">
        <v>43</v>
      </c>
      <c r="K167" s="420" t="s">
        <v>43</v>
      </c>
      <c r="L167" s="420" t="s">
        <v>810</v>
      </c>
      <c r="M167" s="420" t="s">
        <v>589</v>
      </c>
      <c r="N167" s="420"/>
      <c r="O167" s="420"/>
      <c r="P167" s="420" t="s">
        <v>573</v>
      </c>
      <c r="Q167" s="420"/>
      <c r="R167" s="424"/>
      <c r="S167" s="425"/>
      <c r="T167" s="437"/>
      <c r="U167" s="426"/>
      <c r="V167" s="420" t="s">
        <v>849</v>
      </c>
      <c r="W167" s="420"/>
      <c r="X167" s="383"/>
    </row>
    <row r="168" spans="1:24" s="68" customFormat="1" ht="14.25" customHeight="1">
      <c r="A168" s="422" t="s">
        <v>37</v>
      </c>
      <c r="B168" s="422" t="s">
        <v>205</v>
      </c>
      <c r="C168" s="422" t="s">
        <v>850</v>
      </c>
      <c r="D168" s="383" t="s">
        <v>1294</v>
      </c>
      <c r="E168" s="422"/>
      <c r="F168" s="422"/>
      <c r="G168" s="422"/>
      <c r="H168" s="422"/>
      <c r="I168" s="422"/>
      <c r="J168" s="422" t="s">
        <v>43</v>
      </c>
      <c r="K168" s="422" t="s">
        <v>43</v>
      </c>
      <c r="L168" s="420" t="s">
        <v>810</v>
      </c>
      <c r="M168" s="422" t="s">
        <v>589</v>
      </c>
      <c r="N168" s="422"/>
      <c r="O168" s="422"/>
      <c r="P168" s="420" t="s">
        <v>573</v>
      </c>
      <c r="Q168" s="422"/>
      <c r="R168" s="428"/>
      <c r="S168" s="429"/>
      <c r="T168" s="438"/>
      <c r="U168" s="430"/>
      <c r="V168" s="422" t="s">
        <v>850</v>
      </c>
      <c r="W168" s="420"/>
      <c r="X168" s="383"/>
    </row>
    <row r="169" spans="1:24" s="68" customFormat="1" ht="14.25" customHeight="1">
      <c r="A169" s="420" t="s">
        <v>37</v>
      </c>
      <c r="B169" s="420" t="s">
        <v>205</v>
      </c>
      <c r="C169" s="420" t="s">
        <v>851</v>
      </c>
      <c r="D169" s="383" t="s">
        <v>2241</v>
      </c>
      <c r="E169" s="420"/>
      <c r="F169" s="420"/>
      <c r="G169" s="420"/>
      <c r="H169" s="420"/>
      <c r="I169" s="420"/>
      <c r="J169" s="420" t="s">
        <v>821</v>
      </c>
      <c r="K169" s="420" t="s">
        <v>43</v>
      </c>
      <c r="L169" s="420" t="s">
        <v>821</v>
      </c>
      <c r="M169" s="420" t="s">
        <v>589</v>
      </c>
      <c r="N169" s="420"/>
      <c r="O169" s="420"/>
      <c r="P169" s="420" t="s">
        <v>573</v>
      </c>
      <c r="Q169" s="420"/>
      <c r="R169" s="424"/>
      <c r="S169" s="425"/>
      <c r="T169" s="437"/>
      <c r="U169" s="426"/>
      <c r="V169" s="420" t="s">
        <v>851</v>
      </c>
      <c r="W169" s="420"/>
      <c r="X169" s="383"/>
    </row>
    <row r="170" spans="1:24" s="68" customFormat="1" ht="14.25" customHeight="1">
      <c r="A170" s="420" t="s">
        <v>37</v>
      </c>
      <c r="B170" s="420" t="s">
        <v>205</v>
      </c>
      <c r="C170" s="420" t="s">
        <v>852</v>
      </c>
      <c r="D170" s="383" t="s">
        <v>2241</v>
      </c>
      <c r="E170" s="420"/>
      <c r="F170" s="420"/>
      <c r="G170" s="420"/>
      <c r="H170" s="420"/>
      <c r="I170" s="420"/>
      <c r="J170" s="420" t="s">
        <v>821</v>
      </c>
      <c r="K170" s="420" t="s">
        <v>43</v>
      </c>
      <c r="L170" s="420" t="s">
        <v>821</v>
      </c>
      <c r="M170" s="420" t="s">
        <v>589</v>
      </c>
      <c r="N170" s="420"/>
      <c r="O170" s="420"/>
      <c r="P170" s="420" t="s">
        <v>573</v>
      </c>
      <c r="Q170" s="420"/>
      <c r="R170" s="424"/>
      <c r="S170" s="425"/>
      <c r="T170" s="437"/>
      <c r="U170" s="426"/>
      <c r="V170" s="420" t="s">
        <v>852</v>
      </c>
      <c r="W170" s="420"/>
      <c r="X170" s="383"/>
    </row>
    <row r="171" spans="1:24" s="68" customFormat="1" ht="14.25" customHeight="1">
      <c r="A171" s="420" t="s">
        <v>37</v>
      </c>
      <c r="B171" s="422" t="s">
        <v>205</v>
      </c>
      <c r="C171" s="422" t="s">
        <v>854</v>
      </c>
      <c r="D171" s="383" t="s">
        <v>2241</v>
      </c>
      <c r="E171" s="420"/>
      <c r="F171" s="420"/>
      <c r="G171" s="420"/>
      <c r="H171" s="420"/>
      <c r="I171" s="420"/>
      <c r="J171" s="420" t="s">
        <v>821</v>
      </c>
      <c r="K171" s="420" t="s">
        <v>43</v>
      </c>
      <c r="L171" s="420" t="s">
        <v>821</v>
      </c>
      <c r="M171" s="420" t="s">
        <v>589</v>
      </c>
      <c r="N171" s="420"/>
      <c r="O171" s="420"/>
      <c r="P171" s="420" t="s">
        <v>573</v>
      </c>
      <c r="Q171" s="420"/>
      <c r="R171" s="424"/>
      <c r="S171" s="424"/>
      <c r="T171" s="437"/>
      <c r="U171" s="426"/>
      <c r="V171" s="420" t="s">
        <v>854</v>
      </c>
      <c r="W171" s="420"/>
      <c r="X171" s="383"/>
    </row>
    <row r="172" spans="1:24" s="68" customFormat="1" ht="14.25" customHeight="1">
      <c r="A172" s="420" t="s">
        <v>37</v>
      </c>
      <c r="B172" s="422" t="s">
        <v>205</v>
      </c>
      <c r="C172" s="422" t="s">
        <v>748</v>
      </c>
      <c r="D172" s="383" t="s">
        <v>1295</v>
      </c>
      <c r="E172" s="420" t="s">
        <v>1143</v>
      </c>
      <c r="F172" s="420" t="s">
        <v>1334</v>
      </c>
      <c r="G172" s="420" t="s">
        <v>1335</v>
      </c>
      <c r="H172" s="420"/>
      <c r="I172" s="420">
        <v>0</v>
      </c>
      <c r="J172" s="420" t="s">
        <v>43</v>
      </c>
      <c r="K172" s="420" t="s">
        <v>43</v>
      </c>
      <c r="L172" s="420" t="s">
        <v>572</v>
      </c>
      <c r="M172" s="420" t="s">
        <v>44</v>
      </c>
      <c r="N172" s="420">
        <v>24.630859999999998</v>
      </c>
      <c r="O172" s="420">
        <v>97.429860000000005</v>
      </c>
      <c r="P172" s="420" t="s">
        <v>584</v>
      </c>
      <c r="Q172" s="420" t="s">
        <v>574</v>
      </c>
      <c r="R172" s="424">
        <v>0</v>
      </c>
      <c r="S172" s="425">
        <v>0</v>
      </c>
      <c r="T172" s="437">
        <v>42983</v>
      </c>
      <c r="U172" s="426" t="s">
        <v>749</v>
      </c>
      <c r="V172" s="420" t="s">
        <v>748</v>
      </c>
      <c r="W172" s="358" t="s">
        <v>1653</v>
      </c>
      <c r="X172" s="383"/>
    </row>
    <row r="173" spans="1:24" s="68" customFormat="1" ht="14.25" customHeight="1">
      <c r="A173" s="420" t="s">
        <v>37</v>
      </c>
      <c r="B173" s="420" t="s">
        <v>205</v>
      </c>
      <c r="C173" s="420" t="s">
        <v>286</v>
      </c>
      <c r="D173" s="423" t="s">
        <v>3235</v>
      </c>
      <c r="E173" s="420" t="s">
        <v>1114</v>
      </c>
      <c r="F173" s="420" t="s">
        <v>1380</v>
      </c>
      <c r="G173" s="420" t="s">
        <v>1383</v>
      </c>
      <c r="H173" s="420" t="s">
        <v>41</v>
      </c>
      <c r="I173" s="420" t="s">
        <v>2111</v>
      </c>
      <c r="J173" s="420" t="s">
        <v>43</v>
      </c>
      <c r="K173" s="420" t="s">
        <v>43</v>
      </c>
      <c r="L173" s="420" t="s">
        <v>43</v>
      </c>
      <c r="M173" s="420" t="s">
        <v>44</v>
      </c>
      <c r="N173" s="420">
        <v>24.207332999999998</v>
      </c>
      <c r="O173" s="420">
        <v>97.710864000000001</v>
      </c>
      <c r="P173" s="420" t="s">
        <v>573</v>
      </c>
      <c r="Q173" s="420" t="s">
        <v>591</v>
      </c>
      <c r="R173" s="432">
        <v>52</v>
      </c>
      <c r="S173" s="425">
        <v>299</v>
      </c>
      <c r="T173" s="437"/>
      <c r="U173" s="426"/>
      <c r="V173" s="420" t="s">
        <v>286</v>
      </c>
      <c r="W173" s="420"/>
      <c r="X173" s="423"/>
    </row>
    <row r="174" spans="1:24" s="68" customFormat="1" ht="14.25" customHeight="1">
      <c r="A174" s="425" t="s">
        <v>37</v>
      </c>
      <c r="B174" s="428" t="s">
        <v>205</v>
      </c>
      <c r="C174" s="429" t="s">
        <v>745</v>
      </c>
      <c r="D174" s="423" t="s">
        <v>1295</v>
      </c>
      <c r="E174" s="420" t="s">
        <v>1141</v>
      </c>
      <c r="F174" s="420" t="s">
        <v>1331</v>
      </c>
      <c r="G174" s="420" t="s">
        <v>1331</v>
      </c>
      <c r="H174" s="420"/>
      <c r="I174" s="420">
        <v>0</v>
      </c>
      <c r="J174" s="420" t="s">
        <v>43</v>
      </c>
      <c r="K174" s="422" t="s">
        <v>43</v>
      </c>
      <c r="L174" s="422" t="s">
        <v>572</v>
      </c>
      <c r="M174" s="420" t="s">
        <v>44</v>
      </c>
      <c r="N174" s="420">
        <v>24.492493</v>
      </c>
      <c r="O174" s="420">
        <v>97.416826999999998</v>
      </c>
      <c r="P174" s="420" t="s">
        <v>584</v>
      </c>
      <c r="Q174" s="420" t="s">
        <v>574</v>
      </c>
      <c r="R174" s="432">
        <v>0</v>
      </c>
      <c r="S174" s="425">
        <v>0</v>
      </c>
      <c r="T174" s="437">
        <v>42983</v>
      </c>
      <c r="U174" s="426" t="s">
        <v>742</v>
      </c>
      <c r="V174" s="420" t="s">
        <v>745</v>
      </c>
      <c r="W174" s="420" t="s">
        <v>1654</v>
      </c>
      <c r="X174" s="423"/>
    </row>
    <row r="175" spans="1:24" s="68" customFormat="1" ht="14.25" customHeight="1">
      <c r="A175" s="420" t="s">
        <v>37</v>
      </c>
      <c r="B175" s="420" t="s">
        <v>159</v>
      </c>
      <c r="C175" s="420" t="s">
        <v>811</v>
      </c>
      <c r="D175" s="383" t="s">
        <v>1295</v>
      </c>
      <c r="E175" s="420" t="s">
        <v>1553</v>
      </c>
      <c r="F175" s="420" t="s">
        <v>1344</v>
      </c>
      <c r="G175" s="420" t="s">
        <v>1359</v>
      </c>
      <c r="H175" s="420"/>
      <c r="I175" s="420" t="s">
        <v>1614</v>
      </c>
      <c r="J175" s="420" t="s">
        <v>43</v>
      </c>
      <c r="K175" s="420" t="s">
        <v>43</v>
      </c>
      <c r="L175" s="420" t="s">
        <v>572</v>
      </c>
      <c r="M175" s="420" t="s">
        <v>44</v>
      </c>
      <c r="N175" s="420"/>
      <c r="O175" s="420"/>
      <c r="P175" s="420" t="s">
        <v>573</v>
      </c>
      <c r="Q175" s="420" t="s">
        <v>664</v>
      </c>
      <c r="R175" s="424"/>
      <c r="S175" s="424"/>
      <c r="T175" s="437"/>
      <c r="U175" s="426" t="s">
        <v>812</v>
      </c>
      <c r="V175" s="420"/>
      <c r="W175" s="420" t="s">
        <v>1655</v>
      </c>
      <c r="X175" s="383"/>
    </row>
    <row r="176" spans="1:24" s="68" customFormat="1" ht="14.25" customHeight="1">
      <c r="A176" s="420" t="s">
        <v>37</v>
      </c>
      <c r="B176" s="420" t="s">
        <v>159</v>
      </c>
      <c r="C176" s="420" t="s">
        <v>1590</v>
      </c>
      <c r="D176" s="383"/>
      <c r="E176" s="420"/>
      <c r="F176" s="420"/>
      <c r="G176" s="420"/>
      <c r="H176" s="420"/>
      <c r="I176" s="420"/>
      <c r="J176" s="420" t="s">
        <v>1094</v>
      </c>
      <c r="K176" s="420" t="s">
        <v>43</v>
      </c>
      <c r="L176" s="420" t="s">
        <v>587</v>
      </c>
      <c r="M176" s="420" t="s">
        <v>589</v>
      </c>
      <c r="N176" s="420"/>
      <c r="O176" s="420"/>
      <c r="P176" s="420" t="s">
        <v>573</v>
      </c>
      <c r="Q176" s="420"/>
      <c r="R176" s="424"/>
      <c r="S176" s="425"/>
      <c r="T176" s="437">
        <v>43298</v>
      </c>
      <c r="U176" s="426"/>
      <c r="V176" s="420"/>
      <c r="W176" s="420"/>
      <c r="X176" s="383"/>
    </row>
    <row r="177" spans="1:24" s="68" customFormat="1" ht="14.25" customHeight="1">
      <c r="A177" s="420" t="s">
        <v>37</v>
      </c>
      <c r="B177" s="420" t="s">
        <v>159</v>
      </c>
      <c r="C177" s="420" t="s">
        <v>160</v>
      </c>
      <c r="D177" s="423" t="s">
        <v>3235</v>
      </c>
      <c r="E177" s="420" t="s">
        <v>1187</v>
      </c>
      <c r="F177" s="420" t="s">
        <v>1344</v>
      </c>
      <c r="G177" s="420" t="s">
        <v>1423</v>
      </c>
      <c r="H177" s="420" t="s">
        <v>41</v>
      </c>
      <c r="I177" s="420" t="s">
        <v>2112</v>
      </c>
      <c r="J177" s="420" t="s">
        <v>43</v>
      </c>
      <c r="K177" s="420" t="s">
        <v>43</v>
      </c>
      <c r="L177" s="420" t="s">
        <v>43</v>
      </c>
      <c r="M177" s="420" t="s">
        <v>44</v>
      </c>
      <c r="N177" s="420">
        <v>25.3959740909091</v>
      </c>
      <c r="O177" s="420">
        <v>97.382997575757599</v>
      </c>
      <c r="P177" s="420" t="s">
        <v>573</v>
      </c>
      <c r="Q177" s="420" t="s">
        <v>591</v>
      </c>
      <c r="R177" s="432">
        <v>43</v>
      </c>
      <c r="S177" s="425">
        <v>192</v>
      </c>
      <c r="T177" s="437">
        <v>42983</v>
      </c>
      <c r="U177" s="426" t="s">
        <v>776</v>
      </c>
      <c r="V177" s="420" t="s">
        <v>777</v>
      </c>
      <c r="W177" s="420"/>
      <c r="X177" s="423"/>
    </row>
    <row r="178" spans="1:24" s="68" customFormat="1" ht="14.25" customHeight="1">
      <c r="A178" s="420" t="s">
        <v>37</v>
      </c>
      <c r="B178" s="420" t="s">
        <v>159</v>
      </c>
      <c r="C178" s="420" t="s">
        <v>779</v>
      </c>
      <c r="D178" s="383" t="s">
        <v>2241</v>
      </c>
      <c r="E178" s="420" t="s">
        <v>1189</v>
      </c>
      <c r="F178" s="420"/>
      <c r="G178" s="420"/>
      <c r="H178" s="420"/>
      <c r="I178" s="420"/>
      <c r="J178" s="420" t="s">
        <v>43</v>
      </c>
      <c r="K178" s="420" t="s">
        <v>43</v>
      </c>
      <c r="L178" s="420" t="s">
        <v>43</v>
      </c>
      <c r="M178" s="420" t="s">
        <v>44</v>
      </c>
      <c r="N178" s="420">
        <v>25.400270190000001</v>
      </c>
      <c r="O178" s="420">
        <v>97.384729629999995</v>
      </c>
      <c r="P178" s="420" t="s">
        <v>573</v>
      </c>
      <c r="Q178" s="420" t="s">
        <v>591</v>
      </c>
      <c r="R178" s="424"/>
      <c r="S178" s="425"/>
      <c r="T178" s="437"/>
      <c r="U178" s="426" t="s">
        <v>776</v>
      </c>
      <c r="V178" s="420" t="s">
        <v>779</v>
      </c>
      <c r="W178" s="420"/>
      <c r="X178" s="383"/>
    </row>
    <row r="179" spans="1:24" s="68" customFormat="1" ht="14.25" customHeight="1">
      <c r="A179" s="420" t="s">
        <v>37</v>
      </c>
      <c r="B179" s="420" t="s">
        <v>159</v>
      </c>
      <c r="C179" s="420" t="s">
        <v>777</v>
      </c>
      <c r="D179" s="383" t="s">
        <v>2241</v>
      </c>
      <c r="E179" s="420"/>
      <c r="F179" s="420"/>
      <c r="G179" s="420"/>
      <c r="H179" s="420"/>
      <c r="I179" s="420"/>
      <c r="J179" s="420" t="s">
        <v>43</v>
      </c>
      <c r="K179" s="420" t="s">
        <v>43</v>
      </c>
      <c r="L179" s="420" t="s">
        <v>43</v>
      </c>
      <c r="M179" s="420" t="s">
        <v>44</v>
      </c>
      <c r="N179" s="420">
        <v>25.395974089999999</v>
      </c>
      <c r="O179" s="420">
        <v>97.382997579999994</v>
      </c>
      <c r="P179" s="420" t="s">
        <v>573</v>
      </c>
      <c r="Q179" s="420" t="s">
        <v>591</v>
      </c>
      <c r="R179" s="424"/>
      <c r="S179" s="424"/>
      <c r="T179" s="437"/>
      <c r="U179" s="426"/>
      <c r="V179" s="420" t="s">
        <v>777</v>
      </c>
      <c r="W179" s="420"/>
      <c r="X179" s="383"/>
    </row>
    <row r="180" spans="1:24" s="68" customFormat="1" ht="14.25" customHeight="1">
      <c r="A180" s="420" t="s">
        <v>37</v>
      </c>
      <c r="B180" s="420" t="s">
        <v>159</v>
      </c>
      <c r="C180" s="420" t="s">
        <v>778</v>
      </c>
      <c r="D180" s="383" t="s">
        <v>2241</v>
      </c>
      <c r="E180" s="420" t="s">
        <v>1188</v>
      </c>
      <c r="F180" s="420"/>
      <c r="G180" s="420"/>
      <c r="H180" s="420"/>
      <c r="I180" s="420"/>
      <c r="J180" s="420" t="s">
        <v>43</v>
      </c>
      <c r="K180" s="420" t="s">
        <v>43</v>
      </c>
      <c r="L180" s="420" t="s">
        <v>43</v>
      </c>
      <c r="M180" s="420" t="s">
        <v>44</v>
      </c>
      <c r="N180" s="420">
        <v>25.396492500000001</v>
      </c>
      <c r="O180" s="420">
        <v>97.381325000000004</v>
      </c>
      <c r="P180" s="420" t="s">
        <v>573</v>
      </c>
      <c r="Q180" s="420" t="s">
        <v>591</v>
      </c>
      <c r="R180" s="424"/>
      <c r="S180" s="424"/>
      <c r="T180" s="437"/>
      <c r="U180" s="426" t="s">
        <v>776</v>
      </c>
      <c r="V180" s="420" t="s">
        <v>778</v>
      </c>
      <c r="W180" s="420"/>
      <c r="X180" s="383"/>
    </row>
    <row r="181" spans="1:24" s="68" customFormat="1" ht="14.25" customHeight="1">
      <c r="A181" s="429" t="s">
        <v>37</v>
      </c>
      <c r="B181" s="428" t="s">
        <v>159</v>
      </c>
      <c r="C181" s="422" t="s">
        <v>161</v>
      </c>
      <c r="D181" s="423" t="s">
        <v>3235</v>
      </c>
      <c r="E181" s="420" t="s">
        <v>1191</v>
      </c>
      <c r="F181" s="420" t="s">
        <v>1344</v>
      </c>
      <c r="G181" s="420" t="s">
        <v>1424</v>
      </c>
      <c r="H181" s="420" t="s">
        <v>41</v>
      </c>
      <c r="I181" s="420" t="s">
        <v>2112</v>
      </c>
      <c r="J181" s="420" t="s">
        <v>43</v>
      </c>
      <c r="K181" s="420" t="s">
        <v>43</v>
      </c>
      <c r="L181" s="420" t="s">
        <v>43</v>
      </c>
      <c r="M181" s="420" t="s">
        <v>44</v>
      </c>
      <c r="N181" s="420">
        <v>25.397850999999999</v>
      </c>
      <c r="O181" s="420">
        <v>97.370900000000006</v>
      </c>
      <c r="P181" s="422" t="s">
        <v>573</v>
      </c>
      <c r="Q181" s="420" t="s">
        <v>591</v>
      </c>
      <c r="R181" s="432">
        <v>134</v>
      </c>
      <c r="S181" s="425">
        <v>732</v>
      </c>
      <c r="T181" s="437"/>
      <c r="U181" s="426"/>
      <c r="V181" s="420" t="s">
        <v>161</v>
      </c>
      <c r="W181" s="358"/>
      <c r="X181" s="423"/>
    </row>
    <row r="182" spans="1:24" s="68" customFormat="1" ht="14.25" customHeight="1">
      <c r="A182" s="429" t="s">
        <v>37</v>
      </c>
      <c r="B182" s="428" t="s">
        <v>159</v>
      </c>
      <c r="C182" s="422" t="s">
        <v>233</v>
      </c>
      <c r="D182" s="423" t="s">
        <v>3235</v>
      </c>
      <c r="E182" s="420" t="s">
        <v>1190</v>
      </c>
      <c r="F182" s="420" t="s">
        <v>1344</v>
      </c>
      <c r="G182" s="420" t="s">
        <v>1424</v>
      </c>
      <c r="H182" s="420" t="s">
        <v>41</v>
      </c>
      <c r="I182" s="420" t="s">
        <v>1030</v>
      </c>
      <c r="J182" s="420" t="s">
        <v>43</v>
      </c>
      <c r="K182" s="420" t="s">
        <v>43</v>
      </c>
      <c r="L182" s="420" t="s">
        <v>43</v>
      </c>
      <c r="M182" s="420" t="s">
        <v>44</v>
      </c>
      <c r="N182" s="420">
        <v>25.403476999999999</v>
      </c>
      <c r="O182" s="420">
        <v>97.373361000000003</v>
      </c>
      <c r="P182" s="420" t="s">
        <v>573</v>
      </c>
      <c r="Q182" s="420" t="s">
        <v>591</v>
      </c>
      <c r="R182" s="432">
        <v>53</v>
      </c>
      <c r="S182" s="425">
        <v>279</v>
      </c>
      <c r="T182" s="437"/>
      <c r="U182" s="426"/>
      <c r="V182" s="420" t="s">
        <v>233</v>
      </c>
      <c r="W182" s="420"/>
      <c r="X182" s="423"/>
    </row>
    <row r="183" spans="1:24" s="68" customFormat="1" ht="14.25" customHeight="1">
      <c r="A183" s="420" t="s">
        <v>37</v>
      </c>
      <c r="B183" s="420" t="s">
        <v>159</v>
      </c>
      <c r="C183" s="420" t="s">
        <v>1599</v>
      </c>
      <c r="D183" s="423" t="s">
        <v>3235</v>
      </c>
      <c r="E183" s="420" t="s">
        <v>1550</v>
      </c>
      <c r="F183" s="420"/>
      <c r="G183" s="420"/>
      <c r="H183" s="420"/>
      <c r="I183" s="420" t="s">
        <v>2112</v>
      </c>
      <c r="J183" s="420" t="s">
        <v>43</v>
      </c>
      <c r="K183" s="420" t="s">
        <v>43</v>
      </c>
      <c r="L183" s="422" t="s">
        <v>43</v>
      </c>
      <c r="M183" s="420" t="s">
        <v>44</v>
      </c>
      <c r="N183" s="420">
        <v>25.489669799804702</v>
      </c>
      <c r="O183" s="420">
        <v>97.458778381347699</v>
      </c>
      <c r="P183" s="420" t="s">
        <v>573</v>
      </c>
      <c r="Q183" s="420" t="s">
        <v>1525</v>
      </c>
      <c r="R183" s="432">
        <v>138</v>
      </c>
      <c r="S183" s="425">
        <v>667</v>
      </c>
      <c r="T183" s="437">
        <v>43276</v>
      </c>
      <c r="U183" s="426" t="s">
        <v>1574</v>
      </c>
      <c r="V183" s="420"/>
      <c r="W183" s="358" t="s">
        <v>1737</v>
      </c>
      <c r="X183" s="423"/>
    </row>
    <row r="184" spans="1:24" s="68" customFormat="1" ht="14.25" customHeight="1">
      <c r="A184" s="420" t="s">
        <v>37</v>
      </c>
      <c r="B184" s="420" t="s">
        <v>159</v>
      </c>
      <c r="C184" s="420" t="s">
        <v>1532</v>
      </c>
      <c r="D184" s="383"/>
      <c r="E184" s="420"/>
      <c r="F184" s="420"/>
      <c r="G184" s="420"/>
      <c r="H184" s="420"/>
      <c r="I184" s="420"/>
      <c r="J184" s="420" t="s">
        <v>1094</v>
      </c>
      <c r="K184" s="420" t="s">
        <v>43</v>
      </c>
      <c r="L184" s="420" t="s">
        <v>43</v>
      </c>
      <c r="M184" s="420" t="s">
        <v>44</v>
      </c>
      <c r="N184" s="420"/>
      <c r="O184" s="420"/>
      <c r="P184" s="420" t="s">
        <v>573</v>
      </c>
      <c r="Q184" s="420" t="s">
        <v>1525</v>
      </c>
      <c r="R184" s="424"/>
      <c r="S184" s="424"/>
      <c r="T184" s="437">
        <v>43270</v>
      </c>
      <c r="U184" s="426"/>
      <c r="V184" s="420"/>
      <c r="W184" s="420"/>
      <c r="X184" s="383"/>
    </row>
    <row r="185" spans="1:24" s="68" customFormat="1" ht="14.25" customHeight="1">
      <c r="A185" s="429" t="s">
        <v>37</v>
      </c>
      <c r="B185" s="428" t="s">
        <v>159</v>
      </c>
      <c r="C185" s="446" t="s">
        <v>823</v>
      </c>
      <c r="D185" s="423" t="s">
        <v>3235</v>
      </c>
      <c r="E185" s="440" t="s">
        <v>1538</v>
      </c>
      <c r="F185" s="420" t="s">
        <v>1344</v>
      </c>
      <c r="G185" s="420" t="s">
        <v>1465</v>
      </c>
      <c r="H185" s="420"/>
      <c r="I185" s="420" t="s">
        <v>1030</v>
      </c>
      <c r="J185" s="420" t="s">
        <v>43</v>
      </c>
      <c r="K185" s="420" t="s">
        <v>43</v>
      </c>
      <c r="L185" s="420" t="s">
        <v>43</v>
      </c>
      <c r="M185" s="420" t="s">
        <v>44</v>
      </c>
      <c r="N185" s="420">
        <v>25.244700000000002</v>
      </c>
      <c r="O185" s="420">
        <v>97.2209</v>
      </c>
      <c r="P185" s="420" t="s">
        <v>573</v>
      </c>
      <c r="Q185" s="420" t="s">
        <v>664</v>
      </c>
      <c r="R185" s="432">
        <v>18</v>
      </c>
      <c r="S185" s="425">
        <v>64</v>
      </c>
      <c r="T185" s="437">
        <v>42983</v>
      </c>
      <c r="U185" s="426" t="s">
        <v>824</v>
      </c>
      <c r="V185" s="420"/>
      <c r="W185" s="420" t="s">
        <v>1738</v>
      </c>
      <c r="X185" s="423"/>
    </row>
    <row r="186" spans="1:24" s="68" customFormat="1" ht="14.25" customHeight="1">
      <c r="A186" s="425" t="s">
        <v>37</v>
      </c>
      <c r="B186" s="428" t="s">
        <v>159</v>
      </c>
      <c r="C186" s="429" t="s">
        <v>162</v>
      </c>
      <c r="D186" s="423" t="s">
        <v>2108</v>
      </c>
      <c r="E186" s="420" t="s">
        <v>1182</v>
      </c>
      <c r="F186" s="420" t="s">
        <v>1344</v>
      </c>
      <c r="G186" s="420" t="s">
        <v>1421</v>
      </c>
      <c r="H186" s="420" t="s">
        <v>41</v>
      </c>
      <c r="I186" s="420" t="s">
        <v>141</v>
      </c>
      <c r="J186" s="420" t="s">
        <v>43</v>
      </c>
      <c r="K186" s="422" t="s">
        <v>43</v>
      </c>
      <c r="L186" s="422" t="s">
        <v>572</v>
      </c>
      <c r="M186" s="420" t="s">
        <v>44</v>
      </c>
      <c r="N186" s="420">
        <v>25.36600361</v>
      </c>
      <c r="O186" s="420">
        <v>97.405202779999996</v>
      </c>
      <c r="P186" s="420" t="s">
        <v>573</v>
      </c>
      <c r="Q186" s="420" t="s">
        <v>591</v>
      </c>
      <c r="R186" s="432"/>
      <c r="S186" s="425"/>
      <c r="T186" s="437"/>
      <c r="U186" s="426"/>
      <c r="V186" s="420" t="s">
        <v>162</v>
      </c>
      <c r="W186" s="420"/>
      <c r="X186" s="423"/>
    </row>
    <row r="187" spans="1:24" s="68" customFormat="1" ht="14.25" customHeight="1">
      <c r="A187" s="420" t="s">
        <v>37</v>
      </c>
      <c r="B187" s="420" t="s">
        <v>159</v>
      </c>
      <c r="C187" s="420" t="s">
        <v>583</v>
      </c>
      <c r="D187" s="383" t="s">
        <v>2241</v>
      </c>
      <c r="E187" s="420" t="s">
        <v>1033</v>
      </c>
      <c r="F187" s="420"/>
      <c r="G187" s="420"/>
      <c r="H187" s="420"/>
      <c r="I187" s="420" t="s">
        <v>1614</v>
      </c>
      <c r="J187" s="420" t="s">
        <v>43</v>
      </c>
      <c r="K187" s="420" t="s">
        <v>43</v>
      </c>
      <c r="L187" s="420" t="s">
        <v>43</v>
      </c>
      <c r="M187" s="420" t="s">
        <v>44</v>
      </c>
      <c r="N187" s="420">
        <v>0</v>
      </c>
      <c r="O187" s="420">
        <v>0</v>
      </c>
      <c r="P187" s="420" t="s">
        <v>573</v>
      </c>
      <c r="Q187" s="420" t="s">
        <v>1602</v>
      </c>
      <c r="R187" s="424"/>
      <c r="S187" s="424"/>
      <c r="T187" s="437">
        <v>43360</v>
      </c>
      <c r="U187" s="426" t="s">
        <v>1604</v>
      </c>
      <c r="V187" s="420"/>
      <c r="W187" s="358"/>
      <c r="X187" s="383"/>
    </row>
    <row r="188" spans="1:24" s="68" customFormat="1" ht="14.25" customHeight="1">
      <c r="A188" s="420" t="s">
        <v>37</v>
      </c>
      <c r="B188" s="420" t="s">
        <v>159</v>
      </c>
      <c r="C188" s="420" t="s">
        <v>1594</v>
      </c>
      <c r="D188" s="383"/>
      <c r="E188" s="420"/>
      <c r="F188" s="420"/>
      <c r="G188" s="420"/>
      <c r="H188" s="420"/>
      <c r="I188" s="420"/>
      <c r="J188" s="420" t="s">
        <v>1094</v>
      </c>
      <c r="K188" s="420" t="s">
        <v>43</v>
      </c>
      <c r="L188" s="420" t="s">
        <v>587</v>
      </c>
      <c r="M188" s="420" t="s">
        <v>589</v>
      </c>
      <c r="N188" s="420"/>
      <c r="O188" s="420"/>
      <c r="P188" s="420" t="s">
        <v>573</v>
      </c>
      <c r="Q188" s="420"/>
      <c r="R188" s="424"/>
      <c r="S188" s="424"/>
      <c r="T188" s="437">
        <v>43298</v>
      </c>
      <c r="U188" s="426"/>
      <c r="V188" s="420"/>
      <c r="W188" s="420"/>
      <c r="X188" s="383"/>
    </row>
    <row r="189" spans="1:24" s="68" customFormat="1" ht="14.25" customHeight="1">
      <c r="A189" s="420" t="s">
        <v>37</v>
      </c>
      <c r="B189" s="420" t="s">
        <v>159</v>
      </c>
      <c r="C189" s="420" t="s">
        <v>163</v>
      </c>
      <c r="D189" s="423" t="s">
        <v>3235</v>
      </c>
      <c r="E189" s="420" t="s">
        <v>1181</v>
      </c>
      <c r="F189" s="420" t="s">
        <v>1344</v>
      </c>
      <c r="G189" s="420" t="s">
        <v>1415</v>
      </c>
      <c r="H189" s="420" t="s">
        <v>41</v>
      </c>
      <c r="I189" s="420" t="s">
        <v>2112</v>
      </c>
      <c r="J189" s="420" t="s">
        <v>43</v>
      </c>
      <c r="K189" s="420" t="s">
        <v>43</v>
      </c>
      <c r="L189" s="420" t="s">
        <v>43</v>
      </c>
      <c r="M189" s="420" t="s">
        <v>44</v>
      </c>
      <c r="N189" s="420">
        <v>25.362420757575801</v>
      </c>
      <c r="O189" s="420">
        <v>97.409035000000003</v>
      </c>
      <c r="P189" s="17" t="s">
        <v>573</v>
      </c>
      <c r="Q189" s="420" t="s">
        <v>591</v>
      </c>
      <c r="R189" s="432">
        <v>122</v>
      </c>
      <c r="S189" s="425">
        <v>625</v>
      </c>
      <c r="T189" s="437"/>
      <c r="U189" s="426"/>
      <c r="V189" s="420" t="s">
        <v>163</v>
      </c>
      <c r="W189" s="420" t="s">
        <v>1739</v>
      </c>
      <c r="X189" s="423"/>
    </row>
    <row r="190" spans="1:24" s="68" customFormat="1" ht="14.25" customHeight="1">
      <c r="A190" s="420" t="s">
        <v>37</v>
      </c>
      <c r="B190" s="420" t="s">
        <v>159</v>
      </c>
      <c r="C190" s="420" t="s">
        <v>164</v>
      </c>
      <c r="D190" s="423" t="s">
        <v>3235</v>
      </c>
      <c r="E190" s="420" t="s">
        <v>1173</v>
      </c>
      <c r="F190" s="420" t="s">
        <v>1344</v>
      </c>
      <c r="G190" s="420" t="s">
        <v>1415</v>
      </c>
      <c r="H190" s="420" t="s">
        <v>41</v>
      </c>
      <c r="I190" s="420" t="s">
        <v>2112</v>
      </c>
      <c r="J190" s="420" t="s">
        <v>43</v>
      </c>
      <c r="K190" s="420" t="s">
        <v>43</v>
      </c>
      <c r="L190" s="420" t="s">
        <v>43</v>
      </c>
      <c r="M190" s="420" t="s">
        <v>44</v>
      </c>
      <c r="N190" s="420">
        <v>25.3510167948718</v>
      </c>
      <c r="O190" s="420">
        <v>97.403402307692303</v>
      </c>
      <c r="P190" s="420" t="s">
        <v>573</v>
      </c>
      <c r="Q190" s="420" t="s">
        <v>591</v>
      </c>
      <c r="R190" s="432">
        <v>126</v>
      </c>
      <c r="S190" s="425">
        <v>623</v>
      </c>
      <c r="T190" s="437"/>
      <c r="U190" s="426"/>
      <c r="V190" s="420" t="s">
        <v>164</v>
      </c>
      <c r="W190" s="420"/>
      <c r="X190" s="423"/>
    </row>
    <row r="191" spans="1:24" s="68" customFormat="1" ht="14.25" customHeight="1">
      <c r="A191" s="420" t="s">
        <v>37</v>
      </c>
      <c r="B191" s="420" t="s">
        <v>159</v>
      </c>
      <c r="C191" s="420" t="s">
        <v>165</v>
      </c>
      <c r="D191" s="423" t="s">
        <v>3235</v>
      </c>
      <c r="E191" s="420" t="s">
        <v>1180</v>
      </c>
      <c r="F191" s="420" t="s">
        <v>1344</v>
      </c>
      <c r="G191" s="420" t="s">
        <v>1420</v>
      </c>
      <c r="H191" s="420" t="s">
        <v>41</v>
      </c>
      <c r="I191" s="420" t="s">
        <v>2112</v>
      </c>
      <c r="J191" s="420" t="s">
        <v>43</v>
      </c>
      <c r="K191" s="420" t="s">
        <v>43</v>
      </c>
      <c r="L191" s="420" t="s">
        <v>43</v>
      </c>
      <c r="M191" s="420" t="s">
        <v>44</v>
      </c>
      <c r="N191" s="420">
        <v>25.360463124999999</v>
      </c>
      <c r="O191" s="420">
        <v>97.4113064583333</v>
      </c>
      <c r="P191" s="420" t="s">
        <v>573</v>
      </c>
      <c r="Q191" s="420" t="s">
        <v>591</v>
      </c>
      <c r="R191" s="432">
        <v>49</v>
      </c>
      <c r="S191" s="425">
        <v>277</v>
      </c>
      <c r="T191" s="437"/>
      <c r="U191" s="426"/>
      <c r="V191" s="420" t="s">
        <v>165</v>
      </c>
      <c r="W191" s="420"/>
      <c r="X191" s="423"/>
    </row>
    <row r="192" spans="1:24" s="68" customFormat="1" ht="14.25" customHeight="1">
      <c r="A192" s="420" t="s">
        <v>37</v>
      </c>
      <c r="B192" s="420" t="s">
        <v>159</v>
      </c>
      <c r="C192" s="420" t="s">
        <v>166</v>
      </c>
      <c r="D192" s="423" t="s">
        <v>3235</v>
      </c>
      <c r="E192" s="420" t="s">
        <v>1206</v>
      </c>
      <c r="F192" s="420" t="s">
        <v>1344</v>
      </c>
      <c r="G192" s="420" t="s">
        <v>1432</v>
      </c>
      <c r="H192" s="420" t="s">
        <v>41</v>
      </c>
      <c r="I192" s="420" t="s">
        <v>2112</v>
      </c>
      <c r="J192" s="420" t="s">
        <v>43</v>
      </c>
      <c r="K192" s="420" t="s">
        <v>43</v>
      </c>
      <c r="L192" s="420" t="s">
        <v>43</v>
      </c>
      <c r="M192" s="420" t="s">
        <v>44</v>
      </c>
      <c r="N192" s="420">
        <v>25.428910999999999</v>
      </c>
      <c r="O192" s="420">
        <v>97.418694000000002</v>
      </c>
      <c r="P192" s="420" t="s">
        <v>573</v>
      </c>
      <c r="Q192" s="420" t="s">
        <v>591</v>
      </c>
      <c r="R192" s="432">
        <v>86</v>
      </c>
      <c r="S192" s="425">
        <v>502</v>
      </c>
      <c r="T192" s="437"/>
      <c r="U192" s="426"/>
      <c r="V192" s="420" t="s">
        <v>166</v>
      </c>
      <c r="W192" s="420"/>
      <c r="X192" s="423"/>
    </row>
    <row r="193" spans="1:24" s="68" customFormat="1" ht="14.25" customHeight="1">
      <c r="A193" s="420" t="s">
        <v>37</v>
      </c>
      <c r="B193" s="420" t="s">
        <v>159</v>
      </c>
      <c r="C193" s="420" t="s">
        <v>263</v>
      </c>
      <c r="D193" s="423" t="s">
        <v>3235</v>
      </c>
      <c r="E193" s="420" t="s">
        <v>1184</v>
      </c>
      <c r="F193" s="420" t="s">
        <v>1422</v>
      </c>
      <c r="G193" s="420" t="s">
        <v>1422</v>
      </c>
      <c r="H193" s="420" t="s">
        <v>41</v>
      </c>
      <c r="I193" s="420" t="s">
        <v>242</v>
      </c>
      <c r="J193" s="420" t="s">
        <v>43</v>
      </c>
      <c r="K193" s="420" t="s">
        <v>43</v>
      </c>
      <c r="L193" s="420" t="s">
        <v>43</v>
      </c>
      <c r="M193" s="420" t="s">
        <v>44</v>
      </c>
      <c r="N193" s="420">
        <v>25.374343974359</v>
      </c>
      <c r="O193" s="420">
        <v>97.2843958974359</v>
      </c>
      <c r="P193" s="420" t="s">
        <v>573</v>
      </c>
      <c r="Q193" s="420" t="s">
        <v>591</v>
      </c>
      <c r="R193" s="432">
        <v>18</v>
      </c>
      <c r="S193" s="425">
        <v>74</v>
      </c>
      <c r="T193" s="437"/>
      <c r="U193" s="426"/>
      <c r="V193" s="420" t="s">
        <v>263</v>
      </c>
      <c r="W193" s="358"/>
      <c r="X193" s="423"/>
    </row>
    <row r="194" spans="1:24" s="68" customFormat="1" ht="14.25" customHeight="1">
      <c r="A194" s="420" t="s">
        <v>37</v>
      </c>
      <c r="B194" s="420" t="s">
        <v>159</v>
      </c>
      <c r="C194" s="420" t="s">
        <v>264</v>
      </c>
      <c r="D194" s="423" t="s">
        <v>3235</v>
      </c>
      <c r="E194" s="420" t="s">
        <v>1183</v>
      </c>
      <c r="F194" s="420" t="s">
        <v>1422</v>
      </c>
      <c r="G194" s="420" t="s">
        <v>1422</v>
      </c>
      <c r="H194" s="420" t="s">
        <v>41</v>
      </c>
      <c r="I194" s="420" t="s">
        <v>242</v>
      </c>
      <c r="J194" s="420" t="s">
        <v>43</v>
      </c>
      <c r="K194" s="420" t="s">
        <v>43</v>
      </c>
      <c r="L194" s="420" t="s">
        <v>43</v>
      </c>
      <c r="M194" s="420" t="s">
        <v>44</v>
      </c>
      <c r="N194" s="420">
        <v>25.371049444444399</v>
      </c>
      <c r="O194" s="420">
        <v>97.290952037037002</v>
      </c>
      <c r="P194" s="420" t="s">
        <v>573</v>
      </c>
      <c r="Q194" s="420" t="s">
        <v>591</v>
      </c>
      <c r="R194" s="432">
        <v>29</v>
      </c>
      <c r="S194" s="425">
        <v>174</v>
      </c>
      <c r="T194" s="437"/>
      <c r="U194" s="426"/>
      <c r="V194" s="420" t="s">
        <v>264</v>
      </c>
      <c r="W194" s="420"/>
      <c r="X194" s="423"/>
    </row>
    <row r="195" spans="1:24" s="68" customFormat="1" ht="14.25" customHeight="1">
      <c r="A195" s="420" t="s">
        <v>37</v>
      </c>
      <c r="B195" s="420" t="s">
        <v>159</v>
      </c>
      <c r="C195" s="420" t="s">
        <v>774</v>
      </c>
      <c r="D195" s="383" t="s">
        <v>1295</v>
      </c>
      <c r="E195" s="420" t="s">
        <v>1186</v>
      </c>
      <c r="F195" s="420" t="s">
        <v>1344</v>
      </c>
      <c r="G195" s="420" t="s">
        <v>1346</v>
      </c>
      <c r="H195" s="420" t="s">
        <v>41</v>
      </c>
      <c r="I195" s="420" t="s">
        <v>242</v>
      </c>
      <c r="J195" s="420" t="s">
        <v>43</v>
      </c>
      <c r="K195" s="420" t="s">
        <v>43</v>
      </c>
      <c r="L195" s="420" t="s">
        <v>572</v>
      </c>
      <c r="M195" s="420" t="s">
        <v>44</v>
      </c>
      <c r="N195" s="420">
        <v>25.387862999999999</v>
      </c>
      <c r="O195" s="420">
        <v>97.376671999999999</v>
      </c>
      <c r="P195" s="420" t="s">
        <v>573</v>
      </c>
      <c r="Q195" s="420"/>
      <c r="R195" s="424">
        <v>0</v>
      </c>
      <c r="S195" s="424">
        <v>0</v>
      </c>
      <c r="T195" s="437"/>
      <c r="U195" s="426"/>
      <c r="V195" s="420" t="s">
        <v>774</v>
      </c>
      <c r="W195" s="420" t="s">
        <v>1656</v>
      </c>
      <c r="X195" s="383"/>
    </row>
    <row r="196" spans="1:24" s="68" customFormat="1" ht="14.25" customHeight="1">
      <c r="A196" s="420" t="s">
        <v>37</v>
      </c>
      <c r="B196" s="420" t="s">
        <v>159</v>
      </c>
      <c r="C196" s="420" t="s">
        <v>234</v>
      </c>
      <c r="D196" s="423" t="s">
        <v>3235</v>
      </c>
      <c r="E196" s="420" t="s">
        <v>1195</v>
      </c>
      <c r="F196" s="420" t="s">
        <v>1427</v>
      </c>
      <c r="G196" s="420" t="s">
        <v>1427</v>
      </c>
      <c r="H196" s="420" t="s">
        <v>41</v>
      </c>
      <c r="I196" s="420" t="s">
        <v>1030</v>
      </c>
      <c r="J196" s="420" t="s">
        <v>43</v>
      </c>
      <c r="K196" s="420" t="s">
        <v>43</v>
      </c>
      <c r="L196" s="420" t="s">
        <v>43</v>
      </c>
      <c r="M196" s="420" t="s">
        <v>44</v>
      </c>
      <c r="N196" s="420">
        <v>25.410569299999999</v>
      </c>
      <c r="O196" s="420">
        <v>97.359320179999997</v>
      </c>
      <c r="P196" s="420" t="s">
        <v>573</v>
      </c>
      <c r="Q196" s="420" t="s">
        <v>591</v>
      </c>
      <c r="R196" s="432">
        <v>59</v>
      </c>
      <c r="S196" s="425">
        <v>275</v>
      </c>
      <c r="T196" s="437"/>
      <c r="U196" s="426"/>
      <c r="V196" s="420" t="s">
        <v>234</v>
      </c>
      <c r="W196" s="420"/>
      <c r="X196" s="423"/>
    </row>
    <row r="197" spans="1:24" s="68" customFormat="1" ht="14.25" customHeight="1">
      <c r="A197" s="429" t="s">
        <v>37</v>
      </c>
      <c r="B197" s="428" t="s">
        <v>159</v>
      </c>
      <c r="C197" s="429" t="s">
        <v>167</v>
      </c>
      <c r="D197" s="423" t="s">
        <v>3235</v>
      </c>
      <c r="E197" s="420" t="s">
        <v>1202</v>
      </c>
      <c r="F197" s="420" t="s">
        <v>1344</v>
      </c>
      <c r="G197" s="420" t="s">
        <v>1431</v>
      </c>
      <c r="H197" s="420" t="s">
        <v>41</v>
      </c>
      <c r="I197" s="420" t="s">
        <v>2112</v>
      </c>
      <c r="J197" s="420" t="s">
        <v>43</v>
      </c>
      <c r="K197" s="422" t="s">
        <v>43</v>
      </c>
      <c r="L197" s="422" t="s">
        <v>43</v>
      </c>
      <c r="M197" s="420" t="s">
        <v>44</v>
      </c>
      <c r="N197" s="420">
        <v>25.422194000000001</v>
      </c>
      <c r="O197" s="420">
        <v>97.394547000000003</v>
      </c>
      <c r="P197" s="422" t="s">
        <v>573</v>
      </c>
      <c r="Q197" s="420" t="s">
        <v>591</v>
      </c>
      <c r="R197" s="432">
        <v>39</v>
      </c>
      <c r="S197" s="425">
        <v>180</v>
      </c>
      <c r="T197" s="437"/>
      <c r="U197" s="426"/>
      <c r="V197" s="420" t="s">
        <v>167</v>
      </c>
      <c r="W197" s="358"/>
      <c r="X197" s="423"/>
    </row>
    <row r="198" spans="1:24" s="68" customFormat="1" ht="14.25" customHeight="1">
      <c r="A198" s="425" t="s">
        <v>37</v>
      </c>
      <c r="B198" s="428" t="s">
        <v>159</v>
      </c>
      <c r="C198" s="429" t="s">
        <v>235</v>
      </c>
      <c r="D198" s="423" t="s">
        <v>3235</v>
      </c>
      <c r="E198" s="420" t="s">
        <v>1208</v>
      </c>
      <c r="F198" s="420" t="s">
        <v>1434</v>
      </c>
      <c r="G198" s="420" t="s">
        <v>1435</v>
      </c>
      <c r="H198" s="420" t="s">
        <v>41</v>
      </c>
      <c r="I198" s="420" t="s">
        <v>1030</v>
      </c>
      <c r="J198" s="420" t="s">
        <v>43</v>
      </c>
      <c r="K198" s="420" t="s">
        <v>43</v>
      </c>
      <c r="L198" s="420" t="s">
        <v>43</v>
      </c>
      <c r="M198" s="420" t="s">
        <v>44</v>
      </c>
      <c r="N198" s="420">
        <v>25.493819999999999</v>
      </c>
      <c r="O198" s="420">
        <v>97.4345</v>
      </c>
      <c r="P198" s="420" t="s">
        <v>573</v>
      </c>
      <c r="Q198" s="420" t="s">
        <v>591</v>
      </c>
      <c r="R198" s="432">
        <v>141</v>
      </c>
      <c r="S198" s="425">
        <v>972</v>
      </c>
      <c r="T198" s="437"/>
      <c r="U198" s="432"/>
      <c r="V198" s="420" t="s">
        <v>235</v>
      </c>
      <c r="W198" s="424"/>
      <c r="X198" s="423"/>
    </row>
    <row r="199" spans="1:24" s="68" customFormat="1" ht="14.25" customHeight="1">
      <c r="A199" s="429" t="s">
        <v>37</v>
      </c>
      <c r="B199" s="428" t="s">
        <v>159</v>
      </c>
      <c r="C199" s="429" t="s">
        <v>1600</v>
      </c>
      <c r="D199" s="423" t="s">
        <v>3235</v>
      </c>
      <c r="E199" s="476" t="s">
        <v>1601</v>
      </c>
      <c r="F199" s="422"/>
      <c r="G199" s="422"/>
      <c r="H199" s="422" t="s">
        <v>41</v>
      </c>
      <c r="I199" s="422" t="s">
        <v>1030</v>
      </c>
      <c r="J199" s="420" t="s">
        <v>43</v>
      </c>
      <c r="K199" s="420" t="s">
        <v>43</v>
      </c>
      <c r="L199" s="422" t="s">
        <v>43</v>
      </c>
      <c r="M199" s="420" t="s">
        <v>44</v>
      </c>
      <c r="N199" s="420">
        <v>25.493819999999999</v>
      </c>
      <c r="O199" s="420">
        <v>97.4345</v>
      </c>
      <c r="P199" s="17" t="s">
        <v>573</v>
      </c>
      <c r="Q199" s="420" t="s">
        <v>1602</v>
      </c>
      <c r="R199" s="432">
        <v>216</v>
      </c>
      <c r="S199" s="425">
        <v>1213</v>
      </c>
      <c r="T199" s="437">
        <v>43360</v>
      </c>
      <c r="U199" s="430" t="s">
        <v>1603</v>
      </c>
      <c r="V199" s="422"/>
      <c r="W199" s="474" t="s">
        <v>1740</v>
      </c>
      <c r="X199" s="423"/>
    </row>
    <row r="200" spans="1:24" s="68" customFormat="1" ht="14.25" customHeight="1">
      <c r="A200" s="420" t="s">
        <v>37</v>
      </c>
      <c r="B200" s="420" t="s">
        <v>159</v>
      </c>
      <c r="C200" s="422" t="s">
        <v>2194</v>
      </c>
      <c r="D200" s="383"/>
      <c r="E200" s="420"/>
      <c r="F200" s="420"/>
      <c r="G200" s="420"/>
      <c r="H200" s="420"/>
      <c r="I200" s="420"/>
      <c r="J200" s="420" t="s">
        <v>1094</v>
      </c>
      <c r="K200" s="420" t="s">
        <v>43</v>
      </c>
      <c r="L200" s="420" t="s">
        <v>43</v>
      </c>
      <c r="M200" s="420" t="s">
        <v>44</v>
      </c>
      <c r="N200" s="420"/>
      <c r="O200" s="420"/>
      <c r="P200" s="420" t="s">
        <v>573</v>
      </c>
      <c r="Q200" s="420" t="s">
        <v>2164</v>
      </c>
      <c r="R200" s="424"/>
      <c r="S200" s="424"/>
      <c r="T200" s="437">
        <v>43749</v>
      </c>
      <c r="U200" s="426"/>
      <c r="V200" s="420"/>
      <c r="W200" s="420"/>
      <c r="X200" s="383"/>
    </row>
    <row r="201" spans="1:24" s="68" customFormat="1" ht="14.25" customHeight="1">
      <c r="A201" s="420" t="s">
        <v>37</v>
      </c>
      <c r="B201" s="422" t="s">
        <v>159</v>
      </c>
      <c r="C201" s="422" t="s">
        <v>2868</v>
      </c>
      <c r="D201" s="423" t="s">
        <v>3235</v>
      </c>
      <c r="E201" s="420" t="s">
        <v>1200</v>
      </c>
      <c r="F201" s="420" t="s">
        <v>1344</v>
      </c>
      <c r="G201" s="420" t="s">
        <v>1425</v>
      </c>
      <c r="H201" s="420" t="s">
        <v>41</v>
      </c>
      <c r="I201" s="420" t="s">
        <v>242</v>
      </c>
      <c r="J201" s="420" t="s">
        <v>43</v>
      </c>
      <c r="K201" s="420" t="s">
        <v>43</v>
      </c>
      <c r="L201" s="420" t="s">
        <v>43</v>
      </c>
      <c r="M201" s="420" t="s">
        <v>44</v>
      </c>
      <c r="N201" s="420">
        <v>25.417733999999999</v>
      </c>
      <c r="O201" s="420">
        <v>97.389778000000007</v>
      </c>
      <c r="P201" s="420" t="s">
        <v>573</v>
      </c>
      <c r="Q201" s="420" t="s">
        <v>591</v>
      </c>
      <c r="R201" s="432">
        <v>18</v>
      </c>
      <c r="S201" s="425">
        <v>93</v>
      </c>
      <c r="T201" s="437"/>
      <c r="U201" s="426"/>
      <c r="V201" s="420" t="s">
        <v>267</v>
      </c>
      <c r="W201" s="420"/>
      <c r="X201" s="423"/>
    </row>
    <row r="202" spans="1:24" s="68" customFormat="1" ht="14.25" customHeight="1">
      <c r="A202" s="420" t="s">
        <v>37</v>
      </c>
      <c r="B202" s="420" t="s">
        <v>159</v>
      </c>
      <c r="C202" s="422" t="s">
        <v>2224</v>
      </c>
      <c r="D202" s="423" t="s">
        <v>3235</v>
      </c>
      <c r="E202" s="420" t="s">
        <v>2225</v>
      </c>
      <c r="F202" s="420" t="s">
        <v>2227</v>
      </c>
      <c r="G202" s="420" t="s">
        <v>2227</v>
      </c>
      <c r="H202" s="420"/>
      <c r="I202" s="420" t="s">
        <v>1614</v>
      </c>
      <c r="J202" s="420" t="s">
        <v>43</v>
      </c>
      <c r="K202" s="420" t="s">
        <v>43</v>
      </c>
      <c r="L202" s="420" t="s">
        <v>43</v>
      </c>
      <c r="M202" s="420" t="s">
        <v>44</v>
      </c>
      <c r="N202" s="899">
        <v>25.387892000000001</v>
      </c>
      <c r="O202" s="420">
        <v>97.325181999999998</v>
      </c>
      <c r="P202" s="420" t="s">
        <v>573</v>
      </c>
      <c r="Q202" s="420" t="s">
        <v>2228</v>
      </c>
      <c r="R202" s="432">
        <v>25</v>
      </c>
      <c r="S202" s="425">
        <v>127</v>
      </c>
      <c r="T202" s="437">
        <v>43805</v>
      </c>
      <c r="U202" s="426"/>
      <c r="V202" s="420"/>
      <c r="W202" s="420" t="s">
        <v>2226</v>
      </c>
      <c r="X202" s="423"/>
    </row>
    <row r="203" spans="1:24" s="420" customFormat="1" ht="14.25" customHeight="1">
      <c r="A203" s="420" t="s">
        <v>37</v>
      </c>
      <c r="B203" s="422" t="s">
        <v>159</v>
      </c>
      <c r="C203" s="436" t="s">
        <v>168</v>
      </c>
      <c r="D203" s="423" t="s">
        <v>3235</v>
      </c>
      <c r="E203" s="420" t="s">
        <v>1197</v>
      </c>
      <c r="F203" s="420" t="s">
        <v>1344</v>
      </c>
      <c r="G203" s="420" t="s">
        <v>1428</v>
      </c>
      <c r="H203" s="420" t="s">
        <v>41</v>
      </c>
      <c r="I203" s="420" t="s">
        <v>2112</v>
      </c>
      <c r="J203" s="420" t="s">
        <v>43</v>
      </c>
      <c r="K203" s="420" t="s">
        <v>43</v>
      </c>
      <c r="L203" s="420" t="s">
        <v>43</v>
      </c>
      <c r="M203" s="420" t="s">
        <v>44</v>
      </c>
      <c r="N203" s="420">
        <v>25.412313000000001</v>
      </c>
      <c r="O203" s="420">
        <v>97.399628000000007</v>
      </c>
      <c r="P203" s="420" t="s">
        <v>573</v>
      </c>
      <c r="Q203" s="420" t="s">
        <v>591</v>
      </c>
      <c r="R203" s="432">
        <v>111</v>
      </c>
      <c r="S203" s="425">
        <v>569</v>
      </c>
      <c r="T203" s="437"/>
      <c r="U203" s="426"/>
      <c r="V203" s="420" t="s">
        <v>168</v>
      </c>
      <c r="X203" s="423"/>
    </row>
    <row r="204" spans="1:24" s="68" customFormat="1" ht="14.25" customHeight="1">
      <c r="A204" s="429" t="s">
        <v>37</v>
      </c>
      <c r="B204" s="428" t="s">
        <v>159</v>
      </c>
      <c r="C204" s="422" t="s">
        <v>265</v>
      </c>
      <c r="D204" s="423" t="s">
        <v>3235</v>
      </c>
      <c r="E204" s="420" t="s">
        <v>1204</v>
      </c>
      <c r="F204" s="420" t="s">
        <v>1344</v>
      </c>
      <c r="G204" s="420" t="s">
        <v>1428</v>
      </c>
      <c r="H204" s="420" t="s">
        <v>41</v>
      </c>
      <c r="I204" s="420" t="s">
        <v>242</v>
      </c>
      <c r="J204" s="420" t="s">
        <v>43</v>
      </c>
      <c r="K204" s="420" t="s">
        <v>43</v>
      </c>
      <c r="L204" s="420" t="s">
        <v>43</v>
      </c>
      <c r="M204" s="420" t="s">
        <v>44</v>
      </c>
      <c r="N204" s="420">
        <v>25.423817</v>
      </c>
      <c r="O204" s="420">
        <v>97.418004999999994</v>
      </c>
      <c r="P204" s="422" t="s">
        <v>573</v>
      </c>
      <c r="Q204" s="420" t="s">
        <v>591</v>
      </c>
      <c r="R204" s="432">
        <v>26</v>
      </c>
      <c r="S204" s="425">
        <v>124</v>
      </c>
      <c r="T204" s="437"/>
      <c r="U204" s="426"/>
      <c r="V204" s="420" t="s">
        <v>265</v>
      </c>
      <c r="W204" s="358"/>
      <c r="X204" s="423"/>
    </row>
    <row r="205" spans="1:24" s="68" customFormat="1" ht="14.25" customHeight="1">
      <c r="A205" s="420" t="s">
        <v>37</v>
      </c>
      <c r="B205" s="422" t="s">
        <v>159</v>
      </c>
      <c r="C205" s="422" t="s">
        <v>169</v>
      </c>
      <c r="D205" s="423" t="s">
        <v>3235</v>
      </c>
      <c r="E205" s="420" t="s">
        <v>1207</v>
      </c>
      <c r="F205" s="420" t="s">
        <v>1344</v>
      </c>
      <c r="G205" s="420" t="s">
        <v>1433</v>
      </c>
      <c r="H205" s="420" t="s">
        <v>41</v>
      </c>
      <c r="I205" s="420" t="s">
        <v>2112</v>
      </c>
      <c r="J205" s="420" t="s">
        <v>43</v>
      </c>
      <c r="K205" s="420" t="s">
        <v>43</v>
      </c>
      <c r="L205" s="420" t="s">
        <v>43</v>
      </c>
      <c r="M205" s="420" t="s">
        <v>44</v>
      </c>
      <c r="N205" s="420">
        <v>25.440928</v>
      </c>
      <c r="O205" s="420">
        <v>97.419403000000003</v>
      </c>
      <c r="P205" s="420" t="s">
        <v>573</v>
      </c>
      <c r="Q205" s="420" t="s">
        <v>591</v>
      </c>
      <c r="R205" s="432">
        <v>105</v>
      </c>
      <c r="S205" s="425">
        <v>624</v>
      </c>
      <c r="T205" s="437"/>
      <c r="U205" s="426"/>
      <c r="V205" s="420" t="s">
        <v>169</v>
      </c>
      <c r="W205" s="420"/>
      <c r="X205" s="423"/>
    </row>
    <row r="206" spans="1:24" s="68" customFormat="1" ht="14.25" customHeight="1">
      <c r="A206" s="420" t="s">
        <v>37</v>
      </c>
      <c r="B206" s="422" t="s">
        <v>159</v>
      </c>
      <c r="C206" s="422" t="s">
        <v>1542</v>
      </c>
      <c r="D206" s="383" t="s">
        <v>2108</v>
      </c>
      <c r="E206" s="420" t="s">
        <v>1549</v>
      </c>
      <c r="F206" s="420"/>
      <c r="G206" s="420"/>
      <c r="H206" s="420"/>
      <c r="I206" s="420" t="s">
        <v>1614</v>
      </c>
      <c r="J206" s="420" t="s">
        <v>43</v>
      </c>
      <c r="K206" s="420" t="s">
        <v>43</v>
      </c>
      <c r="L206" s="420" t="s">
        <v>572</v>
      </c>
      <c r="M206" s="420" t="s">
        <v>44</v>
      </c>
      <c r="N206" s="917">
        <v>25.717300000000002</v>
      </c>
      <c r="O206" s="420">
        <v>97.49136</v>
      </c>
      <c r="P206" s="420" t="s">
        <v>573</v>
      </c>
      <c r="Q206" s="420" t="s">
        <v>1525</v>
      </c>
      <c r="R206" s="424"/>
      <c r="S206" s="424"/>
      <c r="T206" s="437">
        <v>43276</v>
      </c>
      <c r="U206" s="426" t="s">
        <v>1573</v>
      </c>
      <c r="V206" s="420"/>
      <c r="W206" s="420" t="s">
        <v>1741</v>
      </c>
      <c r="X206" s="383"/>
    </row>
    <row r="207" spans="1:24" s="68" customFormat="1" ht="14.25" customHeight="1">
      <c r="A207" s="420" t="s">
        <v>37</v>
      </c>
      <c r="B207" s="422" t="s">
        <v>159</v>
      </c>
      <c r="C207" s="422" t="s">
        <v>863</v>
      </c>
      <c r="D207" s="383" t="s">
        <v>1294</v>
      </c>
      <c r="E207" s="420"/>
      <c r="F207" s="420"/>
      <c r="G207" s="420"/>
      <c r="H207" s="420"/>
      <c r="I207" s="420"/>
      <c r="J207" s="420" t="s">
        <v>43</v>
      </c>
      <c r="K207" s="420" t="s">
        <v>43</v>
      </c>
      <c r="L207" s="420" t="s">
        <v>810</v>
      </c>
      <c r="M207" s="420" t="s">
        <v>44</v>
      </c>
      <c r="N207" s="420"/>
      <c r="O207" s="420"/>
      <c r="P207" s="420" t="s">
        <v>573</v>
      </c>
      <c r="Q207" s="420"/>
      <c r="R207" s="424"/>
      <c r="S207" s="424"/>
      <c r="T207" s="437"/>
      <c r="U207" s="426"/>
      <c r="V207" s="420" t="s">
        <v>863</v>
      </c>
      <c r="W207" s="420"/>
      <c r="X207" s="383"/>
    </row>
    <row r="208" spans="1:24" s="68" customFormat="1" ht="14.25" customHeight="1">
      <c r="A208" s="420" t="s">
        <v>37</v>
      </c>
      <c r="B208" s="422" t="s">
        <v>159</v>
      </c>
      <c r="C208" s="422" t="s">
        <v>170</v>
      </c>
      <c r="D208" s="423" t="s">
        <v>3235</v>
      </c>
      <c r="E208" s="420" t="s">
        <v>1198</v>
      </c>
      <c r="F208" s="420" t="s">
        <v>1344</v>
      </c>
      <c r="G208" s="420" t="s">
        <v>1425</v>
      </c>
      <c r="H208" s="420" t="s">
        <v>41</v>
      </c>
      <c r="I208" s="420" t="s">
        <v>2112</v>
      </c>
      <c r="J208" s="420" t="s">
        <v>43</v>
      </c>
      <c r="K208" s="420" t="s">
        <v>43</v>
      </c>
      <c r="L208" s="420" t="s">
        <v>43</v>
      </c>
      <c r="M208" s="420" t="s">
        <v>44</v>
      </c>
      <c r="N208" s="420">
        <v>25.415482000000001</v>
      </c>
      <c r="O208" s="420">
        <v>97.386718999999999</v>
      </c>
      <c r="P208" s="420" t="s">
        <v>573</v>
      </c>
      <c r="Q208" s="420" t="s">
        <v>591</v>
      </c>
      <c r="R208" s="432">
        <v>97</v>
      </c>
      <c r="S208" s="425">
        <v>539</v>
      </c>
      <c r="T208" s="437"/>
      <c r="U208" s="426"/>
      <c r="V208" s="420" t="s">
        <v>170</v>
      </c>
      <c r="W208" s="420"/>
      <c r="X208" s="423"/>
    </row>
    <row r="209" spans="1:24" s="68" customFormat="1" ht="14.25" customHeight="1">
      <c r="A209" s="420" t="s">
        <v>37</v>
      </c>
      <c r="B209" s="422" t="s">
        <v>159</v>
      </c>
      <c r="C209" s="422" t="s">
        <v>266</v>
      </c>
      <c r="D209" s="423" t="s">
        <v>3235</v>
      </c>
      <c r="E209" s="420" t="s">
        <v>1203</v>
      </c>
      <c r="F209" s="420" t="s">
        <v>1344</v>
      </c>
      <c r="G209" s="420" t="s">
        <v>1425</v>
      </c>
      <c r="H209" s="420" t="s">
        <v>41</v>
      </c>
      <c r="I209" s="420" t="s">
        <v>242</v>
      </c>
      <c r="J209" s="420" t="s">
        <v>43</v>
      </c>
      <c r="K209" s="420" t="s">
        <v>43</v>
      </c>
      <c r="L209" s="420" t="s">
        <v>43</v>
      </c>
      <c r="M209" s="420" t="s">
        <v>44</v>
      </c>
      <c r="N209" s="420">
        <v>25.423209</v>
      </c>
      <c r="O209" s="420">
        <v>97.379987</v>
      </c>
      <c r="P209" s="420" t="s">
        <v>573</v>
      </c>
      <c r="Q209" s="420" t="s">
        <v>591</v>
      </c>
      <c r="R209" s="432">
        <v>56</v>
      </c>
      <c r="S209" s="425">
        <v>269</v>
      </c>
      <c r="T209" s="437"/>
      <c r="U209" s="426"/>
      <c r="V209" s="420" t="s">
        <v>780</v>
      </c>
      <c r="W209" s="420"/>
      <c r="X209" s="423"/>
    </row>
    <row r="210" spans="1:24" s="68" customFormat="1" ht="14.25" customHeight="1">
      <c r="A210" s="429" t="s">
        <v>37</v>
      </c>
      <c r="B210" s="428" t="s">
        <v>159</v>
      </c>
      <c r="C210" s="422" t="s">
        <v>171</v>
      </c>
      <c r="D210" s="423" t="s">
        <v>3235</v>
      </c>
      <c r="E210" s="420" t="s">
        <v>1193</v>
      </c>
      <c r="F210" s="420" t="s">
        <v>1344</v>
      </c>
      <c r="G210" s="420" t="s">
        <v>1425</v>
      </c>
      <c r="H210" s="420" t="s">
        <v>41</v>
      </c>
      <c r="I210" s="420" t="s">
        <v>2112</v>
      </c>
      <c r="J210" s="420" t="s">
        <v>43</v>
      </c>
      <c r="K210" s="420" t="s">
        <v>43</v>
      </c>
      <c r="L210" s="420" t="s">
        <v>43</v>
      </c>
      <c r="M210" s="420" t="s">
        <v>44</v>
      </c>
      <c r="N210" s="420">
        <v>25.404752999999999</v>
      </c>
      <c r="O210" s="420">
        <v>97.377662999999998</v>
      </c>
      <c r="P210" s="420" t="s">
        <v>573</v>
      </c>
      <c r="Q210" s="420" t="s">
        <v>591</v>
      </c>
      <c r="R210" s="432">
        <v>28</v>
      </c>
      <c r="S210" s="425">
        <v>137</v>
      </c>
      <c r="T210" s="437"/>
      <c r="U210" s="426"/>
      <c r="V210" s="420" t="s">
        <v>171</v>
      </c>
      <c r="W210" s="420"/>
      <c r="X210" s="423"/>
    </row>
    <row r="211" spans="1:24" s="68" customFormat="1" ht="14.25" customHeight="1">
      <c r="A211" s="429" t="s">
        <v>37</v>
      </c>
      <c r="B211" s="428" t="s">
        <v>159</v>
      </c>
      <c r="C211" s="422" t="s">
        <v>172</v>
      </c>
      <c r="D211" s="423" t="s">
        <v>3235</v>
      </c>
      <c r="E211" s="422" t="s">
        <v>1192</v>
      </c>
      <c r="F211" s="422" t="s">
        <v>1344</v>
      </c>
      <c r="G211" s="422" t="s">
        <v>1425</v>
      </c>
      <c r="H211" s="422" t="s">
        <v>41</v>
      </c>
      <c r="I211" s="422" t="s">
        <v>2112</v>
      </c>
      <c r="J211" s="420" t="s">
        <v>43</v>
      </c>
      <c r="K211" s="420" t="s">
        <v>43</v>
      </c>
      <c r="L211" s="420" t="s">
        <v>43</v>
      </c>
      <c r="M211" s="420" t="s">
        <v>44</v>
      </c>
      <c r="N211" s="420">
        <v>25.437125999999999</v>
      </c>
      <c r="O211" s="420">
        <v>97.387276</v>
      </c>
      <c r="P211" s="17" t="s">
        <v>573</v>
      </c>
      <c r="Q211" s="420" t="s">
        <v>591</v>
      </c>
      <c r="R211" s="432">
        <v>47</v>
      </c>
      <c r="S211" s="425">
        <v>240</v>
      </c>
      <c r="T211" s="437"/>
      <c r="U211" s="430"/>
      <c r="V211" s="422" t="s">
        <v>172</v>
      </c>
      <c r="W211" s="358"/>
      <c r="X211" s="423"/>
    </row>
    <row r="212" spans="1:24" s="68" customFormat="1" ht="14.25" customHeight="1">
      <c r="A212" s="429" t="s">
        <v>37</v>
      </c>
      <c r="B212" s="428" t="s">
        <v>159</v>
      </c>
      <c r="C212" s="422" t="s">
        <v>1530</v>
      </c>
      <c r="D212" s="383"/>
      <c r="E212" s="420"/>
      <c r="F212" s="420"/>
      <c r="G212" s="420"/>
      <c r="H212" s="420"/>
      <c r="I212" s="420"/>
      <c r="J212" s="420" t="s">
        <v>1094</v>
      </c>
      <c r="K212" s="420" t="s">
        <v>43</v>
      </c>
      <c r="L212" s="420" t="s">
        <v>43</v>
      </c>
      <c r="M212" s="420" t="s">
        <v>44</v>
      </c>
      <c r="N212" s="420"/>
      <c r="O212" s="420"/>
      <c r="P212" s="422" t="s">
        <v>573</v>
      </c>
      <c r="Q212" s="420" t="s">
        <v>1525</v>
      </c>
      <c r="R212" s="424"/>
      <c r="S212" s="424"/>
      <c r="T212" s="437">
        <v>43270</v>
      </c>
      <c r="U212" s="426"/>
      <c r="V212" s="420"/>
      <c r="W212" s="358"/>
      <c r="X212" s="383"/>
    </row>
    <row r="213" spans="1:24" s="68" customFormat="1" ht="14.25" customHeight="1">
      <c r="A213" s="429" t="s">
        <v>37</v>
      </c>
      <c r="B213" s="428" t="s">
        <v>159</v>
      </c>
      <c r="C213" s="422" t="s">
        <v>1543</v>
      </c>
      <c r="D213" s="423" t="s">
        <v>2635</v>
      </c>
      <c r="E213" s="420" t="s">
        <v>1551</v>
      </c>
      <c r="F213" s="420"/>
      <c r="G213" s="420"/>
      <c r="H213" s="420"/>
      <c r="I213" s="420" t="s">
        <v>1614</v>
      </c>
      <c r="J213" s="420" t="s">
        <v>43</v>
      </c>
      <c r="K213" s="420" t="s">
        <v>43</v>
      </c>
      <c r="L213" s="420" t="s">
        <v>572</v>
      </c>
      <c r="M213" s="420" t="s">
        <v>44</v>
      </c>
      <c r="N213" s="420">
        <v>25.970190048217798</v>
      </c>
      <c r="O213" s="420">
        <v>97.532951354980497</v>
      </c>
      <c r="P213" s="420" t="s">
        <v>573</v>
      </c>
      <c r="Q213" s="420" t="s">
        <v>1525</v>
      </c>
      <c r="R213" s="432"/>
      <c r="S213" s="425"/>
      <c r="T213" s="437">
        <v>43276</v>
      </c>
      <c r="U213" s="426" t="s">
        <v>1574</v>
      </c>
      <c r="V213" s="420"/>
      <c r="W213" s="420" t="s">
        <v>1625</v>
      </c>
      <c r="X213" s="423"/>
    </row>
    <row r="214" spans="1:24" s="68" customFormat="1" ht="14.25" customHeight="1">
      <c r="A214" s="420" t="s">
        <v>37</v>
      </c>
      <c r="B214" s="422" t="s">
        <v>159</v>
      </c>
      <c r="C214" s="422" t="s">
        <v>1609</v>
      </c>
      <c r="D214" s="423" t="s">
        <v>3235</v>
      </c>
      <c r="E214" s="420" t="s">
        <v>1548</v>
      </c>
      <c r="F214" s="420"/>
      <c r="G214" s="420"/>
      <c r="H214" s="420" t="s">
        <v>41</v>
      </c>
      <c r="I214" s="420" t="s">
        <v>2112</v>
      </c>
      <c r="J214" s="420" t="s">
        <v>43</v>
      </c>
      <c r="K214" s="420" t="s">
        <v>43</v>
      </c>
      <c r="L214" s="420" t="s">
        <v>43</v>
      </c>
      <c r="M214" s="420" t="s">
        <v>44</v>
      </c>
      <c r="N214" s="420">
        <v>25.480989999999998</v>
      </c>
      <c r="O214" s="420">
        <v>97.431079999999994</v>
      </c>
      <c r="P214" s="420" t="s">
        <v>573</v>
      </c>
      <c r="Q214" s="420" t="s">
        <v>1525</v>
      </c>
      <c r="R214" s="432">
        <v>197</v>
      </c>
      <c r="S214" s="425">
        <v>981</v>
      </c>
      <c r="T214" s="437">
        <v>43276</v>
      </c>
      <c r="U214" s="426" t="s">
        <v>1573</v>
      </c>
      <c r="V214" s="420"/>
      <c r="W214" s="420" t="s">
        <v>1742</v>
      </c>
      <c r="X214" s="423"/>
    </row>
    <row r="215" spans="1:24" s="68" customFormat="1" ht="14.25" customHeight="1">
      <c r="A215" s="420" t="s">
        <v>37</v>
      </c>
      <c r="B215" s="420" t="s">
        <v>159</v>
      </c>
      <c r="C215" s="420" t="s">
        <v>1531</v>
      </c>
      <c r="D215" s="383"/>
      <c r="E215" s="420"/>
      <c r="F215" s="420"/>
      <c r="G215" s="420"/>
      <c r="H215" s="420"/>
      <c r="I215" s="420"/>
      <c r="J215" s="420" t="s">
        <v>1094</v>
      </c>
      <c r="K215" s="420" t="s">
        <v>43</v>
      </c>
      <c r="L215" s="420" t="s">
        <v>43</v>
      </c>
      <c r="M215" s="420" t="s">
        <v>44</v>
      </c>
      <c r="N215" s="420"/>
      <c r="O215" s="420"/>
      <c r="P215" s="420" t="s">
        <v>573</v>
      </c>
      <c r="Q215" s="420" t="s">
        <v>1525</v>
      </c>
      <c r="R215" s="424"/>
      <c r="S215" s="425"/>
      <c r="T215" s="437">
        <v>43270</v>
      </c>
      <c r="U215" s="426"/>
      <c r="V215" s="420"/>
      <c r="W215" s="420"/>
      <c r="X215" s="383"/>
    </row>
    <row r="216" spans="1:24" s="68" customFormat="1" ht="14.25" customHeight="1">
      <c r="A216" s="420" t="s">
        <v>37</v>
      </c>
      <c r="B216" s="420" t="s">
        <v>159</v>
      </c>
      <c r="C216" s="420" t="s">
        <v>772</v>
      </c>
      <c r="D216" s="383" t="s">
        <v>1295</v>
      </c>
      <c r="E216" s="420" t="s">
        <v>1185</v>
      </c>
      <c r="F216" s="420" t="s">
        <v>1344</v>
      </c>
      <c r="G216" s="420" t="s">
        <v>1345</v>
      </c>
      <c r="H216" s="420" t="s">
        <v>41</v>
      </c>
      <c r="I216" s="422" t="s">
        <v>242</v>
      </c>
      <c r="J216" s="420" t="s">
        <v>43</v>
      </c>
      <c r="K216" s="420" t="s">
        <v>43</v>
      </c>
      <c r="L216" s="420" t="s">
        <v>572</v>
      </c>
      <c r="M216" s="420" t="s">
        <v>44</v>
      </c>
      <c r="N216" s="420">
        <v>25.377038169999999</v>
      </c>
      <c r="O216" s="420">
        <v>97.403878500000005</v>
      </c>
      <c r="P216" s="420" t="s">
        <v>573</v>
      </c>
      <c r="Q216" s="420" t="s">
        <v>591</v>
      </c>
      <c r="R216" s="424"/>
      <c r="S216" s="424"/>
      <c r="T216" s="437">
        <v>42983</v>
      </c>
      <c r="U216" s="426" t="s">
        <v>773</v>
      </c>
      <c r="V216" s="420" t="s">
        <v>772</v>
      </c>
      <c r="W216" s="420" t="s">
        <v>1657</v>
      </c>
      <c r="X216" s="383"/>
    </row>
    <row r="217" spans="1:24" s="68" customFormat="1" ht="14.25" customHeight="1">
      <c r="A217" s="420" t="s">
        <v>37</v>
      </c>
      <c r="B217" s="420" t="s">
        <v>173</v>
      </c>
      <c r="C217" s="420" t="s">
        <v>822</v>
      </c>
      <c r="D217" s="383" t="s">
        <v>1294</v>
      </c>
      <c r="E217" s="420"/>
      <c r="F217" s="420"/>
      <c r="G217" s="420"/>
      <c r="H217" s="420"/>
      <c r="I217" s="420"/>
      <c r="J217" s="420" t="s">
        <v>43</v>
      </c>
      <c r="K217" s="420" t="s">
        <v>43</v>
      </c>
      <c r="L217" s="420" t="s">
        <v>810</v>
      </c>
      <c r="M217" s="420" t="s">
        <v>44</v>
      </c>
      <c r="N217" s="420"/>
      <c r="O217" s="420"/>
      <c r="P217" s="420" t="s">
        <v>573</v>
      </c>
      <c r="Q217" s="420"/>
      <c r="R217" s="424"/>
      <c r="S217" s="424"/>
      <c r="T217" s="437"/>
      <c r="U217" s="426"/>
      <c r="V217" s="420" t="s">
        <v>822</v>
      </c>
      <c r="W217" s="420"/>
      <c r="X217" s="383"/>
    </row>
    <row r="218" spans="1:24" s="68" customFormat="1" ht="14.25" customHeight="1">
      <c r="A218" s="420" t="s">
        <v>37</v>
      </c>
      <c r="B218" s="420" t="s">
        <v>173</v>
      </c>
      <c r="C218" s="420" t="s">
        <v>799</v>
      </c>
      <c r="D218" s="423" t="s">
        <v>2702</v>
      </c>
      <c r="E218" s="420" t="s">
        <v>1249</v>
      </c>
      <c r="F218" s="420" t="s">
        <v>1357</v>
      </c>
      <c r="G218" s="420" t="s">
        <v>1463</v>
      </c>
      <c r="H218" s="420"/>
      <c r="I218" s="420" t="s">
        <v>1614</v>
      </c>
      <c r="J218" s="420" t="s">
        <v>43</v>
      </c>
      <c r="K218" s="420" t="s">
        <v>43</v>
      </c>
      <c r="L218" s="420" t="s">
        <v>572</v>
      </c>
      <c r="M218" s="420" t="s">
        <v>44</v>
      </c>
      <c r="N218" s="420">
        <v>27.248964999999998</v>
      </c>
      <c r="O218" s="420">
        <v>97.561105999999995</v>
      </c>
      <c r="P218" s="420" t="s">
        <v>584</v>
      </c>
      <c r="Q218" s="420" t="s">
        <v>574</v>
      </c>
      <c r="R218" s="432"/>
      <c r="S218" s="425"/>
      <c r="T218" s="437"/>
      <c r="U218" s="426" t="s">
        <v>800</v>
      </c>
      <c r="V218" s="420"/>
      <c r="W218" s="358"/>
      <c r="X218" s="423"/>
    </row>
    <row r="219" spans="1:24" s="68" customFormat="1" ht="14.25" customHeight="1">
      <c r="A219" s="420" t="s">
        <v>37</v>
      </c>
      <c r="B219" s="420" t="s">
        <v>173</v>
      </c>
      <c r="C219" s="420" t="s">
        <v>174</v>
      </c>
      <c r="D219" s="383" t="s">
        <v>2635</v>
      </c>
      <c r="E219" s="420" t="s">
        <v>1253</v>
      </c>
      <c r="F219" s="420" t="s">
        <v>1450</v>
      </c>
      <c r="G219" s="420" t="s">
        <v>1451</v>
      </c>
      <c r="H219" s="420" t="s">
        <v>41</v>
      </c>
      <c r="I219" s="420" t="s">
        <v>2112</v>
      </c>
      <c r="J219" s="420" t="s">
        <v>43</v>
      </c>
      <c r="K219" s="420" t="s">
        <v>43</v>
      </c>
      <c r="L219" s="420" t="s">
        <v>572</v>
      </c>
      <c r="M219" s="420" t="s">
        <v>44</v>
      </c>
      <c r="N219" s="420">
        <v>27.337499999999999</v>
      </c>
      <c r="O219" s="420">
        <v>97.416121000000004</v>
      </c>
      <c r="P219" s="420" t="s">
        <v>573</v>
      </c>
      <c r="Q219" s="420" t="s">
        <v>591</v>
      </c>
      <c r="R219" s="424"/>
      <c r="S219" s="425"/>
      <c r="T219" s="437"/>
      <c r="U219" s="426"/>
      <c r="V219" s="420" t="s">
        <v>807</v>
      </c>
      <c r="W219" s="420" t="s">
        <v>2864</v>
      </c>
      <c r="X219" s="383"/>
    </row>
    <row r="220" spans="1:24" s="68" customFormat="1" ht="14.25" customHeight="1">
      <c r="A220" s="420" t="s">
        <v>37</v>
      </c>
      <c r="B220" s="422" t="s">
        <v>173</v>
      </c>
      <c r="C220" s="422" t="s">
        <v>801</v>
      </c>
      <c r="D220" s="383" t="s">
        <v>1295</v>
      </c>
      <c r="E220" s="420" t="s">
        <v>1250</v>
      </c>
      <c r="F220" s="420" t="s">
        <v>1357</v>
      </c>
      <c r="G220" s="420" t="s">
        <v>1358</v>
      </c>
      <c r="H220" s="420"/>
      <c r="I220" s="422">
        <v>0</v>
      </c>
      <c r="J220" s="420" t="s">
        <v>43</v>
      </c>
      <c r="K220" s="420" t="s">
        <v>43</v>
      </c>
      <c r="L220" s="420" t="s">
        <v>572</v>
      </c>
      <c r="M220" s="420" t="s">
        <v>44</v>
      </c>
      <c r="N220" s="420">
        <v>27.270199999999999</v>
      </c>
      <c r="O220" s="420">
        <v>97.58184</v>
      </c>
      <c r="P220" s="420" t="s">
        <v>573</v>
      </c>
      <c r="Q220" s="420"/>
      <c r="R220" s="424">
        <v>0</v>
      </c>
      <c r="S220" s="424">
        <v>0</v>
      </c>
      <c r="T220" s="437"/>
      <c r="U220" s="426"/>
      <c r="V220" s="420" t="s">
        <v>801</v>
      </c>
      <c r="W220" s="420" t="s">
        <v>1658</v>
      </c>
      <c r="X220" s="383"/>
    </row>
    <row r="221" spans="1:24" s="68" customFormat="1" ht="14.25" customHeight="1">
      <c r="A221" s="425" t="s">
        <v>37</v>
      </c>
      <c r="B221" s="428" t="s">
        <v>173</v>
      </c>
      <c r="C221" s="429" t="s">
        <v>846</v>
      </c>
      <c r="D221" s="423" t="s">
        <v>1294</v>
      </c>
      <c r="E221" s="420"/>
      <c r="F221" s="420"/>
      <c r="G221" s="420"/>
      <c r="H221" s="420"/>
      <c r="I221" s="420"/>
      <c r="J221" s="420" t="s">
        <v>43</v>
      </c>
      <c r="K221" s="422" t="s">
        <v>43</v>
      </c>
      <c r="L221" s="422" t="s">
        <v>810</v>
      </c>
      <c r="M221" s="420" t="s">
        <v>44</v>
      </c>
      <c r="N221" s="420"/>
      <c r="O221" s="420"/>
      <c r="P221" s="420" t="s">
        <v>573</v>
      </c>
      <c r="Q221" s="420"/>
      <c r="R221" s="432"/>
      <c r="S221" s="425"/>
      <c r="T221" s="437"/>
      <c r="U221" s="426"/>
      <c r="V221" s="420" t="s">
        <v>846</v>
      </c>
      <c r="W221" s="420"/>
      <c r="X221" s="423"/>
    </row>
    <row r="222" spans="1:24" s="68" customFormat="1" ht="14.25" customHeight="1">
      <c r="A222" s="429" t="s">
        <v>37</v>
      </c>
      <c r="B222" s="428" t="s">
        <v>173</v>
      </c>
      <c r="C222" s="365" t="s">
        <v>805</v>
      </c>
      <c r="D222" s="423" t="s">
        <v>2702</v>
      </c>
      <c r="E222" s="420" t="s">
        <v>1252</v>
      </c>
      <c r="F222" s="420" t="s">
        <v>1450</v>
      </c>
      <c r="G222" s="420" t="s">
        <v>1464</v>
      </c>
      <c r="H222" s="420"/>
      <c r="I222" s="420" t="s">
        <v>1614</v>
      </c>
      <c r="J222" s="420" t="s">
        <v>43</v>
      </c>
      <c r="K222" s="422" t="s">
        <v>43</v>
      </c>
      <c r="L222" s="420" t="s">
        <v>572</v>
      </c>
      <c r="M222" s="420" t="s">
        <v>44</v>
      </c>
      <c r="N222" s="420">
        <v>27.311699999999998</v>
      </c>
      <c r="O222" s="420">
        <v>97.415289999999999</v>
      </c>
      <c r="P222" s="420" t="s">
        <v>584</v>
      </c>
      <c r="Q222" s="420" t="s">
        <v>574</v>
      </c>
      <c r="R222" s="432"/>
      <c r="S222" s="425"/>
      <c r="T222" s="437"/>
      <c r="U222" s="426" t="s">
        <v>806</v>
      </c>
      <c r="V222" s="420" t="s">
        <v>805</v>
      </c>
      <c r="W222" s="420"/>
      <c r="X222" s="423"/>
    </row>
    <row r="223" spans="1:24" s="68" customFormat="1" ht="14.25" customHeight="1">
      <c r="A223" s="420" t="s">
        <v>37</v>
      </c>
      <c r="B223" s="422" t="s">
        <v>214</v>
      </c>
      <c r="C223" s="422" t="s">
        <v>1592</v>
      </c>
      <c r="D223" s="383"/>
      <c r="E223" s="420"/>
      <c r="F223" s="420"/>
      <c r="G223" s="420"/>
      <c r="H223" s="420"/>
      <c r="I223" s="420"/>
      <c r="J223" s="420" t="s">
        <v>1094</v>
      </c>
      <c r="K223" s="420" t="s">
        <v>43</v>
      </c>
      <c r="L223" s="420" t="s">
        <v>587</v>
      </c>
      <c r="M223" s="420" t="s">
        <v>589</v>
      </c>
      <c r="N223" s="420"/>
      <c r="O223" s="420"/>
      <c r="P223" s="420" t="s">
        <v>573</v>
      </c>
      <c r="Q223" s="420"/>
      <c r="R223" s="424"/>
      <c r="S223" s="424"/>
      <c r="T223" s="437">
        <v>43298</v>
      </c>
      <c r="U223" s="426"/>
      <c r="V223" s="420"/>
      <c r="W223" s="420"/>
      <c r="X223" s="383"/>
    </row>
    <row r="224" spans="1:24" s="68" customFormat="1" ht="14.25" customHeight="1">
      <c r="A224" s="420" t="s">
        <v>37</v>
      </c>
      <c r="B224" s="422" t="s">
        <v>214</v>
      </c>
      <c r="C224" s="422" t="s">
        <v>1585</v>
      </c>
      <c r="D224" s="423" t="s">
        <v>3235</v>
      </c>
      <c r="E224" s="420" t="s">
        <v>2148</v>
      </c>
      <c r="F224" s="420"/>
      <c r="G224" s="420"/>
      <c r="H224" s="420"/>
      <c r="I224" s="420" t="s">
        <v>1614</v>
      </c>
      <c r="J224" s="420" t="s">
        <v>43</v>
      </c>
      <c r="K224" s="420" t="s">
        <v>43</v>
      </c>
      <c r="L224" s="420" t="s">
        <v>587</v>
      </c>
      <c r="M224" s="420" t="s">
        <v>589</v>
      </c>
      <c r="N224" s="420">
        <v>24.590350000000001</v>
      </c>
      <c r="O224" s="420">
        <v>96.95626</v>
      </c>
      <c r="P224" s="420" t="s">
        <v>573</v>
      </c>
      <c r="Q224" s="420"/>
      <c r="R224" s="432">
        <v>292</v>
      </c>
      <c r="S224" s="425">
        <v>1299</v>
      </c>
      <c r="T224" s="437">
        <v>43628</v>
      </c>
      <c r="U224" s="426"/>
      <c r="V224" s="422" t="s">
        <v>1585</v>
      </c>
      <c r="W224" s="420" t="s">
        <v>2149</v>
      </c>
      <c r="X224" s="423"/>
    </row>
    <row r="225" spans="1:24" s="68" customFormat="1" ht="14.25" customHeight="1">
      <c r="A225" s="420" t="s">
        <v>37</v>
      </c>
      <c r="B225" s="422" t="s">
        <v>214</v>
      </c>
      <c r="C225" s="422" t="s">
        <v>215</v>
      </c>
      <c r="D225" s="423" t="s">
        <v>3235</v>
      </c>
      <c r="E225" s="420" t="s">
        <v>1107</v>
      </c>
      <c r="F225" s="420" t="s">
        <v>1379</v>
      </c>
      <c r="G225" s="420" t="s">
        <v>1379</v>
      </c>
      <c r="H225" s="420" t="s">
        <v>41</v>
      </c>
      <c r="I225" s="420" t="s">
        <v>2111</v>
      </c>
      <c r="J225" s="420" t="s">
        <v>43</v>
      </c>
      <c r="K225" s="420" t="s">
        <v>43</v>
      </c>
      <c r="L225" s="420" t="s">
        <v>43</v>
      </c>
      <c r="M225" s="420" t="s">
        <v>44</v>
      </c>
      <c r="N225" s="420">
        <v>24.200361000000001</v>
      </c>
      <c r="O225" s="420">
        <v>96.807353000000006</v>
      </c>
      <c r="P225" s="420" t="s">
        <v>573</v>
      </c>
      <c r="Q225" s="420" t="s">
        <v>591</v>
      </c>
      <c r="R225" s="432">
        <v>46</v>
      </c>
      <c r="S225" s="425">
        <v>249</v>
      </c>
      <c r="T225" s="437"/>
      <c r="U225" s="426"/>
      <c r="V225" s="420" t="s">
        <v>215</v>
      </c>
      <c r="W225" s="420"/>
      <c r="X225" s="423"/>
    </row>
    <row r="226" spans="1:24" s="68" customFormat="1" ht="14.25" customHeight="1">
      <c r="A226" s="420" t="s">
        <v>37</v>
      </c>
      <c r="B226" s="422" t="s">
        <v>214</v>
      </c>
      <c r="C226" s="422" t="s">
        <v>216</v>
      </c>
      <c r="D226" s="423" t="s">
        <v>3235</v>
      </c>
      <c r="E226" s="420" t="s">
        <v>1108</v>
      </c>
      <c r="F226" s="420" t="s">
        <v>1379</v>
      </c>
      <c r="G226" s="420" t="s">
        <v>1379</v>
      </c>
      <c r="H226" s="420" t="s">
        <v>41</v>
      </c>
      <c r="I226" s="420" t="s">
        <v>42</v>
      </c>
      <c r="J226" s="420" t="s">
        <v>43</v>
      </c>
      <c r="K226" s="420" t="s">
        <v>43</v>
      </c>
      <c r="L226" s="420" t="s">
        <v>43</v>
      </c>
      <c r="M226" s="420" t="s">
        <v>44</v>
      </c>
      <c r="N226" s="420">
        <v>24.200367</v>
      </c>
      <c r="O226" s="420">
        <v>96.807353000000006</v>
      </c>
      <c r="P226" s="420" t="s">
        <v>573</v>
      </c>
      <c r="Q226" s="420" t="s">
        <v>591</v>
      </c>
      <c r="R226" s="432">
        <v>33</v>
      </c>
      <c r="S226" s="425">
        <v>152</v>
      </c>
      <c r="T226" s="437"/>
      <c r="U226" s="426"/>
      <c r="V226" s="420" t="s">
        <v>216</v>
      </c>
      <c r="W226" s="420"/>
      <c r="X226" s="423"/>
    </row>
    <row r="227" spans="1:24" s="68" customFormat="1" ht="14.25" customHeight="1">
      <c r="A227" s="425" t="s">
        <v>37</v>
      </c>
      <c r="B227" s="428" t="s">
        <v>214</v>
      </c>
      <c r="C227" s="429" t="s">
        <v>857</v>
      </c>
      <c r="D227" s="423" t="s">
        <v>2241</v>
      </c>
      <c r="E227" s="420"/>
      <c r="F227" s="420"/>
      <c r="G227" s="420"/>
      <c r="H227" s="420"/>
      <c r="I227" s="420"/>
      <c r="J227" s="420" t="s">
        <v>810</v>
      </c>
      <c r="K227" s="422" t="s">
        <v>43</v>
      </c>
      <c r="L227" s="422" t="s">
        <v>43</v>
      </c>
      <c r="M227" s="420" t="s">
        <v>44</v>
      </c>
      <c r="N227" s="420"/>
      <c r="O227" s="420"/>
      <c r="P227" s="420" t="s">
        <v>573</v>
      </c>
      <c r="Q227" s="420"/>
      <c r="R227" s="432"/>
      <c r="S227" s="425"/>
      <c r="T227" s="437"/>
      <c r="U227" s="426"/>
      <c r="V227" s="420" t="s">
        <v>857</v>
      </c>
      <c r="W227" s="420"/>
      <c r="X227" s="423"/>
    </row>
    <row r="228" spans="1:24" s="68" customFormat="1" ht="14.25" customHeight="1">
      <c r="A228" s="425" t="s">
        <v>37</v>
      </c>
      <c r="B228" s="428" t="s">
        <v>214</v>
      </c>
      <c r="C228" s="429" t="s">
        <v>727</v>
      </c>
      <c r="D228" s="423" t="s">
        <v>2241</v>
      </c>
      <c r="E228" s="420" t="s">
        <v>1116</v>
      </c>
      <c r="F228" s="420"/>
      <c r="G228" s="420"/>
      <c r="H228" s="420"/>
      <c r="I228" s="420">
        <v>0</v>
      </c>
      <c r="J228" s="420" t="s">
        <v>43</v>
      </c>
      <c r="K228" s="422" t="s">
        <v>43</v>
      </c>
      <c r="L228" s="422" t="s">
        <v>43</v>
      </c>
      <c r="M228" s="420" t="s">
        <v>44</v>
      </c>
      <c r="N228" s="420">
        <v>24.224830999999998</v>
      </c>
      <c r="O228" s="420">
        <v>96.793177</v>
      </c>
      <c r="P228" s="420" t="s">
        <v>573</v>
      </c>
      <c r="Q228" s="420" t="s">
        <v>574</v>
      </c>
      <c r="R228" s="432">
        <v>0</v>
      </c>
      <c r="S228" s="425">
        <v>0</v>
      </c>
      <c r="T228" s="437">
        <v>42983</v>
      </c>
      <c r="U228" s="426" t="s">
        <v>728</v>
      </c>
      <c r="V228" s="420"/>
      <c r="W228" s="420" t="s">
        <v>1659</v>
      </c>
      <c r="X228" s="423"/>
    </row>
    <row r="229" spans="1:24" s="68" customFormat="1" ht="14.25" customHeight="1">
      <c r="A229" s="425" t="s">
        <v>37</v>
      </c>
      <c r="B229" s="428" t="s">
        <v>214</v>
      </c>
      <c r="C229" s="429" t="s">
        <v>1591</v>
      </c>
      <c r="D229" s="423"/>
      <c r="E229" s="420"/>
      <c r="F229" s="420"/>
      <c r="G229" s="420"/>
      <c r="H229" s="420"/>
      <c r="I229" s="420"/>
      <c r="J229" s="420" t="s">
        <v>1094</v>
      </c>
      <c r="K229" s="420" t="s">
        <v>43</v>
      </c>
      <c r="L229" s="420" t="s">
        <v>587</v>
      </c>
      <c r="M229" s="420" t="s">
        <v>589</v>
      </c>
      <c r="N229" s="420"/>
      <c r="O229" s="420"/>
      <c r="P229" s="420" t="s">
        <v>573</v>
      </c>
      <c r="Q229" s="420"/>
      <c r="R229" s="432"/>
      <c r="S229" s="425"/>
      <c r="T229" s="437">
        <v>43298</v>
      </c>
      <c r="U229" s="432"/>
      <c r="V229" s="420"/>
      <c r="W229" s="424"/>
      <c r="X229" s="423"/>
    </row>
    <row r="230" spans="1:24" s="68" customFormat="1" ht="14.25" customHeight="1">
      <c r="A230" s="425" t="s">
        <v>37</v>
      </c>
      <c r="B230" s="428" t="s">
        <v>214</v>
      </c>
      <c r="C230" s="429" t="s">
        <v>1589</v>
      </c>
      <c r="D230" s="423"/>
      <c r="E230" s="420"/>
      <c r="F230" s="420"/>
      <c r="G230" s="420"/>
      <c r="H230" s="420"/>
      <c r="I230" s="420"/>
      <c r="J230" s="420" t="s">
        <v>1094</v>
      </c>
      <c r="K230" s="420" t="s">
        <v>43</v>
      </c>
      <c r="L230" s="420" t="s">
        <v>587</v>
      </c>
      <c r="M230" s="420" t="s">
        <v>589</v>
      </c>
      <c r="N230" s="420"/>
      <c r="O230" s="420"/>
      <c r="P230" s="420" t="s">
        <v>573</v>
      </c>
      <c r="Q230" s="420"/>
      <c r="R230" s="432"/>
      <c r="S230" s="425"/>
      <c r="T230" s="437">
        <v>43298</v>
      </c>
      <c r="U230" s="432"/>
      <c r="V230" s="420"/>
      <c r="W230" s="424"/>
      <c r="X230" s="423"/>
    </row>
    <row r="231" spans="1:24" s="68" customFormat="1" ht="14.25" customHeight="1">
      <c r="A231" s="420" t="s">
        <v>37</v>
      </c>
      <c r="B231" s="420" t="s">
        <v>184</v>
      </c>
      <c r="C231" s="420" t="s">
        <v>2109</v>
      </c>
      <c r="D231" s="423" t="s">
        <v>3233</v>
      </c>
      <c r="E231" s="420" t="s">
        <v>2110</v>
      </c>
      <c r="F231" s="420">
        <v>0</v>
      </c>
      <c r="G231" s="420">
        <v>0</v>
      </c>
      <c r="H231" s="420"/>
      <c r="I231" s="420" t="s">
        <v>1614</v>
      </c>
      <c r="J231" s="420" t="s">
        <v>43</v>
      </c>
      <c r="K231" s="420" t="s">
        <v>43</v>
      </c>
      <c r="L231" s="420" t="s">
        <v>572</v>
      </c>
      <c r="M231" s="420" t="s">
        <v>44</v>
      </c>
      <c r="N231" s="420">
        <v>26.299828999999999</v>
      </c>
      <c r="O231" s="420">
        <v>97.487258999999995</v>
      </c>
      <c r="P231" s="17" t="s">
        <v>573</v>
      </c>
      <c r="Q231" s="420" t="s">
        <v>2080</v>
      </c>
      <c r="R231" s="432">
        <v>31</v>
      </c>
      <c r="S231" s="425">
        <v>171</v>
      </c>
      <c r="T231" s="437">
        <v>43579</v>
      </c>
      <c r="U231" s="426"/>
      <c r="V231" s="420"/>
      <c r="W231" s="420"/>
      <c r="X231" s="423"/>
    </row>
    <row r="232" spans="1:24" s="68" customFormat="1" ht="14.25" customHeight="1">
      <c r="A232" s="420" t="s">
        <v>37</v>
      </c>
      <c r="B232" s="422" t="s">
        <v>184</v>
      </c>
      <c r="C232" s="422" t="s">
        <v>185</v>
      </c>
      <c r="D232" s="423" t="s">
        <v>3235</v>
      </c>
      <c r="E232" s="420" t="s">
        <v>1247</v>
      </c>
      <c r="F232" s="420">
        <v>0</v>
      </c>
      <c r="G232" s="420">
        <v>0</v>
      </c>
      <c r="H232" s="420" t="s">
        <v>41</v>
      </c>
      <c r="I232" s="420" t="s">
        <v>2112</v>
      </c>
      <c r="J232" s="420" t="s">
        <v>43</v>
      </c>
      <c r="K232" s="420" t="s">
        <v>43</v>
      </c>
      <c r="L232" s="420" t="s">
        <v>43</v>
      </c>
      <c r="M232" s="420" t="s">
        <v>589</v>
      </c>
      <c r="N232" s="420">
        <v>26.569633</v>
      </c>
      <c r="O232" s="420">
        <v>97.745480999999998</v>
      </c>
      <c r="P232" s="17" t="s">
        <v>573</v>
      </c>
      <c r="Q232" s="420" t="s">
        <v>574</v>
      </c>
      <c r="R232" s="432">
        <v>123</v>
      </c>
      <c r="S232" s="425">
        <v>646</v>
      </c>
      <c r="T232" s="437"/>
      <c r="U232" s="426"/>
      <c r="V232" s="420" t="s">
        <v>796</v>
      </c>
      <c r="W232" s="420"/>
      <c r="X232" s="423"/>
    </row>
    <row r="233" spans="1:24" s="68" customFormat="1" ht="14.25" customHeight="1">
      <c r="A233" s="422" t="s">
        <v>37</v>
      </c>
      <c r="B233" s="422" t="s">
        <v>184</v>
      </c>
      <c r="C233" s="422" t="s">
        <v>845</v>
      </c>
      <c r="D233" s="383" t="s">
        <v>1294</v>
      </c>
      <c r="E233" s="420"/>
      <c r="F233" s="420"/>
      <c r="G233" s="420"/>
      <c r="H233" s="420"/>
      <c r="I233" s="422"/>
      <c r="J233" s="420" t="s">
        <v>43</v>
      </c>
      <c r="K233" s="420" t="s">
        <v>43</v>
      </c>
      <c r="L233" s="420" t="s">
        <v>810</v>
      </c>
      <c r="M233" s="420" t="s">
        <v>44</v>
      </c>
      <c r="N233" s="420"/>
      <c r="O233" s="420"/>
      <c r="P233" s="420" t="s">
        <v>573</v>
      </c>
      <c r="Q233" s="420"/>
      <c r="R233" s="424"/>
      <c r="S233" s="424"/>
      <c r="T233" s="437"/>
      <c r="U233" s="426"/>
      <c r="V233" s="420" t="s">
        <v>845</v>
      </c>
      <c r="W233" s="420"/>
      <c r="X233" s="383"/>
    </row>
    <row r="234" spans="1:24" s="68" customFormat="1" ht="14.25" customHeight="1">
      <c r="A234" s="425" t="s">
        <v>37</v>
      </c>
      <c r="B234" s="428" t="s">
        <v>184</v>
      </c>
      <c r="C234" s="429" t="s">
        <v>187</v>
      </c>
      <c r="D234" s="423" t="s">
        <v>3235</v>
      </c>
      <c r="E234" s="420" t="s">
        <v>1246</v>
      </c>
      <c r="F234" s="420">
        <v>0</v>
      </c>
      <c r="G234" s="420">
        <v>0</v>
      </c>
      <c r="H234" s="420" t="s">
        <v>41</v>
      </c>
      <c r="I234" s="420" t="s">
        <v>2112</v>
      </c>
      <c r="J234" s="420" t="s">
        <v>43</v>
      </c>
      <c r="K234" s="420" t="s">
        <v>43</v>
      </c>
      <c r="L234" s="420" t="s">
        <v>43</v>
      </c>
      <c r="M234" s="420" t="s">
        <v>589</v>
      </c>
      <c r="N234" s="420">
        <v>26.548506</v>
      </c>
      <c r="O234" s="420">
        <v>97.75609</v>
      </c>
      <c r="P234" s="420" t="s">
        <v>573</v>
      </c>
      <c r="Q234" s="420" t="s">
        <v>574</v>
      </c>
      <c r="R234" s="432">
        <v>72</v>
      </c>
      <c r="S234" s="425">
        <v>341</v>
      </c>
      <c r="T234" s="437">
        <v>42788</v>
      </c>
      <c r="U234" s="432"/>
      <c r="V234" s="420"/>
      <c r="W234" s="424"/>
      <c r="X234" s="423"/>
    </row>
    <row r="235" spans="1:24" s="68" customFormat="1" ht="14.25" customHeight="1">
      <c r="A235" s="422" t="s">
        <v>37</v>
      </c>
      <c r="B235" s="422" t="s">
        <v>184</v>
      </c>
      <c r="C235" s="422" t="s">
        <v>184</v>
      </c>
      <c r="D235" s="423" t="s">
        <v>2702</v>
      </c>
      <c r="E235" s="422" t="s">
        <v>1245</v>
      </c>
      <c r="F235" s="420" t="s">
        <v>1462</v>
      </c>
      <c r="G235" s="420">
        <v>0</v>
      </c>
      <c r="H235" s="422"/>
      <c r="I235" s="422" t="s">
        <v>1614</v>
      </c>
      <c r="J235" s="422" t="s">
        <v>43</v>
      </c>
      <c r="K235" s="422" t="s">
        <v>43</v>
      </c>
      <c r="L235" s="420" t="s">
        <v>572</v>
      </c>
      <c r="M235" s="422" t="s">
        <v>44</v>
      </c>
      <c r="N235" s="422">
        <v>26.541930000000001</v>
      </c>
      <c r="O235" s="422">
        <v>97.568836000000005</v>
      </c>
      <c r="P235" s="420" t="s">
        <v>573</v>
      </c>
      <c r="Q235" s="422" t="s">
        <v>574</v>
      </c>
      <c r="R235" s="432"/>
      <c r="S235" s="425"/>
      <c r="T235" s="438"/>
      <c r="U235" s="430" t="s">
        <v>795</v>
      </c>
      <c r="V235" s="420" t="s">
        <v>184</v>
      </c>
      <c r="W235" s="420"/>
      <c r="X235" s="423"/>
    </row>
    <row r="236" spans="1:24" s="68" customFormat="1" ht="14.25" customHeight="1">
      <c r="A236" s="429" t="s">
        <v>37</v>
      </c>
      <c r="B236" s="428" t="s">
        <v>184</v>
      </c>
      <c r="C236" s="429" t="s">
        <v>867</v>
      </c>
      <c r="D236" s="423" t="s">
        <v>2241</v>
      </c>
      <c r="E236" s="427"/>
      <c r="F236" s="420"/>
      <c r="G236" s="420"/>
      <c r="H236" s="420"/>
      <c r="I236" s="420"/>
      <c r="J236" s="420" t="s">
        <v>1094</v>
      </c>
      <c r="K236" s="422" t="s">
        <v>43</v>
      </c>
      <c r="L236" s="422" t="s">
        <v>43</v>
      </c>
      <c r="M236" s="420" t="s">
        <v>44</v>
      </c>
      <c r="N236" s="420"/>
      <c r="O236" s="420"/>
      <c r="P236" s="420" t="s">
        <v>573</v>
      </c>
      <c r="Q236" s="420" t="s">
        <v>574</v>
      </c>
      <c r="R236" s="432"/>
      <c r="S236" s="425"/>
      <c r="T236" s="437">
        <v>42788</v>
      </c>
      <c r="U236" s="430"/>
      <c r="V236" s="420"/>
      <c r="W236" s="420"/>
      <c r="X236" s="423"/>
    </row>
    <row r="237" spans="1:24" s="68" customFormat="1" ht="14.25" customHeight="1">
      <c r="A237" s="420" t="s">
        <v>37</v>
      </c>
      <c r="B237" s="422" t="s">
        <v>858</v>
      </c>
      <c r="C237" s="422" t="s">
        <v>1571</v>
      </c>
      <c r="D237" s="383"/>
      <c r="E237" s="420"/>
      <c r="F237" s="420"/>
      <c r="G237" s="420"/>
      <c r="H237" s="420"/>
      <c r="I237" s="420"/>
      <c r="J237" s="420" t="s">
        <v>1094</v>
      </c>
      <c r="K237" s="420" t="s">
        <v>43</v>
      </c>
      <c r="L237" s="422" t="s">
        <v>587</v>
      </c>
      <c r="M237" s="420"/>
      <c r="N237" s="420"/>
      <c r="O237" s="420"/>
      <c r="P237" s="420" t="s">
        <v>573</v>
      </c>
      <c r="Q237" s="420" t="s">
        <v>1525</v>
      </c>
      <c r="R237" s="424"/>
      <c r="S237" s="424"/>
      <c r="T237" s="437">
        <v>43285</v>
      </c>
      <c r="U237" s="160" t="s">
        <v>1576</v>
      </c>
      <c r="V237" s="420"/>
      <c r="W237" s="358"/>
      <c r="X237" s="383"/>
    </row>
    <row r="238" spans="1:24" s="68" customFormat="1" ht="14.25" customHeight="1">
      <c r="A238" s="420" t="s">
        <v>37</v>
      </c>
      <c r="B238" s="422" t="s">
        <v>858</v>
      </c>
      <c r="C238" s="422" t="s">
        <v>1572</v>
      </c>
      <c r="D238" s="383"/>
      <c r="E238" s="420"/>
      <c r="F238" s="420"/>
      <c r="G238" s="420"/>
      <c r="H238" s="420"/>
      <c r="I238" s="420"/>
      <c r="J238" s="420" t="s">
        <v>1094</v>
      </c>
      <c r="K238" s="420" t="s">
        <v>43</v>
      </c>
      <c r="L238" s="420" t="s">
        <v>587</v>
      </c>
      <c r="M238" s="420"/>
      <c r="N238" s="420"/>
      <c r="O238" s="420"/>
      <c r="P238" s="420" t="s">
        <v>573</v>
      </c>
      <c r="Q238" s="420" t="s">
        <v>1525</v>
      </c>
      <c r="R238" s="424"/>
      <c r="S238" s="424"/>
      <c r="T238" s="437">
        <v>43285</v>
      </c>
      <c r="U238" s="426" t="s">
        <v>1576</v>
      </c>
      <c r="V238" s="420"/>
      <c r="W238" s="420"/>
      <c r="X238" s="383"/>
    </row>
    <row r="239" spans="1:24" s="68" customFormat="1" ht="14.25" customHeight="1">
      <c r="A239" s="420" t="s">
        <v>37</v>
      </c>
      <c r="B239" s="422" t="s">
        <v>858</v>
      </c>
      <c r="C239" s="422" t="s">
        <v>1712</v>
      </c>
      <c r="D239" s="423" t="s">
        <v>3235</v>
      </c>
      <c r="E239" s="420" t="s">
        <v>1261</v>
      </c>
      <c r="F239" s="420" t="s">
        <v>858</v>
      </c>
      <c r="G239" s="420">
        <v>0</v>
      </c>
      <c r="H239" s="420" t="s">
        <v>41</v>
      </c>
      <c r="I239" s="420" t="s">
        <v>1030</v>
      </c>
      <c r="J239" s="420" t="s">
        <v>43</v>
      </c>
      <c r="K239" s="420" t="s">
        <v>43</v>
      </c>
      <c r="L239" s="422" t="s">
        <v>43</v>
      </c>
      <c r="M239" s="420" t="s">
        <v>44</v>
      </c>
      <c r="N239" s="420">
        <v>26.350176000000001</v>
      </c>
      <c r="O239" s="420">
        <v>96.711387999999999</v>
      </c>
      <c r="P239" s="420" t="s">
        <v>573</v>
      </c>
      <c r="Q239" s="420" t="s">
        <v>664</v>
      </c>
      <c r="R239" s="432">
        <v>133</v>
      </c>
      <c r="S239" s="425">
        <v>628</v>
      </c>
      <c r="T239" s="437">
        <v>43444</v>
      </c>
      <c r="U239" s="426" t="s">
        <v>1711</v>
      </c>
      <c r="V239" s="420" t="s">
        <v>862</v>
      </c>
      <c r="W239" s="358" t="s">
        <v>1711</v>
      </c>
      <c r="X239" s="423"/>
    </row>
    <row r="240" spans="1:24" s="68" customFormat="1" ht="14.25" customHeight="1">
      <c r="A240" s="420" t="s">
        <v>37</v>
      </c>
      <c r="B240" s="422" t="s">
        <v>858</v>
      </c>
      <c r="C240" s="422" t="s">
        <v>1562</v>
      </c>
      <c r="D240" s="383" t="s">
        <v>1714</v>
      </c>
      <c r="E240" s="422" t="s">
        <v>1258</v>
      </c>
      <c r="F240" s="420" t="s">
        <v>858</v>
      </c>
      <c r="G240" s="420">
        <v>0</v>
      </c>
      <c r="H240" s="420"/>
      <c r="I240" s="420" t="s">
        <v>1614</v>
      </c>
      <c r="J240" s="420" t="s">
        <v>43</v>
      </c>
      <c r="K240" s="420" t="s">
        <v>43</v>
      </c>
      <c r="L240" s="420" t="s">
        <v>572</v>
      </c>
      <c r="M240" s="420" t="s">
        <v>44</v>
      </c>
      <c r="N240" s="420"/>
      <c r="O240" s="420"/>
      <c r="P240" s="420" t="s">
        <v>573</v>
      </c>
      <c r="Q240" s="420" t="s">
        <v>664</v>
      </c>
      <c r="R240" s="424"/>
      <c r="S240" s="424"/>
      <c r="T240" s="437">
        <v>43444</v>
      </c>
      <c r="U240" s="426" t="s">
        <v>2115</v>
      </c>
      <c r="V240" s="420"/>
      <c r="W240" s="358" t="s">
        <v>1713</v>
      </c>
      <c r="X240" s="383"/>
    </row>
    <row r="241" spans="1:24" s="68" customFormat="1" ht="14.25" customHeight="1">
      <c r="A241" s="429" t="s">
        <v>37</v>
      </c>
      <c r="B241" s="428" t="s">
        <v>858</v>
      </c>
      <c r="C241" s="422" t="s">
        <v>860</v>
      </c>
      <c r="D241" s="423" t="s">
        <v>3235</v>
      </c>
      <c r="E241" s="422" t="s">
        <v>1259</v>
      </c>
      <c r="F241" s="420" t="s">
        <v>858</v>
      </c>
      <c r="G241" s="420">
        <v>0</v>
      </c>
      <c r="H241" s="420" t="s">
        <v>41</v>
      </c>
      <c r="I241" s="420" t="s">
        <v>1030</v>
      </c>
      <c r="J241" s="420" t="s">
        <v>43</v>
      </c>
      <c r="K241" s="420" t="s">
        <v>43</v>
      </c>
      <c r="L241" s="420" t="s">
        <v>43</v>
      </c>
      <c r="M241" s="420" t="s">
        <v>44</v>
      </c>
      <c r="N241" s="420">
        <v>26.351690999999999</v>
      </c>
      <c r="O241" s="420">
        <v>96.690871999999999</v>
      </c>
      <c r="P241" s="420" t="s">
        <v>573</v>
      </c>
      <c r="Q241" s="420" t="s">
        <v>664</v>
      </c>
      <c r="R241" s="432">
        <v>37</v>
      </c>
      <c r="S241" s="425">
        <v>175</v>
      </c>
      <c r="T241" s="437">
        <v>42983</v>
      </c>
      <c r="U241" s="426" t="s">
        <v>859</v>
      </c>
      <c r="V241" s="420"/>
      <c r="W241" s="420" t="s">
        <v>1743</v>
      </c>
      <c r="X241" s="423"/>
    </row>
    <row r="242" spans="1:24" s="68" customFormat="1" ht="14.25" customHeight="1">
      <c r="A242" s="420" t="s">
        <v>37</v>
      </c>
      <c r="B242" s="420" t="s">
        <v>858</v>
      </c>
      <c r="C242" s="420" t="s">
        <v>1610</v>
      </c>
      <c r="D242" s="423" t="s">
        <v>3235</v>
      </c>
      <c r="E242" s="420" t="s">
        <v>1260</v>
      </c>
      <c r="F242" s="420" t="s">
        <v>858</v>
      </c>
      <c r="G242" s="420">
        <v>0</v>
      </c>
      <c r="H242" s="420" t="s">
        <v>41</v>
      </c>
      <c r="I242" s="420" t="s">
        <v>2112</v>
      </c>
      <c r="J242" s="420" t="s">
        <v>43</v>
      </c>
      <c r="K242" s="420" t="s">
        <v>43</v>
      </c>
      <c r="L242" s="420" t="s">
        <v>43</v>
      </c>
      <c r="M242" s="420" t="s">
        <v>44</v>
      </c>
      <c r="N242" s="420">
        <v>26.356223</v>
      </c>
      <c r="O242" s="420">
        <v>96.721439000000004</v>
      </c>
      <c r="P242" s="420" t="s">
        <v>573</v>
      </c>
      <c r="Q242" s="420" t="s">
        <v>664</v>
      </c>
      <c r="R242" s="432">
        <v>108</v>
      </c>
      <c r="S242" s="425">
        <v>479</v>
      </c>
      <c r="T242" s="437">
        <v>42983</v>
      </c>
      <c r="U242" s="426" t="s">
        <v>861</v>
      </c>
      <c r="V242" s="420"/>
      <c r="W242" s="420" t="s">
        <v>1744</v>
      </c>
      <c r="X242" s="423"/>
    </row>
    <row r="243" spans="1:24" s="68" customFormat="1" ht="14.25" customHeight="1">
      <c r="A243" s="420" t="s">
        <v>37</v>
      </c>
      <c r="B243" s="420" t="s">
        <v>858</v>
      </c>
      <c r="C243" s="420" t="s">
        <v>1534</v>
      </c>
      <c r="D243" s="383"/>
      <c r="E243" s="420"/>
      <c r="F243" s="420"/>
      <c r="G243" s="420"/>
      <c r="H243" s="420"/>
      <c r="I243" s="420"/>
      <c r="J243" s="420" t="s">
        <v>1094</v>
      </c>
      <c r="K243" s="420" t="s">
        <v>43</v>
      </c>
      <c r="L243" s="420" t="s">
        <v>43</v>
      </c>
      <c r="M243" s="420" t="s">
        <v>44</v>
      </c>
      <c r="N243" s="420"/>
      <c r="O243" s="420"/>
      <c r="P243" s="420" t="s">
        <v>573</v>
      </c>
      <c r="Q243" s="420" t="s">
        <v>1525</v>
      </c>
      <c r="R243" s="424"/>
      <c r="S243" s="425"/>
      <c r="T243" s="437">
        <v>43270</v>
      </c>
      <c r="U243" s="426"/>
      <c r="V243" s="420"/>
      <c r="W243" s="420"/>
      <c r="X243" s="383"/>
    </row>
    <row r="244" spans="1:24" s="68" customFormat="1" ht="14.25" customHeight="1">
      <c r="A244" s="420" t="s">
        <v>37</v>
      </c>
      <c r="B244" s="420" t="s">
        <v>142</v>
      </c>
      <c r="C244" s="420" t="s">
        <v>236</v>
      </c>
      <c r="D244" s="423" t="s">
        <v>3235</v>
      </c>
      <c r="E244" s="420" t="s">
        <v>1160</v>
      </c>
      <c r="F244" s="420" t="s">
        <v>1408</v>
      </c>
      <c r="G244" s="420" t="s">
        <v>1406</v>
      </c>
      <c r="H244" s="420" t="s">
        <v>41</v>
      </c>
      <c r="I244" s="420" t="s">
        <v>1030</v>
      </c>
      <c r="J244" s="420" t="s">
        <v>43</v>
      </c>
      <c r="K244" s="420" t="s">
        <v>43</v>
      </c>
      <c r="L244" s="420" t="s">
        <v>43</v>
      </c>
      <c r="M244" s="420" t="s">
        <v>589</v>
      </c>
      <c r="N244" s="420">
        <v>25.220278</v>
      </c>
      <c r="O244" s="420">
        <v>97.915833000000006</v>
      </c>
      <c r="P244" s="420" t="s">
        <v>573</v>
      </c>
      <c r="Q244" s="420" t="s">
        <v>591</v>
      </c>
      <c r="R244" s="432">
        <v>48</v>
      </c>
      <c r="S244" s="425">
        <v>258</v>
      </c>
      <c r="T244" s="437"/>
      <c r="U244" s="426"/>
      <c r="V244" s="420" t="s">
        <v>236</v>
      </c>
      <c r="W244" s="420"/>
      <c r="X244" s="423"/>
    </row>
    <row r="245" spans="1:24" s="68" customFormat="1" ht="14.25" customHeight="1">
      <c r="A245" s="420" t="s">
        <v>37</v>
      </c>
      <c r="B245" s="420" t="s">
        <v>142</v>
      </c>
      <c r="C245" s="420" t="s">
        <v>219</v>
      </c>
      <c r="D245" s="383"/>
      <c r="E245" s="420"/>
      <c r="F245" s="420"/>
      <c r="G245" s="420"/>
      <c r="H245" s="420"/>
      <c r="I245" s="422"/>
      <c r="J245" s="420" t="s">
        <v>1094</v>
      </c>
      <c r="K245" s="420" t="s">
        <v>43</v>
      </c>
      <c r="L245" s="420" t="s">
        <v>752</v>
      </c>
      <c r="M245" s="420" t="s">
        <v>589</v>
      </c>
      <c r="N245" s="420"/>
      <c r="O245" s="420"/>
      <c r="P245" s="420" t="s">
        <v>573</v>
      </c>
      <c r="Q245" s="420" t="s">
        <v>591</v>
      </c>
      <c r="R245" s="424"/>
      <c r="S245" s="424"/>
      <c r="T245" s="437"/>
      <c r="U245" s="426" t="s">
        <v>818</v>
      </c>
      <c r="V245" s="420" t="s">
        <v>219</v>
      </c>
      <c r="W245" s="420"/>
      <c r="X245" s="383"/>
    </row>
    <row r="246" spans="1:24" s="68" customFormat="1" ht="14.25" customHeight="1">
      <c r="A246" s="425" t="s">
        <v>37</v>
      </c>
      <c r="B246" s="428" t="s">
        <v>142</v>
      </c>
      <c r="C246" s="429" t="s">
        <v>2711</v>
      </c>
      <c r="D246" s="423" t="s">
        <v>3235</v>
      </c>
      <c r="E246" s="420" t="s">
        <v>2722</v>
      </c>
      <c r="F246" s="420" t="s">
        <v>2725</v>
      </c>
      <c r="G246" s="420" t="s">
        <v>2163</v>
      </c>
      <c r="H246" s="420"/>
      <c r="I246" s="767" t="s">
        <v>2732</v>
      </c>
      <c r="J246" s="420" t="s">
        <v>43</v>
      </c>
      <c r="K246" s="420" t="s">
        <v>43</v>
      </c>
      <c r="L246" s="420" t="s">
        <v>587</v>
      </c>
      <c r="M246" s="420" t="s">
        <v>44</v>
      </c>
      <c r="N246" s="420"/>
      <c r="O246" s="420"/>
      <c r="P246" s="420" t="s">
        <v>573</v>
      </c>
      <c r="Q246" s="420" t="s">
        <v>2731</v>
      </c>
      <c r="R246" s="432">
        <v>29</v>
      </c>
      <c r="S246" s="425">
        <v>166</v>
      </c>
      <c r="T246" s="437">
        <v>44662</v>
      </c>
      <c r="U246" s="426" t="s">
        <v>2730</v>
      </c>
      <c r="V246" s="424"/>
      <c r="W246" s="674" t="s">
        <v>2735</v>
      </c>
      <c r="X246" s="423"/>
    </row>
    <row r="247" spans="1:24" s="68" customFormat="1" ht="14.25" customHeight="1">
      <c r="A247" s="425" t="s">
        <v>37</v>
      </c>
      <c r="B247" s="428" t="s">
        <v>142</v>
      </c>
      <c r="C247" s="429" t="s">
        <v>2712</v>
      </c>
      <c r="D247" s="423" t="s">
        <v>3235</v>
      </c>
      <c r="E247" s="420" t="s">
        <v>2723</v>
      </c>
      <c r="F247" s="420" t="s">
        <v>2725</v>
      </c>
      <c r="G247" s="420" t="s">
        <v>2163</v>
      </c>
      <c r="H247" s="420"/>
      <c r="I247" s="767" t="s">
        <v>2732</v>
      </c>
      <c r="J247" s="420" t="s">
        <v>43</v>
      </c>
      <c r="K247" s="420" t="s">
        <v>43</v>
      </c>
      <c r="L247" s="420" t="s">
        <v>587</v>
      </c>
      <c r="M247" s="420" t="s">
        <v>44</v>
      </c>
      <c r="N247" s="420"/>
      <c r="O247" s="420"/>
      <c r="P247" s="420" t="s">
        <v>573</v>
      </c>
      <c r="Q247" s="420" t="s">
        <v>2731</v>
      </c>
      <c r="R247" s="432">
        <v>20</v>
      </c>
      <c r="S247" s="425">
        <v>133</v>
      </c>
      <c r="T247" s="437">
        <v>44662</v>
      </c>
      <c r="U247" s="426" t="s">
        <v>2730</v>
      </c>
      <c r="V247" s="424"/>
      <c r="W247" s="674" t="s">
        <v>2735</v>
      </c>
      <c r="X247" s="423"/>
    </row>
    <row r="248" spans="1:24" s="68" customFormat="1" ht="14.25" customHeight="1">
      <c r="A248" s="420" t="s">
        <v>37</v>
      </c>
      <c r="B248" s="420" t="s">
        <v>142</v>
      </c>
      <c r="C248" s="420" t="s">
        <v>220</v>
      </c>
      <c r="D248" s="383"/>
      <c r="E248" s="420"/>
      <c r="F248" s="420"/>
      <c r="G248" s="420"/>
      <c r="H248" s="420"/>
      <c r="I248" s="420"/>
      <c r="J248" s="420" t="s">
        <v>1094</v>
      </c>
      <c r="K248" s="420" t="s">
        <v>43</v>
      </c>
      <c r="L248" s="420" t="s">
        <v>752</v>
      </c>
      <c r="M248" s="420" t="s">
        <v>589</v>
      </c>
      <c r="N248" s="420"/>
      <c r="O248" s="420"/>
      <c r="P248" s="420" t="s">
        <v>573</v>
      </c>
      <c r="Q248" s="420" t="s">
        <v>591</v>
      </c>
      <c r="R248" s="424"/>
      <c r="S248" s="424"/>
      <c r="T248" s="437"/>
      <c r="U248" s="426" t="s">
        <v>818</v>
      </c>
      <c r="V248" s="420" t="s">
        <v>220</v>
      </c>
      <c r="W248" s="420"/>
      <c r="X248" s="383"/>
    </row>
    <row r="249" spans="1:24" s="68" customFormat="1" ht="14.25" customHeight="1">
      <c r="A249" s="420" t="s">
        <v>37</v>
      </c>
      <c r="B249" s="420" t="s">
        <v>142</v>
      </c>
      <c r="C249" s="420" t="s">
        <v>768</v>
      </c>
      <c r="D249" s="423" t="s">
        <v>3235</v>
      </c>
      <c r="E249" s="420" t="s">
        <v>1167</v>
      </c>
      <c r="F249" s="420" t="s">
        <v>1460</v>
      </c>
      <c r="G249" s="420" t="s">
        <v>1461</v>
      </c>
      <c r="H249" s="420"/>
      <c r="I249" s="420" t="s">
        <v>1614</v>
      </c>
      <c r="J249" s="420" t="s">
        <v>43</v>
      </c>
      <c r="K249" s="420" t="s">
        <v>43</v>
      </c>
      <c r="L249" s="420" t="s">
        <v>587</v>
      </c>
      <c r="M249" s="420" t="s">
        <v>44</v>
      </c>
      <c r="N249" s="420">
        <v>25.305008999999998</v>
      </c>
      <c r="O249" s="420">
        <v>97.430321000000006</v>
      </c>
      <c r="P249" s="420" t="s">
        <v>573</v>
      </c>
      <c r="Q249" s="420" t="s">
        <v>608</v>
      </c>
      <c r="R249" s="432">
        <v>65</v>
      </c>
      <c r="S249" s="425">
        <v>382</v>
      </c>
      <c r="T249" s="437">
        <v>42916</v>
      </c>
      <c r="U249" s="426" t="s">
        <v>769</v>
      </c>
      <c r="V249" s="420"/>
      <c r="W249" s="420"/>
      <c r="X249" s="423"/>
    </row>
    <row r="250" spans="1:24" s="68" customFormat="1" ht="14.25" customHeight="1">
      <c r="A250" s="420" t="s">
        <v>37</v>
      </c>
      <c r="B250" s="420" t="s">
        <v>142</v>
      </c>
      <c r="C250" s="420" t="s">
        <v>268</v>
      </c>
      <c r="D250" s="423" t="s">
        <v>3235</v>
      </c>
      <c r="E250" s="422" t="s">
        <v>1169</v>
      </c>
      <c r="F250" s="420" t="s">
        <v>1413</v>
      </c>
      <c r="G250" s="420" t="s">
        <v>1413</v>
      </c>
      <c r="H250" s="420" t="s">
        <v>41</v>
      </c>
      <c r="I250" s="422" t="s">
        <v>242</v>
      </c>
      <c r="J250" s="420" t="s">
        <v>43</v>
      </c>
      <c r="K250" s="420" t="s">
        <v>43</v>
      </c>
      <c r="L250" s="420" t="s">
        <v>43</v>
      </c>
      <c r="M250" s="420" t="s">
        <v>44</v>
      </c>
      <c r="N250" s="420">
        <v>25.321710740740698</v>
      </c>
      <c r="O250" s="420">
        <v>97.404195925926004</v>
      </c>
      <c r="P250" s="420" t="s">
        <v>573</v>
      </c>
      <c r="Q250" s="420" t="s">
        <v>591</v>
      </c>
      <c r="R250" s="432">
        <v>59</v>
      </c>
      <c r="S250" s="425">
        <v>292</v>
      </c>
      <c r="T250" s="437"/>
      <c r="U250" s="426"/>
      <c r="V250" s="420" t="s">
        <v>268</v>
      </c>
      <c r="W250" s="420"/>
      <c r="X250" s="423"/>
    </row>
    <row r="251" spans="1:24" s="68" customFormat="1" ht="14.25" customHeight="1">
      <c r="A251" s="420" t="s">
        <v>37</v>
      </c>
      <c r="B251" s="420" t="s">
        <v>142</v>
      </c>
      <c r="C251" s="420" t="s">
        <v>175</v>
      </c>
      <c r="D251" s="423" t="s">
        <v>3235</v>
      </c>
      <c r="E251" s="422" t="s">
        <v>1159</v>
      </c>
      <c r="F251" s="420" t="s">
        <v>1406</v>
      </c>
      <c r="G251" s="420" t="s">
        <v>1407</v>
      </c>
      <c r="H251" s="420" t="s">
        <v>41</v>
      </c>
      <c r="I251" s="420" t="s">
        <v>2112</v>
      </c>
      <c r="J251" s="420" t="s">
        <v>43</v>
      </c>
      <c r="K251" s="420" t="s">
        <v>43</v>
      </c>
      <c r="L251" s="420" t="s">
        <v>43</v>
      </c>
      <c r="M251" s="420" t="s">
        <v>589</v>
      </c>
      <c r="N251" s="420">
        <v>25.200333000000001</v>
      </c>
      <c r="O251" s="420">
        <v>97.807182999999995</v>
      </c>
      <c r="P251" s="420" t="s">
        <v>573</v>
      </c>
      <c r="Q251" s="420" t="s">
        <v>591</v>
      </c>
      <c r="R251" s="432">
        <v>138</v>
      </c>
      <c r="S251" s="425">
        <v>896</v>
      </c>
      <c r="T251" s="437"/>
      <c r="U251" s="426"/>
      <c r="V251" s="420" t="s">
        <v>175</v>
      </c>
      <c r="W251" s="358"/>
      <c r="X251" s="423"/>
    </row>
    <row r="252" spans="1:24" s="68" customFormat="1" ht="14.25" customHeight="1">
      <c r="A252" s="420" t="s">
        <v>37</v>
      </c>
      <c r="B252" s="420" t="s">
        <v>142</v>
      </c>
      <c r="C252" s="420" t="s">
        <v>224</v>
      </c>
      <c r="D252" s="423" t="s">
        <v>3235</v>
      </c>
      <c r="E252" s="420" t="s">
        <v>1147</v>
      </c>
      <c r="F252" s="420" t="s">
        <v>1336</v>
      </c>
      <c r="G252" s="420">
        <v>0</v>
      </c>
      <c r="H252" s="420"/>
      <c r="I252" s="420" t="s">
        <v>1614</v>
      </c>
      <c r="J252" s="420" t="s">
        <v>43</v>
      </c>
      <c r="K252" s="420" t="s">
        <v>43</v>
      </c>
      <c r="L252" s="420" t="s">
        <v>752</v>
      </c>
      <c r="M252" s="420" t="s">
        <v>589</v>
      </c>
      <c r="N252" s="420">
        <v>24.752471</v>
      </c>
      <c r="O252" s="420">
        <v>97.541793999999996</v>
      </c>
      <c r="P252" s="420" t="s">
        <v>573</v>
      </c>
      <c r="Q252" s="420" t="s">
        <v>574</v>
      </c>
      <c r="R252" s="432">
        <v>0</v>
      </c>
      <c r="S252" s="425">
        <v>366</v>
      </c>
      <c r="T252" s="437"/>
      <c r="U252" s="426"/>
      <c r="V252" s="420" t="s">
        <v>224</v>
      </c>
      <c r="W252" s="420"/>
      <c r="X252" s="423"/>
    </row>
    <row r="253" spans="1:24" s="68" customFormat="1" ht="14.25" customHeight="1">
      <c r="A253" s="420" t="s">
        <v>37</v>
      </c>
      <c r="B253" s="420" t="s">
        <v>142</v>
      </c>
      <c r="C253" s="420" t="s">
        <v>750</v>
      </c>
      <c r="D253" s="383" t="s">
        <v>1295</v>
      </c>
      <c r="E253" s="420" t="s">
        <v>1146</v>
      </c>
      <c r="F253" s="420" t="s">
        <v>1336</v>
      </c>
      <c r="G253" s="420" t="s">
        <v>1336</v>
      </c>
      <c r="H253" s="420" t="s">
        <v>41</v>
      </c>
      <c r="I253" s="420" t="s">
        <v>1030</v>
      </c>
      <c r="J253" s="420" t="s">
        <v>43</v>
      </c>
      <c r="K253" s="420" t="s">
        <v>43</v>
      </c>
      <c r="L253" s="420" t="s">
        <v>572</v>
      </c>
      <c r="M253" s="420" t="s">
        <v>589</v>
      </c>
      <c r="N253" s="420">
        <v>24.747212999999999</v>
      </c>
      <c r="O253" s="420">
        <v>97.551507000000001</v>
      </c>
      <c r="P253" s="420" t="s">
        <v>573</v>
      </c>
      <c r="Q253" s="420"/>
      <c r="R253" s="424">
        <v>0</v>
      </c>
      <c r="S253" s="424">
        <v>0</v>
      </c>
      <c r="T253" s="437"/>
      <c r="U253" s="426"/>
      <c r="V253" s="420" t="s">
        <v>751</v>
      </c>
      <c r="W253" s="420" t="s">
        <v>1660</v>
      </c>
      <c r="X253" s="383"/>
    </row>
    <row r="254" spans="1:24" s="68" customFormat="1" ht="14.25" customHeight="1">
      <c r="A254" s="420" t="s">
        <v>37</v>
      </c>
      <c r="B254" s="420" t="s">
        <v>142</v>
      </c>
      <c r="C254" s="420" t="s">
        <v>764</v>
      </c>
      <c r="D254" s="383" t="s">
        <v>2241</v>
      </c>
      <c r="E254" s="420" t="s">
        <v>1158</v>
      </c>
      <c r="F254" s="420"/>
      <c r="G254" s="420"/>
      <c r="H254" s="420"/>
      <c r="I254" s="420"/>
      <c r="J254" s="420" t="s">
        <v>43</v>
      </c>
      <c r="K254" s="420" t="s">
        <v>43</v>
      </c>
      <c r="L254" s="420" t="s">
        <v>43</v>
      </c>
      <c r="M254" s="420" t="s">
        <v>589</v>
      </c>
      <c r="N254" s="420">
        <v>25.108011999999999</v>
      </c>
      <c r="O254" s="420">
        <v>97.718008999999995</v>
      </c>
      <c r="P254" s="17" t="s">
        <v>573</v>
      </c>
      <c r="Q254" s="420"/>
      <c r="R254" s="424"/>
      <c r="S254" s="424"/>
      <c r="T254" s="437"/>
      <c r="U254" s="426"/>
      <c r="V254" s="420" t="s">
        <v>764</v>
      </c>
      <c r="W254" s="420"/>
      <c r="X254" s="383"/>
    </row>
    <row r="255" spans="1:24" s="68" customFormat="1" ht="14.25" customHeight="1">
      <c r="A255" s="429" t="s">
        <v>37</v>
      </c>
      <c r="B255" s="428" t="s">
        <v>142</v>
      </c>
      <c r="C255" s="429" t="s">
        <v>2988</v>
      </c>
      <c r="D255" s="423" t="s">
        <v>3235</v>
      </c>
      <c r="E255" s="425" t="s">
        <v>3010</v>
      </c>
      <c r="F255" s="420" t="s">
        <v>3025</v>
      </c>
      <c r="G255" s="420" t="s">
        <v>3025</v>
      </c>
      <c r="H255" s="420"/>
      <c r="I255" s="420" t="s">
        <v>3058</v>
      </c>
      <c r="J255" s="420" t="s">
        <v>43</v>
      </c>
      <c r="K255" s="420" t="s">
        <v>43</v>
      </c>
      <c r="L255" s="420" t="s">
        <v>587</v>
      </c>
      <c r="M255" s="420" t="s">
        <v>44</v>
      </c>
      <c r="N255" s="420"/>
      <c r="O255" s="420"/>
      <c r="P255" s="420" t="s">
        <v>573</v>
      </c>
      <c r="Q255" s="420" t="s">
        <v>3042</v>
      </c>
      <c r="R255" s="432">
        <v>11</v>
      </c>
      <c r="S255" s="425">
        <v>59</v>
      </c>
      <c r="T255" s="437">
        <v>45009</v>
      </c>
      <c r="U255" s="426" t="s">
        <v>3043</v>
      </c>
      <c r="V255" s="420"/>
      <c r="W255" s="424" t="s">
        <v>3054</v>
      </c>
      <c r="X255" s="423"/>
    </row>
    <row r="256" spans="1:24" s="68" customFormat="1" ht="14.25" customHeight="1">
      <c r="A256" s="425" t="s">
        <v>37</v>
      </c>
      <c r="B256" s="428" t="s">
        <v>142</v>
      </c>
      <c r="C256" s="429" t="s">
        <v>2710</v>
      </c>
      <c r="D256" s="423" t="s">
        <v>3234</v>
      </c>
      <c r="E256" s="420" t="s">
        <v>2721</v>
      </c>
      <c r="F256" s="420" t="s">
        <v>1343</v>
      </c>
      <c r="G256" s="420" t="s">
        <v>2729</v>
      </c>
      <c r="H256" s="420"/>
      <c r="I256" s="767" t="s">
        <v>2732</v>
      </c>
      <c r="J256" s="420" t="s">
        <v>43</v>
      </c>
      <c r="K256" s="420" t="s">
        <v>43</v>
      </c>
      <c r="L256" s="420" t="s">
        <v>3059</v>
      </c>
      <c r="M256" s="420" t="s">
        <v>44</v>
      </c>
      <c r="N256" s="420"/>
      <c r="O256" s="420"/>
      <c r="P256" s="420" t="s">
        <v>573</v>
      </c>
      <c r="Q256" s="420" t="s">
        <v>2731</v>
      </c>
      <c r="R256" s="432">
        <v>86</v>
      </c>
      <c r="S256" s="425">
        <v>519</v>
      </c>
      <c r="T256" s="437">
        <v>44662</v>
      </c>
      <c r="U256" s="426" t="s">
        <v>2730</v>
      </c>
      <c r="V256" s="424"/>
      <c r="W256" s="674" t="s">
        <v>2735</v>
      </c>
      <c r="X256" s="423"/>
    </row>
    <row r="257" spans="1:32" s="68" customFormat="1" ht="14.25" customHeight="1">
      <c r="A257" s="429" t="s">
        <v>37</v>
      </c>
      <c r="B257" s="428" t="s">
        <v>142</v>
      </c>
      <c r="C257" s="429" t="s">
        <v>2991</v>
      </c>
      <c r="D257" s="423" t="s">
        <v>3235</v>
      </c>
      <c r="E257" s="425" t="s">
        <v>3013</v>
      </c>
      <c r="F257" s="420" t="s">
        <v>3029</v>
      </c>
      <c r="G257" s="420"/>
      <c r="H257" s="420"/>
      <c r="I257" s="420" t="s">
        <v>3058</v>
      </c>
      <c r="J257" s="420" t="s">
        <v>43</v>
      </c>
      <c r="K257" s="420" t="s">
        <v>43</v>
      </c>
      <c r="L257" s="420" t="s">
        <v>587</v>
      </c>
      <c r="M257" s="420" t="s">
        <v>44</v>
      </c>
      <c r="N257" s="420"/>
      <c r="O257" s="420"/>
      <c r="P257" s="420" t="s">
        <v>573</v>
      </c>
      <c r="Q257" s="420" t="s">
        <v>3042</v>
      </c>
      <c r="R257" s="432">
        <v>22</v>
      </c>
      <c r="S257" s="425">
        <v>118</v>
      </c>
      <c r="T257" s="437">
        <v>45009</v>
      </c>
      <c r="U257" s="426" t="s">
        <v>3043</v>
      </c>
      <c r="V257" s="422"/>
      <c r="W257" s="424" t="s">
        <v>3054</v>
      </c>
      <c r="X257" s="423"/>
    </row>
    <row r="258" spans="1:32" s="68" customFormat="1" ht="14.25" customHeight="1">
      <c r="A258" s="425" t="s">
        <v>37</v>
      </c>
      <c r="B258" s="428" t="s">
        <v>142</v>
      </c>
      <c r="C258" s="429" t="s">
        <v>2707</v>
      </c>
      <c r="D258" s="423" t="s">
        <v>3234</v>
      </c>
      <c r="E258" s="420" t="s">
        <v>2718</v>
      </c>
      <c r="F258" s="420" t="s">
        <v>1343</v>
      </c>
      <c r="G258" s="420" t="s">
        <v>2729</v>
      </c>
      <c r="H258" s="420"/>
      <c r="I258" s="767" t="s">
        <v>2732</v>
      </c>
      <c r="J258" s="420" t="s">
        <v>43</v>
      </c>
      <c r="K258" s="420" t="s">
        <v>43</v>
      </c>
      <c r="L258" s="420" t="s">
        <v>3059</v>
      </c>
      <c r="M258" s="420" t="s">
        <v>44</v>
      </c>
      <c r="N258" s="420">
        <v>25.210599999999999</v>
      </c>
      <c r="O258" s="420">
        <v>97.264700000000005</v>
      </c>
      <c r="P258" s="420" t="s">
        <v>573</v>
      </c>
      <c r="Q258" s="420" t="s">
        <v>2731</v>
      </c>
      <c r="R258" s="432">
        <v>40</v>
      </c>
      <c r="S258" s="425">
        <v>223</v>
      </c>
      <c r="T258" s="437">
        <v>44662</v>
      </c>
      <c r="U258" s="426" t="s">
        <v>2730</v>
      </c>
      <c r="V258" s="424"/>
      <c r="W258" s="674" t="s">
        <v>2735</v>
      </c>
      <c r="X258" s="423"/>
    </row>
    <row r="259" spans="1:32" s="68" customFormat="1" ht="14.25" customHeight="1">
      <c r="A259" s="420" t="s">
        <v>37</v>
      </c>
      <c r="B259" s="420" t="s">
        <v>142</v>
      </c>
      <c r="C259" s="420" t="s">
        <v>176</v>
      </c>
      <c r="D259" s="423" t="s">
        <v>3235</v>
      </c>
      <c r="E259" s="422" t="s">
        <v>1179</v>
      </c>
      <c r="F259" s="420" t="s">
        <v>1418</v>
      </c>
      <c r="G259" s="420" t="s">
        <v>1419</v>
      </c>
      <c r="H259" s="420" t="s">
        <v>41</v>
      </c>
      <c r="I259" s="420" t="s">
        <v>2112</v>
      </c>
      <c r="J259" s="420" t="s">
        <v>43</v>
      </c>
      <c r="K259" s="420" t="s">
        <v>43</v>
      </c>
      <c r="L259" s="420" t="s">
        <v>43</v>
      </c>
      <c r="M259" s="420" t="s">
        <v>44</v>
      </c>
      <c r="N259" s="420">
        <v>25.356632000000001</v>
      </c>
      <c r="O259" s="420">
        <v>97.451965000000001</v>
      </c>
      <c r="P259" s="420" t="s">
        <v>573</v>
      </c>
      <c r="Q259" s="420" t="s">
        <v>591</v>
      </c>
      <c r="R259" s="432">
        <v>34</v>
      </c>
      <c r="S259" s="425">
        <v>213</v>
      </c>
      <c r="T259" s="437"/>
      <c r="U259" s="426"/>
      <c r="V259" s="420" t="s">
        <v>176</v>
      </c>
      <c r="W259" s="420"/>
      <c r="X259" s="423"/>
    </row>
    <row r="260" spans="1:32" s="68" customFormat="1" ht="14.25" customHeight="1">
      <c r="A260" s="420" t="s">
        <v>37</v>
      </c>
      <c r="B260" s="420" t="s">
        <v>142</v>
      </c>
      <c r="C260" s="420" t="s">
        <v>177</v>
      </c>
      <c r="D260" s="423" t="s">
        <v>3235</v>
      </c>
      <c r="E260" s="422" t="s">
        <v>1153</v>
      </c>
      <c r="F260" s="420" t="s">
        <v>1403</v>
      </c>
      <c r="G260" s="420" t="s">
        <v>1405</v>
      </c>
      <c r="H260" s="420" t="s">
        <v>41</v>
      </c>
      <c r="I260" s="420" t="s">
        <v>1030</v>
      </c>
      <c r="J260" s="420" t="s">
        <v>43</v>
      </c>
      <c r="K260" s="420" t="s">
        <v>694</v>
      </c>
      <c r="L260" s="420" t="s">
        <v>43</v>
      </c>
      <c r="M260" s="420" t="s">
        <v>589</v>
      </c>
      <c r="N260" s="420">
        <v>24.980250000000002</v>
      </c>
      <c r="O260" s="420">
        <v>97.715230000000005</v>
      </c>
      <c r="P260" s="420" t="s">
        <v>573</v>
      </c>
      <c r="Q260" s="420" t="s">
        <v>591</v>
      </c>
      <c r="R260" s="432">
        <v>419</v>
      </c>
      <c r="S260" s="425">
        <v>1607</v>
      </c>
      <c r="T260" s="437"/>
      <c r="U260" s="426" t="s">
        <v>757</v>
      </c>
      <c r="V260" s="420" t="s">
        <v>177</v>
      </c>
      <c r="W260" s="420"/>
      <c r="X260" s="423"/>
    </row>
    <row r="261" spans="1:32" s="68" customFormat="1" ht="14.25" customHeight="1">
      <c r="A261" s="420" t="s">
        <v>37</v>
      </c>
      <c r="B261" s="420" t="s">
        <v>142</v>
      </c>
      <c r="C261" s="420" t="s">
        <v>269</v>
      </c>
      <c r="D261" s="423" t="s">
        <v>3235</v>
      </c>
      <c r="E261" s="420" t="s">
        <v>1205</v>
      </c>
      <c r="F261" s="420" t="s">
        <v>1426</v>
      </c>
      <c r="G261" s="420" t="s">
        <v>1426</v>
      </c>
      <c r="H261" s="420" t="s">
        <v>41</v>
      </c>
      <c r="I261" s="420" t="s">
        <v>242</v>
      </c>
      <c r="J261" s="420" t="s">
        <v>43</v>
      </c>
      <c r="K261" s="420" t="s">
        <v>43</v>
      </c>
      <c r="L261" s="420" t="s">
        <v>43</v>
      </c>
      <c r="M261" s="420" t="s">
        <v>44</v>
      </c>
      <c r="N261" s="420">
        <v>25.424529444444399</v>
      </c>
      <c r="O261" s="420">
        <v>97.433419259259296</v>
      </c>
      <c r="P261" s="420" t="s">
        <v>573</v>
      </c>
      <c r="Q261" s="420" t="s">
        <v>591</v>
      </c>
      <c r="R261" s="432">
        <v>353</v>
      </c>
      <c r="S261" s="425">
        <v>2139</v>
      </c>
      <c r="T261" s="437"/>
      <c r="U261" s="426"/>
      <c r="V261" s="420" t="s">
        <v>269</v>
      </c>
      <c r="W261" s="358"/>
      <c r="X261" s="423"/>
    </row>
    <row r="262" spans="1:32" s="68" customFormat="1" ht="14.25" customHeight="1">
      <c r="A262" s="420" t="s">
        <v>37</v>
      </c>
      <c r="B262" s="420" t="s">
        <v>142</v>
      </c>
      <c r="C262" s="420" t="s">
        <v>237</v>
      </c>
      <c r="D262" s="423" t="s">
        <v>3235</v>
      </c>
      <c r="E262" s="420" t="s">
        <v>1199</v>
      </c>
      <c r="F262" s="420" t="s">
        <v>1426</v>
      </c>
      <c r="G262" s="420" t="s">
        <v>1426</v>
      </c>
      <c r="H262" s="420" t="s">
        <v>41</v>
      </c>
      <c r="I262" s="420" t="s">
        <v>1030</v>
      </c>
      <c r="J262" s="420" t="s">
        <v>43</v>
      </c>
      <c r="K262" s="420" t="s">
        <v>43</v>
      </c>
      <c r="L262" s="420" t="s">
        <v>43</v>
      </c>
      <c r="M262" s="420" t="s">
        <v>44</v>
      </c>
      <c r="N262" s="420">
        <v>25.415667500000001</v>
      </c>
      <c r="O262" s="420">
        <v>97.437782499999997</v>
      </c>
      <c r="P262" s="420" t="s">
        <v>573</v>
      </c>
      <c r="Q262" s="420" t="s">
        <v>591</v>
      </c>
      <c r="R262" s="432">
        <v>214</v>
      </c>
      <c r="S262" s="425">
        <v>1245</v>
      </c>
      <c r="T262" s="437"/>
      <c r="U262" s="426"/>
      <c r="V262" s="420" t="s">
        <v>237</v>
      </c>
      <c r="W262" s="358"/>
      <c r="X262" s="423"/>
    </row>
    <row r="263" spans="1:32" s="68" customFormat="1" ht="14.25" customHeight="1">
      <c r="A263" s="425" t="s">
        <v>37</v>
      </c>
      <c r="B263" s="428" t="s">
        <v>142</v>
      </c>
      <c r="C263" s="429" t="s">
        <v>178</v>
      </c>
      <c r="D263" s="423" t="s">
        <v>3235</v>
      </c>
      <c r="E263" s="420" t="s">
        <v>1196</v>
      </c>
      <c r="F263" s="420" t="s">
        <v>1426</v>
      </c>
      <c r="G263" s="420" t="s">
        <v>1426</v>
      </c>
      <c r="H263" s="420" t="s">
        <v>41</v>
      </c>
      <c r="I263" s="420" t="s">
        <v>2112</v>
      </c>
      <c r="J263" s="420" t="s">
        <v>43</v>
      </c>
      <c r="K263" s="420" t="s">
        <v>43</v>
      </c>
      <c r="L263" s="420" t="s">
        <v>43</v>
      </c>
      <c r="M263" s="420" t="s">
        <v>44</v>
      </c>
      <c r="N263" s="420">
        <v>25.4118005797101</v>
      </c>
      <c r="O263" s="420">
        <v>97.434855869565197</v>
      </c>
      <c r="P263" s="420" t="s">
        <v>573</v>
      </c>
      <c r="Q263" s="420" t="s">
        <v>591</v>
      </c>
      <c r="R263" s="432">
        <v>431</v>
      </c>
      <c r="S263" s="425">
        <v>2370</v>
      </c>
      <c r="T263" s="437"/>
      <c r="U263" s="426"/>
      <c r="V263" s="424" t="s">
        <v>178</v>
      </c>
      <c r="W263" s="424" t="s">
        <v>1745</v>
      </c>
      <c r="X263" s="423"/>
    </row>
    <row r="264" spans="1:32" s="68" customFormat="1" ht="14.25" customHeight="1">
      <c r="A264" s="425" t="s">
        <v>37</v>
      </c>
      <c r="B264" s="422" t="s">
        <v>142</v>
      </c>
      <c r="C264" s="674" t="s">
        <v>179</v>
      </c>
      <c r="D264" s="423" t="s">
        <v>3235</v>
      </c>
      <c r="E264" s="420" t="s">
        <v>1194</v>
      </c>
      <c r="F264" s="420" t="s">
        <v>1426</v>
      </c>
      <c r="G264" s="420" t="s">
        <v>1426</v>
      </c>
      <c r="H264" s="420" t="s">
        <v>41</v>
      </c>
      <c r="I264" s="420" t="s">
        <v>2112</v>
      </c>
      <c r="J264" s="420" t="s">
        <v>43</v>
      </c>
      <c r="K264" s="420" t="s">
        <v>43</v>
      </c>
      <c r="L264" s="420" t="s">
        <v>43</v>
      </c>
      <c r="M264" s="420" t="s">
        <v>44</v>
      </c>
      <c r="N264" s="420">
        <v>25.409612685185198</v>
      </c>
      <c r="O264" s="420">
        <v>97.426536944444507</v>
      </c>
      <c r="P264" s="420" t="s">
        <v>573</v>
      </c>
      <c r="Q264" s="420" t="s">
        <v>591</v>
      </c>
      <c r="R264" s="432">
        <v>55</v>
      </c>
      <c r="S264" s="425">
        <v>279</v>
      </c>
      <c r="T264" s="437"/>
      <c r="U264" s="426"/>
      <c r="V264" s="424" t="s">
        <v>179</v>
      </c>
      <c r="W264" s="359" t="s">
        <v>1746</v>
      </c>
      <c r="X264" s="423"/>
    </row>
    <row r="265" spans="1:32" s="68" customFormat="1" ht="14.25" customHeight="1">
      <c r="A265" s="429" t="s">
        <v>37</v>
      </c>
      <c r="B265" s="428" t="s">
        <v>142</v>
      </c>
      <c r="C265" s="422" t="s">
        <v>2861</v>
      </c>
      <c r="D265" s="423" t="s">
        <v>3235</v>
      </c>
      <c r="E265" s="422" t="s">
        <v>1171</v>
      </c>
      <c r="F265" s="420" t="s">
        <v>1343</v>
      </c>
      <c r="G265" s="420" t="s">
        <v>1368</v>
      </c>
      <c r="H265" s="422" t="s">
        <v>41</v>
      </c>
      <c r="I265" s="422" t="s">
        <v>242</v>
      </c>
      <c r="J265" s="420" t="s">
        <v>43</v>
      </c>
      <c r="K265" s="420" t="s">
        <v>43</v>
      </c>
      <c r="L265" s="422" t="s">
        <v>43</v>
      </c>
      <c r="M265" s="420" t="s">
        <v>44</v>
      </c>
      <c r="N265" s="420">
        <v>25.345918166666699</v>
      </c>
      <c r="O265" s="420">
        <v>97.437472666666693</v>
      </c>
      <c r="P265" s="17" t="s">
        <v>573</v>
      </c>
      <c r="Q265" s="420" t="s">
        <v>591</v>
      </c>
      <c r="R265" s="432">
        <v>45</v>
      </c>
      <c r="S265" s="425">
        <v>221</v>
      </c>
      <c r="T265" s="437"/>
      <c r="U265" s="430"/>
      <c r="V265" s="422" t="s">
        <v>272</v>
      </c>
      <c r="W265" s="420"/>
      <c r="X265" s="423"/>
    </row>
    <row r="266" spans="1:32" s="68" customFormat="1" ht="14.25" customHeight="1">
      <c r="A266" s="420" t="s">
        <v>37</v>
      </c>
      <c r="B266" s="420" t="s">
        <v>142</v>
      </c>
      <c r="C266" s="420" t="s">
        <v>2568</v>
      </c>
      <c r="D266" s="423" t="s">
        <v>3235</v>
      </c>
      <c r="E266" s="420" t="s">
        <v>2561</v>
      </c>
      <c r="F266" s="420" t="s">
        <v>1426</v>
      </c>
      <c r="G266" s="420" t="s">
        <v>1426</v>
      </c>
      <c r="H266" s="420"/>
      <c r="I266" s="420"/>
      <c r="J266" s="420" t="s">
        <v>617</v>
      </c>
      <c r="K266" s="420" t="s">
        <v>617</v>
      </c>
      <c r="L266" s="420" t="s">
        <v>2866</v>
      </c>
      <c r="M266" s="420" t="s">
        <v>44</v>
      </c>
      <c r="N266" s="420">
        <v>25.415667500000001</v>
      </c>
      <c r="O266" s="420">
        <v>97.437782499999997</v>
      </c>
      <c r="P266" s="420" t="s">
        <v>573</v>
      </c>
      <c r="Q266" s="420" t="s">
        <v>2577</v>
      </c>
      <c r="R266" s="432">
        <v>95</v>
      </c>
      <c r="S266" s="425">
        <v>499</v>
      </c>
      <c r="T266" s="437">
        <v>44166</v>
      </c>
      <c r="U266" s="426"/>
      <c r="V266" s="420"/>
      <c r="W266" s="420"/>
      <c r="X266" s="423"/>
    </row>
    <row r="267" spans="1:32" s="68" customFormat="1" ht="14.25" customHeight="1">
      <c r="A267" s="420" t="s">
        <v>37</v>
      </c>
      <c r="B267" s="420" t="s">
        <v>142</v>
      </c>
      <c r="C267" s="420" t="s">
        <v>2860</v>
      </c>
      <c r="D267" s="423" t="s">
        <v>3233</v>
      </c>
      <c r="E267" s="420" t="s">
        <v>2619</v>
      </c>
      <c r="F267" s="420" t="s">
        <v>2620</v>
      </c>
      <c r="G267" s="420" t="s">
        <v>2621</v>
      </c>
      <c r="H267" s="420"/>
      <c r="I267" s="420"/>
      <c r="J267" s="420" t="s">
        <v>43</v>
      </c>
      <c r="K267" s="420" t="s">
        <v>43</v>
      </c>
      <c r="L267" s="420" t="s">
        <v>572</v>
      </c>
      <c r="M267" s="420" t="s">
        <v>44</v>
      </c>
      <c r="N267" s="420">
        <v>25.428995</v>
      </c>
      <c r="O267" s="420">
        <v>97.957487999999998</v>
      </c>
      <c r="P267" s="420" t="s">
        <v>573</v>
      </c>
      <c r="Q267" s="420" t="s">
        <v>2622</v>
      </c>
      <c r="R267" s="432">
        <v>38</v>
      </c>
      <c r="S267" s="425">
        <v>222</v>
      </c>
      <c r="T267" s="437">
        <v>44232</v>
      </c>
      <c r="U267" s="426"/>
      <c r="V267" s="420"/>
      <c r="W267" s="420" t="s">
        <v>2623</v>
      </c>
      <c r="X267" s="423"/>
    </row>
    <row r="268" spans="1:32" s="68" customFormat="1" ht="14.25" customHeight="1">
      <c r="A268" s="425" t="s">
        <v>37</v>
      </c>
      <c r="B268" s="428" t="s">
        <v>142</v>
      </c>
      <c r="C268" s="429" t="s">
        <v>2713</v>
      </c>
      <c r="D268" s="423" t="s">
        <v>3234</v>
      </c>
      <c r="E268" s="420" t="s">
        <v>2724</v>
      </c>
      <c r="F268" s="420" t="s">
        <v>268</v>
      </c>
      <c r="G268" s="420" t="s">
        <v>268</v>
      </c>
      <c r="H268" s="420"/>
      <c r="I268" s="767" t="s">
        <v>2732</v>
      </c>
      <c r="J268" s="420" t="s">
        <v>43</v>
      </c>
      <c r="K268" s="420" t="s">
        <v>43</v>
      </c>
      <c r="L268" s="420" t="s">
        <v>3059</v>
      </c>
      <c r="M268" s="420" t="s">
        <v>44</v>
      </c>
      <c r="N268" s="420"/>
      <c r="O268" s="420"/>
      <c r="P268" s="420" t="s">
        <v>573</v>
      </c>
      <c r="Q268" s="420" t="s">
        <v>2731</v>
      </c>
      <c r="R268" s="432">
        <v>6</v>
      </c>
      <c r="S268" s="425">
        <v>31</v>
      </c>
      <c r="T268" s="437">
        <v>44662</v>
      </c>
      <c r="U268" s="426" t="s">
        <v>2730</v>
      </c>
      <c r="V268" s="424"/>
      <c r="W268" s="674" t="s">
        <v>2735</v>
      </c>
      <c r="X268" s="423"/>
    </row>
    <row r="269" spans="1:32" s="68" customFormat="1" ht="14.25" customHeight="1">
      <c r="A269" s="425" t="s">
        <v>37</v>
      </c>
      <c r="B269" s="428" t="s">
        <v>142</v>
      </c>
      <c r="C269" s="429" t="s">
        <v>2704</v>
      </c>
      <c r="D269" s="423" t="s">
        <v>3235</v>
      </c>
      <c r="E269" s="420" t="s">
        <v>2715</v>
      </c>
      <c r="F269" s="420" t="s">
        <v>1343</v>
      </c>
      <c r="G269" s="420" t="s">
        <v>2727</v>
      </c>
      <c r="H269" s="420" t="s">
        <v>41</v>
      </c>
      <c r="I269" s="767" t="s">
        <v>242</v>
      </c>
      <c r="J269" s="420" t="s">
        <v>43</v>
      </c>
      <c r="K269" s="420" t="s">
        <v>43</v>
      </c>
      <c r="L269" s="420" t="s">
        <v>587</v>
      </c>
      <c r="M269" s="420" t="s">
        <v>44</v>
      </c>
      <c r="N269" s="420">
        <v>25.221299999999999</v>
      </c>
      <c r="O269" s="420">
        <v>97.255300000000005</v>
      </c>
      <c r="P269" s="420" t="s">
        <v>573</v>
      </c>
      <c r="Q269" s="420" t="s">
        <v>2731</v>
      </c>
      <c r="R269" s="432">
        <v>6</v>
      </c>
      <c r="S269" s="425">
        <v>41</v>
      </c>
      <c r="T269" s="437">
        <v>44662</v>
      </c>
      <c r="U269" s="426" t="s">
        <v>2730</v>
      </c>
      <c r="V269" s="424"/>
      <c r="W269" s="674" t="s">
        <v>2734</v>
      </c>
      <c r="X269" s="423"/>
    </row>
    <row r="270" spans="1:32" s="68" customFormat="1" ht="14.25" customHeight="1">
      <c r="A270" s="420" t="s">
        <v>37</v>
      </c>
      <c r="B270" s="420" t="s">
        <v>142</v>
      </c>
      <c r="C270" s="420" t="s">
        <v>270</v>
      </c>
      <c r="D270" s="423" t="s">
        <v>3233</v>
      </c>
      <c r="E270" s="420" t="s">
        <v>1176</v>
      </c>
      <c r="F270" s="420" t="s">
        <v>1416</v>
      </c>
      <c r="G270" s="420" t="s">
        <v>1417</v>
      </c>
      <c r="H270" s="420" t="s">
        <v>41</v>
      </c>
      <c r="I270" s="420" t="s">
        <v>242</v>
      </c>
      <c r="J270" s="420" t="s">
        <v>43</v>
      </c>
      <c r="K270" s="420" t="s">
        <v>43</v>
      </c>
      <c r="L270" s="420" t="s">
        <v>572</v>
      </c>
      <c r="M270" s="420" t="s">
        <v>44</v>
      </c>
      <c r="N270" s="420">
        <v>25.351965</v>
      </c>
      <c r="O270" s="420">
        <v>97.345039</v>
      </c>
      <c r="P270" s="420" t="s">
        <v>573</v>
      </c>
      <c r="Q270" s="420" t="s">
        <v>591</v>
      </c>
      <c r="R270" s="432">
        <v>19</v>
      </c>
      <c r="S270" s="425">
        <v>86</v>
      </c>
      <c r="T270" s="437"/>
      <c r="U270" s="426"/>
      <c r="V270" s="420" t="s">
        <v>270</v>
      </c>
      <c r="W270" s="420"/>
      <c r="X270" s="423"/>
    </row>
    <row r="271" spans="1:32" s="68" customFormat="1" ht="14.25" customHeight="1">
      <c r="A271" s="420" t="s">
        <v>37</v>
      </c>
      <c r="B271" s="420" t="s">
        <v>142</v>
      </c>
      <c r="C271" s="420" t="s">
        <v>180</v>
      </c>
      <c r="D271" s="423" t="s">
        <v>3235</v>
      </c>
      <c r="E271" s="420" t="s">
        <v>1152</v>
      </c>
      <c r="F271" s="420" t="s">
        <v>1403</v>
      </c>
      <c r="G271" s="420" t="s">
        <v>1404</v>
      </c>
      <c r="H271" s="420" t="s">
        <v>41</v>
      </c>
      <c r="I271" s="420" t="s">
        <v>2112</v>
      </c>
      <c r="J271" s="420" t="s">
        <v>43</v>
      </c>
      <c r="K271" s="420" t="s">
        <v>694</v>
      </c>
      <c r="L271" s="420" t="s">
        <v>43</v>
      </c>
      <c r="M271" s="420" t="s">
        <v>589</v>
      </c>
      <c r="N271" s="420">
        <v>24.831944</v>
      </c>
      <c r="O271" s="420">
        <v>97.751389000000003</v>
      </c>
      <c r="P271" s="420" t="s">
        <v>573</v>
      </c>
      <c r="Q271" s="420" t="s">
        <v>591</v>
      </c>
      <c r="R271" s="432">
        <v>169</v>
      </c>
      <c r="S271" s="425">
        <v>970</v>
      </c>
      <c r="T271" s="437"/>
      <c r="U271" s="426" t="s">
        <v>757</v>
      </c>
      <c r="V271" s="420" t="s">
        <v>758</v>
      </c>
      <c r="W271" s="420"/>
      <c r="X271" s="423"/>
    </row>
    <row r="272" spans="1:32" ht="14.25" customHeight="1">
      <c r="A272" s="392" t="s">
        <v>37</v>
      </c>
      <c r="B272" s="439" t="s">
        <v>142</v>
      </c>
      <c r="C272" s="392" t="s">
        <v>2708</v>
      </c>
      <c r="D272" s="423" t="s">
        <v>3235</v>
      </c>
      <c r="E272" s="420" t="s">
        <v>2719</v>
      </c>
      <c r="F272" s="420" t="s">
        <v>1343</v>
      </c>
      <c r="G272" s="420" t="s">
        <v>2729</v>
      </c>
      <c r="H272" s="420"/>
      <c r="I272" s="767" t="s">
        <v>2732</v>
      </c>
      <c r="J272" s="420" t="s">
        <v>43</v>
      </c>
      <c r="K272" s="420" t="s">
        <v>43</v>
      </c>
      <c r="L272" s="420" t="s">
        <v>587</v>
      </c>
      <c r="M272" s="420" t="s">
        <v>44</v>
      </c>
      <c r="N272" s="420">
        <v>25.2057</v>
      </c>
      <c r="O272" s="420">
        <v>97.262200000000007</v>
      </c>
      <c r="P272" s="420" t="s">
        <v>573</v>
      </c>
      <c r="Q272" s="420" t="s">
        <v>2731</v>
      </c>
      <c r="R272" s="432">
        <v>61</v>
      </c>
      <c r="S272" s="425">
        <v>305</v>
      </c>
      <c r="T272" s="437">
        <v>44662</v>
      </c>
      <c r="U272" s="426" t="s">
        <v>2730</v>
      </c>
      <c r="V272" s="424"/>
      <c r="W272" s="674" t="s">
        <v>2862</v>
      </c>
      <c r="X272" s="423"/>
      <c r="Y272" s="45"/>
      <c r="Z272" s="17"/>
      <c r="AA272" s="89"/>
      <c r="AB272" s="17"/>
      <c r="AC272" s="17"/>
      <c r="AD272" s="17"/>
      <c r="AF272" s="17"/>
    </row>
    <row r="273" spans="1:32" ht="14.25" customHeight="1">
      <c r="A273" s="436" t="s">
        <v>37</v>
      </c>
      <c r="B273" s="436" t="s">
        <v>142</v>
      </c>
      <c r="C273" s="436" t="s">
        <v>238</v>
      </c>
      <c r="D273" s="383" t="s">
        <v>2632</v>
      </c>
      <c r="E273" s="420" t="s">
        <v>1163</v>
      </c>
      <c r="F273" s="420" t="s">
        <v>1406</v>
      </c>
      <c r="G273" s="420" t="s">
        <v>1406</v>
      </c>
      <c r="H273" s="420" t="s">
        <v>41</v>
      </c>
      <c r="I273" s="420" t="s">
        <v>1030</v>
      </c>
      <c r="J273" s="420" t="s">
        <v>43</v>
      </c>
      <c r="K273" s="420" t="s">
        <v>43</v>
      </c>
      <c r="L273" s="420" t="s">
        <v>572</v>
      </c>
      <c r="M273" s="420" t="s">
        <v>589</v>
      </c>
      <c r="N273" s="420">
        <v>25.265277999999999</v>
      </c>
      <c r="O273" s="420">
        <v>97.990555999999998</v>
      </c>
      <c r="P273" s="420" t="s">
        <v>573</v>
      </c>
      <c r="Q273" s="420" t="s">
        <v>591</v>
      </c>
      <c r="R273" s="424">
        <v>0</v>
      </c>
      <c r="S273" s="424">
        <v>0</v>
      </c>
      <c r="T273" s="437"/>
      <c r="U273" s="426"/>
      <c r="V273" s="420" t="s">
        <v>238</v>
      </c>
      <c r="W273" s="420" t="s">
        <v>2865</v>
      </c>
      <c r="X273" s="383"/>
      <c r="Y273" s="45"/>
      <c r="Z273" s="17"/>
      <c r="AA273" s="89"/>
      <c r="AB273" s="17"/>
      <c r="AC273" s="17"/>
      <c r="AD273" s="17"/>
      <c r="AF273" s="17"/>
    </row>
    <row r="274" spans="1:32" ht="14.25" customHeight="1">
      <c r="A274" s="436" t="s">
        <v>37</v>
      </c>
      <c r="B274" s="436" t="s">
        <v>142</v>
      </c>
      <c r="C274" s="436" t="s">
        <v>271</v>
      </c>
      <c r="D274" s="423" t="s">
        <v>3235</v>
      </c>
      <c r="E274" s="420" t="s">
        <v>1177</v>
      </c>
      <c r="F274" s="420" t="s">
        <v>1343</v>
      </c>
      <c r="G274" s="420" t="s">
        <v>1333</v>
      </c>
      <c r="H274" s="420" t="s">
        <v>41</v>
      </c>
      <c r="I274" s="420" t="s">
        <v>242</v>
      </c>
      <c r="J274" s="420" t="s">
        <v>43</v>
      </c>
      <c r="K274" s="420" t="s">
        <v>43</v>
      </c>
      <c r="L274" s="420" t="s">
        <v>43</v>
      </c>
      <c r="M274" s="420" t="s">
        <v>44</v>
      </c>
      <c r="N274" s="420">
        <v>25.3540362037037</v>
      </c>
      <c r="O274" s="420">
        <v>97.441166388888902</v>
      </c>
      <c r="P274" s="420" t="s">
        <v>573</v>
      </c>
      <c r="Q274" s="420" t="s">
        <v>591</v>
      </c>
      <c r="R274" s="432">
        <v>115</v>
      </c>
      <c r="S274" s="425">
        <v>528</v>
      </c>
      <c r="T274" s="437"/>
      <c r="U274" s="426"/>
      <c r="V274" s="420" t="s">
        <v>271</v>
      </c>
      <c r="W274" s="420"/>
      <c r="X274" s="423"/>
      <c r="Y274" s="45"/>
      <c r="Z274" s="17"/>
      <c r="AA274" s="89"/>
      <c r="AB274" s="17"/>
      <c r="AC274" s="17"/>
      <c r="AD274" s="17"/>
      <c r="AF274" s="17"/>
    </row>
    <row r="275" spans="1:32" ht="14.25" customHeight="1">
      <c r="A275" s="436" t="s">
        <v>37</v>
      </c>
      <c r="B275" s="436" t="s">
        <v>142</v>
      </c>
      <c r="C275" s="436" t="s">
        <v>181</v>
      </c>
      <c r="D275" s="423" t="s">
        <v>3235</v>
      </c>
      <c r="E275" s="420" t="s">
        <v>1175</v>
      </c>
      <c r="F275" s="420" t="s">
        <v>1343</v>
      </c>
      <c r="G275" s="420" t="s">
        <v>1333</v>
      </c>
      <c r="H275" s="420" t="s">
        <v>41</v>
      </c>
      <c r="I275" s="420" t="s">
        <v>2112</v>
      </c>
      <c r="J275" s="420" t="s">
        <v>43</v>
      </c>
      <c r="K275" s="420" t="s">
        <v>43</v>
      </c>
      <c r="L275" s="420" t="s">
        <v>43</v>
      </c>
      <c r="M275" s="420" t="s">
        <v>44</v>
      </c>
      <c r="N275" s="420">
        <v>25.351724999999998</v>
      </c>
      <c r="O275" s="420">
        <v>97.438432380952406</v>
      </c>
      <c r="P275" s="420" t="s">
        <v>573</v>
      </c>
      <c r="Q275" s="420" t="s">
        <v>591</v>
      </c>
      <c r="R275" s="432">
        <v>67</v>
      </c>
      <c r="S275" s="425">
        <v>337</v>
      </c>
      <c r="T275" s="437"/>
      <c r="U275" s="426"/>
      <c r="V275" s="420" t="s">
        <v>181</v>
      </c>
      <c r="W275" s="358"/>
      <c r="X275" s="423"/>
      <c r="Y275" s="45"/>
      <c r="Z275" s="17"/>
      <c r="AA275" s="89"/>
      <c r="AB275" s="17"/>
      <c r="AC275" s="17"/>
      <c r="AD275" s="17"/>
      <c r="AF275" s="17"/>
    </row>
    <row r="276" spans="1:32" ht="14.25" customHeight="1">
      <c r="A276" s="436" t="s">
        <v>37</v>
      </c>
      <c r="B276" s="436" t="s">
        <v>142</v>
      </c>
      <c r="C276" s="436" t="s">
        <v>273</v>
      </c>
      <c r="D276" s="383" t="s">
        <v>1605</v>
      </c>
      <c r="E276" s="420" t="s">
        <v>1172</v>
      </c>
      <c r="F276" s="420" t="s">
        <v>1343</v>
      </c>
      <c r="G276" s="420" t="s">
        <v>1414</v>
      </c>
      <c r="H276" s="420" t="s">
        <v>41</v>
      </c>
      <c r="I276" s="420" t="s">
        <v>242</v>
      </c>
      <c r="J276" s="420" t="s">
        <v>43</v>
      </c>
      <c r="K276" s="422" t="s">
        <v>43</v>
      </c>
      <c r="L276" s="422" t="s">
        <v>572</v>
      </c>
      <c r="M276" s="420" t="s">
        <v>44</v>
      </c>
      <c r="N276" s="420">
        <v>25.350809000000002</v>
      </c>
      <c r="O276" s="420">
        <v>97.432495000000003</v>
      </c>
      <c r="P276" s="17" t="s">
        <v>573</v>
      </c>
      <c r="Q276" s="420" t="s">
        <v>591</v>
      </c>
      <c r="R276" s="424"/>
      <c r="S276" s="424"/>
      <c r="T276" s="437"/>
      <c r="U276" s="426"/>
      <c r="V276" s="420" t="s">
        <v>273</v>
      </c>
      <c r="W276" s="358" t="s">
        <v>1661</v>
      </c>
      <c r="X276" s="383"/>
      <c r="Y276" s="45"/>
      <c r="Z276" s="17"/>
      <c r="AA276" s="89"/>
      <c r="AB276" s="17"/>
      <c r="AC276" s="17"/>
      <c r="AD276" s="17"/>
      <c r="AF276" s="17"/>
    </row>
    <row r="277" spans="1:32" ht="14.25" customHeight="1">
      <c r="A277" s="436" t="s">
        <v>37</v>
      </c>
      <c r="B277" s="436" t="s">
        <v>142</v>
      </c>
      <c r="C277" s="436" t="s">
        <v>775</v>
      </c>
      <c r="D277" s="423" t="s">
        <v>3235</v>
      </c>
      <c r="E277" s="436" t="s">
        <v>1555</v>
      </c>
      <c r="F277" s="422" t="s">
        <v>775</v>
      </c>
      <c r="G277" s="420" t="s">
        <v>775</v>
      </c>
      <c r="H277" s="420"/>
      <c r="I277" s="420" t="s">
        <v>1614</v>
      </c>
      <c r="J277" s="420" t="s">
        <v>43</v>
      </c>
      <c r="K277" s="420" t="s">
        <v>43</v>
      </c>
      <c r="L277" s="420" t="s">
        <v>587</v>
      </c>
      <c r="M277" s="420" t="s">
        <v>44</v>
      </c>
      <c r="N277" s="420">
        <v>25.391428000000001</v>
      </c>
      <c r="O277" s="420">
        <v>97.898184999999998</v>
      </c>
      <c r="P277" s="420" t="s">
        <v>573</v>
      </c>
      <c r="Q277" s="420" t="s">
        <v>1525</v>
      </c>
      <c r="R277" s="432">
        <v>17</v>
      </c>
      <c r="S277" s="425">
        <v>107</v>
      </c>
      <c r="T277" s="437">
        <v>43276</v>
      </c>
      <c r="U277" s="426"/>
      <c r="V277" s="420"/>
      <c r="W277" s="358" t="s">
        <v>1662</v>
      </c>
      <c r="X277" s="423"/>
      <c r="Y277" s="45"/>
      <c r="Z277" s="17"/>
      <c r="AA277" s="89"/>
      <c r="AB277" s="17"/>
      <c r="AC277" s="17"/>
      <c r="AD277" s="17"/>
      <c r="AF277" s="17"/>
    </row>
    <row r="278" spans="1:32" ht="14.25" customHeight="1">
      <c r="A278" s="392" t="s">
        <v>37</v>
      </c>
      <c r="B278" s="439" t="s">
        <v>142</v>
      </c>
      <c r="C278" s="392" t="s">
        <v>2993</v>
      </c>
      <c r="D278" s="423" t="s">
        <v>3235</v>
      </c>
      <c r="E278" s="425" t="s">
        <v>3232</v>
      </c>
      <c r="F278" s="420" t="s">
        <v>3029</v>
      </c>
      <c r="G278" s="420"/>
      <c r="H278" s="420"/>
      <c r="I278" s="420" t="s">
        <v>2112</v>
      </c>
      <c r="J278" s="420" t="s">
        <v>43</v>
      </c>
      <c r="K278" s="420" t="s">
        <v>43</v>
      </c>
      <c r="L278" s="420" t="s">
        <v>587</v>
      </c>
      <c r="M278" s="420" t="s">
        <v>44</v>
      </c>
      <c r="N278" s="420"/>
      <c r="O278" s="420"/>
      <c r="P278" s="420" t="s">
        <v>573</v>
      </c>
      <c r="Q278" s="420" t="s">
        <v>3042</v>
      </c>
      <c r="R278" s="432">
        <v>52</v>
      </c>
      <c r="S278" s="425">
        <v>318</v>
      </c>
      <c r="T278" s="437">
        <v>45009</v>
      </c>
      <c r="U278" s="426" t="s">
        <v>3043</v>
      </c>
      <c r="V278" s="420"/>
      <c r="W278" s="424" t="s">
        <v>3056</v>
      </c>
      <c r="X278" s="423"/>
      <c r="Y278" s="45"/>
      <c r="Z278" s="17"/>
      <c r="AA278" s="89"/>
      <c r="AB278" s="17"/>
      <c r="AC278" s="17"/>
      <c r="AD278" s="17"/>
      <c r="AF278" s="17"/>
    </row>
    <row r="279" spans="1:32" ht="14.25" customHeight="1">
      <c r="A279" s="392" t="s">
        <v>37</v>
      </c>
      <c r="B279" s="439" t="s">
        <v>142</v>
      </c>
      <c r="C279" s="392" t="s">
        <v>2990</v>
      </c>
      <c r="D279" s="423" t="s">
        <v>3235</v>
      </c>
      <c r="E279" s="425" t="s">
        <v>3012</v>
      </c>
      <c r="F279" s="420" t="s">
        <v>3028</v>
      </c>
      <c r="G279" s="420"/>
      <c r="H279" s="420"/>
      <c r="I279" s="420" t="s">
        <v>3058</v>
      </c>
      <c r="J279" s="420" t="s">
        <v>43</v>
      </c>
      <c r="K279" s="420" t="s">
        <v>43</v>
      </c>
      <c r="L279" s="420" t="s">
        <v>587</v>
      </c>
      <c r="M279" s="420" t="s">
        <v>44</v>
      </c>
      <c r="N279" s="420"/>
      <c r="O279" s="420"/>
      <c r="P279" s="420" t="s">
        <v>573</v>
      </c>
      <c r="Q279" s="420" t="s">
        <v>3042</v>
      </c>
      <c r="R279" s="432">
        <v>30</v>
      </c>
      <c r="S279" s="425">
        <v>160</v>
      </c>
      <c r="T279" s="437">
        <v>45009</v>
      </c>
      <c r="U279" s="426" t="s">
        <v>3043</v>
      </c>
      <c r="V279" s="420"/>
      <c r="W279" s="424" t="s">
        <v>3054</v>
      </c>
      <c r="X279" s="423"/>
      <c r="Y279" s="45"/>
      <c r="Z279" s="17"/>
      <c r="AA279" s="89"/>
      <c r="AB279" s="17"/>
      <c r="AC279" s="17"/>
      <c r="AD279" s="17"/>
      <c r="AF279" s="17"/>
    </row>
    <row r="280" spans="1:32" ht="14.25" customHeight="1">
      <c r="A280" s="436" t="s">
        <v>37</v>
      </c>
      <c r="B280" s="436" t="s">
        <v>142</v>
      </c>
      <c r="C280" s="436" t="s">
        <v>143</v>
      </c>
      <c r="D280" s="423" t="s">
        <v>3235</v>
      </c>
      <c r="E280" s="420" t="s">
        <v>1257</v>
      </c>
      <c r="F280" s="420" t="s">
        <v>1403</v>
      </c>
      <c r="G280" s="420" t="s">
        <v>1404</v>
      </c>
      <c r="H280" s="420" t="s">
        <v>41</v>
      </c>
      <c r="I280" s="420" t="s">
        <v>2112</v>
      </c>
      <c r="J280" s="420" t="s">
        <v>43</v>
      </c>
      <c r="K280" s="420" t="s">
        <v>43</v>
      </c>
      <c r="L280" s="420" t="s">
        <v>43</v>
      </c>
      <c r="M280" s="420" t="s">
        <v>589</v>
      </c>
      <c r="N280" s="420">
        <v>25.418084</v>
      </c>
      <c r="O280" s="420">
        <v>98.025662999999994</v>
      </c>
      <c r="P280" s="420" t="s">
        <v>573</v>
      </c>
      <c r="Q280" s="420" t="s">
        <v>608</v>
      </c>
      <c r="R280" s="432">
        <v>298</v>
      </c>
      <c r="S280" s="425">
        <v>1458</v>
      </c>
      <c r="T280" s="437">
        <v>42916</v>
      </c>
      <c r="U280" s="426" t="s">
        <v>856</v>
      </c>
      <c r="V280" s="420"/>
      <c r="W280" s="420" t="s">
        <v>1747</v>
      </c>
      <c r="X280" s="423"/>
      <c r="Y280" s="45"/>
      <c r="Z280" s="17"/>
      <c r="AA280" s="89"/>
      <c r="AB280" s="17"/>
      <c r="AC280" s="17"/>
      <c r="AD280" s="17"/>
      <c r="AF280" s="17"/>
    </row>
    <row r="281" spans="1:32" ht="14.25" customHeight="1">
      <c r="A281" s="392" t="s">
        <v>37</v>
      </c>
      <c r="B281" s="439" t="s">
        <v>142</v>
      </c>
      <c r="C281" s="436" t="s">
        <v>182</v>
      </c>
      <c r="D281" s="423" t="s">
        <v>3235</v>
      </c>
      <c r="E281" s="436" t="s">
        <v>1201</v>
      </c>
      <c r="F281" s="422" t="s">
        <v>1429</v>
      </c>
      <c r="G281" s="422" t="s">
        <v>1430</v>
      </c>
      <c r="H281" s="420" t="s">
        <v>41</v>
      </c>
      <c r="I281" s="420" t="s">
        <v>2112</v>
      </c>
      <c r="J281" s="420" t="s">
        <v>43</v>
      </c>
      <c r="K281" s="420" t="s">
        <v>43</v>
      </c>
      <c r="L281" s="420" t="s">
        <v>43</v>
      </c>
      <c r="M281" s="420" t="s">
        <v>44</v>
      </c>
      <c r="N281" s="420">
        <v>25.418084</v>
      </c>
      <c r="O281" s="420">
        <v>98.025662999999994</v>
      </c>
      <c r="P281" s="422" t="s">
        <v>573</v>
      </c>
      <c r="Q281" s="420" t="s">
        <v>591</v>
      </c>
      <c r="R281" s="432">
        <v>216</v>
      </c>
      <c r="S281" s="425">
        <v>1190</v>
      </c>
      <c r="T281" s="437"/>
      <c r="U281" s="430"/>
      <c r="V281" s="422" t="s">
        <v>182</v>
      </c>
      <c r="W281" s="358" t="s">
        <v>1748</v>
      </c>
      <c r="X281" s="423"/>
      <c r="Y281" s="45"/>
      <c r="Z281" s="17"/>
      <c r="AA281" s="89"/>
      <c r="AB281" s="17"/>
      <c r="AC281" s="17"/>
      <c r="AD281" s="17"/>
      <c r="AF281" s="17"/>
    </row>
    <row r="282" spans="1:32" ht="14.25" customHeight="1">
      <c r="A282" s="392" t="s">
        <v>37</v>
      </c>
      <c r="B282" s="439" t="s">
        <v>142</v>
      </c>
      <c r="C282" s="392" t="s">
        <v>2978</v>
      </c>
      <c r="D282" s="423" t="s">
        <v>3235</v>
      </c>
      <c r="E282" s="392" t="s">
        <v>3000</v>
      </c>
      <c r="F282" s="420" t="s">
        <v>2725</v>
      </c>
      <c r="G282" s="420" t="s">
        <v>3034</v>
      </c>
      <c r="H282" s="420"/>
      <c r="I282" s="420" t="s">
        <v>3058</v>
      </c>
      <c r="J282" s="420" t="s">
        <v>43</v>
      </c>
      <c r="K282" s="420" t="s">
        <v>43</v>
      </c>
      <c r="L282" s="420" t="s">
        <v>587</v>
      </c>
      <c r="M282" s="420" t="s">
        <v>44</v>
      </c>
      <c r="N282" s="420"/>
      <c r="O282" s="420" t="s">
        <v>3041</v>
      </c>
      <c r="P282" s="420" t="s">
        <v>573</v>
      </c>
      <c r="Q282" s="420" t="s">
        <v>3042</v>
      </c>
      <c r="R282" s="432">
        <v>30</v>
      </c>
      <c r="S282" s="425">
        <v>159</v>
      </c>
      <c r="T282" s="437">
        <v>45009</v>
      </c>
      <c r="U282" s="426" t="s">
        <v>3043</v>
      </c>
      <c r="V282" s="420"/>
      <c r="W282" s="424" t="s">
        <v>3047</v>
      </c>
      <c r="X282" s="423"/>
      <c r="Y282" s="45"/>
      <c r="Z282" s="17"/>
      <c r="AA282" s="89"/>
      <c r="AB282" s="17"/>
      <c r="AC282" s="17"/>
      <c r="AD282" s="17"/>
      <c r="AF282" s="17"/>
    </row>
    <row r="283" spans="1:32" ht="14.25" customHeight="1">
      <c r="A283" s="436" t="s">
        <v>37</v>
      </c>
      <c r="B283" s="436" t="s">
        <v>142</v>
      </c>
      <c r="C283" s="436" t="s">
        <v>274</v>
      </c>
      <c r="D283" s="423" t="s">
        <v>3235</v>
      </c>
      <c r="E283" s="420" t="s">
        <v>1170</v>
      </c>
      <c r="F283" s="420" t="s">
        <v>1343</v>
      </c>
      <c r="G283" s="420" t="s">
        <v>1414</v>
      </c>
      <c r="H283" s="420" t="s">
        <v>41</v>
      </c>
      <c r="I283" s="420" t="s">
        <v>242</v>
      </c>
      <c r="J283" s="420" t="s">
        <v>43</v>
      </c>
      <c r="K283" s="420" t="s">
        <v>43</v>
      </c>
      <c r="L283" s="420" t="s">
        <v>43</v>
      </c>
      <c r="M283" s="420" t="s">
        <v>44</v>
      </c>
      <c r="N283" s="420">
        <v>25.333683333333301</v>
      </c>
      <c r="O283" s="420">
        <v>97.428251153846105</v>
      </c>
      <c r="P283" s="420" t="s">
        <v>573</v>
      </c>
      <c r="Q283" s="420" t="s">
        <v>591</v>
      </c>
      <c r="R283" s="432">
        <v>32</v>
      </c>
      <c r="S283" s="425">
        <v>129</v>
      </c>
      <c r="T283" s="437"/>
      <c r="U283" s="426"/>
      <c r="V283" s="420" t="s">
        <v>274</v>
      </c>
      <c r="W283" s="420"/>
      <c r="X283" s="423"/>
      <c r="Y283" s="45"/>
      <c r="Z283" s="17"/>
      <c r="AA283" s="89"/>
      <c r="AB283" s="17"/>
      <c r="AC283" s="17"/>
      <c r="AD283" s="17"/>
      <c r="AF283" s="17"/>
    </row>
    <row r="284" spans="1:32" ht="14.25" customHeight="1">
      <c r="A284" s="436" t="s">
        <v>37</v>
      </c>
      <c r="B284" s="436" t="s">
        <v>142</v>
      </c>
      <c r="C284" s="436" t="s">
        <v>1606</v>
      </c>
      <c r="D284" s="423" t="s">
        <v>3235</v>
      </c>
      <c r="E284" s="420" t="s">
        <v>1552</v>
      </c>
      <c r="F284" s="420"/>
      <c r="G284" s="420"/>
      <c r="H284" s="420" t="s">
        <v>41</v>
      </c>
      <c r="I284" s="420" t="s">
        <v>2112</v>
      </c>
      <c r="J284" s="420" t="s">
        <v>43</v>
      </c>
      <c r="K284" s="420" t="s">
        <v>43</v>
      </c>
      <c r="L284" s="420" t="s">
        <v>43</v>
      </c>
      <c r="M284" s="420" t="s">
        <v>44</v>
      </c>
      <c r="N284" s="420">
        <v>25.350989999999999</v>
      </c>
      <c r="O284" s="420">
        <v>97.442809999999994</v>
      </c>
      <c r="P284" s="420" t="s">
        <v>573</v>
      </c>
      <c r="Q284" s="420" t="s">
        <v>1525</v>
      </c>
      <c r="R284" s="432">
        <v>81</v>
      </c>
      <c r="S284" s="425">
        <v>387</v>
      </c>
      <c r="T284" s="437">
        <v>43276</v>
      </c>
      <c r="U284" s="426" t="s">
        <v>1574</v>
      </c>
      <c r="V284" s="420"/>
      <c r="W284" s="358" t="s">
        <v>1749</v>
      </c>
      <c r="X284" s="423"/>
      <c r="Y284" s="45"/>
      <c r="Z284" s="17"/>
      <c r="AA284" s="89"/>
      <c r="AB284" s="17"/>
      <c r="AC284" s="17"/>
      <c r="AD284" s="17"/>
      <c r="AF284" s="17"/>
    </row>
    <row r="285" spans="1:32" ht="14.25" customHeight="1">
      <c r="A285" s="392" t="s">
        <v>37</v>
      </c>
      <c r="B285" s="439" t="s">
        <v>142</v>
      </c>
      <c r="C285" s="436" t="s">
        <v>275</v>
      </c>
      <c r="D285" s="423" t="s">
        <v>3235</v>
      </c>
      <c r="E285" s="436" t="s">
        <v>1174</v>
      </c>
      <c r="F285" s="422" t="s">
        <v>1343</v>
      </c>
      <c r="G285" s="422" t="s">
        <v>1368</v>
      </c>
      <c r="H285" s="422" t="s">
        <v>41</v>
      </c>
      <c r="I285" s="422" t="s">
        <v>242</v>
      </c>
      <c r="J285" s="420" t="s">
        <v>43</v>
      </c>
      <c r="K285" s="420" t="s">
        <v>43</v>
      </c>
      <c r="L285" s="420" t="s">
        <v>43</v>
      </c>
      <c r="M285" s="420" t="s">
        <v>44</v>
      </c>
      <c r="N285" s="422">
        <v>25.351250396825399</v>
      </c>
      <c r="O285" s="422">
        <v>97.444283730158702</v>
      </c>
      <c r="P285" s="420" t="s">
        <v>573</v>
      </c>
      <c r="Q285" s="420" t="s">
        <v>591</v>
      </c>
      <c r="R285" s="432">
        <v>76</v>
      </c>
      <c r="S285" s="425">
        <v>321</v>
      </c>
      <c r="T285" s="437"/>
      <c r="U285" s="430"/>
      <c r="V285" s="436" t="s">
        <v>275</v>
      </c>
      <c r="W285" s="420"/>
      <c r="X285" s="423"/>
      <c r="Y285" s="45"/>
      <c r="Z285" s="17"/>
      <c r="AA285" s="89"/>
      <c r="AB285" s="17"/>
      <c r="AC285" s="17"/>
      <c r="AD285" s="17"/>
      <c r="AF285" s="17"/>
    </row>
    <row r="286" spans="1:32" ht="14.25" customHeight="1">
      <c r="A286" s="436" t="s">
        <v>37</v>
      </c>
      <c r="B286" s="436" t="s">
        <v>142</v>
      </c>
      <c r="C286" s="436" t="s">
        <v>770</v>
      </c>
      <c r="D286" s="383" t="s">
        <v>1295</v>
      </c>
      <c r="E286" s="422" t="s">
        <v>1178</v>
      </c>
      <c r="F286" s="420" t="s">
        <v>1343</v>
      </c>
      <c r="G286" s="420" t="s">
        <v>1333</v>
      </c>
      <c r="H286" s="420" t="s">
        <v>41</v>
      </c>
      <c r="I286" s="420" t="s">
        <v>141</v>
      </c>
      <c r="J286" s="420" t="s">
        <v>43</v>
      </c>
      <c r="K286" s="420" t="s">
        <v>43</v>
      </c>
      <c r="L286" s="420" t="s">
        <v>572</v>
      </c>
      <c r="M286" s="420" t="s">
        <v>44</v>
      </c>
      <c r="N286" s="420">
        <v>25.355841999999999</v>
      </c>
      <c r="O286" s="420">
        <v>97.438259000000002</v>
      </c>
      <c r="P286" s="420" t="s">
        <v>573</v>
      </c>
      <c r="Q286" s="420" t="s">
        <v>591</v>
      </c>
      <c r="R286" s="424">
        <v>0</v>
      </c>
      <c r="S286" s="424">
        <v>0</v>
      </c>
      <c r="T286" s="437"/>
      <c r="U286" s="426" t="s">
        <v>771</v>
      </c>
      <c r="V286" s="420" t="s">
        <v>770</v>
      </c>
      <c r="W286" s="358" t="s">
        <v>1663</v>
      </c>
      <c r="X286" s="383"/>
      <c r="Y286" s="45"/>
      <c r="Z286" s="17"/>
      <c r="AA286" s="89"/>
      <c r="AB286" s="17"/>
      <c r="AC286" s="17"/>
      <c r="AD286" s="17"/>
      <c r="AF286" s="17"/>
    </row>
    <row r="287" spans="1:32" ht="14.25" customHeight="1">
      <c r="A287" s="436" t="s">
        <v>37</v>
      </c>
      <c r="B287" s="436" t="s">
        <v>142</v>
      </c>
      <c r="C287" s="436" t="s">
        <v>1535</v>
      </c>
      <c r="D287" s="383"/>
      <c r="E287" s="436"/>
      <c r="F287" s="420"/>
      <c r="G287" s="420"/>
      <c r="H287" s="420"/>
      <c r="I287" s="420"/>
      <c r="J287" s="420" t="s">
        <v>1094</v>
      </c>
      <c r="K287" s="420" t="s">
        <v>43</v>
      </c>
      <c r="L287" s="420" t="s">
        <v>43</v>
      </c>
      <c r="M287" s="420" t="s">
        <v>44</v>
      </c>
      <c r="N287" s="420"/>
      <c r="O287" s="420"/>
      <c r="P287" s="420" t="s">
        <v>573</v>
      </c>
      <c r="Q287" s="420" t="s">
        <v>1525</v>
      </c>
      <c r="R287" s="424"/>
      <c r="S287" s="425"/>
      <c r="T287" s="437">
        <v>43270</v>
      </c>
      <c r="U287" s="426"/>
      <c r="V287" s="420"/>
      <c r="W287" s="420"/>
      <c r="X287" s="383"/>
      <c r="Y287" s="45"/>
      <c r="Z287" s="17"/>
      <c r="AA287" s="89"/>
      <c r="AB287" s="17"/>
      <c r="AC287" s="17"/>
      <c r="AD287" s="17"/>
      <c r="AF287" s="17"/>
    </row>
    <row r="288" spans="1:32" ht="14.25" customHeight="1">
      <c r="A288" s="392" t="s">
        <v>37</v>
      </c>
      <c r="B288" s="439" t="s">
        <v>142</v>
      </c>
      <c r="C288" s="392" t="s">
        <v>2706</v>
      </c>
      <c r="D288" s="423" t="s">
        <v>2835</v>
      </c>
      <c r="E288" s="436" t="s">
        <v>2717</v>
      </c>
      <c r="F288" s="420" t="s">
        <v>1343</v>
      </c>
      <c r="G288" s="420" t="s">
        <v>2728</v>
      </c>
      <c r="H288" s="420"/>
      <c r="I288" s="767" t="s">
        <v>2732</v>
      </c>
      <c r="J288" s="420" t="s">
        <v>43</v>
      </c>
      <c r="K288" s="420" t="s">
        <v>43</v>
      </c>
      <c r="L288" s="420" t="s">
        <v>572</v>
      </c>
      <c r="M288" s="420" t="s">
        <v>44</v>
      </c>
      <c r="N288" s="420">
        <v>25.211600000000001</v>
      </c>
      <c r="O288" s="420">
        <v>97.262799999999999</v>
      </c>
      <c r="P288" s="420" t="s">
        <v>573</v>
      </c>
      <c r="Q288" s="420" t="s">
        <v>2731</v>
      </c>
      <c r="R288" s="432"/>
      <c r="S288" s="425"/>
      <c r="T288" s="437">
        <v>44662</v>
      </c>
      <c r="U288" s="426" t="s">
        <v>2730</v>
      </c>
      <c r="V288" s="424"/>
      <c r="W288" s="674" t="s">
        <v>2735</v>
      </c>
      <c r="X288" s="423"/>
      <c r="Y288" s="45"/>
      <c r="Z288" s="17"/>
      <c r="AA288" s="89"/>
      <c r="AB288" s="17"/>
      <c r="AC288" s="17"/>
      <c r="AD288" s="17"/>
      <c r="AF288" s="17"/>
    </row>
    <row r="289" spans="1:32" ht="14.25" customHeight="1">
      <c r="A289" s="392" t="s">
        <v>37</v>
      </c>
      <c r="B289" s="439" t="s">
        <v>142</v>
      </c>
      <c r="C289" s="392" t="s">
        <v>2705</v>
      </c>
      <c r="D289" s="423" t="s">
        <v>3235</v>
      </c>
      <c r="E289" s="420" t="s">
        <v>2716</v>
      </c>
      <c r="F289" s="420" t="s">
        <v>1343</v>
      </c>
      <c r="G289" s="420" t="s">
        <v>2728</v>
      </c>
      <c r="H289" s="420"/>
      <c r="I289" s="767" t="s">
        <v>2732</v>
      </c>
      <c r="J289" s="420" t="s">
        <v>43</v>
      </c>
      <c r="K289" s="420" t="s">
        <v>43</v>
      </c>
      <c r="L289" s="420" t="s">
        <v>587</v>
      </c>
      <c r="M289" s="420" t="s">
        <v>44</v>
      </c>
      <c r="N289" s="420">
        <v>25.211500000000001</v>
      </c>
      <c r="O289" s="420">
        <v>97.261799999999994</v>
      </c>
      <c r="P289" s="420" t="s">
        <v>573</v>
      </c>
      <c r="Q289" s="420" t="s">
        <v>2731</v>
      </c>
      <c r="R289" s="432">
        <v>24</v>
      </c>
      <c r="S289" s="425">
        <v>126</v>
      </c>
      <c r="T289" s="437">
        <v>44662</v>
      </c>
      <c r="U289" s="426" t="s">
        <v>2730</v>
      </c>
      <c r="V289" s="424"/>
      <c r="W289" s="674" t="s">
        <v>2735</v>
      </c>
      <c r="X289" s="423"/>
      <c r="Y289" s="45"/>
      <c r="Z289" s="17"/>
      <c r="AA289" s="89"/>
      <c r="AB289" s="17"/>
      <c r="AC289" s="17"/>
      <c r="AD289" s="17"/>
      <c r="AF289" s="17"/>
    </row>
    <row r="290" spans="1:32" ht="14.25" customHeight="1">
      <c r="A290" s="436" t="s">
        <v>37</v>
      </c>
      <c r="B290" s="436" t="s">
        <v>142</v>
      </c>
      <c r="C290" s="436" t="s">
        <v>221</v>
      </c>
      <c r="D290" s="423" t="s">
        <v>3235</v>
      </c>
      <c r="E290" s="422" t="s">
        <v>1148</v>
      </c>
      <c r="F290" s="420" t="s">
        <v>1336</v>
      </c>
      <c r="G290" s="420" t="s">
        <v>1336</v>
      </c>
      <c r="H290" s="420" t="s">
        <v>41</v>
      </c>
      <c r="I290" s="420" t="s">
        <v>1030</v>
      </c>
      <c r="J290" s="420" t="s">
        <v>43</v>
      </c>
      <c r="K290" s="420" t="s">
        <v>43</v>
      </c>
      <c r="L290" s="420" t="s">
        <v>43</v>
      </c>
      <c r="M290" s="420" t="s">
        <v>589</v>
      </c>
      <c r="N290" s="420">
        <v>24.755253</v>
      </c>
      <c r="O290" s="420">
        <v>97.546893999999995</v>
      </c>
      <c r="P290" s="420" t="s">
        <v>573</v>
      </c>
      <c r="Q290" s="420" t="s">
        <v>591</v>
      </c>
      <c r="R290" s="432">
        <v>1352</v>
      </c>
      <c r="S290" s="425">
        <v>7353</v>
      </c>
      <c r="T290" s="437"/>
      <c r="U290" s="426"/>
      <c r="V290" s="422" t="s">
        <v>221</v>
      </c>
      <c r="W290" s="420" t="s">
        <v>1750</v>
      </c>
      <c r="X290" s="423"/>
      <c r="Y290" s="45"/>
      <c r="Z290" s="17"/>
      <c r="AA290" s="89"/>
      <c r="AB290" s="17"/>
      <c r="AC290" s="17"/>
      <c r="AD290" s="17"/>
      <c r="AF290" s="17"/>
    </row>
    <row r="291" spans="1:32" ht="14.25" customHeight="1">
      <c r="A291" s="436" t="s">
        <v>37</v>
      </c>
      <c r="B291" s="436" t="s">
        <v>142</v>
      </c>
      <c r="C291" s="436" t="s">
        <v>223</v>
      </c>
      <c r="D291" s="383"/>
      <c r="E291" s="422"/>
      <c r="F291" s="420"/>
      <c r="G291" s="420"/>
      <c r="H291" s="420"/>
      <c r="I291" s="420"/>
      <c r="J291" s="420" t="s">
        <v>1094</v>
      </c>
      <c r="K291" s="420" t="s">
        <v>43</v>
      </c>
      <c r="L291" s="420" t="s">
        <v>866</v>
      </c>
      <c r="M291" s="420" t="s">
        <v>589</v>
      </c>
      <c r="N291" s="420"/>
      <c r="O291" s="420"/>
      <c r="P291" s="420" t="s">
        <v>573</v>
      </c>
      <c r="Q291" s="420" t="s">
        <v>591</v>
      </c>
      <c r="R291" s="424"/>
      <c r="S291" s="425"/>
      <c r="T291" s="437"/>
      <c r="U291" s="426" t="s">
        <v>818</v>
      </c>
      <c r="V291" s="420"/>
      <c r="W291" s="358"/>
      <c r="X291" s="383"/>
      <c r="Y291" s="45"/>
      <c r="Z291" s="17"/>
      <c r="AA291" s="89"/>
      <c r="AB291" s="17"/>
      <c r="AC291" s="17"/>
      <c r="AD291" s="17"/>
      <c r="AF291" s="17"/>
    </row>
    <row r="292" spans="1:32" ht="14.25" customHeight="1">
      <c r="A292" s="392" t="s">
        <v>37</v>
      </c>
      <c r="B292" s="439" t="s">
        <v>142</v>
      </c>
      <c r="C292" s="392" t="s">
        <v>222</v>
      </c>
      <c r="D292" s="423"/>
      <c r="E292" s="422"/>
      <c r="F292" s="420"/>
      <c r="G292" s="420"/>
      <c r="H292" s="420"/>
      <c r="I292" s="420"/>
      <c r="J292" s="420" t="s">
        <v>1094</v>
      </c>
      <c r="K292" s="420" t="s">
        <v>43</v>
      </c>
      <c r="L292" s="420" t="s">
        <v>2576</v>
      </c>
      <c r="M292" s="420" t="s">
        <v>589</v>
      </c>
      <c r="N292" s="420"/>
      <c r="O292" s="420"/>
      <c r="P292" s="420" t="s">
        <v>584</v>
      </c>
      <c r="Q292" s="420" t="s">
        <v>591</v>
      </c>
      <c r="R292" s="432"/>
      <c r="S292" s="425"/>
      <c r="T292" s="437"/>
      <c r="U292" s="432" t="s">
        <v>818</v>
      </c>
      <c r="V292" s="420"/>
      <c r="W292" s="424"/>
      <c r="X292" s="423"/>
      <c r="Y292" s="45"/>
      <c r="Z292" s="17"/>
      <c r="AA292" s="89"/>
      <c r="AB292" s="17"/>
      <c r="AC292" s="17"/>
      <c r="AD292" s="17"/>
      <c r="AF292" s="17"/>
    </row>
    <row r="293" spans="1:32" ht="14.25" customHeight="1">
      <c r="A293" s="392" t="s">
        <v>37</v>
      </c>
      <c r="B293" s="439" t="s">
        <v>142</v>
      </c>
      <c r="C293" s="392" t="s">
        <v>2989</v>
      </c>
      <c r="D293" s="423" t="s">
        <v>3234</v>
      </c>
      <c r="E293" s="425" t="s">
        <v>3011</v>
      </c>
      <c r="F293" s="420" t="s">
        <v>3027</v>
      </c>
      <c r="G293" s="420"/>
      <c r="H293" s="420"/>
      <c r="I293" s="420" t="s">
        <v>3058</v>
      </c>
      <c r="J293" s="420" t="s">
        <v>43</v>
      </c>
      <c r="K293" s="420" t="s">
        <v>43</v>
      </c>
      <c r="L293" s="420" t="s">
        <v>3059</v>
      </c>
      <c r="M293" s="420" t="s">
        <v>44</v>
      </c>
      <c r="N293" s="420"/>
      <c r="O293" s="420"/>
      <c r="P293" s="420" t="s">
        <v>573</v>
      </c>
      <c r="Q293" s="420" t="s">
        <v>3042</v>
      </c>
      <c r="R293" s="432">
        <v>16</v>
      </c>
      <c r="S293" s="425">
        <v>76</v>
      </c>
      <c r="T293" s="437">
        <v>45009</v>
      </c>
      <c r="U293" s="426" t="s">
        <v>3043</v>
      </c>
      <c r="V293" s="420"/>
      <c r="W293" s="424" t="s">
        <v>3054</v>
      </c>
      <c r="X293" s="423"/>
      <c r="Y293" s="45"/>
      <c r="Z293" s="17"/>
      <c r="AA293" s="89"/>
      <c r="AB293" s="17"/>
      <c r="AC293" s="17"/>
      <c r="AD293" s="17"/>
      <c r="AF293" s="17"/>
    </row>
    <row r="294" spans="1:32" ht="14.25" customHeight="1">
      <c r="A294" s="392" t="s">
        <v>37</v>
      </c>
      <c r="B294" s="439" t="s">
        <v>142</v>
      </c>
      <c r="C294" s="392" t="s">
        <v>2709</v>
      </c>
      <c r="D294" s="423" t="s">
        <v>3234</v>
      </c>
      <c r="E294" s="422" t="s">
        <v>2720</v>
      </c>
      <c r="F294" s="420" t="s">
        <v>1343</v>
      </c>
      <c r="G294" s="420" t="s">
        <v>2729</v>
      </c>
      <c r="H294" s="420"/>
      <c r="I294" s="767" t="s">
        <v>2732</v>
      </c>
      <c r="J294" s="420" t="s">
        <v>43</v>
      </c>
      <c r="K294" s="420" t="s">
        <v>43</v>
      </c>
      <c r="L294" s="420" t="s">
        <v>3059</v>
      </c>
      <c r="M294" s="420" t="s">
        <v>44</v>
      </c>
      <c r="N294" s="420">
        <v>25.2056</v>
      </c>
      <c r="O294" s="420">
        <v>97.260800000000003</v>
      </c>
      <c r="P294" s="420" t="s">
        <v>573</v>
      </c>
      <c r="Q294" s="420" t="s">
        <v>2731</v>
      </c>
      <c r="R294" s="432">
        <v>28</v>
      </c>
      <c r="S294" s="425">
        <v>152</v>
      </c>
      <c r="T294" s="437">
        <v>44662</v>
      </c>
      <c r="U294" s="426" t="s">
        <v>2730</v>
      </c>
      <c r="V294" s="439"/>
      <c r="W294" s="674" t="s">
        <v>2863</v>
      </c>
      <c r="X294" s="423"/>
      <c r="Y294" s="45"/>
      <c r="Z294" s="17"/>
      <c r="AA294" s="89"/>
      <c r="AB294" s="17"/>
      <c r="AC294" s="17"/>
      <c r="AD294" s="17"/>
      <c r="AF294" s="17"/>
    </row>
    <row r="295" spans="1:32" ht="14.25" customHeight="1">
      <c r="A295" s="392" t="s">
        <v>37</v>
      </c>
      <c r="B295" s="439" t="s">
        <v>142</v>
      </c>
      <c r="C295" s="392" t="s">
        <v>762</v>
      </c>
      <c r="D295" s="423" t="s">
        <v>1295</v>
      </c>
      <c r="E295" s="422" t="s">
        <v>1157</v>
      </c>
      <c r="F295" s="420" t="s">
        <v>1340</v>
      </c>
      <c r="G295" s="420" t="s">
        <v>1341</v>
      </c>
      <c r="H295" s="420" t="s">
        <v>41</v>
      </c>
      <c r="I295" s="420" t="s">
        <v>141</v>
      </c>
      <c r="J295" s="420" t="s">
        <v>43</v>
      </c>
      <c r="K295" s="420" t="s">
        <v>43</v>
      </c>
      <c r="L295" s="420" t="s">
        <v>572</v>
      </c>
      <c r="M295" s="420" t="s">
        <v>589</v>
      </c>
      <c r="N295" s="420">
        <v>25.106670000000001</v>
      </c>
      <c r="O295" s="420">
        <v>97.756789999999995</v>
      </c>
      <c r="P295" s="420" t="s">
        <v>573</v>
      </c>
      <c r="Q295" s="420" t="s">
        <v>591</v>
      </c>
      <c r="R295" s="432">
        <v>0</v>
      </c>
      <c r="S295" s="425">
        <v>0</v>
      </c>
      <c r="T295" s="437"/>
      <c r="U295" s="432" t="s">
        <v>757</v>
      </c>
      <c r="V295" s="422" t="s">
        <v>763</v>
      </c>
      <c r="W295" s="424" t="s">
        <v>1664</v>
      </c>
      <c r="X295" s="423"/>
      <c r="Y295" s="45"/>
      <c r="Z295" s="17"/>
      <c r="AA295" s="89"/>
      <c r="AB295" s="17"/>
      <c r="AC295" s="17"/>
      <c r="AD295" s="17"/>
      <c r="AF295" s="17"/>
    </row>
    <row r="296" spans="1:32" ht="14.25" customHeight="1">
      <c r="A296" s="392" t="s">
        <v>515</v>
      </c>
      <c r="B296" s="439" t="s">
        <v>534</v>
      </c>
      <c r="C296" s="392" t="s">
        <v>2204</v>
      </c>
      <c r="D296" s="383"/>
      <c r="E296" s="420"/>
      <c r="F296" s="420"/>
      <c r="G296" s="420"/>
      <c r="H296" s="420"/>
      <c r="I296" s="420"/>
      <c r="J296" s="420" t="s">
        <v>2093</v>
      </c>
      <c r="K296" s="420" t="s">
        <v>2077</v>
      </c>
      <c r="L296" s="420" t="s">
        <v>2077</v>
      </c>
      <c r="M296" s="420" t="s">
        <v>44</v>
      </c>
      <c r="N296" s="420"/>
      <c r="O296" s="420"/>
      <c r="P296" s="420" t="s">
        <v>1568</v>
      </c>
      <c r="Q296" s="420" t="s">
        <v>2164</v>
      </c>
      <c r="R296" s="424"/>
      <c r="S296" s="424"/>
      <c r="T296" s="437">
        <v>43759</v>
      </c>
      <c r="U296" s="426"/>
      <c r="V296" s="420"/>
      <c r="W296" s="359"/>
      <c r="X296" s="383"/>
      <c r="Y296" s="45"/>
      <c r="Z296" s="17"/>
      <c r="AA296" s="89"/>
      <c r="AB296" s="17"/>
      <c r="AC296" s="17"/>
      <c r="AD296" s="17"/>
      <c r="AF296" s="17"/>
    </row>
    <row r="297" spans="1:32" ht="14.25" customHeight="1">
      <c r="A297" s="392" t="s">
        <v>515</v>
      </c>
      <c r="B297" s="439" t="s">
        <v>534</v>
      </c>
      <c r="C297" s="392" t="s">
        <v>2200</v>
      </c>
      <c r="D297" s="383"/>
      <c r="E297" s="422"/>
      <c r="F297" s="420"/>
      <c r="G297" s="420"/>
      <c r="H297" s="420"/>
      <c r="I297" s="420"/>
      <c r="J297" s="420" t="s">
        <v>2093</v>
      </c>
      <c r="K297" s="420" t="s">
        <v>2077</v>
      </c>
      <c r="L297" s="420" t="s">
        <v>2077</v>
      </c>
      <c r="M297" s="420" t="s">
        <v>44</v>
      </c>
      <c r="N297" s="420"/>
      <c r="O297" s="420"/>
      <c r="P297" s="420" t="s">
        <v>1568</v>
      </c>
      <c r="Q297" s="420" t="s">
        <v>2164</v>
      </c>
      <c r="R297" s="432"/>
      <c r="S297" s="425"/>
      <c r="T297" s="437">
        <v>43759</v>
      </c>
      <c r="U297" s="426"/>
      <c r="V297" s="420"/>
      <c r="W297" s="359"/>
      <c r="X297" s="383"/>
      <c r="Y297" s="45"/>
      <c r="Z297" s="17"/>
      <c r="AA297" s="89"/>
      <c r="AB297" s="17"/>
      <c r="AC297" s="17"/>
      <c r="AD297" s="17"/>
      <c r="AF297" s="17"/>
    </row>
    <row r="298" spans="1:32" ht="14.25" customHeight="1">
      <c r="A298" s="392" t="s">
        <v>515</v>
      </c>
      <c r="B298" s="439" t="s">
        <v>534</v>
      </c>
      <c r="C298" s="392" t="s">
        <v>535</v>
      </c>
      <c r="D298" s="423" t="s">
        <v>3235</v>
      </c>
      <c r="E298" s="440" t="s">
        <v>2807</v>
      </c>
      <c r="F298" s="420" t="s">
        <v>535</v>
      </c>
      <c r="G298" s="420" t="s">
        <v>535</v>
      </c>
      <c r="H298" s="420" t="s">
        <v>41</v>
      </c>
      <c r="I298" s="420" t="s">
        <v>2113</v>
      </c>
      <c r="J298" s="420" t="s">
        <v>43</v>
      </c>
      <c r="K298" s="420" t="s">
        <v>43</v>
      </c>
      <c r="L298" s="420" t="s">
        <v>43</v>
      </c>
      <c r="M298" s="420" t="s">
        <v>44</v>
      </c>
      <c r="N298" s="420">
        <v>23.354268999999999</v>
      </c>
      <c r="O298" s="420">
        <v>98.218626999999998</v>
      </c>
      <c r="P298" s="420" t="s">
        <v>573</v>
      </c>
      <c r="Q298" s="420" t="s">
        <v>591</v>
      </c>
      <c r="R298" s="432">
        <v>33</v>
      </c>
      <c r="S298" s="425">
        <v>158</v>
      </c>
      <c r="T298" s="437"/>
      <c r="U298" s="426"/>
      <c r="V298" s="420" t="s">
        <v>535</v>
      </c>
      <c r="W298" s="359" t="s">
        <v>1665</v>
      </c>
      <c r="X298" s="420" t="s">
        <v>1059</v>
      </c>
      <c r="Y298" s="45"/>
      <c r="Z298" s="17"/>
      <c r="AA298" s="89"/>
      <c r="AB298" s="17"/>
      <c r="AC298" s="17"/>
      <c r="AD298" s="17"/>
      <c r="AF298" s="17"/>
    </row>
    <row r="299" spans="1:32" ht="14.25" customHeight="1">
      <c r="A299" s="392" t="s">
        <v>515</v>
      </c>
      <c r="B299" s="439" t="s">
        <v>534</v>
      </c>
      <c r="C299" s="392" t="s">
        <v>558</v>
      </c>
      <c r="D299" s="423" t="s">
        <v>2241</v>
      </c>
      <c r="E299" s="420" t="s">
        <v>1060</v>
      </c>
      <c r="F299" s="420" t="s">
        <v>1365</v>
      </c>
      <c r="G299" s="420" t="s">
        <v>1365</v>
      </c>
      <c r="H299" s="420"/>
      <c r="I299" s="420" t="s">
        <v>1614</v>
      </c>
      <c r="J299" s="420" t="s">
        <v>43</v>
      </c>
      <c r="K299" s="420" t="s">
        <v>694</v>
      </c>
      <c r="L299" s="420" t="s">
        <v>43</v>
      </c>
      <c r="M299" s="420" t="s">
        <v>589</v>
      </c>
      <c r="N299" s="420">
        <v>23.372409999999999</v>
      </c>
      <c r="O299" s="420">
        <v>98.352670000000003</v>
      </c>
      <c r="P299" s="420" t="s">
        <v>584</v>
      </c>
      <c r="Q299" s="420" t="s">
        <v>591</v>
      </c>
      <c r="R299" s="432"/>
      <c r="S299" s="425"/>
      <c r="T299" s="437">
        <v>43276</v>
      </c>
      <c r="U299" s="426" t="s">
        <v>1560</v>
      </c>
      <c r="V299" s="420" t="s">
        <v>558</v>
      </c>
      <c r="W299" s="424" t="s">
        <v>1666</v>
      </c>
      <c r="X299" s="423"/>
      <c r="Y299" s="45"/>
      <c r="Z299" s="17"/>
      <c r="AA299" s="89"/>
      <c r="AB299" s="17"/>
      <c r="AC299" s="17"/>
      <c r="AD299" s="17"/>
      <c r="AF299" s="17"/>
    </row>
    <row r="300" spans="1:32" ht="14.25" customHeight="1">
      <c r="A300" s="392" t="s">
        <v>515</v>
      </c>
      <c r="B300" s="439" t="s">
        <v>534</v>
      </c>
      <c r="C300" s="392" t="s">
        <v>563</v>
      </c>
      <c r="D300" s="383" t="s">
        <v>1295</v>
      </c>
      <c r="E300" s="420" t="s">
        <v>1058</v>
      </c>
      <c r="F300" s="420" t="s">
        <v>1299</v>
      </c>
      <c r="G300" s="420" t="s">
        <v>1299</v>
      </c>
      <c r="H300" s="420"/>
      <c r="I300" s="422">
        <v>0</v>
      </c>
      <c r="J300" s="420" t="s">
        <v>43</v>
      </c>
      <c r="K300" s="420" t="s">
        <v>43</v>
      </c>
      <c r="L300" s="420" t="s">
        <v>572</v>
      </c>
      <c r="M300" s="420" t="s">
        <v>44</v>
      </c>
      <c r="N300" s="420">
        <v>23.353999999999999</v>
      </c>
      <c r="O300" s="420">
        <v>98.221000000000004</v>
      </c>
      <c r="P300" s="420" t="s">
        <v>573</v>
      </c>
      <c r="Q300" s="420" t="s">
        <v>574</v>
      </c>
      <c r="R300" s="424">
        <v>0</v>
      </c>
      <c r="S300" s="424">
        <v>0</v>
      </c>
      <c r="T300" s="437"/>
      <c r="U300" s="426"/>
      <c r="V300" s="420"/>
      <c r="W300" s="359" t="s">
        <v>1667</v>
      </c>
      <c r="X300" s="383"/>
      <c r="Y300" s="45"/>
      <c r="Z300" s="17"/>
      <c r="AA300" s="89"/>
      <c r="AB300" s="17"/>
      <c r="AC300" s="17"/>
      <c r="AD300" s="17"/>
      <c r="AF300" s="17"/>
    </row>
    <row r="301" spans="1:32" ht="14.25" customHeight="1">
      <c r="A301" s="392" t="s">
        <v>515</v>
      </c>
      <c r="B301" s="439" t="s">
        <v>556</v>
      </c>
      <c r="C301" s="392" t="s">
        <v>2082</v>
      </c>
      <c r="D301" s="423"/>
      <c r="E301" s="420"/>
      <c r="F301" s="420"/>
      <c r="G301" s="420"/>
      <c r="H301" s="420"/>
      <c r="I301" s="420"/>
      <c r="J301" s="420" t="s">
        <v>2093</v>
      </c>
      <c r="K301" s="420" t="s">
        <v>2077</v>
      </c>
      <c r="L301" s="420" t="s">
        <v>2077</v>
      </c>
      <c r="M301" s="420" t="s">
        <v>44</v>
      </c>
      <c r="N301" s="420"/>
      <c r="O301" s="420"/>
      <c r="P301" s="420" t="s">
        <v>1568</v>
      </c>
      <c r="Q301" s="420"/>
      <c r="R301" s="432"/>
      <c r="S301" s="425"/>
      <c r="T301" s="437">
        <v>43567</v>
      </c>
      <c r="U301" s="426"/>
      <c r="V301" s="420"/>
      <c r="W301" s="424"/>
      <c r="X301" s="423"/>
      <c r="Y301" s="45"/>
      <c r="Z301" s="17"/>
      <c r="AA301" s="89"/>
      <c r="AB301" s="17"/>
      <c r="AC301" s="17"/>
      <c r="AD301" s="17"/>
      <c r="AF301" s="17"/>
    </row>
    <row r="302" spans="1:32" ht="14.25" customHeight="1">
      <c r="A302" s="392" t="s">
        <v>515</v>
      </c>
      <c r="B302" s="439" t="s">
        <v>556</v>
      </c>
      <c r="C302" s="392" t="s">
        <v>2645</v>
      </c>
      <c r="D302" s="423" t="s">
        <v>2835</v>
      </c>
      <c r="E302" s="766"/>
      <c r="F302" s="420" t="s">
        <v>2657</v>
      </c>
      <c r="G302" s="420" t="s">
        <v>2658</v>
      </c>
      <c r="H302" s="420"/>
      <c r="I302" s="420" t="s">
        <v>1614</v>
      </c>
      <c r="J302" s="420" t="s">
        <v>43</v>
      </c>
      <c r="K302" s="420" t="s">
        <v>43</v>
      </c>
      <c r="L302" s="420" t="s">
        <v>572</v>
      </c>
      <c r="M302" s="420" t="s">
        <v>44</v>
      </c>
      <c r="N302" s="420">
        <v>22.6923503875732</v>
      </c>
      <c r="O302" s="420">
        <v>97.434150695800795</v>
      </c>
      <c r="P302" s="420" t="s">
        <v>573</v>
      </c>
      <c r="Q302" s="420" t="s">
        <v>2650</v>
      </c>
      <c r="R302" s="432"/>
      <c r="S302" s="425"/>
      <c r="T302" s="437">
        <v>44544</v>
      </c>
      <c r="U302" s="426"/>
      <c r="V302" s="420"/>
      <c r="W302" s="424" t="s">
        <v>2659</v>
      </c>
      <c r="X302" s="420" t="s">
        <v>2656</v>
      </c>
      <c r="Y302" s="45"/>
      <c r="Z302" s="17"/>
      <c r="AA302" s="89"/>
      <c r="AB302" s="17"/>
      <c r="AC302" s="17"/>
      <c r="AD302" s="17"/>
      <c r="AF302" s="17"/>
    </row>
    <row r="303" spans="1:32" ht="14.25" customHeight="1">
      <c r="A303" s="392" t="s">
        <v>515</v>
      </c>
      <c r="B303" s="439" t="s">
        <v>556</v>
      </c>
      <c r="C303" s="392" t="s">
        <v>557</v>
      </c>
      <c r="D303" s="423" t="s">
        <v>3235</v>
      </c>
      <c r="E303" s="440" t="s">
        <v>2809</v>
      </c>
      <c r="F303" s="420" t="s">
        <v>1361</v>
      </c>
      <c r="G303" s="420" t="s">
        <v>1362</v>
      </c>
      <c r="H303" s="420"/>
      <c r="I303" s="420" t="s">
        <v>1614</v>
      </c>
      <c r="J303" s="420" t="s">
        <v>43</v>
      </c>
      <c r="K303" s="420" t="s">
        <v>43</v>
      </c>
      <c r="L303" s="420" t="s">
        <v>587</v>
      </c>
      <c r="M303" s="420" t="s">
        <v>44</v>
      </c>
      <c r="N303" s="420">
        <v>22.677008000000001</v>
      </c>
      <c r="O303" s="420">
        <v>97.314762999999999</v>
      </c>
      <c r="P303" s="420" t="s">
        <v>573</v>
      </c>
      <c r="Q303" s="420" t="s">
        <v>574</v>
      </c>
      <c r="R303" s="432">
        <v>37</v>
      </c>
      <c r="S303" s="425">
        <v>120</v>
      </c>
      <c r="T303" s="437"/>
      <c r="U303" s="426" t="s">
        <v>688</v>
      </c>
      <c r="V303" s="424" t="s">
        <v>689</v>
      </c>
      <c r="W303" s="424" t="s">
        <v>1668</v>
      </c>
      <c r="X303" s="420" t="s">
        <v>1050</v>
      </c>
      <c r="Y303" s="45"/>
      <c r="Z303" s="17"/>
      <c r="AA303" s="89"/>
      <c r="AB303" s="17"/>
      <c r="AC303" s="17"/>
      <c r="AD303" s="17"/>
      <c r="AF303" s="17"/>
    </row>
    <row r="304" spans="1:32" ht="14.25" customHeight="1">
      <c r="A304" s="392" t="s">
        <v>515</v>
      </c>
      <c r="B304" s="439" t="s">
        <v>556</v>
      </c>
      <c r="C304" s="392" t="s">
        <v>2083</v>
      </c>
      <c r="D304" s="423"/>
      <c r="E304" s="420"/>
      <c r="F304" s="420"/>
      <c r="G304" s="420"/>
      <c r="H304" s="420"/>
      <c r="I304" s="420"/>
      <c r="J304" s="420" t="s">
        <v>2093</v>
      </c>
      <c r="K304" s="420" t="s">
        <v>2077</v>
      </c>
      <c r="L304" s="420" t="s">
        <v>2077</v>
      </c>
      <c r="M304" s="420" t="s">
        <v>44</v>
      </c>
      <c r="N304" s="420"/>
      <c r="O304" s="420"/>
      <c r="P304" s="420" t="s">
        <v>1568</v>
      </c>
      <c r="Q304" s="420"/>
      <c r="R304" s="432"/>
      <c r="S304" s="425"/>
      <c r="T304" s="437">
        <v>43567</v>
      </c>
      <c r="U304" s="432"/>
      <c r="V304" s="422"/>
      <c r="W304" s="424"/>
      <c r="X304" s="423"/>
      <c r="Y304" s="45"/>
      <c r="Z304" s="17"/>
      <c r="AA304" s="89"/>
      <c r="AB304" s="17"/>
      <c r="AC304" s="17"/>
      <c r="AD304" s="17"/>
      <c r="AF304" s="17"/>
    </row>
    <row r="305" spans="1:32" ht="14.25" customHeight="1">
      <c r="A305" s="392" t="s">
        <v>515</v>
      </c>
      <c r="B305" s="439" t="s">
        <v>556</v>
      </c>
      <c r="C305" s="668" t="s">
        <v>2084</v>
      </c>
      <c r="D305" s="383"/>
      <c r="E305" s="420"/>
      <c r="F305" s="420"/>
      <c r="G305" s="420"/>
      <c r="H305" s="420"/>
      <c r="I305" s="422"/>
      <c r="J305" s="420" t="s">
        <v>2093</v>
      </c>
      <c r="K305" s="420" t="s">
        <v>2077</v>
      </c>
      <c r="L305" s="420" t="s">
        <v>2077</v>
      </c>
      <c r="M305" s="420" t="s">
        <v>44</v>
      </c>
      <c r="N305" s="420"/>
      <c r="O305" s="420"/>
      <c r="P305" s="420" t="s">
        <v>1568</v>
      </c>
      <c r="Q305" s="420"/>
      <c r="R305" s="424"/>
      <c r="S305" s="424"/>
      <c r="T305" s="437">
        <v>43567</v>
      </c>
      <c r="U305" s="426"/>
      <c r="V305" s="420"/>
      <c r="W305" s="359"/>
      <c r="X305" s="383"/>
      <c r="Y305" s="45"/>
      <c r="Z305" s="17"/>
      <c r="AA305" s="89"/>
      <c r="AB305" s="17"/>
      <c r="AC305" s="17"/>
      <c r="AD305" s="17"/>
      <c r="AF305" s="17"/>
    </row>
    <row r="306" spans="1:32" ht="14.25" customHeight="1">
      <c r="A306" s="392" t="s">
        <v>515</v>
      </c>
      <c r="B306" s="439" t="s">
        <v>519</v>
      </c>
      <c r="C306" s="392" t="s">
        <v>2881</v>
      </c>
      <c r="D306" s="423" t="s">
        <v>3235</v>
      </c>
      <c r="E306" s="440" t="s">
        <v>2810</v>
      </c>
      <c r="F306" s="420" t="s">
        <v>1369</v>
      </c>
      <c r="G306" s="420" t="s">
        <v>1370</v>
      </c>
      <c r="H306" s="420"/>
      <c r="I306" s="420"/>
      <c r="J306" s="420" t="s">
        <v>43</v>
      </c>
      <c r="K306" s="420" t="s">
        <v>43</v>
      </c>
      <c r="L306" s="420" t="s">
        <v>2576</v>
      </c>
      <c r="M306" s="420" t="s">
        <v>44</v>
      </c>
      <c r="N306" s="420">
        <v>23.400155999999999</v>
      </c>
      <c r="O306" s="420">
        <v>98.220614999999995</v>
      </c>
      <c r="P306" s="420" t="s">
        <v>584</v>
      </c>
      <c r="Q306" s="420" t="s">
        <v>2577</v>
      </c>
      <c r="R306" s="432">
        <v>27</v>
      </c>
      <c r="S306" s="425">
        <v>162</v>
      </c>
      <c r="T306" s="437">
        <v>44166</v>
      </c>
      <c r="U306" s="426"/>
      <c r="V306" s="429" t="s">
        <v>2572</v>
      </c>
      <c r="W306" s="359"/>
      <c r="X306" s="420" t="s">
        <v>2565</v>
      </c>
      <c r="Y306" s="45"/>
      <c r="Z306" s="17"/>
      <c r="AA306" s="89"/>
      <c r="AB306" s="17"/>
      <c r="AC306" s="17"/>
      <c r="AD306" s="17"/>
      <c r="AF306" s="17"/>
    </row>
    <row r="307" spans="1:32" ht="14.25" customHeight="1">
      <c r="A307" s="392" t="s">
        <v>515</v>
      </c>
      <c r="B307" s="439" t="s">
        <v>519</v>
      </c>
      <c r="C307" s="392" t="s">
        <v>1717</v>
      </c>
      <c r="D307" s="423"/>
      <c r="E307" s="420"/>
      <c r="F307" s="420"/>
      <c r="G307" s="420"/>
      <c r="H307" s="420"/>
      <c r="I307" s="420"/>
      <c r="J307" s="420" t="s">
        <v>2093</v>
      </c>
      <c r="K307" s="420" t="s">
        <v>2077</v>
      </c>
      <c r="L307" s="420" t="s">
        <v>2077</v>
      </c>
      <c r="M307" s="420" t="s">
        <v>44</v>
      </c>
      <c r="N307" s="420"/>
      <c r="O307" s="420"/>
      <c r="P307" s="420" t="s">
        <v>1568</v>
      </c>
      <c r="Q307" s="420" t="s">
        <v>2164</v>
      </c>
      <c r="R307" s="432"/>
      <c r="S307" s="425"/>
      <c r="T307" s="437">
        <v>43759</v>
      </c>
      <c r="U307" s="432"/>
      <c r="V307" s="420"/>
      <c r="W307" s="424"/>
      <c r="X307" s="423"/>
      <c r="Y307" s="45"/>
      <c r="Z307" s="17"/>
      <c r="AA307" s="89"/>
      <c r="AB307" s="17"/>
      <c r="AC307" s="17"/>
      <c r="AD307" s="17"/>
      <c r="AF307" s="17"/>
    </row>
    <row r="308" spans="1:32" ht="14.25" customHeight="1">
      <c r="A308" s="392" t="s">
        <v>515</v>
      </c>
      <c r="B308" s="439" t="s">
        <v>519</v>
      </c>
      <c r="C308" s="392" t="s">
        <v>1715</v>
      </c>
      <c r="D308" s="423" t="s">
        <v>3235</v>
      </c>
      <c r="E308" s="440" t="s">
        <v>2811</v>
      </c>
      <c r="F308" s="420" t="s">
        <v>1717</v>
      </c>
      <c r="G308" s="420" t="s">
        <v>1717</v>
      </c>
      <c r="H308" s="420"/>
      <c r="I308" s="420" t="s">
        <v>1614</v>
      </c>
      <c r="J308" s="420" t="s">
        <v>43</v>
      </c>
      <c r="K308" s="420" t="s">
        <v>43</v>
      </c>
      <c r="L308" s="420" t="s">
        <v>587</v>
      </c>
      <c r="M308" s="420" t="s">
        <v>44</v>
      </c>
      <c r="N308" s="420">
        <v>23.234137</v>
      </c>
      <c r="O308" s="420">
        <v>97.505339000000006</v>
      </c>
      <c r="P308" s="420" t="s">
        <v>573</v>
      </c>
      <c r="Q308" s="420" t="s">
        <v>1718</v>
      </c>
      <c r="R308" s="432">
        <v>86</v>
      </c>
      <c r="S308" s="425">
        <v>525</v>
      </c>
      <c r="T308" s="437">
        <v>43405</v>
      </c>
      <c r="U308" s="426" t="s">
        <v>1719</v>
      </c>
      <c r="V308" s="420" t="s">
        <v>1715</v>
      </c>
      <c r="W308" s="359" t="s">
        <v>1720</v>
      </c>
      <c r="X308" s="420" t="s">
        <v>1716</v>
      </c>
      <c r="Y308" s="45"/>
      <c r="Z308" s="17"/>
      <c r="AA308" s="89"/>
      <c r="AB308" s="17"/>
      <c r="AC308" s="17"/>
      <c r="AD308" s="17"/>
      <c r="AF308" s="17"/>
    </row>
    <row r="309" spans="1:32" ht="14.25" customHeight="1">
      <c r="A309" s="392" t="s">
        <v>515</v>
      </c>
      <c r="B309" s="439" t="s">
        <v>519</v>
      </c>
      <c r="C309" s="668" t="s">
        <v>2882</v>
      </c>
      <c r="D309" s="423" t="s">
        <v>3235</v>
      </c>
      <c r="E309" s="420" t="s">
        <v>1067</v>
      </c>
      <c r="F309" s="420" t="s">
        <v>1366</v>
      </c>
      <c r="G309" s="420" t="s">
        <v>1368</v>
      </c>
      <c r="H309" s="420" t="s">
        <v>41</v>
      </c>
      <c r="I309" s="422" t="s">
        <v>1036</v>
      </c>
      <c r="J309" s="420" t="s">
        <v>43</v>
      </c>
      <c r="K309" s="420" t="s">
        <v>43</v>
      </c>
      <c r="L309" s="420" t="s">
        <v>43</v>
      </c>
      <c r="M309" s="420" t="s">
        <v>44</v>
      </c>
      <c r="N309" s="420">
        <v>23.38503</v>
      </c>
      <c r="O309" s="420">
        <v>97.837040000000002</v>
      </c>
      <c r="P309" s="420" t="s">
        <v>573</v>
      </c>
      <c r="Q309" s="420" t="s">
        <v>591</v>
      </c>
      <c r="R309" s="432">
        <v>26</v>
      </c>
      <c r="S309" s="425">
        <v>135</v>
      </c>
      <c r="T309" s="437"/>
      <c r="U309" s="426"/>
      <c r="V309" s="446" t="s">
        <v>520</v>
      </c>
      <c r="W309" s="359" t="s">
        <v>1672</v>
      </c>
      <c r="X309" s="423"/>
      <c r="Y309" s="45"/>
      <c r="Z309" s="17"/>
      <c r="AA309" s="89"/>
      <c r="AB309" s="17"/>
      <c r="AC309" s="17"/>
      <c r="AD309" s="17"/>
      <c r="AF309" s="17"/>
    </row>
    <row r="310" spans="1:32" ht="14.25" customHeight="1">
      <c r="A310" s="392" t="s">
        <v>515</v>
      </c>
      <c r="B310" s="439" t="s">
        <v>519</v>
      </c>
      <c r="C310" s="392" t="s">
        <v>1721</v>
      </c>
      <c r="D310" s="423" t="s">
        <v>3235</v>
      </c>
      <c r="E310" s="440" t="s">
        <v>2812</v>
      </c>
      <c r="F310" s="420" t="s">
        <v>1723</v>
      </c>
      <c r="G310" s="420"/>
      <c r="H310" s="420" t="s">
        <v>41</v>
      </c>
      <c r="I310" s="420" t="s">
        <v>1036</v>
      </c>
      <c r="J310" s="420" t="s">
        <v>43</v>
      </c>
      <c r="K310" s="420" t="s">
        <v>43</v>
      </c>
      <c r="L310" s="420" t="s">
        <v>43</v>
      </c>
      <c r="M310" s="420" t="s">
        <v>44</v>
      </c>
      <c r="N310" s="420">
        <v>23.638999999999999</v>
      </c>
      <c r="O310" s="420">
        <v>97.861999999999995</v>
      </c>
      <c r="P310" s="420" t="s">
        <v>573</v>
      </c>
      <c r="Q310" s="420" t="s">
        <v>1718</v>
      </c>
      <c r="R310" s="432">
        <v>31</v>
      </c>
      <c r="S310" s="425">
        <v>145</v>
      </c>
      <c r="T310" s="437"/>
      <c r="U310" s="426" t="s">
        <v>1724</v>
      </c>
      <c r="V310" s="420" t="s">
        <v>1721</v>
      </c>
      <c r="W310" s="424" t="s">
        <v>1727</v>
      </c>
      <c r="X310" s="420" t="s">
        <v>1722</v>
      </c>
      <c r="Y310" s="45"/>
      <c r="Z310" s="17"/>
      <c r="AA310" s="89"/>
      <c r="AB310" s="17"/>
      <c r="AC310" s="17"/>
      <c r="AD310" s="17"/>
      <c r="AF310" s="17"/>
    </row>
    <row r="311" spans="1:32" ht="14.25" customHeight="1">
      <c r="A311" s="392" t="s">
        <v>515</v>
      </c>
      <c r="B311" s="439" t="s">
        <v>519</v>
      </c>
      <c r="C311" s="392" t="s">
        <v>2205</v>
      </c>
      <c r="D311" s="383"/>
      <c r="E311" s="420"/>
      <c r="F311" s="420"/>
      <c r="G311" s="420"/>
      <c r="H311" s="420"/>
      <c r="I311" s="420"/>
      <c r="J311" s="420" t="s">
        <v>2093</v>
      </c>
      <c r="K311" s="420" t="s">
        <v>2077</v>
      </c>
      <c r="L311" s="420" t="s">
        <v>2077</v>
      </c>
      <c r="M311" s="420" t="s">
        <v>44</v>
      </c>
      <c r="N311" s="420"/>
      <c r="O311" s="420"/>
      <c r="P311" s="420" t="s">
        <v>1568</v>
      </c>
      <c r="Q311" s="420" t="s">
        <v>2164</v>
      </c>
      <c r="R311" s="424"/>
      <c r="S311" s="424"/>
      <c r="T311" s="437">
        <v>43759</v>
      </c>
      <c r="U311" s="426"/>
      <c r="V311" s="420"/>
      <c r="W311" s="359"/>
      <c r="X311" s="383"/>
      <c r="Y311" s="45"/>
      <c r="Z311" s="17"/>
      <c r="AA311" s="89"/>
      <c r="AB311" s="17"/>
      <c r="AC311" s="17"/>
      <c r="AD311" s="17"/>
      <c r="AF311" s="17"/>
    </row>
    <row r="312" spans="1:32" ht="14.25" customHeight="1">
      <c r="A312" s="392" t="s">
        <v>515</v>
      </c>
      <c r="B312" s="439" t="s">
        <v>519</v>
      </c>
      <c r="C312" s="392" t="s">
        <v>540</v>
      </c>
      <c r="D312" s="383" t="s">
        <v>1295</v>
      </c>
      <c r="E312" s="420" t="s">
        <v>1063</v>
      </c>
      <c r="F312" s="420" t="s">
        <v>1300</v>
      </c>
      <c r="G312" s="420" t="s">
        <v>1301</v>
      </c>
      <c r="H312" s="420" t="s">
        <v>41</v>
      </c>
      <c r="I312" s="420" t="s">
        <v>141</v>
      </c>
      <c r="J312" s="420" t="s">
        <v>43</v>
      </c>
      <c r="K312" s="420" t="s">
        <v>694</v>
      </c>
      <c r="L312" s="420" t="s">
        <v>572</v>
      </c>
      <c r="M312" s="420" t="s">
        <v>44</v>
      </c>
      <c r="N312" s="420">
        <v>23.4008</v>
      </c>
      <c r="O312" s="420">
        <v>97.848529999999997</v>
      </c>
      <c r="P312" s="420" t="s">
        <v>573</v>
      </c>
      <c r="Q312" s="420" t="s">
        <v>591</v>
      </c>
      <c r="R312" s="424">
        <v>0</v>
      </c>
      <c r="S312" s="424">
        <v>0</v>
      </c>
      <c r="T312" s="437">
        <v>43049</v>
      </c>
      <c r="U312" s="426" t="s">
        <v>696</v>
      </c>
      <c r="V312" s="420" t="s">
        <v>540</v>
      </c>
      <c r="W312" s="359" t="s">
        <v>1669</v>
      </c>
      <c r="X312" s="383"/>
      <c r="Y312" s="45"/>
      <c r="Z312" s="17"/>
      <c r="AA312" s="89"/>
      <c r="AB312" s="17"/>
      <c r="AC312" s="17"/>
      <c r="AD312" s="17"/>
      <c r="AF312" s="17"/>
    </row>
    <row r="313" spans="1:32" ht="14.25" customHeight="1">
      <c r="A313" s="392" t="s">
        <v>515</v>
      </c>
      <c r="B313" s="439" t="s">
        <v>519</v>
      </c>
      <c r="C313" s="392" t="s">
        <v>825</v>
      </c>
      <c r="D313" s="383"/>
      <c r="E313" s="420"/>
      <c r="F313" s="420"/>
      <c r="G313" s="420"/>
      <c r="H313" s="420"/>
      <c r="I313" s="420"/>
      <c r="J313" s="420" t="s">
        <v>1094</v>
      </c>
      <c r="K313" s="420" t="s">
        <v>43</v>
      </c>
      <c r="L313" s="420" t="s">
        <v>821</v>
      </c>
      <c r="M313" s="420" t="s">
        <v>44</v>
      </c>
      <c r="N313" s="420"/>
      <c r="O313" s="420"/>
      <c r="P313" s="420" t="s">
        <v>573</v>
      </c>
      <c r="Q313" s="420" t="s">
        <v>591</v>
      </c>
      <c r="R313" s="424"/>
      <c r="S313" s="424"/>
      <c r="T313" s="437"/>
      <c r="U313" s="426" t="s">
        <v>818</v>
      </c>
      <c r="V313" s="420" t="s">
        <v>825</v>
      </c>
      <c r="W313" s="359"/>
      <c r="X313" s="383"/>
      <c r="Y313" s="45"/>
      <c r="Z313" s="17"/>
      <c r="AA313" s="89"/>
      <c r="AB313" s="17"/>
      <c r="AC313" s="17"/>
      <c r="AD313" s="17"/>
      <c r="AF313" s="17"/>
    </row>
    <row r="314" spans="1:32" ht="14.25" customHeight="1">
      <c r="A314" s="392" t="s">
        <v>515</v>
      </c>
      <c r="B314" s="439" t="s">
        <v>519</v>
      </c>
      <c r="C314" s="392" t="s">
        <v>541</v>
      </c>
      <c r="D314" s="423" t="s">
        <v>3235</v>
      </c>
      <c r="E314" s="420" t="s">
        <v>1065</v>
      </c>
      <c r="F314" s="420" t="s">
        <v>1366</v>
      </c>
      <c r="G314" s="420" t="s">
        <v>1367</v>
      </c>
      <c r="H314" s="420" t="s">
        <v>41</v>
      </c>
      <c r="I314" s="420" t="s">
        <v>2113</v>
      </c>
      <c r="J314" s="420" t="s">
        <v>43</v>
      </c>
      <c r="K314" s="420" t="s">
        <v>43</v>
      </c>
      <c r="L314" s="420" t="s">
        <v>43</v>
      </c>
      <c r="M314" s="420" t="s">
        <v>44</v>
      </c>
      <c r="N314" s="420">
        <v>23.450914000000001</v>
      </c>
      <c r="O314" s="420">
        <v>97.926813999999993</v>
      </c>
      <c r="P314" s="420" t="s">
        <v>573</v>
      </c>
      <c r="Q314" s="420" t="s">
        <v>591</v>
      </c>
      <c r="R314" s="432">
        <v>39</v>
      </c>
      <c r="S314" s="425">
        <v>243</v>
      </c>
      <c r="T314" s="437"/>
      <c r="U314" s="426"/>
      <c r="V314" s="420" t="s">
        <v>541</v>
      </c>
      <c r="W314" s="424" t="s">
        <v>1670</v>
      </c>
      <c r="X314" s="423"/>
      <c r="Y314" s="45"/>
      <c r="Z314" s="17"/>
      <c r="AA314" s="89"/>
      <c r="AB314" s="17"/>
      <c r="AC314" s="17"/>
      <c r="AD314" s="17"/>
      <c r="AF314" s="17"/>
    </row>
    <row r="315" spans="1:32" ht="14.25" customHeight="1">
      <c r="A315" s="392" t="s">
        <v>515</v>
      </c>
      <c r="B315" s="439" t="s">
        <v>519</v>
      </c>
      <c r="C315" s="392" t="s">
        <v>546</v>
      </c>
      <c r="D315" s="423" t="s">
        <v>3235</v>
      </c>
      <c r="E315" s="420" t="s">
        <v>2815</v>
      </c>
      <c r="F315" s="420" t="s">
        <v>1366</v>
      </c>
      <c r="G315" s="420" t="s">
        <v>1298</v>
      </c>
      <c r="H315" s="420" t="s">
        <v>41</v>
      </c>
      <c r="I315" s="420" t="s">
        <v>2113</v>
      </c>
      <c r="J315" s="420" t="s">
        <v>43</v>
      </c>
      <c r="K315" s="420" t="s">
        <v>43</v>
      </c>
      <c r="L315" s="420" t="s">
        <v>43</v>
      </c>
      <c r="M315" s="420" t="s">
        <v>44</v>
      </c>
      <c r="N315" s="420">
        <v>23.460349999999998</v>
      </c>
      <c r="O315" s="420">
        <v>97.947360000000003</v>
      </c>
      <c r="P315" s="420" t="s">
        <v>573</v>
      </c>
      <c r="Q315" s="420" t="s">
        <v>574</v>
      </c>
      <c r="R315" s="432">
        <v>34</v>
      </c>
      <c r="S315" s="425">
        <v>150</v>
      </c>
      <c r="T315" s="437">
        <v>42836</v>
      </c>
      <c r="U315" s="426" t="s">
        <v>697</v>
      </c>
      <c r="V315" s="420"/>
      <c r="W315" s="359" t="s">
        <v>1671</v>
      </c>
      <c r="X315" s="420" t="s">
        <v>1066</v>
      </c>
      <c r="Y315" s="45"/>
      <c r="Z315" s="17"/>
      <c r="AA315" s="89"/>
      <c r="AB315" s="17"/>
      <c r="AC315" s="17"/>
      <c r="AD315" s="17"/>
      <c r="AF315" s="17"/>
    </row>
    <row r="316" spans="1:32" ht="14.25" customHeight="1">
      <c r="A316" s="392" t="s">
        <v>515</v>
      </c>
      <c r="B316" s="439" t="s">
        <v>519</v>
      </c>
      <c r="C316" s="392" t="s">
        <v>564</v>
      </c>
      <c r="D316" s="423"/>
      <c r="E316" s="420"/>
      <c r="F316" s="420"/>
      <c r="G316" s="420"/>
      <c r="H316" s="420"/>
      <c r="I316" s="420"/>
      <c r="J316" s="420" t="s">
        <v>1094</v>
      </c>
      <c r="K316" s="420" t="s">
        <v>43</v>
      </c>
      <c r="L316" s="420" t="s">
        <v>43</v>
      </c>
      <c r="M316" s="420" t="s">
        <v>44</v>
      </c>
      <c r="N316" s="420"/>
      <c r="O316" s="420"/>
      <c r="P316" s="420" t="s">
        <v>573</v>
      </c>
      <c r="Q316" s="420" t="s">
        <v>591</v>
      </c>
      <c r="R316" s="432"/>
      <c r="S316" s="425"/>
      <c r="T316" s="437">
        <v>42747</v>
      </c>
      <c r="U316" s="432"/>
      <c r="V316" s="420"/>
      <c r="W316" s="424"/>
      <c r="X316" s="423"/>
      <c r="Y316" s="45"/>
      <c r="Z316" s="17"/>
      <c r="AA316" s="89"/>
      <c r="AB316" s="17"/>
      <c r="AC316" s="17"/>
      <c r="AD316" s="17"/>
      <c r="AF316" s="17"/>
    </row>
    <row r="317" spans="1:32" ht="14.25" customHeight="1">
      <c r="A317" s="392" t="s">
        <v>515</v>
      </c>
      <c r="B317" s="439" t="s">
        <v>519</v>
      </c>
      <c r="C317" s="392" t="s">
        <v>1611</v>
      </c>
      <c r="D317" s="423" t="s">
        <v>3235</v>
      </c>
      <c r="E317" s="420" t="s">
        <v>2816</v>
      </c>
      <c r="F317" s="420" t="s">
        <v>1371</v>
      </c>
      <c r="G317" s="420" t="s">
        <v>1371</v>
      </c>
      <c r="H317" s="420" t="s">
        <v>41</v>
      </c>
      <c r="I317" s="420" t="s">
        <v>1036</v>
      </c>
      <c r="J317" s="420" t="s">
        <v>43</v>
      </c>
      <c r="K317" s="420" t="s">
        <v>43</v>
      </c>
      <c r="L317" s="420" t="s">
        <v>43</v>
      </c>
      <c r="M317" s="420" t="s">
        <v>44</v>
      </c>
      <c r="N317" s="420">
        <v>23.591999999999999</v>
      </c>
      <c r="O317" s="420">
        <v>97.796999999999997</v>
      </c>
      <c r="P317" s="420" t="s">
        <v>573</v>
      </c>
      <c r="Q317" s="420" t="s">
        <v>591</v>
      </c>
      <c r="R317" s="432">
        <v>72</v>
      </c>
      <c r="S317" s="425">
        <v>376</v>
      </c>
      <c r="T317" s="437" t="s">
        <v>609</v>
      </c>
      <c r="U317" s="426"/>
      <c r="V317" s="420"/>
      <c r="W317" s="359" t="s">
        <v>1673</v>
      </c>
      <c r="X317" s="420" t="s">
        <v>1070</v>
      </c>
      <c r="Y317" s="45"/>
      <c r="Z317" s="17"/>
      <c r="AA317" s="89"/>
      <c r="AB317" s="17"/>
      <c r="AC317" s="17"/>
      <c r="AD317" s="17"/>
      <c r="AF317" s="17"/>
    </row>
    <row r="318" spans="1:32" ht="14.25" customHeight="1">
      <c r="A318" s="429" t="s">
        <v>515</v>
      </c>
      <c r="B318" s="439" t="s">
        <v>519</v>
      </c>
      <c r="C318" s="392" t="s">
        <v>554</v>
      </c>
      <c r="D318" s="423" t="s">
        <v>3233</v>
      </c>
      <c r="E318" s="420" t="s">
        <v>2817</v>
      </c>
      <c r="F318" s="420" t="s">
        <v>1454</v>
      </c>
      <c r="G318" s="420" t="s">
        <v>554</v>
      </c>
      <c r="H318" s="420"/>
      <c r="I318" s="420" t="s">
        <v>1614</v>
      </c>
      <c r="J318" s="420" t="s">
        <v>43</v>
      </c>
      <c r="K318" s="420" t="s">
        <v>43</v>
      </c>
      <c r="L318" s="420" t="s">
        <v>572</v>
      </c>
      <c r="M318" s="420" t="s">
        <v>44</v>
      </c>
      <c r="N318" s="420">
        <v>23.621317999999999</v>
      </c>
      <c r="O318" s="420">
        <v>97.795981999999995</v>
      </c>
      <c r="P318" s="420" t="s">
        <v>573</v>
      </c>
      <c r="Q318" s="420" t="s">
        <v>608</v>
      </c>
      <c r="R318" s="432">
        <v>24</v>
      </c>
      <c r="S318" s="425">
        <v>84</v>
      </c>
      <c r="T318" s="437" t="s">
        <v>808</v>
      </c>
      <c r="U318" s="426"/>
      <c r="V318" s="420"/>
      <c r="W318" s="424" t="s">
        <v>1674</v>
      </c>
      <c r="X318" s="420" t="s">
        <v>1256</v>
      </c>
      <c r="Y318" s="45"/>
      <c r="Z318" s="17"/>
      <c r="AA318" s="89"/>
      <c r="AB318" s="17"/>
      <c r="AC318" s="17"/>
      <c r="AD318" s="17"/>
      <c r="AF318" s="17"/>
    </row>
    <row r="319" spans="1:32" ht="14.25" customHeight="1">
      <c r="A319" s="429" t="s">
        <v>515</v>
      </c>
      <c r="B319" s="439" t="s">
        <v>519</v>
      </c>
      <c r="C319" s="668" t="s">
        <v>2209</v>
      </c>
      <c r="D319" s="383"/>
      <c r="E319" s="420"/>
      <c r="F319" s="420"/>
      <c r="G319" s="420"/>
      <c r="H319" s="420"/>
      <c r="I319" s="422"/>
      <c r="J319" s="420" t="s">
        <v>2093</v>
      </c>
      <c r="K319" s="420" t="s">
        <v>2077</v>
      </c>
      <c r="L319" s="420" t="s">
        <v>2077</v>
      </c>
      <c r="M319" s="420" t="s">
        <v>44</v>
      </c>
      <c r="N319" s="420"/>
      <c r="O319" s="420"/>
      <c r="P319" s="420" t="s">
        <v>1568</v>
      </c>
      <c r="Q319" s="420" t="s">
        <v>2164</v>
      </c>
      <c r="R319" s="424"/>
      <c r="S319" s="424"/>
      <c r="T319" s="437">
        <v>43759</v>
      </c>
      <c r="U319" s="426"/>
      <c r="V319" s="420"/>
      <c r="W319" s="359"/>
      <c r="X319" s="383"/>
      <c r="Y319" s="45"/>
      <c r="Z319" s="17"/>
      <c r="AA319" s="89"/>
      <c r="AB319" s="17"/>
      <c r="AC319" s="17"/>
      <c r="AD319" s="17"/>
      <c r="AF319" s="17"/>
    </row>
    <row r="320" spans="1:32" ht="14.25" customHeight="1">
      <c r="A320" s="429" t="s">
        <v>515</v>
      </c>
      <c r="B320" s="439" t="s">
        <v>519</v>
      </c>
      <c r="C320" s="392" t="s">
        <v>1612</v>
      </c>
      <c r="D320" s="423" t="s">
        <v>3235</v>
      </c>
      <c r="E320" s="420" t="s">
        <v>1069</v>
      </c>
      <c r="F320" s="420" t="s">
        <v>1371</v>
      </c>
      <c r="G320" s="420" t="s">
        <v>1371</v>
      </c>
      <c r="H320" s="420" t="s">
        <v>41</v>
      </c>
      <c r="I320" s="420" t="s">
        <v>1036</v>
      </c>
      <c r="J320" s="420" t="s">
        <v>43</v>
      </c>
      <c r="K320" s="420" t="s">
        <v>694</v>
      </c>
      <c r="L320" s="420" t="s">
        <v>43</v>
      </c>
      <c r="M320" s="420" t="s">
        <v>44</v>
      </c>
      <c r="N320" s="420">
        <v>23.588920000000002</v>
      </c>
      <c r="O320" s="420">
        <v>97.793019999999999</v>
      </c>
      <c r="P320" s="420" t="s">
        <v>573</v>
      </c>
      <c r="Q320" s="420" t="s">
        <v>591</v>
      </c>
      <c r="R320" s="432">
        <v>68</v>
      </c>
      <c r="S320" s="425">
        <v>260</v>
      </c>
      <c r="T320" s="437"/>
      <c r="U320" s="426"/>
      <c r="V320" s="420" t="s">
        <v>549</v>
      </c>
      <c r="W320" s="359" t="s">
        <v>1675</v>
      </c>
      <c r="X320" s="423"/>
      <c r="Y320" s="45"/>
      <c r="Z320" s="17"/>
      <c r="AA320" s="89"/>
      <c r="AB320" s="17"/>
      <c r="AC320" s="17"/>
      <c r="AD320" s="17"/>
      <c r="AF320" s="17"/>
    </row>
    <row r="321" spans="1:32" ht="14.25" customHeight="1">
      <c r="A321" s="429" t="s">
        <v>515</v>
      </c>
      <c r="B321" s="439" t="s">
        <v>519</v>
      </c>
      <c r="C321" s="392" t="s">
        <v>837</v>
      </c>
      <c r="D321" s="383"/>
      <c r="E321" s="420"/>
      <c r="F321" s="420"/>
      <c r="G321" s="420"/>
      <c r="H321" s="420"/>
      <c r="I321" s="420"/>
      <c r="J321" s="420" t="s">
        <v>1094</v>
      </c>
      <c r="K321" s="420" t="s">
        <v>43</v>
      </c>
      <c r="L321" s="420" t="s">
        <v>43</v>
      </c>
      <c r="M321" s="420" t="s">
        <v>44</v>
      </c>
      <c r="N321" s="420"/>
      <c r="O321" s="420"/>
      <c r="P321" s="420" t="s">
        <v>573</v>
      </c>
      <c r="Q321" s="420" t="s">
        <v>591</v>
      </c>
      <c r="R321" s="424"/>
      <c r="S321" s="424"/>
      <c r="T321" s="437"/>
      <c r="U321" s="426" t="s">
        <v>818</v>
      </c>
      <c r="V321" s="420"/>
      <c r="W321" s="359"/>
      <c r="X321" s="383"/>
      <c r="Y321" s="45"/>
      <c r="Z321" s="17"/>
      <c r="AA321" s="89"/>
      <c r="AB321" s="17"/>
      <c r="AC321" s="17"/>
      <c r="AD321" s="17"/>
      <c r="AF321" s="17"/>
    </row>
    <row r="322" spans="1:32" ht="14.25" customHeight="1">
      <c r="A322" s="429" t="s">
        <v>515</v>
      </c>
      <c r="B322" s="439" t="s">
        <v>519</v>
      </c>
      <c r="C322" s="392" t="s">
        <v>545</v>
      </c>
      <c r="D322" s="423" t="s">
        <v>3235</v>
      </c>
      <c r="E322" s="420" t="s">
        <v>2818</v>
      </c>
      <c r="F322" s="420" t="s">
        <v>1375</v>
      </c>
      <c r="G322" s="420" t="s">
        <v>1376</v>
      </c>
      <c r="H322" s="420"/>
      <c r="I322" s="420" t="s">
        <v>1614</v>
      </c>
      <c r="J322" s="420" t="s">
        <v>43</v>
      </c>
      <c r="K322" s="420" t="s">
        <v>43</v>
      </c>
      <c r="L322" s="420" t="s">
        <v>587</v>
      </c>
      <c r="M322" s="420" t="s">
        <v>44</v>
      </c>
      <c r="N322" s="420">
        <v>23.850999999999999</v>
      </c>
      <c r="O322" s="420">
        <v>98.337999999999994</v>
      </c>
      <c r="P322" s="420" t="s">
        <v>573</v>
      </c>
      <c r="Q322" s="420" t="s">
        <v>574</v>
      </c>
      <c r="R322" s="432">
        <v>30</v>
      </c>
      <c r="S322" s="425">
        <v>170</v>
      </c>
      <c r="T322" s="437"/>
      <c r="U322" s="426" t="s">
        <v>708</v>
      </c>
      <c r="V322" s="420"/>
      <c r="W322" s="424" t="s">
        <v>1676</v>
      </c>
      <c r="X322" s="420" t="s">
        <v>1087</v>
      </c>
      <c r="Y322" s="45"/>
      <c r="Z322" s="17"/>
      <c r="AA322" s="89"/>
      <c r="AB322" s="17"/>
      <c r="AC322" s="17"/>
      <c r="AD322" s="17"/>
      <c r="AF322" s="17"/>
    </row>
    <row r="323" spans="1:32" ht="14.25" customHeight="1">
      <c r="A323" s="429" t="s">
        <v>515</v>
      </c>
      <c r="B323" s="439" t="s">
        <v>519</v>
      </c>
      <c r="C323" s="392" t="s">
        <v>528</v>
      </c>
      <c r="D323" s="383" t="s">
        <v>2588</v>
      </c>
      <c r="E323" s="420" t="s">
        <v>1062</v>
      </c>
      <c r="F323" s="420"/>
      <c r="G323" s="420"/>
      <c r="H323" s="420" t="s">
        <v>41</v>
      </c>
      <c r="I323" s="420" t="s">
        <v>2113</v>
      </c>
      <c r="J323" s="420" t="s">
        <v>43</v>
      </c>
      <c r="K323" s="420" t="s">
        <v>694</v>
      </c>
      <c r="L323" s="420" t="s">
        <v>572</v>
      </c>
      <c r="M323" s="420" t="s">
        <v>44</v>
      </c>
      <c r="N323" s="420">
        <v>23.400155999999999</v>
      </c>
      <c r="O323" s="420">
        <v>98.220614999999995</v>
      </c>
      <c r="P323" s="420" t="s">
        <v>573</v>
      </c>
      <c r="Q323" s="420" t="s">
        <v>591</v>
      </c>
      <c r="R323" s="424"/>
      <c r="S323" s="424"/>
      <c r="T323" s="437"/>
      <c r="U323" s="426"/>
      <c r="V323" s="420" t="s">
        <v>695</v>
      </c>
      <c r="W323" s="359" t="s">
        <v>1677</v>
      </c>
      <c r="X323" s="383"/>
      <c r="Y323" s="45"/>
      <c r="Z323" s="17"/>
      <c r="AA323" s="89"/>
      <c r="AB323" s="17"/>
      <c r="AC323" s="17"/>
      <c r="AD323" s="17"/>
      <c r="AF323" s="17"/>
    </row>
    <row r="324" spans="1:32" ht="14.25" customHeight="1">
      <c r="A324" s="429" t="s">
        <v>515</v>
      </c>
      <c r="B324" s="439" t="s">
        <v>519</v>
      </c>
      <c r="C324" s="392" t="s">
        <v>524</v>
      </c>
      <c r="D324" s="383" t="s">
        <v>2618</v>
      </c>
      <c r="E324" s="420" t="s">
        <v>1068</v>
      </c>
      <c r="F324" s="420" t="s">
        <v>1369</v>
      </c>
      <c r="G324" s="420" t="s">
        <v>1370</v>
      </c>
      <c r="H324" s="420" t="s">
        <v>41</v>
      </c>
      <c r="I324" s="420" t="s">
        <v>1036</v>
      </c>
      <c r="J324" s="420" t="s">
        <v>43</v>
      </c>
      <c r="K324" s="420" t="s">
        <v>43</v>
      </c>
      <c r="L324" s="420" t="s">
        <v>572</v>
      </c>
      <c r="M324" s="420" t="s">
        <v>44</v>
      </c>
      <c r="N324" s="420">
        <v>23.463000000000001</v>
      </c>
      <c r="O324" s="420">
        <v>98.248999999999995</v>
      </c>
      <c r="P324" s="420" t="s">
        <v>573</v>
      </c>
      <c r="Q324" s="420" t="s">
        <v>591</v>
      </c>
      <c r="R324" s="424"/>
      <c r="S324" s="424"/>
      <c r="T324" s="437"/>
      <c r="U324" s="426"/>
      <c r="V324" s="420" t="s">
        <v>698</v>
      </c>
      <c r="W324" s="359" t="s">
        <v>1678</v>
      </c>
      <c r="X324" s="383"/>
      <c r="Y324" s="45"/>
      <c r="Z324" s="17"/>
      <c r="AA324" s="89"/>
      <c r="AB324" s="17"/>
      <c r="AC324" s="17"/>
      <c r="AD324" s="17"/>
      <c r="AF324" s="17"/>
    </row>
    <row r="325" spans="1:32" ht="14.25" customHeight="1">
      <c r="A325" s="429" t="s">
        <v>515</v>
      </c>
      <c r="B325" s="439" t="s">
        <v>519</v>
      </c>
      <c r="C325" s="392" t="s">
        <v>841</v>
      </c>
      <c r="D325" s="423"/>
      <c r="E325" s="420"/>
      <c r="F325" s="420"/>
      <c r="G325" s="420"/>
      <c r="H325" s="420"/>
      <c r="I325" s="420"/>
      <c r="J325" s="420" t="s">
        <v>1094</v>
      </c>
      <c r="K325" s="420" t="s">
        <v>43</v>
      </c>
      <c r="L325" s="420" t="s">
        <v>821</v>
      </c>
      <c r="M325" s="420" t="s">
        <v>44</v>
      </c>
      <c r="N325" s="420"/>
      <c r="O325" s="420"/>
      <c r="P325" s="420" t="s">
        <v>573</v>
      </c>
      <c r="Q325" s="420" t="s">
        <v>591</v>
      </c>
      <c r="R325" s="432"/>
      <c r="S325" s="425"/>
      <c r="T325" s="437"/>
      <c r="U325" s="432" t="s">
        <v>818</v>
      </c>
      <c r="V325" s="420" t="s">
        <v>842</v>
      </c>
      <c r="W325" s="424"/>
      <c r="X325" s="423"/>
      <c r="Y325" s="45"/>
      <c r="Z325" s="17"/>
      <c r="AA325" s="89"/>
      <c r="AB325" s="17"/>
      <c r="AC325" s="17"/>
      <c r="AD325" s="17"/>
      <c r="AF325" s="17"/>
    </row>
    <row r="326" spans="1:32" ht="14.25" customHeight="1">
      <c r="A326" s="429" t="s">
        <v>515</v>
      </c>
      <c r="B326" s="439" t="s">
        <v>519</v>
      </c>
      <c r="C326" s="392" t="s">
        <v>531</v>
      </c>
      <c r="D326" s="423" t="s">
        <v>3235</v>
      </c>
      <c r="E326" s="420" t="s">
        <v>1074</v>
      </c>
      <c r="F326" s="420" t="s">
        <v>1372</v>
      </c>
      <c r="G326" s="420" t="s">
        <v>1373</v>
      </c>
      <c r="H326" s="420" t="s">
        <v>41</v>
      </c>
      <c r="I326" s="420" t="s">
        <v>2113</v>
      </c>
      <c r="J326" s="420" t="s">
        <v>43</v>
      </c>
      <c r="K326" s="420" t="s">
        <v>43</v>
      </c>
      <c r="L326" s="420" t="s">
        <v>43</v>
      </c>
      <c r="M326" s="420" t="s">
        <v>44</v>
      </c>
      <c r="N326" s="420">
        <v>23.694130000000001</v>
      </c>
      <c r="O326" s="420">
        <v>97.818979999999996</v>
      </c>
      <c r="P326" s="420" t="s">
        <v>573</v>
      </c>
      <c r="Q326" s="420" t="s">
        <v>591</v>
      </c>
      <c r="R326" s="432">
        <v>57</v>
      </c>
      <c r="S326" s="425">
        <v>303</v>
      </c>
      <c r="T326" s="437"/>
      <c r="U326" s="426"/>
      <c r="V326" s="420" t="s">
        <v>531</v>
      </c>
      <c r="W326" s="359" t="s">
        <v>1679</v>
      </c>
      <c r="X326" s="423"/>
      <c r="Y326" s="45"/>
      <c r="Z326" s="17"/>
      <c r="AA326" s="89"/>
      <c r="AB326" s="17"/>
      <c r="AC326" s="17"/>
      <c r="AD326" s="17"/>
      <c r="AF326" s="17"/>
    </row>
    <row r="327" spans="1:32" ht="14.25" customHeight="1">
      <c r="A327" s="429" t="s">
        <v>515</v>
      </c>
      <c r="B327" s="439" t="s">
        <v>519</v>
      </c>
      <c r="C327" s="392" t="s">
        <v>1613</v>
      </c>
      <c r="D327" s="423" t="s">
        <v>3235</v>
      </c>
      <c r="E327" s="420" t="s">
        <v>2819</v>
      </c>
      <c r="F327" s="420"/>
      <c r="G327" s="420"/>
      <c r="H327" s="420" t="s">
        <v>41</v>
      </c>
      <c r="I327" s="420" t="s">
        <v>1036</v>
      </c>
      <c r="J327" s="420" t="s">
        <v>43</v>
      </c>
      <c r="K327" s="420" t="s">
        <v>43</v>
      </c>
      <c r="L327" s="420" t="s">
        <v>43</v>
      </c>
      <c r="M327" s="420" t="s">
        <v>44</v>
      </c>
      <c r="N327" s="420">
        <v>23.682887999999998</v>
      </c>
      <c r="O327" s="420">
        <v>97.810101000000003</v>
      </c>
      <c r="P327" s="420" t="s">
        <v>573</v>
      </c>
      <c r="Q327" s="420" t="s">
        <v>591</v>
      </c>
      <c r="R327" s="432">
        <v>36</v>
      </c>
      <c r="S327" s="425">
        <v>161</v>
      </c>
      <c r="T327" s="437" t="s">
        <v>609</v>
      </c>
      <c r="U327" s="426"/>
      <c r="V327" s="420"/>
      <c r="W327" s="359" t="s">
        <v>1680</v>
      </c>
      <c r="X327" s="420" t="s">
        <v>1073</v>
      </c>
      <c r="Y327" s="45"/>
      <c r="Z327" s="17"/>
      <c r="AA327" s="89"/>
      <c r="AB327" s="17"/>
      <c r="AC327" s="17"/>
      <c r="AD327" s="17"/>
      <c r="AF327" s="17"/>
    </row>
    <row r="328" spans="1:32" ht="14.25" customHeight="1">
      <c r="A328" s="429" t="s">
        <v>515</v>
      </c>
      <c r="B328" s="439" t="s">
        <v>519</v>
      </c>
      <c r="C328" s="392" t="s">
        <v>2196</v>
      </c>
      <c r="D328" s="423"/>
      <c r="E328" s="420"/>
      <c r="F328" s="420"/>
      <c r="G328" s="420"/>
      <c r="H328" s="420"/>
      <c r="I328" s="420"/>
      <c r="J328" s="420" t="s">
        <v>2093</v>
      </c>
      <c r="K328" s="420" t="s">
        <v>2077</v>
      </c>
      <c r="L328" s="420" t="s">
        <v>2077</v>
      </c>
      <c r="M328" s="420" t="s">
        <v>44</v>
      </c>
      <c r="N328" s="420"/>
      <c r="O328" s="420"/>
      <c r="P328" s="420" t="s">
        <v>1568</v>
      </c>
      <c r="Q328" s="420" t="s">
        <v>2164</v>
      </c>
      <c r="R328" s="432"/>
      <c r="S328" s="425"/>
      <c r="T328" s="437">
        <v>43759</v>
      </c>
      <c r="U328" s="432"/>
      <c r="V328" s="420"/>
      <c r="W328" s="424"/>
      <c r="X328" s="423"/>
      <c r="Y328" s="45"/>
      <c r="Z328" s="17"/>
      <c r="AA328" s="89"/>
      <c r="AB328" s="17"/>
      <c r="AC328" s="17"/>
      <c r="AD328" s="17"/>
      <c r="AF328" s="17"/>
    </row>
    <row r="329" spans="1:32" ht="14.25" customHeight="1">
      <c r="A329" s="429" t="s">
        <v>515</v>
      </c>
      <c r="B329" s="439" t="s">
        <v>519</v>
      </c>
      <c r="C329" s="392" t="s">
        <v>542</v>
      </c>
      <c r="D329" s="423" t="s">
        <v>3235</v>
      </c>
      <c r="E329" s="420" t="s">
        <v>2820</v>
      </c>
      <c r="F329" s="427" t="s">
        <v>1300</v>
      </c>
      <c r="G329" s="420">
        <v>0</v>
      </c>
      <c r="H329" s="420" t="s">
        <v>41</v>
      </c>
      <c r="I329" s="420" t="s">
        <v>1036</v>
      </c>
      <c r="J329" s="420" t="s">
        <v>43</v>
      </c>
      <c r="K329" s="420" t="s">
        <v>694</v>
      </c>
      <c r="L329" s="420" t="s">
        <v>43</v>
      </c>
      <c r="M329" s="420" t="s">
        <v>44</v>
      </c>
      <c r="N329" s="420">
        <v>23.447111</v>
      </c>
      <c r="O329" s="420">
        <v>97.868876999999998</v>
      </c>
      <c r="P329" s="420" t="s">
        <v>573</v>
      </c>
      <c r="Q329" s="420" t="s">
        <v>574</v>
      </c>
      <c r="R329" s="432">
        <v>127</v>
      </c>
      <c r="S329" s="425">
        <v>713</v>
      </c>
      <c r="T329" s="437"/>
      <c r="U329" s="432"/>
      <c r="V329" s="420"/>
      <c r="W329" s="424" t="s">
        <v>1681</v>
      </c>
      <c r="X329" s="420" t="s">
        <v>1064</v>
      </c>
      <c r="Y329" s="45"/>
      <c r="Z329" s="17"/>
      <c r="AA329" s="89"/>
      <c r="AB329" s="17"/>
      <c r="AC329" s="17"/>
      <c r="AD329" s="17"/>
      <c r="AF329" s="17"/>
    </row>
    <row r="330" spans="1:32" ht="14.25" customHeight="1">
      <c r="A330" s="429" t="s">
        <v>515</v>
      </c>
      <c r="B330" s="439" t="s">
        <v>519</v>
      </c>
      <c r="C330" s="392" t="s">
        <v>561</v>
      </c>
      <c r="D330" s="423" t="s">
        <v>3235</v>
      </c>
      <c r="E330" s="420" t="s">
        <v>2821</v>
      </c>
      <c r="F330" s="420" t="s">
        <v>561</v>
      </c>
      <c r="G330" s="420" t="s">
        <v>561</v>
      </c>
      <c r="H330" s="420" t="s">
        <v>41</v>
      </c>
      <c r="I330" s="420" t="s">
        <v>1036</v>
      </c>
      <c r="J330" s="420" t="s">
        <v>43</v>
      </c>
      <c r="K330" s="420" t="s">
        <v>43</v>
      </c>
      <c r="L330" s="420" t="s">
        <v>43</v>
      </c>
      <c r="M330" s="420" t="s">
        <v>44</v>
      </c>
      <c r="N330" s="420">
        <v>23.59</v>
      </c>
      <c r="O330" s="420">
        <v>97.805999999999997</v>
      </c>
      <c r="P330" s="420" t="s">
        <v>573</v>
      </c>
      <c r="Q330" s="420"/>
      <c r="R330" s="432">
        <v>49</v>
      </c>
      <c r="S330" s="425">
        <v>233</v>
      </c>
      <c r="T330" s="437"/>
      <c r="U330" s="432" t="s">
        <v>868</v>
      </c>
      <c r="V330" s="420"/>
      <c r="W330" s="424" t="s">
        <v>1682</v>
      </c>
      <c r="X330" s="420" t="s">
        <v>1487</v>
      </c>
      <c r="Y330" s="45"/>
      <c r="Z330" s="17"/>
      <c r="AA330" s="89"/>
      <c r="AB330" s="17"/>
      <c r="AC330" s="17"/>
      <c r="AD330" s="17"/>
      <c r="AF330" s="17"/>
    </row>
    <row r="331" spans="1:32" ht="14.25" customHeight="1">
      <c r="A331" s="429" t="s">
        <v>515</v>
      </c>
      <c r="B331" s="439" t="s">
        <v>519</v>
      </c>
      <c r="C331" s="392" t="s">
        <v>2207</v>
      </c>
      <c r="D331" s="383"/>
      <c r="E331" s="420"/>
      <c r="F331" s="420"/>
      <c r="G331" s="420"/>
      <c r="H331" s="420"/>
      <c r="I331" s="420"/>
      <c r="J331" s="420" t="s">
        <v>2093</v>
      </c>
      <c r="K331" s="420" t="s">
        <v>2077</v>
      </c>
      <c r="L331" s="420" t="s">
        <v>2077</v>
      </c>
      <c r="M331" s="420" t="s">
        <v>44</v>
      </c>
      <c r="N331" s="420"/>
      <c r="O331" s="420"/>
      <c r="P331" s="420" t="s">
        <v>1568</v>
      </c>
      <c r="Q331" s="420" t="s">
        <v>2164</v>
      </c>
      <c r="R331" s="424"/>
      <c r="S331" s="424"/>
      <c r="T331" s="437">
        <v>43759</v>
      </c>
      <c r="U331" s="426"/>
      <c r="V331" s="435"/>
      <c r="W331" s="359"/>
      <c r="X331" s="383"/>
      <c r="Y331" s="45"/>
      <c r="Z331" s="17"/>
      <c r="AA331" s="89"/>
      <c r="AB331" s="17"/>
      <c r="AC331" s="17"/>
      <c r="AD331" s="17"/>
      <c r="AF331" s="17"/>
    </row>
    <row r="332" spans="1:32" ht="14.25" customHeight="1">
      <c r="A332" s="429" t="s">
        <v>515</v>
      </c>
      <c r="B332" s="439" t="s">
        <v>519</v>
      </c>
      <c r="C332" s="392" t="s">
        <v>2208</v>
      </c>
      <c r="D332" s="423"/>
      <c r="E332" s="420"/>
      <c r="F332" s="420"/>
      <c r="G332" s="420"/>
      <c r="H332" s="420"/>
      <c r="I332" s="420"/>
      <c r="J332" s="420" t="s">
        <v>2093</v>
      </c>
      <c r="K332" s="420" t="s">
        <v>2077</v>
      </c>
      <c r="L332" s="420" t="s">
        <v>2077</v>
      </c>
      <c r="M332" s="420" t="s">
        <v>44</v>
      </c>
      <c r="N332" s="420"/>
      <c r="O332" s="420"/>
      <c r="P332" s="420" t="s">
        <v>1568</v>
      </c>
      <c r="Q332" s="420" t="s">
        <v>2164</v>
      </c>
      <c r="R332" s="432"/>
      <c r="S332" s="425"/>
      <c r="T332" s="437">
        <v>43759</v>
      </c>
      <c r="U332" s="432"/>
      <c r="V332" s="420"/>
      <c r="W332" s="424"/>
      <c r="X332" s="423"/>
      <c r="Y332" s="45"/>
      <c r="Z332" s="17"/>
      <c r="AA332" s="89"/>
      <c r="AB332" s="17"/>
      <c r="AC332" s="17"/>
      <c r="AD332" s="17"/>
      <c r="AF332" s="17"/>
    </row>
    <row r="333" spans="1:32" ht="14.25" customHeight="1">
      <c r="A333" s="429" t="s">
        <v>515</v>
      </c>
      <c r="B333" s="439" t="s">
        <v>519</v>
      </c>
      <c r="C333" s="392" t="s">
        <v>2206</v>
      </c>
      <c r="D333" s="423"/>
      <c r="E333" s="420"/>
      <c r="F333" s="420"/>
      <c r="G333" s="420"/>
      <c r="H333" s="420"/>
      <c r="I333" s="420"/>
      <c r="J333" s="420" t="s">
        <v>2093</v>
      </c>
      <c r="K333" s="420" t="s">
        <v>2077</v>
      </c>
      <c r="L333" s="420" t="s">
        <v>2077</v>
      </c>
      <c r="M333" s="420" t="s">
        <v>44</v>
      </c>
      <c r="N333" s="420"/>
      <c r="O333" s="420"/>
      <c r="P333" s="420" t="s">
        <v>1568</v>
      </c>
      <c r="Q333" s="420" t="s">
        <v>2164</v>
      </c>
      <c r="R333" s="432"/>
      <c r="S333" s="425"/>
      <c r="T333" s="437">
        <v>43759</v>
      </c>
      <c r="U333" s="432"/>
      <c r="V333" s="420"/>
      <c r="W333" s="424"/>
      <c r="X333" s="423"/>
      <c r="Y333" s="45"/>
      <c r="Z333" s="17"/>
      <c r="AA333" s="89"/>
      <c r="AB333" s="17"/>
      <c r="AC333" s="17"/>
      <c r="AD333" s="17"/>
      <c r="AF333" s="17"/>
    </row>
    <row r="334" spans="1:32" ht="14.25" customHeight="1">
      <c r="A334" s="429" t="s">
        <v>515</v>
      </c>
      <c r="B334" s="439" t="s">
        <v>519</v>
      </c>
      <c r="C334" s="392" t="s">
        <v>538</v>
      </c>
      <c r="D334" s="423" t="s">
        <v>3235</v>
      </c>
      <c r="E334" s="420" t="s">
        <v>1061</v>
      </c>
      <c r="F334" s="420" t="s">
        <v>1300</v>
      </c>
      <c r="G334" s="420" t="s">
        <v>1301</v>
      </c>
      <c r="H334" s="420" t="s">
        <v>41</v>
      </c>
      <c r="I334" s="420" t="s">
        <v>2113</v>
      </c>
      <c r="J334" s="420" t="s">
        <v>43</v>
      </c>
      <c r="K334" s="420" t="s">
        <v>43</v>
      </c>
      <c r="L334" s="420" t="s">
        <v>587</v>
      </c>
      <c r="M334" s="420" t="s">
        <v>44</v>
      </c>
      <c r="N334" s="420">
        <v>23.38503</v>
      </c>
      <c r="O334" s="420">
        <v>97.837040000000002</v>
      </c>
      <c r="P334" s="420" t="s">
        <v>573</v>
      </c>
      <c r="Q334" s="420" t="s">
        <v>591</v>
      </c>
      <c r="R334" s="432">
        <v>209</v>
      </c>
      <c r="S334" s="425">
        <v>1084</v>
      </c>
      <c r="T334" s="437"/>
      <c r="U334" s="432"/>
      <c r="V334" s="420" t="s">
        <v>538</v>
      </c>
      <c r="W334" s="424" t="s">
        <v>1683</v>
      </c>
      <c r="X334" s="423"/>
      <c r="Y334" s="45"/>
      <c r="Z334" s="17"/>
      <c r="AA334" s="89"/>
      <c r="AB334" s="17"/>
      <c r="AC334" s="17"/>
      <c r="AD334" s="17"/>
      <c r="AF334" s="17"/>
    </row>
    <row r="335" spans="1:32" ht="14.25" customHeight="1">
      <c r="A335" s="429" t="s">
        <v>515</v>
      </c>
      <c r="B335" s="428" t="s">
        <v>955</v>
      </c>
      <c r="C335" s="429" t="s">
        <v>2230</v>
      </c>
      <c r="D335" s="423"/>
      <c r="E335" s="420"/>
      <c r="F335" s="420"/>
      <c r="G335" s="420"/>
      <c r="H335" s="420"/>
      <c r="I335" s="420"/>
      <c r="J335" s="420" t="s">
        <v>2093</v>
      </c>
      <c r="K335" s="420" t="s">
        <v>2077</v>
      </c>
      <c r="L335" s="420" t="s">
        <v>2077</v>
      </c>
      <c r="M335" s="420" t="s">
        <v>44</v>
      </c>
      <c r="N335" s="420"/>
      <c r="O335" s="420"/>
      <c r="P335" s="420" t="s">
        <v>573</v>
      </c>
      <c r="Q335" s="420" t="s">
        <v>2228</v>
      </c>
      <c r="R335" s="432"/>
      <c r="S335" s="425"/>
      <c r="T335" s="437">
        <v>43841</v>
      </c>
      <c r="U335" s="426"/>
      <c r="V335" s="424"/>
      <c r="W335" s="447"/>
      <c r="X335" s="423"/>
      <c r="Y335" s="45"/>
      <c r="Z335" s="17"/>
      <c r="AA335" s="89"/>
      <c r="AB335" s="17"/>
      <c r="AC335" s="17"/>
      <c r="AD335" s="17"/>
      <c r="AF335" s="17"/>
    </row>
    <row r="336" spans="1:32" ht="14.25" customHeight="1">
      <c r="A336" s="429" t="s">
        <v>515</v>
      </c>
      <c r="B336" s="428" t="s">
        <v>955</v>
      </c>
      <c r="C336" s="429" t="s">
        <v>2232</v>
      </c>
      <c r="D336" s="423"/>
      <c r="E336" s="420"/>
      <c r="F336" s="420"/>
      <c r="G336" s="420"/>
      <c r="H336" s="420"/>
      <c r="I336" s="420"/>
      <c r="J336" s="420" t="s">
        <v>2093</v>
      </c>
      <c r="K336" s="422" t="s">
        <v>2077</v>
      </c>
      <c r="L336" s="422" t="s">
        <v>2077</v>
      </c>
      <c r="M336" s="420" t="s">
        <v>44</v>
      </c>
      <c r="N336" s="420"/>
      <c r="O336" s="420"/>
      <c r="P336" s="420" t="s">
        <v>573</v>
      </c>
      <c r="Q336" s="420" t="s">
        <v>2228</v>
      </c>
      <c r="R336" s="432"/>
      <c r="S336" s="425"/>
      <c r="T336" s="437">
        <v>43841</v>
      </c>
      <c r="U336" s="426"/>
      <c r="V336" s="420"/>
      <c r="W336" s="424"/>
      <c r="X336" s="423"/>
      <c r="Y336" s="45"/>
      <c r="Z336" s="17"/>
      <c r="AA336" s="89"/>
      <c r="AB336" s="17"/>
      <c r="AC336" s="17"/>
      <c r="AD336" s="17"/>
      <c r="AF336" s="17"/>
    </row>
    <row r="337" spans="1:32" ht="14.25" customHeight="1">
      <c r="A337" s="429" t="s">
        <v>515</v>
      </c>
      <c r="B337" s="428" t="s">
        <v>955</v>
      </c>
      <c r="C337" s="429" t="s">
        <v>2646</v>
      </c>
      <c r="D337" s="423" t="s">
        <v>3235</v>
      </c>
      <c r="E337" s="420" t="s">
        <v>2822</v>
      </c>
      <c r="F337" s="420" t="s">
        <v>2661</v>
      </c>
      <c r="G337" s="420" t="s">
        <v>2662</v>
      </c>
      <c r="H337" s="420"/>
      <c r="I337" s="420" t="s">
        <v>1614</v>
      </c>
      <c r="J337" s="420" t="s">
        <v>43</v>
      </c>
      <c r="K337" s="420" t="s">
        <v>43</v>
      </c>
      <c r="L337" s="420" t="s">
        <v>2576</v>
      </c>
      <c r="M337" s="420" t="s">
        <v>44</v>
      </c>
      <c r="N337" s="420">
        <v>22.325900000000001</v>
      </c>
      <c r="O337" s="420">
        <v>97.021000000000001</v>
      </c>
      <c r="P337" s="420" t="s">
        <v>584</v>
      </c>
      <c r="Q337" s="420" t="s">
        <v>2650</v>
      </c>
      <c r="R337" s="432">
        <v>941</v>
      </c>
      <c r="S337" s="425">
        <v>3558</v>
      </c>
      <c r="T337" s="437">
        <v>44544</v>
      </c>
      <c r="U337" s="432"/>
      <c r="V337" s="420"/>
      <c r="W337" s="424" t="s">
        <v>2663</v>
      </c>
      <c r="X337" s="420" t="s">
        <v>2660</v>
      </c>
      <c r="Y337" s="45"/>
      <c r="Z337" s="17"/>
      <c r="AA337" s="89"/>
      <c r="AB337" s="17"/>
      <c r="AC337" s="17"/>
      <c r="AD337" s="17"/>
      <c r="AF337" s="17"/>
    </row>
    <row r="338" spans="1:32" ht="14.25" customHeight="1">
      <c r="A338" s="425" t="s">
        <v>515</v>
      </c>
      <c r="B338" s="428" t="s">
        <v>955</v>
      </c>
      <c r="C338" s="429" t="s">
        <v>2842</v>
      </c>
      <c r="D338" s="423" t="s">
        <v>3235</v>
      </c>
      <c r="E338" s="420" t="s">
        <v>2836</v>
      </c>
      <c r="F338" s="420" t="s">
        <v>2848</v>
      </c>
      <c r="G338" s="420" t="s">
        <v>2853</v>
      </c>
      <c r="H338" s="420"/>
      <c r="I338" s="420"/>
      <c r="J338" s="420" t="s">
        <v>43</v>
      </c>
      <c r="K338" s="420" t="s">
        <v>43</v>
      </c>
      <c r="L338" s="420" t="s">
        <v>587</v>
      </c>
      <c r="M338" s="420" t="s">
        <v>44</v>
      </c>
      <c r="N338" s="420"/>
      <c r="O338" s="420"/>
      <c r="P338" s="420" t="s">
        <v>573</v>
      </c>
      <c r="Q338" s="420" t="s">
        <v>2859</v>
      </c>
      <c r="R338" s="432">
        <v>7</v>
      </c>
      <c r="S338" s="425">
        <v>25</v>
      </c>
      <c r="T338" s="437">
        <v>44734</v>
      </c>
      <c r="U338" s="426"/>
      <c r="V338" s="424"/>
      <c r="W338" s="424" t="s">
        <v>2856</v>
      </c>
      <c r="X338" s="423"/>
      <c r="Y338" s="45"/>
      <c r="Z338" s="17"/>
      <c r="AA338" s="89"/>
      <c r="AB338" s="17"/>
      <c r="AC338" s="17"/>
      <c r="AD338" s="17"/>
      <c r="AF338" s="17"/>
    </row>
    <row r="339" spans="1:32" ht="14.25" customHeight="1">
      <c r="A339" s="425" t="s">
        <v>515</v>
      </c>
      <c r="B339" s="428" t="s">
        <v>955</v>
      </c>
      <c r="C339" s="392" t="s">
        <v>2843</v>
      </c>
      <c r="D339" s="423" t="s">
        <v>3235</v>
      </c>
      <c r="E339" s="420" t="s">
        <v>2837</v>
      </c>
      <c r="F339" s="422" t="s">
        <v>2849</v>
      </c>
      <c r="G339" s="420" t="s">
        <v>2854</v>
      </c>
      <c r="H339" s="420"/>
      <c r="I339" s="420"/>
      <c r="J339" s="420" t="s">
        <v>43</v>
      </c>
      <c r="K339" s="420" t="s">
        <v>43</v>
      </c>
      <c r="L339" s="420" t="s">
        <v>587</v>
      </c>
      <c r="M339" s="420" t="s">
        <v>44</v>
      </c>
      <c r="N339" s="420"/>
      <c r="O339" s="420"/>
      <c r="P339" s="420" t="s">
        <v>573</v>
      </c>
      <c r="Q339" s="420" t="s">
        <v>2859</v>
      </c>
      <c r="R339" s="432">
        <v>9</v>
      </c>
      <c r="S339" s="425">
        <v>28</v>
      </c>
      <c r="T339" s="437">
        <v>44734</v>
      </c>
      <c r="U339" s="426"/>
      <c r="V339" s="424"/>
      <c r="W339" s="424" t="s">
        <v>2856</v>
      </c>
      <c r="X339" s="423"/>
      <c r="Y339" s="45"/>
      <c r="Z339" s="17"/>
      <c r="AA339" s="89"/>
      <c r="AB339" s="17"/>
      <c r="AC339" s="17"/>
      <c r="AD339" s="17"/>
      <c r="AF339" s="17"/>
    </row>
    <row r="340" spans="1:32" ht="14.25" customHeight="1">
      <c r="A340" s="425" t="s">
        <v>515</v>
      </c>
      <c r="B340" s="428" t="s">
        <v>955</v>
      </c>
      <c r="C340" s="392" t="s">
        <v>2844</v>
      </c>
      <c r="D340" s="423" t="s">
        <v>3235</v>
      </c>
      <c r="E340" s="420" t="s">
        <v>2838</v>
      </c>
      <c r="F340" s="420" t="s">
        <v>2850</v>
      </c>
      <c r="G340" s="420" t="s">
        <v>2855</v>
      </c>
      <c r="H340" s="420"/>
      <c r="I340" s="420"/>
      <c r="J340" s="420" t="s">
        <v>43</v>
      </c>
      <c r="K340" s="420" t="s">
        <v>43</v>
      </c>
      <c r="L340" s="420" t="s">
        <v>587</v>
      </c>
      <c r="M340" s="420" t="s">
        <v>44</v>
      </c>
      <c r="N340" s="420"/>
      <c r="O340" s="420"/>
      <c r="P340" s="420" t="s">
        <v>573</v>
      </c>
      <c r="Q340" s="420" t="s">
        <v>2859</v>
      </c>
      <c r="R340" s="432">
        <v>14</v>
      </c>
      <c r="S340" s="425">
        <v>31</v>
      </c>
      <c r="T340" s="437">
        <v>44734</v>
      </c>
      <c r="U340" s="426"/>
      <c r="V340" s="424"/>
      <c r="W340" s="424" t="s">
        <v>2857</v>
      </c>
      <c r="X340" s="423"/>
      <c r="Y340" s="45"/>
      <c r="Z340" s="17"/>
      <c r="AA340" s="89"/>
      <c r="AB340" s="17"/>
      <c r="AC340" s="17"/>
      <c r="AD340" s="17"/>
      <c r="AF340" s="17"/>
    </row>
    <row r="341" spans="1:32" ht="14.25" customHeight="1">
      <c r="A341" s="429" t="s">
        <v>515</v>
      </c>
      <c r="B341" s="439" t="s">
        <v>955</v>
      </c>
      <c r="C341" s="392" t="s">
        <v>2231</v>
      </c>
      <c r="D341" s="423"/>
      <c r="E341" s="420"/>
      <c r="F341" s="420"/>
      <c r="G341" s="420"/>
      <c r="H341" s="420"/>
      <c r="I341" s="420"/>
      <c r="J341" s="420" t="s">
        <v>2093</v>
      </c>
      <c r="K341" s="420" t="s">
        <v>2077</v>
      </c>
      <c r="L341" s="420" t="s">
        <v>2077</v>
      </c>
      <c r="M341" s="420" t="s">
        <v>44</v>
      </c>
      <c r="N341" s="420"/>
      <c r="O341" s="420"/>
      <c r="P341" s="420" t="s">
        <v>573</v>
      </c>
      <c r="Q341" s="420" t="s">
        <v>2228</v>
      </c>
      <c r="R341" s="432"/>
      <c r="S341" s="425"/>
      <c r="T341" s="437">
        <v>43841</v>
      </c>
      <c r="U341" s="432"/>
      <c r="V341" s="422"/>
      <c r="W341" s="424"/>
      <c r="X341" s="423"/>
      <c r="Y341" s="45"/>
      <c r="Z341" s="17"/>
      <c r="AA341" s="89"/>
      <c r="AB341" s="17"/>
      <c r="AC341" s="17"/>
      <c r="AD341" s="17"/>
      <c r="AF341" s="17"/>
    </row>
    <row r="342" spans="1:32" ht="14.25" customHeight="1">
      <c r="A342" s="425" t="s">
        <v>515</v>
      </c>
      <c r="B342" s="439" t="s">
        <v>955</v>
      </c>
      <c r="C342" s="392" t="s">
        <v>2845</v>
      </c>
      <c r="D342" s="423" t="s">
        <v>3060</v>
      </c>
      <c r="E342" s="420" t="s">
        <v>2839</v>
      </c>
      <c r="F342" s="420" t="s">
        <v>2851</v>
      </c>
      <c r="G342" s="420" t="s">
        <v>2851</v>
      </c>
      <c r="H342" s="420"/>
      <c r="I342" s="420"/>
      <c r="J342" s="420" t="s">
        <v>43</v>
      </c>
      <c r="K342" s="420" t="s">
        <v>43</v>
      </c>
      <c r="L342" s="420" t="s">
        <v>572</v>
      </c>
      <c r="M342" s="420" t="s">
        <v>44</v>
      </c>
      <c r="N342" s="420"/>
      <c r="O342" s="420"/>
      <c r="P342" s="420" t="s">
        <v>573</v>
      </c>
      <c r="Q342" s="420" t="s">
        <v>2859</v>
      </c>
      <c r="R342" s="432">
        <v>54</v>
      </c>
      <c r="S342" s="425">
        <v>155</v>
      </c>
      <c r="T342" s="437">
        <v>44734</v>
      </c>
      <c r="U342" s="426"/>
      <c r="V342" s="424"/>
      <c r="W342" s="424" t="s">
        <v>2856</v>
      </c>
      <c r="X342" s="423"/>
      <c r="Y342" s="45"/>
      <c r="Z342" s="17"/>
      <c r="AA342" s="89"/>
      <c r="AB342" s="17"/>
      <c r="AC342" s="17"/>
      <c r="AD342" s="17"/>
      <c r="AF342" s="17"/>
    </row>
    <row r="343" spans="1:32" ht="14.25" customHeight="1">
      <c r="A343" s="425" t="s">
        <v>515</v>
      </c>
      <c r="B343" s="439" t="s">
        <v>955</v>
      </c>
      <c r="C343" s="392" t="s">
        <v>2846</v>
      </c>
      <c r="D343" s="423" t="s">
        <v>3235</v>
      </c>
      <c r="E343" s="420" t="s">
        <v>2840</v>
      </c>
      <c r="F343" s="420" t="s">
        <v>2852</v>
      </c>
      <c r="G343" s="420"/>
      <c r="H343" s="420"/>
      <c r="I343" s="420"/>
      <c r="J343" s="420" t="s">
        <v>43</v>
      </c>
      <c r="K343" s="420" t="s">
        <v>43</v>
      </c>
      <c r="L343" s="420" t="s">
        <v>587</v>
      </c>
      <c r="M343" s="420" t="s">
        <v>44</v>
      </c>
      <c r="N343" s="420"/>
      <c r="O343" s="420"/>
      <c r="P343" s="420" t="s">
        <v>573</v>
      </c>
      <c r="Q343" s="420" t="s">
        <v>2859</v>
      </c>
      <c r="R343" s="432">
        <v>16</v>
      </c>
      <c r="S343" s="425">
        <v>43</v>
      </c>
      <c r="T343" s="437">
        <v>44734</v>
      </c>
      <c r="U343" s="426"/>
      <c r="V343" s="424"/>
      <c r="W343" s="424" t="s">
        <v>2856</v>
      </c>
      <c r="X343" s="423"/>
      <c r="Y343" s="45"/>
      <c r="Z343" s="17"/>
      <c r="AA343" s="89"/>
      <c r="AB343" s="17"/>
      <c r="AC343" s="17"/>
      <c r="AD343" s="17"/>
      <c r="AF343" s="17"/>
    </row>
    <row r="344" spans="1:32" ht="14.25" customHeight="1">
      <c r="A344" s="429" t="s">
        <v>515</v>
      </c>
      <c r="B344" s="439" t="s">
        <v>956</v>
      </c>
      <c r="C344" s="392" t="s">
        <v>2150</v>
      </c>
      <c r="D344" s="423"/>
      <c r="E344" s="420"/>
      <c r="F344" s="420"/>
      <c r="G344" s="420"/>
      <c r="H344" s="420"/>
      <c r="I344" s="420"/>
      <c r="J344" s="420" t="s">
        <v>1094</v>
      </c>
      <c r="K344" s="420" t="s">
        <v>43</v>
      </c>
      <c r="L344" s="420" t="s">
        <v>587</v>
      </c>
      <c r="M344" s="420" t="s">
        <v>44</v>
      </c>
      <c r="N344" s="420"/>
      <c r="O344" s="420"/>
      <c r="P344" s="420" t="s">
        <v>573</v>
      </c>
      <c r="Q344" s="420" t="s">
        <v>2151</v>
      </c>
      <c r="R344" s="432"/>
      <c r="S344" s="425"/>
      <c r="T344" s="437"/>
      <c r="U344" s="432"/>
      <c r="V344" s="420"/>
      <c r="W344" s="424"/>
      <c r="X344" s="423"/>
      <c r="Y344" s="45"/>
      <c r="Z344" s="17"/>
      <c r="AA344" s="89"/>
      <c r="AB344" s="17"/>
      <c r="AC344" s="17"/>
      <c r="AD344" s="17"/>
      <c r="AF344" s="17"/>
    </row>
    <row r="345" spans="1:32" ht="14.25" customHeight="1">
      <c r="A345" s="429" t="s">
        <v>515</v>
      </c>
      <c r="B345" s="428" t="s">
        <v>956</v>
      </c>
      <c r="C345" s="429" t="s">
        <v>1018</v>
      </c>
      <c r="D345" s="423"/>
      <c r="E345" s="420"/>
      <c r="F345" s="420" t="s">
        <v>1466</v>
      </c>
      <c r="G345" s="420"/>
      <c r="H345" s="420"/>
      <c r="I345" s="420"/>
      <c r="J345" s="420" t="s">
        <v>1094</v>
      </c>
      <c r="K345" s="420" t="s">
        <v>43</v>
      </c>
      <c r="L345" s="420" t="s">
        <v>43</v>
      </c>
      <c r="M345" s="420"/>
      <c r="N345" s="420"/>
      <c r="O345" s="420"/>
      <c r="P345" s="420" t="s">
        <v>573</v>
      </c>
      <c r="Q345" s="420"/>
      <c r="R345" s="432"/>
      <c r="S345" s="425"/>
      <c r="T345" s="437"/>
      <c r="U345" s="432"/>
      <c r="V345" s="420"/>
      <c r="W345" s="424"/>
      <c r="X345" s="423"/>
      <c r="Y345" s="45"/>
      <c r="Z345" s="17"/>
      <c r="AA345" s="89"/>
      <c r="AB345" s="17"/>
      <c r="AC345" s="17"/>
      <c r="AD345" s="17"/>
      <c r="AF345" s="17"/>
    </row>
    <row r="346" spans="1:32" ht="14.25" customHeight="1">
      <c r="A346" s="429" t="s">
        <v>515</v>
      </c>
      <c r="B346" s="428" t="s">
        <v>956</v>
      </c>
      <c r="C346" s="429" t="s">
        <v>2985</v>
      </c>
      <c r="D346" s="423" t="s">
        <v>3235</v>
      </c>
      <c r="E346" s="425" t="s">
        <v>3007</v>
      </c>
      <c r="F346" s="420" t="s">
        <v>3025</v>
      </c>
      <c r="G346" s="420" t="s">
        <v>3025</v>
      </c>
      <c r="H346" s="420"/>
      <c r="I346" s="420" t="s">
        <v>3057</v>
      </c>
      <c r="J346" s="420" t="s">
        <v>43</v>
      </c>
      <c r="K346" s="420" t="s">
        <v>43</v>
      </c>
      <c r="L346" s="420" t="s">
        <v>587</v>
      </c>
      <c r="M346" s="420" t="s">
        <v>44</v>
      </c>
      <c r="N346" s="420"/>
      <c r="O346" s="420" t="s">
        <v>3041</v>
      </c>
      <c r="P346" s="420" t="s">
        <v>573</v>
      </c>
      <c r="Q346" s="420" t="s">
        <v>3042</v>
      </c>
      <c r="R346" s="432">
        <v>7</v>
      </c>
      <c r="S346" s="425">
        <v>30</v>
      </c>
      <c r="T346" s="437">
        <v>45009</v>
      </c>
      <c r="U346" s="426" t="s">
        <v>3043</v>
      </c>
      <c r="V346" s="420"/>
      <c r="W346" s="424" t="s">
        <v>3051</v>
      </c>
      <c r="X346" s="423"/>
      <c r="Y346" s="45"/>
      <c r="Z346" s="17"/>
      <c r="AA346" s="89"/>
      <c r="AB346" s="17"/>
      <c r="AC346" s="17"/>
      <c r="AD346" s="17"/>
      <c r="AF346" s="17"/>
    </row>
    <row r="347" spans="1:32" ht="14.25" customHeight="1">
      <c r="A347" s="429" t="s">
        <v>515</v>
      </c>
      <c r="B347" s="428" t="s">
        <v>956</v>
      </c>
      <c r="C347" s="429" t="s">
        <v>2973</v>
      </c>
      <c r="D347" s="423" t="s">
        <v>3235</v>
      </c>
      <c r="E347" s="425" t="s">
        <v>2995</v>
      </c>
      <c r="F347" s="420" t="s">
        <v>3016</v>
      </c>
      <c r="G347" s="420" t="s">
        <v>3030</v>
      </c>
      <c r="H347" s="420"/>
      <c r="I347" s="420" t="s">
        <v>3057</v>
      </c>
      <c r="J347" s="420" t="s">
        <v>43</v>
      </c>
      <c r="K347" s="420" t="s">
        <v>43</v>
      </c>
      <c r="L347" s="420" t="s">
        <v>587</v>
      </c>
      <c r="M347" s="420" t="s">
        <v>44</v>
      </c>
      <c r="N347" s="420">
        <v>22.97711</v>
      </c>
      <c r="O347" s="420">
        <v>97.699299999999994</v>
      </c>
      <c r="P347" s="420" t="s">
        <v>573</v>
      </c>
      <c r="Q347" s="420" t="s">
        <v>3042</v>
      </c>
      <c r="R347" s="432">
        <v>19</v>
      </c>
      <c r="S347" s="425">
        <v>82</v>
      </c>
      <c r="T347" s="437">
        <v>45009</v>
      </c>
      <c r="U347" s="426" t="s">
        <v>3043</v>
      </c>
      <c r="V347" s="420"/>
      <c r="W347" s="424" t="s">
        <v>3044</v>
      </c>
      <c r="X347" s="423"/>
      <c r="Y347" s="45"/>
      <c r="Z347" s="17"/>
      <c r="AA347" s="89"/>
      <c r="AB347" s="17"/>
      <c r="AC347" s="17"/>
      <c r="AD347" s="17"/>
      <c r="AF347" s="17"/>
    </row>
    <row r="348" spans="1:32" ht="14.25" customHeight="1">
      <c r="A348" s="429" t="s">
        <v>515</v>
      </c>
      <c r="B348" s="428" t="s">
        <v>956</v>
      </c>
      <c r="C348" s="429" t="s">
        <v>2152</v>
      </c>
      <c r="D348" s="423"/>
      <c r="E348" s="420"/>
      <c r="F348" s="420"/>
      <c r="G348" s="420"/>
      <c r="H348" s="420"/>
      <c r="I348" s="420"/>
      <c r="J348" s="420" t="s">
        <v>1094</v>
      </c>
      <c r="K348" s="420" t="s">
        <v>43</v>
      </c>
      <c r="L348" s="420" t="s">
        <v>587</v>
      </c>
      <c r="M348" s="420" t="s">
        <v>44</v>
      </c>
      <c r="N348" s="420"/>
      <c r="O348" s="420"/>
      <c r="P348" s="420" t="s">
        <v>573</v>
      </c>
      <c r="Q348" s="420" t="s">
        <v>2151</v>
      </c>
      <c r="R348" s="432"/>
      <c r="S348" s="425"/>
      <c r="T348" s="437">
        <v>43633</v>
      </c>
      <c r="U348" s="432"/>
      <c r="V348" s="420"/>
      <c r="W348" s="424"/>
      <c r="X348" s="423"/>
      <c r="Y348" s="45"/>
      <c r="Z348" s="17"/>
      <c r="AA348" s="89"/>
      <c r="AB348" s="17"/>
      <c r="AC348" s="17"/>
      <c r="AD348" s="17"/>
      <c r="AF348" s="17"/>
    </row>
    <row r="349" spans="1:32" ht="14.25" customHeight="1">
      <c r="A349" s="429" t="s">
        <v>515</v>
      </c>
      <c r="B349" s="428" t="s">
        <v>956</v>
      </c>
      <c r="C349" s="429" t="s">
        <v>2981</v>
      </c>
      <c r="D349" s="423" t="s">
        <v>3235</v>
      </c>
      <c r="E349" s="425" t="s">
        <v>3003</v>
      </c>
      <c r="F349" s="420" t="s">
        <v>3022</v>
      </c>
      <c r="G349" s="420" t="s">
        <v>3037</v>
      </c>
      <c r="H349" s="420"/>
      <c r="I349" s="420" t="s">
        <v>3057</v>
      </c>
      <c r="J349" s="420" t="s">
        <v>43</v>
      </c>
      <c r="K349" s="420" t="s">
        <v>43</v>
      </c>
      <c r="L349" s="420" t="s">
        <v>587</v>
      </c>
      <c r="M349" s="420" t="s">
        <v>44</v>
      </c>
      <c r="N349" s="420"/>
      <c r="O349" s="420" t="s">
        <v>3041</v>
      </c>
      <c r="P349" s="420" t="s">
        <v>573</v>
      </c>
      <c r="Q349" s="420" t="s">
        <v>3042</v>
      </c>
      <c r="R349" s="432">
        <v>20</v>
      </c>
      <c r="S349" s="425">
        <v>61</v>
      </c>
      <c r="T349" s="437">
        <v>45009</v>
      </c>
      <c r="U349" s="426" t="s">
        <v>3043</v>
      </c>
      <c r="V349" s="420"/>
      <c r="W349" s="424" t="s">
        <v>3050</v>
      </c>
      <c r="X349" s="423"/>
      <c r="Y349" s="45"/>
      <c r="Z349" s="17"/>
      <c r="AA349" s="89"/>
      <c r="AB349" s="17"/>
      <c r="AC349" s="17"/>
      <c r="AD349" s="17"/>
      <c r="AF349" s="17"/>
    </row>
    <row r="350" spans="1:32" ht="14.25" customHeight="1">
      <c r="A350" s="429" t="s">
        <v>515</v>
      </c>
      <c r="B350" s="428" t="s">
        <v>956</v>
      </c>
      <c r="C350" s="429" t="s">
        <v>2974</v>
      </c>
      <c r="D350" s="423" t="s">
        <v>3235</v>
      </c>
      <c r="E350" s="429" t="s">
        <v>2996</v>
      </c>
      <c r="F350" s="422" t="s">
        <v>3017</v>
      </c>
      <c r="G350" s="422" t="s">
        <v>3031</v>
      </c>
      <c r="H350" s="422"/>
      <c r="I350" s="422" t="s">
        <v>3057</v>
      </c>
      <c r="J350" s="420" t="s">
        <v>43</v>
      </c>
      <c r="K350" s="420" t="s">
        <v>43</v>
      </c>
      <c r="L350" s="422" t="s">
        <v>587</v>
      </c>
      <c r="M350" s="422" t="s">
        <v>44</v>
      </c>
      <c r="N350" s="422"/>
      <c r="O350" s="422" t="s">
        <v>3041</v>
      </c>
      <c r="P350" s="420" t="s">
        <v>573</v>
      </c>
      <c r="Q350" s="420" t="s">
        <v>3042</v>
      </c>
      <c r="R350" s="432">
        <v>26</v>
      </c>
      <c r="S350" s="425">
        <v>135</v>
      </c>
      <c r="T350" s="437">
        <v>45009</v>
      </c>
      <c r="U350" s="426" t="s">
        <v>3043</v>
      </c>
      <c r="V350" s="422"/>
      <c r="W350" s="428" t="s">
        <v>3044</v>
      </c>
      <c r="X350" s="384"/>
      <c r="Y350" s="45"/>
      <c r="Z350" s="17"/>
      <c r="AA350" s="89"/>
      <c r="AB350" s="17"/>
      <c r="AC350" s="17"/>
      <c r="AD350" s="17"/>
      <c r="AF350" s="17"/>
    </row>
    <row r="351" spans="1:32" ht="14.25" customHeight="1">
      <c r="A351" s="429" t="s">
        <v>515</v>
      </c>
      <c r="B351" s="428" t="s">
        <v>956</v>
      </c>
      <c r="C351" s="429" t="s">
        <v>2984</v>
      </c>
      <c r="D351" s="423" t="s">
        <v>3235</v>
      </c>
      <c r="E351" s="425" t="s">
        <v>3006</v>
      </c>
      <c r="F351" s="420" t="s">
        <v>3024</v>
      </c>
      <c r="G351" s="420" t="s">
        <v>2984</v>
      </c>
      <c r="H351" s="420"/>
      <c r="I351" s="420" t="s">
        <v>3057</v>
      </c>
      <c r="J351" s="420" t="s">
        <v>43</v>
      </c>
      <c r="K351" s="420" t="s">
        <v>43</v>
      </c>
      <c r="L351" s="420" t="s">
        <v>587</v>
      </c>
      <c r="M351" s="420" t="s">
        <v>44</v>
      </c>
      <c r="N351" s="420"/>
      <c r="O351" s="420" t="s">
        <v>3041</v>
      </c>
      <c r="P351" s="420" t="s">
        <v>573</v>
      </c>
      <c r="Q351" s="420" t="s">
        <v>3042</v>
      </c>
      <c r="R351" s="432">
        <v>18</v>
      </c>
      <c r="S351" s="425">
        <v>92</v>
      </c>
      <c r="T351" s="437">
        <v>45009</v>
      </c>
      <c r="U351" s="426" t="s">
        <v>3043</v>
      </c>
      <c r="V351" s="420"/>
      <c r="W351" s="424" t="s">
        <v>3051</v>
      </c>
      <c r="X351" s="423"/>
      <c r="Y351" s="45"/>
      <c r="Z351" s="17"/>
      <c r="AA351" s="89"/>
      <c r="AB351" s="17"/>
      <c r="AC351" s="17"/>
      <c r="AD351" s="17"/>
      <c r="AF351" s="17"/>
    </row>
    <row r="352" spans="1:32" ht="14.25" customHeight="1">
      <c r="A352" s="429" t="s">
        <v>515</v>
      </c>
      <c r="B352" s="428" t="s">
        <v>956</v>
      </c>
      <c r="C352" s="429" t="s">
        <v>2982</v>
      </c>
      <c r="D352" s="423" t="s">
        <v>3235</v>
      </c>
      <c r="E352" s="425" t="s">
        <v>3004</v>
      </c>
      <c r="F352" s="420" t="s">
        <v>3021</v>
      </c>
      <c r="G352" s="420" t="s">
        <v>3022</v>
      </c>
      <c r="H352" s="420"/>
      <c r="I352" s="420" t="s">
        <v>3057</v>
      </c>
      <c r="J352" s="420" t="s">
        <v>43</v>
      </c>
      <c r="K352" s="420" t="s">
        <v>43</v>
      </c>
      <c r="L352" s="420" t="s">
        <v>587</v>
      </c>
      <c r="M352" s="420" t="s">
        <v>44</v>
      </c>
      <c r="N352" s="420"/>
      <c r="O352" s="420" t="s">
        <v>3041</v>
      </c>
      <c r="P352" s="420" t="s">
        <v>573</v>
      </c>
      <c r="Q352" s="420" t="s">
        <v>3042</v>
      </c>
      <c r="R352" s="432">
        <v>92</v>
      </c>
      <c r="S352" s="425">
        <v>451</v>
      </c>
      <c r="T352" s="437">
        <v>45009</v>
      </c>
      <c r="U352" s="426" t="s">
        <v>3043</v>
      </c>
      <c r="V352" s="420"/>
      <c r="W352" s="424" t="s">
        <v>3051</v>
      </c>
      <c r="X352" s="423"/>
      <c r="Y352" s="45"/>
      <c r="Z352" s="17"/>
      <c r="AA352" s="89"/>
      <c r="AB352" s="17"/>
      <c r="AC352" s="17"/>
      <c r="AD352" s="17"/>
      <c r="AF352" s="17"/>
    </row>
    <row r="353" spans="1:32" ht="14.25" customHeight="1">
      <c r="A353" s="429" t="s">
        <v>515</v>
      </c>
      <c r="B353" s="428" t="s">
        <v>956</v>
      </c>
      <c r="C353" s="429" t="s">
        <v>3236</v>
      </c>
      <c r="D353" s="423" t="s">
        <v>3235</v>
      </c>
      <c r="E353" s="425" t="s">
        <v>3241</v>
      </c>
      <c r="F353" s="425" t="s">
        <v>3246</v>
      </c>
      <c r="G353" s="420" t="s">
        <v>3247</v>
      </c>
      <c r="H353" s="420"/>
      <c r="I353" s="420"/>
      <c r="J353" s="420" t="s">
        <v>43</v>
      </c>
      <c r="K353" s="420" t="s">
        <v>43</v>
      </c>
      <c r="L353" s="420" t="s">
        <v>2576</v>
      </c>
      <c r="M353" s="420" t="s">
        <v>44</v>
      </c>
      <c r="N353" s="420"/>
      <c r="O353" s="420"/>
      <c r="P353" s="420" t="s">
        <v>584</v>
      </c>
      <c r="Q353" s="420" t="s">
        <v>3249</v>
      </c>
      <c r="R353" s="432">
        <v>44</v>
      </c>
      <c r="S353" s="424">
        <v>145</v>
      </c>
      <c r="T353" s="437">
        <v>45077</v>
      </c>
      <c r="U353" s="426"/>
      <c r="V353" s="420"/>
      <c r="W353" s="424" t="s">
        <v>3250</v>
      </c>
      <c r="X353" s="423"/>
      <c r="Y353" s="45"/>
      <c r="Z353" s="17"/>
      <c r="AA353" s="89"/>
      <c r="AB353" s="17"/>
      <c r="AC353" s="17"/>
      <c r="AD353" s="17"/>
      <c r="AF353" s="17"/>
    </row>
    <row r="354" spans="1:32" ht="14.25" customHeight="1">
      <c r="A354" s="429" t="s">
        <v>515</v>
      </c>
      <c r="B354" s="428" t="s">
        <v>956</v>
      </c>
      <c r="C354" s="429" t="s">
        <v>3237</v>
      </c>
      <c r="D354" s="423" t="s">
        <v>3235</v>
      </c>
      <c r="E354" s="425" t="s">
        <v>3242</v>
      </c>
      <c r="F354" s="425" t="s">
        <v>3246</v>
      </c>
      <c r="G354" s="420" t="s">
        <v>2662</v>
      </c>
      <c r="H354" s="420"/>
      <c r="I354" s="420"/>
      <c r="J354" s="420" t="s">
        <v>43</v>
      </c>
      <c r="K354" s="420" t="s">
        <v>43</v>
      </c>
      <c r="L354" s="420" t="s">
        <v>2576</v>
      </c>
      <c r="M354" s="420" t="s">
        <v>44</v>
      </c>
      <c r="N354" s="420"/>
      <c r="O354" s="420"/>
      <c r="P354" s="420" t="s">
        <v>584</v>
      </c>
      <c r="Q354" s="420" t="s">
        <v>3249</v>
      </c>
      <c r="R354" s="432">
        <v>37</v>
      </c>
      <c r="S354" s="424">
        <v>114</v>
      </c>
      <c r="T354" s="437">
        <v>45077</v>
      </c>
      <c r="U354" s="426"/>
      <c r="V354" s="420"/>
      <c r="W354" s="424" t="s">
        <v>3250</v>
      </c>
      <c r="X354" s="423"/>
      <c r="Y354" s="45"/>
      <c r="Z354" s="17"/>
      <c r="AA354" s="89"/>
      <c r="AB354" s="17"/>
      <c r="AC354" s="17"/>
      <c r="AD354" s="17"/>
      <c r="AF354" s="17"/>
    </row>
    <row r="355" spans="1:32" ht="14.25" customHeight="1">
      <c r="A355" s="429" t="s">
        <v>515</v>
      </c>
      <c r="B355" s="428" t="s">
        <v>956</v>
      </c>
      <c r="C355" s="429" t="s">
        <v>2199</v>
      </c>
      <c r="D355" s="423"/>
      <c r="E355" s="420"/>
      <c r="F355" s="420"/>
      <c r="G355" s="420"/>
      <c r="H355" s="420"/>
      <c r="I355" s="420"/>
      <c r="J355" s="420" t="s">
        <v>2093</v>
      </c>
      <c r="K355" s="420" t="s">
        <v>2077</v>
      </c>
      <c r="L355" s="420" t="s">
        <v>2077</v>
      </c>
      <c r="M355" s="420" t="s">
        <v>44</v>
      </c>
      <c r="N355" s="420"/>
      <c r="O355" s="420"/>
      <c r="P355" s="420" t="s">
        <v>1568</v>
      </c>
      <c r="Q355" s="420" t="s">
        <v>2164</v>
      </c>
      <c r="R355" s="432"/>
      <c r="S355" s="425"/>
      <c r="T355" s="437">
        <v>43759</v>
      </c>
      <c r="U355" s="426"/>
      <c r="V355" s="420"/>
      <c r="W355" s="424"/>
      <c r="X355" s="423"/>
      <c r="Y355" s="45"/>
      <c r="Z355" s="17"/>
      <c r="AA355" s="89"/>
      <c r="AB355" s="17"/>
      <c r="AC355" s="17"/>
      <c r="AD355" s="17"/>
      <c r="AF355" s="17"/>
    </row>
    <row r="356" spans="1:32" ht="14.25" customHeight="1">
      <c r="A356" s="425" t="s">
        <v>515</v>
      </c>
      <c r="B356" s="428" t="s">
        <v>956</v>
      </c>
      <c r="C356" s="392" t="s">
        <v>2198</v>
      </c>
      <c r="D356" s="383"/>
      <c r="E356" s="420"/>
      <c r="F356" s="420"/>
      <c r="G356" s="420"/>
      <c r="H356" s="420"/>
      <c r="I356" s="420"/>
      <c r="J356" s="420" t="s">
        <v>2093</v>
      </c>
      <c r="K356" s="420" t="s">
        <v>2077</v>
      </c>
      <c r="L356" s="420" t="s">
        <v>2077</v>
      </c>
      <c r="M356" s="420" t="s">
        <v>44</v>
      </c>
      <c r="N356" s="420"/>
      <c r="O356" s="420"/>
      <c r="P356" s="420" t="s">
        <v>1568</v>
      </c>
      <c r="Q356" s="420" t="s">
        <v>2164</v>
      </c>
      <c r="R356" s="424"/>
      <c r="S356" s="424"/>
      <c r="T356" s="437">
        <v>43759</v>
      </c>
      <c r="U356" s="426"/>
      <c r="V356" s="424"/>
      <c r="W356" s="424"/>
      <c r="X356" s="383"/>
      <c r="Y356" s="45"/>
      <c r="Z356" s="17"/>
      <c r="AA356" s="89"/>
      <c r="AB356" s="17"/>
      <c r="AC356" s="17"/>
      <c r="AD356" s="17"/>
      <c r="AF356" s="17"/>
    </row>
    <row r="357" spans="1:32" ht="14.25" customHeight="1">
      <c r="A357" s="429" t="s">
        <v>515</v>
      </c>
      <c r="B357" s="428" t="s">
        <v>956</v>
      </c>
      <c r="C357" s="429" t="s">
        <v>2975</v>
      </c>
      <c r="D357" s="423" t="s">
        <v>3235</v>
      </c>
      <c r="E357" s="425" t="s">
        <v>2997</v>
      </c>
      <c r="F357" s="420" t="s">
        <v>3018</v>
      </c>
      <c r="G357" s="420" t="s">
        <v>3032</v>
      </c>
      <c r="H357" s="420"/>
      <c r="I357" s="420" t="s">
        <v>3057</v>
      </c>
      <c r="J357" s="420" t="s">
        <v>43</v>
      </c>
      <c r="K357" s="420" t="s">
        <v>43</v>
      </c>
      <c r="L357" s="420" t="s">
        <v>587</v>
      </c>
      <c r="M357" s="420" t="s">
        <v>44</v>
      </c>
      <c r="N357" s="420"/>
      <c r="O357" s="420" t="s">
        <v>3041</v>
      </c>
      <c r="P357" s="420" t="s">
        <v>573</v>
      </c>
      <c r="Q357" s="420" t="s">
        <v>3042</v>
      </c>
      <c r="R357" s="432">
        <v>18</v>
      </c>
      <c r="S357" s="425">
        <v>123</v>
      </c>
      <c r="T357" s="437">
        <v>45009</v>
      </c>
      <c r="U357" s="426" t="s">
        <v>3043</v>
      </c>
      <c r="V357" s="420"/>
      <c r="W357" s="424" t="s">
        <v>3044</v>
      </c>
      <c r="X357" s="423"/>
      <c r="Y357" s="45"/>
      <c r="Z357" s="17"/>
      <c r="AA357" s="89"/>
      <c r="AB357" s="17"/>
      <c r="AC357" s="17"/>
      <c r="AD357" s="17"/>
      <c r="AF357" s="17"/>
    </row>
    <row r="358" spans="1:32" ht="14.25" customHeight="1">
      <c r="A358" s="425" t="s">
        <v>515</v>
      </c>
      <c r="B358" s="428" t="s">
        <v>956</v>
      </c>
      <c r="C358" s="429" t="s">
        <v>2197</v>
      </c>
      <c r="D358" s="383"/>
      <c r="E358" s="420"/>
      <c r="F358" s="420"/>
      <c r="G358" s="420"/>
      <c r="H358" s="420"/>
      <c r="I358" s="420"/>
      <c r="J358" s="420" t="s">
        <v>2093</v>
      </c>
      <c r="K358" s="420" t="s">
        <v>2077</v>
      </c>
      <c r="L358" s="420" t="s">
        <v>2077</v>
      </c>
      <c r="M358" s="420" t="s">
        <v>44</v>
      </c>
      <c r="N358" s="420"/>
      <c r="O358" s="420"/>
      <c r="P358" s="420" t="s">
        <v>1568</v>
      </c>
      <c r="Q358" s="420" t="s">
        <v>2164</v>
      </c>
      <c r="R358" s="424"/>
      <c r="S358" s="424"/>
      <c r="T358" s="437">
        <v>43759</v>
      </c>
      <c r="U358" s="426"/>
      <c r="V358" s="424"/>
      <c r="W358" s="424"/>
      <c r="X358" s="383"/>
      <c r="Y358" s="45"/>
      <c r="Z358" s="17"/>
      <c r="AA358" s="89"/>
      <c r="AB358" s="17"/>
      <c r="AC358" s="17"/>
      <c r="AD358" s="17"/>
      <c r="AF358" s="17"/>
    </row>
    <row r="359" spans="1:32" ht="14.25" customHeight="1">
      <c r="A359" s="429" t="s">
        <v>515</v>
      </c>
      <c r="B359" s="765" t="s">
        <v>956</v>
      </c>
      <c r="C359" s="914" t="s">
        <v>2201</v>
      </c>
      <c r="D359" s="423"/>
      <c r="E359" s="420"/>
      <c r="F359" s="420"/>
      <c r="G359" s="420"/>
      <c r="H359" s="420"/>
      <c r="I359" s="420"/>
      <c r="J359" s="420" t="s">
        <v>2093</v>
      </c>
      <c r="K359" s="420" t="s">
        <v>2077</v>
      </c>
      <c r="L359" s="420" t="s">
        <v>2077</v>
      </c>
      <c r="M359" s="420" t="s">
        <v>44</v>
      </c>
      <c r="N359" s="420"/>
      <c r="O359" s="420"/>
      <c r="P359" s="420" t="s">
        <v>1568</v>
      </c>
      <c r="Q359" s="420" t="s">
        <v>2164</v>
      </c>
      <c r="R359" s="432"/>
      <c r="S359" s="425"/>
      <c r="T359" s="437">
        <v>43759</v>
      </c>
      <c r="U359" s="432"/>
      <c r="V359" s="420"/>
      <c r="W359" s="424"/>
      <c r="X359" s="423"/>
      <c r="Y359" s="45"/>
      <c r="Z359" s="17"/>
      <c r="AA359" s="89"/>
      <c r="AB359" s="17"/>
      <c r="AC359" s="17"/>
      <c r="AD359" s="17"/>
      <c r="AF359" s="17"/>
    </row>
    <row r="360" spans="1:32" ht="14.25" customHeight="1">
      <c r="A360" s="425" t="s">
        <v>515</v>
      </c>
      <c r="B360" s="439" t="s">
        <v>956</v>
      </c>
      <c r="C360" s="392" t="s">
        <v>1936</v>
      </c>
      <c r="D360" s="383"/>
      <c r="E360" s="420"/>
      <c r="F360" s="420"/>
      <c r="G360" s="420"/>
      <c r="H360" s="420"/>
      <c r="I360" s="420"/>
      <c r="J360" s="420" t="s">
        <v>2093</v>
      </c>
      <c r="K360" s="420" t="s">
        <v>2077</v>
      </c>
      <c r="L360" s="420" t="s">
        <v>2077</v>
      </c>
      <c r="M360" s="420" t="s">
        <v>44</v>
      </c>
      <c r="N360" s="420"/>
      <c r="O360" s="420"/>
      <c r="P360" s="420" t="s">
        <v>1568</v>
      </c>
      <c r="Q360" s="420"/>
      <c r="R360" s="424"/>
      <c r="S360" s="424"/>
      <c r="T360" s="437">
        <v>43759</v>
      </c>
      <c r="U360" s="426"/>
      <c r="V360" s="424"/>
      <c r="W360" s="424"/>
      <c r="X360" s="383"/>
      <c r="Y360" s="45"/>
      <c r="Z360" s="17"/>
      <c r="AA360" s="89"/>
      <c r="AB360" s="17"/>
      <c r="AC360" s="17"/>
      <c r="AD360" s="17"/>
      <c r="AF360" s="17"/>
    </row>
    <row r="361" spans="1:32" ht="14.25" customHeight="1">
      <c r="A361" s="429" t="s">
        <v>515</v>
      </c>
      <c r="B361" s="439" t="s">
        <v>956</v>
      </c>
      <c r="C361" s="429" t="s">
        <v>2980</v>
      </c>
      <c r="D361" s="423" t="s">
        <v>3235</v>
      </c>
      <c r="E361" s="425" t="s">
        <v>3002</v>
      </c>
      <c r="F361" s="420" t="s">
        <v>3021</v>
      </c>
      <c r="G361" s="420" t="s">
        <v>3036</v>
      </c>
      <c r="H361" s="420"/>
      <c r="I361" s="420" t="s">
        <v>3057</v>
      </c>
      <c r="J361" s="420" t="s">
        <v>43</v>
      </c>
      <c r="K361" s="420" t="s">
        <v>43</v>
      </c>
      <c r="L361" s="420" t="s">
        <v>587</v>
      </c>
      <c r="M361" s="420" t="s">
        <v>44</v>
      </c>
      <c r="N361" s="420"/>
      <c r="O361" s="420" t="s">
        <v>3041</v>
      </c>
      <c r="P361" s="420" t="s">
        <v>573</v>
      </c>
      <c r="Q361" s="420" t="s">
        <v>3042</v>
      </c>
      <c r="R361" s="432">
        <v>62</v>
      </c>
      <c r="S361" s="425">
        <v>144</v>
      </c>
      <c r="T361" s="437">
        <v>45009</v>
      </c>
      <c r="U361" s="426" t="s">
        <v>3043</v>
      </c>
      <c r="V361" s="420"/>
      <c r="W361" s="424" t="s">
        <v>3049</v>
      </c>
      <c r="X361" s="423"/>
      <c r="Y361" s="45"/>
      <c r="Z361" s="17"/>
      <c r="AA361" s="89"/>
      <c r="AB361" s="17"/>
      <c r="AC361" s="17"/>
      <c r="AD361" s="17"/>
      <c r="AF361" s="17"/>
    </row>
    <row r="362" spans="1:32" ht="14.25" customHeight="1">
      <c r="A362" s="429" t="s">
        <v>515</v>
      </c>
      <c r="B362" s="448" t="s">
        <v>957</v>
      </c>
      <c r="C362" s="448" t="s">
        <v>2574</v>
      </c>
      <c r="D362" s="423" t="s">
        <v>3235</v>
      </c>
      <c r="E362" s="420" t="s">
        <v>2823</v>
      </c>
      <c r="F362" s="420" t="s">
        <v>2582</v>
      </c>
      <c r="G362" s="420" t="s">
        <v>2586</v>
      </c>
      <c r="H362" s="420"/>
      <c r="I362" s="420"/>
      <c r="J362" s="420" t="s">
        <v>617</v>
      </c>
      <c r="K362" s="420" t="s">
        <v>617</v>
      </c>
      <c r="L362" s="420" t="s">
        <v>2866</v>
      </c>
      <c r="M362" s="420" t="s">
        <v>44</v>
      </c>
      <c r="N362" s="420">
        <v>23.415991000000002</v>
      </c>
      <c r="O362" s="420">
        <v>98.471779999999995</v>
      </c>
      <c r="P362" s="420" t="s">
        <v>573</v>
      </c>
      <c r="Q362" s="420" t="s">
        <v>2577</v>
      </c>
      <c r="R362" s="432">
        <v>219</v>
      </c>
      <c r="S362" s="425">
        <v>653</v>
      </c>
      <c r="T362" s="437">
        <v>44166</v>
      </c>
      <c r="U362" s="432"/>
      <c r="V362" s="420"/>
      <c r="W362" s="424"/>
      <c r="X362" s="420" t="s">
        <v>2567</v>
      </c>
      <c r="Y362" s="45"/>
      <c r="Z362" s="17"/>
      <c r="AA362" s="89"/>
      <c r="AB362" s="17"/>
      <c r="AC362" s="17"/>
      <c r="AD362" s="17"/>
      <c r="AF362" s="17"/>
    </row>
    <row r="363" spans="1:32" ht="14.25" customHeight="1">
      <c r="A363" s="429" t="s">
        <v>515</v>
      </c>
      <c r="B363" s="765" t="s">
        <v>2587</v>
      </c>
      <c r="C363" s="914" t="s">
        <v>2573</v>
      </c>
      <c r="D363" s="423" t="s">
        <v>3235</v>
      </c>
      <c r="E363" s="420" t="s">
        <v>2824</v>
      </c>
      <c r="F363" s="420" t="s">
        <v>2581</v>
      </c>
      <c r="G363" s="420" t="s">
        <v>2585</v>
      </c>
      <c r="H363" s="420"/>
      <c r="I363" s="420"/>
      <c r="J363" s="420" t="s">
        <v>617</v>
      </c>
      <c r="K363" s="420" t="s">
        <v>617</v>
      </c>
      <c r="L363" s="420" t="s">
        <v>2866</v>
      </c>
      <c r="M363" s="420" t="s">
        <v>44</v>
      </c>
      <c r="N363" s="420">
        <v>23.363275999999999</v>
      </c>
      <c r="O363" s="420">
        <v>98.472977999999998</v>
      </c>
      <c r="P363" s="420" t="s">
        <v>573</v>
      </c>
      <c r="Q363" s="420" t="s">
        <v>2577</v>
      </c>
      <c r="R363" s="432">
        <v>657</v>
      </c>
      <c r="S363" s="425">
        <v>2786</v>
      </c>
      <c r="T363" s="437">
        <v>44166</v>
      </c>
      <c r="U363" s="432"/>
      <c r="V363" s="420"/>
      <c r="W363" s="424"/>
      <c r="X363" s="420" t="s">
        <v>2566</v>
      </c>
      <c r="Y363" s="45"/>
      <c r="Z363" s="17"/>
      <c r="AA363" s="89"/>
      <c r="AB363" s="17"/>
      <c r="AC363" s="17"/>
      <c r="AD363" s="17"/>
      <c r="AF363" s="17"/>
    </row>
    <row r="364" spans="1:32" ht="14.25" customHeight="1">
      <c r="A364" s="425" t="s">
        <v>515</v>
      </c>
      <c r="B364" s="428" t="s">
        <v>958</v>
      </c>
      <c r="C364" s="429" t="s">
        <v>2570</v>
      </c>
      <c r="D364" s="423" t="s">
        <v>3235</v>
      </c>
      <c r="E364" s="420" t="s">
        <v>2825</v>
      </c>
      <c r="F364" s="422" t="s">
        <v>2579</v>
      </c>
      <c r="G364" s="420" t="s">
        <v>2583</v>
      </c>
      <c r="H364" s="420"/>
      <c r="I364" s="420"/>
      <c r="J364" s="420" t="s">
        <v>43</v>
      </c>
      <c r="K364" s="420" t="s">
        <v>43</v>
      </c>
      <c r="L364" s="420" t="s">
        <v>2575</v>
      </c>
      <c r="M364" s="420" t="s">
        <v>44</v>
      </c>
      <c r="N364" s="420">
        <v>23.420603</v>
      </c>
      <c r="O364" s="420">
        <v>98.451791999999998</v>
      </c>
      <c r="P364" s="420" t="s">
        <v>573</v>
      </c>
      <c r="Q364" s="420" t="s">
        <v>2577</v>
      </c>
      <c r="R364" s="432">
        <v>166</v>
      </c>
      <c r="S364" s="425">
        <v>830</v>
      </c>
      <c r="T364" s="437">
        <v>44166</v>
      </c>
      <c r="U364" s="426"/>
      <c r="V364" s="424"/>
      <c r="W364" s="424"/>
      <c r="X364" s="420" t="s">
        <v>2563</v>
      </c>
      <c r="Y364" s="45"/>
      <c r="Z364" s="17"/>
      <c r="AA364" s="89"/>
      <c r="AB364" s="17"/>
      <c r="AC364" s="17"/>
      <c r="AD364" s="17"/>
      <c r="AF364" s="17"/>
    </row>
    <row r="365" spans="1:32" ht="14.25" customHeight="1">
      <c r="A365" s="429" t="s">
        <v>515</v>
      </c>
      <c r="B365" s="439" t="s">
        <v>958</v>
      </c>
      <c r="C365" s="392" t="s">
        <v>2571</v>
      </c>
      <c r="D365" s="423" t="s">
        <v>3235</v>
      </c>
      <c r="E365" s="420" t="s">
        <v>2826</v>
      </c>
      <c r="F365" s="420" t="s">
        <v>2580</v>
      </c>
      <c r="G365" s="420" t="s">
        <v>2584</v>
      </c>
      <c r="H365" s="420"/>
      <c r="I365" s="420"/>
      <c r="J365" s="420" t="s">
        <v>43</v>
      </c>
      <c r="K365" s="420" t="s">
        <v>43</v>
      </c>
      <c r="L365" s="420" t="s">
        <v>2575</v>
      </c>
      <c r="M365" s="420" t="s">
        <v>44</v>
      </c>
      <c r="N365" s="420">
        <v>23.729893000000001</v>
      </c>
      <c r="O365" s="420">
        <v>98.779853500000002</v>
      </c>
      <c r="P365" s="420" t="s">
        <v>573</v>
      </c>
      <c r="Q365" s="420" t="s">
        <v>2577</v>
      </c>
      <c r="R365" s="432">
        <v>34</v>
      </c>
      <c r="S365" s="425">
        <v>170</v>
      </c>
      <c r="T365" s="437">
        <v>44166</v>
      </c>
      <c r="U365" s="426"/>
      <c r="V365" s="420"/>
      <c r="W365" s="359"/>
      <c r="X365" s="420" t="s">
        <v>2564</v>
      </c>
      <c r="Y365" s="90"/>
      <c r="Z365" s="45"/>
      <c r="AA365" s="17"/>
      <c r="AB365" s="89"/>
      <c r="AC365" s="17"/>
      <c r="AD365" s="17"/>
      <c r="AF365" s="17"/>
    </row>
    <row r="366" spans="1:32" ht="14.25" customHeight="1">
      <c r="A366" s="429" t="s">
        <v>515</v>
      </c>
      <c r="B366" s="439" t="s">
        <v>522</v>
      </c>
      <c r="C366" s="392" t="s">
        <v>560</v>
      </c>
      <c r="D366" s="423" t="s">
        <v>1725</v>
      </c>
      <c r="E366" s="420" t="s">
        <v>1037</v>
      </c>
      <c r="F366" s="422">
        <v>0</v>
      </c>
      <c r="G366" s="420">
        <v>0</v>
      </c>
      <c r="H366" s="420"/>
      <c r="I366" s="420" t="s">
        <v>1614</v>
      </c>
      <c r="J366" s="420" t="s">
        <v>43</v>
      </c>
      <c r="K366" s="420" t="s">
        <v>43</v>
      </c>
      <c r="L366" s="420" t="s">
        <v>572</v>
      </c>
      <c r="M366" s="420" t="s">
        <v>44</v>
      </c>
      <c r="N366" s="420"/>
      <c r="O366" s="420"/>
      <c r="P366" s="420" t="s">
        <v>573</v>
      </c>
      <c r="Q366" s="420" t="s">
        <v>574</v>
      </c>
      <c r="R366" s="432"/>
      <c r="S366" s="425"/>
      <c r="T366" s="437"/>
      <c r="U366" s="426" t="s">
        <v>2117</v>
      </c>
      <c r="V366" s="420"/>
      <c r="W366" s="359" t="s">
        <v>1726</v>
      </c>
      <c r="X366" s="423"/>
      <c r="Y366" s="90"/>
      <c r="Z366" s="45"/>
      <c r="AA366" s="17"/>
      <c r="AB366" s="89"/>
      <c r="AC366" s="17"/>
      <c r="AD366" s="17"/>
      <c r="AF366" s="17"/>
    </row>
    <row r="367" spans="1:32" ht="14.25" customHeight="1">
      <c r="A367" s="429" t="s">
        <v>515</v>
      </c>
      <c r="B367" s="439" t="s">
        <v>522</v>
      </c>
      <c r="C367" s="392" t="s">
        <v>548</v>
      </c>
      <c r="D367" s="423" t="s">
        <v>2702</v>
      </c>
      <c r="E367" s="420" t="s">
        <v>1057</v>
      </c>
      <c r="F367" s="420" t="s">
        <v>1316</v>
      </c>
      <c r="G367" s="420" t="s">
        <v>1333</v>
      </c>
      <c r="H367" s="420" t="s">
        <v>41</v>
      </c>
      <c r="I367" s="420" t="s">
        <v>2113</v>
      </c>
      <c r="J367" s="420" t="s">
        <v>43</v>
      </c>
      <c r="K367" s="420" t="s">
        <v>43</v>
      </c>
      <c r="L367" s="420" t="s">
        <v>572</v>
      </c>
      <c r="M367" s="420" t="s">
        <v>44</v>
      </c>
      <c r="N367" s="420">
        <v>23.250678000000001</v>
      </c>
      <c r="O367" s="420">
        <v>97.124403000000001</v>
      </c>
      <c r="P367" s="420" t="s">
        <v>573</v>
      </c>
      <c r="Q367" s="420" t="s">
        <v>591</v>
      </c>
      <c r="R367" s="432"/>
      <c r="S367" s="425"/>
      <c r="T367" s="437"/>
      <c r="U367" s="426"/>
      <c r="V367" s="420" t="s">
        <v>548</v>
      </c>
      <c r="W367" s="359" t="s">
        <v>1684</v>
      </c>
      <c r="X367" s="423"/>
      <c r="Y367" s="90"/>
      <c r="Z367" s="45"/>
      <c r="AA367" s="17"/>
      <c r="AB367" s="89"/>
      <c r="AC367" s="17"/>
      <c r="AD367" s="17"/>
      <c r="AF367" s="17"/>
    </row>
    <row r="368" spans="1:32" ht="14.25" customHeight="1">
      <c r="A368" s="429" t="s">
        <v>515</v>
      </c>
      <c r="B368" s="428" t="s">
        <v>522</v>
      </c>
      <c r="C368" s="429" t="s">
        <v>523</v>
      </c>
      <c r="D368" s="423" t="s">
        <v>3060</v>
      </c>
      <c r="E368" s="420" t="s">
        <v>2827</v>
      </c>
      <c r="F368" s="420" t="s">
        <v>1316</v>
      </c>
      <c r="G368" s="420" t="s">
        <v>1333</v>
      </c>
      <c r="H368" s="420" t="s">
        <v>41</v>
      </c>
      <c r="I368" s="420" t="s">
        <v>1036</v>
      </c>
      <c r="J368" s="420" t="s">
        <v>43</v>
      </c>
      <c r="K368" s="420" t="s">
        <v>43</v>
      </c>
      <c r="L368" s="420" t="s">
        <v>572</v>
      </c>
      <c r="M368" s="420" t="s">
        <v>44</v>
      </c>
      <c r="N368" s="420">
        <v>23.24661</v>
      </c>
      <c r="O368" s="420">
        <v>97.116680000000002</v>
      </c>
      <c r="P368" s="420" t="s">
        <v>573</v>
      </c>
      <c r="Q368" s="420" t="s">
        <v>591</v>
      </c>
      <c r="R368" s="432">
        <v>30</v>
      </c>
      <c r="S368" s="425">
        <v>159</v>
      </c>
      <c r="T368" s="437"/>
      <c r="U368" s="426"/>
      <c r="V368" s="422" t="s">
        <v>523</v>
      </c>
      <c r="W368" s="359" t="s">
        <v>1685</v>
      </c>
      <c r="X368" s="420" t="s">
        <v>1056</v>
      </c>
      <c r="Y368" s="90"/>
      <c r="Z368" s="45"/>
      <c r="AA368" s="17"/>
      <c r="AB368" s="89"/>
      <c r="AC368" s="17"/>
      <c r="AD368" s="17"/>
      <c r="AF368" s="17"/>
    </row>
    <row r="369" spans="1:32" ht="14.25" customHeight="1">
      <c r="A369" s="429" t="s">
        <v>515</v>
      </c>
      <c r="B369" s="428" t="s">
        <v>525</v>
      </c>
      <c r="C369" s="429" t="s">
        <v>571</v>
      </c>
      <c r="D369" s="383" t="s">
        <v>1295</v>
      </c>
      <c r="E369" s="420" t="s">
        <v>1022</v>
      </c>
      <c r="F369" s="420" t="s">
        <v>1306</v>
      </c>
      <c r="G369" s="420" t="s">
        <v>1307</v>
      </c>
      <c r="H369" s="420"/>
      <c r="I369" s="420">
        <v>0</v>
      </c>
      <c r="J369" s="420" t="s">
        <v>43</v>
      </c>
      <c r="K369" s="420" t="s">
        <v>43</v>
      </c>
      <c r="L369" s="420" t="s">
        <v>572</v>
      </c>
      <c r="M369" s="420" t="s">
        <v>44</v>
      </c>
      <c r="N369" s="420"/>
      <c r="O369" s="420"/>
      <c r="P369" s="420" t="s">
        <v>573</v>
      </c>
      <c r="Q369" s="420" t="s">
        <v>574</v>
      </c>
      <c r="R369" s="424">
        <v>0</v>
      </c>
      <c r="S369" s="424">
        <v>0</v>
      </c>
      <c r="T369" s="437">
        <v>42832</v>
      </c>
      <c r="U369" s="426"/>
      <c r="V369" s="420"/>
      <c r="W369" s="359" t="s">
        <v>1686</v>
      </c>
      <c r="X369" s="383"/>
      <c r="Y369" s="90"/>
      <c r="Z369" s="45"/>
      <c r="AA369" s="17"/>
      <c r="AB369" s="89"/>
      <c r="AC369" s="17"/>
      <c r="AD369" s="17"/>
      <c r="AF369" s="17"/>
    </row>
    <row r="370" spans="1:32" ht="14.25" customHeight="1">
      <c r="A370" s="429" t="s">
        <v>515</v>
      </c>
      <c r="B370" s="428" t="s">
        <v>525</v>
      </c>
      <c r="C370" s="429" t="s">
        <v>575</v>
      </c>
      <c r="D370" s="383" t="s">
        <v>1295</v>
      </c>
      <c r="E370" s="420" t="s">
        <v>1023</v>
      </c>
      <c r="F370" s="420" t="s">
        <v>1306</v>
      </c>
      <c r="G370" s="420" t="s">
        <v>1308</v>
      </c>
      <c r="H370" s="420"/>
      <c r="I370" s="420">
        <v>0</v>
      </c>
      <c r="J370" s="420" t="s">
        <v>43</v>
      </c>
      <c r="K370" s="420" t="s">
        <v>43</v>
      </c>
      <c r="L370" s="420" t="s">
        <v>572</v>
      </c>
      <c r="M370" s="420" t="s">
        <v>44</v>
      </c>
      <c r="N370" s="420"/>
      <c r="O370" s="420"/>
      <c r="P370" s="420" t="s">
        <v>573</v>
      </c>
      <c r="Q370" s="420" t="s">
        <v>574</v>
      </c>
      <c r="R370" s="432">
        <v>0</v>
      </c>
      <c r="S370" s="425">
        <v>0</v>
      </c>
      <c r="T370" s="437"/>
      <c r="U370" s="426"/>
      <c r="V370" s="420">
        <v>42920</v>
      </c>
      <c r="W370" s="359" t="s">
        <v>1686</v>
      </c>
      <c r="X370" s="383"/>
      <c r="Y370" s="90"/>
      <c r="Z370" s="45"/>
      <c r="AA370" s="17"/>
      <c r="AB370" s="89"/>
      <c r="AC370" s="17"/>
      <c r="AD370" s="17"/>
      <c r="AF370" s="17"/>
    </row>
    <row r="371" spans="1:32" ht="14.25" customHeight="1">
      <c r="A371" s="429" t="s">
        <v>515</v>
      </c>
      <c r="B371" s="428" t="s">
        <v>525</v>
      </c>
      <c r="C371" s="429" t="s">
        <v>576</v>
      </c>
      <c r="D371" s="423" t="s">
        <v>1295</v>
      </c>
      <c r="E371" s="420" t="s">
        <v>1024</v>
      </c>
      <c r="F371" s="420" t="s">
        <v>1306</v>
      </c>
      <c r="G371" s="420" t="s">
        <v>1308</v>
      </c>
      <c r="H371" s="420"/>
      <c r="I371" s="420">
        <v>0</v>
      </c>
      <c r="J371" s="420" t="s">
        <v>43</v>
      </c>
      <c r="K371" s="420" t="s">
        <v>43</v>
      </c>
      <c r="L371" s="420" t="s">
        <v>572</v>
      </c>
      <c r="M371" s="420" t="s">
        <v>44</v>
      </c>
      <c r="N371" s="420"/>
      <c r="O371" s="420"/>
      <c r="P371" s="420" t="s">
        <v>573</v>
      </c>
      <c r="Q371" s="420" t="s">
        <v>574</v>
      </c>
      <c r="R371" s="432">
        <v>0</v>
      </c>
      <c r="S371" s="425">
        <v>0</v>
      </c>
      <c r="T371" s="437"/>
      <c r="U371" s="426"/>
      <c r="V371" s="420">
        <v>42920</v>
      </c>
      <c r="W371" s="359" t="s">
        <v>1686</v>
      </c>
      <c r="X371" s="423"/>
      <c r="Y371" s="90"/>
      <c r="Z371" s="45"/>
      <c r="AA371" s="17"/>
      <c r="AB371" s="89"/>
      <c r="AC371" s="17"/>
      <c r="AD371" s="17"/>
      <c r="AF371" s="17"/>
    </row>
    <row r="372" spans="1:32" ht="14.25" customHeight="1">
      <c r="A372" s="429" t="s">
        <v>515</v>
      </c>
      <c r="B372" s="428" t="s">
        <v>525</v>
      </c>
      <c r="C372" s="392" t="s">
        <v>2976</v>
      </c>
      <c r="D372" s="423" t="s">
        <v>3233</v>
      </c>
      <c r="E372" s="425" t="s">
        <v>2998</v>
      </c>
      <c r="F372" s="420" t="s">
        <v>3019</v>
      </c>
      <c r="G372" s="420" t="s">
        <v>3033</v>
      </c>
      <c r="H372" s="420"/>
      <c r="I372" s="422" t="s">
        <v>3057</v>
      </c>
      <c r="J372" s="420" t="s">
        <v>43</v>
      </c>
      <c r="K372" s="420" t="s">
        <v>43</v>
      </c>
      <c r="L372" s="420" t="s">
        <v>572</v>
      </c>
      <c r="M372" s="420" t="s">
        <v>44</v>
      </c>
      <c r="N372" s="420"/>
      <c r="O372" s="420" t="s">
        <v>3041</v>
      </c>
      <c r="P372" s="420" t="s">
        <v>573</v>
      </c>
      <c r="Q372" s="420" t="s">
        <v>3042</v>
      </c>
      <c r="R372" s="432">
        <v>11</v>
      </c>
      <c r="S372" s="425">
        <v>32</v>
      </c>
      <c r="T372" s="437">
        <v>45009</v>
      </c>
      <c r="U372" s="426" t="s">
        <v>3043</v>
      </c>
      <c r="V372" s="420"/>
      <c r="W372" s="428" t="s">
        <v>3045</v>
      </c>
      <c r="X372" s="423"/>
      <c r="Y372" s="90"/>
      <c r="Z372" s="45"/>
      <c r="AA372" s="17"/>
      <c r="AB372" s="89"/>
      <c r="AC372" s="17"/>
      <c r="AD372" s="17"/>
      <c r="AF372" s="17"/>
    </row>
    <row r="373" spans="1:32" ht="14.25" customHeight="1">
      <c r="A373" s="429" t="s">
        <v>515</v>
      </c>
      <c r="B373" s="439" t="s">
        <v>525</v>
      </c>
      <c r="C373" s="392" t="s">
        <v>711</v>
      </c>
      <c r="D373" s="423" t="s">
        <v>1295</v>
      </c>
      <c r="E373" s="420" t="s">
        <v>1090</v>
      </c>
      <c r="F373" s="420" t="s">
        <v>1320</v>
      </c>
      <c r="G373" s="420" t="s">
        <v>1321</v>
      </c>
      <c r="H373" s="420"/>
      <c r="I373" s="420">
        <v>0</v>
      </c>
      <c r="J373" s="420" t="s">
        <v>43</v>
      </c>
      <c r="K373" s="420" t="s">
        <v>43</v>
      </c>
      <c r="L373" s="420" t="s">
        <v>572</v>
      </c>
      <c r="M373" s="420" t="s">
        <v>44</v>
      </c>
      <c r="N373" s="420">
        <v>23.917631</v>
      </c>
      <c r="O373" s="420">
        <v>98.116817999999995</v>
      </c>
      <c r="P373" s="420" t="s">
        <v>573</v>
      </c>
      <c r="Q373" s="420" t="s">
        <v>574</v>
      </c>
      <c r="R373" s="432">
        <v>0</v>
      </c>
      <c r="S373" s="425">
        <v>0</v>
      </c>
      <c r="T373" s="437">
        <v>42836</v>
      </c>
      <c r="U373" s="426"/>
      <c r="V373" s="420"/>
      <c r="W373" s="768" t="s">
        <v>1687</v>
      </c>
      <c r="X373" s="423"/>
      <c r="Y373" s="90"/>
      <c r="Z373" s="45"/>
      <c r="AA373" s="17"/>
      <c r="AB373" s="89"/>
      <c r="AC373" s="17"/>
      <c r="AD373" s="17"/>
      <c r="AF373" s="17"/>
    </row>
    <row r="374" spans="1:32" ht="14.25" customHeight="1">
      <c r="A374" s="429" t="s">
        <v>515</v>
      </c>
      <c r="B374" s="439" t="s">
        <v>525</v>
      </c>
      <c r="C374" s="392" t="s">
        <v>555</v>
      </c>
      <c r="D374" s="423" t="s">
        <v>3235</v>
      </c>
      <c r="E374" s="420" t="s">
        <v>2828</v>
      </c>
      <c r="F374" s="420" t="s">
        <v>1452</v>
      </c>
      <c r="G374" s="420" t="s">
        <v>555</v>
      </c>
      <c r="H374" s="420" t="s">
        <v>41</v>
      </c>
      <c r="I374" s="420" t="s">
        <v>2113</v>
      </c>
      <c r="J374" s="420" t="s">
        <v>43</v>
      </c>
      <c r="K374" s="420" t="s">
        <v>43</v>
      </c>
      <c r="L374" s="420" t="s">
        <v>2575</v>
      </c>
      <c r="M374" s="420" t="s">
        <v>44</v>
      </c>
      <c r="N374" s="420">
        <v>24.08738</v>
      </c>
      <c r="O374" s="420">
        <v>98.115809999999996</v>
      </c>
      <c r="P374" s="420" t="s">
        <v>573</v>
      </c>
      <c r="Q374" s="420" t="s">
        <v>608</v>
      </c>
      <c r="R374" s="432">
        <v>307</v>
      </c>
      <c r="S374" s="425">
        <v>1581</v>
      </c>
      <c r="T374" s="437" t="s">
        <v>808</v>
      </c>
      <c r="U374" s="426"/>
      <c r="V374" s="420"/>
      <c r="W374" s="359" t="s">
        <v>1671</v>
      </c>
      <c r="X374" s="420" t="s">
        <v>1254</v>
      </c>
      <c r="Y374" s="90"/>
      <c r="Z374" s="45"/>
      <c r="AA374" s="17"/>
      <c r="AB374" s="89"/>
      <c r="AC374" s="17"/>
      <c r="AD374" s="17"/>
      <c r="AF374" s="17"/>
    </row>
    <row r="375" spans="1:32" ht="14.25" customHeight="1">
      <c r="A375" s="429" t="s">
        <v>515</v>
      </c>
      <c r="B375" s="428" t="s">
        <v>525</v>
      </c>
      <c r="C375" s="429" t="s">
        <v>559</v>
      </c>
      <c r="D375" s="423" t="s">
        <v>2241</v>
      </c>
      <c r="E375" s="420" t="s">
        <v>1101</v>
      </c>
      <c r="F375" s="422" t="s">
        <v>555</v>
      </c>
      <c r="G375" s="420" t="s">
        <v>555</v>
      </c>
      <c r="H375" s="420"/>
      <c r="I375" s="420">
        <v>0</v>
      </c>
      <c r="J375" s="420" t="s">
        <v>43</v>
      </c>
      <c r="K375" s="420" t="s">
        <v>43</v>
      </c>
      <c r="L375" s="420" t="s">
        <v>572</v>
      </c>
      <c r="M375" s="420" t="s">
        <v>44</v>
      </c>
      <c r="N375" s="420">
        <v>24.08738</v>
      </c>
      <c r="O375" s="420">
        <v>98.115809999999996</v>
      </c>
      <c r="P375" s="420" t="s">
        <v>573</v>
      </c>
      <c r="Q375" s="420" t="s">
        <v>591</v>
      </c>
      <c r="R375" s="432"/>
      <c r="S375" s="425"/>
      <c r="T375" s="437">
        <v>43276</v>
      </c>
      <c r="U375" s="426" t="s">
        <v>1561</v>
      </c>
      <c r="V375" s="420" t="s">
        <v>559</v>
      </c>
      <c r="W375" s="916" t="s">
        <v>1561</v>
      </c>
      <c r="X375" s="423"/>
      <c r="Y375" s="90"/>
      <c r="Z375" s="45"/>
      <c r="AA375" s="17"/>
      <c r="AB375" s="89"/>
      <c r="AC375" s="17"/>
      <c r="AD375" s="17"/>
      <c r="AF375" s="17"/>
    </row>
    <row r="376" spans="1:32" ht="14.25" customHeight="1">
      <c r="A376" s="429" t="s">
        <v>515</v>
      </c>
      <c r="B376" s="428" t="s">
        <v>525</v>
      </c>
      <c r="C376" s="429" t="s">
        <v>3240</v>
      </c>
      <c r="D376" s="423" t="s">
        <v>3235</v>
      </c>
      <c r="E376" s="425" t="s">
        <v>3245</v>
      </c>
      <c r="F376" s="425" t="s">
        <v>3015</v>
      </c>
      <c r="G376" s="420"/>
      <c r="H376" s="420"/>
      <c r="I376" s="420"/>
      <c r="J376" s="420" t="s">
        <v>43</v>
      </c>
      <c r="K376" s="420" t="s">
        <v>43</v>
      </c>
      <c r="L376" s="420" t="s">
        <v>2576</v>
      </c>
      <c r="M376" s="420" t="s">
        <v>44</v>
      </c>
      <c r="N376" s="420"/>
      <c r="O376" s="420"/>
      <c r="P376" s="420" t="s">
        <v>584</v>
      </c>
      <c r="Q376" s="420" t="s">
        <v>3249</v>
      </c>
      <c r="R376" s="432">
        <v>85</v>
      </c>
      <c r="S376" s="424">
        <v>362</v>
      </c>
      <c r="T376" s="437">
        <v>45077</v>
      </c>
      <c r="U376" s="426"/>
      <c r="V376" s="420"/>
      <c r="W376" s="424" t="s">
        <v>3251</v>
      </c>
      <c r="X376" s="423"/>
      <c r="Y376" s="90"/>
      <c r="Z376" s="45"/>
      <c r="AA376" s="17"/>
      <c r="AB376" s="89"/>
      <c r="AC376" s="17"/>
      <c r="AD376" s="17"/>
      <c r="AF376" s="17"/>
    </row>
    <row r="377" spans="1:32" ht="14.25" customHeight="1">
      <c r="A377" s="429" t="s">
        <v>515</v>
      </c>
      <c r="B377" s="428" t="s">
        <v>525</v>
      </c>
      <c r="C377" s="429" t="s">
        <v>565</v>
      </c>
      <c r="D377" s="383" t="s">
        <v>1295</v>
      </c>
      <c r="E377" s="420" t="s">
        <v>1031</v>
      </c>
      <c r="F377" s="420">
        <v>0</v>
      </c>
      <c r="G377" s="420">
        <v>0</v>
      </c>
      <c r="H377" s="420"/>
      <c r="I377" s="422">
        <v>0</v>
      </c>
      <c r="J377" s="420" t="s">
        <v>43</v>
      </c>
      <c r="K377" s="420" t="s">
        <v>43</v>
      </c>
      <c r="L377" s="420" t="s">
        <v>572</v>
      </c>
      <c r="M377" s="420" t="s">
        <v>44</v>
      </c>
      <c r="N377" s="420"/>
      <c r="O377" s="420"/>
      <c r="P377" s="420" t="s">
        <v>573</v>
      </c>
      <c r="Q377" s="420" t="s">
        <v>574</v>
      </c>
      <c r="R377" s="424">
        <v>0</v>
      </c>
      <c r="S377" s="424">
        <v>0</v>
      </c>
      <c r="T377" s="437"/>
      <c r="U377" s="426"/>
      <c r="V377" s="420">
        <v>42920</v>
      </c>
      <c r="W377" s="916" t="s">
        <v>1686</v>
      </c>
      <c r="X377" s="383"/>
      <c r="Y377" s="90"/>
      <c r="Z377" s="45"/>
      <c r="AA377" s="17"/>
      <c r="AB377" s="89"/>
      <c r="AC377" s="17"/>
      <c r="AD377" s="17"/>
      <c r="AF377" s="17"/>
    </row>
    <row r="378" spans="1:32" ht="14.25" customHeight="1">
      <c r="A378" s="429" t="s">
        <v>515</v>
      </c>
      <c r="B378" s="428" t="s">
        <v>525</v>
      </c>
      <c r="C378" s="429" t="s">
        <v>582</v>
      </c>
      <c r="D378" s="383" t="s">
        <v>1295</v>
      </c>
      <c r="E378" s="420" t="s">
        <v>1032</v>
      </c>
      <c r="F378" s="420" t="s">
        <v>1306</v>
      </c>
      <c r="G378" s="420" t="s">
        <v>1308</v>
      </c>
      <c r="H378" s="420"/>
      <c r="I378" s="420">
        <v>0</v>
      </c>
      <c r="J378" s="420" t="s">
        <v>43</v>
      </c>
      <c r="K378" s="420" t="s">
        <v>43</v>
      </c>
      <c r="L378" s="420" t="s">
        <v>572</v>
      </c>
      <c r="M378" s="420" t="s">
        <v>44</v>
      </c>
      <c r="N378" s="420"/>
      <c r="O378" s="420"/>
      <c r="P378" s="420" t="s">
        <v>573</v>
      </c>
      <c r="Q378" s="420" t="s">
        <v>574</v>
      </c>
      <c r="R378" s="424">
        <v>0</v>
      </c>
      <c r="S378" s="424">
        <v>0</v>
      </c>
      <c r="T378" s="437"/>
      <c r="U378" s="426"/>
      <c r="V378" s="422">
        <v>42920</v>
      </c>
      <c r="W378" s="359" t="s">
        <v>1686</v>
      </c>
      <c r="X378" s="383"/>
      <c r="Y378" s="90"/>
      <c r="Z378" s="45"/>
      <c r="AA378" s="17"/>
      <c r="AB378" s="89"/>
      <c r="AC378" s="17"/>
      <c r="AD378" s="17"/>
      <c r="AF378" s="17"/>
    </row>
    <row r="379" spans="1:32" ht="14.25" customHeight="1">
      <c r="A379" s="429" t="s">
        <v>515</v>
      </c>
      <c r="B379" s="439" t="s">
        <v>525</v>
      </c>
      <c r="C379" s="392" t="s">
        <v>3061</v>
      </c>
      <c r="D379" s="423" t="s">
        <v>3233</v>
      </c>
      <c r="E379" s="913" t="s">
        <v>2808</v>
      </c>
      <c r="F379" s="674" t="s">
        <v>3019</v>
      </c>
      <c r="G379" s="674" t="s">
        <v>3062</v>
      </c>
      <c r="H379" s="420"/>
      <c r="I379" s="422"/>
      <c r="J379" s="420" t="s">
        <v>43</v>
      </c>
      <c r="K379" s="420" t="s">
        <v>43</v>
      </c>
      <c r="L379" s="420" t="s">
        <v>572</v>
      </c>
      <c r="M379" s="420" t="s">
        <v>44</v>
      </c>
      <c r="N379" s="420"/>
      <c r="O379" s="420"/>
      <c r="P379" s="420" t="s">
        <v>573</v>
      </c>
      <c r="Q379" s="420" t="s">
        <v>3042</v>
      </c>
      <c r="R379" s="432">
        <v>102</v>
      </c>
      <c r="S379" s="425">
        <v>328</v>
      </c>
      <c r="T379" s="437">
        <v>45009</v>
      </c>
      <c r="U379" s="426" t="s">
        <v>3043</v>
      </c>
      <c r="V379" s="420"/>
      <c r="W379" s="970" t="s">
        <v>3063</v>
      </c>
      <c r="X379" s="423"/>
      <c r="Y379" s="90"/>
      <c r="Z379" s="45"/>
      <c r="AA379" s="17"/>
      <c r="AB379" s="89"/>
      <c r="AC379" s="17"/>
      <c r="AD379" s="17"/>
      <c r="AF379" s="17"/>
    </row>
    <row r="380" spans="1:32" ht="14.25" customHeight="1">
      <c r="A380" s="429" t="s">
        <v>515</v>
      </c>
      <c r="B380" s="428" t="s">
        <v>525</v>
      </c>
      <c r="C380" s="429" t="s">
        <v>2972</v>
      </c>
      <c r="D380" s="423" t="s">
        <v>3233</v>
      </c>
      <c r="E380" s="420" t="s">
        <v>2994</v>
      </c>
      <c r="F380" s="420" t="s">
        <v>3015</v>
      </c>
      <c r="G380" s="420"/>
      <c r="H380" s="420"/>
      <c r="I380" s="969" t="s">
        <v>3057</v>
      </c>
      <c r="J380" s="420" t="s">
        <v>43</v>
      </c>
      <c r="K380" s="420" t="s">
        <v>43</v>
      </c>
      <c r="L380" s="420" t="s">
        <v>572</v>
      </c>
      <c r="M380" s="420" t="s">
        <v>44</v>
      </c>
      <c r="N380" s="420"/>
      <c r="O380" s="420" t="s">
        <v>3041</v>
      </c>
      <c r="P380" s="420" t="s">
        <v>573</v>
      </c>
      <c r="Q380" s="420" t="s">
        <v>3042</v>
      </c>
      <c r="R380" s="432">
        <v>28</v>
      </c>
      <c r="S380" s="425">
        <v>87</v>
      </c>
      <c r="T380" s="437">
        <v>45009</v>
      </c>
      <c r="U380" s="426" t="s">
        <v>3043</v>
      </c>
      <c r="V380" s="424"/>
      <c r="W380" s="439" t="s">
        <v>3044</v>
      </c>
      <c r="X380" s="423"/>
      <c r="Y380" s="90"/>
      <c r="Z380" s="45"/>
      <c r="AA380" s="17"/>
      <c r="AB380" s="89"/>
      <c r="AC380" s="17"/>
      <c r="AD380" s="17"/>
      <c r="AF380" s="17"/>
    </row>
    <row r="381" spans="1:32" ht="14.25" customHeight="1">
      <c r="A381" s="429" t="s">
        <v>515</v>
      </c>
      <c r="B381" s="428" t="s">
        <v>525</v>
      </c>
      <c r="C381" s="429" t="s">
        <v>2644</v>
      </c>
      <c r="D381" s="423" t="s">
        <v>3233</v>
      </c>
      <c r="E381" s="420" t="s">
        <v>2829</v>
      </c>
      <c r="F381" s="422" t="s">
        <v>2665</v>
      </c>
      <c r="G381" s="420" t="s">
        <v>2666</v>
      </c>
      <c r="H381" s="420"/>
      <c r="I381" s="436"/>
      <c r="J381" s="420" t="s">
        <v>43</v>
      </c>
      <c r="K381" s="420" t="s">
        <v>43</v>
      </c>
      <c r="L381" s="420" t="s">
        <v>572</v>
      </c>
      <c r="M381" s="420" t="s">
        <v>44</v>
      </c>
      <c r="N381" s="420">
        <v>23.963060379028299</v>
      </c>
      <c r="O381" s="420">
        <v>98.127189636230497</v>
      </c>
      <c r="P381" s="420" t="s">
        <v>584</v>
      </c>
      <c r="Q381" s="420" t="s">
        <v>2650</v>
      </c>
      <c r="R381" s="432">
        <v>19</v>
      </c>
      <c r="S381" s="425">
        <v>60</v>
      </c>
      <c r="T381" s="437">
        <v>44544</v>
      </c>
      <c r="U381" s="426"/>
      <c r="V381" s="420"/>
      <c r="W381" s="439" t="s">
        <v>2667</v>
      </c>
      <c r="X381" s="420" t="s">
        <v>2664</v>
      </c>
      <c r="Y381" s="90"/>
      <c r="Z381" s="45"/>
      <c r="AA381" s="17"/>
      <c r="AB381" s="89"/>
      <c r="AC381" s="17"/>
      <c r="AD381" s="17"/>
      <c r="AF381" s="17"/>
    </row>
    <row r="382" spans="1:32" ht="14.25" customHeight="1">
      <c r="A382" s="429" t="s">
        <v>515</v>
      </c>
      <c r="B382" s="428" t="s">
        <v>525</v>
      </c>
      <c r="C382" s="429" t="s">
        <v>3239</v>
      </c>
      <c r="D382" s="423" t="s">
        <v>3235</v>
      </c>
      <c r="E382" s="425" t="s">
        <v>3244</v>
      </c>
      <c r="F382" s="425" t="s">
        <v>3015</v>
      </c>
      <c r="G382" s="420" t="s">
        <v>3248</v>
      </c>
      <c r="H382" s="420"/>
      <c r="I382" s="436"/>
      <c r="J382" s="420" t="s">
        <v>43</v>
      </c>
      <c r="K382" s="420" t="s">
        <v>43</v>
      </c>
      <c r="L382" s="420" t="s">
        <v>587</v>
      </c>
      <c r="M382" s="420"/>
      <c r="N382" s="420"/>
      <c r="O382" s="420"/>
      <c r="P382" s="420" t="s">
        <v>573</v>
      </c>
      <c r="Q382" s="420" t="s">
        <v>3249</v>
      </c>
      <c r="R382" s="432">
        <v>35</v>
      </c>
      <c r="S382" s="424">
        <v>136</v>
      </c>
      <c r="T382" s="437">
        <v>45077</v>
      </c>
      <c r="U382" s="426"/>
      <c r="V382" s="420"/>
      <c r="W382" s="439" t="s">
        <v>3251</v>
      </c>
      <c r="X382" s="423"/>
      <c r="Y382" s="90"/>
      <c r="Z382" s="45"/>
      <c r="AA382" s="17"/>
      <c r="AB382" s="89"/>
      <c r="AC382" s="17"/>
      <c r="AD382" s="17"/>
      <c r="AF382" s="17"/>
    </row>
    <row r="383" spans="1:32" ht="14.25" customHeight="1">
      <c r="A383" s="429" t="s">
        <v>515</v>
      </c>
      <c r="B383" s="428" t="s">
        <v>525</v>
      </c>
      <c r="C383" s="429" t="s">
        <v>719</v>
      </c>
      <c r="D383" s="423" t="s">
        <v>2241</v>
      </c>
      <c r="E383" s="420" t="s">
        <v>1102</v>
      </c>
      <c r="F383" s="420"/>
      <c r="G383" s="420"/>
      <c r="H383" s="420" t="s">
        <v>41</v>
      </c>
      <c r="I383" s="436" t="s">
        <v>141</v>
      </c>
      <c r="J383" s="420" t="s">
        <v>43</v>
      </c>
      <c r="K383" s="420" t="s">
        <v>43</v>
      </c>
      <c r="L383" s="420" t="s">
        <v>43</v>
      </c>
      <c r="M383" s="420" t="s">
        <v>589</v>
      </c>
      <c r="N383" s="420">
        <v>24.101320999999999</v>
      </c>
      <c r="O383" s="420">
        <v>98.320651999999995</v>
      </c>
      <c r="P383" s="420" t="s">
        <v>573</v>
      </c>
      <c r="Q383" s="420"/>
      <c r="R383" s="432">
        <v>0</v>
      </c>
      <c r="S383" s="425">
        <v>0</v>
      </c>
      <c r="T383" s="437"/>
      <c r="U383" s="426"/>
      <c r="V383" s="420" t="s">
        <v>720</v>
      </c>
      <c r="W383" s="768" t="s">
        <v>1688</v>
      </c>
      <c r="X383" s="423"/>
      <c r="Y383" s="90"/>
      <c r="Z383" s="45"/>
      <c r="AA383" s="17"/>
      <c r="AB383" s="89"/>
      <c r="AC383" s="17"/>
      <c r="AD383" s="17"/>
      <c r="AF383" s="17"/>
    </row>
    <row r="384" spans="1:32" ht="14.25" customHeight="1">
      <c r="A384" s="429" t="s">
        <v>515</v>
      </c>
      <c r="B384" s="428" t="s">
        <v>525</v>
      </c>
      <c r="C384" s="429" t="s">
        <v>718</v>
      </c>
      <c r="D384" s="423" t="s">
        <v>1295</v>
      </c>
      <c r="E384" s="420" t="s">
        <v>1099</v>
      </c>
      <c r="F384" s="420" t="s">
        <v>718</v>
      </c>
      <c r="G384" s="420" t="s">
        <v>718</v>
      </c>
      <c r="H384" s="420"/>
      <c r="I384" s="436">
        <v>0</v>
      </c>
      <c r="J384" s="420" t="s">
        <v>43</v>
      </c>
      <c r="K384" s="420" t="s">
        <v>43</v>
      </c>
      <c r="L384" s="420" t="s">
        <v>572</v>
      </c>
      <c r="M384" s="420" t="s">
        <v>589</v>
      </c>
      <c r="N384" s="420">
        <v>24.008452999999999</v>
      </c>
      <c r="O384" s="420">
        <v>98.054946000000001</v>
      </c>
      <c r="P384" s="420" t="s">
        <v>573</v>
      </c>
      <c r="Q384" s="420" t="s">
        <v>591</v>
      </c>
      <c r="R384" s="432">
        <v>0</v>
      </c>
      <c r="S384" s="425">
        <v>0</v>
      </c>
      <c r="T384" s="437"/>
      <c r="U384" s="426"/>
      <c r="V384" s="422" t="s">
        <v>718</v>
      </c>
      <c r="W384" s="768" t="s">
        <v>1689</v>
      </c>
      <c r="X384" s="423"/>
      <c r="Y384" s="90"/>
      <c r="Z384" s="45"/>
      <c r="AA384" s="17"/>
      <c r="AB384" s="89"/>
      <c r="AC384" s="17"/>
      <c r="AD384" s="17"/>
      <c r="AF384" s="17"/>
    </row>
    <row r="385" spans="1:32" ht="14.25" customHeight="1">
      <c r="A385" s="429" t="s">
        <v>515</v>
      </c>
      <c r="B385" s="428" t="s">
        <v>525</v>
      </c>
      <c r="C385" s="429" t="s">
        <v>550</v>
      </c>
      <c r="D385" s="423" t="s">
        <v>2241</v>
      </c>
      <c r="E385" s="420" t="s">
        <v>1097</v>
      </c>
      <c r="F385" s="420" t="s">
        <v>1306</v>
      </c>
      <c r="G385" s="420" t="s">
        <v>1308</v>
      </c>
      <c r="H385" s="420"/>
      <c r="I385" s="436" t="s">
        <v>1614</v>
      </c>
      <c r="J385" s="420" t="s">
        <v>43</v>
      </c>
      <c r="K385" s="420" t="s">
        <v>43</v>
      </c>
      <c r="L385" s="420" t="s">
        <v>572</v>
      </c>
      <c r="M385" s="420" t="s">
        <v>44</v>
      </c>
      <c r="N385" s="420">
        <v>24.006319999999999</v>
      </c>
      <c r="O385" s="420">
        <v>97.909400000000005</v>
      </c>
      <c r="P385" s="420" t="s">
        <v>573</v>
      </c>
      <c r="Q385" s="420" t="s">
        <v>591</v>
      </c>
      <c r="R385" s="432"/>
      <c r="S385" s="425"/>
      <c r="T385" s="437"/>
      <c r="U385" s="426"/>
      <c r="V385" s="420" t="s">
        <v>716</v>
      </c>
      <c r="W385" s="768" t="s">
        <v>1690</v>
      </c>
      <c r="X385" s="423"/>
      <c r="Y385" s="90"/>
      <c r="Z385" s="45"/>
      <c r="AA385" s="17"/>
      <c r="AB385" s="89"/>
      <c r="AC385" s="17"/>
      <c r="AD385" s="17"/>
      <c r="AF385" s="17"/>
    </row>
    <row r="386" spans="1:32" ht="14.25" customHeight="1">
      <c r="A386" s="429" t="s">
        <v>515</v>
      </c>
      <c r="B386" s="428" t="s">
        <v>525</v>
      </c>
      <c r="C386" s="429" t="s">
        <v>526</v>
      </c>
      <c r="D386" s="423" t="s">
        <v>2588</v>
      </c>
      <c r="E386" s="420" t="s">
        <v>1098</v>
      </c>
      <c r="F386" s="420" t="s">
        <v>1306</v>
      </c>
      <c r="G386" s="420" t="s">
        <v>1308</v>
      </c>
      <c r="H386" s="420" t="s">
        <v>41</v>
      </c>
      <c r="I386" s="436" t="s">
        <v>1036</v>
      </c>
      <c r="J386" s="420" t="s">
        <v>43</v>
      </c>
      <c r="K386" s="420" t="s">
        <v>43</v>
      </c>
      <c r="L386" s="420" t="s">
        <v>572</v>
      </c>
      <c r="M386" s="420" t="s">
        <v>44</v>
      </c>
      <c r="N386" s="420">
        <v>24.006789000000001</v>
      </c>
      <c r="O386" s="420">
        <v>97.911647000000002</v>
      </c>
      <c r="P386" s="420" t="s">
        <v>573</v>
      </c>
      <c r="Q386" s="420" t="s">
        <v>591</v>
      </c>
      <c r="R386" s="432"/>
      <c r="S386" s="425"/>
      <c r="T386" s="437"/>
      <c r="U386" s="426"/>
      <c r="V386" s="420" t="s">
        <v>717</v>
      </c>
      <c r="W386" s="768" t="s">
        <v>1691</v>
      </c>
      <c r="X386" s="423"/>
      <c r="Y386" s="90"/>
      <c r="Z386" s="45"/>
      <c r="AA386" s="17"/>
      <c r="AB386" s="89"/>
      <c r="AC386" s="17"/>
      <c r="AD386" s="17"/>
      <c r="AF386" s="17"/>
    </row>
    <row r="387" spans="1:32" ht="14.25" customHeight="1">
      <c r="A387" s="429" t="s">
        <v>515</v>
      </c>
      <c r="B387" s="428" t="s">
        <v>525</v>
      </c>
      <c r="C387" s="446" t="s">
        <v>530</v>
      </c>
      <c r="D387" s="383" t="s">
        <v>1295</v>
      </c>
      <c r="E387" s="420" t="s">
        <v>1040</v>
      </c>
      <c r="F387" s="420" t="s">
        <v>1296</v>
      </c>
      <c r="G387" s="420" t="s">
        <v>1297</v>
      </c>
      <c r="H387" s="420"/>
      <c r="I387" s="436">
        <v>0</v>
      </c>
      <c r="J387" s="420" t="s">
        <v>43</v>
      </c>
      <c r="K387" s="420" t="s">
        <v>43</v>
      </c>
      <c r="L387" s="420" t="s">
        <v>572</v>
      </c>
      <c r="M387" s="420" t="s">
        <v>589</v>
      </c>
      <c r="N387" s="420">
        <v>23.933098999999999</v>
      </c>
      <c r="O387" s="420">
        <v>98.139397000000002</v>
      </c>
      <c r="P387" s="420" t="s">
        <v>573</v>
      </c>
      <c r="Q387" s="420" t="s">
        <v>591</v>
      </c>
      <c r="R387" s="424"/>
      <c r="S387" s="424"/>
      <c r="T387" s="437"/>
      <c r="U387" s="426"/>
      <c r="V387" s="420" t="s">
        <v>530</v>
      </c>
      <c r="W387" s="768" t="s">
        <v>1692</v>
      </c>
      <c r="X387" s="383"/>
      <c r="Y387" s="90"/>
      <c r="Z387" s="45"/>
      <c r="AA387" s="17"/>
      <c r="AB387" s="89"/>
      <c r="AC387" s="17"/>
      <c r="AD387" s="17"/>
      <c r="AF387" s="17"/>
    </row>
    <row r="388" spans="1:32" ht="14.25" customHeight="1">
      <c r="A388" s="429" t="s">
        <v>515</v>
      </c>
      <c r="B388" s="428" t="s">
        <v>525</v>
      </c>
      <c r="C388" s="429" t="s">
        <v>712</v>
      </c>
      <c r="D388" s="423" t="s">
        <v>1295</v>
      </c>
      <c r="E388" s="420" t="s">
        <v>1093</v>
      </c>
      <c r="F388" s="420" t="s">
        <v>1322</v>
      </c>
      <c r="G388" s="420" t="s">
        <v>1323</v>
      </c>
      <c r="H388" s="420"/>
      <c r="I388" s="436">
        <v>0</v>
      </c>
      <c r="J388" s="420" t="s">
        <v>43</v>
      </c>
      <c r="K388" s="420" t="s">
        <v>43</v>
      </c>
      <c r="L388" s="420" t="s">
        <v>572</v>
      </c>
      <c r="M388" s="420" t="s">
        <v>44</v>
      </c>
      <c r="N388" s="420">
        <v>23.978088</v>
      </c>
      <c r="O388" s="420">
        <v>98.129380999999995</v>
      </c>
      <c r="P388" s="420" t="s">
        <v>573</v>
      </c>
      <c r="Q388" s="420" t="s">
        <v>574</v>
      </c>
      <c r="R388" s="432">
        <v>0</v>
      </c>
      <c r="S388" s="425">
        <v>0</v>
      </c>
      <c r="T388" s="437">
        <v>42836</v>
      </c>
      <c r="U388" s="426"/>
      <c r="V388" s="420"/>
      <c r="W388" s="768" t="s">
        <v>1687</v>
      </c>
      <c r="X388" s="423"/>
      <c r="Y388" s="90"/>
      <c r="Z388" s="45"/>
      <c r="AA388" s="17"/>
      <c r="AB388" s="89"/>
      <c r="AC388" s="17"/>
      <c r="AD388" s="17"/>
      <c r="AF388" s="17"/>
    </row>
    <row r="389" spans="1:32" ht="14.25" customHeight="1">
      <c r="A389" s="429" t="s">
        <v>515</v>
      </c>
      <c r="B389" s="428" t="s">
        <v>525</v>
      </c>
      <c r="C389" s="429" t="s">
        <v>593</v>
      </c>
      <c r="D389" s="383" t="s">
        <v>1295</v>
      </c>
      <c r="E389" s="420" t="s">
        <v>1042</v>
      </c>
      <c r="F389" s="420" t="s">
        <v>1312</v>
      </c>
      <c r="G389" s="420" t="s">
        <v>1313</v>
      </c>
      <c r="H389" s="420"/>
      <c r="I389" s="436">
        <v>0</v>
      </c>
      <c r="J389" s="420" t="s">
        <v>43</v>
      </c>
      <c r="K389" s="420" t="s">
        <v>43</v>
      </c>
      <c r="L389" s="420" t="s">
        <v>572</v>
      </c>
      <c r="M389" s="420" t="s">
        <v>44</v>
      </c>
      <c r="N389" s="420"/>
      <c r="O389" s="420"/>
      <c r="P389" s="420" t="s">
        <v>573</v>
      </c>
      <c r="Q389" s="420" t="s">
        <v>574</v>
      </c>
      <c r="R389" s="424">
        <v>0</v>
      </c>
      <c r="S389" s="424">
        <v>0</v>
      </c>
      <c r="T389" s="437">
        <v>42832</v>
      </c>
      <c r="U389" s="426"/>
      <c r="V389" s="420"/>
      <c r="W389" s="768" t="s">
        <v>1686</v>
      </c>
      <c r="X389" s="383"/>
      <c r="Y389" s="90"/>
      <c r="Z389" s="45"/>
      <c r="AA389" s="17"/>
      <c r="AB389" s="89"/>
      <c r="AC389" s="17"/>
      <c r="AD389" s="17"/>
      <c r="AF389" s="17"/>
    </row>
    <row r="390" spans="1:32" ht="14.25" customHeight="1">
      <c r="A390" s="429" t="s">
        <v>515</v>
      </c>
      <c r="B390" s="439" t="s">
        <v>525</v>
      </c>
      <c r="C390" s="392" t="s">
        <v>601</v>
      </c>
      <c r="D390" s="383" t="s">
        <v>1295</v>
      </c>
      <c r="E390" s="420" t="s">
        <v>1047</v>
      </c>
      <c r="F390" s="420" t="s">
        <v>1306</v>
      </c>
      <c r="G390" s="420" t="s">
        <v>1308</v>
      </c>
      <c r="H390" s="420"/>
      <c r="I390" s="436">
        <v>0</v>
      </c>
      <c r="J390" s="420" t="s">
        <v>43</v>
      </c>
      <c r="K390" s="420" t="s">
        <v>43</v>
      </c>
      <c r="L390" s="420" t="s">
        <v>572</v>
      </c>
      <c r="M390" s="420" t="s">
        <v>44</v>
      </c>
      <c r="N390" s="420"/>
      <c r="O390" s="420"/>
      <c r="P390" s="420" t="s">
        <v>573</v>
      </c>
      <c r="Q390" s="420" t="s">
        <v>574</v>
      </c>
      <c r="R390" s="424">
        <v>0</v>
      </c>
      <c r="S390" s="424">
        <v>0</v>
      </c>
      <c r="T390" s="437">
        <v>42832</v>
      </c>
      <c r="U390" s="426"/>
      <c r="V390" s="420"/>
      <c r="W390" s="916" t="s">
        <v>1686</v>
      </c>
      <c r="X390" s="383"/>
      <c r="Y390" s="90"/>
      <c r="Z390" s="45"/>
      <c r="AA390" s="17"/>
      <c r="AB390" s="89"/>
      <c r="AC390" s="17"/>
      <c r="AD390" s="17"/>
      <c r="AF390" s="17"/>
    </row>
    <row r="391" spans="1:32" ht="14.25" customHeight="1">
      <c r="A391" s="425" t="s">
        <v>515</v>
      </c>
      <c r="B391" s="439" t="s">
        <v>525</v>
      </c>
      <c r="C391" s="392" t="s">
        <v>2847</v>
      </c>
      <c r="D391" s="423" t="s">
        <v>3235</v>
      </c>
      <c r="E391" s="420" t="s">
        <v>2841</v>
      </c>
      <c r="F391" s="420" t="s">
        <v>1306</v>
      </c>
      <c r="G391" s="420"/>
      <c r="H391" s="420"/>
      <c r="I391" s="422"/>
      <c r="J391" s="420" t="s">
        <v>43</v>
      </c>
      <c r="K391" s="420" t="s">
        <v>43</v>
      </c>
      <c r="L391" s="420" t="s">
        <v>587</v>
      </c>
      <c r="M391" s="420" t="s">
        <v>44</v>
      </c>
      <c r="N391" s="420"/>
      <c r="O391" s="420"/>
      <c r="P391" s="420" t="s">
        <v>573</v>
      </c>
      <c r="Q391" s="420" t="s">
        <v>2859</v>
      </c>
      <c r="R391" s="432">
        <v>85</v>
      </c>
      <c r="S391" s="425">
        <v>403</v>
      </c>
      <c r="T391" s="437">
        <v>44734</v>
      </c>
      <c r="U391" s="426"/>
      <c r="V391" s="424"/>
      <c r="W391" s="428" t="s">
        <v>2858</v>
      </c>
      <c r="X391" s="423"/>
      <c r="Y391" s="90"/>
      <c r="Z391" s="45"/>
      <c r="AA391" s="17"/>
      <c r="AB391" s="89"/>
      <c r="AC391" s="17"/>
      <c r="AD391" s="17"/>
      <c r="AF391" s="17"/>
    </row>
    <row r="392" spans="1:32" ht="14.25" customHeight="1">
      <c r="A392" s="429" t="s">
        <v>515</v>
      </c>
      <c r="B392" s="428" t="s">
        <v>525</v>
      </c>
      <c r="C392" s="429" t="s">
        <v>3238</v>
      </c>
      <c r="D392" s="423" t="s">
        <v>3235</v>
      </c>
      <c r="E392" s="425" t="s">
        <v>3243</v>
      </c>
      <c r="F392" s="425" t="s">
        <v>3015</v>
      </c>
      <c r="G392" s="420" t="s">
        <v>2729</v>
      </c>
      <c r="H392" s="420"/>
      <c r="I392" s="420"/>
      <c r="J392" s="420" t="s">
        <v>43</v>
      </c>
      <c r="K392" s="420" t="s">
        <v>43</v>
      </c>
      <c r="L392" s="420" t="s">
        <v>587</v>
      </c>
      <c r="M392" s="420"/>
      <c r="N392" s="420"/>
      <c r="O392" s="420"/>
      <c r="P392" s="420" t="s">
        <v>573</v>
      </c>
      <c r="Q392" s="420" t="s">
        <v>3249</v>
      </c>
      <c r="R392" s="432">
        <v>30</v>
      </c>
      <c r="S392" s="424">
        <v>127</v>
      </c>
      <c r="T392" s="437">
        <v>45077</v>
      </c>
      <c r="U392" s="426"/>
      <c r="V392" s="420"/>
      <c r="W392" s="424" t="s">
        <v>3251</v>
      </c>
      <c r="X392" s="423"/>
      <c r="Y392" s="90"/>
      <c r="Z392" s="45"/>
      <c r="AA392" s="17"/>
      <c r="AB392" s="89"/>
      <c r="AC392" s="17"/>
      <c r="AD392" s="17"/>
      <c r="AF392" s="17"/>
    </row>
    <row r="393" spans="1:32" ht="14.25" customHeight="1">
      <c r="A393" s="429" t="s">
        <v>515</v>
      </c>
      <c r="B393" s="428" t="s">
        <v>525</v>
      </c>
      <c r="C393" s="429" t="s">
        <v>2977</v>
      </c>
      <c r="D393" s="423" t="s">
        <v>3233</v>
      </c>
      <c r="E393" s="425" t="s">
        <v>2999</v>
      </c>
      <c r="F393" s="420" t="s">
        <v>3020</v>
      </c>
      <c r="G393" s="420" t="s">
        <v>2977</v>
      </c>
      <c r="H393" s="420"/>
      <c r="I393" s="422" t="s">
        <v>3057</v>
      </c>
      <c r="J393" s="420" t="s">
        <v>43</v>
      </c>
      <c r="K393" s="420" t="s">
        <v>43</v>
      </c>
      <c r="L393" s="420" t="s">
        <v>572</v>
      </c>
      <c r="M393" s="420" t="s">
        <v>44</v>
      </c>
      <c r="N393" s="420"/>
      <c r="O393" s="420" t="s">
        <v>3041</v>
      </c>
      <c r="P393" s="420" t="s">
        <v>573</v>
      </c>
      <c r="Q393" s="420" t="s">
        <v>3042</v>
      </c>
      <c r="R393" s="432">
        <v>33</v>
      </c>
      <c r="S393" s="425">
        <v>130</v>
      </c>
      <c r="T393" s="437">
        <v>45009</v>
      </c>
      <c r="U393" s="426" t="s">
        <v>3043</v>
      </c>
      <c r="V393" s="420"/>
      <c r="W393" s="428" t="s">
        <v>3046</v>
      </c>
      <c r="X393" s="423"/>
      <c r="Y393" s="90"/>
      <c r="Z393" s="45"/>
      <c r="AA393" s="17"/>
      <c r="AB393" s="89"/>
      <c r="AC393" s="17"/>
      <c r="AD393" s="17"/>
      <c r="AF393" s="17"/>
    </row>
    <row r="394" spans="1:32" ht="14.25" customHeight="1">
      <c r="A394" s="429" t="s">
        <v>515</v>
      </c>
      <c r="B394" s="428" t="s">
        <v>525</v>
      </c>
      <c r="C394" s="429" t="s">
        <v>603</v>
      </c>
      <c r="D394" s="383" t="s">
        <v>1295</v>
      </c>
      <c r="E394" s="420" t="s">
        <v>1049</v>
      </c>
      <c r="F394" s="420">
        <v>0</v>
      </c>
      <c r="G394" s="420">
        <v>0</v>
      </c>
      <c r="H394" s="420"/>
      <c r="I394" s="422">
        <v>0</v>
      </c>
      <c r="J394" s="420" t="s">
        <v>43</v>
      </c>
      <c r="K394" s="420" t="s">
        <v>43</v>
      </c>
      <c r="L394" s="420" t="s">
        <v>572</v>
      </c>
      <c r="M394" s="420" t="s">
        <v>44</v>
      </c>
      <c r="N394" s="420"/>
      <c r="O394" s="420"/>
      <c r="P394" s="420" t="s">
        <v>573</v>
      </c>
      <c r="Q394" s="420" t="s">
        <v>574</v>
      </c>
      <c r="R394" s="424">
        <v>0</v>
      </c>
      <c r="S394" s="424">
        <v>0</v>
      </c>
      <c r="T394" s="437">
        <v>42832</v>
      </c>
      <c r="U394" s="426"/>
      <c r="V394" s="420"/>
      <c r="W394" s="916" t="s">
        <v>1686</v>
      </c>
      <c r="X394" s="383"/>
      <c r="Y394" s="90"/>
      <c r="Z394" s="45"/>
      <c r="AA394" s="17"/>
      <c r="AB394" s="89"/>
      <c r="AC394" s="17"/>
      <c r="AD394" s="17"/>
      <c r="AF394" s="17"/>
    </row>
    <row r="395" spans="1:32" ht="14.25" customHeight="1">
      <c r="A395" s="429" t="s">
        <v>515</v>
      </c>
      <c r="B395" s="428" t="s">
        <v>516</v>
      </c>
      <c r="C395" s="967" t="s">
        <v>2813</v>
      </c>
      <c r="D395" s="423" t="s">
        <v>2835</v>
      </c>
      <c r="E395" s="420" t="s">
        <v>2830</v>
      </c>
      <c r="F395" s="420" t="s">
        <v>1317</v>
      </c>
      <c r="G395" s="420" t="s">
        <v>1317</v>
      </c>
      <c r="H395" s="420"/>
      <c r="I395" s="422" t="s">
        <v>1614</v>
      </c>
      <c r="J395" s="420" t="s">
        <v>617</v>
      </c>
      <c r="K395" s="420" t="s">
        <v>617</v>
      </c>
      <c r="L395" s="420" t="s">
        <v>572</v>
      </c>
      <c r="M395" s="420" t="s">
        <v>44</v>
      </c>
      <c r="N395" s="420">
        <v>23.611999999999998</v>
      </c>
      <c r="O395" s="420">
        <v>97.506</v>
      </c>
      <c r="P395" s="420" t="s">
        <v>573</v>
      </c>
      <c r="Q395" s="420" t="s">
        <v>574</v>
      </c>
      <c r="R395" s="432"/>
      <c r="S395" s="425"/>
      <c r="T395" s="437"/>
      <c r="U395" s="426" t="s">
        <v>699</v>
      </c>
      <c r="V395" s="420"/>
      <c r="W395" s="359" t="s">
        <v>1693</v>
      </c>
      <c r="X395" s="420" t="s">
        <v>1071</v>
      </c>
      <c r="Y395" s="90"/>
      <c r="Z395" s="45"/>
      <c r="AA395" s="17"/>
      <c r="AB395" s="89"/>
      <c r="AC395" s="17"/>
      <c r="AD395" s="17"/>
      <c r="AF395" s="17"/>
    </row>
    <row r="396" spans="1:32" ht="14.25" customHeight="1">
      <c r="A396" s="392" t="s">
        <v>515</v>
      </c>
      <c r="B396" s="439" t="s">
        <v>516</v>
      </c>
      <c r="C396" s="392" t="s">
        <v>700</v>
      </c>
      <c r="D396" s="423" t="s">
        <v>1295</v>
      </c>
      <c r="E396" s="420" t="s">
        <v>1072</v>
      </c>
      <c r="F396" s="420" t="s">
        <v>1317</v>
      </c>
      <c r="G396" s="420" t="s">
        <v>1317</v>
      </c>
      <c r="H396" s="420"/>
      <c r="I396" s="420">
        <v>0</v>
      </c>
      <c r="J396" s="420" t="s">
        <v>43</v>
      </c>
      <c r="K396" s="420" t="s">
        <v>43</v>
      </c>
      <c r="L396" s="420" t="s">
        <v>572</v>
      </c>
      <c r="M396" s="420" t="s">
        <v>44</v>
      </c>
      <c r="N396" s="420">
        <v>23.611999999999998</v>
      </c>
      <c r="O396" s="420">
        <v>97.504999999999995</v>
      </c>
      <c r="P396" s="420" t="s">
        <v>573</v>
      </c>
      <c r="Q396" s="420" t="s">
        <v>574</v>
      </c>
      <c r="R396" s="432">
        <v>0</v>
      </c>
      <c r="S396" s="425">
        <v>0</v>
      </c>
      <c r="T396" s="437"/>
      <c r="U396" s="426"/>
      <c r="V396" s="420"/>
      <c r="W396" s="428" t="s">
        <v>1694</v>
      </c>
      <c r="X396" s="423"/>
      <c r="Y396" s="90"/>
      <c r="Z396" s="45"/>
      <c r="AA396" s="17"/>
      <c r="AB396" s="89"/>
      <c r="AC396" s="17"/>
      <c r="AD396" s="17"/>
      <c r="AF396" s="17"/>
    </row>
    <row r="397" spans="1:32" ht="14.25" customHeight="1">
      <c r="A397" s="392" t="s">
        <v>515</v>
      </c>
      <c r="B397" s="439" t="s">
        <v>516</v>
      </c>
      <c r="C397" s="392" t="s">
        <v>527</v>
      </c>
      <c r="D397" s="423" t="s">
        <v>3235</v>
      </c>
      <c r="E397" s="420" t="s">
        <v>1077</v>
      </c>
      <c r="F397" s="420" t="s">
        <v>1310</v>
      </c>
      <c r="G397" s="420" t="s">
        <v>1310</v>
      </c>
      <c r="H397" s="420" t="s">
        <v>41</v>
      </c>
      <c r="I397" s="422" t="s">
        <v>2113</v>
      </c>
      <c r="J397" s="420" t="s">
        <v>43</v>
      </c>
      <c r="K397" s="420" t="s">
        <v>43</v>
      </c>
      <c r="L397" s="420" t="s">
        <v>43</v>
      </c>
      <c r="M397" s="420" t="s">
        <v>44</v>
      </c>
      <c r="N397" s="420">
        <v>23.821380000000001</v>
      </c>
      <c r="O397" s="420">
        <v>97.681970000000007</v>
      </c>
      <c r="P397" s="420" t="s">
        <v>573</v>
      </c>
      <c r="Q397" s="420" t="s">
        <v>591</v>
      </c>
      <c r="R397" s="432">
        <v>89</v>
      </c>
      <c r="S397" s="425">
        <v>407</v>
      </c>
      <c r="T397" s="437"/>
      <c r="U397" s="426"/>
      <c r="V397" s="420" t="s">
        <v>527</v>
      </c>
      <c r="W397" s="916" t="s">
        <v>1695</v>
      </c>
      <c r="X397" s="423"/>
      <c r="Y397" s="44"/>
      <c r="Z397" s="43"/>
      <c r="AA397"/>
      <c r="AB397" s="90"/>
      <c r="AC397" s="45"/>
      <c r="AD397" s="17"/>
      <c r="AE397" s="89"/>
      <c r="AF397" s="17"/>
    </row>
    <row r="398" spans="1:32" ht="14.25" customHeight="1">
      <c r="A398" s="392" t="s">
        <v>515</v>
      </c>
      <c r="B398" s="439" t="s">
        <v>516</v>
      </c>
      <c r="C398" s="392" t="s">
        <v>562</v>
      </c>
      <c r="D398" s="423" t="s">
        <v>3235</v>
      </c>
      <c r="E398" s="420" t="s">
        <v>1080</v>
      </c>
      <c r="F398" s="420" t="s">
        <v>1310</v>
      </c>
      <c r="G398" s="420" t="s">
        <v>1310</v>
      </c>
      <c r="H398" s="420" t="s">
        <v>41</v>
      </c>
      <c r="I398" s="422" t="s">
        <v>2113</v>
      </c>
      <c r="J398" s="420" t="s">
        <v>43</v>
      </c>
      <c r="K398" s="420" t="s">
        <v>43</v>
      </c>
      <c r="L398" s="420" t="s">
        <v>43</v>
      </c>
      <c r="M398" s="420" t="s">
        <v>44</v>
      </c>
      <c r="N398" s="420">
        <v>23.828520000000001</v>
      </c>
      <c r="O398" s="436">
        <v>97.669557999999995</v>
      </c>
      <c r="P398" s="420" t="s">
        <v>573</v>
      </c>
      <c r="Q398" s="420" t="s">
        <v>591</v>
      </c>
      <c r="R398" s="432">
        <v>51</v>
      </c>
      <c r="S398" s="425">
        <v>250</v>
      </c>
      <c r="T398" s="437"/>
      <c r="U398" s="432"/>
      <c r="V398" s="420" t="s">
        <v>562</v>
      </c>
      <c r="W398" s="428" t="s">
        <v>1696</v>
      </c>
      <c r="X398" s="423"/>
      <c r="Y398" s="44"/>
      <c r="Z398" s="43"/>
      <c r="AA398"/>
      <c r="AB398" s="90"/>
      <c r="AC398" s="45"/>
      <c r="AD398" s="17"/>
      <c r="AE398" s="89"/>
      <c r="AF398" s="17"/>
    </row>
    <row r="399" spans="1:32" ht="14.25" customHeight="1">
      <c r="A399" s="392" t="s">
        <v>515</v>
      </c>
      <c r="B399" s="439" t="s">
        <v>516</v>
      </c>
      <c r="C399" s="392" t="s">
        <v>551</v>
      </c>
      <c r="D399" s="423" t="s">
        <v>2702</v>
      </c>
      <c r="E399" s="420" t="s">
        <v>1086</v>
      </c>
      <c r="F399" s="420" t="s">
        <v>1310</v>
      </c>
      <c r="G399" s="420" t="s">
        <v>1310</v>
      </c>
      <c r="H399" s="420" t="s">
        <v>41</v>
      </c>
      <c r="I399" s="422" t="s">
        <v>2113</v>
      </c>
      <c r="J399" s="420" t="s">
        <v>43</v>
      </c>
      <c r="K399" s="420" t="s">
        <v>43</v>
      </c>
      <c r="L399" s="420" t="s">
        <v>572</v>
      </c>
      <c r="M399" s="420" t="s">
        <v>44</v>
      </c>
      <c r="N399" s="420">
        <v>23.841646999999998</v>
      </c>
      <c r="O399" s="420">
        <v>97.700940000000003</v>
      </c>
      <c r="P399" s="420" t="s">
        <v>573</v>
      </c>
      <c r="Q399" s="420" t="s">
        <v>591</v>
      </c>
      <c r="R399" s="432"/>
      <c r="S399" s="425"/>
      <c r="T399" s="437"/>
      <c r="U399" s="432"/>
      <c r="V399" s="420" t="s">
        <v>707</v>
      </c>
      <c r="W399" s="428" t="s">
        <v>1697</v>
      </c>
      <c r="X399" s="423"/>
      <c r="Y399" s="44"/>
      <c r="Z399" s="43"/>
      <c r="AA399"/>
      <c r="AB399" s="90"/>
      <c r="AC399" s="45"/>
      <c r="AD399" s="17"/>
      <c r="AE399" s="89"/>
      <c r="AF399" s="17"/>
    </row>
    <row r="400" spans="1:32" ht="14.25" customHeight="1">
      <c r="A400" s="392" t="s">
        <v>515</v>
      </c>
      <c r="B400" s="439" t="s">
        <v>516</v>
      </c>
      <c r="C400" s="966" t="s">
        <v>517</v>
      </c>
      <c r="D400" s="423" t="s">
        <v>3235</v>
      </c>
      <c r="E400" s="420" t="s">
        <v>1079</v>
      </c>
      <c r="F400" s="420" t="s">
        <v>1310</v>
      </c>
      <c r="G400" s="420" t="s">
        <v>1310</v>
      </c>
      <c r="H400" s="420" t="s">
        <v>41</v>
      </c>
      <c r="I400" s="422" t="s">
        <v>1036</v>
      </c>
      <c r="J400" s="420" t="s">
        <v>43</v>
      </c>
      <c r="K400" s="420" t="s">
        <v>43</v>
      </c>
      <c r="L400" s="420" t="s">
        <v>43</v>
      </c>
      <c r="M400" s="420" t="s">
        <v>44</v>
      </c>
      <c r="N400" s="420">
        <v>23.828150000000001</v>
      </c>
      <c r="O400" s="420">
        <v>97.670360000000002</v>
      </c>
      <c r="P400" s="420" t="s">
        <v>573</v>
      </c>
      <c r="Q400" s="420" t="s">
        <v>591</v>
      </c>
      <c r="R400" s="432">
        <v>44</v>
      </c>
      <c r="S400" s="425">
        <v>220</v>
      </c>
      <c r="T400" s="437"/>
      <c r="U400" s="426"/>
      <c r="V400" s="424" t="s">
        <v>517</v>
      </c>
      <c r="W400" s="915" t="s">
        <v>1698</v>
      </c>
      <c r="X400" s="423"/>
      <c r="Y400" s="44"/>
      <c r="Z400" s="43"/>
      <c r="AA400"/>
      <c r="AB400" s="90"/>
      <c r="AC400" s="45"/>
      <c r="AD400" s="17"/>
      <c r="AE400" s="89"/>
      <c r="AF400" s="17"/>
    </row>
    <row r="401" spans="1:32" ht="14.25" customHeight="1">
      <c r="A401" s="392" t="s">
        <v>515</v>
      </c>
      <c r="B401" s="428" t="s">
        <v>516</v>
      </c>
      <c r="C401" s="429" t="s">
        <v>590</v>
      </c>
      <c r="D401" s="383" t="s">
        <v>1295</v>
      </c>
      <c r="E401" s="420" t="s">
        <v>1039</v>
      </c>
      <c r="F401" s="422" t="s">
        <v>1310</v>
      </c>
      <c r="G401" s="420" t="s">
        <v>1310</v>
      </c>
      <c r="H401" s="420"/>
      <c r="I401" s="422">
        <v>0</v>
      </c>
      <c r="J401" s="420" t="s">
        <v>43</v>
      </c>
      <c r="K401" s="420" t="s">
        <v>43</v>
      </c>
      <c r="L401" s="420" t="s">
        <v>572</v>
      </c>
      <c r="M401" s="420" t="s">
        <v>589</v>
      </c>
      <c r="N401" s="420"/>
      <c r="O401" s="420"/>
      <c r="P401" s="420" t="s">
        <v>573</v>
      </c>
      <c r="Q401" s="420"/>
      <c r="R401" s="424">
        <v>0</v>
      </c>
      <c r="S401" s="424">
        <v>0</v>
      </c>
      <c r="T401" s="437"/>
      <c r="U401" s="426"/>
      <c r="V401" s="420" t="s">
        <v>590</v>
      </c>
      <c r="W401" s="916" t="s">
        <v>1699</v>
      </c>
      <c r="X401" s="383"/>
      <c r="Y401" s="44"/>
      <c r="Z401" s="43"/>
      <c r="AA401"/>
      <c r="AB401" s="90"/>
      <c r="AC401" s="45"/>
      <c r="AD401" s="17"/>
      <c r="AE401" s="89"/>
      <c r="AF401" s="17"/>
    </row>
    <row r="402" spans="1:32" ht="14.25" customHeight="1">
      <c r="A402" s="429" t="s">
        <v>515</v>
      </c>
      <c r="B402" s="439" t="s">
        <v>516</v>
      </c>
      <c r="C402" s="392" t="s">
        <v>553</v>
      </c>
      <c r="D402" s="423" t="s">
        <v>2635</v>
      </c>
      <c r="E402" s="420" t="s">
        <v>1085</v>
      </c>
      <c r="F402" s="422" t="s">
        <v>1374</v>
      </c>
      <c r="G402" s="420" t="s">
        <v>1363</v>
      </c>
      <c r="H402" s="420" t="s">
        <v>41</v>
      </c>
      <c r="I402" s="422" t="s">
        <v>2113</v>
      </c>
      <c r="J402" s="420" t="s">
        <v>43</v>
      </c>
      <c r="K402" s="420" t="s">
        <v>43</v>
      </c>
      <c r="L402" s="420" t="s">
        <v>572</v>
      </c>
      <c r="M402" s="420" t="s">
        <v>44</v>
      </c>
      <c r="N402" s="420">
        <v>23.838190000000001</v>
      </c>
      <c r="O402" s="420">
        <v>97.709879999999998</v>
      </c>
      <c r="P402" s="420" t="s">
        <v>573</v>
      </c>
      <c r="Q402" s="420" t="s">
        <v>591</v>
      </c>
      <c r="R402" s="432"/>
      <c r="S402" s="425"/>
      <c r="T402" s="437"/>
      <c r="U402" s="426"/>
      <c r="V402" s="420" t="s">
        <v>706</v>
      </c>
      <c r="W402" s="428" t="s">
        <v>1700</v>
      </c>
      <c r="X402" s="423"/>
      <c r="Y402" s="44"/>
      <c r="Z402" s="43"/>
      <c r="AA402"/>
      <c r="AB402" s="90"/>
      <c r="AC402" s="45"/>
      <c r="AD402" s="17"/>
      <c r="AE402" s="89"/>
      <c r="AF402" s="17"/>
    </row>
    <row r="403" spans="1:32" ht="14.25" customHeight="1">
      <c r="A403" s="429" t="s">
        <v>515</v>
      </c>
      <c r="B403" s="428" t="s">
        <v>969</v>
      </c>
      <c r="C403" s="429" t="s">
        <v>2203</v>
      </c>
      <c r="D403" s="383"/>
      <c r="E403" s="420"/>
      <c r="F403" s="420"/>
      <c r="G403" s="420"/>
      <c r="H403" s="420"/>
      <c r="I403" s="422"/>
      <c r="J403" s="420" t="s">
        <v>2093</v>
      </c>
      <c r="K403" s="420" t="s">
        <v>2077</v>
      </c>
      <c r="L403" s="420" t="s">
        <v>2077</v>
      </c>
      <c r="M403" s="420" t="s">
        <v>44</v>
      </c>
      <c r="N403" s="420"/>
      <c r="O403" s="422"/>
      <c r="P403" s="420" t="s">
        <v>1568</v>
      </c>
      <c r="Q403" s="420" t="s">
        <v>2164</v>
      </c>
      <c r="R403" s="424"/>
      <c r="S403" s="424"/>
      <c r="T403" s="437">
        <v>43759</v>
      </c>
      <c r="U403" s="426"/>
      <c r="V403" s="422"/>
      <c r="W403" s="916"/>
      <c r="X403" s="383"/>
      <c r="Y403" s="44"/>
      <c r="Z403" s="43"/>
      <c r="AA403"/>
      <c r="AB403" s="90"/>
      <c r="AC403" s="45"/>
      <c r="AD403" s="17"/>
      <c r="AE403" s="89"/>
      <c r="AF403" s="17"/>
    </row>
    <row r="404" spans="1:32" ht="14.25" customHeight="1">
      <c r="A404" s="392" t="s">
        <v>515</v>
      </c>
      <c r="B404" s="428" t="s">
        <v>969</v>
      </c>
      <c r="C404" s="429" t="s">
        <v>2202</v>
      </c>
      <c r="D404" s="423"/>
      <c r="E404" s="420"/>
      <c r="F404" s="420"/>
      <c r="G404" s="420"/>
      <c r="H404" s="420"/>
      <c r="I404" s="422"/>
      <c r="J404" s="420" t="s">
        <v>2093</v>
      </c>
      <c r="K404" s="420" t="s">
        <v>2077</v>
      </c>
      <c r="L404" s="420" t="s">
        <v>2077</v>
      </c>
      <c r="M404" s="420" t="s">
        <v>44</v>
      </c>
      <c r="N404" s="420"/>
      <c r="O404" s="420"/>
      <c r="P404" s="420" t="s">
        <v>1568</v>
      </c>
      <c r="Q404" s="420" t="s">
        <v>2164</v>
      </c>
      <c r="R404" s="432"/>
      <c r="S404" s="425"/>
      <c r="T404" s="437">
        <v>43759</v>
      </c>
      <c r="U404" s="432"/>
      <c r="V404" s="420"/>
      <c r="W404" s="428"/>
      <c r="X404" s="423"/>
      <c r="Y404" s="44"/>
      <c r="Z404" s="43"/>
      <c r="AA404"/>
      <c r="AB404" s="90"/>
      <c r="AC404" s="45"/>
      <c r="AD404" s="17"/>
      <c r="AE404" s="89"/>
      <c r="AF404" s="17"/>
    </row>
    <row r="405" spans="1:32" ht="14.25" customHeight="1">
      <c r="A405" s="392" t="s">
        <v>515</v>
      </c>
      <c r="B405" s="428" t="s">
        <v>536</v>
      </c>
      <c r="C405" s="429" t="s">
        <v>2814</v>
      </c>
      <c r="D405" s="423" t="s">
        <v>3235</v>
      </c>
      <c r="E405" s="420" t="s">
        <v>2831</v>
      </c>
      <c r="F405" s="420" t="s">
        <v>2625</v>
      </c>
      <c r="G405" s="420" t="s">
        <v>2626</v>
      </c>
      <c r="H405" s="420"/>
      <c r="I405" s="422"/>
      <c r="J405" s="420" t="s">
        <v>43</v>
      </c>
      <c r="K405" s="420" t="s">
        <v>43</v>
      </c>
      <c r="L405" s="420" t="s">
        <v>2576</v>
      </c>
      <c r="M405" s="420" t="s">
        <v>44</v>
      </c>
      <c r="N405" s="420">
        <v>23.078210830688501</v>
      </c>
      <c r="O405" s="420">
        <v>97.411773681640597</v>
      </c>
      <c r="P405" s="420" t="s">
        <v>584</v>
      </c>
      <c r="Q405" s="420" t="s">
        <v>2622</v>
      </c>
      <c r="R405" s="432">
        <v>19</v>
      </c>
      <c r="S405" s="425">
        <v>77</v>
      </c>
      <c r="T405" s="437">
        <v>44318</v>
      </c>
      <c r="U405" s="426"/>
      <c r="V405" s="422"/>
      <c r="W405" s="428" t="s">
        <v>2627</v>
      </c>
      <c r="X405" s="420" t="s">
        <v>2624</v>
      </c>
      <c r="Y405" s="44"/>
      <c r="Z405" s="43"/>
      <c r="AA405"/>
      <c r="AB405" s="90"/>
      <c r="AC405" s="45"/>
      <c r="AD405" s="17"/>
      <c r="AE405" s="89"/>
      <c r="AF405" s="17"/>
    </row>
    <row r="406" spans="1:32" ht="14.25" customHeight="1">
      <c r="A406" s="392" t="s">
        <v>515</v>
      </c>
      <c r="B406" s="428" t="s">
        <v>536</v>
      </c>
      <c r="C406" s="429" t="s">
        <v>543</v>
      </c>
      <c r="D406" s="423" t="s">
        <v>3235</v>
      </c>
      <c r="E406" s="420" t="s">
        <v>2832</v>
      </c>
      <c r="F406" s="422" t="s">
        <v>1314</v>
      </c>
      <c r="G406" s="420" t="s">
        <v>1315</v>
      </c>
      <c r="H406" s="420" t="s">
        <v>41</v>
      </c>
      <c r="I406" s="422" t="s">
        <v>1036</v>
      </c>
      <c r="J406" s="420" t="s">
        <v>43</v>
      </c>
      <c r="K406" s="420" t="s">
        <v>43</v>
      </c>
      <c r="L406" s="420" t="s">
        <v>43</v>
      </c>
      <c r="M406" s="420" t="s">
        <v>44</v>
      </c>
      <c r="N406" s="420">
        <v>23.099304</v>
      </c>
      <c r="O406" s="420">
        <v>97.400671000000003</v>
      </c>
      <c r="P406" s="420" t="s">
        <v>573</v>
      </c>
      <c r="Q406" s="420" t="s">
        <v>664</v>
      </c>
      <c r="R406" s="432">
        <v>60</v>
      </c>
      <c r="S406" s="425">
        <v>272</v>
      </c>
      <c r="T406" s="437">
        <v>42983</v>
      </c>
      <c r="U406" s="426"/>
      <c r="V406" s="420"/>
      <c r="W406" s="916" t="s">
        <v>1701</v>
      </c>
      <c r="X406" s="420" t="s">
        <v>1054</v>
      </c>
      <c r="Y406" s="44"/>
      <c r="Z406" s="43"/>
      <c r="AA406"/>
      <c r="AB406" s="90"/>
      <c r="AC406" s="45"/>
      <c r="AD406" s="17"/>
      <c r="AE406" s="89"/>
      <c r="AF406" s="17"/>
    </row>
    <row r="407" spans="1:32" ht="14.25" customHeight="1">
      <c r="A407" s="392" t="s">
        <v>515</v>
      </c>
      <c r="B407" s="428" t="s">
        <v>536</v>
      </c>
      <c r="C407" s="429" t="s">
        <v>827</v>
      </c>
      <c r="D407" s="423"/>
      <c r="E407" s="420"/>
      <c r="F407" s="422"/>
      <c r="G407" s="420"/>
      <c r="H407" s="420"/>
      <c r="I407" s="422"/>
      <c r="J407" s="420" t="s">
        <v>1094</v>
      </c>
      <c r="K407" s="420" t="s">
        <v>43</v>
      </c>
      <c r="L407" s="420" t="s">
        <v>43</v>
      </c>
      <c r="M407" s="420" t="s">
        <v>44</v>
      </c>
      <c r="N407" s="420"/>
      <c r="O407" s="420"/>
      <c r="P407" s="420" t="s">
        <v>573</v>
      </c>
      <c r="Q407" s="420" t="s">
        <v>591</v>
      </c>
      <c r="R407" s="432"/>
      <c r="S407" s="425"/>
      <c r="T407" s="437">
        <v>42747</v>
      </c>
      <c r="U407" s="426"/>
      <c r="V407" s="420"/>
      <c r="W407" s="428"/>
      <c r="X407" s="423"/>
      <c r="Y407" s="44"/>
      <c r="Z407" s="43"/>
      <c r="AA407"/>
      <c r="AB407" s="90"/>
      <c r="AC407" s="45"/>
      <c r="AD407" s="17"/>
      <c r="AE407" s="89"/>
      <c r="AF407" s="17"/>
    </row>
    <row r="408" spans="1:32" ht="14.25" customHeight="1">
      <c r="A408" s="392" t="s">
        <v>515</v>
      </c>
      <c r="B408" s="428" t="s">
        <v>536</v>
      </c>
      <c r="C408" s="429" t="s">
        <v>544</v>
      </c>
      <c r="D408" s="423" t="s">
        <v>3235</v>
      </c>
      <c r="E408" s="420" t="s">
        <v>2833</v>
      </c>
      <c r="F408" s="420" t="s">
        <v>1314</v>
      </c>
      <c r="G408" s="420" t="s">
        <v>1315</v>
      </c>
      <c r="H408" s="420" t="s">
        <v>41</v>
      </c>
      <c r="I408" s="422" t="s">
        <v>1036</v>
      </c>
      <c r="J408" s="420" t="s">
        <v>43</v>
      </c>
      <c r="K408" s="420" t="s">
        <v>43</v>
      </c>
      <c r="L408" s="420" t="s">
        <v>43</v>
      </c>
      <c r="M408" s="420" t="s">
        <v>44</v>
      </c>
      <c r="N408" s="420">
        <v>23.088011000000002</v>
      </c>
      <c r="O408" s="420">
        <v>97.398698999999993</v>
      </c>
      <c r="P408" s="420" t="s">
        <v>573</v>
      </c>
      <c r="Q408" s="420" t="s">
        <v>574</v>
      </c>
      <c r="R408" s="432">
        <v>24</v>
      </c>
      <c r="S408" s="425">
        <v>97</v>
      </c>
      <c r="T408" s="437"/>
      <c r="U408" s="426"/>
      <c r="V408" s="420"/>
      <c r="W408" s="916" t="s">
        <v>1701</v>
      </c>
      <c r="X408" s="420" t="s">
        <v>1035</v>
      </c>
      <c r="Y408" s="44"/>
      <c r="Z408" s="43"/>
      <c r="AA408"/>
      <c r="AB408" s="90"/>
      <c r="AC408" s="45"/>
      <c r="AD408" s="17"/>
      <c r="AE408" s="89"/>
      <c r="AF408" s="17"/>
    </row>
    <row r="409" spans="1:32" ht="14.25" customHeight="1">
      <c r="A409" s="392" t="s">
        <v>515</v>
      </c>
      <c r="B409" s="428" t="s">
        <v>536</v>
      </c>
      <c r="C409" s="429" t="s">
        <v>2195</v>
      </c>
      <c r="D409" s="423"/>
      <c r="E409" s="420"/>
      <c r="F409" s="420"/>
      <c r="G409" s="420"/>
      <c r="H409" s="420"/>
      <c r="I409" s="422"/>
      <c r="J409" s="420" t="s">
        <v>2093</v>
      </c>
      <c r="K409" s="420" t="s">
        <v>2077</v>
      </c>
      <c r="L409" s="420" t="s">
        <v>2077</v>
      </c>
      <c r="M409" s="420" t="s">
        <v>44</v>
      </c>
      <c r="N409" s="420"/>
      <c r="O409" s="420"/>
      <c r="P409" s="420" t="s">
        <v>1568</v>
      </c>
      <c r="Q409" s="420" t="s">
        <v>2164</v>
      </c>
      <c r="R409" s="432"/>
      <c r="S409" s="425"/>
      <c r="T409" s="437">
        <v>43759</v>
      </c>
      <c r="U409" s="426"/>
      <c r="V409" s="422"/>
      <c r="W409" s="916"/>
      <c r="X409" s="423"/>
      <c r="Y409" s="44"/>
      <c r="Z409" s="43"/>
      <c r="AA409"/>
      <c r="AB409" s="90"/>
      <c r="AC409" s="45"/>
      <c r="AD409" s="17"/>
      <c r="AE409" s="89"/>
      <c r="AF409" s="17"/>
    </row>
    <row r="410" spans="1:32" ht="14.25" customHeight="1">
      <c r="A410" s="429" t="s">
        <v>515</v>
      </c>
      <c r="B410" s="428" t="s">
        <v>536</v>
      </c>
      <c r="C410" s="429" t="s">
        <v>1533</v>
      </c>
      <c r="D410" s="423"/>
      <c r="E410" s="420"/>
      <c r="F410" s="420"/>
      <c r="G410" s="420"/>
      <c r="H410" s="420"/>
      <c r="I410" s="422"/>
      <c r="J410" s="420" t="s">
        <v>1094</v>
      </c>
      <c r="K410" s="420" t="s">
        <v>43</v>
      </c>
      <c r="L410" s="420" t="s">
        <v>43</v>
      </c>
      <c r="M410" s="420" t="s">
        <v>44</v>
      </c>
      <c r="N410" s="420"/>
      <c r="O410" s="420"/>
      <c r="P410" s="420" t="s">
        <v>573</v>
      </c>
      <c r="Q410" s="420" t="s">
        <v>1525</v>
      </c>
      <c r="R410" s="432"/>
      <c r="S410" s="425"/>
      <c r="T410" s="437">
        <v>43270</v>
      </c>
      <c r="U410" s="426"/>
      <c r="V410" s="420"/>
      <c r="W410" s="428"/>
      <c r="X410" s="423"/>
      <c r="Y410" s="44"/>
      <c r="Z410" s="43"/>
      <c r="AA410"/>
      <c r="AB410" s="90"/>
      <c r="AC410" s="45"/>
      <c r="AD410" s="17"/>
      <c r="AE410" s="89"/>
      <c r="AF410" s="17"/>
    </row>
    <row r="411" spans="1:32" ht="14.25" customHeight="1">
      <c r="A411" s="429" t="s">
        <v>515</v>
      </c>
      <c r="B411" s="428" t="s">
        <v>536</v>
      </c>
      <c r="C411" s="446" t="s">
        <v>547</v>
      </c>
      <c r="D411" s="423" t="s">
        <v>3235</v>
      </c>
      <c r="E411" s="420" t="s">
        <v>1053</v>
      </c>
      <c r="F411" s="422" t="s">
        <v>1314</v>
      </c>
      <c r="G411" s="420" t="s">
        <v>1315</v>
      </c>
      <c r="H411" s="420" t="s">
        <v>41</v>
      </c>
      <c r="I411" s="422" t="s">
        <v>2113</v>
      </c>
      <c r="J411" s="420" t="s">
        <v>43</v>
      </c>
      <c r="K411" s="420" t="s">
        <v>43</v>
      </c>
      <c r="L411" s="420" t="s">
        <v>43</v>
      </c>
      <c r="M411" s="420" t="s">
        <v>44</v>
      </c>
      <c r="N411" s="420">
        <v>23.094290000000001</v>
      </c>
      <c r="O411" s="420">
        <v>97.404089999999997</v>
      </c>
      <c r="P411" s="420" t="s">
        <v>573</v>
      </c>
      <c r="Q411" s="420" t="s">
        <v>591</v>
      </c>
      <c r="R411" s="432">
        <v>21</v>
      </c>
      <c r="S411" s="425">
        <v>89</v>
      </c>
      <c r="T411" s="437"/>
      <c r="U411" s="426"/>
      <c r="V411" s="420" t="s">
        <v>547</v>
      </c>
      <c r="W411" s="916" t="s">
        <v>1702</v>
      </c>
      <c r="X411" s="423"/>
      <c r="Y411" s="44"/>
      <c r="Z411" s="43"/>
      <c r="AA411"/>
      <c r="AB411" s="90"/>
      <c r="AC411" s="45"/>
      <c r="AD411" s="17"/>
      <c r="AE411" s="89"/>
      <c r="AF411" s="17"/>
    </row>
    <row r="412" spans="1:32" ht="14.25" customHeight="1">
      <c r="A412" s="429" t="s">
        <v>515</v>
      </c>
      <c r="B412" s="428" t="s">
        <v>536</v>
      </c>
      <c r="C412" s="429" t="s">
        <v>691</v>
      </c>
      <c r="D412" s="383" t="s">
        <v>1295</v>
      </c>
      <c r="E412" s="420" t="s">
        <v>1052</v>
      </c>
      <c r="F412" s="422" t="s">
        <v>1314</v>
      </c>
      <c r="G412" s="420" t="s">
        <v>1315</v>
      </c>
      <c r="H412" s="420"/>
      <c r="I412" s="422">
        <v>0</v>
      </c>
      <c r="J412" s="420" t="s">
        <v>43</v>
      </c>
      <c r="K412" s="420" t="s">
        <v>43</v>
      </c>
      <c r="L412" s="420" t="s">
        <v>572</v>
      </c>
      <c r="M412" s="420" t="s">
        <v>44</v>
      </c>
      <c r="N412" s="420">
        <v>23.088058</v>
      </c>
      <c r="O412" s="420">
        <v>97.398989</v>
      </c>
      <c r="P412" s="420" t="s">
        <v>584</v>
      </c>
      <c r="Q412" s="420" t="s">
        <v>591</v>
      </c>
      <c r="R412" s="432"/>
      <c r="S412" s="425"/>
      <c r="T412" s="437"/>
      <c r="U412" s="426"/>
      <c r="V412" s="420" t="s">
        <v>598</v>
      </c>
      <c r="W412" s="916" t="s">
        <v>1703</v>
      </c>
      <c r="X412" s="383"/>
      <c r="Y412" s="44"/>
      <c r="Z412" s="43"/>
      <c r="AA412"/>
      <c r="AB412" s="90"/>
      <c r="AC412" s="45"/>
      <c r="AD412" s="17"/>
      <c r="AE412" s="89"/>
      <c r="AF412" s="17"/>
    </row>
    <row r="413" spans="1:32" ht="14.25" customHeight="1">
      <c r="A413" s="429" t="s">
        <v>515</v>
      </c>
      <c r="B413" s="428" t="s">
        <v>536</v>
      </c>
      <c r="C413" s="429" t="s">
        <v>594</v>
      </c>
      <c r="D413" s="383" t="s">
        <v>1295</v>
      </c>
      <c r="E413" s="420" t="s">
        <v>1043</v>
      </c>
      <c r="F413" s="420" t="s">
        <v>1314</v>
      </c>
      <c r="G413" s="420" t="s">
        <v>1315</v>
      </c>
      <c r="H413" s="420"/>
      <c r="I413" s="422">
        <v>0</v>
      </c>
      <c r="J413" s="420" t="s">
        <v>43</v>
      </c>
      <c r="K413" s="420" t="s">
        <v>43</v>
      </c>
      <c r="L413" s="420" t="s">
        <v>572</v>
      </c>
      <c r="M413" s="420" t="s">
        <v>44</v>
      </c>
      <c r="N413" s="420"/>
      <c r="O413" s="420"/>
      <c r="P413" s="420" t="s">
        <v>573</v>
      </c>
      <c r="Q413" s="420" t="s">
        <v>574</v>
      </c>
      <c r="R413" s="432">
        <v>0</v>
      </c>
      <c r="S413" s="425">
        <v>0</v>
      </c>
      <c r="T413" s="437">
        <v>43019</v>
      </c>
      <c r="U413" s="426" t="s">
        <v>595</v>
      </c>
      <c r="V413" s="422"/>
      <c r="W413" s="428" t="s">
        <v>595</v>
      </c>
      <c r="X413" s="383"/>
      <c r="Y413" s="44"/>
      <c r="Z413" s="43"/>
      <c r="AA413"/>
      <c r="AB413" s="90"/>
      <c r="AC413" s="45"/>
      <c r="AD413" s="17"/>
      <c r="AE413" s="89"/>
      <c r="AF413" s="17"/>
    </row>
    <row r="414" spans="1:32" ht="14.25" customHeight="1">
      <c r="A414" s="429" t="s">
        <v>515</v>
      </c>
      <c r="B414" s="428" t="s">
        <v>536</v>
      </c>
      <c r="C414" s="429" t="s">
        <v>596</v>
      </c>
      <c r="D414" s="423" t="s">
        <v>1295</v>
      </c>
      <c r="E414" s="420" t="s">
        <v>1044</v>
      </c>
      <c r="F414" s="420" t="s">
        <v>1314</v>
      </c>
      <c r="G414" s="420" t="s">
        <v>1315</v>
      </c>
      <c r="H414" s="420"/>
      <c r="I414" s="422">
        <v>0</v>
      </c>
      <c r="J414" s="420" t="s">
        <v>43</v>
      </c>
      <c r="K414" s="420" t="s">
        <v>43</v>
      </c>
      <c r="L414" s="420" t="s">
        <v>572</v>
      </c>
      <c r="M414" s="420" t="s">
        <v>44</v>
      </c>
      <c r="N414" s="420"/>
      <c r="O414" s="420"/>
      <c r="P414" s="420" t="s">
        <v>573</v>
      </c>
      <c r="Q414" s="420" t="s">
        <v>574</v>
      </c>
      <c r="R414" s="432">
        <v>0</v>
      </c>
      <c r="S414" s="425">
        <v>0</v>
      </c>
      <c r="T414" s="437">
        <v>42927</v>
      </c>
      <c r="U414" s="432" t="s">
        <v>597</v>
      </c>
      <c r="V414" s="420"/>
      <c r="W414" s="428" t="s">
        <v>595</v>
      </c>
      <c r="X414" s="423"/>
      <c r="Y414" s="44"/>
      <c r="Z414" s="43"/>
      <c r="AA414"/>
      <c r="AB414" s="90"/>
      <c r="AC414" s="45"/>
      <c r="AD414" s="17"/>
      <c r="AE414" s="89"/>
      <c r="AF414" s="17"/>
    </row>
    <row r="415" spans="1:32" ht="14.25" customHeight="1">
      <c r="A415" s="429" t="s">
        <v>515</v>
      </c>
      <c r="B415" s="428" t="s">
        <v>536</v>
      </c>
      <c r="C415" s="429" t="s">
        <v>598</v>
      </c>
      <c r="D415" s="423" t="s">
        <v>1295</v>
      </c>
      <c r="E415" s="420" t="s">
        <v>1045</v>
      </c>
      <c r="F415" s="422" t="s">
        <v>1314</v>
      </c>
      <c r="G415" s="420" t="s">
        <v>1315</v>
      </c>
      <c r="H415" s="420"/>
      <c r="I415" s="422">
        <v>0</v>
      </c>
      <c r="J415" s="420" t="s">
        <v>43</v>
      </c>
      <c r="K415" s="420" t="s">
        <v>43</v>
      </c>
      <c r="L415" s="420" t="s">
        <v>572</v>
      </c>
      <c r="M415" s="420" t="s">
        <v>44</v>
      </c>
      <c r="N415" s="420"/>
      <c r="O415" s="422"/>
      <c r="P415" s="420" t="s">
        <v>573</v>
      </c>
      <c r="Q415" s="420" t="s">
        <v>574</v>
      </c>
      <c r="R415" s="432"/>
      <c r="S415" s="425"/>
      <c r="T415" s="437">
        <v>42927</v>
      </c>
      <c r="U415" s="426" t="s">
        <v>599</v>
      </c>
      <c r="V415" s="422"/>
      <c r="W415" s="428" t="s">
        <v>1692</v>
      </c>
      <c r="X415" s="423"/>
      <c r="Y415" s="44"/>
      <c r="Z415" s="43"/>
      <c r="AA415"/>
      <c r="AB415" s="90"/>
      <c r="AC415" s="45"/>
      <c r="AD415" s="17"/>
      <c r="AE415" s="89"/>
      <c r="AF415" s="17"/>
    </row>
    <row r="416" spans="1:32" ht="14.25" customHeight="1">
      <c r="A416" s="429" t="s">
        <v>515</v>
      </c>
      <c r="B416" s="428" t="s">
        <v>536</v>
      </c>
      <c r="C416" s="429" t="s">
        <v>537</v>
      </c>
      <c r="D416" s="423" t="s">
        <v>2702</v>
      </c>
      <c r="E416" s="420" t="s">
        <v>1051</v>
      </c>
      <c r="F416" s="420" t="s">
        <v>1363</v>
      </c>
      <c r="G416" s="420" t="s">
        <v>1364</v>
      </c>
      <c r="H416" s="420"/>
      <c r="I416" s="422" t="s">
        <v>1614</v>
      </c>
      <c r="J416" s="420" t="s">
        <v>43</v>
      </c>
      <c r="K416" s="420" t="s">
        <v>43</v>
      </c>
      <c r="L416" s="420" t="s">
        <v>572</v>
      </c>
      <c r="M416" s="420" t="s">
        <v>44</v>
      </c>
      <c r="N416" s="420">
        <v>22.765999999999998</v>
      </c>
      <c r="O416" s="420">
        <v>97.358999999999995</v>
      </c>
      <c r="P416" s="420" t="s">
        <v>573</v>
      </c>
      <c r="Q416" s="420" t="s">
        <v>574</v>
      </c>
      <c r="R416" s="432"/>
      <c r="S416" s="425"/>
      <c r="T416" s="437"/>
      <c r="U416" s="426" t="s">
        <v>690</v>
      </c>
      <c r="V416" s="420"/>
      <c r="W416" s="428" t="s">
        <v>1704</v>
      </c>
      <c r="X416" s="423"/>
      <c r="Y416" s="44"/>
      <c r="Z416" s="43"/>
      <c r="AA416"/>
      <c r="AB416" s="90"/>
      <c r="AC416" s="45"/>
      <c r="AD416" s="17"/>
      <c r="AE416" s="89"/>
      <c r="AF416" s="17"/>
    </row>
    <row r="417" spans="1:32" ht="14.25" customHeight="1">
      <c r="A417" s="429" t="s">
        <v>515</v>
      </c>
      <c r="B417" s="428" t="s">
        <v>536</v>
      </c>
      <c r="C417" s="429" t="s">
        <v>692</v>
      </c>
      <c r="D417" s="423" t="s">
        <v>2241</v>
      </c>
      <c r="E417" s="420" t="s">
        <v>1055</v>
      </c>
      <c r="F417" s="420"/>
      <c r="G417" s="420"/>
      <c r="H417" s="420"/>
      <c r="I417" s="422">
        <v>0</v>
      </c>
      <c r="J417" s="420" t="s">
        <v>43</v>
      </c>
      <c r="K417" s="420" t="s">
        <v>43</v>
      </c>
      <c r="L417" s="420" t="s">
        <v>43</v>
      </c>
      <c r="M417" s="420" t="s">
        <v>44</v>
      </c>
      <c r="N417" s="420">
        <v>23.099304</v>
      </c>
      <c r="O417" s="420">
        <v>97.400671000000003</v>
      </c>
      <c r="P417" s="420" t="s">
        <v>573</v>
      </c>
      <c r="Q417" s="420" t="s">
        <v>574</v>
      </c>
      <c r="R417" s="432">
        <v>0</v>
      </c>
      <c r="S417" s="425">
        <v>0</v>
      </c>
      <c r="T417" s="437">
        <v>42747</v>
      </c>
      <c r="U417" s="426" t="s">
        <v>693</v>
      </c>
      <c r="V417" s="422"/>
      <c r="W417" s="428" t="s">
        <v>1705</v>
      </c>
      <c r="X417" s="423"/>
      <c r="Y417" s="44"/>
      <c r="Z417" s="43"/>
      <c r="AA417"/>
      <c r="AB417" s="90"/>
      <c r="AC417" s="45"/>
      <c r="AD417" s="17"/>
      <c r="AE417" s="89"/>
      <c r="AF417" s="17"/>
    </row>
    <row r="418" spans="1:32" ht="14.25" customHeight="1">
      <c r="A418" s="392" t="s">
        <v>515</v>
      </c>
      <c r="B418" s="439" t="s">
        <v>536</v>
      </c>
      <c r="C418" s="392" t="s">
        <v>864</v>
      </c>
      <c r="D418" s="423" t="s">
        <v>2241</v>
      </c>
      <c r="E418" s="968"/>
      <c r="F418" s="436"/>
      <c r="G418" s="436"/>
      <c r="H418" s="420"/>
      <c r="I418" s="420"/>
      <c r="J418" s="420" t="s">
        <v>1094</v>
      </c>
      <c r="K418" s="420" t="s">
        <v>43</v>
      </c>
      <c r="L418" s="436" t="s">
        <v>43</v>
      </c>
      <c r="M418" s="420" t="s">
        <v>44</v>
      </c>
      <c r="N418" s="420"/>
      <c r="O418" s="420"/>
      <c r="P418" s="420" t="s">
        <v>573</v>
      </c>
      <c r="Q418" s="420" t="s">
        <v>591</v>
      </c>
      <c r="R418" s="432"/>
      <c r="S418" s="424"/>
      <c r="T418" s="437">
        <v>42747</v>
      </c>
      <c r="U418" s="426"/>
      <c r="V418" s="424"/>
      <c r="W418" s="439"/>
      <c r="X418" s="423"/>
      <c r="Y418" s="44"/>
      <c r="Z418" s="43"/>
      <c r="AA418"/>
      <c r="AB418" s="90"/>
      <c r="AC418" s="45"/>
      <c r="AD418" s="17"/>
      <c r="AE418" s="89"/>
      <c r="AF418" s="17"/>
    </row>
    <row r="419" spans="1:32" ht="14.25" customHeight="1">
      <c r="A419" s="392" t="s">
        <v>515</v>
      </c>
      <c r="B419" s="439" t="s">
        <v>536</v>
      </c>
      <c r="C419" s="392" t="s">
        <v>864</v>
      </c>
      <c r="D419" s="423"/>
      <c r="E419" s="420"/>
      <c r="F419" s="420"/>
      <c r="G419" s="420"/>
      <c r="H419" s="420"/>
      <c r="I419" s="420"/>
      <c r="J419" s="420" t="s">
        <v>2093</v>
      </c>
      <c r="K419" s="420" t="s">
        <v>2077</v>
      </c>
      <c r="L419" s="420" t="s">
        <v>2077</v>
      </c>
      <c r="M419" s="420" t="s">
        <v>44</v>
      </c>
      <c r="N419" s="420"/>
      <c r="O419" s="420"/>
      <c r="P419" s="420" t="s">
        <v>573</v>
      </c>
      <c r="Q419" s="420" t="s">
        <v>2228</v>
      </c>
      <c r="R419" s="432"/>
      <c r="S419" s="424"/>
      <c r="T419" s="437">
        <v>43841</v>
      </c>
      <c r="U419" s="426"/>
      <c r="V419" s="424"/>
      <c r="W419" s="424"/>
      <c r="X419" s="423"/>
    </row>
    <row r="420" spans="1:32" ht="14.25" customHeight="1">
      <c r="A420" s="392" t="s">
        <v>515</v>
      </c>
      <c r="B420" s="428" t="s">
        <v>974</v>
      </c>
      <c r="C420" s="429" t="s">
        <v>1710</v>
      </c>
      <c r="D420" s="423"/>
      <c r="E420" s="420"/>
      <c r="F420" s="420"/>
      <c r="G420" s="420"/>
      <c r="H420" s="420"/>
      <c r="I420" s="420"/>
      <c r="J420" s="420" t="s">
        <v>1094</v>
      </c>
      <c r="K420" s="420" t="s">
        <v>43</v>
      </c>
      <c r="L420" s="420" t="s">
        <v>43</v>
      </c>
      <c r="M420" s="420" t="s">
        <v>44</v>
      </c>
      <c r="N420" s="420"/>
      <c r="O420" s="420"/>
      <c r="P420" s="420" t="s">
        <v>573</v>
      </c>
      <c r="Q420" s="420" t="s">
        <v>664</v>
      </c>
      <c r="R420" s="432"/>
      <c r="S420" s="424"/>
      <c r="T420" s="437">
        <v>43392</v>
      </c>
      <c r="U420" s="426"/>
      <c r="V420" s="424"/>
      <c r="W420" s="424"/>
      <c r="X420" s="423"/>
    </row>
    <row r="421" spans="1:32" ht="14.25" customHeight="1">
      <c r="A421" s="392" t="s">
        <v>515</v>
      </c>
      <c r="B421" s="439" t="s">
        <v>974</v>
      </c>
      <c r="C421" s="392" t="s">
        <v>847</v>
      </c>
      <c r="D421" s="423" t="s">
        <v>2241</v>
      </c>
      <c r="E421" s="420"/>
      <c r="F421" s="420"/>
      <c r="G421" s="420"/>
      <c r="H421" s="420"/>
      <c r="I421" s="420"/>
      <c r="J421" s="420" t="s">
        <v>1094</v>
      </c>
      <c r="K421" s="420" t="s">
        <v>43</v>
      </c>
      <c r="L421" s="420" t="s">
        <v>43</v>
      </c>
      <c r="M421" s="420" t="s">
        <v>44</v>
      </c>
      <c r="N421" s="420"/>
      <c r="O421" s="420"/>
      <c r="P421" s="420" t="s">
        <v>573</v>
      </c>
      <c r="Q421" s="420" t="s">
        <v>591</v>
      </c>
      <c r="R421" s="432"/>
      <c r="S421" s="424"/>
      <c r="T421" s="437">
        <v>42747</v>
      </c>
      <c r="U421" s="426"/>
      <c r="V421" s="424"/>
      <c r="W421" s="424"/>
      <c r="X421" s="423"/>
    </row>
    <row r="422" spans="1:32" ht="14.25" customHeight="1">
      <c r="A422" s="392" t="s">
        <v>515</v>
      </c>
      <c r="B422" s="428" t="s">
        <v>977</v>
      </c>
      <c r="C422" s="429" t="s">
        <v>1019</v>
      </c>
      <c r="D422" s="423"/>
      <c r="E422" s="420"/>
      <c r="F422" s="420"/>
      <c r="G422" s="420"/>
      <c r="H422" s="420"/>
      <c r="I422" s="420"/>
      <c r="J422" s="420" t="s">
        <v>1094</v>
      </c>
      <c r="K422" s="420" t="s">
        <v>43</v>
      </c>
      <c r="L422" s="420" t="s">
        <v>587</v>
      </c>
      <c r="M422" s="420" t="s">
        <v>1584</v>
      </c>
      <c r="N422" s="420"/>
      <c r="O422" s="420"/>
      <c r="P422" s="420" t="s">
        <v>573</v>
      </c>
      <c r="Q422" s="420"/>
      <c r="R422" s="432">
        <v>28</v>
      </c>
      <c r="S422" s="424">
        <v>87</v>
      </c>
      <c r="T422" s="437">
        <v>43298</v>
      </c>
      <c r="U422" s="426"/>
      <c r="V422" s="424"/>
      <c r="W422" s="424"/>
      <c r="X422" s="423"/>
    </row>
    <row r="423" spans="1:32" ht="14.25" customHeight="1">
      <c r="A423" s="392" t="s">
        <v>515</v>
      </c>
      <c r="B423" s="428" t="s">
        <v>2971</v>
      </c>
      <c r="C423" s="429" t="s">
        <v>2983</v>
      </c>
      <c r="D423" s="423" t="s">
        <v>3235</v>
      </c>
      <c r="E423" s="429" t="s">
        <v>3005</v>
      </c>
      <c r="F423" s="422" t="s">
        <v>3023</v>
      </c>
      <c r="G423" s="422" t="s">
        <v>2983</v>
      </c>
      <c r="H423" s="420"/>
      <c r="I423" s="420" t="s">
        <v>3057</v>
      </c>
      <c r="J423" s="420" t="s">
        <v>43</v>
      </c>
      <c r="K423" s="420" t="s">
        <v>43</v>
      </c>
      <c r="L423" s="422" t="s">
        <v>587</v>
      </c>
      <c r="M423" s="420" t="s">
        <v>44</v>
      </c>
      <c r="N423" s="420"/>
      <c r="O423" s="420" t="s">
        <v>3041</v>
      </c>
      <c r="P423" s="420" t="s">
        <v>573</v>
      </c>
      <c r="Q423" s="420" t="s">
        <v>3042</v>
      </c>
      <c r="R423" s="432">
        <v>43</v>
      </c>
      <c r="S423" s="425">
        <v>157</v>
      </c>
      <c r="T423" s="437">
        <v>45009</v>
      </c>
      <c r="U423" s="426" t="s">
        <v>3043</v>
      </c>
      <c r="V423" s="420"/>
      <c r="W423" s="428" t="s">
        <v>3051</v>
      </c>
      <c r="X423" s="423"/>
    </row>
  </sheetData>
  <phoneticPr fontId="147" type="noConversion"/>
  <conditionalFormatting sqref="V331">
    <cfRule type="duplicateValues" dxfId="919" priority="32"/>
  </conditionalFormatting>
  <conditionalFormatting sqref="C17">
    <cfRule type="duplicateValues" dxfId="918" priority="30"/>
  </conditionalFormatting>
  <conditionalFormatting sqref="V12">
    <cfRule type="duplicateValues" dxfId="917" priority="29"/>
  </conditionalFormatting>
  <conditionalFormatting sqref="C357:C359 C18:C355 C3:C16">
    <cfRule type="duplicateValues" dxfId="916" priority="12408"/>
  </conditionalFormatting>
  <conditionalFormatting sqref="X277">
    <cfRule type="duplicateValues" dxfId="915" priority="26"/>
  </conditionalFormatting>
  <conditionalFormatting sqref="X281">
    <cfRule type="duplicateValues" dxfId="914" priority="25"/>
  </conditionalFormatting>
  <conditionalFormatting sqref="X282">
    <cfRule type="duplicateValues" dxfId="913" priority="24"/>
  </conditionalFormatting>
  <conditionalFormatting sqref="X285">
    <cfRule type="duplicateValues" dxfId="912" priority="23"/>
  </conditionalFormatting>
  <conditionalFormatting sqref="X287:X288">
    <cfRule type="duplicateValues" dxfId="911" priority="22"/>
  </conditionalFormatting>
  <conditionalFormatting sqref="X293">
    <cfRule type="duplicateValues" dxfId="910" priority="21"/>
  </conditionalFormatting>
  <conditionalFormatting sqref="X296:X297">
    <cfRule type="duplicateValues" dxfId="909" priority="20"/>
  </conditionalFormatting>
  <conditionalFormatting sqref="X301">
    <cfRule type="duplicateValues" dxfId="908" priority="19"/>
  </conditionalFormatting>
  <conditionalFormatting sqref="X306">
    <cfRule type="duplicateValues" dxfId="907" priority="18"/>
  </conditionalFormatting>
  <conditionalFormatting sqref="X308:X309">
    <cfRule type="duplicateValues" dxfId="906" priority="17"/>
  </conditionalFormatting>
  <conditionalFormatting sqref="X316">
    <cfRule type="duplicateValues" dxfId="905" priority="16"/>
  </conditionalFormatting>
  <conditionalFormatting sqref="X326:X327">
    <cfRule type="duplicateValues" dxfId="904" priority="15"/>
  </conditionalFormatting>
  <conditionalFormatting sqref="X329">
    <cfRule type="duplicateValues" dxfId="903" priority="14"/>
  </conditionalFormatting>
  <conditionalFormatting sqref="X333">
    <cfRule type="duplicateValues" dxfId="902" priority="13"/>
  </conditionalFormatting>
  <conditionalFormatting sqref="X337">
    <cfRule type="duplicateValues" dxfId="901" priority="12"/>
  </conditionalFormatting>
  <conditionalFormatting sqref="V50">
    <cfRule type="duplicateValues" dxfId="900" priority="10"/>
  </conditionalFormatting>
  <conditionalFormatting sqref="V250">
    <cfRule type="duplicateValues" dxfId="899" priority="8"/>
  </conditionalFormatting>
  <conditionalFormatting sqref="V251">
    <cfRule type="duplicateValues" dxfId="898" priority="7"/>
  </conditionalFormatting>
  <conditionalFormatting sqref="V252">
    <cfRule type="duplicateValues" dxfId="897" priority="6"/>
  </conditionalFormatting>
  <conditionalFormatting sqref="V263">
    <cfRule type="duplicateValues" dxfId="896" priority="5"/>
  </conditionalFormatting>
  <conditionalFormatting sqref="V271">
    <cfRule type="duplicateValues" dxfId="895" priority="4"/>
  </conditionalFormatting>
  <conditionalFormatting sqref="V285">
    <cfRule type="duplicateValues" dxfId="894" priority="3"/>
  </conditionalFormatting>
  <conditionalFormatting sqref="V294">
    <cfRule type="duplicateValues" dxfId="893" priority="2"/>
  </conditionalFormatting>
  <conditionalFormatting sqref="E17">
    <cfRule type="duplicateValues" dxfId="892" priority="12998"/>
  </conditionalFormatting>
  <conditionalFormatting sqref="E278:E280 E3:E16 E283:E284 E286 E18:E202 E204:E276 E289:E339">
    <cfRule type="duplicateValues" dxfId="891" priority="12999"/>
  </conditionalFormatting>
  <conditionalFormatting sqref="E363:E364 E356 E346 E342">
    <cfRule type="duplicateValues" dxfId="890" priority="13563"/>
  </conditionalFormatting>
  <conditionalFormatting sqref="E3:E416">
    <cfRule type="duplicateValues" dxfId="889" priority="13683"/>
  </conditionalFormatting>
  <dataValidations disablePrompts="1" count="1">
    <dataValidation type="list" allowBlank="1" showInputMessage="1" showErrorMessage="1" sqref="C334" xr:uid="{0C947F1F-B2C7-4140-A9B5-BC2307C73D97}">
      <formula1>OFFSET(Township_start,MATCH(A334,Township_list, 0),1, COUNTIF(Township_list,A334),1)</formula1>
    </dataValidation>
  </dataValidation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F4E5FFE-FDA9-4720-8083-31C358AEE6F4}">
          <x14:formula1>
            <xm:f>'C:\Users\mthaw\Mee Mee\2. Information Management\C_Camp Info\2. CCCM Camp list\Kachin\2019\[shelter-nfi-cccm_kachin_northern_shan_cluster_analysis_report_march_2019.xlsx]Definition'!#REF!</xm:f>
          </x14:formula1>
          <xm:sqref>L143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87C87-5742-4D0D-9C4D-0ADE3167A3ED}">
  <sheetPr>
    <tabColor rgb="FF92D050"/>
  </sheetPr>
  <dimension ref="A1:H85"/>
  <sheetViews>
    <sheetView zoomScaleNormal="100" zoomScaleSheetLayoutView="50" workbookViewId="0">
      <pane xSplit="2" ySplit="2" topLeftCell="C72" activePane="bottomRight" state="frozen"/>
      <selection activeCell="H81" sqref="H81"/>
      <selection pane="topRight" activeCell="H81" sqref="H81"/>
      <selection pane="bottomLeft" activeCell="H81" sqref="H81"/>
      <selection pane="bottomRight" activeCell="C74" sqref="C74:C77"/>
    </sheetView>
  </sheetViews>
  <sheetFormatPr defaultColWidth="8" defaultRowHeight="45" customHeight="1"/>
  <cols>
    <col min="1" max="1" width="7.58203125" style="510" bestFit="1" customWidth="1"/>
    <col min="2" max="2" width="7.58203125" style="243" bestFit="1" customWidth="1"/>
    <col min="3" max="3" width="42.6640625" style="265" bestFit="1" customWidth="1"/>
    <col min="4" max="4" width="11.58203125" style="265" customWidth="1"/>
    <col min="5" max="5" width="3.5" style="265" hidden="1" customWidth="1"/>
    <col min="6" max="6" width="13.1640625" style="265" hidden="1" customWidth="1"/>
    <col min="7" max="7" width="61.5" style="265" bestFit="1" customWidth="1"/>
    <col min="8" max="8" width="57.1640625" style="451" bestFit="1" customWidth="1"/>
    <col min="9" max="16380" width="8" style="242"/>
    <col min="16381" max="16384" width="21.1640625" style="242" customWidth="1"/>
  </cols>
  <sheetData>
    <row r="1" spans="1:8" ht="45" customHeight="1">
      <c r="A1" s="508"/>
      <c r="B1" s="1156"/>
      <c r="C1" s="1156"/>
      <c r="D1" s="1156"/>
      <c r="E1" s="1156"/>
      <c r="F1" s="1156"/>
      <c r="G1" s="1156"/>
    </row>
    <row r="2" spans="1:8" s="246" customFormat="1" ht="45" customHeight="1">
      <c r="A2" s="509"/>
      <c r="B2" s="244" t="s">
        <v>45</v>
      </c>
      <c r="C2" s="245" t="s">
        <v>1753</v>
      </c>
      <c r="D2" s="245" t="s">
        <v>1754</v>
      </c>
      <c r="E2" s="245" t="s">
        <v>1755</v>
      </c>
      <c r="F2" s="245" t="s">
        <v>1756</v>
      </c>
      <c r="G2" s="245" t="s">
        <v>46</v>
      </c>
      <c r="H2" s="164" t="s">
        <v>2272</v>
      </c>
    </row>
    <row r="3" spans="1:8" ht="45" customHeight="1">
      <c r="A3" s="1157" t="s">
        <v>2258</v>
      </c>
      <c r="B3" s="549" t="s">
        <v>0</v>
      </c>
      <c r="C3" s="247" t="s">
        <v>1757</v>
      </c>
      <c r="D3" s="247" t="s">
        <v>16</v>
      </c>
      <c r="E3" s="247"/>
      <c r="F3" s="247" t="s">
        <v>1758</v>
      </c>
      <c r="G3" s="550"/>
      <c r="H3" s="452"/>
    </row>
    <row r="4" spans="1:8" ht="62.75" customHeight="1">
      <c r="A4" s="1158"/>
      <c r="B4" s="549" t="s">
        <v>1</v>
      </c>
      <c r="C4" s="247" t="s">
        <v>1759</v>
      </c>
      <c r="D4" s="247" t="s">
        <v>16</v>
      </c>
      <c r="E4" s="247"/>
      <c r="F4" s="247" t="s">
        <v>1758</v>
      </c>
      <c r="G4" s="550" t="s">
        <v>1760</v>
      </c>
      <c r="H4" s="452"/>
    </row>
    <row r="5" spans="1:8" ht="45" customHeight="1">
      <c r="A5" s="1158"/>
      <c r="B5" s="549" t="s">
        <v>2</v>
      </c>
      <c r="C5" s="247" t="s">
        <v>1761</v>
      </c>
      <c r="D5" s="247" t="s">
        <v>16</v>
      </c>
      <c r="E5" s="247"/>
      <c r="F5" s="247" t="s">
        <v>1758</v>
      </c>
      <c r="G5" s="550" t="s">
        <v>1762</v>
      </c>
      <c r="H5" s="452"/>
    </row>
    <row r="6" spans="1:8" ht="45" customHeight="1">
      <c r="A6" s="1158"/>
      <c r="B6" s="549" t="s">
        <v>3</v>
      </c>
      <c r="C6" s="247" t="s">
        <v>1763</v>
      </c>
      <c r="D6" s="247" t="s">
        <v>18</v>
      </c>
      <c r="E6" s="247"/>
      <c r="F6" s="247" t="s">
        <v>1758</v>
      </c>
      <c r="G6" s="550" t="s">
        <v>1951</v>
      </c>
      <c r="H6" s="452"/>
    </row>
    <row r="7" spans="1:8" ht="45" customHeight="1">
      <c r="A7" s="1158"/>
      <c r="B7" s="549" t="s">
        <v>4</v>
      </c>
      <c r="C7" s="247" t="s">
        <v>21</v>
      </c>
      <c r="D7" s="247" t="s">
        <v>16</v>
      </c>
      <c r="E7" s="247"/>
      <c r="F7" s="247" t="s">
        <v>1758</v>
      </c>
      <c r="G7" s="550" t="s">
        <v>1764</v>
      </c>
      <c r="H7" s="452"/>
    </row>
    <row r="8" spans="1:8" ht="45" customHeight="1">
      <c r="A8" s="1158"/>
      <c r="B8" s="549" t="s">
        <v>869</v>
      </c>
      <c r="C8" s="247" t="s">
        <v>22</v>
      </c>
      <c r="D8" s="247" t="s">
        <v>16</v>
      </c>
      <c r="E8" s="247"/>
      <c r="F8" s="247" t="s">
        <v>1758</v>
      </c>
      <c r="G8" s="550" t="s">
        <v>1764</v>
      </c>
      <c r="H8" s="452"/>
    </row>
    <row r="9" spans="1:8" ht="45" customHeight="1">
      <c r="A9" s="1158"/>
      <c r="B9" s="549" t="s">
        <v>5</v>
      </c>
      <c r="C9" s="247" t="s">
        <v>1765</v>
      </c>
      <c r="D9" s="247" t="s">
        <v>1937</v>
      </c>
      <c r="E9" s="247"/>
      <c r="F9" s="247" t="s">
        <v>1758</v>
      </c>
      <c r="G9" s="550" t="s">
        <v>1766</v>
      </c>
      <c r="H9" s="452"/>
    </row>
    <row r="10" spans="1:8" ht="45" customHeight="1">
      <c r="A10" s="1158"/>
      <c r="B10" s="549" t="s">
        <v>6</v>
      </c>
      <c r="C10" s="247" t="s">
        <v>1767</v>
      </c>
      <c r="D10" s="247" t="s">
        <v>16</v>
      </c>
      <c r="E10" s="247"/>
      <c r="F10" s="247" t="s">
        <v>1758</v>
      </c>
      <c r="G10" s="550" t="s">
        <v>1768</v>
      </c>
      <c r="H10" s="452"/>
    </row>
    <row r="11" spans="1:8" ht="75" customHeight="1">
      <c r="A11" s="1158"/>
      <c r="B11" s="549" t="s">
        <v>47</v>
      </c>
      <c r="C11" s="247" t="s">
        <v>24</v>
      </c>
      <c r="D11" s="247" t="s">
        <v>17</v>
      </c>
      <c r="E11" s="247"/>
      <c r="F11" s="247" t="s">
        <v>1758</v>
      </c>
      <c r="G11" s="550" t="s">
        <v>1843</v>
      </c>
      <c r="H11" s="452"/>
    </row>
    <row r="12" spans="1:8" ht="85.25" customHeight="1">
      <c r="A12" s="1158"/>
      <c r="B12" s="549" t="s">
        <v>48</v>
      </c>
      <c r="C12" s="247" t="s">
        <v>1482</v>
      </c>
      <c r="D12" s="247" t="s">
        <v>17</v>
      </c>
      <c r="E12" s="247"/>
      <c r="F12" s="247" t="s">
        <v>1758</v>
      </c>
      <c r="G12" s="550" t="s">
        <v>1843</v>
      </c>
      <c r="H12" s="452"/>
    </row>
    <row r="13" spans="1:8" ht="45" customHeight="1">
      <c r="A13" s="1158"/>
      <c r="B13" s="549" t="s">
        <v>51</v>
      </c>
      <c r="C13" s="247" t="s">
        <v>1769</v>
      </c>
      <c r="D13" s="247" t="s">
        <v>19</v>
      </c>
      <c r="E13" s="247"/>
      <c r="F13" s="247" t="s">
        <v>1758</v>
      </c>
      <c r="G13" s="550" t="s">
        <v>1770</v>
      </c>
      <c r="H13" s="452"/>
    </row>
    <row r="14" spans="1:8" ht="45" customHeight="1">
      <c r="A14" s="1158"/>
      <c r="B14" s="549" t="s">
        <v>53</v>
      </c>
      <c r="C14" s="247" t="s">
        <v>1771</v>
      </c>
      <c r="D14" s="247" t="s">
        <v>19</v>
      </c>
      <c r="E14" s="247"/>
      <c r="F14" s="247" t="s">
        <v>1758</v>
      </c>
      <c r="G14" s="550" t="s">
        <v>1772</v>
      </c>
      <c r="H14" s="452"/>
    </row>
    <row r="15" spans="1:8" ht="45" customHeight="1">
      <c r="A15" s="1158"/>
      <c r="B15" s="549" t="s">
        <v>54</v>
      </c>
      <c r="C15" s="247" t="s">
        <v>1983</v>
      </c>
      <c r="D15" s="247" t="s">
        <v>17</v>
      </c>
      <c r="E15" s="247"/>
      <c r="F15" s="247" t="s">
        <v>1935</v>
      </c>
      <c r="G15" s="550"/>
      <c r="H15" s="452"/>
    </row>
    <row r="16" spans="1:8" ht="45" customHeight="1">
      <c r="A16" s="1158"/>
      <c r="B16" s="549" t="s">
        <v>115</v>
      </c>
      <c r="C16" s="247" t="s">
        <v>1564</v>
      </c>
      <c r="D16" s="247" t="s">
        <v>17</v>
      </c>
      <c r="E16" s="247"/>
      <c r="F16" s="247" t="s">
        <v>304</v>
      </c>
      <c r="G16" s="550" t="s">
        <v>1984</v>
      </c>
      <c r="H16" s="452"/>
    </row>
    <row r="17" spans="1:8" ht="45" customHeight="1">
      <c r="A17" s="1158"/>
      <c r="B17" s="549" t="s">
        <v>116</v>
      </c>
      <c r="C17" s="247" t="s">
        <v>1566</v>
      </c>
      <c r="D17" s="247" t="s">
        <v>17</v>
      </c>
      <c r="E17" s="247"/>
      <c r="F17" s="247" t="s">
        <v>304</v>
      </c>
      <c r="G17" s="550" t="s">
        <v>1985</v>
      </c>
      <c r="H17" s="452"/>
    </row>
    <row r="18" spans="1:8" ht="45" customHeight="1">
      <c r="A18" s="1158"/>
      <c r="B18" s="549" t="s">
        <v>59</v>
      </c>
      <c r="C18" s="247" t="s">
        <v>1773</v>
      </c>
      <c r="D18" s="247" t="s">
        <v>17</v>
      </c>
      <c r="E18" s="247" t="s">
        <v>1986</v>
      </c>
      <c r="F18" s="247" t="s">
        <v>1758</v>
      </c>
      <c r="G18" s="550" t="s">
        <v>1987</v>
      </c>
      <c r="H18" s="452"/>
    </row>
    <row r="19" spans="1:8" ht="45" customHeight="1">
      <c r="A19" s="1158"/>
      <c r="B19" s="549" t="s">
        <v>57</v>
      </c>
      <c r="C19" s="247" t="s">
        <v>1774</v>
      </c>
      <c r="D19" s="247" t="s">
        <v>1775</v>
      </c>
      <c r="E19" s="247"/>
      <c r="F19" s="247" t="s">
        <v>1758</v>
      </c>
      <c r="G19" s="550" t="s">
        <v>1988</v>
      </c>
      <c r="H19" s="452"/>
    </row>
    <row r="20" spans="1:8" ht="45" customHeight="1">
      <c r="A20" s="1158"/>
      <c r="B20" s="549" t="s">
        <v>61</v>
      </c>
      <c r="C20" s="247" t="s">
        <v>1776</v>
      </c>
      <c r="D20" s="247" t="s">
        <v>17</v>
      </c>
      <c r="E20" s="247"/>
      <c r="F20" s="247" t="s">
        <v>1758</v>
      </c>
      <c r="G20" s="550" t="s">
        <v>1989</v>
      </c>
      <c r="H20" s="452"/>
    </row>
    <row r="21" spans="1:8" ht="45" customHeight="1">
      <c r="A21" s="1159"/>
      <c r="B21" s="549" t="s">
        <v>870</v>
      </c>
      <c r="C21" s="247" t="s">
        <v>1777</v>
      </c>
      <c r="D21" s="247" t="s">
        <v>17</v>
      </c>
      <c r="E21" s="247"/>
      <c r="F21" s="247" t="s">
        <v>1758</v>
      </c>
      <c r="G21" s="550" t="s">
        <v>1989</v>
      </c>
      <c r="H21" s="452"/>
    </row>
    <row r="22" spans="1:8" ht="45" customHeight="1">
      <c r="A22" s="1160" t="s">
        <v>1577</v>
      </c>
      <c r="B22" s="551" t="s">
        <v>62</v>
      </c>
      <c r="C22" s="165" t="s">
        <v>1943</v>
      </c>
      <c r="D22" s="165" t="s">
        <v>17</v>
      </c>
      <c r="E22" s="165"/>
      <c r="F22" s="165" t="s">
        <v>1758</v>
      </c>
      <c r="G22" s="225" t="s">
        <v>1779</v>
      </c>
      <c r="H22" s="552" t="s">
        <v>2287</v>
      </c>
    </row>
    <row r="23" spans="1:8" ht="45" customHeight="1">
      <c r="A23" s="1161"/>
      <c r="B23" s="551" t="s">
        <v>63</v>
      </c>
      <c r="C23" s="165" t="s">
        <v>1904</v>
      </c>
      <c r="D23" s="165" t="s">
        <v>17</v>
      </c>
      <c r="E23" s="165"/>
      <c r="F23" s="165" t="s">
        <v>1758</v>
      </c>
      <c r="G23" s="225" t="s">
        <v>1905</v>
      </c>
      <c r="H23" s="452"/>
    </row>
    <row r="24" spans="1:8" ht="45" customHeight="1">
      <c r="A24" s="1161"/>
      <c r="B24" s="551" t="s">
        <v>64</v>
      </c>
      <c r="C24" s="165" t="s">
        <v>1906</v>
      </c>
      <c r="D24" s="165" t="s">
        <v>17</v>
      </c>
      <c r="E24" s="165"/>
      <c r="F24" s="165" t="s">
        <v>1758</v>
      </c>
      <c r="G24" s="225" t="s">
        <v>1938</v>
      </c>
      <c r="H24" s="452"/>
    </row>
    <row r="25" spans="1:8" ht="45" customHeight="1">
      <c r="A25" s="1161"/>
      <c r="B25" s="551" t="s">
        <v>66</v>
      </c>
      <c r="C25" s="166" t="s">
        <v>1939</v>
      </c>
      <c r="D25" s="166" t="s">
        <v>17</v>
      </c>
      <c r="E25" s="165"/>
      <c r="F25" s="166" t="s">
        <v>1758</v>
      </c>
      <c r="G25" s="225" t="s">
        <v>55</v>
      </c>
      <c r="H25" s="552" t="s">
        <v>2287</v>
      </c>
    </row>
    <row r="26" spans="1:8" ht="45" customHeight="1">
      <c r="A26" s="1161"/>
      <c r="B26" s="551" t="s">
        <v>871</v>
      </c>
      <c r="C26" s="166" t="s">
        <v>1944</v>
      </c>
      <c r="D26" s="166" t="s">
        <v>17</v>
      </c>
      <c r="E26" s="165"/>
      <c r="F26" s="166" t="s">
        <v>1758</v>
      </c>
      <c r="G26" s="225" t="s">
        <v>1945</v>
      </c>
      <c r="H26" s="552" t="s">
        <v>2287</v>
      </c>
    </row>
    <row r="27" spans="1:8" ht="45" customHeight="1">
      <c r="A27" s="1161"/>
      <c r="B27" s="551" t="s">
        <v>67</v>
      </c>
      <c r="C27" s="166" t="s">
        <v>1990</v>
      </c>
      <c r="D27" s="166" t="s">
        <v>17</v>
      </c>
      <c r="E27" s="165"/>
      <c r="F27" s="166" t="s">
        <v>1758</v>
      </c>
      <c r="G27" s="225" t="s">
        <v>1991</v>
      </c>
      <c r="H27" s="452"/>
    </row>
    <row r="28" spans="1:8" ht="45" customHeight="1">
      <c r="A28" s="1161"/>
      <c r="B28" s="551" t="s">
        <v>68</v>
      </c>
      <c r="C28" s="166" t="s">
        <v>1992</v>
      </c>
      <c r="D28" s="166" t="s">
        <v>17</v>
      </c>
      <c r="E28" s="165"/>
      <c r="F28" s="166" t="s">
        <v>1758</v>
      </c>
      <c r="G28" s="225" t="s">
        <v>1993</v>
      </c>
      <c r="H28" s="452"/>
    </row>
    <row r="29" spans="1:8" ht="45" customHeight="1">
      <c r="A29" s="1161"/>
      <c r="B29" s="551" t="s">
        <v>69</v>
      </c>
      <c r="C29" s="166" t="s">
        <v>1994</v>
      </c>
      <c r="D29" s="166" t="s">
        <v>1995</v>
      </c>
      <c r="E29" s="166" t="s">
        <v>1924</v>
      </c>
      <c r="F29" s="166" t="s">
        <v>1758</v>
      </c>
      <c r="G29" s="225" t="s">
        <v>1994</v>
      </c>
      <c r="H29" s="552" t="s">
        <v>2287</v>
      </c>
    </row>
    <row r="30" spans="1:8" ht="45" customHeight="1">
      <c r="A30" s="1161"/>
      <c r="B30" s="551" t="s">
        <v>70</v>
      </c>
      <c r="C30" s="166" t="s">
        <v>1952</v>
      </c>
      <c r="D30" s="166" t="s">
        <v>1995</v>
      </c>
      <c r="E30" s="166"/>
      <c r="F30" s="166" t="s">
        <v>1758</v>
      </c>
      <c r="G30" s="225" t="s">
        <v>1954</v>
      </c>
      <c r="H30" s="452"/>
    </row>
    <row r="31" spans="1:8" ht="45" customHeight="1">
      <c r="A31" s="1161"/>
      <c r="B31" s="551" t="s">
        <v>1006</v>
      </c>
      <c r="C31" s="166" t="s">
        <v>1953</v>
      </c>
      <c r="D31" s="166" t="s">
        <v>1995</v>
      </c>
      <c r="E31" s="166"/>
      <c r="F31" s="166" t="s">
        <v>1758</v>
      </c>
      <c r="G31" s="225" t="s">
        <v>1955</v>
      </c>
      <c r="H31" s="454"/>
    </row>
    <row r="32" spans="1:8" ht="45" customHeight="1">
      <c r="A32" s="1161"/>
      <c r="B32" s="551" t="s">
        <v>1007</v>
      </c>
      <c r="C32" s="166" t="s">
        <v>2295</v>
      </c>
      <c r="D32" s="166" t="s">
        <v>17</v>
      </c>
      <c r="E32" s="165" t="s">
        <v>1996</v>
      </c>
      <c r="F32" s="166" t="s">
        <v>1935</v>
      </c>
      <c r="G32" s="225" t="s">
        <v>1780</v>
      </c>
      <c r="H32" s="552" t="s">
        <v>2287</v>
      </c>
    </row>
    <row r="33" spans="1:8" ht="45" customHeight="1">
      <c r="A33" s="1161"/>
      <c r="B33" s="551" t="s">
        <v>1008</v>
      </c>
      <c r="C33" s="166" t="s">
        <v>1925</v>
      </c>
      <c r="D33" s="228" t="s">
        <v>17</v>
      </c>
      <c r="E33" s="165" t="s">
        <v>1778</v>
      </c>
      <c r="F33" s="228" t="s">
        <v>304</v>
      </c>
      <c r="G33" s="225" t="s">
        <v>56</v>
      </c>
      <c r="H33" s="552" t="s">
        <v>2287</v>
      </c>
    </row>
    <row r="34" spans="1:8" ht="45" customHeight="1">
      <c r="A34" s="1161"/>
      <c r="B34" s="551" t="s">
        <v>1009</v>
      </c>
      <c r="C34" s="166" t="s">
        <v>2296</v>
      </c>
      <c r="D34" s="228" t="s">
        <v>17</v>
      </c>
      <c r="E34" s="165" t="s">
        <v>1778</v>
      </c>
      <c r="F34" s="228" t="s">
        <v>1758</v>
      </c>
      <c r="G34" s="225" t="s">
        <v>1998</v>
      </c>
      <c r="H34" s="552" t="s">
        <v>2287</v>
      </c>
    </row>
    <row r="35" spans="1:8" ht="45" customHeight="1">
      <c r="A35" s="1161"/>
      <c r="B35" s="551" t="s">
        <v>1010</v>
      </c>
      <c r="C35" s="166" t="s">
        <v>1999</v>
      </c>
      <c r="D35" s="248" t="s">
        <v>17</v>
      </c>
      <c r="E35" s="249"/>
      <c r="F35" s="250" t="s">
        <v>304</v>
      </c>
      <c r="G35" s="251" t="s">
        <v>2000</v>
      </c>
      <c r="H35" s="455"/>
    </row>
    <row r="36" spans="1:8" ht="45" customHeight="1">
      <c r="A36" s="1161"/>
      <c r="B36" s="551" t="s">
        <v>1011</v>
      </c>
      <c r="C36" s="166" t="s">
        <v>1781</v>
      </c>
      <c r="D36" s="250" t="s">
        <v>17</v>
      </c>
      <c r="E36" s="250"/>
      <c r="F36" s="250" t="s">
        <v>304</v>
      </c>
      <c r="G36" s="251" t="s">
        <v>58</v>
      </c>
      <c r="H36" s="455"/>
    </row>
    <row r="37" spans="1:8" ht="45" customHeight="1">
      <c r="A37" s="1161"/>
      <c r="B37" s="551" t="s">
        <v>1012</v>
      </c>
      <c r="C37" s="167" t="s">
        <v>2243</v>
      </c>
      <c r="D37" s="167" t="s">
        <v>17</v>
      </c>
      <c r="E37" s="167"/>
      <c r="F37" s="167" t="s">
        <v>1758</v>
      </c>
      <c r="G37" s="225" t="s">
        <v>2245</v>
      </c>
      <c r="H37" s="452"/>
    </row>
    <row r="38" spans="1:8" ht="45" customHeight="1">
      <c r="A38" s="1161"/>
      <c r="B38" s="551" t="s">
        <v>1013</v>
      </c>
      <c r="C38" s="167" t="s">
        <v>2246</v>
      </c>
      <c r="D38" s="167" t="s">
        <v>17</v>
      </c>
      <c r="E38" s="167"/>
      <c r="F38" s="167" t="s">
        <v>1758</v>
      </c>
      <c r="G38" s="225" t="s">
        <v>2247</v>
      </c>
      <c r="H38" s="452"/>
    </row>
    <row r="39" spans="1:8" ht="45" customHeight="1">
      <c r="A39" s="1161"/>
      <c r="B39" s="551" t="s">
        <v>1014</v>
      </c>
      <c r="C39" s="167" t="s">
        <v>2248</v>
      </c>
      <c r="D39" s="553" t="s">
        <v>17</v>
      </c>
      <c r="E39" s="553"/>
      <c r="F39" s="167" t="s">
        <v>1758</v>
      </c>
      <c r="G39" s="225" t="s">
        <v>2250</v>
      </c>
      <c r="H39" s="452"/>
    </row>
    <row r="40" spans="1:8" ht="45" customHeight="1">
      <c r="A40" s="1161"/>
      <c r="B40" s="551" t="s">
        <v>1015</v>
      </c>
      <c r="C40" s="167" t="s">
        <v>2249</v>
      </c>
      <c r="D40" s="553" t="s">
        <v>17</v>
      </c>
      <c r="E40" s="553"/>
      <c r="F40" s="167" t="s">
        <v>1758</v>
      </c>
      <c r="G40" s="225" t="s">
        <v>2251</v>
      </c>
      <c r="H40" s="452"/>
    </row>
    <row r="41" spans="1:8" ht="45" customHeight="1">
      <c r="A41" s="1161"/>
      <c r="B41" s="551" t="s">
        <v>1563</v>
      </c>
      <c r="C41" s="224" t="s">
        <v>2271</v>
      </c>
      <c r="D41" s="166" t="s">
        <v>17</v>
      </c>
      <c r="E41" s="166"/>
      <c r="F41" s="167" t="s">
        <v>1935</v>
      </c>
      <c r="G41" s="225" t="s">
        <v>2270</v>
      </c>
      <c r="H41" s="452"/>
    </row>
    <row r="42" spans="1:8" ht="45" customHeight="1">
      <c r="A42" s="1161"/>
      <c r="B42" s="551" t="s">
        <v>2749</v>
      </c>
      <c r="C42" s="165" t="s">
        <v>2745</v>
      </c>
      <c r="D42" s="224" t="s">
        <v>17</v>
      </c>
      <c r="E42" s="166"/>
      <c r="F42" s="167" t="s">
        <v>1935</v>
      </c>
      <c r="G42" s="225" t="s">
        <v>2751</v>
      </c>
      <c r="H42" s="452"/>
    </row>
    <row r="43" spans="1:8" ht="91">
      <c r="A43" s="1161"/>
      <c r="B43" s="551" t="s">
        <v>2750</v>
      </c>
      <c r="C43" s="165" t="s">
        <v>2748</v>
      </c>
      <c r="D43" s="224" t="s">
        <v>17</v>
      </c>
      <c r="E43" s="166"/>
      <c r="F43" s="167" t="s">
        <v>1935</v>
      </c>
      <c r="G43" s="225" t="s">
        <v>2752</v>
      </c>
      <c r="H43" s="552" t="s">
        <v>2293</v>
      </c>
    </row>
    <row r="44" spans="1:8" ht="45" customHeight="1">
      <c r="A44" s="1162"/>
      <c r="B44" s="551" t="s">
        <v>1708</v>
      </c>
      <c r="C44" s="224" t="s">
        <v>60</v>
      </c>
      <c r="D44" s="224" t="s">
        <v>18</v>
      </c>
      <c r="E44" s="224"/>
      <c r="F44" s="224" t="s">
        <v>1758</v>
      </c>
      <c r="G44" s="225"/>
      <c r="H44" s="452"/>
    </row>
    <row r="45" spans="1:8" ht="87.65" customHeight="1">
      <c r="A45" s="1163" t="s">
        <v>1578</v>
      </c>
      <c r="B45" s="554" t="s">
        <v>1783</v>
      </c>
      <c r="C45" s="168" t="s">
        <v>1946</v>
      </c>
      <c r="D45" s="168" t="s">
        <v>17</v>
      </c>
      <c r="E45" s="168"/>
      <c r="F45" s="168" t="s">
        <v>1758</v>
      </c>
      <c r="G45" s="252" t="s">
        <v>1005</v>
      </c>
      <c r="H45" s="555" t="s">
        <v>2282</v>
      </c>
    </row>
    <row r="46" spans="1:8" ht="39">
      <c r="A46" s="1164"/>
      <c r="B46" s="554" t="s">
        <v>1785</v>
      </c>
      <c r="C46" s="168" t="s">
        <v>1947</v>
      </c>
      <c r="D46" s="168" t="s">
        <v>17</v>
      </c>
      <c r="E46" s="168"/>
      <c r="F46" s="168" t="s">
        <v>1758</v>
      </c>
      <c r="G46" s="252" t="s">
        <v>1948</v>
      </c>
      <c r="H46" s="555" t="s">
        <v>2282</v>
      </c>
    </row>
    <row r="47" spans="1:8" ht="26">
      <c r="A47" s="1164"/>
      <c r="B47" s="554" t="s">
        <v>1786</v>
      </c>
      <c r="C47" s="168" t="s">
        <v>2001</v>
      </c>
      <c r="D47" s="168" t="s">
        <v>18</v>
      </c>
      <c r="E47" s="168"/>
      <c r="F47" s="168" t="s">
        <v>1758</v>
      </c>
      <c r="G47" s="252" t="s">
        <v>2001</v>
      </c>
      <c r="H47" s="452"/>
    </row>
    <row r="48" spans="1:8" ht="45" customHeight="1">
      <c r="A48" s="1164"/>
      <c r="B48" s="554" t="s">
        <v>1787</v>
      </c>
      <c r="C48" s="168" t="s">
        <v>2002</v>
      </c>
      <c r="D48" s="168" t="s">
        <v>17</v>
      </c>
      <c r="E48" s="168"/>
      <c r="F48" s="168" t="s">
        <v>1758</v>
      </c>
      <c r="G48" s="252" t="s">
        <v>1784</v>
      </c>
      <c r="H48" s="452"/>
    </row>
    <row r="49" spans="1:8" ht="52">
      <c r="A49" s="1164"/>
      <c r="B49" s="554" t="s">
        <v>1788</v>
      </c>
      <c r="C49" s="168" t="s">
        <v>2003</v>
      </c>
      <c r="D49" s="168" t="s">
        <v>17</v>
      </c>
      <c r="E49" s="168"/>
      <c r="F49" s="168" t="s">
        <v>1758</v>
      </c>
      <c r="G49" s="252" t="s">
        <v>2004</v>
      </c>
      <c r="H49" s="452"/>
    </row>
    <row r="50" spans="1:8" ht="26">
      <c r="A50" s="1164"/>
      <c r="B50" s="554" t="s">
        <v>1789</v>
      </c>
      <c r="C50" s="168" t="s">
        <v>2005</v>
      </c>
      <c r="D50" s="168" t="s">
        <v>17</v>
      </c>
      <c r="E50" s="168"/>
      <c r="F50" s="168" t="s">
        <v>1758</v>
      </c>
      <c r="G50" s="252" t="s">
        <v>2006</v>
      </c>
      <c r="H50" s="452" t="s">
        <v>1782</v>
      </c>
    </row>
    <row r="51" spans="1:8" ht="26">
      <c r="A51" s="1164"/>
      <c r="B51" s="554" t="s">
        <v>1790</v>
      </c>
      <c r="C51" s="253" t="s">
        <v>1900</v>
      </c>
      <c r="D51" s="253" t="s">
        <v>1995</v>
      </c>
      <c r="E51" s="253"/>
      <c r="F51" s="253" t="s">
        <v>304</v>
      </c>
      <c r="G51" s="252" t="s">
        <v>2007</v>
      </c>
      <c r="H51" s="452" t="s">
        <v>1782</v>
      </c>
    </row>
    <row r="52" spans="1:8" ht="45" customHeight="1">
      <c r="A52" s="1164"/>
      <c r="B52" s="554" t="s">
        <v>1792</v>
      </c>
      <c r="C52" s="168" t="s">
        <v>2008</v>
      </c>
      <c r="D52" s="168" t="s">
        <v>17</v>
      </c>
      <c r="E52" s="168"/>
      <c r="F52" s="168" t="s">
        <v>304</v>
      </c>
      <c r="G52" s="252" t="s">
        <v>2009</v>
      </c>
      <c r="H52" s="452"/>
    </row>
    <row r="53" spans="1:8" ht="45" customHeight="1">
      <c r="A53" s="1164"/>
      <c r="B53" s="554" t="s">
        <v>1794</v>
      </c>
      <c r="C53" s="254" t="s">
        <v>1823</v>
      </c>
      <c r="D53" s="168" t="s">
        <v>1907</v>
      </c>
      <c r="E53" s="255"/>
      <c r="F53" s="255" t="s">
        <v>1758</v>
      </c>
      <c r="G53" s="252" t="s">
        <v>1791</v>
      </c>
      <c r="H53" s="452"/>
    </row>
    <row r="54" spans="1:8" ht="51.75" customHeight="1">
      <c r="A54" s="1164"/>
      <c r="B54" s="554" t="s">
        <v>1795</v>
      </c>
      <c r="C54" s="256" t="s">
        <v>1824</v>
      </c>
      <c r="D54" s="168" t="s">
        <v>1903</v>
      </c>
      <c r="E54" s="257"/>
      <c r="F54" s="257" t="s">
        <v>1758</v>
      </c>
      <c r="G54" s="252" t="s">
        <v>1793</v>
      </c>
      <c r="H54" s="452"/>
    </row>
    <row r="55" spans="1:8" ht="45" customHeight="1">
      <c r="A55" s="1164"/>
      <c r="B55" s="554" t="s">
        <v>1796</v>
      </c>
      <c r="C55" s="257" t="s">
        <v>2283</v>
      </c>
      <c r="D55" s="257" t="s">
        <v>17</v>
      </c>
      <c r="E55" s="257"/>
      <c r="F55" s="257" t="s">
        <v>1758</v>
      </c>
      <c r="G55" s="252" t="s">
        <v>1004</v>
      </c>
      <c r="H55" s="555" t="s">
        <v>2282</v>
      </c>
    </row>
    <row r="56" spans="1:8" ht="45" customHeight="1">
      <c r="A56" s="1164"/>
      <c r="B56" s="554" t="s">
        <v>1797</v>
      </c>
      <c r="C56" s="257" t="s">
        <v>2284</v>
      </c>
      <c r="D56" s="257" t="s">
        <v>17</v>
      </c>
      <c r="E56" s="257"/>
      <c r="F56" s="257" t="s">
        <v>1758</v>
      </c>
      <c r="G56" s="252" t="s">
        <v>1004</v>
      </c>
      <c r="H56" s="555" t="s">
        <v>2282</v>
      </c>
    </row>
    <row r="57" spans="1:8" ht="65">
      <c r="A57" s="1164"/>
      <c r="B57" s="554" t="s">
        <v>1798</v>
      </c>
      <c r="C57" s="257" t="s">
        <v>2297</v>
      </c>
      <c r="D57" s="257" t="s">
        <v>17</v>
      </c>
      <c r="E57" s="257"/>
      <c r="F57" s="257" t="s">
        <v>1935</v>
      </c>
      <c r="G57" s="252" t="s">
        <v>2298</v>
      </c>
      <c r="H57" s="555" t="s">
        <v>2288</v>
      </c>
    </row>
    <row r="58" spans="1:8" ht="65">
      <c r="A58" s="1164"/>
      <c r="B58" s="554" t="s">
        <v>1800</v>
      </c>
      <c r="C58" s="257" t="s">
        <v>2299</v>
      </c>
      <c r="D58" s="257" t="s">
        <v>17</v>
      </c>
      <c r="E58" s="257"/>
      <c r="F58" s="257" t="s">
        <v>1935</v>
      </c>
      <c r="G58" s="252" t="s">
        <v>2300</v>
      </c>
      <c r="H58" s="555" t="s">
        <v>2288</v>
      </c>
    </row>
    <row r="59" spans="1:8" ht="52">
      <c r="A59" s="1164"/>
      <c r="B59" s="554" t="s">
        <v>1802</v>
      </c>
      <c r="C59" s="521" t="s">
        <v>2281</v>
      </c>
      <c r="D59" s="257" t="s">
        <v>17</v>
      </c>
      <c r="E59" s="257"/>
      <c r="F59" s="257"/>
      <c r="G59" s="252" t="s">
        <v>2169</v>
      </c>
      <c r="H59" s="555" t="s">
        <v>2282</v>
      </c>
    </row>
    <row r="60" spans="1:8" ht="45" customHeight="1">
      <c r="A60" s="1165"/>
      <c r="B60" s="554" t="s">
        <v>1804</v>
      </c>
      <c r="C60" s="257" t="s">
        <v>65</v>
      </c>
      <c r="D60" s="257" t="s">
        <v>18</v>
      </c>
      <c r="E60" s="257"/>
      <c r="F60" s="257" t="s">
        <v>1758</v>
      </c>
      <c r="G60" s="252"/>
      <c r="H60" s="452"/>
    </row>
    <row r="61" spans="1:8" ht="45" customHeight="1">
      <c r="A61" s="1166" t="s">
        <v>1579</v>
      </c>
      <c r="B61" s="556" t="s">
        <v>1807</v>
      </c>
      <c r="C61" s="258" t="s">
        <v>1926</v>
      </c>
      <c r="D61" s="258" t="s">
        <v>17</v>
      </c>
      <c r="E61" s="258"/>
      <c r="F61" s="258" t="s">
        <v>2010</v>
      </c>
      <c r="G61" s="259" t="s">
        <v>1799</v>
      </c>
      <c r="H61" s="452"/>
    </row>
    <row r="62" spans="1:8" ht="45" customHeight="1">
      <c r="A62" s="1167"/>
      <c r="B62" s="556" t="s">
        <v>1810</v>
      </c>
      <c r="C62" s="258" t="s">
        <v>1956</v>
      </c>
      <c r="D62" s="258" t="s">
        <v>17</v>
      </c>
      <c r="E62" s="258"/>
      <c r="F62" s="258" t="s">
        <v>2010</v>
      </c>
      <c r="G62" s="259" t="s">
        <v>1957</v>
      </c>
      <c r="H62" s="452"/>
    </row>
    <row r="63" spans="1:8" ht="45" customHeight="1">
      <c r="A63" s="1167"/>
      <c r="B63" s="556" t="s">
        <v>1812</v>
      </c>
      <c r="C63" s="260" t="s">
        <v>1927</v>
      </c>
      <c r="D63" s="260" t="s">
        <v>17</v>
      </c>
      <c r="E63" s="260"/>
      <c r="F63" s="260" t="s">
        <v>304</v>
      </c>
      <c r="G63" s="259" t="s">
        <v>1803</v>
      </c>
      <c r="H63" s="452"/>
    </row>
    <row r="64" spans="1:8" ht="45" customHeight="1">
      <c r="A64" s="1167"/>
      <c r="B64" s="556" t="s">
        <v>1813</v>
      </c>
      <c r="C64" s="260" t="s">
        <v>1928</v>
      </c>
      <c r="D64" s="260" t="s">
        <v>17</v>
      </c>
      <c r="E64" s="260"/>
      <c r="F64" s="258" t="s">
        <v>2010</v>
      </c>
      <c r="G64" s="259" t="s">
        <v>1801</v>
      </c>
      <c r="H64" s="452"/>
    </row>
    <row r="65" spans="1:8" ht="45" customHeight="1">
      <c r="A65" s="1167"/>
      <c r="B65" s="556" t="s">
        <v>1814</v>
      </c>
      <c r="C65" s="260" t="s">
        <v>1958</v>
      </c>
      <c r="D65" s="260" t="s">
        <v>17</v>
      </c>
      <c r="E65" s="260"/>
      <c r="F65" s="258" t="s">
        <v>2010</v>
      </c>
      <c r="G65" s="259" t="s">
        <v>1959</v>
      </c>
      <c r="H65" s="452"/>
    </row>
    <row r="66" spans="1:8" ht="39">
      <c r="A66" s="1167"/>
      <c r="B66" s="556" t="s">
        <v>1815</v>
      </c>
      <c r="C66" s="260" t="s">
        <v>1805</v>
      </c>
      <c r="D66" s="260" t="s">
        <v>17</v>
      </c>
      <c r="E66" s="260"/>
      <c r="F66" s="260" t="s">
        <v>1758</v>
      </c>
      <c r="G66" s="261" t="s">
        <v>1806</v>
      </c>
      <c r="H66" s="557" t="s">
        <v>2289</v>
      </c>
    </row>
    <row r="67" spans="1:8" ht="39">
      <c r="A67" s="1167"/>
      <c r="B67" s="556" t="s">
        <v>1949</v>
      </c>
      <c r="C67" s="260" t="s">
        <v>1808</v>
      </c>
      <c r="D67" s="260" t="s">
        <v>17</v>
      </c>
      <c r="E67" s="260"/>
      <c r="F67" s="260" t="s">
        <v>1758</v>
      </c>
      <c r="G67" s="261" t="s">
        <v>1809</v>
      </c>
      <c r="H67" s="557" t="s">
        <v>2289</v>
      </c>
    </row>
    <row r="68" spans="1:8" ht="45" customHeight="1">
      <c r="A68" s="1167"/>
      <c r="B68" s="556" t="s">
        <v>1950</v>
      </c>
      <c r="C68" s="260" t="s">
        <v>1811</v>
      </c>
      <c r="D68" s="227" t="s">
        <v>17</v>
      </c>
      <c r="E68" s="227"/>
      <c r="F68" s="260" t="s">
        <v>1758</v>
      </c>
      <c r="G68" s="261" t="s">
        <v>2011</v>
      </c>
      <c r="H68" s="557" t="s">
        <v>2289</v>
      </c>
    </row>
    <row r="69" spans="1:8" ht="39">
      <c r="A69" s="1167"/>
      <c r="B69" s="556" t="s">
        <v>2013</v>
      </c>
      <c r="C69" s="260" t="s">
        <v>2301</v>
      </c>
      <c r="D69" s="227" t="s">
        <v>17</v>
      </c>
      <c r="E69" s="227"/>
      <c r="F69" s="260" t="s">
        <v>1758</v>
      </c>
      <c r="G69" s="261" t="s">
        <v>2302</v>
      </c>
      <c r="H69" s="557" t="s">
        <v>2289</v>
      </c>
    </row>
    <row r="70" spans="1:8" ht="45" customHeight="1">
      <c r="A70" s="1167"/>
      <c r="B70" s="556" t="s">
        <v>2016</v>
      </c>
      <c r="C70" s="227" t="s">
        <v>2012</v>
      </c>
      <c r="D70" s="227" t="s">
        <v>1902</v>
      </c>
      <c r="E70" s="227"/>
      <c r="F70" s="227" t="s">
        <v>1935</v>
      </c>
      <c r="G70" s="261"/>
      <c r="H70" s="452"/>
    </row>
    <row r="71" spans="1:8" ht="45" customHeight="1">
      <c r="A71" s="1167"/>
      <c r="B71" s="556" t="s">
        <v>2018</v>
      </c>
      <c r="C71" s="227" t="s">
        <v>2014</v>
      </c>
      <c r="D71" s="227" t="s">
        <v>17</v>
      </c>
      <c r="E71" s="227"/>
      <c r="F71" s="227" t="s">
        <v>1935</v>
      </c>
      <c r="G71" s="261" t="s">
        <v>2015</v>
      </c>
      <c r="H71" s="452"/>
    </row>
    <row r="72" spans="1:8" ht="45" customHeight="1">
      <c r="A72" s="1167"/>
      <c r="B72" s="556" t="s">
        <v>2174</v>
      </c>
      <c r="C72" s="262" t="s">
        <v>2017</v>
      </c>
      <c r="D72" s="262" t="s">
        <v>52</v>
      </c>
      <c r="E72" s="262"/>
      <c r="F72" s="227" t="s">
        <v>304</v>
      </c>
      <c r="G72" s="263" t="s">
        <v>2017</v>
      </c>
      <c r="H72" s="455"/>
    </row>
    <row r="73" spans="1:8" ht="45" customHeight="1">
      <c r="A73" s="1168"/>
      <c r="B73" s="556" t="s">
        <v>2175</v>
      </c>
      <c r="C73" s="262" t="s">
        <v>72</v>
      </c>
      <c r="D73" s="262" t="s">
        <v>18</v>
      </c>
      <c r="E73" s="262"/>
      <c r="F73" s="262" t="s">
        <v>1758</v>
      </c>
      <c r="G73" s="263"/>
      <c r="H73" s="455"/>
    </row>
    <row r="74" spans="1:8" ht="45" customHeight="1">
      <c r="A74" s="1169" t="s">
        <v>2215</v>
      </c>
      <c r="B74" s="558" t="s">
        <v>2176</v>
      </c>
      <c r="C74" s="478" t="s">
        <v>2170</v>
      </c>
      <c r="D74" s="478" t="s">
        <v>52</v>
      </c>
      <c r="F74" s="478" t="s">
        <v>1758</v>
      </c>
      <c r="G74" s="479"/>
    </row>
    <row r="75" spans="1:8" ht="45" customHeight="1">
      <c r="A75" s="1170"/>
      <c r="B75" s="558" t="s">
        <v>2177</v>
      </c>
      <c r="C75" s="478" t="s">
        <v>2171</v>
      </c>
      <c r="D75" s="478" t="s">
        <v>52</v>
      </c>
      <c r="F75" s="478" t="s">
        <v>1758</v>
      </c>
      <c r="G75" s="479"/>
    </row>
    <row r="76" spans="1:8" ht="45" customHeight="1">
      <c r="A76" s="1170"/>
      <c r="B76" s="558" t="s">
        <v>2178</v>
      </c>
      <c r="C76" s="478" t="s">
        <v>2172</v>
      </c>
      <c r="D76" s="478" t="s">
        <v>17</v>
      </c>
      <c r="F76" s="478" t="s">
        <v>1758</v>
      </c>
      <c r="G76" s="479"/>
    </row>
    <row r="77" spans="1:8" ht="45" customHeight="1">
      <c r="A77" s="1171"/>
      <c r="B77" s="558" t="s">
        <v>2255</v>
      </c>
      <c r="C77" s="478" t="s">
        <v>2173</v>
      </c>
      <c r="D77" s="478" t="s">
        <v>52</v>
      </c>
      <c r="F77" s="478" t="s">
        <v>1758</v>
      </c>
      <c r="G77" s="479"/>
    </row>
    <row r="78" spans="1:8" ht="45" customHeight="1">
      <c r="A78" s="1154" t="s">
        <v>2259</v>
      </c>
      <c r="B78" s="518" t="s">
        <v>2256</v>
      </c>
      <c r="C78" s="479" t="s">
        <v>2252</v>
      </c>
      <c r="D78" s="479" t="s">
        <v>17</v>
      </c>
      <c r="E78" s="479" t="s">
        <v>2244</v>
      </c>
      <c r="F78" s="507"/>
      <c r="G78" s="479"/>
      <c r="H78" s="559" t="s">
        <v>2294</v>
      </c>
    </row>
    <row r="79" spans="1:8" ht="45" customHeight="1">
      <c r="A79" s="1155"/>
      <c r="B79" s="518" t="s">
        <v>2257</v>
      </c>
      <c r="C79" s="479" t="s">
        <v>2253</v>
      </c>
      <c r="D79" s="479" t="s">
        <v>17</v>
      </c>
      <c r="E79" s="479" t="s">
        <v>2244</v>
      </c>
      <c r="F79" s="507"/>
      <c r="G79" s="479"/>
      <c r="H79" s="559" t="s">
        <v>2294</v>
      </c>
    </row>
    <row r="80" spans="1:8" ht="45" customHeight="1">
      <c r="A80" s="1155"/>
      <c r="B80" s="518" t="s">
        <v>2303</v>
      </c>
      <c r="C80" s="479" t="s">
        <v>2254</v>
      </c>
      <c r="D80" s="479" t="s">
        <v>17</v>
      </c>
      <c r="E80" s="479" t="s">
        <v>2244</v>
      </c>
      <c r="F80" s="507"/>
      <c r="G80" s="479"/>
      <c r="H80" s="559" t="s">
        <v>2294</v>
      </c>
    </row>
    <row r="81" spans="1:7" ht="45" customHeight="1">
      <c r="A81" s="1153" t="s">
        <v>2686</v>
      </c>
      <c r="B81" s="696" t="s">
        <v>2683</v>
      </c>
      <c r="C81" s="695" t="s">
        <v>2674</v>
      </c>
      <c r="D81" s="695" t="s">
        <v>17</v>
      </c>
      <c r="E81" s="691"/>
      <c r="F81" s="691"/>
      <c r="G81" s="691"/>
    </row>
    <row r="82" spans="1:7" ht="45" customHeight="1">
      <c r="A82" s="1153"/>
      <c r="B82" s="696" t="s">
        <v>2684</v>
      </c>
      <c r="C82" s="695" t="s">
        <v>2675</v>
      </c>
      <c r="D82" s="695" t="s">
        <v>17</v>
      </c>
      <c r="E82" s="691"/>
      <c r="F82" s="691"/>
      <c r="G82" s="691"/>
    </row>
    <row r="83" spans="1:7" ht="45" customHeight="1">
      <c r="A83" s="1153"/>
      <c r="B83" s="696" t="s">
        <v>2685</v>
      </c>
      <c r="C83" s="695" t="s">
        <v>2676</v>
      </c>
      <c r="D83" s="695" t="s">
        <v>19</v>
      </c>
      <c r="E83" s="691"/>
      <c r="F83" s="691"/>
      <c r="G83" s="691"/>
    </row>
    <row r="84" spans="1:7" ht="45" customHeight="1">
      <c r="A84" s="1153"/>
      <c r="B84" s="696" t="s">
        <v>2687</v>
      </c>
      <c r="C84" s="695" t="s">
        <v>2677</v>
      </c>
      <c r="D84" s="695" t="s">
        <v>18</v>
      </c>
      <c r="E84" s="691"/>
      <c r="F84" s="691"/>
      <c r="G84" s="691"/>
    </row>
    <row r="85" spans="1:7" ht="45" customHeight="1">
      <c r="C85" s="264" t="s">
        <v>1275</v>
      </c>
    </row>
  </sheetData>
  <autoFilter ref="B2:H73" xr:uid="{00000000-0009-0000-0000-000004000000}"/>
  <mergeCells count="8">
    <mergeCell ref="A81:A84"/>
    <mergeCell ref="A78:A80"/>
    <mergeCell ref="B1:G1"/>
    <mergeCell ref="A3:A21"/>
    <mergeCell ref="A22:A44"/>
    <mergeCell ref="A45:A60"/>
    <mergeCell ref="A61:A73"/>
    <mergeCell ref="A74:A77"/>
  </mergeCells>
  <phoneticPr fontId="147" type="noConversion"/>
  <pageMargins left="0.25" right="0.25" top="0" bottom="0" header="0.3" footer="0.3"/>
  <pageSetup scale="60" orientation="portrait" r:id="rId1"/>
  <rowBreaks count="3" manualBreakCount="3">
    <brk id="24" min="1" max="6" man="1"/>
    <brk id="50" min="1" max="6" man="1"/>
    <brk id="73" min="1"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0C180-3D20-4DED-B270-D3627C7474E4}">
  <dimension ref="A1:H84"/>
  <sheetViews>
    <sheetView topLeftCell="A78" zoomScale="110" zoomScaleNormal="110" zoomScaleSheetLayoutView="91" workbookViewId="0">
      <selection activeCell="G84" sqref="G84"/>
    </sheetView>
  </sheetViews>
  <sheetFormatPr defaultColWidth="8" defaultRowHeight="45" customHeight="1"/>
  <cols>
    <col min="1" max="1" width="7.58203125" style="510" bestFit="1" customWidth="1"/>
    <col min="2" max="2" width="6.08203125" style="243" customWidth="1"/>
    <col min="3" max="3" width="46.5" style="270" customWidth="1"/>
    <col min="4" max="4" width="11.58203125" style="265" customWidth="1"/>
    <col min="5" max="5" width="16.58203125" style="265" hidden="1" customWidth="1"/>
    <col min="6" max="6" width="13.1640625" style="265" hidden="1" customWidth="1"/>
    <col min="7" max="7" width="65.1640625" style="269" customWidth="1"/>
    <col min="8" max="8" width="57.1640625" style="163" bestFit="1" customWidth="1"/>
    <col min="9" max="16384" width="8" style="266"/>
  </cols>
  <sheetData>
    <row r="1" spans="1:8" ht="45" customHeight="1">
      <c r="A1" s="508"/>
      <c r="B1" s="1173"/>
      <c r="C1" s="1173"/>
      <c r="D1" s="1173"/>
      <c r="E1" s="1173"/>
      <c r="F1" s="1173"/>
      <c r="G1" s="1173"/>
    </row>
    <row r="2" spans="1:8" s="267" customFormat="1" ht="56.25" customHeight="1">
      <c r="A2" s="509"/>
      <c r="B2" s="244" t="s">
        <v>45</v>
      </c>
      <c r="C2" s="220" t="s">
        <v>1753</v>
      </c>
      <c r="D2" s="245" t="s">
        <v>1754</v>
      </c>
      <c r="E2" s="245" t="s">
        <v>1755</v>
      </c>
      <c r="F2" s="245" t="s">
        <v>1756</v>
      </c>
      <c r="G2" s="245" t="s">
        <v>46</v>
      </c>
      <c r="H2" s="164" t="s">
        <v>2272</v>
      </c>
    </row>
    <row r="3" spans="1:8" ht="14">
      <c r="A3" s="1157" t="s">
        <v>2258</v>
      </c>
      <c r="B3" s="549" t="s">
        <v>0</v>
      </c>
      <c r="C3" s="219" t="s">
        <v>1852</v>
      </c>
      <c r="D3" s="247" t="s">
        <v>16</v>
      </c>
      <c r="E3" s="247"/>
      <c r="F3" s="247" t="s">
        <v>1758</v>
      </c>
      <c r="G3" s="560" t="s">
        <v>1852</v>
      </c>
      <c r="H3" s="452"/>
    </row>
    <row r="4" spans="1:8" ht="14">
      <c r="A4" s="1158"/>
      <c r="B4" s="549" t="s">
        <v>1</v>
      </c>
      <c r="C4" s="219" t="s">
        <v>1853</v>
      </c>
      <c r="D4" s="247" t="s">
        <v>16</v>
      </c>
      <c r="E4" s="247"/>
      <c r="F4" s="247" t="s">
        <v>1758</v>
      </c>
      <c r="G4" s="560" t="s">
        <v>1963</v>
      </c>
      <c r="H4" s="452"/>
    </row>
    <row r="5" spans="1:8" ht="14">
      <c r="A5" s="1158"/>
      <c r="B5" s="549" t="s">
        <v>2</v>
      </c>
      <c r="C5" s="219" t="s">
        <v>1854</v>
      </c>
      <c r="D5" s="247" t="s">
        <v>16</v>
      </c>
      <c r="E5" s="247"/>
      <c r="F5" s="247" t="s">
        <v>1758</v>
      </c>
      <c r="G5" s="560" t="s">
        <v>1854</v>
      </c>
      <c r="H5" s="452"/>
    </row>
    <row r="6" spans="1:8" ht="14">
      <c r="A6" s="1158"/>
      <c r="B6" s="549" t="s">
        <v>3</v>
      </c>
      <c r="C6" s="219" t="s">
        <v>1855</v>
      </c>
      <c r="D6" s="247" t="s">
        <v>18</v>
      </c>
      <c r="E6" s="247"/>
      <c r="F6" s="247" t="s">
        <v>1758</v>
      </c>
      <c r="G6" s="560" t="s">
        <v>1962</v>
      </c>
      <c r="H6" s="452"/>
    </row>
    <row r="7" spans="1:8" ht="14">
      <c r="A7" s="1158"/>
      <c r="B7" s="549" t="s">
        <v>4</v>
      </c>
      <c r="C7" s="219" t="s">
        <v>1856</v>
      </c>
      <c r="D7" s="247" t="s">
        <v>16</v>
      </c>
      <c r="E7" s="247"/>
      <c r="F7" s="247" t="s">
        <v>1758</v>
      </c>
      <c r="G7" s="560" t="s">
        <v>1856</v>
      </c>
      <c r="H7" s="452"/>
    </row>
    <row r="8" spans="1:8" ht="14">
      <c r="A8" s="1158"/>
      <c r="B8" s="549" t="s">
        <v>869</v>
      </c>
      <c r="C8" s="219" t="s">
        <v>1857</v>
      </c>
      <c r="D8" s="247" t="s">
        <v>16</v>
      </c>
      <c r="E8" s="247"/>
      <c r="F8" s="247" t="s">
        <v>1758</v>
      </c>
      <c r="G8" s="560" t="s">
        <v>1857</v>
      </c>
      <c r="H8" s="452"/>
    </row>
    <row r="9" spans="1:8" ht="26">
      <c r="A9" s="1158"/>
      <c r="B9" s="549" t="s">
        <v>5</v>
      </c>
      <c r="C9" s="219" t="s">
        <v>1858</v>
      </c>
      <c r="D9" s="247" t="s">
        <v>1937</v>
      </c>
      <c r="E9" s="247"/>
      <c r="F9" s="247" t="s">
        <v>1758</v>
      </c>
      <c r="G9" s="560" t="s">
        <v>1858</v>
      </c>
      <c r="H9" s="452"/>
    </row>
    <row r="10" spans="1:8" ht="25">
      <c r="A10" s="1158"/>
      <c r="B10" s="549" t="s">
        <v>6</v>
      </c>
      <c r="C10" s="219" t="s">
        <v>1859</v>
      </c>
      <c r="D10" s="247" t="s">
        <v>16</v>
      </c>
      <c r="E10" s="247"/>
      <c r="F10" s="247" t="s">
        <v>1758</v>
      </c>
      <c r="G10" s="560" t="s">
        <v>1859</v>
      </c>
      <c r="H10" s="452"/>
    </row>
    <row r="11" spans="1:8" ht="14">
      <c r="A11" s="1158"/>
      <c r="B11" s="549" t="s">
        <v>47</v>
      </c>
      <c r="C11" s="219" t="s">
        <v>1899</v>
      </c>
      <c r="D11" s="247" t="s">
        <v>17</v>
      </c>
      <c r="E11" s="247"/>
      <c r="F11" s="247" t="s">
        <v>1758</v>
      </c>
      <c r="G11" s="560" t="s">
        <v>1964</v>
      </c>
      <c r="H11" s="452"/>
    </row>
    <row r="12" spans="1:8" ht="14">
      <c r="A12" s="1158"/>
      <c r="B12" s="549" t="s">
        <v>48</v>
      </c>
      <c r="C12" s="219" t="s">
        <v>1898</v>
      </c>
      <c r="D12" s="247" t="s">
        <v>17</v>
      </c>
      <c r="E12" s="247"/>
      <c r="F12" s="247" t="s">
        <v>1758</v>
      </c>
      <c r="G12" s="560" t="s">
        <v>1965</v>
      </c>
      <c r="H12" s="452"/>
    </row>
    <row r="13" spans="1:8" ht="14">
      <c r="A13" s="1158"/>
      <c r="B13" s="549" t="s">
        <v>51</v>
      </c>
      <c r="C13" s="219" t="s">
        <v>1860</v>
      </c>
      <c r="D13" s="247" t="s">
        <v>19</v>
      </c>
      <c r="E13" s="247"/>
      <c r="F13" s="247" t="s">
        <v>1758</v>
      </c>
      <c r="G13" s="560" t="s">
        <v>1860</v>
      </c>
      <c r="H13" s="452"/>
    </row>
    <row r="14" spans="1:8" ht="14">
      <c r="A14" s="1158"/>
      <c r="B14" s="549" t="s">
        <v>53</v>
      </c>
      <c r="C14" s="219" t="s">
        <v>1861</v>
      </c>
      <c r="D14" s="247" t="s">
        <v>19</v>
      </c>
      <c r="E14" s="247"/>
      <c r="F14" s="247" t="s">
        <v>1758</v>
      </c>
      <c r="G14" s="560" t="s">
        <v>1861</v>
      </c>
      <c r="H14" s="452"/>
    </row>
    <row r="15" spans="1:8" ht="25">
      <c r="A15" s="1158"/>
      <c r="B15" s="549" t="s">
        <v>54</v>
      </c>
      <c r="C15" s="219" t="s">
        <v>2019</v>
      </c>
      <c r="D15" s="247" t="s">
        <v>17</v>
      </c>
      <c r="E15" s="247"/>
      <c r="F15" s="247" t="s">
        <v>1935</v>
      </c>
      <c r="G15" s="560" t="s">
        <v>2019</v>
      </c>
      <c r="H15" s="452"/>
    </row>
    <row r="16" spans="1:8" ht="37.5">
      <c r="A16" s="1158"/>
      <c r="B16" s="549" t="s">
        <v>115</v>
      </c>
      <c r="C16" s="219" t="s">
        <v>1567</v>
      </c>
      <c r="D16" s="247" t="s">
        <v>17</v>
      </c>
      <c r="E16" s="247"/>
      <c r="F16" s="247" t="s">
        <v>304</v>
      </c>
      <c r="G16" s="560" t="s">
        <v>1862</v>
      </c>
      <c r="H16" s="452"/>
    </row>
    <row r="17" spans="1:8" ht="37.5">
      <c r="A17" s="1158"/>
      <c r="B17" s="549" t="s">
        <v>116</v>
      </c>
      <c r="C17" s="219" t="s">
        <v>1863</v>
      </c>
      <c r="D17" s="247" t="s">
        <v>17</v>
      </c>
      <c r="E17" s="247"/>
      <c r="F17" s="247" t="s">
        <v>304</v>
      </c>
      <c r="G17" s="560" t="s">
        <v>1864</v>
      </c>
      <c r="H17" s="452"/>
    </row>
    <row r="18" spans="1:8" ht="26">
      <c r="A18" s="1158"/>
      <c r="B18" s="549" t="s">
        <v>59</v>
      </c>
      <c r="C18" s="219" t="s">
        <v>1865</v>
      </c>
      <c r="D18" s="247" t="s">
        <v>17</v>
      </c>
      <c r="E18" s="247" t="s">
        <v>1986</v>
      </c>
      <c r="F18" s="247" t="s">
        <v>1758</v>
      </c>
      <c r="G18" s="560" t="s">
        <v>1866</v>
      </c>
      <c r="H18" s="452"/>
    </row>
    <row r="19" spans="1:8" ht="26">
      <c r="A19" s="1158"/>
      <c r="B19" s="549" t="s">
        <v>57</v>
      </c>
      <c r="C19" s="219" t="s">
        <v>1867</v>
      </c>
      <c r="D19" s="247" t="s">
        <v>1775</v>
      </c>
      <c r="E19" s="247"/>
      <c r="F19" s="247" t="s">
        <v>1758</v>
      </c>
      <c r="G19" s="560" t="s">
        <v>1966</v>
      </c>
      <c r="H19" s="452"/>
    </row>
    <row r="20" spans="1:8" ht="14">
      <c r="A20" s="1158"/>
      <c r="B20" s="549" t="s">
        <v>61</v>
      </c>
      <c r="C20" s="219" t="s">
        <v>1868</v>
      </c>
      <c r="D20" s="247" t="s">
        <v>17</v>
      </c>
      <c r="E20" s="247"/>
      <c r="F20" s="247" t="s">
        <v>1758</v>
      </c>
      <c r="G20" s="560" t="s">
        <v>1968</v>
      </c>
      <c r="H20" s="452"/>
    </row>
    <row r="21" spans="1:8" ht="14">
      <c r="A21" s="1159"/>
      <c r="B21" s="549" t="s">
        <v>870</v>
      </c>
      <c r="C21" s="219" t="s">
        <v>1869</v>
      </c>
      <c r="D21" s="247" t="s">
        <v>17</v>
      </c>
      <c r="E21" s="247"/>
      <c r="F21" s="247" t="s">
        <v>1758</v>
      </c>
      <c r="G21" s="560" t="s">
        <v>1967</v>
      </c>
      <c r="H21" s="452"/>
    </row>
    <row r="22" spans="1:8" ht="39">
      <c r="A22" s="1160" t="s">
        <v>1577</v>
      </c>
      <c r="B22" s="551" t="s">
        <v>62</v>
      </c>
      <c r="C22" s="210" t="s">
        <v>1940</v>
      </c>
      <c r="D22" s="165" t="s">
        <v>17</v>
      </c>
      <c r="E22" s="165"/>
      <c r="F22" s="165" t="s">
        <v>1758</v>
      </c>
      <c r="G22" s="208" t="s">
        <v>1969</v>
      </c>
      <c r="H22" s="453" t="s">
        <v>2287</v>
      </c>
    </row>
    <row r="23" spans="1:8" ht="37.5">
      <c r="A23" s="1161"/>
      <c r="B23" s="551" t="s">
        <v>63</v>
      </c>
      <c r="C23" s="210" t="s">
        <v>1908</v>
      </c>
      <c r="D23" s="165" t="s">
        <v>17</v>
      </c>
      <c r="E23" s="165"/>
      <c r="F23" s="165" t="s">
        <v>1758</v>
      </c>
      <c r="G23" s="208" t="s">
        <v>1908</v>
      </c>
      <c r="H23" s="452"/>
    </row>
    <row r="24" spans="1:8" ht="25">
      <c r="A24" s="1161"/>
      <c r="B24" s="551" t="s">
        <v>64</v>
      </c>
      <c r="C24" s="210" t="s">
        <v>1909</v>
      </c>
      <c r="D24" s="165" t="s">
        <v>17</v>
      </c>
      <c r="E24" s="165"/>
      <c r="F24" s="165" t="s">
        <v>1758</v>
      </c>
      <c r="G24" s="211" t="s">
        <v>1910</v>
      </c>
      <c r="H24" s="452"/>
    </row>
    <row r="25" spans="1:8" ht="39">
      <c r="A25" s="1161"/>
      <c r="B25" s="551" t="s">
        <v>66</v>
      </c>
      <c r="C25" s="212" t="s">
        <v>2020</v>
      </c>
      <c r="D25" s="166" t="s">
        <v>17</v>
      </c>
      <c r="E25" s="165"/>
      <c r="F25" s="166" t="s">
        <v>1758</v>
      </c>
      <c r="G25" s="209" t="s">
        <v>1941</v>
      </c>
      <c r="H25" s="453" t="s">
        <v>2287</v>
      </c>
    </row>
    <row r="26" spans="1:8" ht="39">
      <c r="A26" s="1161"/>
      <c r="B26" s="551" t="s">
        <v>871</v>
      </c>
      <c r="C26" s="210" t="s">
        <v>1942</v>
      </c>
      <c r="D26" s="166" t="s">
        <v>17</v>
      </c>
      <c r="E26" s="165"/>
      <c r="F26" s="166" t="s">
        <v>1758</v>
      </c>
      <c r="G26" s="211" t="s">
        <v>1892</v>
      </c>
      <c r="H26" s="453" t="s">
        <v>2287</v>
      </c>
    </row>
    <row r="27" spans="1:8" ht="62.5">
      <c r="A27" s="1161"/>
      <c r="B27" s="551" t="s">
        <v>67</v>
      </c>
      <c r="C27" s="212" t="s">
        <v>2021</v>
      </c>
      <c r="D27" s="166" t="s">
        <v>17</v>
      </c>
      <c r="E27" s="165"/>
      <c r="F27" s="166" t="s">
        <v>1758</v>
      </c>
      <c r="G27" s="212" t="s">
        <v>2021</v>
      </c>
      <c r="H27" s="452"/>
    </row>
    <row r="28" spans="1:8" ht="62.5">
      <c r="A28" s="1161"/>
      <c r="B28" s="551" t="s">
        <v>68</v>
      </c>
      <c r="C28" s="210" t="s">
        <v>2022</v>
      </c>
      <c r="D28" s="166" t="s">
        <v>17</v>
      </c>
      <c r="E28" s="165"/>
      <c r="F28" s="166" t="s">
        <v>1758</v>
      </c>
      <c r="G28" s="210" t="s">
        <v>2022</v>
      </c>
      <c r="H28" s="452"/>
    </row>
    <row r="29" spans="1:8" ht="39">
      <c r="A29" s="1161"/>
      <c r="B29" s="551" t="s">
        <v>69</v>
      </c>
      <c r="C29" s="212" t="s">
        <v>1970</v>
      </c>
      <c r="D29" s="166" t="s">
        <v>1995</v>
      </c>
      <c r="E29" s="166" t="s">
        <v>1924</v>
      </c>
      <c r="F29" s="166" t="s">
        <v>1758</v>
      </c>
      <c r="G29" s="209" t="s">
        <v>1893</v>
      </c>
      <c r="H29" s="453" t="s">
        <v>2287</v>
      </c>
    </row>
    <row r="30" spans="1:8" ht="50">
      <c r="A30" s="1161"/>
      <c r="B30" s="551" t="s">
        <v>70</v>
      </c>
      <c r="C30" s="212" t="s">
        <v>1975</v>
      </c>
      <c r="D30" s="166" t="s">
        <v>1995</v>
      </c>
      <c r="E30" s="166"/>
      <c r="F30" s="166" t="s">
        <v>1758</v>
      </c>
      <c r="G30" s="209" t="s">
        <v>1911</v>
      </c>
      <c r="H30" s="452"/>
    </row>
    <row r="31" spans="1:8" ht="50">
      <c r="A31" s="1161"/>
      <c r="B31" s="551" t="s">
        <v>1006</v>
      </c>
      <c r="C31" s="212" t="s">
        <v>2023</v>
      </c>
      <c r="D31" s="166" t="s">
        <v>1995</v>
      </c>
      <c r="E31" s="166"/>
      <c r="F31" s="166" t="s">
        <v>1758</v>
      </c>
      <c r="G31" s="209" t="s">
        <v>1912</v>
      </c>
      <c r="H31" s="454"/>
    </row>
    <row r="32" spans="1:8" ht="62" customHeight="1">
      <c r="A32" s="1161"/>
      <c r="B32" s="551" t="s">
        <v>1007</v>
      </c>
      <c r="C32" s="212" t="s">
        <v>2304</v>
      </c>
      <c r="D32" s="166" t="s">
        <v>17</v>
      </c>
      <c r="E32" s="165" t="s">
        <v>1996</v>
      </c>
      <c r="F32" s="166" t="s">
        <v>1935</v>
      </c>
      <c r="G32" s="211" t="s">
        <v>1870</v>
      </c>
      <c r="H32" s="453" t="s">
        <v>2287</v>
      </c>
    </row>
    <row r="33" spans="1:8" ht="39">
      <c r="A33" s="1161"/>
      <c r="B33" s="551" t="s">
        <v>1008</v>
      </c>
      <c r="C33" s="212" t="s">
        <v>1922</v>
      </c>
      <c r="D33" s="228" t="s">
        <v>17</v>
      </c>
      <c r="E33" s="165" t="s">
        <v>1778</v>
      </c>
      <c r="F33" s="228" t="s">
        <v>304</v>
      </c>
      <c r="G33" s="226" t="s">
        <v>1871</v>
      </c>
      <c r="H33" s="453" t="s">
        <v>2287</v>
      </c>
    </row>
    <row r="34" spans="1:8" ht="39">
      <c r="A34" s="1161"/>
      <c r="B34" s="551" t="s">
        <v>1009</v>
      </c>
      <c r="C34" s="212" t="s">
        <v>2305</v>
      </c>
      <c r="D34" s="228" t="s">
        <v>17</v>
      </c>
      <c r="E34" s="165" t="s">
        <v>1778</v>
      </c>
      <c r="F34" s="228" t="s">
        <v>1758</v>
      </c>
      <c r="G34" s="226" t="s">
        <v>2024</v>
      </c>
      <c r="H34" s="453" t="s">
        <v>2287</v>
      </c>
    </row>
    <row r="35" spans="1:8" ht="37.5">
      <c r="A35" s="1161"/>
      <c r="B35" s="551" t="s">
        <v>1010</v>
      </c>
      <c r="C35" s="212" t="s">
        <v>2025</v>
      </c>
      <c r="D35" s="248" t="s">
        <v>17</v>
      </c>
      <c r="E35" s="249"/>
      <c r="F35" s="250" t="s">
        <v>304</v>
      </c>
      <c r="G35" s="212" t="s">
        <v>2025</v>
      </c>
      <c r="H35" s="455"/>
    </row>
    <row r="36" spans="1:8" ht="55.25" customHeight="1">
      <c r="A36" s="1161"/>
      <c r="B36" s="551" t="s">
        <v>1011</v>
      </c>
      <c r="C36" s="212" t="s">
        <v>2026</v>
      </c>
      <c r="D36" s="250" t="s">
        <v>17</v>
      </c>
      <c r="E36" s="250"/>
      <c r="F36" s="250" t="s">
        <v>304</v>
      </c>
      <c r="G36" s="226" t="s">
        <v>2027</v>
      </c>
      <c r="H36" s="455"/>
    </row>
    <row r="37" spans="1:8" ht="25">
      <c r="A37" s="1161"/>
      <c r="B37" s="551" t="s">
        <v>1012</v>
      </c>
      <c r="C37" s="212" t="s">
        <v>1913</v>
      </c>
      <c r="D37" s="167" t="s">
        <v>17</v>
      </c>
      <c r="E37" s="167"/>
      <c r="F37" s="167" t="s">
        <v>1758</v>
      </c>
      <c r="G37" s="226" t="s">
        <v>1914</v>
      </c>
      <c r="H37" s="452"/>
    </row>
    <row r="38" spans="1:8" ht="50">
      <c r="A38" s="1161"/>
      <c r="B38" s="551" t="s">
        <v>1013</v>
      </c>
      <c r="C38" s="209" t="s">
        <v>2260</v>
      </c>
      <c r="D38" s="167" t="s">
        <v>17</v>
      </c>
      <c r="E38" s="167"/>
      <c r="F38" s="167" t="s">
        <v>1758</v>
      </c>
      <c r="G38" s="209" t="s">
        <v>2260</v>
      </c>
      <c r="H38" s="452"/>
    </row>
    <row r="39" spans="1:8" ht="25">
      <c r="A39" s="1161"/>
      <c r="B39" s="551" t="s">
        <v>1014</v>
      </c>
      <c r="C39" s="212" t="s">
        <v>1916</v>
      </c>
      <c r="D39" s="553" t="s">
        <v>17</v>
      </c>
      <c r="E39" s="553"/>
      <c r="F39" s="167" t="s">
        <v>1758</v>
      </c>
      <c r="G39" s="226" t="s">
        <v>1915</v>
      </c>
      <c r="H39" s="452"/>
    </row>
    <row r="40" spans="1:8" ht="62.75" customHeight="1">
      <c r="A40" s="1161"/>
      <c r="B40" s="551" t="s">
        <v>1015</v>
      </c>
      <c r="C40" s="212" t="s">
        <v>2261</v>
      </c>
      <c r="D40" s="553" t="s">
        <v>17</v>
      </c>
      <c r="E40" s="553"/>
      <c r="F40" s="167" t="s">
        <v>1758</v>
      </c>
      <c r="G40" s="226" t="s">
        <v>2262</v>
      </c>
      <c r="H40" s="452"/>
    </row>
    <row r="41" spans="1:8" ht="37.5">
      <c r="A41" s="1161"/>
      <c r="B41" s="551" t="s">
        <v>1563</v>
      </c>
      <c r="C41" s="212" t="s">
        <v>2267</v>
      </c>
      <c r="D41" s="166" t="s">
        <v>17</v>
      </c>
      <c r="E41" s="166"/>
      <c r="F41" s="167" t="s">
        <v>1935</v>
      </c>
      <c r="G41" s="212" t="s">
        <v>2267</v>
      </c>
      <c r="H41" s="452"/>
    </row>
    <row r="42" spans="1:8" ht="78">
      <c r="A42" s="1161"/>
      <c r="B42" s="551" t="s">
        <v>1565</v>
      </c>
      <c r="C42" s="212" t="s">
        <v>2268</v>
      </c>
      <c r="D42" s="224" t="s">
        <v>17</v>
      </c>
      <c r="E42" s="166"/>
      <c r="F42" s="167" t="s">
        <v>1935</v>
      </c>
      <c r="G42" s="226" t="s">
        <v>2269</v>
      </c>
      <c r="H42" s="453" t="s">
        <v>2293</v>
      </c>
    </row>
    <row r="43" spans="1:8" ht="25">
      <c r="A43" s="1162"/>
      <c r="B43" s="551" t="s">
        <v>1708</v>
      </c>
      <c r="C43" s="212" t="s">
        <v>1872</v>
      </c>
      <c r="D43" s="224" t="s">
        <v>18</v>
      </c>
      <c r="E43" s="224"/>
      <c r="F43" s="224" t="s">
        <v>1758</v>
      </c>
      <c r="G43" s="226" t="s">
        <v>1872</v>
      </c>
      <c r="H43" s="452"/>
    </row>
    <row r="44" spans="1:8" ht="87.65" customHeight="1">
      <c r="A44" s="1163" t="s">
        <v>1578</v>
      </c>
      <c r="B44" s="554" t="s">
        <v>1783</v>
      </c>
      <c r="C44" s="213" t="s">
        <v>1971</v>
      </c>
      <c r="D44" s="168" t="s">
        <v>17</v>
      </c>
      <c r="E44" s="168"/>
      <c r="F44" s="168" t="s">
        <v>1758</v>
      </c>
      <c r="G44" s="214" t="s">
        <v>1923</v>
      </c>
      <c r="H44" s="453" t="s">
        <v>2282</v>
      </c>
    </row>
    <row r="45" spans="1:8" ht="39">
      <c r="A45" s="1164"/>
      <c r="B45" s="554" t="s">
        <v>1785</v>
      </c>
      <c r="C45" s="213" t="s">
        <v>2028</v>
      </c>
      <c r="D45" s="168" t="s">
        <v>17</v>
      </c>
      <c r="E45" s="168"/>
      <c r="F45" s="168" t="s">
        <v>1758</v>
      </c>
      <c r="G45" s="214" t="s">
        <v>1972</v>
      </c>
      <c r="H45" s="453" t="s">
        <v>2282</v>
      </c>
    </row>
    <row r="46" spans="1:8" ht="25">
      <c r="A46" s="1164"/>
      <c r="B46" s="554" t="s">
        <v>1786</v>
      </c>
      <c r="C46" s="213" t="s">
        <v>2029</v>
      </c>
      <c r="D46" s="168" t="s">
        <v>18</v>
      </c>
      <c r="E46" s="168"/>
      <c r="F46" s="168" t="s">
        <v>1758</v>
      </c>
      <c r="G46" s="214" t="s">
        <v>2030</v>
      </c>
      <c r="H46" s="452"/>
    </row>
    <row r="47" spans="1:8" ht="50">
      <c r="A47" s="1164"/>
      <c r="B47" s="554" t="s">
        <v>1787</v>
      </c>
      <c r="C47" s="213" t="s">
        <v>2031</v>
      </c>
      <c r="D47" s="168" t="s">
        <v>17</v>
      </c>
      <c r="E47" s="168"/>
      <c r="F47" s="168" t="s">
        <v>1758</v>
      </c>
      <c r="G47" s="214" t="s">
        <v>2032</v>
      </c>
      <c r="H47" s="452"/>
    </row>
    <row r="48" spans="1:8" ht="62.5">
      <c r="A48" s="1164"/>
      <c r="B48" s="554" t="s">
        <v>1788</v>
      </c>
      <c r="C48" s="213" t="s">
        <v>2033</v>
      </c>
      <c r="D48" s="168" t="s">
        <v>17</v>
      </c>
      <c r="E48" s="168"/>
      <c r="F48" s="168" t="s">
        <v>1758</v>
      </c>
      <c r="G48" s="214" t="s">
        <v>2034</v>
      </c>
      <c r="H48" s="452"/>
    </row>
    <row r="49" spans="1:8" ht="25">
      <c r="A49" s="1164"/>
      <c r="B49" s="554" t="s">
        <v>1789</v>
      </c>
      <c r="C49" s="213" t="s">
        <v>1917</v>
      </c>
      <c r="D49" s="168" t="s">
        <v>17</v>
      </c>
      <c r="E49" s="168"/>
      <c r="F49" s="168" t="s">
        <v>1758</v>
      </c>
      <c r="G49" s="214" t="s">
        <v>1918</v>
      </c>
      <c r="H49" s="452" t="s">
        <v>1782</v>
      </c>
    </row>
    <row r="50" spans="1:8" ht="25">
      <c r="A50" s="1164"/>
      <c r="B50" s="554" t="s">
        <v>1790</v>
      </c>
      <c r="C50" s="213" t="s">
        <v>1920</v>
      </c>
      <c r="D50" s="253" t="s">
        <v>1995</v>
      </c>
      <c r="E50" s="253"/>
      <c r="F50" s="253" t="s">
        <v>304</v>
      </c>
      <c r="G50" s="214" t="s">
        <v>1919</v>
      </c>
      <c r="H50" s="452" t="s">
        <v>1782</v>
      </c>
    </row>
    <row r="51" spans="1:8" ht="25">
      <c r="A51" s="1164"/>
      <c r="B51" s="554" t="s">
        <v>1792</v>
      </c>
      <c r="C51" s="213" t="s">
        <v>1921</v>
      </c>
      <c r="D51" s="168" t="s">
        <v>17</v>
      </c>
      <c r="E51" s="168"/>
      <c r="F51" s="168" t="s">
        <v>304</v>
      </c>
      <c r="G51" s="214" t="s">
        <v>1873</v>
      </c>
      <c r="H51" s="452"/>
    </row>
    <row r="52" spans="1:8" ht="62" customHeight="1">
      <c r="A52" s="1164"/>
      <c r="B52" s="554" t="s">
        <v>1794</v>
      </c>
      <c r="C52" s="215" t="s">
        <v>1874</v>
      </c>
      <c r="D52" s="168" t="s">
        <v>1907</v>
      </c>
      <c r="E52" s="255"/>
      <c r="F52" s="255" t="s">
        <v>1758</v>
      </c>
      <c r="G52" s="214" t="s">
        <v>1875</v>
      </c>
      <c r="H52" s="452"/>
    </row>
    <row r="53" spans="1:8" ht="52">
      <c r="A53" s="1164"/>
      <c r="B53" s="554" t="s">
        <v>1795</v>
      </c>
      <c r="C53" s="215" t="s">
        <v>1894</v>
      </c>
      <c r="D53" s="168" t="s">
        <v>1903</v>
      </c>
      <c r="E53" s="257"/>
      <c r="F53" s="257" t="s">
        <v>1758</v>
      </c>
      <c r="G53" s="214" t="s">
        <v>1876</v>
      </c>
      <c r="H53" s="452"/>
    </row>
    <row r="54" spans="1:8" ht="39">
      <c r="A54" s="1164"/>
      <c r="B54" s="554" t="s">
        <v>1796</v>
      </c>
      <c r="C54" s="215" t="s">
        <v>1877</v>
      </c>
      <c r="D54" s="257" t="s">
        <v>17</v>
      </c>
      <c r="E54" s="257"/>
      <c r="F54" s="257" t="s">
        <v>1758</v>
      </c>
      <c r="G54" s="214" t="s">
        <v>1878</v>
      </c>
      <c r="H54" s="453" t="s">
        <v>2282</v>
      </c>
    </row>
    <row r="55" spans="1:8" ht="39">
      <c r="A55" s="1164"/>
      <c r="B55" s="554" t="s">
        <v>1797</v>
      </c>
      <c r="C55" s="215" t="s">
        <v>1879</v>
      </c>
      <c r="D55" s="257" t="s">
        <v>17</v>
      </c>
      <c r="E55" s="257"/>
      <c r="F55" s="257" t="s">
        <v>1758</v>
      </c>
      <c r="G55" s="214" t="s">
        <v>1880</v>
      </c>
      <c r="H55" s="453" t="s">
        <v>2282</v>
      </c>
    </row>
    <row r="56" spans="1:8" ht="65">
      <c r="A56" s="1164"/>
      <c r="B56" s="554" t="s">
        <v>1798</v>
      </c>
      <c r="C56" s="215" t="s">
        <v>2306</v>
      </c>
      <c r="D56" s="257" t="s">
        <v>17</v>
      </c>
      <c r="E56" s="257"/>
      <c r="F56" s="257" t="s">
        <v>1935</v>
      </c>
      <c r="G56" s="214" t="s">
        <v>2307</v>
      </c>
      <c r="H56" s="453" t="s">
        <v>2288</v>
      </c>
    </row>
    <row r="57" spans="1:8" ht="37.5">
      <c r="A57" s="1164"/>
      <c r="B57" s="554" t="s">
        <v>1800</v>
      </c>
      <c r="C57" s="215" t="s">
        <v>2308</v>
      </c>
      <c r="D57" s="257"/>
      <c r="E57" s="257"/>
      <c r="F57" s="257"/>
      <c r="G57" s="214" t="s">
        <v>2309</v>
      </c>
      <c r="H57" s="453"/>
    </row>
    <row r="58" spans="1:8" ht="52">
      <c r="A58" s="1164"/>
      <c r="B58" s="554" t="s">
        <v>1802</v>
      </c>
      <c r="C58" s="215" t="s">
        <v>2183</v>
      </c>
      <c r="D58" s="257" t="s">
        <v>17</v>
      </c>
      <c r="E58" s="257"/>
      <c r="F58" s="257" t="s">
        <v>1758</v>
      </c>
      <c r="G58" s="252" t="s">
        <v>2169</v>
      </c>
      <c r="H58" s="453" t="s">
        <v>2282</v>
      </c>
    </row>
    <row r="59" spans="1:8" ht="25">
      <c r="A59" s="1165"/>
      <c r="B59" s="554" t="s">
        <v>1804</v>
      </c>
      <c r="C59" s="215" t="s">
        <v>1881</v>
      </c>
      <c r="D59" s="257" t="s">
        <v>18</v>
      </c>
      <c r="E59" s="257"/>
      <c r="F59" s="257" t="s">
        <v>1758</v>
      </c>
      <c r="G59" s="214" t="s">
        <v>1882</v>
      </c>
      <c r="H59" s="452"/>
    </row>
    <row r="60" spans="1:8" ht="25">
      <c r="A60" s="1166" t="s">
        <v>1579</v>
      </c>
      <c r="B60" s="556" t="s">
        <v>1807</v>
      </c>
      <c r="C60" s="216" t="s">
        <v>1883</v>
      </c>
      <c r="D60" s="258" t="s">
        <v>17</v>
      </c>
      <c r="E60" s="258"/>
      <c r="F60" s="258" t="s">
        <v>2010</v>
      </c>
      <c r="G60" s="218" t="s">
        <v>1884</v>
      </c>
      <c r="H60" s="452"/>
    </row>
    <row r="61" spans="1:8" ht="25">
      <c r="A61" s="1167"/>
      <c r="B61" s="556" t="s">
        <v>1810</v>
      </c>
      <c r="C61" s="216" t="s">
        <v>1973</v>
      </c>
      <c r="D61" s="258" t="s">
        <v>17</v>
      </c>
      <c r="E61" s="258"/>
      <c r="F61" s="258" t="s">
        <v>2010</v>
      </c>
      <c r="G61" s="218" t="s">
        <v>1973</v>
      </c>
      <c r="H61" s="452"/>
    </row>
    <row r="62" spans="1:8" ht="25">
      <c r="A62" s="1167"/>
      <c r="B62" s="556" t="s">
        <v>1812</v>
      </c>
      <c r="C62" s="216" t="s">
        <v>1885</v>
      </c>
      <c r="D62" s="260" t="s">
        <v>17</v>
      </c>
      <c r="E62" s="260"/>
      <c r="F62" s="260" t="s">
        <v>304</v>
      </c>
      <c r="G62" s="218" t="s">
        <v>1885</v>
      </c>
      <c r="H62" s="452"/>
    </row>
    <row r="63" spans="1:8" ht="56.75" customHeight="1">
      <c r="A63" s="1167"/>
      <c r="B63" s="556" t="s">
        <v>1813</v>
      </c>
      <c r="C63" s="216" t="s">
        <v>1886</v>
      </c>
      <c r="D63" s="260" t="s">
        <v>17</v>
      </c>
      <c r="E63" s="260"/>
      <c r="F63" s="258" t="s">
        <v>2010</v>
      </c>
      <c r="G63" s="218" t="s">
        <v>1887</v>
      </c>
      <c r="H63" s="452"/>
    </row>
    <row r="64" spans="1:8" ht="56.75" customHeight="1">
      <c r="A64" s="1167"/>
      <c r="B64" s="556" t="s">
        <v>1814</v>
      </c>
      <c r="C64" s="216" t="s">
        <v>1974</v>
      </c>
      <c r="D64" s="260" t="s">
        <v>17</v>
      </c>
      <c r="E64" s="260"/>
      <c r="F64" s="258" t="s">
        <v>2010</v>
      </c>
      <c r="G64" s="218" t="s">
        <v>1974</v>
      </c>
      <c r="H64" s="452"/>
    </row>
    <row r="65" spans="1:8" ht="56.75" customHeight="1">
      <c r="A65" s="1167"/>
      <c r="B65" s="556" t="s">
        <v>1815</v>
      </c>
      <c r="C65" s="217" t="s">
        <v>1895</v>
      </c>
      <c r="D65" s="260" t="s">
        <v>17</v>
      </c>
      <c r="E65" s="260"/>
      <c r="F65" s="260" t="s">
        <v>1758</v>
      </c>
      <c r="G65" s="218" t="s">
        <v>1896</v>
      </c>
      <c r="H65" s="453" t="s">
        <v>2289</v>
      </c>
    </row>
    <row r="66" spans="1:8" ht="51" customHeight="1">
      <c r="A66" s="1167"/>
      <c r="B66" s="556" t="s">
        <v>1949</v>
      </c>
      <c r="C66" s="217" t="s">
        <v>1897</v>
      </c>
      <c r="D66" s="260" t="s">
        <v>17</v>
      </c>
      <c r="E66" s="260"/>
      <c r="F66" s="260" t="s">
        <v>1758</v>
      </c>
      <c r="G66" s="218" t="s">
        <v>1888</v>
      </c>
      <c r="H66" s="453" t="s">
        <v>2289</v>
      </c>
    </row>
    <row r="67" spans="1:8" ht="44.25" customHeight="1">
      <c r="A67" s="1167"/>
      <c r="B67" s="556" t="s">
        <v>1950</v>
      </c>
      <c r="C67" s="217" t="s">
        <v>1889</v>
      </c>
      <c r="D67" s="227" t="s">
        <v>17</v>
      </c>
      <c r="E67" s="227"/>
      <c r="F67" s="260" t="s">
        <v>1758</v>
      </c>
      <c r="G67" s="218" t="s">
        <v>1889</v>
      </c>
      <c r="H67" s="453" t="s">
        <v>2289</v>
      </c>
    </row>
    <row r="68" spans="1:8" ht="50">
      <c r="A68" s="1167"/>
      <c r="B68" s="556" t="s">
        <v>2013</v>
      </c>
      <c r="C68" s="217" t="s">
        <v>2310</v>
      </c>
      <c r="D68" s="227" t="s">
        <v>17</v>
      </c>
      <c r="E68" s="227"/>
      <c r="F68" s="260" t="s">
        <v>1758</v>
      </c>
      <c r="G68" s="218" t="s">
        <v>2310</v>
      </c>
      <c r="H68" s="453" t="s">
        <v>2289</v>
      </c>
    </row>
    <row r="69" spans="1:8" ht="26">
      <c r="A69" s="1167"/>
      <c r="B69" s="556" t="s">
        <v>2016</v>
      </c>
      <c r="C69" s="217" t="s">
        <v>1890</v>
      </c>
      <c r="D69" s="227" t="s">
        <v>1902</v>
      </c>
      <c r="E69" s="227"/>
      <c r="F69" s="227" t="s">
        <v>1935</v>
      </c>
      <c r="G69" s="218" t="s">
        <v>1890</v>
      </c>
      <c r="H69" s="260"/>
    </row>
    <row r="70" spans="1:8" ht="50">
      <c r="A70" s="1167"/>
      <c r="B70" s="556" t="s">
        <v>2018</v>
      </c>
      <c r="C70" s="217" t="s">
        <v>2035</v>
      </c>
      <c r="D70" s="227" t="s">
        <v>17</v>
      </c>
      <c r="E70" s="227"/>
      <c r="F70" s="227" t="s">
        <v>1935</v>
      </c>
      <c r="G70" s="218" t="s">
        <v>2035</v>
      </c>
      <c r="H70" s="452"/>
    </row>
    <row r="71" spans="1:8" ht="25">
      <c r="A71" s="1167"/>
      <c r="B71" s="556" t="s">
        <v>2174</v>
      </c>
      <c r="C71" s="217" t="s">
        <v>2036</v>
      </c>
      <c r="D71" s="262" t="s">
        <v>52</v>
      </c>
      <c r="E71" s="262"/>
      <c r="F71" s="227" t="s">
        <v>304</v>
      </c>
      <c r="G71" s="218" t="s">
        <v>2036</v>
      </c>
      <c r="H71" s="455"/>
    </row>
    <row r="72" spans="1:8" ht="54.75" customHeight="1">
      <c r="A72" s="1168"/>
      <c r="B72" s="556" t="s">
        <v>2175</v>
      </c>
      <c r="C72" s="217" t="s">
        <v>1891</v>
      </c>
      <c r="D72" s="262" t="s">
        <v>18</v>
      </c>
      <c r="E72" s="262"/>
      <c r="F72" s="262" t="s">
        <v>1758</v>
      </c>
      <c r="G72" s="218" t="s">
        <v>1891</v>
      </c>
      <c r="H72" s="455"/>
    </row>
    <row r="73" spans="1:8" ht="51">
      <c r="A73" s="1169" t="s">
        <v>2215</v>
      </c>
      <c r="B73" s="558" t="s">
        <v>2176</v>
      </c>
      <c r="C73" s="482" t="s">
        <v>2184</v>
      </c>
      <c r="D73" s="478" t="s">
        <v>52</v>
      </c>
      <c r="F73" s="478" t="s">
        <v>1758</v>
      </c>
      <c r="G73" s="482" t="s">
        <v>2184</v>
      </c>
      <c r="H73" s="451"/>
    </row>
    <row r="74" spans="1:8" ht="54.75" customHeight="1">
      <c r="A74" s="1170"/>
      <c r="B74" s="558" t="s">
        <v>2177</v>
      </c>
      <c r="C74" s="482" t="s">
        <v>2185</v>
      </c>
      <c r="D74" s="478" t="s">
        <v>52</v>
      </c>
      <c r="F74" s="478" t="s">
        <v>1758</v>
      </c>
      <c r="G74" s="482" t="s">
        <v>2185</v>
      </c>
      <c r="H74" s="451"/>
    </row>
    <row r="75" spans="1:8" ht="38.5">
      <c r="A75" s="1170"/>
      <c r="B75" s="558" t="s">
        <v>2178</v>
      </c>
      <c r="C75" s="482" t="s">
        <v>2187</v>
      </c>
      <c r="D75" s="478" t="s">
        <v>17</v>
      </c>
      <c r="F75" s="478" t="s">
        <v>1758</v>
      </c>
      <c r="G75" s="482" t="s">
        <v>2187</v>
      </c>
      <c r="H75" s="451"/>
    </row>
    <row r="76" spans="1:8" ht="50">
      <c r="A76" s="1171"/>
      <c r="B76" s="558" t="s">
        <v>2255</v>
      </c>
      <c r="C76" s="482" t="s">
        <v>2186</v>
      </c>
      <c r="D76" s="478" t="s">
        <v>52</v>
      </c>
      <c r="F76" s="478" t="s">
        <v>1758</v>
      </c>
      <c r="G76" s="482" t="s">
        <v>2186</v>
      </c>
      <c r="H76" s="451"/>
    </row>
    <row r="77" spans="1:8" ht="39">
      <c r="A77" s="1154" t="s">
        <v>2259</v>
      </c>
      <c r="B77" s="506" t="s">
        <v>2256</v>
      </c>
      <c r="C77" s="479" t="s">
        <v>2252</v>
      </c>
      <c r="D77" s="479" t="s">
        <v>17</v>
      </c>
      <c r="E77" s="479" t="s">
        <v>2244</v>
      </c>
      <c r="F77" s="507"/>
      <c r="G77" s="479"/>
      <c r="H77" s="453" t="s">
        <v>2294</v>
      </c>
    </row>
    <row r="78" spans="1:8" ht="39">
      <c r="A78" s="1155"/>
      <c r="B78" s="506" t="s">
        <v>2257</v>
      </c>
      <c r="C78" s="479" t="s">
        <v>2253</v>
      </c>
      <c r="D78" s="479" t="s">
        <v>17</v>
      </c>
      <c r="E78" s="479" t="s">
        <v>2244</v>
      </c>
      <c r="F78" s="507"/>
      <c r="G78" s="479"/>
      <c r="H78" s="453" t="s">
        <v>2294</v>
      </c>
    </row>
    <row r="79" spans="1:8" ht="26">
      <c r="A79" s="1155"/>
      <c r="B79" s="506" t="s">
        <v>2303</v>
      </c>
      <c r="C79" s="479" t="s">
        <v>2254</v>
      </c>
      <c r="D79" s="479" t="s">
        <v>17</v>
      </c>
      <c r="E79" s="479" t="s">
        <v>2244</v>
      </c>
      <c r="F79" s="507"/>
      <c r="G79" s="479"/>
      <c r="H79" s="453" t="s">
        <v>2294</v>
      </c>
    </row>
    <row r="80" spans="1:8" ht="45" customHeight="1">
      <c r="A80" s="1172" t="s">
        <v>2686</v>
      </c>
      <c r="B80" s="697" t="s">
        <v>1810</v>
      </c>
      <c r="C80" s="698" t="s">
        <v>2674</v>
      </c>
      <c r="D80" s="698" t="s">
        <v>17</v>
      </c>
      <c r="E80" s="699"/>
      <c r="F80" s="699"/>
      <c r="G80" s="699"/>
    </row>
    <row r="81" spans="1:7" ht="45" customHeight="1">
      <c r="A81" s="1172"/>
      <c r="B81" s="697" t="s">
        <v>1812</v>
      </c>
      <c r="C81" s="698" t="s">
        <v>2675</v>
      </c>
      <c r="D81" s="698" t="s">
        <v>17</v>
      </c>
      <c r="E81" s="699"/>
      <c r="F81" s="699"/>
      <c r="G81" s="699"/>
    </row>
    <row r="82" spans="1:7" ht="45" customHeight="1">
      <c r="A82" s="1172"/>
      <c r="B82" s="697" t="s">
        <v>1813</v>
      </c>
      <c r="C82" s="698" t="s">
        <v>2676</v>
      </c>
      <c r="D82" s="698" t="s">
        <v>19</v>
      </c>
      <c r="E82" s="699"/>
      <c r="F82" s="699"/>
      <c r="G82" s="699"/>
    </row>
    <row r="83" spans="1:7" ht="45" customHeight="1">
      <c r="A83" s="1172"/>
      <c r="B83" s="697" t="s">
        <v>1814</v>
      </c>
      <c r="C83" s="698" t="s">
        <v>2677</v>
      </c>
      <c r="D83" s="698" t="s">
        <v>18</v>
      </c>
      <c r="E83" s="699"/>
      <c r="F83" s="699"/>
      <c r="G83" s="699"/>
    </row>
    <row r="84" spans="1:7" ht="45" customHeight="1">
      <c r="C84" s="268" t="s">
        <v>1275</v>
      </c>
    </row>
  </sheetData>
  <mergeCells count="8">
    <mergeCell ref="A80:A83"/>
    <mergeCell ref="A77:A79"/>
    <mergeCell ref="B1:G1"/>
    <mergeCell ref="A3:A21"/>
    <mergeCell ref="A22:A43"/>
    <mergeCell ref="A44:A59"/>
    <mergeCell ref="A60:A72"/>
    <mergeCell ref="A73:A76"/>
  </mergeCells>
  <pageMargins left="0" right="0" top="0.25" bottom="0.25" header="0.3" footer="0.3"/>
  <pageSetup scale="65" orientation="portrait" r:id="rId1"/>
  <rowBreaks count="3" manualBreakCount="3">
    <brk id="25" min="1" max="6" man="1"/>
    <brk id="48" min="1" max="6" man="1"/>
    <brk id="74"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C8FBE-84E1-48DD-AD94-366424E2B928}">
  <sheetPr>
    <tabColor rgb="FF92D050"/>
  </sheetPr>
  <dimension ref="A1:G11"/>
  <sheetViews>
    <sheetView view="pageBreakPreview" zoomScale="89" zoomScaleNormal="85" zoomScaleSheetLayoutView="89" workbookViewId="0">
      <selection activeCell="B3" sqref="B3"/>
    </sheetView>
  </sheetViews>
  <sheetFormatPr defaultColWidth="6.6640625" defaultRowHeight="15.5"/>
  <cols>
    <col min="1" max="1" width="10.6640625" style="169" customWidth="1"/>
    <col min="2" max="2" width="45.5" style="169" customWidth="1"/>
    <col min="3" max="3" width="19" style="169" customWidth="1"/>
    <col min="4" max="4" width="63.5" style="169" customWidth="1"/>
    <col min="5" max="5" width="40.6640625" style="171" customWidth="1"/>
    <col min="6" max="6" width="25.1640625" style="171" customWidth="1"/>
    <col min="7" max="16384" width="6.6640625" style="171"/>
  </cols>
  <sheetData>
    <row r="1" spans="1:7">
      <c r="B1" s="170"/>
      <c r="C1" s="170"/>
      <c r="D1" s="170"/>
    </row>
    <row r="2" spans="1:7" ht="37">
      <c r="A2" s="172" t="s">
        <v>73</v>
      </c>
      <c r="B2" s="172" t="s">
        <v>3091</v>
      </c>
      <c r="C2" s="172" t="s">
        <v>74</v>
      </c>
      <c r="D2" s="172" t="s">
        <v>75</v>
      </c>
      <c r="E2" s="172" t="s">
        <v>1003</v>
      </c>
      <c r="F2" s="172" t="s">
        <v>76</v>
      </c>
    </row>
    <row r="3" spans="1:7" ht="243" customHeight="1">
      <c r="A3" s="173" t="s">
        <v>1016</v>
      </c>
      <c r="B3" s="173" t="s">
        <v>2273</v>
      </c>
      <c r="C3" s="173" t="s">
        <v>2339</v>
      </c>
      <c r="D3" s="174" t="s">
        <v>2944</v>
      </c>
      <c r="E3" s="173" t="s">
        <v>1816</v>
      </c>
      <c r="F3" s="173" t="s">
        <v>2286</v>
      </c>
    </row>
    <row r="4" spans="1:7" ht="111">
      <c r="A4" s="175" t="s">
        <v>1017</v>
      </c>
      <c r="B4" s="175" t="s">
        <v>2274</v>
      </c>
      <c r="C4" s="175" t="s">
        <v>2943</v>
      </c>
      <c r="D4" s="175" t="s">
        <v>2942</v>
      </c>
      <c r="E4" s="175" t="s">
        <v>2285</v>
      </c>
      <c r="F4" s="175" t="s">
        <v>2286</v>
      </c>
    </row>
    <row r="5" spans="1:7" ht="195.75" customHeight="1">
      <c r="A5" s="176" t="s">
        <v>1262</v>
      </c>
      <c r="B5" s="176" t="s">
        <v>2275</v>
      </c>
      <c r="C5" s="176" t="s">
        <v>2311</v>
      </c>
      <c r="D5" s="176" t="s">
        <v>2312</v>
      </c>
      <c r="E5" s="176" t="s">
        <v>2067</v>
      </c>
      <c r="F5" s="176" t="s">
        <v>2286</v>
      </c>
    </row>
    <row r="6" spans="1:7" ht="148">
      <c r="A6" s="520" t="s">
        <v>2278</v>
      </c>
      <c r="B6" s="520" t="s">
        <v>2276</v>
      </c>
      <c r="C6" s="520" t="s">
        <v>2313</v>
      </c>
      <c r="D6" s="520" t="s">
        <v>2280</v>
      </c>
      <c r="E6" s="520" t="s">
        <v>2292</v>
      </c>
      <c r="F6" s="520" t="s">
        <v>2286</v>
      </c>
    </row>
    <row r="7" spans="1:7" ht="92.5">
      <c r="A7" s="519" t="s">
        <v>2279</v>
      </c>
      <c r="B7" s="519" t="s">
        <v>2941</v>
      </c>
      <c r="C7" s="519" t="s">
        <v>2940</v>
      </c>
      <c r="D7" s="519" t="s">
        <v>2939</v>
      </c>
      <c r="E7" s="519" t="s">
        <v>2935</v>
      </c>
      <c r="F7" s="519" t="s">
        <v>2286</v>
      </c>
    </row>
    <row r="8" spans="1:7" s="169" customFormat="1" ht="74">
      <c r="A8" s="519" t="s">
        <v>2938</v>
      </c>
      <c r="B8" s="519" t="s">
        <v>2700</v>
      </c>
      <c r="C8" s="519" t="s">
        <v>2937</v>
      </c>
      <c r="D8" s="519" t="s">
        <v>2936</v>
      </c>
      <c r="E8" s="519" t="s">
        <v>2935</v>
      </c>
      <c r="F8" s="519" t="s">
        <v>2286</v>
      </c>
      <c r="G8" s="177"/>
    </row>
    <row r="9" spans="1:7" s="169" customFormat="1"/>
    <row r="10" spans="1:7">
      <c r="E10" s="169"/>
      <c r="F10" s="169"/>
    </row>
    <row r="11" spans="1:7">
      <c r="E11" s="169"/>
      <c r="F11" s="169"/>
    </row>
  </sheetData>
  <pageMargins left="0" right="0" top="0.5" bottom="0.5" header="0.3" footer="0.3"/>
  <pageSetup scale="58" orientation="landscape" r:id="rId1"/>
  <rowBreaks count="1" manualBreakCount="1">
    <brk id="8" max="5"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BH282"/>
  <sheetViews>
    <sheetView showGridLines="0" topLeftCell="C4" zoomScale="70" zoomScaleNormal="70" workbookViewId="0">
      <pane xSplit="4" ySplit="21" topLeftCell="J25" activePane="bottomRight" state="frozen"/>
      <selection activeCell="C4" sqref="C4"/>
      <selection pane="topRight" activeCell="G4" sqref="G4"/>
      <selection pane="bottomLeft" activeCell="C25" sqref="C25"/>
      <selection pane="bottomRight" activeCell="F180" sqref="F180"/>
    </sheetView>
  </sheetViews>
  <sheetFormatPr defaultColWidth="9" defaultRowHeight="15.5"/>
  <cols>
    <col min="1" max="1" width="17.08203125" style="58" bestFit="1" customWidth="1"/>
    <col min="2" max="2" width="10.6640625" style="58" customWidth="1"/>
    <col min="3" max="3" width="35.5" style="58" customWidth="1"/>
    <col min="4" max="4" width="16.9140625" style="58" customWidth="1"/>
    <col min="5" max="5" width="20.4140625" style="58" customWidth="1"/>
    <col min="6" max="6" width="17.1640625" style="58" customWidth="1"/>
    <col min="7" max="7" width="14.4140625" style="58" customWidth="1"/>
    <col min="8" max="8" width="13.08203125" style="58" customWidth="1"/>
    <col min="9" max="9" width="15.58203125" style="58" customWidth="1"/>
    <col min="10" max="10" width="14.4140625" style="58" customWidth="1"/>
    <col min="11" max="11" width="12.83203125" style="58" customWidth="1"/>
    <col min="12" max="12" width="15.6640625" style="58" customWidth="1"/>
    <col min="13" max="13" width="9.6640625" style="58" customWidth="1"/>
    <col min="14" max="14" width="10.58203125" style="58" customWidth="1"/>
    <col min="15" max="15" width="12.83203125" style="58" customWidth="1"/>
    <col min="16" max="16" width="12.6640625" style="58" customWidth="1"/>
    <col min="17" max="17" width="31.58203125" style="58" customWidth="1"/>
    <col min="18" max="18" width="17.08203125" style="58" customWidth="1"/>
    <col min="19" max="19" width="19" style="58" customWidth="1"/>
    <col min="20" max="21" width="16.08203125" style="58" customWidth="1"/>
    <col min="22" max="22" width="21.58203125" style="58" customWidth="1"/>
    <col min="23" max="23" width="19.1640625" style="58" bestFit="1" customWidth="1"/>
    <col min="24" max="24" width="11.5" style="58" customWidth="1"/>
    <col min="25" max="25" width="13" style="58" bestFit="1" customWidth="1"/>
    <col min="26" max="30" width="14.58203125" style="58" customWidth="1"/>
    <col min="31" max="37" width="9.1640625" style="58" customWidth="1"/>
    <col min="38" max="38" width="16.58203125" style="58" customWidth="1"/>
    <col min="39" max="39" width="16.6640625" style="58" customWidth="1"/>
    <col min="40" max="40" width="9.1640625" style="58" customWidth="1"/>
    <col min="41" max="41" width="24.5" style="58" customWidth="1"/>
    <col min="42" max="42" width="22.1640625" style="58" customWidth="1"/>
    <col min="43" max="43" width="19.1640625" style="58" bestFit="1" customWidth="1"/>
    <col min="44" max="44" width="9.1640625" style="58" customWidth="1"/>
    <col min="45" max="45" width="23" style="58" customWidth="1"/>
    <col min="46" max="46" width="9.1640625" style="58" customWidth="1"/>
    <col min="47" max="47" width="10.1640625" style="58" customWidth="1"/>
    <col min="48" max="16384" width="9" style="58"/>
  </cols>
  <sheetData>
    <row r="1" spans="1:35" ht="50.5" customHeight="1">
      <c r="C1" s="650" t="s">
        <v>2070</v>
      </c>
      <c r="D1" s="651" t="s">
        <v>2071</v>
      </c>
      <c r="E1" s="652" t="s">
        <v>2072</v>
      </c>
      <c r="F1" s="653" t="s">
        <v>2330</v>
      </c>
      <c r="G1" s="654" t="s">
        <v>2331</v>
      </c>
      <c r="H1" s="654" t="s">
        <v>2760</v>
      </c>
      <c r="I1" s="655" t="s">
        <v>2089</v>
      </c>
      <c r="J1" s="655" t="s">
        <v>2092</v>
      </c>
      <c r="K1" s="655" t="s">
        <v>2091</v>
      </c>
      <c r="L1" s="656" t="s">
        <v>2764</v>
      </c>
      <c r="M1" s="656" t="s">
        <v>2765</v>
      </c>
      <c r="N1" s="656" t="s">
        <v>2325</v>
      </c>
      <c r="O1" s="656" t="s">
        <v>2763</v>
      </c>
    </row>
    <row r="2" spans="1:35">
      <c r="A2" s="1176" t="s">
        <v>2606</v>
      </c>
      <c r="B2" s="644" t="s">
        <v>37</v>
      </c>
      <c r="C2" s="645">
        <f>'HRP ref'!C4</f>
        <v>58885.337037037032</v>
      </c>
      <c r="D2" s="645">
        <f>'HRP ref'!D4</f>
        <v>71565</v>
      </c>
      <c r="E2" s="645">
        <f>'HRP ref'!E4</f>
        <v>64452</v>
      </c>
      <c r="F2" s="645">
        <f>'HRP ref'!F4</f>
        <v>23656.75</v>
      </c>
      <c r="G2" s="645">
        <f>'HRP ref'!G4</f>
        <v>18463</v>
      </c>
      <c r="H2" s="645">
        <f>'HRP ref'!H4</f>
        <v>1993</v>
      </c>
      <c r="I2" s="645">
        <f>'HRP ref'!I4</f>
        <v>20707</v>
      </c>
      <c r="J2" s="645">
        <f>'HRP ref'!J4</f>
        <v>54244</v>
      </c>
      <c r="K2" s="645">
        <f>'HRP ref'!K4</f>
        <v>49314</v>
      </c>
      <c r="L2" s="645">
        <f>'HRP ref'!L4</f>
        <v>18463</v>
      </c>
      <c r="M2" s="645">
        <f>'HRP ref'!M4</f>
        <v>1118</v>
      </c>
      <c r="N2" s="645">
        <f>'HRP ref'!N4</f>
        <v>0</v>
      </c>
      <c r="O2" s="645">
        <f>'HRP ref'!O4</f>
        <v>875</v>
      </c>
    </row>
    <row r="3" spans="1:35">
      <c r="A3" s="1177"/>
      <c r="B3" s="644" t="s">
        <v>515</v>
      </c>
      <c r="C3" s="646">
        <f>'HRP ref'!S4</f>
        <v>9893.9999999999982</v>
      </c>
      <c r="D3" s="646">
        <f>'HRP ref'!T4</f>
        <v>7692</v>
      </c>
      <c r="E3" s="646">
        <f>'HRP ref'!U4</f>
        <v>5587</v>
      </c>
      <c r="F3" s="646">
        <f>'HRP ref'!V4</f>
        <v>0</v>
      </c>
      <c r="G3" s="646">
        <f>'HRP ref'!W4</f>
        <v>2223</v>
      </c>
      <c r="H3" s="646">
        <f>'HRP ref'!X4</f>
        <v>0</v>
      </c>
      <c r="I3" s="646">
        <f>'HRP ref'!Y4</f>
        <v>45</v>
      </c>
      <c r="J3" s="646">
        <f>'HRP ref'!Z4</f>
        <v>5542</v>
      </c>
      <c r="K3" s="646">
        <f>'HRP ref'!AA4</f>
        <v>5900</v>
      </c>
      <c r="L3" s="646">
        <f>'HRP ref'!AB4</f>
        <v>2223</v>
      </c>
      <c r="M3" s="646">
        <f>'HRP ref'!AC4</f>
        <v>0</v>
      </c>
      <c r="N3" s="646">
        <f>'HRP ref'!AD4</f>
        <v>0</v>
      </c>
      <c r="O3" s="646">
        <f>'HRP ref'!AE4</f>
        <v>0</v>
      </c>
      <c r="S3" s="58">
        <f>S100/$P$100</f>
        <v>0.47911324169461206</v>
      </c>
      <c r="T3" s="58">
        <f t="shared" ref="T3:X3" si="0">T100/$P$100</f>
        <v>0.52088675830538789</v>
      </c>
      <c r="U3" s="58">
        <f t="shared" si="0"/>
        <v>0.36606972510787672</v>
      </c>
      <c r="V3" s="58">
        <f t="shared" si="0"/>
        <v>0.55071112979468673</v>
      </c>
      <c r="W3" s="58">
        <f t="shared" si="0"/>
        <v>8.3219145097436706E-2</v>
      </c>
      <c r="X3" s="58">
        <f t="shared" si="0"/>
        <v>0.16130896109723564</v>
      </c>
    </row>
    <row r="4" spans="1:35">
      <c r="A4" s="647"/>
      <c r="B4" s="648"/>
      <c r="C4" s="649"/>
      <c r="D4" s="649"/>
      <c r="E4" s="649"/>
      <c r="F4" s="649"/>
      <c r="G4" s="649"/>
      <c r="H4" s="649"/>
      <c r="I4" s="649"/>
      <c r="J4" s="649"/>
      <c r="K4" s="649"/>
      <c r="L4" s="649"/>
      <c r="M4" s="649"/>
      <c r="N4" s="649"/>
      <c r="S4" s="58">
        <f>S81/$P$81</f>
        <v>0.48547212493884495</v>
      </c>
      <c r="T4" s="58">
        <f t="shared" ref="T4:X4" si="1">T81/$P$81</f>
        <v>0.51452787506115505</v>
      </c>
      <c r="U4" s="58">
        <f t="shared" si="1"/>
        <v>0.3724042019546428</v>
      </c>
      <c r="V4" s="58">
        <f t="shared" si="1"/>
        <v>0.55066695566177459</v>
      </c>
      <c r="W4" s="58">
        <f t="shared" si="1"/>
        <v>7.6928842383582691E-2</v>
      </c>
      <c r="X4" s="58">
        <f t="shared" si="1"/>
        <v>0.14784221383980761</v>
      </c>
    </row>
    <row r="5" spans="1:35" s="59" customFormat="1" hidden="1">
      <c r="A5" s="366" t="s">
        <v>34</v>
      </c>
      <c r="B5" s="58" t="s">
        <v>34</v>
      </c>
      <c r="AB5" s="58"/>
      <c r="AC5" s="58"/>
      <c r="AD5" s="58"/>
      <c r="AF5" s="58"/>
      <c r="AH5" s="58"/>
    </row>
    <row r="6" spans="1:35" hidden="1">
      <c r="A6" s="366" t="s">
        <v>134</v>
      </c>
      <c r="B6" s="58" t="s">
        <v>1279</v>
      </c>
    </row>
    <row r="7" spans="1:35" s="642" customFormat="1" hidden="1">
      <c r="A7" s="641"/>
      <c r="B7" s="641"/>
      <c r="AB7" s="641"/>
      <c r="AC7" s="641"/>
      <c r="AD7" s="641"/>
      <c r="AF7" s="641"/>
    </row>
    <row r="8" spans="1:35" ht="93.5" hidden="1" thickBot="1">
      <c r="C8" s="1073" t="s">
        <v>1289</v>
      </c>
      <c r="D8" s="1074" t="s">
        <v>2070</v>
      </c>
      <c r="E8" s="1075" t="s">
        <v>2071</v>
      </c>
      <c r="F8" s="1076" t="s">
        <v>2072</v>
      </c>
      <c r="G8" s="1082" t="s">
        <v>2330</v>
      </c>
      <c r="H8" s="1083" t="s">
        <v>2331</v>
      </c>
      <c r="I8" s="1079" t="s">
        <v>2089</v>
      </c>
      <c r="J8" s="1079" t="s">
        <v>2092</v>
      </c>
      <c r="K8" s="1079" t="s">
        <v>2091</v>
      </c>
      <c r="L8" s="87" t="s">
        <v>2340</v>
      </c>
      <c r="M8"/>
      <c r="N8"/>
      <c r="P8" s="59"/>
      <c r="Q8" s="661"/>
      <c r="R8" s="661"/>
      <c r="S8" s="662"/>
      <c r="T8" s="662"/>
      <c r="U8" s="662"/>
      <c r="V8" s="663"/>
      <c r="W8"/>
      <c r="X8"/>
      <c r="Y8"/>
      <c r="AB8"/>
      <c r="AC8"/>
      <c r="AD8"/>
      <c r="AE8"/>
      <c r="AF8"/>
      <c r="AG8"/>
      <c r="AH8"/>
      <c r="AI8" s="366"/>
    </row>
    <row r="9" spans="1:35" hidden="1">
      <c r="A9" s="58" t="s">
        <v>37</v>
      </c>
      <c r="B9" s="58" t="s">
        <v>2961</v>
      </c>
      <c r="C9" s="1072">
        <v>92358</v>
      </c>
      <c r="D9" s="1069">
        <v>63858.333333333336</v>
      </c>
      <c r="E9" s="1070">
        <v>72331</v>
      </c>
      <c r="F9" s="1071">
        <v>61845</v>
      </c>
      <c r="G9" s="1080">
        <v>24266.920000000006</v>
      </c>
      <c r="H9" s="1081">
        <v>17318</v>
      </c>
      <c r="I9" s="1078">
        <v>10372</v>
      </c>
      <c r="J9" s="1078">
        <v>58146</v>
      </c>
      <c r="K9" s="1078">
        <v>48234</v>
      </c>
      <c r="L9" s="60">
        <v>90</v>
      </c>
      <c r="M9"/>
      <c r="N9"/>
      <c r="P9" s="583"/>
      <c r="Q9" s="664"/>
      <c r="R9" s="664"/>
      <c r="S9" s="665"/>
      <c r="T9" s="665"/>
      <c r="U9" s="665"/>
      <c r="V9" s="666"/>
      <c r="W9"/>
      <c r="X9"/>
      <c r="Y9"/>
      <c r="AB9"/>
      <c r="AC9"/>
      <c r="AD9"/>
      <c r="AE9"/>
      <c r="AF9"/>
      <c r="AG9"/>
      <c r="AH9"/>
    </row>
    <row r="10" spans="1:35" hidden="1">
      <c r="B10" s="58" t="s">
        <v>2962</v>
      </c>
      <c r="C10" s="1072">
        <v>87278</v>
      </c>
      <c r="D10" s="1069">
        <v>57328.337037037039</v>
      </c>
      <c r="E10" s="1070">
        <v>70730</v>
      </c>
      <c r="F10" s="1071">
        <v>64217</v>
      </c>
      <c r="G10" s="1080">
        <v>23656.750000000004</v>
      </c>
      <c r="H10" s="1081">
        <v>18463</v>
      </c>
      <c r="I10" s="1078">
        <v>20707</v>
      </c>
      <c r="J10" s="1078">
        <v>54009</v>
      </c>
      <c r="K10" s="1078">
        <v>48080</v>
      </c>
      <c r="L10" s="60">
        <v>0</v>
      </c>
      <c r="M10"/>
      <c r="N10"/>
      <c r="P10" s="583"/>
      <c r="Q10" s="664"/>
      <c r="R10" s="664"/>
      <c r="S10" s="665"/>
      <c r="T10" s="665"/>
      <c r="U10" s="665"/>
      <c r="V10" s="666"/>
      <c r="W10"/>
      <c r="X10"/>
      <c r="Y10"/>
      <c r="AB10"/>
      <c r="AC10"/>
      <c r="AD10"/>
      <c r="AE10"/>
      <c r="AF10"/>
      <c r="AG10"/>
      <c r="AH10"/>
    </row>
    <row r="11" spans="1:35" hidden="1">
      <c r="A11" s="58" t="s">
        <v>515</v>
      </c>
      <c r="B11" s="58" t="s">
        <v>2961</v>
      </c>
      <c r="C11" s="1072">
        <v>11311</v>
      </c>
      <c r="D11" s="1069">
        <v>9894</v>
      </c>
      <c r="E11" s="1070">
        <v>7692</v>
      </c>
      <c r="F11" s="1071">
        <v>5587</v>
      </c>
      <c r="G11" s="1080">
        <v>0</v>
      </c>
      <c r="H11" s="1081">
        <v>2223</v>
      </c>
      <c r="I11" s="1078">
        <v>45</v>
      </c>
      <c r="J11" s="1078">
        <v>5542</v>
      </c>
      <c r="K11" s="1078">
        <v>5900</v>
      </c>
      <c r="L11" s="60">
        <v>0</v>
      </c>
      <c r="M11"/>
      <c r="N11"/>
      <c r="P11" s="583"/>
      <c r="Q11" s="664"/>
      <c r="R11" s="664"/>
      <c r="S11" s="665"/>
      <c r="T11" s="665"/>
      <c r="U11" s="665"/>
      <c r="V11" s="666"/>
      <c r="W11"/>
      <c r="X11"/>
      <c r="Y11"/>
      <c r="AB11"/>
      <c r="AC11"/>
      <c r="AD11"/>
      <c r="AE11"/>
      <c r="AF11"/>
      <c r="AG11"/>
      <c r="AH11"/>
    </row>
    <row r="12" spans="1:35" hidden="1">
      <c r="B12" s="58" t="s">
        <v>2962</v>
      </c>
      <c r="C12" s="1072">
        <v>10439</v>
      </c>
      <c r="D12" s="1069">
        <v>8554</v>
      </c>
      <c r="E12" s="1070">
        <v>6277</v>
      </c>
      <c r="F12" s="1071">
        <v>4736</v>
      </c>
      <c r="G12" s="1080">
        <v>0</v>
      </c>
      <c r="H12" s="1081">
        <v>2223</v>
      </c>
      <c r="I12" s="1078">
        <v>45</v>
      </c>
      <c r="J12" s="1078">
        <v>4691</v>
      </c>
      <c r="K12" s="1078">
        <v>4500</v>
      </c>
      <c r="L12" s="60">
        <v>0</v>
      </c>
      <c r="M12"/>
      <c r="N12"/>
      <c r="P12" s="583"/>
      <c r="Q12" s="664"/>
      <c r="R12" s="664"/>
      <c r="S12" s="665"/>
      <c r="T12" s="665"/>
      <c r="U12" s="665"/>
      <c r="V12" s="666"/>
      <c r="W12"/>
      <c r="X12"/>
      <c r="Y12"/>
      <c r="Z12"/>
      <c r="AA12"/>
      <c r="AB12"/>
      <c r="AC12"/>
      <c r="AD12"/>
      <c r="AE12"/>
      <c r="AF12"/>
      <c r="AG12"/>
      <c r="AH12"/>
    </row>
    <row r="13" spans="1:35" hidden="1">
      <c r="A13" s="58" t="s">
        <v>1280</v>
      </c>
      <c r="C13" s="1072">
        <v>201386</v>
      </c>
      <c r="D13" s="1069">
        <v>139634.67037037038</v>
      </c>
      <c r="E13" s="1070">
        <v>157030</v>
      </c>
      <c r="F13" s="1071">
        <v>136385</v>
      </c>
      <c r="G13" s="1080">
        <v>47923.670000000013</v>
      </c>
      <c r="H13" s="1081">
        <v>40227</v>
      </c>
      <c r="I13" s="1078">
        <v>31169</v>
      </c>
      <c r="J13" s="1078">
        <v>122388</v>
      </c>
      <c r="K13" s="1078">
        <v>106714</v>
      </c>
      <c r="L13" s="60">
        <v>90</v>
      </c>
      <c r="M13"/>
      <c r="N13"/>
      <c r="P13" s="583"/>
      <c r="Q13" s="664"/>
      <c r="R13" s="664"/>
      <c r="S13" s="665"/>
      <c r="T13" s="665"/>
      <c r="U13" s="665"/>
      <c r="V13" s="666"/>
      <c r="W13" s="413"/>
      <c r="X13" s="413"/>
      <c r="Y13" s="413"/>
      <c r="Z13" s="413"/>
      <c r="AA13" s="413"/>
      <c r="AB13" s="413"/>
      <c r="AC13" s="413"/>
      <c r="AD13" s="413"/>
      <c r="AE13" s="413"/>
      <c r="AF13" s="413"/>
      <c r="AG13" s="413"/>
      <c r="AH13" s="413"/>
    </row>
    <row r="14" spans="1:35" hidden="1">
      <c r="A14"/>
      <c r="B14"/>
      <c r="C14"/>
      <c r="D14"/>
      <c r="E14"/>
      <c r="F14"/>
      <c r="G14"/>
      <c r="H14"/>
      <c r="I14"/>
      <c r="J14"/>
      <c r="K14"/>
      <c r="L14"/>
      <c r="M14"/>
      <c r="N14"/>
      <c r="P14" s="413"/>
      <c r="Q14" s="413"/>
      <c r="R14" s="413"/>
      <c r="S14" s="413"/>
      <c r="T14" s="413"/>
      <c r="U14" s="413"/>
      <c r="V14" s="413"/>
      <c r="W14" s="413"/>
      <c r="X14" s="413"/>
      <c r="Y14" s="413"/>
      <c r="Z14" s="413"/>
      <c r="AA14" s="413"/>
      <c r="AB14" s="413"/>
      <c r="AC14" s="413"/>
      <c r="AD14" s="413"/>
      <c r="AE14" s="413"/>
      <c r="AF14" s="413"/>
      <c r="AG14" s="413"/>
      <c r="AH14" s="413"/>
    </row>
    <row r="15" spans="1:35" hidden="1">
      <c r="A15"/>
      <c r="B15"/>
      <c r="C15"/>
      <c r="D15"/>
      <c r="E15"/>
      <c r="F15"/>
      <c r="G15"/>
      <c r="H15"/>
      <c r="I15"/>
      <c r="J15"/>
      <c r="K15"/>
      <c r="L15"/>
      <c r="M15"/>
      <c r="N15"/>
      <c r="P15" s="413"/>
      <c r="Q15" s="413"/>
      <c r="R15" s="413"/>
      <c r="S15" s="413"/>
      <c r="T15" s="413"/>
      <c r="U15" s="413"/>
      <c r="V15" s="413"/>
      <c r="W15" s="413"/>
      <c r="X15" s="413"/>
      <c r="Y15" s="413"/>
      <c r="Z15" s="413"/>
      <c r="AA15" s="413"/>
      <c r="AB15" s="413"/>
      <c r="AC15" s="413"/>
      <c r="AD15" s="413"/>
      <c r="AE15" s="413"/>
      <c r="AF15" s="413"/>
      <c r="AG15" s="413"/>
      <c r="AH15" s="413"/>
    </row>
    <row r="16" spans="1:35" hidden="1">
      <c r="A16"/>
      <c r="B16"/>
      <c r="C16"/>
      <c r="D16"/>
      <c r="E16"/>
      <c r="F16"/>
      <c r="G16"/>
      <c r="H16"/>
      <c r="I16"/>
      <c r="J16"/>
      <c r="K16"/>
      <c r="L16"/>
      <c r="M16"/>
      <c r="N16"/>
      <c r="P16" s="413"/>
      <c r="Q16" s="413"/>
      <c r="R16" s="413"/>
      <c r="S16" s="413"/>
      <c r="T16" s="413"/>
      <c r="U16" s="413"/>
      <c r="V16" s="413"/>
      <c r="W16" s="413"/>
      <c r="X16" s="413"/>
      <c r="Y16" s="413"/>
      <c r="Z16" s="413"/>
      <c r="AA16" s="413"/>
      <c r="AB16" s="413"/>
      <c r="AC16" s="413"/>
      <c r="AD16" s="413"/>
      <c r="AE16" s="413"/>
      <c r="AF16" s="413"/>
      <c r="AG16" s="413"/>
      <c r="AH16" s="413"/>
    </row>
    <row r="17" spans="1:42" hidden="1">
      <c r="A17"/>
      <c r="B17"/>
      <c r="C17"/>
      <c r="D17"/>
      <c r="E17"/>
      <c r="F17"/>
      <c r="G17"/>
      <c r="H17"/>
      <c r="I17"/>
      <c r="J17"/>
      <c r="K17"/>
      <c r="L17"/>
      <c r="M17"/>
      <c r="N17"/>
      <c r="P17" s="413"/>
      <c r="Q17" s="413"/>
      <c r="R17" s="413"/>
      <c r="S17" s="413"/>
      <c r="T17" s="413"/>
      <c r="U17" s="413"/>
      <c r="V17" s="413"/>
      <c r="W17" s="413"/>
      <c r="X17" s="413"/>
      <c r="Y17" s="413"/>
      <c r="Z17" s="413"/>
      <c r="AA17" s="413"/>
      <c r="AB17" s="413"/>
      <c r="AC17" s="413"/>
      <c r="AD17" s="413"/>
      <c r="AE17" s="413"/>
      <c r="AF17" s="413"/>
      <c r="AG17" s="413"/>
      <c r="AH17" s="413"/>
    </row>
    <row r="18" spans="1:42" hidden="1">
      <c r="A18"/>
      <c r="B18"/>
      <c r="C18"/>
      <c r="D18"/>
      <c r="E18"/>
      <c r="F18"/>
      <c r="G18"/>
      <c r="H18"/>
      <c r="I18"/>
      <c r="J18"/>
      <c r="K18"/>
      <c r="L18"/>
      <c r="M18"/>
      <c r="N18"/>
      <c r="O18" s="413"/>
      <c r="P18" s="413"/>
      <c r="Q18" s="413"/>
      <c r="R18" s="413"/>
      <c r="S18" s="413"/>
      <c r="T18" s="413"/>
      <c r="U18" s="413"/>
      <c r="V18" s="413"/>
      <c r="W18" s="413"/>
      <c r="X18" s="413"/>
      <c r="Y18" s="413"/>
      <c r="Z18" s="413"/>
      <c r="AA18" s="413"/>
      <c r="AB18" s="413"/>
      <c r="AC18" s="413"/>
      <c r="AD18" s="413"/>
      <c r="AE18" s="413"/>
      <c r="AF18" s="413"/>
      <c r="AG18" s="413"/>
      <c r="AH18" s="413"/>
    </row>
    <row r="19" spans="1:42" s="153" customFormat="1" hidden="1">
      <c r="A19"/>
      <c r="B19"/>
      <c r="C19"/>
      <c r="D19"/>
      <c r="E19"/>
      <c r="F19"/>
      <c r="G19"/>
      <c r="H19"/>
      <c r="I19"/>
      <c r="J19"/>
      <c r="K19"/>
      <c r="L19"/>
      <c r="M19"/>
      <c r="N19"/>
      <c r="O19" s="431"/>
      <c r="P19" s="431"/>
      <c r="Q19" s="431"/>
      <c r="R19" s="431"/>
      <c r="S19" s="431"/>
      <c r="T19" s="431"/>
      <c r="U19" s="431"/>
      <c r="V19" s="431"/>
      <c r="W19" s="431"/>
      <c r="X19" s="431"/>
      <c r="Y19" s="431"/>
      <c r="Z19" s="431"/>
      <c r="AA19" s="431"/>
      <c r="AB19" s="431"/>
      <c r="AC19" s="431"/>
      <c r="AD19" s="431"/>
      <c r="AE19" s="431"/>
      <c r="AF19" s="431"/>
      <c r="AG19" s="431"/>
      <c r="AH19" s="431"/>
    </row>
    <row r="20" spans="1:42" s="153" customFormat="1" ht="16" thickBot="1">
      <c r="A20" s="634"/>
      <c r="B20" s="634"/>
      <c r="C20" s="635"/>
      <c r="D20" s="635"/>
      <c r="E20" s="635"/>
      <c r="F20" s="635"/>
      <c r="G20" s="636"/>
      <c r="H20" s="636"/>
      <c r="I20" s="637"/>
      <c r="J20" s="637"/>
      <c r="K20" s="637"/>
      <c r="L20" s="636"/>
      <c r="M20" s="636"/>
      <c r="N20" s="636"/>
      <c r="O20" s="431"/>
      <c r="P20" s="771"/>
      <c r="Q20" s="431"/>
      <c r="R20" s="771"/>
      <c r="S20" s="431">
        <f>S62/$P$62</f>
        <v>0.48937047806282707</v>
      </c>
      <c r="T20" s="431">
        <f>T62/$P$62</f>
        <v>0.51062952193717293</v>
      </c>
      <c r="U20" s="431">
        <f>U62/$P$62</f>
        <v>0.37573797197509728</v>
      </c>
      <c r="V20" s="431">
        <f>V62/$P$62</f>
        <v>0.55206117344622774</v>
      </c>
      <c r="W20" s="431">
        <f t="shared" ref="W20" si="2">W62/$P$62</f>
        <v>7.2200854578674978E-2</v>
      </c>
      <c r="X20" s="431">
        <f>X62/$P$62</f>
        <v>0.13412556856388549</v>
      </c>
      <c r="Y20" s="431"/>
      <c r="Z20" s="431"/>
      <c r="AA20" s="431"/>
      <c r="AB20" s="431"/>
      <c r="AC20" s="431"/>
      <c r="AD20" s="431"/>
      <c r="AE20" s="431"/>
      <c r="AF20" s="431"/>
      <c r="AG20" s="431"/>
      <c r="AH20" s="431"/>
    </row>
    <row r="21" spans="1:42" ht="78" thickTop="1">
      <c r="C21" s="153"/>
      <c r="D21" s="895"/>
      <c r="E21" s="896"/>
      <c r="F21" s="896"/>
      <c r="G21" s="626" t="s">
        <v>2639</v>
      </c>
      <c r="H21" s="627" t="s">
        <v>2640</v>
      </c>
      <c r="I21" s="627" t="s">
        <v>2766</v>
      </c>
      <c r="J21" s="627" t="s">
        <v>2767</v>
      </c>
      <c r="K21" s="676" t="s">
        <v>2806</v>
      </c>
      <c r="L21" s="677" t="s">
        <v>643</v>
      </c>
      <c r="M21" s="628" t="s">
        <v>2948</v>
      </c>
      <c r="N21" s="628" t="s">
        <v>2804</v>
      </c>
      <c r="O21" s="628" t="s">
        <v>2805</v>
      </c>
      <c r="P21" s="680" t="s">
        <v>2673</v>
      </c>
      <c r="R21"/>
      <c r="S21" s="760">
        <f>S43/P43</f>
        <v>0.48508682174218531</v>
      </c>
      <c r="T21" s="760">
        <f>T43/P43</f>
        <v>0.51491317825781457</v>
      </c>
      <c r="U21" s="760"/>
      <c r="W21"/>
      <c r="X21"/>
      <c r="Y21"/>
      <c r="Z21"/>
    </row>
    <row r="22" spans="1:42" hidden="1">
      <c r="C22" s="153"/>
      <c r="D22" s="370"/>
      <c r="E22" s="153"/>
      <c r="P22" s="669"/>
      <c r="Q22" s="669"/>
      <c r="R22" s="686">
        <f>S81/P81</f>
        <v>0.48547212493884495</v>
      </c>
      <c r="S22" s="686">
        <f>T81/P81</f>
        <v>0.51452787506115505</v>
      </c>
      <c r="T22" s="761">
        <f>U81/P81</f>
        <v>0.3724042019546428</v>
      </c>
      <c r="U22" s="761">
        <f>V81/P81</f>
        <v>0.55066695566177459</v>
      </c>
      <c r="V22" s="761">
        <f>W81/P81</f>
        <v>7.6928842383582691E-2</v>
      </c>
      <c r="W22" s="759">
        <f>X81/P81</f>
        <v>0.14784221383980761</v>
      </c>
      <c r="Z22" s="58" t="s">
        <v>2778</v>
      </c>
    </row>
    <row r="23" spans="1:42" ht="16" hidden="1" customHeight="1" thickBot="1">
      <c r="E23" s="60"/>
      <c r="F23" s="686"/>
      <c r="G23" s="813" t="s">
        <v>1284</v>
      </c>
      <c r="H23" s="814"/>
      <c r="I23" s="814"/>
      <c r="J23" s="815"/>
      <c r="K23" s="864" t="s">
        <v>241</v>
      </c>
      <c r="L23" s="679"/>
      <c r="M23" s="679"/>
      <c r="N23" s="679"/>
      <c r="O23" s="679"/>
      <c r="P23" s="702" t="s">
        <v>2631</v>
      </c>
      <c r="Q23" s="678"/>
      <c r="R23" s="686">
        <f>S43/P43</f>
        <v>0.48508682174218531</v>
      </c>
      <c r="S23" s="1174" t="s">
        <v>1491</v>
      </c>
      <c r="T23" s="1175"/>
      <c r="U23" s="769">
        <f>U43/P43</f>
        <v>0.36077135422309153</v>
      </c>
      <c r="V23" s="769">
        <f>V43/P43</f>
        <v>0.56239895229742531</v>
      </c>
      <c r="W23" s="770">
        <f>W43/P43</f>
        <v>7.6829693479483152E-2</v>
      </c>
      <c r="X23" s="686">
        <f>X43/P43</f>
        <v>0.14107910412933322</v>
      </c>
      <c r="Y23" s="686"/>
    </row>
    <row r="24" spans="1:42" ht="60" hidden="1" customHeight="1" thickTop="1">
      <c r="C24" s="72" t="s">
        <v>1281</v>
      </c>
      <c r="D24" s="73" t="s">
        <v>1282</v>
      </c>
      <c r="E24" s="73" t="s">
        <v>1283</v>
      </c>
      <c r="F24" s="617" t="s">
        <v>1290</v>
      </c>
      <c r="G24" s="816" t="s">
        <v>2639</v>
      </c>
      <c r="H24" s="817" t="s">
        <v>2640</v>
      </c>
      <c r="I24" s="817" t="s">
        <v>2766</v>
      </c>
      <c r="J24" s="818" t="s">
        <v>2767</v>
      </c>
      <c r="K24" s="865" t="s">
        <v>2806</v>
      </c>
      <c r="L24" s="866" t="s">
        <v>643</v>
      </c>
      <c r="M24" s="871" t="s">
        <v>2948</v>
      </c>
      <c r="N24" s="872" t="s">
        <v>2804</v>
      </c>
      <c r="O24" s="873" t="s">
        <v>2805</v>
      </c>
      <c r="P24" s="680" t="s">
        <v>2673</v>
      </c>
      <c r="Q24" s="622" t="s">
        <v>1581</v>
      </c>
      <c r="R24" s="714" t="s">
        <v>1582</v>
      </c>
      <c r="S24" s="726" t="s">
        <v>2614</v>
      </c>
      <c r="T24" s="727" t="s">
        <v>2615</v>
      </c>
      <c r="U24" s="727" t="s">
        <v>2616</v>
      </c>
      <c r="V24" s="727" t="s">
        <v>2770</v>
      </c>
      <c r="W24" s="728" t="s">
        <v>2771</v>
      </c>
      <c r="X24" s="728" t="s">
        <v>2613</v>
      </c>
      <c r="Y24" s="729" t="s">
        <v>1286</v>
      </c>
      <c r="AA24" s="711" t="s">
        <v>1278</v>
      </c>
      <c r="AB24" s="711" t="s">
        <v>2777</v>
      </c>
      <c r="AC24" s="711" t="s">
        <v>2772</v>
      </c>
      <c r="AD24" s="711" t="s">
        <v>2773</v>
      </c>
      <c r="AE24" s="711" t="s">
        <v>2774</v>
      </c>
      <c r="AF24" s="711" t="s">
        <v>2775</v>
      </c>
      <c r="AG24" s="711" t="s">
        <v>2776</v>
      </c>
      <c r="AH24" s="711" t="s">
        <v>2210</v>
      </c>
      <c r="AI24" s="711" t="s">
        <v>2211</v>
      </c>
      <c r="AK24" s="58" t="s">
        <v>2958</v>
      </c>
      <c r="AL24" s="58" t="s">
        <v>2959</v>
      </c>
      <c r="AN24" s="58" t="s">
        <v>2958</v>
      </c>
      <c r="AO24" s="58" t="s">
        <v>2959</v>
      </c>
    </row>
    <row r="25" spans="1:42" ht="17.5" hidden="1" customHeight="1">
      <c r="B25" s="686">
        <f>(P25+P27+P28+P31+P32)/(F25+F27+F28+F31+F32)</f>
        <v>0.61226483946229049</v>
      </c>
      <c r="C25" s="1178" t="s">
        <v>2965</v>
      </c>
      <c r="D25" s="583" t="s">
        <v>2688</v>
      </c>
      <c r="E25" s="584">
        <v>111096.7979840148</v>
      </c>
      <c r="F25" s="618">
        <v>15598.324798401482</v>
      </c>
      <c r="G25" s="819"/>
      <c r="H25" s="820"/>
      <c r="I25" s="820"/>
      <c r="J25" s="821"/>
      <c r="K25" s="819">
        <v>10700</v>
      </c>
      <c r="L25" s="821"/>
      <c r="M25" s="819"/>
      <c r="N25" s="820"/>
      <c r="O25" s="821"/>
      <c r="P25" s="869">
        <f t="shared" ref="P25:P42" si="3">SUM(G25:O25)</f>
        <v>10700</v>
      </c>
      <c r="Q25" s="586">
        <f t="shared" ref="Q25:Q56" si="4">P25/F25</f>
        <v>0.68597109871032669</v>
      </c>
      <c r="R25" s="715">
        <f>1-Q25</f>
        <v>0.31402890128967331</v>
      </c>
      <c r="S25" s="730">
        <f>P25*Table7[[#This Row],[% Male]]</f>
        <v>5127.5773763012457</v>
      </c>
      <c r="T25" s="585">
        <f>P25*Table7[[#This Row],[% Female]]</f>
        <v>5572.4226236987543</v>
      </c>
      <c r="U25" s="585">
        <f>P25*Table7[[#This Row],[% CHILDREN  (Age 18&lt;)]]</f>
        <v>3927.2321313400121</v>
      </c>
      <c r="V25" s="585">
        <f>P25*Table7[[#This Row],[ % ADULTS ( Age 18-60)]]</f>
        <v>5822.1396295645482</v>
      </c>
      <c r="W25" s="585">
        <f>P25*Table7[[#This Row],[% ELDERS  (Age 60+)]]</f>
        <v>950.62823909544113</v>
      </c>
      <c r="X25" s="585">
        <f>P25*Table7[[#This Row],[% of people with disabilities (Age 5 yrs+)]]</f>
        <v>1629.3647293625268</v>
      </c>
      <c r="Y25" s="731">
        <f t="shared" ref="Y25:Y42" si="5">F25-P25</f>
        <v>4898.3247984014815</v>
      </c>
      <c r="AA25" s="686" t="s">
        <v>2688</v>
      </c>
      <c r="AB25" s="686">
        <f>1-Table7[[#This Row],[% Female]]</f>
        <v>0.47921283890665844</v>
      </c>
      <c r="AC25" s="686">
        <v>0.52078716109334156</v>
      </c>
      <c r="AD25" s="686">
        <v>0.36703104031215067</v>
      </c>
      <c r="AE25" s="686">
        <v>0.54412519902472412</v>
      </c>
      <c r="AF25" s="686">
        <v>8.884376066312534E-2</v>
      </c>
      <c r="AG25" s="686">
        <v>0.15227707751051653</v>
      </c>
      <c r="AH25" s="712">
        <f>Table7[[#This Row],[% Female]]*P25</f>
        <v>5572.4226236987543</v>
      </c>
      <c r="AI25" s="712">
        <f>P25*Table7[[#This Row],[% of people with disabilities (Age 5 yrs+)]]</f>
        <v>1629.3647293625268</v>
      </c>
      <c r="AK25" s="60">
        <f>G25+H25+K25+M25</f>
        <v>10700</v>
      </c>
      <c r="AL25" s="60">
        <f>I25+J25+L25+N25+O25</f>
        <v>0</v>
      </c>
      <c r="AM25" s="60">
        <f>(AK25+AL25)-P25</f>
        <v>0</v>
      </c>
      <c r="AN25" s="60">
        <f>MAX(AK25,AK44,AK63,AK82,AK101,AK120)</f>
        <v>10750</v>
      </c>
      <c r="AO25" s="60">
        <f>MAX(AL25,AL44,AL63,AL82,AL101,AL120)</f>
        <v>0</v>
      </c>
      <c r="AP25" s="60">
        <f>AN25+AO25</f>
        <v>10750</v>
      </c>
    </row>
    <row r="26" spans="1:42" ht="17.5" hidden="1" customHeight="1">
      <c r="C26" s="1179"/>
      <c r="D26" s="583" t="s">
        <v>2689</v>
      </c>
      <c r="E26" s="584">
        <v>6881.8180702501222</v>
      </c>
      <c r="F26" s="618">
        <v>1386.2472281000487</v>
      </c>
      <c r="G26" s="819"/>
      <c r="H26" s="820"/>
      <c r="I26" s="820"/>
      <c r="J26" s="821"/>
      <c r="K26" s="819"/>
      <c r="L26" s="821"/>
      <c r="M26" s="819"/>
      <c r="N26" s="820"/>
      <c r="O26" s="821"/>
      <c r="P26" s="869">
        <f t="shared" si="3"/>
        <v>0</v>
      </c>
      <c r="Q26" s="586">
        <f t="shared" si="4"/>
        <v>0</v>
      </c>
      <c r="R26" s="715">
        <f>1-Q26</f>
        <v>1</v>
      </c>
      <c r="S26" s="730">
        <f>P26*Table7[[#This Row],[% Male]]</f>
        <v>0</v>
      </c>
      <c r="T26" s="585">
        <f>P26*Table7[[#This Row],[% Female]]</f>
        <v>0</v>
      </c>
      <c r="U26" s="585">
        <f>P26*Table7[[#This Row],[% CHILDREN  (Age 18&lt;)]]</f>
        <v>0</v>
      </c>
      <c r="V26" s="585">
        <f>P26*Table7[[#This Row],[ % ADULTS ( Age 18-60)]]</f>
        <v>0</v>
      </c>
      <c r="W26" s="585">
        <f>P26*Table7[[#This Row],[% ELDERS  (Age 60+)]]</f>
        <v>0</v>
      </c>
      <c r="X26" s="585">
        <f>P26*Table7[[#This Row],[% of people with disabilities (Age 5 yrs+)]]</f>
        <v>0</v>
      </c>
      <c r="Y26" s="731">
        <f t="shared" si="5"/>
        <v>1386.2472281000487</v>
      </c>
      <c r="AA26" s="686" t="s">
        <v>2689</v>
      </c>
      <c r="AB26" s="686">
        <f>1-Table7[[#This Row],[% Female]]</f>
        <v>0.48551985988309021</v>
      </c>
      <c r="AC26" s="686">
        <v>0.51448014011690979</v>
      </c>
      <c r="AD26" s="686">
        <v>0.34678517385040053</v>
      </c>
      <c r="AE26" s="686">
        <v>0.57096178406872689</v>
      </c>
      <c r="AF26" s="686">
        <v>8.2253042080872446E-2</v>
      </c>
      <c r="AG26" s="686">
        <v>0.17328178854818205</v>
      </c>
      <c r="AH26" s="712">
        <f>Table7[[#This Row],[% Female]]*P26</f>
        <v>0</v>
      </c>
      <c r="AI26" s="712">
        <f>P26*Table7[[#This Row],[% of people with disabilities (Age 5 yrs+)]]</f>
        <v>0</v>
      </c>
      <c r="AK26" s="60">
        <f t="shared" ref="AK26:AK89" si="6">G26+H26+K26+M26</f>
        <v>0</v>
      </c>
      <c r="AL26" s="60">
        <f t="shared" ref="AL26:AL89" si="7">I26+J26+L26+N26+O26</f>
        <v>0</v>
      </c>
      <c r="AM26" s="60">
        <f t="shared" ref="AM26:AM89" si="8">(AK26+AL26)-P26</f>
        <v>0</v>
      </c>
      <c r="AP26" s="60">
        <f t="shared" ref="AP26:AP42" si="9">AN26+AO26</f>
        <v>0</v>
      </c>
    </row>
    <row r="27" spans="1:42" ht="17.5" hidden="1" customHeight="1">
      <c r="C27" s="1179"/>
      <c r="D27" s="583" t="s">
        <v>2690</v>
      </c>
      <c r="E27" s="584">
        <v>170547.23083816754</v>
      </c>
      <c r="F27" s="618">
        <v>18946.09385029005</v>
      </c>
      <c r="G27" s="819"/>
      <c r="H27" s="820"/>
      <c r="I27" s="820"/>
      <c r="J27" s="821"/>
      <c r="K27" s="819">
        <v>1074</v>
      </c>
      <c r="L27" s="821"/>
      <c r="M27" s="819"/>
      <c r="N27" s="820"/>
      <c r="O27" s="821"/>
      <c r="P27" s="869">
        <f t="shared" si="3"/>
        <v>1074</v>
      </c>
      <c r="Q27" s="586">
        <f t="shared" si="4"/>
        <v>5.6687146621706291E-2</v>
      </c>
      <c r="R27" s="715">
        <f>1-Q27</f>
        <v>0.94331285337829374</v>
      </c>
      <c r="S27" s="730">
        <f>P27*Table7[[#This Row],[% Male]]</f>
        <v>512.56962206256162</v>
      </c>
      <c r="T27" s="585">
        <f>P27*Table7[[#This Row],[% Female]]</f>
        <v>561.43037793743838</v>
      </c>
      <c r="U27" s="585">
        <f>P27*Table7[[#This Row],[% CHILDREN  (Age 18&lt;)]]</f>
        <v>362.59517033110046</v>
      </c>
      <c r="V27" s="585">
        <f>P27*Table7[[#This Row],[ % ADULTS ( Age 18-60)]]</f>
        <v>617.39521750233644</v>
      </c>
      <c r="W27" s="585">
        <f>P27*Table7[[#This Row],[% ELDERS  (Age 60+)]]</f>
        <v>94.009612166562931</v>
      </c>
      <c r="X27" s="585">
        <f>P27*Table7[[#This Row],[% of people with disabilities (Age 5 yrs+)]]</f>
        <v>134.87660820332951</v>
      </c>
      <c r="Y27" s="731">
        <f t="shared" si="5"/>
        <v>17872.09385029005</v>
      </c>
      <c r="AA27" s="686" t="s">
        <v>2690</v>
      </c>
      <c r="AB27" s="686">
        <f>1-Table7[[#This Row],[% Female]]</f>
        <v>0.47725290694838141</v>
      </c>
      <c r="AC27" s="686">
        <v>0.52274709305161859</v>
      </c>
      <c r="AD27" s="686">
        <v>0.33761189043864104</v>
      </c>
      <c r="AE27" s="686">
        <v>0.57485588221819039</v>
      </c>
      <c r="AF27" s="686">
        <v>8.753222734316847E-2</v>
      </c>
      <c r="AG27" s="686">
        <v>0.1255834340813124</v>
      </c>
      <c r="AH27" s="712">
        <f>Table7[[#This Row],[% Female]]*P27</f>
        <v>561.43037793743838</v>
      </c>
      <c r="AI27" s="712">
        <f>P27*Table7[[#This Row],[% of people with disabilities (Age 5 yrs+)]]</f>
        <v>134.87660820332951</v>
      </c>
      <c r="AK27" s="60">
        <f t="shared" si="6"/>
        <v>1074</v>
      </c>
      <c r="AL27" s="60">
        <f t="shared" si="7"/>
        <v>0</v>
      </c>
      <c r="AM27" s="60">
        <f t="shared" si="8"/>
        <v>0</v>
      </c>
      <c r="AN27" s="60">
        <f>MAX(AK27,AK46,AK65,AK84,AK102,AK121)</f>
        <v>1872</v>
      </c>
      <c r="AO27" s="60">
        <f>MAX(AL27,AL46,AL65,AL84,AL102,AL121)</f>
        <v>0</v>
      </c>
      <c r="AP27" s="60">
        <f t="shared" si="9"/>
        <v>1872</v>
      </c>
    </row>
    <row r="28" spans="1:42" ht="17.5" hidden="1" customHeight="1">
      <c r="C28" s="1179"/>
      <c r="D28" s="583" t="s">
        <v>2691</v>
      </c>
      <c r="E28" s="584">
        <v>0</v>
      </c>
      <c r="F28" s="618">
        <v>0</v>
      </c>
      <c r="G28" s="819"/>
      <c r="H28" s="822"/>
      <c r="I28" s="822"/>
      <c r="J28" s="821"/>
      <c r="K28" s="819"/>
      <c r="L28" s="821"/>
      <c r="M28" s="819"/>
      <c r="N28" s="820"/>
      <c r="O28" s="821"/>
      <c r="P28" s="869">
        <f t="shared" si="3"/>
        <v>0</v>
      </c>
      <c r="Q28" s="586" t="e">
        <f t="shared" si="4"/>
        <v>#DIV/0!</v>
      </c>
      <c r="R28" s="715" t="e">
        <f>1-Q28</f>
        <v>#DIV/0!</v>
      </c>
      <c r="S28" s="730">
        <f>P28*Table7[[#This Row],[% Male]]</f>
        <v>0</v>
      </c>
      <c r="T28" s="585">
        <f>P28*Table7[[#This Row],[% Female]]</f>
        <v>0</v>
      </c>
      <c r="U28" s="585">
        <f>P28*Table7[[#This Row],[% CHILDREN  (Age 18&lt;)]]</f>
        <v>0</v>
      </c>
      <c r="V28" s="585">
        <f>P28*Table7[[#This Row],[ % ADULTS ( Age 18-60)]]</f>
        <v>0</v>
      </c>
      <c r="W28" s="585">
        <f>P28*Table7[[#This Row],[% ELDERS  (Age 60+)]]</f>
        <v>0</v>
      </c>
      <c r="X28" s="585">
        <f>P28*Table7[[#This Row],[% of people with disabilities (Age 5 yrs+)]]</f>
        <v>0</v>
      </c>
      <c r="Y28" s="731">
        <f t="shared" si="5"/>
        <v>0</v>
      </c>
      <c r="AA28" s="686" t="s">
        <v>2691</v>
      </c>
      <c r="AB28" s="686">
        <f>1-Table7[[#This Row],[% Female]]</f>
        <v>0.47722473638009399</v>
      </c>
      <c r="AC28" s="686">
        <v>0.52277526361990601</v>
      </c>
      <c r="AD28" s="686">
        <v>0.33761189043864104</v>
      </c>
      <c r="AE28" s="686">
        <v>0.57485588221819039</v>
      </c>
      <c r="AF28" s="686">
        <v>8.753222734316847E-2</v>
      </c>
      <c r="AG28" s="686">
        <v>0.1255834340813124</v>
      </c>
      <c r="AH28" s="712">
        <f>Table7[[#This Row],[% Female]]*P28</f>
        <v>0</v>
      </c>
      <c r="AI28" s="712">
        <f>P28*Table7[[#This Row],[% of people with disabilities (Age 5 yrs+)]]</f>
        <v>0</v>
      </c>
      <c r="AK28" s="60">
        <f t="shared" si="6"/>
        <v>0</v>
      </c>
      <c r="AL28" s="60">
        <f t="shared" si="7"/>
        <v>0</v>
      </c>
      <c r="AM28" s="60">
        <f t="shared" si="8"/>
        <v>0</v>
      </c>
      <c r="AP28" s="60">
        <f t="shared" si="9"/>
        <v>0</v>
      </c>
    </row>
    <row r="29" spans="1:42" ht="17.5" hidden="1" customHeight="1">
      <c r="B29" s="686">
        <f>(P29+P33+P37)/(F29+F33+F37)</f>
        <v>0.16867372670507777</v>
      </c>
      <c r="C29" s="1179"/>
      <c r="D29" s="583" t="s">
        <v>610</v>
      </c>
      <c r="E29" s="584">
        <v>133949.83369622205</v>
      </c>
      <c r="F29" s="618">
        <v>85472.123369622204</v>
      </c>
      <c r="G29" s="819"/>
      <c r="H29" s="820"/>
      <c r="I29" s="820"/>
      <c r="J29" s="821"/>
      <c r="K29" s="819">
        <v>14831</v>
      </c>
      <c r="L29" s="821"/>
      <c r="M29" s="819"/>
      <c r="N29" s="820"/>
      <c r="O29" s="821"/>
      <c r="P29" s="869">
        <f t="shared" si="3"/>
        <v>14831</v>
      </c>
      <c r="Q29" s="586">
        <f t="shared" si="4"/>
        <v>0.17351856272323651</v>
      </c>
      <c r="R29" s="715">
        <f>1-Q29</f>
        <v>0.82648143727676349</v>
      </c>
      <c r="S29" s="730">
        <f>P29*Table7[[#This Row],[% Male]]</f>
        <v>7114.4559366002741</v>
      </c>
      <c r="T29" s="585">
        <f>P29*Table7[[#This Row],[% Female]]</f>
        <v>7716.5440633997259</v>
      </c>
      <c r="U29" s="585">
        <f>P29*Table7[[#This Row],[% CHILDREN  (Age 18&lt;)]]</f>
        <v>6849.1013281091728</v>
      </c>
      <c r="V29" s="585">
        <f>P29*Table7[[#This Row],[ % ADULTS ( Age 18-60)]]</f>
        <v>7006.7345807548436</v>
      </c>
      <c r="W29" s="585">
        <f>P29*Table7[[#This Row],[% ELDERS  (Age 60+)]]</f>
        <v>975.16409113598343</v>
      </c>
      <c r="X29" s="585">
        <f>P29*Table7[[#This Row],[% of people with disabilities (Age 5 yrs+)]]</f>
        <v>3059.5924107173664</v>
      </c>
      <c r="Y29" s="731">
        <f t="shared" si="5"/>
        <v>70641.123369622204</v>
      </c>
      <c r="AA29" s="686" t="s">
        <v>610</v>
      </c>
      <c r="AB29" s="686">
        <f>1-Table7[[#This Row],[% Female]]</f>
        <v>0.47970170161150794</v>
      </c>
      <c r="AC29" s="686">
        <v>0.52029829838849206</v>
      </c>
      <c r="AD29" s="686">
        <v>0.46180981242729235</v>
      </c>
      <c r="AE29" s="686">
        <v>0.4724384451995714</v>
      </c>
      <c r="AF29" s="686">
        <v>6.5751742373136232E-2</v>
      </c>
      <c r="AG29" s="686">
        <v>0.20629710813278715</v>
      </c>
      <c r="AH29" s="712">
        <f>Table7[[#This Row],[% Female]]*P29</f>
        <v>7716.5440633997259</v>
      </c>
      <c r="AI29" s="712">
        <f>P29*Table7[[#This Row],[% of people with disabilities (Age 5 yrs+)]]</f>
        <v>3059.5924107173664</v>
      </c>
      <c r="AK29" s="60">
        <f>G29+H29+K29+M29</f>
        <v>14831</v>
      </c>
      <c r="AL29" s="60">
        <f t="shared" si="7"/>
        <v>0</v>
      </c>
      <c r="AM29" s="60">
        <f t="shared" si="8"/>
        <v>0</v>
      </c>
      <c r="AN29" s="60">
        <f t="shared" ref="AN29:AO32" si="10">MAX(AK29,AK48,AK67,AK86,AK103,AK122)</f>
        <v>31175</v>
      </c>
      <c r="AO29" s="60">
        <f t="shared" si="10"/>
        <v>0</v>
      </c>
      <c r="AP29" s="60">
        <f t="shared" si="9"/>
        <v>31175</v>
      </c>
    </row>
    <row r="30" spans="1:42" ht="17.5" customHeight="1">
      <c r="C30" s="1179"/>
      <c r="D30" s="583" t="s">
        <v>37</v>
      </c>
      <c r="E30" s="584">
        <v>231228.27654495894</v>
      </c>
      <c r="F30" s="618">
        <v>94859.013827247953</v>
      </c>
      <c r="G30" s="819">
        <f>C2</f>
        <v>58885.337037037032</v>
      </c>
      <c r="H30" s="820">
        <v>1564</v>
      </c>
      <c r="I30" s="820"/>
      <c r="J30" s="821">
        <v>919</v>
      </c>
      <c r="K30" s="819"/>
      <c r="L30" s="821"/>
      <c r="M30" s="819"/>
      <c r="N30" s="820"/>
      <c r="O30" s="821"/>
      <c r="P30" s="869">
        <f t="shared" si="3"/>
        <v>61368.337037037032</v>
      </c>
      <c r="Q30" s="586">
        <f t="shared" si="4"/>
        <v>0.64694259998103809</v>
      </c>
      <c r="R30" s="715">
        <f t="shared" ref="R30:R42" si="11">1-Q30</f>
        <v>0.35305740001896191</v>
      </c>
      <c r="S30" s="730">
        <f>P30*Table7[[#This Row],[% Male]]</f>
        <v>31288.458251826683</v>
      </c>
      <c r="T30" s="585">
        <f>P30*Table7[[#This Row],[% Female]]</f>
        <v>30079.878785210349</v>
      </c>
      <c r="U30" s="585">
        <f>P30*Table7[[#This Row],[% CHILDREN  (Age 18&lt;)]]</f>
        <v>22098.587099653261</v>
      </c>
      <c r="V30" s="585">
        <f>P30*Table7[[#This Row],[ % ADULTS ( Age 18-60)]]</f>
        <v>35894.725055915449</v>
      </c>
      <c r="W30" s="585">
        <f>P30*Table7[[#This Row],[% ELDERS  (Age 60+)]]</f>
        <v>3375.0248814683196</v>
      </c>
      <c r="X30" s="585">
        <f>P30*Table7[[#This Row],[% of people with disabilities (Age 5 yrs+)]]</f>
        <v>5460.4083344622895</v>
      </c>
      <c r="Y30" s="731">
        <f t="shared" si="5"/>
        <v>33490.67679021092</v>
      </c>
      <c r="AA30" s="686" t="s">
        <v>37</v>
      </c>
      <c r="AB30" s="686">
        <f>1-Table7[[#This Row],[% Female]]</f>
        <v>0.50984693023282457</v>
      </c>
      <c r="AC30" s="686">
        <v>0.49015306976717543</v>
      </c>
      <c r="AD30" s="686">
        <v>0.36009753834972452</v>
      </c>
      <c r="AE30" s="686">
        <v>0.5849062690789919</v>
      </c>
      <c r="AF30" s="686">
        <v>5.4996192571283527E-2</v>
      </c>
      <c r="AG30" s="686">
        <v>8.8977616114427588E-2</v>
      </c>
      <c r="AH30" s="712">
        <f>Table7[[#This Row],[% Female]]*P30</f>
        <v>30079.878785210349</v>
      </c>
      <c r="AI30" s="712">
        <f>P30*Table7[[#This Row],[% of people with disabilities (Age 5 yrs+)]]</f>
        <v>5460.4083344622895</v>
      </c>
      <c r="AK30" s="60">
        <f t="shared" si="6"/>
        <v>60449.337037037032</v>
      </c>
      <c r="AL30" s="60">
        <f t="shared" si="7"/>
        <v>919</v>
      </c>
      <c r="AM30" s="60">
        <f t="shared" si="8"/>
        <v>0</v>
      </c>
      <c r="AN30" s="60">
        <f t="shared" si="10"/>
        <v>71665</v>
      </c>
      <c r="AO30" s="60">
        <f t="shared" si="10"/>
        <v>919</v>
      </c>
      <c r="AP30" s="60">
        <f t="shared" si="9"/>
        <v>72584</v>
      </c>
    </row>
    <row r="31" spans="1:42" ht="17.5" hidden="1" customHeight="1">
      <c r="C31" s="1179"/>
      <c r="D31" s="583" t="s">
        <v>2692</v>
      </c>
      <c r="E31" s="584">
        <v>207176.84686270333</v>
      </c>
      <c r="F31" s="618">
        <v>38551.719686270328</v>
      </c>
      <c r="G31" s="819"/>
      <c r="H31" s="820"/>
      <c r="I31" s="820"/>
      <c r="J31" s="821"/>
      <c r="K31" s="819">
        <v>30416</v>
      </c>
      <c r="L31" s="821"/>
      <c r="M31" s="819"/>
      <c r="N31" s="820"/>
      <c r="O31" s="821"/>
      <c r="P31" s="869">
        <f t="shared" si="3"/>
        <v>30416</v>
      </c>
      <c r="Q31" s="586">
        <f t="shared" si="4"/>
        <v>0.78896610183727411</v>
      </c>
      <c r="R31" s="715">
        <f t="shared" si="11"/>
        <v>0.21103389816272589</v>
      </c>
      <c r="S31" s="730">
        <f>P31*Table7[[#This Row],[% Male]]</f>
        <v>15666.583894869786</v>
      </c>
      <c r="T31" s="585">
        <f>P31*Table7[[#This Row],[% Female]]</f>
        <v>14749.416105130216</v>
      </c>
      <c r="U31" s="585">
        <f>P31*Table7[[#This Row],[% CHILDREN  (Age 18&lt;)]]</f>
        <v>12322.73157797416</v>
      </c>
      <c r="V31" s="585">
        <f>P31*Table7[[#This Row],[ % ADULTS ( Age 18-60)]]</f>
        <v>16503.529506989922</v>
      </c>
      <c r="W31" s="585">
        <f>P31*Table7[[#This Row],[% ELDERS  (Age 60+)]]</f>
        <v>1589.7389150359177</v>
      </c>
      <c r="X31" s="585">
        <f>P31*Table7[[#This Row],[% of people with disabilities (Age 5 yrs+)]]</f>
        <v>3294.6289195432455</v>
      </c>
      <c r="Y31" s="731">
        <f t="shared" si="5"/>
        <v>8135.7196862703277</v>
      </c>
      <c r="AA31" s="686" t="s">
        <v>2692</v>
      </c>
      <c r="AB31" s="686">
        <f>1-Table7[[#This Row],[% Female]]</f>
        <v>0.51507706124637642</v>
      </c>
      <c r="AC31" s="686">
        <v>0.48492293875362363</v>
      </c>
      <c r="AD31" s="686">
        <v>0.40513978096969228</v>
      </c>
      <c r="AE31" s="686">
        <v>0.54259368447494483</v>
      </c>
      <c r="AF31" s="686">
        <v>5.2266534555362891E-2</v>
      </c>
      <c r="AG31" s="686">
        <v>0.10831894133164274</v>
      </c>
      <c r="AH31" s="712">
        <f>Table7[[#This Row],[% Female]]*P31</f>
        <v>14749.416105130216</v>
      </c>
      <c r="AI31" s="712">
        <f>P31*Table7[[#This Row],[% of people with disabilities (Age 5 yrs+)]]</f>
        <v>3294.6289195432455</v>
      </c>
      <c r="AK31" s="60">
        <f t="shared" si="6"/>
        <v>30416</v>
      </c>
      <c r="AL31" s="60">
        <f t="shared" si="7"/>
        <v>0</v>
      </c>
      <c r="AM31" s="60">
        <f t="shared" si="8"/>
        <v>0</v>
      </c>
      <c r="AN31" s="60">
        <f t="shared" si="10"/>
        <v>30416</v>
      </c>
      <c r="AO31" s="60">
        <f t="shared" si="10"/>
        <v>2330</v>
      </c>
      <c r="AP31" s="60">
        <f t="shared" si="9"/>
        <v>32746</v>
      </c>
    </row>
    <row r="32" spans="1:42" ht="17.5" hidden="1" customHeight="1">
      <c r="C32" s="1179"/>
      <c r="D32" s="583" t="s">
        <v>2332</v>
      </c>
      <c r="E32" s="584">
        <v>293903.52269109758</v>
      </c>
      <c r="F32" s="618">
        <v>37310.332269109756</v>
      </c>
      <c r="G32" s="819"/>
      <c r="H32" s="820"/>
      <c r="I32" s="820"/>
      <c r="J32" s="821"/>
      <c r="K32" s="819">
        <v>25408</v>
      </c>
      <c r="L32" s="821"/>
      <c r="M32" s="819"/>
      <c r="N32" s="820"/>
      <c r="O32" s="821"/>
      <c r="P32" s="869">
        <f t="shared" si="3"/>
        <v>25408</v>
      </c>
      <c r="Q32" s="586">
        <f t="shared" si="4"/>
        <v>0.68099098707400085</v>
      </c>
      <c r="R32" s="715">
        <f t="shared" si="11"/>
        <v>0.31900901292599915</v>
      </c>
      <c r="S32" s="730">
        <f>P32*Table7[[#This Row],[% Male]]</f>
        <v>12606.36929597517</v>
      </c>
      <c r="T32" s="585">
        <f>P32*Table7[[#This Row],[% Female]]</f>
        <v>12801.63070402483</v>
      </c>
      <c r="U32" s="585">
        <f>P32*Table7[[#This Row],[% CHILDREN  (Age 18&lt;)]]</f>
        <v>10475.420971252242</v>
      </c>
      <c r="V32" s="585">
        <f>P32*Table7[[#This Row],[ % ADULTS ( Age 18-60)]]</f>
        <v>13142.834837661518</v>
      </c>
      <c r="W32" s="585">
        <f>P32*Table7[[#This Row],[% ELDERS  (Age 60+)]]</f>
        <v>1789.744191086241</v>
      </c>
      <c r="X32" s="585">
        <f>P32*Table7[[#This Row],[% of people with disabilities (Age 5 yrs+)]]</f>
        <v>4225.6813856849367</v>
      </c>
      <c r="Y32" s="731">
        <f>F32-P32</f>
        <v>11902.332269109756</v>
      </c>
      <c r="AA32" s="686" t="s">
        <v>2332</v>
      </c>
      <c r="AB32" s="686">
        <f>1-Table7[[#This Row],[% Female]]</f>
        <v>0.49615748173705798</v>
      </c>
      <c r="AC32" s="686">
        <v>0.50384251826294202</v>
      </c>
      <c r="AD32" s="686">
        <v>0.41228829389374377</v>
      </c>
      <c r="AE32" s="686">
        <v>0.51727152226312645</v>
      </c>
      <c r="AF32" s="686">
        <v>7.0440183843129764E-2</v>
      </c>
      <c r="AG32" s="686">
        <v>0.16631302682953938</v>
      </c>
      <c r="AH32" s="712">
        <f>Table7[[#This Row],[% Female]]*P32</f>
        <v>12801.63070402483</v>
      </c>
      <c r="AI32" s="712">
        <f>P32*Table7[[#This Row],[% of people with disabilities (Age 5 yrs+)]]</f>
        <v>4225.6813856849367</v>
      </c>
      <c r="AK32" s="60">
        <f t="shared" si="6"/>
        <v>25408</v>
      </c>
      <c r="AL32" s="60">
        <f t="shared" si="7"/>
        <v>0</v>
      </c>
      <c r="AM32" s="60">
        <f t="shared" si="8"/>
        <v>0</v>
      </c>
      <c r="AN32" s="60">
        <f t="shared" si="10"/>
        <v>25408</v>
      </c>
      <c r="AO32" s="60">
        <f t="shared" si="10"/>
        <v>0</v>
      </c>
      <c r="AP32" s="60">
        <f t="shared" si="9"/>
        <v>25408</v>
      </c>
    </row>
    <row r="33" spans="2:44" ht="17.5" hidden="1" customHeight="1">
      <c r="C33" s="1179"/>
      <c r="D33" s="583" t="s">
        <v>2693</v>
      </c>
      <c r="E33" s="584">
        <v>388884.05822737725</v>
      </c>
      <c r="F33" s="618">
        <v>87923.325822737723</v>
      </c>
      <c r="G33" s="819"/>
      <c r="H33" s="820">
        <v>8876</v>
      </c>
      <c r="I33" s="820"/>
      <c r="J33" s="821"/>
      <c r="K33" s="819"/>
      <c r="L33" s="821"/>
      <c r="M33" s="819"/>
      <c r="N33" s="820"/>
      <c r="O33" s="821"/>
      <c r="P33" s="869">
        <f t="shared" si="3"/>
        <v>8876</v>
      </c>
      <c r="Q33" s="586">
        <f t="shared" si="4"/>
        <v>0.10095159523304327</v>
      </c>
      <c r="R33" s="715">
        <f t="shared" si="11"/>
        <v>0.89904840476695669</v>
      </c>
      <c r="S33" s="730">
        <f>P33*Table7[[#This Row],[% Male]]</f>
        <v>4138.3485908233515</v>
      </c>
      <c r="T33" s="585">
        <f>P33*Table7[[#This Row],[% Female]]</f>
        <v>4737.6514091766485</v>
      </c>
      <c r="U33" s="585">
        <f>P33*Table7[[#This Row],[% CHILDREN  (Age 18&lt;)]]</f>
        <v>2830.6088814172904</v>
      </c>
      <c r="V33" s="585">
        <f>P33*Table7[[#This Row],[ % ADULTS ( Age 18-60)]]</f>
        <v>5170.250654126633</v>
      </c>
      <c r="W33" s="585">
        <f>P33*Table7[[#This Row],[% ELDERS  (Age 60+)]]</f>
        <v>875.1404644560771</v>
      </c>
      <c r="X33" s="585">
        <f>P33*Table7[[#This Row],[% of people with disabilities (Age 5 yrs+)]]</f>
        <v>1511.3675841206891</v>
      </c>
      <c r="Y33" s="731">
        <f t="shared" si="5"/>
        <v>79047.325822737723</v>
      </c>
      <c r="AA33" s="686" t="s">
        <v>2693</v>
      </c>
      <c r="AB33" s="686">
        <f>1-Table7[[#This Row],[% Female]]</f>
        <v>0.46624026485166192</v>
      </c>
      <c r="AC33" s="686">
        <v>0.53375973514833808</v>
      </c>
      <c r="AD33" s="686">
        <v>0.31890591273290786</v>
      </c>
      <c r="AE33" s="686">
        <v>0.58249782042886811</v>
      </c>
      <c r="AF33" s="686">
        <v>9.8596266838224103E-2</v>
      </c>
      <c r="AG33" s="686">
        <v>0.17027575305550802</v>
      </c>
      <c r="AH33" s="712">
        <f>Table7[[#This Row],[% Female]]*P33</f>
        <v>4737.6514091766485</v>
      </c>
      <c r="AI33" s="712">
        <f>P33*Table7[[#This Row],[% of people with disabilities (Age 5 yrs+)]]</f>
        <v>1511.3675841206891</v>
      </c>
      <c r="AK33" s="60">
        <f t="shared" si="6"/>
        <v>8876</v>
      </c>
      <c r="AL33" s="60">
        <f t="shared" si="7"/>
        <v>0</v>
      </c>
      <c r="AM33" s="60">
        <f t="shared" si="8"/>
        <v>0</v>
      </c>
      <c r="AN33" s="60">
        <f>MAX(AK33,AK52,AK71,AK90,AK107,AK126)</f>
        <v>8876</v>
      </c>
      <c r="AP33" s="60">
        <f t="shared" si="9"/>
        <v>8876</v>
      </c>
    </row>
    <row r="34" spans="2:44" ht="17.5" hidden="1" customHeight="1">
      <c r="C34" s="1179"/>
      <c r="D34" s="583" t="s">
        <v>2694</v>
      </c>
      <c r="E34" s="584">
        <v>22342.381043354912</v>
      </c>
      <c r="F34" s="618">
        <v>0</v>
      </c>
      <c r="G34" s="819"/>
      <c r="H34" s="820"/>
      <c r="I34" s="820"/>
      <c r="J34" s="821"/>
      <c r="K34" s="819"/>
      <c r="L34" s="821"/>
      <c r="M34" s="819"/>
      <c r="N34" s="820"/>
      <c r="O34" s="821"/>
      <c r="P34" s="869">
        <f t="shared" si="3"/>
        <v>0</v>
      </c>
      <c r="Q34" s="586" t="e">
        <f t="shared" si="4"/>
        <v>#DIV/0!</v>
      </c>
      <c r="R34" s="715" t="e">
        <f>1-Q34</f>
        <v>#DIV/0!</v>
      </c>
      <c r="S34" s="730">
        <f>P34*Table7[[#This Row],[% Male]]</f>
        <v>0</v>
      </c>
      <c r="T34" s="585">
        <f>P34*Table7[[#This Row],[% Female]]</f>
        <v>0</v>
      </c>
      <c r="U34" s="585">
        <f>P34*Table7[[#This Row],[% CHILDREN  (Age 18&lt;)]]</f>
        <v>0</v>
      </c>
      <c r="V34" s="585">
        <f>P34*Table7[[#This Row],[ % ADULTS ( Age 18-60)]]</f>
        <v>0</v>
      </c>
      <c r="W34" s="585">
        <f>P34*Table7[[#This Row],[% ELDERS  (Age 60+)]]</f>
        <v>0</v>
      </c>
      <c r="X34" s="585">
        <f>P34*Table7[[#This Row],[% of people with disabilities (Age 5 yrs+)]]</f>
        <v>0</v>
      </c>
      <c r="Y34" s="731">
        <f t="shared" si="5"/>
        <v>0</v>
      </c>
      <c r="AA34" s="686" t="s">
        <v>2694</v>
      </c>
      <c r="AB34" s="686">
        <f>1-Table7[[#This Row],[% Female]]</f>
        <v>0.47497740305257174</v>
      </c>
      <c r="AC34" s="686">
        <v>0.52502259694742826</v>
      </c>
      <c r="AD34" s="686">
        <v>0.3138931152113062</v>
      </c>
      <c r="AE34" s="686">
        <v>0.60118432177378078</v>
      </c>
      <c r="AF34" s="686">
        <v>8.4922563014913258E-2</v>
      </c>
      <c r="AG34" s="686">
        <v>0.10165982960370988</v>
      </c>
      <c r="AH34" s="712">
        <f>Table7[[#This Row],[% Female]]*P34</f>
        <v>0</v>
      </c>
      <c r="AI34" s="712">
        <f>P34*Table7[[#This Row],[% of people with disabilities (Age 5 yrs+)]]</f>
        <v>0</v>
      </c>
      <c r="AK34" s="60">
        <f t="shared" si="6"/>
        <v>0</v>
      </c>
      <c r="AL34" s="60">
        <f t="shared" si="7"/>
        <v>0</v>
      </c>
      <c r="AM34" s="60">
        <f t="shared" si="8"/>
        <v>0</v>
      </c>
      <c r="AP34" s="60">
        <f t="shared" si="9"/>
        <v>0</v>
      </c>
    </row>
    <row r="35" spans="2:44" ht="17.5" hidden="1" customHeight="1">
      <c r="C35" s="1179"/>
      <c r="D35" s="583" t="s">
        <v>2695</v>
      </c>
      <c r="E35" s="584">
        <v>0</v>
      </c>
      <c r="F35" s="618">
        <v>0</v>
      </c>
      <c r="G35" s="819"/>
      <c r="H35" s="820"/>
      <c r="I35" s="820"/>
      <c r="J35" s="821"/>
      <c r="K35" s="819"/>
      <c r="L35" s="821"/>
      <c r="M35" s="819"/>
      <c r="N35" s="820"/>
      <c r="O35" s="821"/>
      <c r="P35" s="869">
        <f t="shared" si="3"/>
        <v>0</v>
      </c>
      <c r="Q35" s="586" t="e">
        <f t="shared" si="4"/>
        <v>#DIV/0!</v>
      </c>
      <c r="R35" s="715" t="e">
        <f>1-Q35</f>
        <v>#DIV/0!</v>
      </c>
      <c r="S35" s="730">
        <f>P35*Table7[[#This Row],[% Male]]</f>
        <v>0</v>
      </c>
      <c r="T35" s="585">
        <f>P35*Table7[[#This Row],[% Female]]</f>
        <v>0</v>
      </c>
      <c r="U35" s="585">
        <f>P35*Table7[[#This Row],[% CHILDREN  (Age 18&lt;)]]</f>
        <v>0</v>
      </c>
      <c r="V35" s="585">
        <f>P35*Table7[[#This Row],[ % ADULTS ( Age 18-60)]]</f>
        <v>0</v>
      </c>
      <c r="W35" s="585">
        <f>P35*Table7[[#This Row],[% ELDERS  (Age 60+)]]</f>
        <v>0</v>
      </c>
      <c r="X35" s="585">
        <f>P35*Table7[[#This Row],[% of people with disabilities (Age 5 yrs+)]]</f>
        <v>0</v>
      </c>
      <c r="Y35" s="731">
        <f t="shared" si="5"/>
        <v>0</v>
      </c>
      <c r="AA35" s="686" t="s">
        <v>2695</v>
      </c>
      <c r="AB35" s="686">
        <f>1-Table7[[#This Row],[% Female]]</f>
        <v>0.49204036182964128</v>
      </c>
      <c r="AC35" s="686">
        <v>0.50795963817035872</v>
      </c>
      <c r="AD35" s="686">
        <v>0.36703104031215061</v>
      </c>
      <c r="AE35" s="686">
        <v>0.54412519902472412</v>
      </c>
      <c r="AF35" s="686">
        <v>8.8843760663125326E-2</v>
      </c>
      <c r="AG35" s="686">
        <v>0.10766915021305525</v>
      </c>
      <c r="AH35" s="712">
        <f>Table7[[#This Row],[% Female]]*P35</f>
        <v>0</v>
      </c>
      <c r="AI35" s="712">
        <f>P35*Table7[[#This Row],[% of people with disabilities (Age 5 yrs+)]]</f>
        <v>0</v>
      </c>
      <c r="AK35" s="60">
        <f t="shared" si="6"/>
        <v>0</v>
      </c>
      <c r="AL35" s="60">
        <f t="shared" si="7"/>
        <v>0</v>
      </c>
      <c r="AM35" s="60">
        <f t="shared" si="8"/>
        <v>0</v>
      </c>
      <c r="AP35" s="60">
        <f t="shared" si="9"/>
        <v>0</v>
      </c>
    </row>
    <row r="36" spans="2:44" ht="17.5" hidden="1" customHeight="1">
      <c r="C36" s="1179"/>
      <c r="D36" s="583" t="s">
        <v>304</v>
      </c>
      <c r="E36" s="584">
        <v>1041892.4324525243</v>
      </c>
      <c r="F36" s="618">
        <v>434841.37338480778</v>
      </c>
      <c r="G36" s="819">
        <v>127145</v>
      </c>
      <c r="H36" s="888">
        <v>37745</v>
      </c>
      <c r="I36" s="820">
        <v>20535.666666666668</v>
      </c>
      <c r="J36" s="821"/>
      <c r="K36" s="819"/>
      <c r="L36" s="821"/>
      <c r="M36" s="819"/>
      <c r="N36" s="820">
        <v>266.66666666666669</v>
      </c>
      <c r="O36" s="821"/>
      <c r="P36" s="869">
        <f t="shared" si="3"/>
        <v>185692.33333333331</v>
      </c>
      <c r="Q36" s="586">
        <f t="shared" si="4"/>
        <v>0.42703464918230549</v>
      </c>
      <c r="R36" s="715">
        <f>1-Q36</f>
        <v>0.57296535081769451</v>
      </c>
      <c r="S36" s="730">
        <f>P36*Table7[[#This Row],[% Male]]</f>
        <v>88009.102083641643</v>
      </c>
      <c r="T36" s="585">
        <f>P36*Table7[[#This Row],[% Female]]</f>
        <v>97683.231249691671</v>
      </c>
      <c r="U36" s="585">
        <f>P36*Table7[[#This Row],[% CHILDREN  (Age 18&lt;)]]</f>
        <v>68162.608084021049</v>
      </c>
      <c r="V36" s="585">
        <f>P36*Table7[[#This Row],[ % ADULTS ( Age 18-60)]]</f>
        <v>101196.32172213391</v>
      </c>
      <c r="W36" s="585">
        <f>P36*Table7[[#This Row],[% ELDERS  (Age 60+)]]</f>
        <v>16333.40352717838</v>
      </c>
      <c r="X36" s="585">
        <f>P36*Table7[[#This Row],[% of people with disabilities (Age 5 yrs+)]]</f>
        <v>32209.781306199737</v>
      </c>
      <c r="Y36" s="731">
        <f t="shared" si="5"/>
        <v>249149.04005147447</v>
      </c>
      <c r="AA36" s="686" t="s">
        <v>304</v>
      </c>
      <c r="AB36" s="686">
        <f>1-Table7[[#This Row],[% Female]]</f>
        <v>0.47395118852676554</v>
      </c>
      <c r="AC36" s="686">
        <v>0.52604881147323446</v>
      </c>
      <c r="AD36" s="686">
        <v>0.36707281803424513</v>
      </c>
      <c r="AE36" s="686">
        <v>0.54496768878701107</v>
      </c>
      <c r="AF36" s="686">
        <v>8.795949317874395E-2</v>
      </c>
      <c r="AG36" s="686">
        <v>0.17345778755647642</v>
      </c>
      <c r="AH36" s="712">
        <f>Table7[[#This Row],[% Female]]*P36</f>
        <v>97683.231249691671</v>
      </c>
      <c r="AI36" s="712">
        <f>P36*Table7[[#This Row],[% of people with disabilities (Age 5 yrs+)]]</f>
        <v>32209.781306199737</v>
      </c>
      <c r="AK36" s="60">
        <f t="shared" si="6"/>
        <v>164890</v>
      </c>
      <c r="AL36" s="60">
        <f t="shared" si="7"/>
        <v>20802.333333333336</v>
      </c>
      <c r="AM36" s="60">
        <f t="shared" si="8"/>
        <v>0</v>
      </c>
      <c r="AN36" s="60">
        <f>MAX(AK36,AK55,AK74,AK93,AK108,AK127)</f>
        <v>190873.68353537263</v>
      </c>
      <c r="AO36" s="60">
        <f>MAX(AL36,AL55,AL74,AL93,AL108,AL127)</f>
        <v>59106</v>
      </c>
      <c r="AP36" s="60">
        <f t="shared" si="9"/>
        <v>249979.68353537263</v>
      </c>
    </row>
    <row r="37" spans="2:44" ht="17.5" hidden="1" customHeight="1">
      <c r="C37" s="1179"/>
      <c r="D37" s="583" t="s">
        <v>2696</v>
      </c>
      <c r="E37" s="584">
        <v>1841693.9600234586</v>
      </c>
      <c r="F37" s="618">
        <v>173896.33800117296</v>
      </c>
      <c r="G37" s="819"/>
      <c r="H37" s="820">
        <v>34872</v>
      </c>
      <c r="I37" s="820"/>
      <c r="J37" s="821"/>
      <c r="K37" s="819"/>
      <c r="L37" s="821"/>
      <c r="M37" s="819"/>
      <c r="N37" s="820"/>
      <c r="O37" s="821"/>
      <c r="P37" s="869">
        <f t="shared" si="3"/>
        <v>34872</v>
      </c>
      <c r="Q37" s="586">
        <f t="shared" si="4"/>
        <v>0.20053326252197895</v>
      </c>
      <c r="R37" s="715">
        <f>1-Q37</f>
        <v>0.79946673747802111</v>
      </c>
      <c r="S37" s="730">
        <f>P37*Table7[[#This Row],[% Male]]</f>
        <v>16609.6256212564</v>
      </c>
      <c r="T37" s="585">
        <f>P37*Table7[[#This Row],[% Female]]</f>
        <v>18262.3743787436</v>
      </c>
      <c r="U37" s="585">
        <f>P37*Table7[[#This Row],[% CHILDREN  (Age 18&lt;)]]</f>
        <v>11911.669251224372</v>
      </c>
      <c r="V37" s="585">
        <f>P37*Table7[[#This Row],[ % ADULTS ( Age 18-60)]]</f>
        <v>20026.526097172627</v>
      </c>
      <c r="W37" s="585">
        <f>P37*Table7[[#This Row],[% ELDERS  (Age 60+)]]</f>
        <v>2933.8046516029854</v>
      </c>
      <c r="X37" s="585">
        <f>P37*Table7[[#This Row],[% of people with disabilities (Age 5 yrs+)]]</f>
        <v>3352.5044945424543</v>
      </c>
      <c r="Y37" s="731">
        <f t="shared" si="5"/>
        <v>139024.33800117296</v>
      </c>
      <c r="AA37" s="686" t="s">
        <v>2696</v>
      </c>
      <c r="AB37" s="686">
        <f>1-Table7[[#This Row],[% Female]]</f>
        <v>0.4763026388293301</v>
      </c>
      <c r="AC37" s="686">
        <v>0.5236973611706699</v>
      </c>
      <c r="AD37" s="686">
        <v>0.34158262362997166</v>
      </c>
      <c r="AE37" s="686">
        <v>0.5742867084529889</v>
      </c>
      <c r="AF37" s="686">
        <v>8.4130667917039034E-2</v>
      </c>
      <c r="AG37" s="686">
        <v>9.6137431020373199E-2</v>
      </c>
      <c r="AH37" s="712">
        <f>Table7[[#This Row],[% Female]]*P37</f>
        <v>18262.3743787436</v>
      </c>
      <c r="AI37" s="712">
        <f>P37*Table7[[#This Row],[% of people with disabilities (Age 5 yrs+)]]</f>
        <v>3352.5044945424543</v>
      </c>
      <c r="AK37" s="60">
        <f t="shared" si="6"/>
        <v>34872</v>
      </c>
      <c r="AL37" s="60">
        <f t="shared" si="7"/>
        <v>0</v>
      </c>
      <c r="AM37" s="60">
        <f t="shared" si="8"/>
        <v>0</v>
      </c>
      <c r="AN37" s="60">
        <f>MAX(AK37,AK56,AK75,AK94,AK109,AK128)</f>
        <v>43859</v>
      </c>
      <c r="AP37" s="60">
        <f t="shared" si="9"/>
        <v>43859</v>
      </c>
    </row>
    <row r="38" spans="2:44" ht="17.5" hidden="1" customHeight="1">
      <c r="C38" s="1179"/>
      <c r="D38" s="583" t="s">
        <v>2697</v>
      </c>
      <c r="E38" s="584">
        <v>0</v>
      </c>
      <c r="F38" s="618">
        <v>0</v>
      </c>
      <c r="G38" s="819"/>
      <c r="H38" s="820"/>
      <c r="I38" s="820"/>
      <c r="J38" s="821"/>
      <c r="K38" s="819"/>
      <c r="L38" s="821"/>
      <c r="M38" s="819"/>
      <c r="N38" s="820"/>
      <c r="O38" s="821"/>
      <c r="P38" s="869">
        <f t="shared" si="3"/>
        <v>0</v>
      </c>
      <c r="Q38" s="586" t="e">
        <f t="shared" si="4"/>
        <v>#DIV/0!</v>
      </c>
      <c r="R38" s="715" t="e">
        <f>1-Q38</f>
        <v>#DIV/0!</v>
      </c>
      <c r="S38" s="730">
        <f>P38*Table7[[#This Row],[% Male]]</f>
        <v>0</v>
      </c>
      <c r="T38" s="585">
        <f>P38*Table7[[#This Row],[% Female]]</f>
        <v>0</v>
      </c>
      <c r="U38" s="585">
        <f>P38*Table7[[#This Row],[% CHILDREN  (Age 18&lt;)]]</f>
        <v>0</v>
      </c>
      <c r="V38" s="585">
        <f>P38*Table7[[#This Row],[ % ADULTS ( Age 18-60)]]</f>
        <v>0</v>
      </c>
      <c r="W38" s="585">
        <f>P38*Table7[[#This Row],[% ELDERS  (Age 60+)]]</f>
        <v>0</v>
      </c>
      <c r="X38" s="585">
        <f>P38*Table7[[#This Row],[% of people with disabilities (Age 5 yrs+)]]</f>
        <v>0</v>
      </c>
      <c r="Y38" s="731">
        <f t="shared" si="5"/>
        <v>0</v>
      </c>
      <c r="AA38" s="686" t="s">
        <v>2697</v>
      </c>
      <c r="AB38" s="686">
        <f>1-Table7[[#This Row],[% Female]]</f>
        <v>0.52000083467853997</v>
      </c>
      <c r="AC38" s="686">
        <v>0.47999916532146003</v>
      </c>
      <c r="AD38" s="686">
        <v>0.37996649287003431</v>
      </c>
      <c r="AE38" s="686">
        <v>0.56202252854870671</v>
      </c>
      <c r="AF38" s="686">
        <v>5.8010978581259073E-2</v>
      </c>
      <c r="AG38" s="686">
        <v>8.6218050764048523E-2</v>
      </c>
      <c r="AH38" s="712">
        <f>Table7[[#This Row],[% Female]]*P38</f>
        <v>0</v>
      </c>
      <c r="AI38" s="712">
        <f>P38*Table7[[#This Row],[% of people with disabilities (Age 5 yrs+)]]</f>
        <v>0</v>
      </c>
      <c r="AK38" s="60">
        <f t="shared" si="6"/>
        <v>0</v>
      </c>
      <c r="AL38" s="60">
        <f t="shared" si="7"/>
        <v>0</v>
      </c>
      <c r="AM38" s="60">
        <f t="shared" si="8"/>
        <v>0</v>
      </c>
      <c r="AP38" s="60">
        <f t="shared" si="9"/>
        <v>0</v>
      </c>
    </row>
    <row r="39" spans="2:44" ht="17.5" hidden="1" customHeight="1">
      <c r="C39" s="1179"/>
      <c r="D39" s="583" t="s">
        <v>515</v>
      </c>
      <c r="E39" s="584">
        <v>179191.85816781156</v>
      </c>
      <c r="F39" s="618">
        <v>42639.227235103055</v>
      </c>
      <c r="G39" s="819">
        <f>C3</f>
        <v>9893.9999999999982</v>
      </c>
      <c r="H39" s="820">
        <v>199</v>
      </c>
      <c r="I39" s="820">
        <v>391</v>
      </c>
      <c r="J39" s="821"/>
      <c r="K39" s="820">
        <v>310</v>
      </c>
      <c r="L39" s="821"/>
      <c r="M39" s="819"/>
      <c r="N39" s="820"/>
      <c r="O39" s="821"/>
      <c r="P39" s="869">
        <f t="shared" si="3"/>
        <v>10793.999999999998</v>
      </c>
      <c r="Q39" s="586">
        <f t="shared" si="4"/>
        <v>0.2531471769055364</v>
      </c>
      <c r="R39" s="715">
        <f t="shared" si="11"/>
        <v>0.74685282309446355</v>
      </c>
      <c r="S39" s="730">
        <f>P39*Table7[[#This Row],[% Male]]</f>
        <v>5398.6675135775222</v>
      </c>
      <c r="T39" s="585">
        <f>P39*Table7[[#This Row],[% Female]]</f>
        <v>5395.332486422476</v>
      </c>
      <c r="U39" s="585">
        <f>P39*Table7[[#This Row],[% CHILDREN  (Age 18&lt;)]]</f>
        <v>4101.3583240391481</v>
      </c>
      <c r="V39" s="585">
        <f>P39*Table7[[#This Row],[ % ADULTS ( Age 18-60)]]</f>
        <v>6066.4711731547368</v>
      </c>
      <c r="W39" s="585">
        <f>P39*Table7[[#This Row],[% ELDERS  (Age 60+)]]</f>
        <v>626.17050280611011</v>
      </c>
      <c r="X39" s="585">
        <f>P39*Table7[[#This Row],[% of people with disabilities (Age 5 yrs+)]]</f>
        <v>930.63763994713918</v>
      </c>
      <c r="Y39" s="731">
        <f t="shared" si="5"/>
        <v>31845.227235103055</v>
      </c>
      <c r="AA39" s="686" t="s">
        <v>515</v>
      </c>
      <c r="AB39" s="686">
        <f>1-Table7[[#This Row],[% Female]]</f>
        <v>0.50015448523045425</v>
      </c>
      <c r="AC39" s="686">
        <v>0.49984551476954575</v>
      </c>
      <c r="AD39" s="686">
        <v>0.3799664928700342</v>
      </c>
      <c r="AE39" s="686">
        <v>0.56202252854870649</v>
      </c>
      <c r="AF39" s="686">
        <v>5.8010978581259053E-2</v>
      </c>
      <c r="AG39" s="686">
        <v>8.6218050764048482E-2</v>
      </c>
      <c r="AH39" s="712">
        <f>Table7[[#This Row],[% Female]]*P39</f>
        <v>5395.332486422476</v>
      </c>
      <c r="AI39" s="712">
        <f>P39*Table7[[#This Row],[% of people with disabilities (Age 5 yrs+)]]</f>
        <v>930.63763994713918</v>
      </c>
      <c r="AK39" s="60">
        <f t="shared" si="6"/>
        <v>10402.999999999998</v>
      </c>
      <c r="AL39" s="60">
        <f t="shared" si="7"/>
        <v>391</v>
      </c>
      <c r="AM39" s="60">
        <f t="shared" si="8"/>
        <v>0</v>
      </c>
      <c r="AN39" s="60">
        <f>MAX(AK39,AK58,AK77,AK96,AK110,AK129)</f>
        <v>10402.999999999998</v>
      </c>
      <c r="AO39" s="60">
        <f>MAX(AL39,AL58,AL77,AL96,AL110,AL129)</f>
        <v>1624</v>
      </c>
      <c r="AP39" s="60">
        <f t="shared" si="9"/>
        <v>12026.999999999998</v>
      </c>
    </row>
    <row r="40" spans="2:44" ht="17.5" hidden="1" customHeight="1">
      <c r="C40" s="1179"/>
      <c r="D40" s="583" t="s">
        <v>2638</v>
      </c>
      <c r="E40" s="584">
        <v>360411.00452311093</v>
      </c>
      <c r="F40" s="618">
        <v>52875.330678466635</v>
      </c>
      <c r="G40" s="819"/>
      <c r="H40" s="820">
        <v>9565</v>
      </c>
      <c r="I40" s="820"/>
      <c r="J40" s="821"/>
      <c r="K40" s="819"/>
      <c r="L40" s="821"/>
      <c r="M40" s="819"/>
      <c r="N40" s="820"/>
      <c r="O40" s="821"/>
      <c r="P40" s="869">
        <f t="shared" si="3"/>
        <v>9565</v>
      </c>
      <c r="Q40" s="586">
        <f t="shared" si="4"/>
        <v>0.18089721382859031</v>
      </c>
      <c r="R40" s="715">
        <f t="shared" si="11"/>
        <v>0.81910278617140975</v>
      </c>
      <c r="S40" s="730">
        <f>P40*Table7[[#This Row],[% Male]]</f>
        <v>4745.1679318649494</v>
      </c>
      <c r="T40" s="585">
        <f>P40*Table7[[#This Row],[% Female]]</f>
        <v>4819.8320681350506</v>
      </c>
      <c r="U40" s="585">
        <f>P40*Table7[[#This Row],[% CHILDREN  (Age 18&lt;)]]</f>
        <v>3634.3795043018777</v>
      </c>
      <c r="V40" s="585">
        <f>P40*Table7[[#This Row],[ % ADULTS ( Age 18-60)]]</f>
        <v>5375.7454855683773</v>
      </c>
      <c r="W40" s="585">
        <f>P40*Table7[[#This Row],[% ELDERS  (Age 60+)]]</f>
        <v>554.8750101297428</v>
      </c>
      <c r="X40" s="585">
        <f>P40*Table7[[#This Row],[% of people with disabilities (Age 5 yrs+)]]</f>
        <v>824.67565555812371</v>
      </c>
      <c r="Y40" s="731">
        <f t="shared" si="5"/>
        <v>43310.330678466635</v>
      </c>
      <c r="AA40" s="686" t="s">
        <v>2638</v>
      </c>
      <c r="AB40" s="686">
        <f>1-Table7[[#This Row],[% Female]]</f>
        <v>0.49609701326345523</v>
      </c>
      <c r="AC40" s="686">
        <v>0.50390298673654477</v>
      </c>
      <c r="AD40" s="686">
        <v>0.37996649287003426</v>
      </c>
      <c r="AE40" s="686">
        <v>0.56202252854870649</v>
      </c>
      <c r="AF40" s="686">
        <v>5.8010978581259053E-2</v>
      </c>
      <c r="AG40" s="686">
        <v>8.6218050764048482E-2</v>
      </c>
      <c r="AH40" s="712">
        <f>Table7[[#This Row],[% Female]]*P40</f>
        <v>4819.8320681350506</v>
      </c>
      <c r="AI40" s="712">
        <f>P40*Table7[[#This Row],[% of people with disabilities (Age 5 yrs+)]]</f>
        <v>824.67565555812371</v>
      </c>
      <c r="AK40" s="60">
        <f t="shared" si="6"/>
        <v>9565</v>
      </c>
      <c r="AL40" s="60">
        <f t="shared" si="7"/>
        <v>0</v>
      </c>
      <c r="AM40" s="60">
        <f t="shared" si="8"/>
        <v>0</v>
      </c>
      <c r="AN40" s="60">
        <f>MAX(AK40,AK59,AK78,AK97,AK111,AK130)</f>
        <v>13844.333333333332</v>
      </c>
      <c r="AP40" s="60">
        <f t="shared" si="9"/>
        <v>13844.333333333332</v>
      </c>
    </row>
    <row r="41" spans="2:44" ht="17.5" hidden="1" customHeight="1">
      <c r="C41" s="1179"/>
      <c r="D41" s="583" t="s">
        <v>2698</v>
      </c>
      <c r="E41" s="584">
        <v>115607.06136423421</v>
      </c>
      <c r="F41" s="618">
        <v>10150.496136423422</v>
      </c>
      <c r="G41" s="819"/>
      <c r="H41" s="820"/>
      <c r="I41" s="820"/>
      <c r="J41" s="821"/>
      <c r="K41" s="819"/>
      <c r="L41" s="821"/>
      <c r="M41" s="819"/>
      <c r="N41" s="820"/>
      <c r="O41" s="821"/>
      <c r="P41" s="869">
        <f t="shared" si="3"/>
        <v>0</v>
      </c>
      <c r="Q41" s="586">
        <f t="shared" si="4"/>
        <v>0</v>
      </c>
      <c r="R41" s="715">
        <f t="shared" si="11"/>
        <v>1</v>
      </c>
      <c r="S41" s="730">
        <f>P41*Table7[[#This Row],[% Male]]</f>
        <v>0</v>
      </c>
      <c r="T41" s="585">
        <f>P41*Table7[[#This Row],[% Female]]</f>
        <v>0</v>
      </c>
      <c r="U41" s="585">
        <f>P41*Table7[[#This Row],[% CHILDREN  (Age 18&lt;)]]</f>
        <v>0</v>
      </c>
      <c r="V41" s="585">
        <f>P41*Table7[[#This Row],[ % ADULTS ( Age 18-60)]]</f>
        <v>0</v>
      </c>
      <c r="W41" s="585">
        <f>P41*Table7[[#This Row],[% ELDERS  (Age 60+)]]</f>
        <v>0</v>
      </c>
      <c r="X41" s="585">
        <f>P41*Table7[[#This Row],[% of people with disabilities (Age 5 yrs+)]]</f>
        <v>0</v>
      </c>
      <c r="Y41" s="731">
        <f t="shared" si="5"/>
        <v>10150.496136423422</v>
      </c>
      <c r="AA41" s="686" t="s">
        <v>2698</v>
      </c>
      <c r="AB41" s="686">
        <f>1-Table7[[#This Row],[% Female]]</f>
        <v>0.49901005953066535</v>
      </c>
      <c r="AC41" s="686">
        <v>0.50098994046933465</v>
      </c>
      <c r="AD41" s="686">
        <v>0.39528940976327054</v>
      </c>
      <c r="AE41" s="686">
        <v>0.53504648179034231</v>
      </c>
      <c r="AF41" s="686">
        <v>6.9664108446387055E-2</v>
      </c>
      <c r="AG41" s="686">
        <v>0.11591688986589219</v>
      </c>
      <c r="AH41" s="712">
        <f>Table7[[#This Row],[% Female]]*P41</f>
        <v>0</v>
      </c>
      <c r="AI41" s="712">
        <f>P41*Table7[[#This Row],[% of people with disabilities (Age 5 yrs+)]]</f>
        <v>0</v>
      </c>
      <c r="AK41" s="60">
        <f t="shared" si="6"/>
        <v>0</v>
      </c>
      <c r="AL41" s="60">
        <f t="shared" si="7"/>
        <v>0</v>
      </c>
      <c r="AM41" s="60">
        <f t="shared" si="8"/>
        <v>0</v>
      </c>
      <c r="AN41" s="60" t="e">
        <f>MAX(AK41,AK60,AK79,AK98,AK118,#REF!)</f>
        <v>#REF!</v>
      </c>
      <c r="AP41" s="60" t="e">
        <f t="shared" si="9"/>
        <v>#REF!</v>
      </c>
    </row>
    <row r="42" spans="2:44" ht="17.5" hidden="1" customHeight="1">
      <c r="C42" s="1179"/>
      <c r="D42" s="583" t="s">
        <v>2699</v>
      </c>
      <c r="E42" s="584">
        <v>49258.943580096828</v>
      </c>
      <c r="F42" s="618">
        <v>3670.2309728154924</v>
      </c>
      <c r="G42" s="819"/>
      <c r="H42" s="820"/>
      <c r="I42" s="820"/>
      <c r="J42" s="821"/>
      <c r="K42" s="819">
        <v>65852</v>
      </c>
      <c r="L42" s="821"/>
      <c r="M42" s="819"/>
      <c r="N42" s="820"/>
      <c r="O42" s="821"/>
      <c r="P42" s="869">
        <f t="shared" si="3"/>
        <v>65852</v>
      </c>
      <c r="Q42" s="586">
        <f>P42/F42</f>
        <v>17.942195051959875</v>
      </c>
      <c r="R42" s="715">
        <f t="shared" si="11"/>
        <v>-16.942195051959875</v>
      </c>
      <c r="S42" s="730">
        <f>P42*Table7[[#This Row],[% Male]]</f>
        <v>31655.569144836329</v>
      </c>
      <c r="T42" s="585">
        <f>P42*Table7[[#This Row],[% Female]]</f>
        <v>34196.430855163671</v>
      </c>
      <c r="U42" s="585">
        <f>P42*Table7[[#This Row],[% CHILDREN  (Age 18&lt;)]]</f>
        <v>19079.626681853631</v>
      </c>
      <c r="V42" s="585">
        <f>P42*Table7[[#This Row],[ % ADULTS ( Age 18-60)]]</f>
        <v>41570.776890196474</v>
      </c>
      <c r="W42" s="585">
        <f>P42*Table7[[#This Row],[% ELDERS  (Age 60+)]]</f>
        <v>5201.5964279498894</v>
      </c>
      <c r="X42" s="585">
        <f>P42*Table7[[#This Row],[% of people with disabilities (Age 5 yrs+)]]</f>
        <v>8185.0877409233526</v>
      </c>
      <c r="Y42" s="731">
        <f t="shared" si="5"/>
        <v>-62181.769027184506</v>
      </c>
      <c r="AA42" s="686" t="s">
        <v>2699</v>
      </c>
      <c r="AB42" s="686">
        <f>1-Table7[[#This Row],[% Female]]</f>
        <v>0.48070778632139233</v>
      </c>
      <c r="AC42" s="686">
        <v>0.51929221367860767</v>
      </c>
      <c r="AD42" s="686">
        <v>0.28973496145680666</v>
      </c>
      <c r="AE42" s="686">
        <v>0.63127584416868843</v>
      </c>
      <c r="AF42" s="686">
        <v>7.8989194374504787E-2</v>
      </c>
      <c r="AG42" s="686">
        <v>0.12429520350062796</v>
      </c>
      <c r="AH42" s="712">
        <f>Table7[[#This Row],[% Female]]*P42</f>
        <v>34196.430855163671</v>
      </c>
      <c r="AI42" s="712">
        <f>P42*Table7[[#This Row],[% of people with disabilities (Age 5 yrs+)]]</f>
        <v>8185.0877409233526</v>
      </c>
      <c r="AK42" s="60">
        <f t="shared" si="6"/>
        <v>65852</v>
      </c>
      <c r="AL42" s="60">
        <f t="shared" si="7"/>
        <v>0</v>
      </c>
      <c r="AM42" s="60">
        <f t="shared" si="8"/>
        <v>0</v>
      </c>
      <c r="AN42" s="60">
        <f>MAX(AK42,AK61,AK80,AK99)</f>
        <v>65852</v>
      </c>
      <c r="AP42" s="60">
        <f t="shared" si="9"/>
        <v>65852</v>
      </c>
      <c r="AQ42" s="58" t="s">
        <v>2960</v>
      </c>
    </row>
    <row r="43" spans="2:44" s="887" customFormat="1" ht="20" hidden="1" customHeight="1">
      <c r="C43" s="1180"/>
      <c r="D43" s="581" t="s">
        <v>1483</v>
      </c>
      <c r="E43" s="582">
        <f t="shared" ref="E43:O43" si="12">SUM(E25:E42)</f>
        <v>5154066.0260693831</v>
      </c>
      <c r="F43" s="805">
        <f t="shared" si="12"/>
        <v>1098120.1772605691</v>
      </c>
      <c r="G43" s="823">
        <f t="shared" si="12"/>
        <v>195924.33703703704</v>
      </c>
      <c r="H43" s="824">
        <f t="shared" si="12"/>
        <v>92821</v>
      </c>
      <c r="I43" s="824">
        <f t="shared" si="12"/>
        <v>20926.666666666668</v>
      </c>
      <c r="J43" s="825">
        <f t="shared" si="12"/>
        <v>919</v>
      </c>
      <c r="K43" s="823">
        <f t="shared" si="12"/>
        <v>148591</v>
      </c>
      <c r="L43" s="825">
        <f t="shared" si="12"/>
        <v>0</v>
      </c>
      <c r="M43" s="823">
        <f t="shared" si="12"/>
        <v>0</v>
      </c>
      <c r="N43" s="824">
        <f t="shared" si="12"/>
        <v>266.66666666666669</v>
      </c>
      <c r="O43" s="825">
        <f t="shared" si="12"/>
        <v>0</v>
      </c>
      <c r="P43" s="809">
        <f>SUM(P25:P42)</f>
        <v>459448.67037037038</v>
      </c>
      <c r="Q43" s="593">
        <f t="shared" si="4"/>
        <v>0.41839561815222837</v>
      </c>
      <c r="R43" s="716">
        <f t="shared" ref="R43:R48" si="13">1-Q43</f>
        <v>0.58160438184777163</v>
      </c>
      <c r="S43" s="629">
        <f t="shared" ref="S43:Y43" si="14">SUM(S25:S42)</f>
        <v>222872.49526363591</v>
      </c>
      <c r="T43" s="582">
        <f t="shared" si="14"/>
        <v>236576.17510673442</v>
      </c>
      <c r="U43" s="582">
        <f t="shared" si="14"/>
        <v>165755.91900551732</v>
      </c>
      <c r="V43" s="582">
        <f t="shared" si="14"/>
        <v>258393.45085074141</v>
      </c>
      <c r="W43" s="582">
        <f t="shared" si="14"/>
        <v>35299.300514111652</v>
      </c>
      <c r="X43" s="582">
        <f t="shared" si="14"/>
        <v>64818.606809265184</v>
      </c>
      <c r="Y43" s="684">
        <f t="shared" si="14"/>
        <v>638671.50689019857</v>
      </c>
      <c r="AA43" s="923"/>
      <c r="AB43" s="923">
        <f>SUBTOTAL(101,Table7[% Male])</f>
        <v>0.50984693023282457</v>
      </c>
      <c r="AC43" s="923">
        <f>SUBTOTAL(101,Table7[% Female])</f>
        <v>0.49015306976717543</v>
      </c>
      <c r="AD43" s="923">
        <f>SUBTOTAL(101,Table7[% CHILDREN  (Age 18&lt;)])</f>
        <v>0.36009753834972452</v>
      </c>
      <c r="AE43" s="923">
        <f>SUBTOTAL(101,Table7[ % ADULTS ( Age 18-60)])</f>
        <v>0.5849062690789919</v>
      </c>
      <c r="AF43" s="923">
        <f>SUBTOTAL(101,Table7[% ELDERS  (Age 60+)])</f>
        <v>5.4996192571283527E-2</v>
      </c>
      <c r="AG43" s="923">
        <f>SUBTOTAL(101,Table7[% of people with disabilities (Age 5 yrs+)])</f>
        <v>8.8977616114427588E-2</v>
      </c>
      <c r="AH43" s="923"/>
      <c r="AI43" s="60"/>
      <c r="AK43" s="60">
        <f t="shared" si="6"/>
        <v>437336.33703703701</v>
      </c>
      <c r="AL43" s="60">
        <f t="shared" si="7"/>
        <v>22112.333333333336</v>
      </c>
      <c r="AM43" s="60">
        <f t="shared" si="8"/>
        <v>0</v>
      </c>
      <c r="AN43" s="892" t="e">
        <f>SUM(AN25:AN42)</f>
        <v>#REF!</v>
      </c>
      <c r="AO43" s="892">
        <f>SUM(AO25:AO42)</f>
        <v>63979</v>
      </c>
      <c r="AP43" s="892" t="e">
        <f>SUM(AP25:AP42)</f>
        <v>#REF!</v>
      </c>
      <c r="AQ43" s="892">
        <v>2086580</v>
      </c>
      <c r="AR43" s="893" t="e">
        <f>AP43/AQ43</f>
        <v>#REF!</v>
      </c>
    </row>
    <row r="44" spans="2:44" ht="17.5" hidden="1" customHeight="1">
      <c r="B44" s="686">
        <f>(P44+P46+P47+P50+P51)/(F44+F46+F47+F50+F51)</f>
        <v>0.3252843584804842</v>
      </c>
      <c r="C44" s="1193" t="s">
        <v>2966</v>
      </c>
      <c r="D44" s="587" t="s">
        <v>2688</v>
      </c>
      <c r="E44" s="588">
        <v>111096.7979840148</v>
      </c>
      <c r="F44" s="619">
        <v>13915.752879040889</v>
      </c>
      <c r="G44" s="826"/>
      <c r="H44" s="827"/>
      <c r="I44" s="827"/>
      <c r="J44" s="828"/>
      <c r="K44" s="826"/>
      <c r="L44" s="828"/>
      <c r="M44" s="826"/>
      <c r="N44" s="827"/>
      <c r="O44" s="828"/>
      <c r="P44" s="869">
        <f t="shared" ref="P44:P61" si="15">SUM(G44:O44)</f>
        <v>0</v>
      </c>
      <c r="Q44" s="589">
        <f t="shared" si="4"/>
        <v>0</v>
      </c>
      <c r="R44" s="717">
        <f t="shared" si="13"/>
        <v>1</v>
      </c>
      <c r="S44" s="732">
        <f>P44*$AB$25</f>
        <v>0</v>
      </c>
      <c r="T44" s="660">
        <f>P44*$AC$25</f>
        <v>0</v>
      </c>
      <c r="U44" s="660">
        <f>P44*$AD$25</f>
        <v>0</v>
      </c>
      <c r="V44" s="660">
        <f>P44*$AE$25</f>
        <v>0</v>
      </c>
      <c r="W44" s="660">
        <f>P44*$AF$25</f>
        <v>0</v>
      </c>
      <c r="X44" s="660">
        <f>P44*$AG$25</f>
        <v>0</v>
      </c>
      <c r="Y44" s="733">
        <f t="shared" ref="Y44:Y61" si="16">F44-P44</f>
        <v>13915.752879040889</v>
      </c>
      <c r="AK44" s="60">
        <f t="shared" si="6"/>
        <v>0</v>
      </c>
      <c r="AL44" s="60">
        <f t="shared" si="7"/>
        <v>0</v>
      </c>
      <c r="AM44" s="60">
        <f t="shared" si="8"/>
        <v>0</v>
      </c>
    </row>
    <row r="45" spans="2:44" ht="17.5" hidden="1" customHeight="1">
      <c r="C45" s="1194"/>
      <c r="D45" s="587" t="s">
        <v>2689</v>
      </c>
      <c r="E45" s="588">
        <v>6881.8180702501222</v>
      </c>
      <c r="F45" s="619">
        <v>843.47633686002928</v>
      </c>
      <c r="G45" s="826"/>
      <c r="H45" s="827"/>
      <c r="I45" s="827"/>
      <c r="J45" s="828"/>
      <c r="K45" s="826"/>
      <c r="L45" s="828"/>
      <c r="M45" s="826"/>
      <c r="N45" s="827"/>
      <c r="O45" s="828"/>
      <c r="P45" s="869">
        <f t="shared" si="15"/>
        <v>0</v>
      </c>
      <c r="Q45" s="589">
        <f t="shared" si="4"/>
        <v>0</v>
      </c>
      <c r="R45" s="717">
        <f t="shared" si="13"/>
        <v>1</v>
      </c>
      <c r="S45" s="732">
        <f>P45*$AB$26</f>
        <v>0</v>
      </c>
      <c r="T45" s="660">
        <f>P45*$AC$26</f>
        <v>0</v>
      </c>
      <c r="U45" s="660">
        <f>P45*$AD$26</f>
        <v>0</v>
      </c>
      <c r="V45" s="660">
        <f>P45*$AE$26</f>
        <v>0</v>
      </c>
      <c r="W45" s="660">
        <f>P45*$AF$26</f>
        <v>0</v>
      </c>
      <c r="X45" s="660">
        <f>P45*$AG$26</f>
        <v>0</v>
      </c>
      <c r="Y45" s="733">
        <f t="shared" si="16"/>
        <v>843.47633686002928</v>
      </c>
      <c r="AK45" s="60">
        <f t="shared" si="6"/>
        <v>0</v>
      </c>
      <c r="AL45" s="60">
        <f t="shared" si="7"/>
        <v>0</v>
      </c>
      <c r="AM45" s="60">
        <f t="shared" si="8"/>
        <v>0</v>
      </c>
    </row>
    <row r="46" spans="2:44" ht="17.5" hidden="1" customHeight="1">
      <c r="C46" s="1194"/>
      <c r="D46" s="587" t="s">
        <v>2690</v>
      </c>
      <c r="E46" s="588">
        <v>170547.23083816754</v>
      </c>
      <c r="F46" s="619">
        <v>17839.309233526699</v>
      </c>
      <c r="G46" s="826"/>
      <c r="H46" s="827"/>
      <c r="I46" s="827"/>
      <c r="J46" s="828"/>
      <c r="K46" s="920">
        <v>1872</v>
      </c>
      <c r="L46" s="828"/>
      <c r="M46" s="826"/>
      <c r="N46" s="827"/>
      <c r="O46" s="828"/>
      <c r="P46" s="869">
        <f t="shared" si="15"/>
        <v>1872</v>
      </c>
      <c r="Q46" s="589">
        <f t="shared" si="4"/>
        <v>0.10493679858869286</v>
      </c>
      <c r="R46" s="717">
        <f t="shared" si="13"/>
        <v>0.89506320141130713</v>
      </c>
      <c r="S46" s="732">
        <f>P46*$AB$27</f>
        <v>893.41744180736998</v>
      </c>
      <c r="T46" s="660">
        <f>P46*$AC$27</f>
        <v>978.58255819263002</v>
      </c>
      <c r="U46" s="660">
        <f>P46*$AD$27</f>
        <v>632.00945890113599</v>
      </c>
      <c r="V46" s="660">
        <f>P46*$AE$27</f>
        <v>1076.1302115124524</v>
      </c>
      <c r="W46" s="660">
        <f>P46*$AF$27</f>
        <v>163.86032958641138</v>
      </c>
      <c r="X46" s="660">
        <f>P46*$AG$27</f>
        <v>235.09218860021682</v>
      </c>
      <c r="Y46" s="733">
        <f t="shared" si="16"/>
        <v>15967.309233526699</v>
      </c>
      <c r="AK46" s="60">
        <f t="shared" si="6"/>
        <v>1872</v>
      </c>
      <c r="AL46" s="60">
        <f t="shared" si="7"/>
        <v>0</v>
      </c>
      <c r="AM46" s="60">
        <f t="shared" si="8"/>
        <v>0</v>
      </c>
    </row>
    <row r="47" spans="2:44" ht="17.5" hidden="1" customHeight="1">
      <c r="C47" s="1194"/>
      <c r="D47" s="587" t="s">
        <v>2691</v>
      </c>
      <c r="E47" s="588">
        <v>0</v>
      </c>
      <c r="F47" s="619">
        <v>0</v>
      </c>
      <c r="G47" s="826"/>
      <c r="H47" s="829"/>
      <c r="I47" s="829"/>
      <c r="J47" s="828"/>
      <c r="K47" s="826"/>
      <c r="L47" s="828"/>
      <c r="M47" s="826"/>
      <c r="N47" s="827"/>
      <c r="O47" s="828"/>
      <c r="P47" s="869">
        <f t="shared" si="15"/>
        <v>0</v>
      </c>
      <c r="Q47" s="589" t="e">
        <f t="shared" si="4"/>
        <v>#DIV/0!</v>
      </c>
      <c r="R47" s="717" t="e">
        <f t="shared" si="13"/>
        <v>#DIV/0!</v>
      </c>
      <c r="S47" s="732">
        <f>P47*$AB$28</f>
        <v>0</v>
      </c>
      <c r="T47" s="660">
        <f>P47*$AC$28</f>
        <v>0</v>
      </c>
      <c r="U47" s="660">
        <f>P47*$AD$28</f>
        <v>0</v>
      </c>
      <c r="V47" s="660">
        <f>P47*$AE$28</f>
        <v>0</v>
      </c>
      <c r="W47" s="660">
        <f>P47*$AF$28</f>
        <v>0</v>
      </c>
      <c r="X47" s="660">
        <f>P47*$AG$28</f>
        <v>0</v>
      </c>
      <c r="Y47" s="733">
        <f t="shared" si="16"/>
        <v>0</v>
      </c>
      <c r="AK47" s="60">
        <f t="shared" si="6"/>
        <v>0</v>
      </c>
      <c r="AL47" s="60">
        <f t="shared" si="7"/>
        <v>0</v>
      </c>
      <c r="AM47" s="60">
        <f t="shared" si="8"/>
        <v>0</v>
      </c>
    </row>
    <row r="48" spans="2:44" ht="17.5" hidden="1" customHeight="1">
      <c r="B48" s="686">
        <f>(P48+P52+P56)/(F48+F52+F56)</f>
        <v>0.25399828833281546</v>
      </c>
      <c r="C48" s="1194"/>
      <c r="D48" s="587" t="s">
        <v>610</v>
      </c>
      <c r="E48" s="588">
        <v>133949.83369622205</v>
      </c>
      <c r="F48" s="619">
        <v>85472.123369622204</v>
      </c>
      <c r="G48" s="826"/>
      <c r="H48" s="827">
        <v>31175</v>
      </c>
      <c r="I48" s="827"/>
      <c r="J48" s="828"/>
      <c r="K48" s="826"/>
      <c r="L48" s="828"/>
      <c r="M48" s="826"/>
      <c r="N48" s="827"/>
      <c r="O48" s="828"/>
      <c r="P48" s="869">
        <f t="shared" si="15"/>
        <v>31175</v>
      </c>
      <c r="Q48" s="589">
        <f t="shared" si="4"/>
        <v>0.36473880337785036</v>
      </c>
      <c r="R48" s="717">
        <f t="shared" si="13"/>
        <v>0.63526119662214964</v>
      </c>
      <c r="S48" s="732">
        <f>P48*$AB$29</f>
        <v>14954.700547738759</v>
      </c>
      <c r="T48" s="660">
        <f>P48*$AC$29</f>
        <v>16220.299452261241</v>
      </c>
      <c r="U48" s="660">
        <f>P48*$AD$29</f>
        <v>14396.920902420839</v>
      </c>
      <c r="V48" s="660">
        <f>P48*$AE$29</f>
        <v>14728.268529096638</v>
      </c>
      <c r="W48" s="660">
        <f>P48*$AF$29</f>
        <v>2049.8105684825218</v>
      </c>
      <c r="X48" s="660">
        <f>P48*$AG$29</f>
        <v>6431.3123460396391</v>
      </c>
      <c r="Y48" s="733">
        <f t="shared" si="16"/>
        <v>54297.123369622204</v>
      </c>
      <c r="AK48" s="60">
        <f t="shared" si="6"/>
        <v>31175</v>
      </c>
      <c r="AL48" s="60">
        <f t="shared" si="7"/>
        <v>0</v>
      </c>
      <c r="AM48" s="60">
        <f t="shared" si="8"/>
        <v>0</v>
      </c>
    </row>
    <row r="49" spans="2:39" ht="17.5" customHeight="1">
      <c r="C49" s="1194"/>
      <c r="D49" s="587" t="s">
        <v>37</v>
      </c>
      <c r="E49" s="588">
        <v>231228.27654495894</v>
      </c>
      <c r="F49" s="619">
        <v>60653.913827247947</v>
      </c>
      <c r="G49" s="826">
        <f>D2</f>
        <v>71565</v>
      </c>
      <c r="H49" s="827">
        <v>100</v>
      </c>
      <c r="I49" s="827">
        <v>269</v>
      </c>
      <c r="J49" s="828">
        <v>9</v>
      </c>
      <c r="K49" s="826"/>
      <c r="L49" s="828"/>
      <c r="M49" s="826"/>
      <c r="N49" s="827"/>
      <c r="O49" s="828"/>
      <c r="P49" s="869">
        <f t="shared" si="15"/>
        <v>71943</v>
      </c>
      <c r="Q49" s="589">
        <f t="shared" si="4"/>
        <v>1.1861229632255088</v>
      </c>
      <c r="R49" s="717">
        <f t="shared" ref="R49:R61" si="17">1-Q49</f>
        <v>-0.18612296322550881</v>
      </c>
      <c r="S49" s="732">
        <f>P49*$AB$30</f>
        <v>36679.917701740094</v>
      </c>
      <c r="T49" s="660">
        <f>P49*$AC$30</f>
        <v>35263.082298259906</v>
      </c>
      <c r="U49" s="660">
        <f>P49*$AD$30</f>
        <v>25906.497201494232</v>
      </c>
      <c r="V49" s="660">
        <f>P49*$AE$30</f>
        <v>42079.911716349918</v>
      </c>
      <c r="W49" s="660">
        <f>P49*$AF$30</f>
        <v>3956.5910821558509</v>
      </c>
      <c r="X49" s="660">
        <f>P49*$AG$30</f>
        <v>6401.3166361202639</v>
      </c>
      <c r="Y49" s="733">
        <f t="shared" si="16"/>
        <v>-11289.086172752053</v>
      </c>
      <c r="AK49" s="60">
        <f t="shared" si="6"/>
        <v>71665</v>
      </c>
      <c r="AL49" s="60">
        <f t="shared" si="7"/>
        <v>278</v>
      </c>
      <c r="AM49" s="60">
        <f t="shared" si="8"/>
        <v>0</v>
      </c>
    </row>
    <row r="50" spans="2:39" ht="17.5" hidden="1" customHeight="1">
      <c r="C50" s="1194"/>
      <c r="D50" s="587" t="s">
        <v>2692</v>
      </c>
      <c r="E50" s="588">
        <v>207176.84686270333</v>
      </c>
      <c r="F50" s="619">
        <v>36066.245811762194</v>
      </c>
      <c r="G50" s="826"/>
      <c r="H50" s="827">
        <v>12149</v>
      </c>
      <c r="I50" s="827"/>
      <c r="J50" s="828">
        <v>2330</v>
      </c>
      <c r="K50" s="920"/>
      <c r="L50" s="828"/>
      <c r="M50" s="826"/>
      <c r="N50" s="827"/>
      <c r="O50" s="828"/>
      <c r="P50" s="869">
        <f t="shared" si="15"/>
        <v>14479</v>
      </c>
      <c r="Q50" s="589">
        <f t="shared" si="4"/>
        <v>0.40145570114419837</v>
      </c>
      <c r="R50" s="717">
        <f t="shared" ref="R50:R55" si="18">1-Q50</f>
        <v>0.59854429885580163</v>
      </c>
      <c r="S50" s="732">
        <f>P50*$AB$31</f>
        <v>7457.800769786284</v>
      </c>
      <c r="T50" s="660">
        <f>P50*$AC$31</f>
        <v>7021.1992302137169</v>
      </c>
      <c r="U50" s="660">
        <f>P50*$AD$31</f>
        <v>5866.0188886601745</v>
      </c>
      <c r="V50" s="660">
        <f>P50*$AE$31</f>
        <v>7856.2139575127258</v>
      </c>
      <c r="W50" s="660">
        <f>P50*$AF$31</f>
        <v>756.76715382709926</v>
      </c>
      <c r="X50" s="660">
        <f>P50*$AG$31</f>
        <v>1568.3499515408553</v>
      </c>
      <c r="Y50" s="733">
        <f t="shared" si="16"/>
        <v>21587.245811762194</v>
      </c>
      <c r="AK50" s="60">
        <f t="shared" si="6"/>
        <v>12149</v>
      </c>
      <c r="AL50" s="60">
        <f t="shared" si="7"/>
        <v>2330</v>
      </c>
      <c r="AM50" s="60">
        <f t="shared" si="8"/>
        <v>0</v>
      </c>
    </row>
    <row r="51" spans="2:39" ht="17.5" hidden="1" customHeight="1">
      <c r="C51" s="1194"/>
      <c r="D51" s="587" t="s">
        <v>2332</v>
      </c>
      <c r="E51" s="588">
        <v>293903.52269109758</v>
      </c>
      <c r="F51" s="619">
        <v>33062.731361465856</v>
      </c>
      <c r="G51" s="826"/>
      <c r="H51" s="827"/>
      <c r="I51" s="827"/>
      <c r="J51" s="828"/>
      <c r="K51" s="920">
        <v>16465</v>
      </c>
      <c r="L51" s="828"/>
      <c r="M51" s="826"/>
      <c r="N51" s="827"/>
      <c r="O51" s="828"/>
      <c r="P51" s="869">
        <f t="shared" si="15"/>
        <v>16465</v>
      </c>
      <c r="Q51" s="589">
        <f t="shared" si="4"/>
        <v>0.49799273447776077</v>
      </c>
      <c r="R51" s="717">
        <f t="shared" si="18"/>
        <v>0.50200726552223918</v>
      </c>
      <c r="S51" s="732">
        <f>P51*$AB$32</f>
        <v>8169.2329368006594</v>
      </c>
      <c r="T51" s="660">
        <f>P51*$AC$32</f>
        <v>8295.7670631993406</v>
      </c>
      <c r="U51" s="660">
        <f>P51*$AD$32</f>
        <v>6788.3267589604911</v>
      </c>
      <c r="V51" s="660">
        <f>P51*$AE$32</f>
        <v>8516.8756140623773</v>
      </c>
      <c r="W51" s="660">
        <f>P51*$AF$32</f>
        <v>1159.7976269771316</v>
      </c>
      <c r="X51" s="660">
        <f>P51*$AG$32</f>
        <v>2738.3439867483658</v>
      </c>
      <c r="Y51" s="733">
        <f t="shared" si="16"/>
        <v>16597.731361465856</v>
      </c>
      <c r="AK51" s="60">
        <f t="shared" si="6"/>
        <v>16465</v>
      </c>
      <c r="AL51" s="60">
        <f t="shared" si="7"/>
        <v>0</v>
      </c>
      <c r="AM51" s="60">
        <f t="shared" si="8"/>
        <v>0</v>
      </c>
    </row>
    <row r="52" spans="2:39" ht="17.5" hidden="1" customHeight="1">
      <c r="C52" s="1194"/>
      <c r="D52" s="587" t="s">
        <v>2693</v>
      </c>
      <c r="E52" s="588">
        <v>388884.05822737725</v>
      </c>
      <c r="F52" s="619">
        <v>61177.00582273773</v>
      </c>
      <c r="G52" s="826"/>
      <c r="H52" s="827">
        <v>6384</v>
      </c>
      <c r="I52" s="827"/>
      <c r="J52" s="828"/>
      <c r="K52" s="826"/>
      <c r="L52" s="828"/>
      <c r="M52" s="826"/>
      <c r="N52" s="827"/>
      <c r="O52" s="828"/>
      <c r="P52" s="869">
        <f t="shared" si="15"/>
        <v>6384</v>
      </c>
      <c r="Q52" s="589">
        <f t="shared" si="4"/>
        <v>0.10435293316737072</v>
      </c>
      <c r="R52" s="717">
        <f t="shared" si="18"/>
        <v>0.89564706683262929</v>
      </c>
      <c r="S52" s="732">
        <f>P52*$AB$33</f>
        <v>2976.4778508130098</v>
      </c>
      <c r="T52" s="660">
        <f>P52*$AC$33</f>
        <v>3407.5221491869902</v>
      </c>
      <c r="U52" s="660">
        <f>P52*$AD$33</f>
        <v>2035.8953468868838</v>
      </c>
      <c r="V52" s="660">
        <f>P52*$AE$33</f>
        <v>3718.6660856178942</v>
      </c>
      <c r="W52" s="660">
        <f>P52*$AF$33</f>
        <v>629.43856749522263</v>
      </c>
      <c r="X52" s="660">
        <f>P52*$AG$33</f>
        <v>1087.0404075063632</v>
      </c>
      <c r="Y52" s="733">
        <f t="shared" si="16"/>
        <v>54793.00582273773</v>
      </c>
      <c r="AK52" s="60">
        <f t="shared" si="6"/>
        <v>6384</v>
      </c>
      <c r="AL52" s="60">
        <f t="shared" si="7"/>
        <v>0</v>
      </c>
      <c r="AM52" s="60">
        <f t="shared" si="8"/>
        <v>0</v>
      </c>
    </row>
    <row r="53" spans="2:39" ht="17.5" hidden="1" customHeight="1">
      <c r="C53" s="1194"/>
      <c r="D53" s="587" t="s">
        <v>2694</v>
      </c>
      <c r="E53" s="588">
        <v>22342.381043354912</v>
      </c>
      <c r="F53" s="619">
        <v>0</v>
      </c>
      <c r="G53" s="826"/>
      <c r="H53" s="827"/>
      <c r="I53" s="827"/>
      <c r="J53" s="828"/>
      <c r="K53" s="826"/>
      <c r="L53" s="828"/>
      <c r="M53" s="826"/>
      <c r="N53" s="827"/>
      <c r="O53" s="828"/>
      <c r="P53" s="869">
        <f t="shared" si="15"/>
        <v>0</v>
      </c>
      <c r="Q53" s="589" t="e">
        <f t="shared" si="4"/>
        <v>#DIV/0!</v>
      </c>
      <c r="R53" s="717" t="e">
        <f t="shared" si="18"/>
        <v>#DIV/0!</v>
      </c>
      <c r="S53" s="732">
        <f>P53*$AB$34</f>
        <v>0</v>
      </c>
      <c r="T53" s="660">
        <f>P53*$AC$34</f>
        <v>0</v>
      </c>
      <c r="U53" s="660">
        <f>P53*$AD$34</f>
        <v>0</v>
      </c>
      <c r="V53" s="660">
        <f>P53*$AE$34</f>
        <v>0</v>
      </c>
      <c r="W53" s="660">
        <f>P53*$AF$34</f>
        <v>0</v>
      </c>
      <c r="X53" s="660">
        <f>P53*$AG$34</f>
        <v>0</v>
      </c>
      <c r="Y53" s="733">
        <f t="shared" si="16"/>
        <v>0</v>
      </c>
      <c r="AK53" s="60">
        <f t="shared" si="6"/>
        <v>0</v>
      </c>
      <c r="AL53" s="60">
        <f t="shared" si="7"/>
        <v>0</v>
      </c>
      <c r="AM53" s="60">
        <f t="shared" si="8"/>
        <v>0</v>
      </c>
    </row>
    <row r="54" spans="2:39" ht="17.5" hidden="1" customHeight="1">
      <c r="C54" s="1194"/>
      <c r="D54" s="587" t="s">
        <v>2695</v>
      </c>
      <c r="E54" s="588">
        <v>0</v>
      </c>
      <c r="F54" s="619"/>
      <c r="G54" s="826"/>
      <c r="H54" s="827"/>
      <c r="I54" s="827"/>
      <c r="J54" s="828"/>
      <c r="K54" s="826"/>
      <c r="L54" s="828"/>
      <c r="M54" s="826"/>
      <c r="N54" s="827"/>
      <c r="O54" s="828"/>
      <c r="P54" s="869">
        <f t="shared" si="15"/>
        <v>0</v>
      </c>
      <c r="Q54" s="589" t="e">
        <f t="shared" si="4"/>
        <v>#DIV/0!</v>
      </c>
      <c r="R54" s="717" t="e">
        <f t="shared" si="18"/>
        <v>#DIV/0!</v>
      </c>
      <c r="S54" s="732">
        <f>P54*$AB$35</f>
        <v>0</v>
      </c>
      <c r="T54" s="660">
        <f>P54*$AC$35</f>
        <v>0</v>
      </c>
      <c r="U54" s="660">
        <f>P54*$AD$35</f>
        <v>0</v>
      </c>
      <c r="V54" s="660">
        <f>P54*$AE$35</f>
        <v>0</v>
      </c>
      <c r="W54" s="660">
        <f>P54*$AF$35</f>
        <v>0</v>
      </c>
      <c r="X54" s="660">
        <f>P54*$AG$35</f>
        <v>0</v>
      </c>
      <c r="Y54" s="733">
        <f t="shared" si="16"/>
        <v>0</v>
      </c>
      <c r="AK54" s="60">
        <f t="shared" si="6"/>
        <v>0</v>
      </c>
      <c r="AL54" s="60">
        <f t="shared" si="7"/>
        <v>0</v>
      </c>
      <c r="AM54" s="60">
        <f t="shared" si="8"/>
        <v>0</v>
      </c>
    </row>
    <row r="55" spans="2:39" ht="17.5" hidden="1" customHeight="1">
      <c r="C55" s="1194"/>
      <c r="D55" s="587" t="s">
        <v>304</v>
      </c>
      <c r="E55" s="588">
        <v>1041892.4324525243</v>
      </c>
      <c r="F55" s="619">
        <v>434841.37338480778</v>
      </c>
      <c r="G55" s="826">
        <v>32812</v>
      </c>
      <c r="H55" s="889">
        <v>33505</v>
      </c>
      <c r="I55" s="827">
        <v>20253</v>
      </c>
      <c r="J55" s="828"/>
      <c r="K55" s="826"/>
      <c r="L55" s="828"/>
      <c r="M55" s="826"/>
      <c r="N55" s="827">
        <v>263</v>
      </c>
      <c r="O55" s="828"/>
      <c r="P55" s="869">
        <f>SUM(G55:O55)</f>
        <v>86833</v>
      </c>
      <c r="Q55" s="589">
        <f t="shared" si="4"/>
        <v>0.19968891028949573</v>
      </c>
      <c r="R55" s="717">
        <f t="shared" si="18"/>
        <v>0.80031108971050424</v>
      </c>
      <c r="S55" s="732">
        <f>P55*$AB$36</f>
        <v>41154.603553344634</v>
      </c>
      <c r="T55" s="660">
        <f>P55*$AC$36</f>
        <v>45678.396446655366</v>
      </c>
      <c r="U55" s="660">
        <f>P55*$AD$36</f>
        <v>31874.034008367606</v>
      </c>
      <c r="V55" s="660">
        <f>P55*$AE$36</f>
        <v>47321.179320442534</v>
      </c>
      <c r="W55" s="660">
        <f>P55*$AF$36</f>
        <v>7637.7866711898732</v>
      </c>
      <c r="X55" s="660">
        <f>P55*$AG$36</f>
        <v>15061.860066891517</v>
      </c>
      <c r="Y55" s="733">
        <f t="shared" si="16"/>
        <v>348008.37338480778</v>
      </c>
      <c r="AK55" s="60">
        <f t="shared" si="6"/>
        <v>66317</v>
      </c>
      <c r="AL55" s="60">
        <f t="shared" si="7"/>
        <v>20516</v>
      </c>
      <c r="AM55" s="60">
        <f t="shared" si="8"/>
        <v>0</v>
      </c>
    </row>
    <row r="56" spans="2:39" ht="17.5" hidden="1" customHeight="1">
      <c r="C56" s="1194"/>
      <c r="D56" s="587" t="s">
        <v>2696</v>
      </c>
      <c r="E56" s="588">
        <v>1841693.9600234586</v>
      </c>
      <c r="F56" s="619">
        <v>173896.33800117296</v>
      </c>
      <c r="G56" s="826"/>
      <c r="H56" s="827">
        <v>43859</v>
      </c>
      <c r="I56" s="827"/>
      <c r="J56" s="828"/>
      <c r="K56" s="826"/>
      <c r="L56" s="828"/>
      <c r="M56" s="826"/>
      <c r="N56" s="827"/>
      <c r="O56" s="828"/>
      <c r="P56" s="869">
        <f t="shared" si="15"/>
        <v>43859</v>
      </c>
      <c r="Q56" s="589">
        <f t="shared" si="4"/>
        <v>0.25221347674212763</v>
      </c>
      <c r="R56" s="717">
        <f t="shared" si="17"/>
        <v>0.74778652325787243</v>
      </c>
      <c r="S56" s="732">
        <f>P56*$AB$37</f>
        <v>20890.157436415589</v>
      </c>
      <c r="T56" s="660">
        <f>P56*$AC$37</f>
        <v>22968.842563584411</v>
      </c>
      <c r="U56" s="660">
        <f>P56*$AD$37</f>
        <v>14981.472289786927</v>
      </c>
      <c r="V56" s="660">
        <f>P56*$AE$37</f>
        <v>25187.64074603964</v>
      </c>
      <c r="W56" s="660">
        <f>P56*$AF$37</f>
        <v>3689.886964173415</v>
      </c>
      <c r="X56" s="660">
        <f>P56*$AG$37</f>
        <v>4216.4915871225485</v>
      </c>
      <c r="Y56" s="733">
        <f t="shared" si="16"/>
        <v>130037.33800117296</v>
      </c>
      <c r="AK56" s="60">
        <f t="shared" si="6"/>
        <v>43859</v>
      </c>
      <c r="AL56" s="60">
        <f t="shared" si="7"/>
        <v>0</v>
      </c>
      <c r="AM56" s="60">
        <f t="shared" si="8"/>
        <v>0</v>
      </c>
    </row>
    <row r="57" spans="2:39" ht="17.5" hidden="1" customHeight="1">
      <c r="C57" s="1194"/>
      <c r="D57" s="587" t="s">
        <v>2697</v>
      </c>
      <c r="E57" s="588">
        <v>0</v>
      </c>
      <c r="F57" s="619">
        <v>0</v>
      </c>
      <c r="G57" s="826"/>
      <c r="H57" s="827"/>
      <c r="I57" s="827"/>
      <c r="J57" s="828"/>
      <c r="K57" s="920">
        <v>9819</v>
      </c>
      <c r="L57" s="828"/>
      <c r="M57" s="826"/>
      <c r="N57" s="827"/>
      <c r="O57" s="828"/>
      <c r="P57" s="869">
        <f t="shared" si="15"/>
        <v>9819</v>
      </c>
      <c r="Q57" s="589" t="e">
        <f t="shared" ref="Q57:Q88" si="19">P57/F57</f>
        <v>#DIV/0!</v>
      </c>
      <c r="R57" s="717" t="e">
        <f t="shared" si="17"/>
        <v>#DIV/0!</v>
      </c>
      <c r="S57" s="732">
        <f>P57*$AB$38</f>
        <v>5105.8881957085841</v>
      </c>
      <c r="T57" s="660">
        <f>P57*$AC$38</f>
        <v>4713.1118042914159</v>
      </c>
      <c r="U57" s="660">
        <f>P57*$AD$38</f>
        <v>3730.890993490867</v>
      </c>
      <c r="V57" s="660">
        <f>P57*$AE$38</f>
        <v>5518.4992078197511</v>
      </c>
      <c r="W57" s="660">
        <f>P57*$AF$38</f>
        <v>569.60979868938284</v>
      </c>
      <c r="X57" s="660">
        <f>P57*$AG$38</f>
        <v>846.57504045219241</v>
      </c>
      <c r="Y57" s="733">
        <f t="shared" si="16"/>
        <v>-9819</v>
      </c>
      <c r="AK57" s="60">
        <f t="shared" si="6"/>
        <v>9819</v>
      </c>
      <c r="AL57" s="60">
        <f t="shared" si="7"/>
        <v>0</v>
      </c>
      <c r="AM57" s="60">
        <f t="shared" si="8"/>
        <v>0</v>
      </c>
    </row>
    <row r="58" spans="2:39" ht="17.5" hidden="1" customHeight="1">
      <c r="C58" s="1194"/>
      <c r="D58" s="587" t="s">
        <v>515</v>
      </c>
      <c r="E58" s="588">
        <v>179191.85816781156</v>
      </c>
      <c r="F58" s="619">
        <v>26746.2414900687</v>
      </c>
      <c r="G58" s="826">
        <f>D3</f>
        <v>7692</v>
      </c>
      <c r="H58" s="827"/>
      <c r="I58" s="827">
        <v>799</v>
      </c>
      <c r="J58" s="828"/>
      <c r="K58" s="826"/>
      <c r="L58" s="828"/>
      <c r="M58" s="826"/>
      <c r="N58" s="827"/>
      <c r="O58" s="828"/>
      <c r="P58" s="869">
        <f t="shared" si="15"/>
        <v>8491</v>
      </c>
      <c r="Q58" s="589">
        <f t="shared" si="19"/>
        <v>0.31746516620486065</v>
      </c>
      <c r="R58" s="717">
        <f t="shared" si="17"/>
        <v>0.68253483379513935</v>
      </c>
      <c r="S58" s="732">
        <f>P58*$AB$39</f>
        <v>4246.811734091787</v>
      </c>
      <c r="T58" s="660">
        <f>P58*$AC$39</f>
        <v>4244.188265908213</v>
      </c>
      <c r="U58" s="660">
        <f>P58*$AD$39</f>
        <v>3226.2954909594605</v>
      </c>
      <c r="V58" s="660">
        <f>P58*$AE$39</f>
        <v>4772.1332899070667</v>
      </c>
      <c r="W58" s="660">
        <f>P58*$AF$39</f>
        <v>492.57121913347061</v>
      </c>
      <c r="X58" s="660">
        <f>P58*$AG$39</f>
        <v>732.07746903753571</v>
      </c>
      <c r="Y58" s="733">
        <f t="shared" si="16"/>
        <v>18255.2414900687</v>
      </c>
      <c r="AK58" s="60">
        <f t="shared" si="6"/>
        <v>7692</v>
      </c>
      <c r="AL58" s="60">
        <f t="shared" si="7"/>
        <v>799</v>
      </c>
      <c r="AM58" s="60">
        <f t="shared" si="8"/>
        <v>0</v>
      </c>
    </row>
    <row r="59" spans="2:39" ht="17.5" hidden="1" customHeight="1">
      <c r="C59" s="1194"/>
      <c r="D59" s="587" t="s">
        <v>2638</v>
      </c>
      <c r="E59" s="588">
        <v>360411.00452311093</v>
      </c>
      <c r="F59" s="619">
        <v>44924.190407079979</v>
      </c>
      <c r="G59" s="826"/>
      <c r="H59" s="827">
        <v>4958</v>
      </c>
      <c r="I59" s="827">
        <v>12</v>
      </c>
      <c r="J59" s="828">
        <v>144</v>
      </c>
      <c r="K59" s="920"/>
      <c r="L59" s="828"/>
      <c r="M59" s="826"/>
      <c r="N59" s="827"/>
      <c r="O59" s="828"/>
      <c r="P59" s="869">
        <f t="shared" si="15"/>
        <v>5114</v>
      </c>
      <c r="Q59" s="589">
        <f t="shared" si="19"/>
        <v>0.11383621949910626</v>
      </c>
      <c r="R59" s="717">
        <f t="shared" si="17"/>
        <v>0.88616378050089373</v>
      </c>
      <c r="S59" s="732">
        <f>P59*$AB$40</f>
        <v>2537.04012582931</v>
      </c>
      <c r="T59" s="660">
        <f>P59*$AC$40</f>
        <v>2576.95987417069</v>
      </c>
      <c r="U59" s="660">
        <f>P59*$AD$40</f>
        <v>1943.1486445373553</v>
      </c>
      <c r="V59" s="660">
        <f>P59*$AE$40</f>
        <v>2874.1832109980851</v>
      </c>
      <c r="W59" s="660">
        <f>P59*$AF$40</f>
        <v>296.66814446455879</v>
      </c>
      <c r="X59" s="660">
        <f>P59*$AG$40</f>
        <v>440.91911160734395</v>
      </c>
      <c r="Y59" s="733">
        <f t="shared" si="16"/>
        <v>39810.190407079979</v>
      </c>
      <c r="AK59" s="60">
        <f t="shared" si="6"/>
        <v>4958</v>
      </c>
      <c r="AL59" s="60">
        <f t="shared" si="7"/>
        <v>156</v>
      </c>
      <c r="AM59" s="60">
        <f t="shared" si="8"/>
        <v>0</v>
      </c>
    </row>
    <row r="60" spans="2:39" ht="17.5" hidden="1" customHeight="1">
      <c r="C60" s="1194"/>
      <c r="D60" s="587" t="s">
        <v>2698</v>
      </c>
      <c r="E60" s="588">
        <v>115607.06136423421</v>
      </c>
      <c r="F60" s="619">
        <v>8662.8536818540542</v>
      </c>
      <c r="G60" s="826"/>
      <c r="H60" s="827"/>
      <c r="I60" s="827"/>
      <c r="J60" s="828"/>
      <c r="K60" s="826"/>
      <c r="L60" s="828"/>
      <c r="M60" s="826"/>
      <c r="N60" s="827"/>
      <c r="O60" s="828"/>
      <c r="P60" s="869">
        <f t="shared" si="15"/>
        <v>0</v>
      </c>
      <c r="Q60" s="589">
        <f t="shared" si="19"/>
        <v>0</v>
      </c>
      <c r="R60" s="717">
        <f t="shared" si="17"/>
        <v>1</v>
      </c>
      <c r="S60" s="732">
        <f>P60*$AB$41</f>
        <v>0</v>
      </c>
      <c r="T60" s="660">
        <f>P60*$AC$41</f>
        <v>0</v>
      </c>
      <c r="U60" s="660">
        <f>P60*$AD$41</f>
        <v>0</v>
      </c>
      <c r="V60" s="660">
        <f>P60*$AE$41</f>
        <v>0</v>
      </c>
      <c r="W60" s="660">
        <f>P60*$AF$41</f>
        <v>0</v>
      </c>
      <c r="X60" s="660">
        <f>P60*$AG$41</f>
        <v>0</v>
      </c>
      <c r="Y60" s="733">
        <f t="shared" si="16"/>
        <v>8662.8536818540542</v>
      </c>
      <c r="AK60" s="60">
        <f t="shared" si="6"/>
        <v>0</v>
      </c>
      <c r="AL60" s="60">
        <f t="shared" si="7"/>
        <v>0</v>
      </c>
      <c r="AM60" s="60">
        <f t="shared" si="8"/>
        <v>0</v>
      </c>
    </row>
    <row r="61" spans="2:39" ht="17.5" hidden="1" customHeight="1">
      <c r="C61" s="1194"/>
      <c r="D61" s="587" t="s">
        <v>2699</v>
      </c>
      <c r="E61" s="588">
        <v>49258.943580096828</v>
      </c>
      <c r="F61" s="619">
        <v>917.55774320387309</v>
      </c>
      <c r="G61" s="826"/>
      <c r="H61" s="827"/>
      <c r="I61" s="827"/>
      <c r="J61" s="828"/>
      <c r="K61" s="826"/>
      <c r="L61" s="828"/>
      <c r="M61" s="826"/>
      <c r="N61" s="827"/>
      <c r="O61" s="828"/>
      <c r="P61" s="869">
        <f t="shared" si="15"/>
        <v>0</v>
      </c>
      <c r="Q61" s="589">
        <f t="shared" si="19"/>
        <v>0</v>
      </c>
      <c r="R61" s="717">
        <f t="shared" si="17"/>
        <v>1</v>
      </c>
      <c r="S61" s="732">
        <f>P61*$AB$42</f>
        <v>0</v>
      </c>
      <c r="T61" s="660">
        <f>P61*$AC$42</f>
        <v>0</v>
      </c>
      <c r="U61" s="660">
        <f>P61*$AD$42</f>
        <v>0</v>
      </c>
      <c r="V61" s="660">
        <f>P61*$AE$42</f>
        <v>0</v>
      </c>
      <c r="W61" s="660">
        <f>P61*$AF$42</f>
        <v>0</v>
      </c>
      <c r="X61" s="660">
        <f>P61*$AG$42</f>
        <v>0</v>
      </c>
      <c r="Y61" s="733">
        <f t="shared" si="16"/>
        <v>917.55774320387309</v>
      </c>
      <c r="AK61" s="60">
        <f t="shared" si="6"/>
        <v>0</v>
      </c>
      <c r="AL61" s="60">
        <f t="shared" si="7"/>
        <v>0</v>
      </c>
      <c r="AM61" s="60">
        <f t="shared" si="8"/>
        <v>0</v>
      </c>
    </row>
    <row r="62" spans="2:39" s="887" customFormat="1" ht="17.5" hidden="1" customHeight="1">
      <c r="C62" s="1195"/>
      <c r="D62" s="594" t="s">
        <v>1483</v>
      </c>
      <c r="E62" s="595">
        <f t="shared" ref="E62:O62" si="20">SUM(E44:E61)</f>
        <v>5154066.0260693831</v>
      </c>
      <c r="F62" s="806">
        <f t="shared" si="20"/>
        <v>999019.11335045088</v>
      </c>
      <c r="G62" s="830">
        <f t="shared" si="20"/>
        <v>112069</v>
      </c>
      <c r="H62" s="831">
        <f t="shared" si="20"/>
        <v>132130</v>
      </c>
      <c r="I62" s="831">
        <f t="shared" si="20"/>
        <v>21333</v>
      </c>
      <c r="J62" s="832">
        <f t="shared" si="20"/>
        <v>2483</v>
      </c>
      <c r="K62" s="830">
        <f t="shared" si="20"/>
        <v>28156</v>
      </c>
      <c r="L62" s="832">
        <f t="shared" si="20"/>
        <v>0</v>
      </c>
      <c r="M62" s="830"/>
      <c r="N62" s="831">
        <f t="shared" si="20"/>
        <v>263</v>
      </c>
      <c r="O62" s="832">
        <f t="shared" si="20"/>
        <v>0</v>
      </c>
      <c r="P62" s="810">
        <f>SUM(P44:P61)</f>
        <v>296434</v>
      </c>
      <c r="Q62" s="596">
        <f t="shared" si="19"/>
        <v>0.29672505364370588</v>
      </c>
      <c r="R62" s="718">
        <f>1-Q62</f>
        <v>0.70327494635629417</v>
      </c>
      <c r="S62" s="734">
        <f t="shared" ref="S62:Y62" si="21">SUM(S44:S61)</f>
        <v>145066.04829407608</v>
      </c>
      <c r="T62" s="597">
        <f t="shared" si="21"/>
        <v>151367.95170592392</v>
      </c>
      <c r="U62" s="597">
        <f>SUM(U44:U61)</f>
        <v>111381.50998446599</v>
      </c>
      <c r="V62" s="597">
        <f t="shared" si="21"/>
        <v>163649.70188935907</v>
      </c>
      <c r="W62" s="597">
        <f t="shared" si="21"/>
        <v>21402.788126174939</v>
      </c>
      <c r="X62" s="597">
        <f t="shared" si="21"/>
        <v>39759.37879166683</v>
      </c>
      <c r="Y62" s="685">
        <f t="shared" si="21"/>
        <v>702585.11335045099</v>
      </c>
      <c r="AK62" s="60">
        <f t="shared" si="6"/>
        <v>272355</v>
      </c>
      <c r="AL62" s="60">
        <f t="shared" si="7"/>
        <v>24079</v>
      </c>
      <c r="AM62" s="60">
        <f t="shared" si="8"/>
        <v>0</v>
      </c>
    </row>
    <row r="63" spans="2:39" hidden="1">
      <c r="B63" s="686">
        <f>(P63+P65+P66+P69+P70)/(F63+F65+F66+F69+F70)</f>
        <v>0.22615525576162071</v>
      </c>
      <c r="C63" s="1190" t="s">
        <v>2967</v>
      </c>
      <c r="D63" s="590" t="s">
        <v>2688</v>
      </c>
      <c r="E63" s="591">
        <v>111096.7979840148</v>
      </c>
      <c r="F63" s="620">
        <v>31675.809596802959</v>
      </c>
      <c r="G63" s="833"/>
      <c r="H63" s="835"/>
      <c r="I63" s="835"/>
      <c r="J63" s="834"/>
      <c r="K63" s="833">
        <v>10750</v>
      </c>
      <c r="L63" s="834"/>
      <c r="M63" s="833"/>
      <c r="N63" s="835"/>
      <c r="O63" s="834"/>
      <c r="P63" s="869">
        <f t="shared" ref="P63:P80" si="22">SUM(G63:O63)</f>
        <v>10750</v>
      </c>
      <c r="Q63" s="592">
        <f t="shared" si="19"/>
        <v>0.33937569826423625</v>
      </c>
      <c r="R63" s="719">
        <f>1-Q63</f>
        <v>0.66062430173576381</v>
      </c>
      <c r="S63" s="700">
        <f>P63*$AB$25</f>
        <v>5151.5380182465778</v>
      </c>
      <c r="T63" s="701">
        <f>P63*$AC$25</f>
        <v>5598.4619817534222</v>
      </c>
      <c r="U63" s="701">
        <f>P63*$AD$25</f>
        <v>3945.5836833556195</v>
      </c>
      <c r="V63" s="701">
        <f>P63*$AE$25</f>
        <v>5849.3458895157846</v>
      </c>
      <c r="W63" s="701">
        <f>P63*$AF$25</f>
        <v>955.07042712859743</v>
      </c>
      <c r="X63" s="701">
        <f>P63*$AG$25</f>
        <v>1636.9785832380526</v>
      </c>
      <c r="Y63" s="681">
        <f t="shared" ref="Y63:Y80" si="23">F63-P63</f>
        <v>20925.809596802959</v>
      </c>
      <c r="Z63" s="898"/>
      <c r="AK63" s="60">
        <f t="shared" si="6"/>
        <v>10750</v>
      </c>
      <c r="AL63" s="60">
        <f t="shared" si="7"/>
        <v>0</v>
      </c>
      <c r="AM63" s="60">
        <f t="shared" si="8"/>
        <v>0</v>
      </c>
    </row>
    <row r="64" spans="2:39" hidden="1">
      <c r="C64" s="1191"/>
      <c r="D64" s="590" t="s">
        <v>2689</v>
      </c>
      <c r="E64" s="591">
        <v>6881.8180702501222</v>
      </c>
      <c r="F64" s="620">
        <v>2420.6544562000977</v>
      </c>
      <c r="G64" s="833"/>
      <c r="H64" s="835"/>
      <c r="I64" s="835"/>
      <c r="J64" s="834"/>
      <c r="K64" s="833"/>
      <c r="L64" s="834"/>
      <c r="M64" s="833"/>
      <c r="N64" s="835"/>
      <c r="O64" s="834"/>
      <c r="P64" s="869">
        <f t="shared" si="22"/>
        <v>0</v>
      </c>
      <c r="Q64" s="592">
        <f t="shared" si="19"/>
        <v>0</v>
      </c>
      <c r="R64" s="719">
        <f>1-Q64</f>
        <v>1</v>
      </c>
      <c r="S64" s="700">
        <f>P64*$AB$26</f>
        <v>0</v>
      </c>
      <c r="T64" s="701">
        <f>P64*$AC$26</f>
        <v>0</v>
      </c>
      <c r="U64" s="701">
        <f>P64*$AD$26</f>
        <v>0</v>
      </c>
      <c r="V64" s="701">
        <f>P64*$AE$26</f>
        <v>0</v>
      </c>
      <c r="W64" s="701">
        <f>P64*$AF$26</f>
        <v>0</v>
      </c>
      <c r="X64" s="701">
        <f>P64*$AG$26</f>
        <v>0</v>
      </c>
      <c r="Y64" s="681">
        <f t="shared" si="23"/>
        <v>2420.6544562000977</v>
      </c>
      <c r="Z64" s="898"/>
      <c r="AK64" s="60">
        <f t="shared" si="6"/>
        <v>0</v>
      </c>
      <c r="AL64" s="60">
        <f t="shared" si="7"/>
        <v>0</v>
      </c>
      <c r="AM64" s="60">
        <f t="shared" si="8"/>
        <v>0</v>
      </c>
    </row>
    <row r="65" spans="2:39" hidden="1">
      <c r="B65" s="60"/>
      <c r="C65" s="1191"/>
      <c r="D65" s="590" t="s">
        <v>2690</v>
      </c>
      <c r="E65" s="591">
        <v>170547.23083816754</v>
      </c>
      <c r="F65" s="620">
        <v>45630.246167633508</v>
      </c>
      <c r="G65" s="833"/>
      <c r="H65" s="835"/>
      <c r="I65" s="835"/>
      <c r="J65" s="834"/>
      <c r="K65" s="833">
        <v>846</v>
      </c>
      <c r="L65" s="834"/>
      <c r="M65" s="833"/>
      <c r="N65" s="835"/>
      <c r="O65" s="834"/>
      <c r="P65" s="869">
        <f t="shared" si="22"/>
        <v>846</v>
      </c>
      <c r="Q65" s="592">
        <f t="shared" si="19"/>
        <v>1.8540333902473786E-2</v>
      </c>
      <c r="R65" s="719">
        <f>1-Q65</f>
        <v>0.98145966609752622</v>
      </c>
      <c r="S65" s="700">
        <f>P65*$AB$27</f>
        <v>403.75595927833069</v>
      </c>
      <c r="T65" s="701">
        <f>P65*$AC$27</f>
        <v>442.24404072166931</v>
      </c>
      <c r="U65" s="701">
        <f>P65*$AD$27</f>
        <v>285.61965931109034</v>
      </c>
      <c r="V65" s="701">
        <f>P65*$AE$27</f>
        <v>486.32807635658907</v>
      </c>
      <c r="W65" s="701">
        <f>P65*$AF$27</f>
        <v>74.052264332320519</v>
      </c>
      <c r="X65" s="701">
        <f>P65*$AG$27</f>
        <v>106.24358523279028</v>
      </c>
      <c r="Y65" s="681">
        <f t="shared" si="23"/>
        <v>44784.246167633508</v>
      </c>
      <c r="Z65" s="898"/>
      <c r="AK65" s="60">
        <f t="shared" si="6"/>
        <v>846</v>
      </c>
      <c r="AL65" s="60">
        <f t="shared" si="7"/>
        <v>0</v>
      </c>
      <c r="AM65" s="60">
        <f t="shared" si="8"/>
        <v>0</v>
      </c>
    </row>
    <row r="66" spans="2:39" hidden="1">
      <c r="B66" s="60"/>
      <c r="C66" s="1191"/>
      <c r="D66" s="590" t="s">
        <v>2691</v>
      </c>
      <c r="E66" s="591">
        <v>0</v>
      </c>
      <c r="F66" s="620">
        <v>0</v>
      </c>
      <c r="G66" s="833"/>
      <c r="H66" s="836"/>
      <c r="I66" s="836"/>
      <c r="J66" s="837"/>
      <c r="K66" s="867"/>
      <c r="L66" s="837"/>
      <c r="M66" s="867"/>
      <c r="N66" s="836"/>
      <c r="O66" s="837"/>
      <c r="P66" s="869">
        <f t="shared" si="22"/>
        <v>0</v>
      </c>
      <c r="Q66" s="592" t="e">
        <f t="shared" si="19"/>
        <v>#DIV/0!</v>
      </c>
      <c r="R66" s="719" t="e">
        <f>1-Q66</f>
        <v>#DIV/0!</v>
      </c>
      <c r="S66" s="735">
        <f>P66*$AB$28</f>
        <v>0</v>
      </c>
      <c r="T66" s="675">
        <f>P66*$AC$28</f>
        <v>0</v>
      </c>
      <c r="U66" s="675">
        <f>P66*$AD$28</f>
        <v>0</v>
      </c>
      <c r="V66" s="675">
        <f>P66*$AE$28</f>
        <v>0</v>
      </c>
      <c r="W66" s="675">
        <f>P66*$AF$28</f>
        <v>0</v>
      </c>
      <c r="X66" s="675">
        <f>P66*$AG$28</f>
        <v>0</v>
      </c>
      <c r="Y66" s="682">
        <f t="shared" si="23"/>
        <v>0</v>
      </c>
      <c r="Z66" s="898"/>
      <c r="AK66" s="60">
        <f t="shared" si="6"/>
        <v>0</v>
      </c>
      <c r="AL66" s="60">
        <f t="shared" si="7"/>
        <v>0</v>
      </c>
      <c r="AM66" s="60">
        <f t="shared" si="8"/>
        <v>0</v>
      </c>
    </row>
    <row r="67" spans="2:39" hidden="1">
      <c r="B67" s="686">
        <f>(P67+P71+P75)/(F67+F71+F75)</f>
        <v>4.7397410273845753E-2</v>
      </c>
      <c r="C67" s="1191"/>
      <c r="D67" s="590" t="s">
        <v>610</v>
      </c>
      <c r="E67" s="591">
        <v>133949.83369622205</v>
      </c>
      <c r="F67" s="620">
        <v>90589.166739244407</v>
      </c>
      <c r="G67" s="833"/>
      <c r="H67" s="836">
        <v>14886</v>
      </c>
      <c r="I67" s="836"/>
      <c r="J67" s="837"/>
      <c r="K67" s="867"/>
      <c r="L67" s="837"/>
      <c r="M67" s="867"/>
      <c r="N67" s="836"/>
      <c r="O67" s="837"/>
      <c r="P67" s="869">
        <f t="shared" si="22"/>
        <v>14886</v>
      </c>
      <c r="Q67" s="592">
        <f t="shared" si="19"/>
        <v>0.16432428441304109</v>
      </c>
      <c r="R67" s="719">
        <f t="shared" ref="R67:R72" si="24">1-Q67</f>
        <v>0.83567571558695897</v>
      </c>
      <c r="S67" s="735">
        <f>P67*$AB$29</f>
        <v>7140.8395301889068</v>
      </c>
      <c r="T67" s="675">
        <f>P67*$AC$29</f>
        <v>7745.1604698110932</v>
      </c>
      <c r="U67" s="675">
        <f>P67*$AD$29</f>
        <v>6874.5008677926744</v>
      </c>
      <c r="V67" s="675">
        <f>P67*$AE$29</f>
        <v>7032.7186952408201</v>
      </c>
      <c r="W67" s="675">
        <f>P67*$AF$29</f>
        <v>978.78043696650593</v>
      </c>
      <c r="X67" s="675">
        <f>P67*$AG$29</f>
        <v>3070.9387516646693</v>
      </c>
      <c r="Y67" s="682">
        <f t="shared" si="23"/>
        <v>75703.166739244407</v>
      </c>
      <c r="Z67" s="898"/>
      <c r="AK67" s="60">
        <f t="shared" si="6"/>
        <v>14886</v>
      </c>
      <c r="AL67" s="60">
        <f t="shared" si="7"/>
        <v>0</v>
      </c>
      <c r="AM67" s="60">
        <f t="shared" si="8"/>
        <v>0</v>
      </c>
    </row>
    <row r="68" spans="2:39">
      <c r="C68" s="1191"/>
      <c r="D68" s="590" t="s">
        <v>37</v>
      </c>
      <c r="E68" s="591">
        <v>231228.27654495894</v>
      </c>
      <c r="F68" s="620">
        <v>121307.82765449589</v>
      </c>
      <c r="G68" s="833">
        <f>E2</f>
        <v>64452</v>
      </c>
      <c r="H68" s="836">
        <v>624</v>
      </c>
      <c r="I68" s="836">
        <v>270</v>
      </c>
      <c r="J68" s="837">
        <v>5</v>
      </c>
      <c r="K68" s="867"/>
      <c r="L68" s="837"/>
      <c r="M68" s="867"/>
      <c r="N68" s="836"/>
      <c r="O68" s="837"/>
      <c r="P68" s="869">
        <f t="shared" si="22"/>
        <v>65351</v>
      </c>
      <c r="Q68" s="592">
        <f t="shared" si="19"/>
        <v>0.53872038815277534</v>
      </c>
      <c r="R68" s="719">
        <f t="shared" si="24"/>
        <v>0.46127961184722466</v>
      </c>
      <c r="S68" s="735">
        <f>P68*$AB$30</f>
        <v>33319.006737645315</v>
      </c>
      <c r="T68" s="675">
        <f>P68*$AC$30</f>
        <v>32031.993262354681</v>
      </c>
      <c r="U68" s="675">
        <f>P68*$AD$30</f>
        <v>23532.734228692847</v>
      </c>
      <c r="V68" s="675">
        <f>P68*$AE$30</f>
        <v>38224.209590581202</v>
      </c>
      <c r="W68" s="675">
        <f>P68*$AF$30</f>
        <v>3594.0561807259496</v>
      </c>
      <c r="X68" s="675">
        <f>P68*$AG$30</f>
        <v>5814.7761906939577</v>
      </c>
      <c r="Y68" s="682">
        <f t="shared" si="23"/>
        <v>55956.827654495894</v>
      </c>
      <c r="Z68" s="898"/>
      <c r="AK68" s="60">
        <f t="shared" si="6"/>
        <v>65076</v>
      </c>
      <c r="AL68" s="60">
        <f t="shared" si="7"/>
        <v>275</v>
      </c>
      <c r="AM68" s="60">
        <f t="shared" si="8"/>
        <v>0</v>
      </c>
    </row>
    <row r="69" spans="2:39" hidden="1">
      <c r="C69" s="1191"/>
      <c r="D69" s="590" t="s">
        <v>2692</v>
      </c>
      <c r="E69" s="591">
        <v>207176.84686270333</v>
      </c>
      <c r="F69" s="620">
        <v>78681.919372540666</v>
      </c>
      <c r="G69" s="833"/>
      <c r="H69" s="836"/>
      <c r="I69" s="836"/>
      <c r="J69" s="837"/>
      <c r="K69" s="867">
        <v>28439</v>
      </c>
      <c r="L69" s="837"/>
      <c r="M69" s="867"/>
      <c r="N69" s="836"/>
      <c r="O69" s="837"/>
      <c r="P69" s="869">
        <f t="shared" si="22"/>
        <v>28439</v>
      </c>
      <c r="Q69" s="592">
        <f t="shared" si="19"/>
        <v>0.3614426316336784</v>
      </c>
      <c r="R69" s="719">
        <f t="shared" si="24"/>
        <v>0.6385573683663216</v>
      </c>
      <c r="S69" s="735">
        <f>P69*$AB$31</f>
        <v>14648.276544785698</v>
      </c>
      <c r="T69" s="675">
        <f>P69*$AC$31</f>
        <v>13790.723455214302</v>
      </c>
      <c r="U69" s="675">
        <f>P69*$AD$31</f>
        <v>11521.770230997079</v>
      </c>
      <c r="V69" s="675">
        <f>P69*$AE$31</f>
        <v>15430.821792782956</v>
      </c>
      <c r="W69" s="675">
        <f>P69*$AF$31</f>
        <v>1486.4079762199653</v>
      </c>
      <c r="X69" s="675">
        <f>P69*$AG$31</f>
        <v>3080.4823725305878</v>
      </c>
      <c r="Y69" s="682">
        <f t="shared" si="23"/>
        <v>50242.919372540666</v>
      </c>
      <c r="Z69" s="898"/>
      <c r="AK69" s="60">
        <f t="shared" si="6"/>
        <v>28439</v>
      </c>
      <c r="AL69" s="60">
        <f t="shared" si="7"/>
        <v>0</v>
      </c>
      <c r="AM69" s="60">
        <f t="shared" si="8"/>
        <v>0</v>
      </c>
    </row>
    <row r="70" spans="2:39" hidden="1">
      <c r="C70" s="1191"/>
      <c r="D70" s="590" t="s">
        <v>2332</v>
      </c>
      <c r="E70" s="591">
        <v>293903.52269109758</v>
      </c>
      <c r="F70" s="620">
        <v>75923.504538219524</v>
      </c>
      <c r="G70" s="833"/>
      <c r="H70" s="836">
        <v>12413</v>
      </c>
      <c r="I70" s="836"/>
      <c r="J70" s="837"/>
      <c r="K70" s="867"/>
      <c r="L70" s="837"/>
      <c r="M70" s="867"/>
      <c r="N70" s="836"/>
      <c r="O70" s="837"/>
      <c r="P70" s="869">
        <f t="shared" si="22"/>
        <v>12413</v>
      </c>
      <c r="Q70" s="592">
        <f t="shared" si="19"/>
        <v>0.16349350672756888</v>
      </c>
      <c r="R70" s="719">
        <f t="shared" si="24"/>
        <v>0.8365064932724311</v>
      </c>
      <c r="S70" s="735">
        <f>P70*$AB$32</f>
        <v>6158.8028208021005</v>
      </c>
      <c r="T70" s="675">
        <f>P70*$AC$32</f>
        <v>6254.1971791978995</v>
      </c>
      <c r="U70" s="675">
        <f>P70*$AD$32</f>
        <v>5117.7345921030419</v>
      </c>
      <c r="V70" s="675">
        <f>P70*$AE$32</f>
        <v>6420.8914058521887</v>
      </c>
      <c r="W70" s="675">
        <f>P70*$AF$32</f>
        <v>874.37400204476978</v>
      </c>
      <c r="X70" s="675">
        <f>P70*$AG$32</f>
        <v>2064.4436020350722</v>
      </c>
      <c r="Y70" s="682">
        <f t="shared" si="23"/>
        <v>63510.504538219524</v>
      </c>
      <c r="Z70" s="898"/>
      <c r="AK70" s="60">
        <f t="shared" si="6"/>
        <v>12413</v>
      </c>
      <c r="AL70" s="60">
        <f t="shared" si="7"/>
        <v>0</v>
      </c>
      <c r="AM70" s="60">
        <f t="shared" si="8"/>
        <v>0</v>
      </c>
    </row>
    <row r="71" spans="2:39" hidden="1">
      <c r="C71" s="1191"/>
      <c r="D71" s="590" t="s">
        <v>2693</v>
      </c>
      <c r="E71" s="591">
        <v>388884.05822737725</v>
      </c>
      <c r="F71" s="620">
        <v>122354.01164547546</v>
      </c>
      <c r="G71" s="833"/>
      <c r="H71" s="836">
        <v>4621</v>
      </c>
      <c r="I71" s="836"/>
      <c r="J71" s="837"/>
      <c r="K71" s="867"/>
      <c r="L71" s="837"/>
      <c r="M71" s="867"/>
      <c r="N71" s="836"/>
      <c r="O71" s="837"/>
      <c r="P71" s="869">
        <f t="shared" si="22"/>
        <v>4621</v>
      </c>
      <c r="Q71" s="592">
        <f t="shared" si="19"/>
        <v>3.7767458033084282E-2</v>
      </c>
      <c r="R71" s="719">
        <f t="shared" si="24"/>
        <v>0.96223254196691577</v>
      </c>
      <c r="S71" s="735">
        <f>P71*$AB$33</f>
        <v>2154.4962638795296</v>
      </c>
      <c r="T71" s="675">
        <f>P71*$AC$33</f>
        <v>2466.5037361204704</v>
      </c>
      <c r="U71" s="675">
        <f>P71*$AD$33</f>
        <v>1473.6642227387672</v>
      </c>
      <c r="V71" s="675">
        <f>P71*$AE$33</f>
        <v>2691.7224282017996</v>
      </c>
      <c r="W71" s="675">
        <f>P71*$AF$33</f>
        <v>455.61334905943357</v>
      </c>
      <c r="X71" s="675">
        <f>P71*$AG$33</f>
        <v>786.84425486950249</v>
      </c>
      <c r="Y71" s="682">
        <f t="shared" si="23"/>
        <v>117733.01164547546</v>
      </c>
      <c r="Z71" s="898"/>
      <c r="AK71" s="60">
        <f t="shared" si="6"/>
        <v>4621</v>
      </c>
      <c r="AL71" s="60">
        <f t="shared" si="7"/>
        <v>0</v>
      </c>
      <c r="AM71" s="60">
        <f t="shared" si="8"/>
        <v>0</v>
      </c>
    </row>
    <row r="72" spans="2:39" hidden="1">
      <c r="C72" s="1191"/>
      <c r="D72" s="590" t="s">
        <v>2694</v>
      </c>
      <c r="E72" s="591">
        <v>22342.381043354912</v>
      </c>
      <c r="F72" s="620">
        <v>0</v>
      </c>
      <c r="G72" s="833"/>
      <c r="H72" s="836"/>
      <c r="I72" s="836"/>
      <c r="J72" s="837"/>
      <c r="K72" s="867"/>
      <c r="L72" s="837"/>
      <c r="M72" s="867"/>
      <c r="N72" s="836"/>
      <c r="O72" s="837"/>
      <c r="P72" s="869">
        <f t="shared" si="22"/>
        <v>0</v>
      </c>
      <c r="Q72" s="592" t="e">
        <f t="shared" si="19"/>
        <v>#DIV/0!</v>
      </c>
      <c r="R72" s="719" t="e">
        <f t="shared" si="24"/>
        <v>#DIV/0!</v>
      </c>
      <c r="S72" s="735">
        <f>P72*$AB$34</f>
        <v>0</v>
      </c>
      <c r="T72" s="675">
        <f>P72*$AC$34</f>
        <v>0</v>
      </c>
      <c r="U72" s="675">
        <f>P72*$AD$34</f>
        <v>0</v>
      </c>
      <c r="V72" s="675">
        <f>P72*$AE$34</f>
        <v>0</v>
      </c>
      <c r="W72" s="675">
        <f>P72*$AF$34</f>
        <v>0</v>
      </c>
      <c r="X72" s="675">
        <f>P72*$AG$34</f>
        <v>0</v>
      </c>
      <c r="Y72" s="682">
        <f t="shared" si="23"/>
        <v>0</v>
      </c>
      <c r="Z72" s="898"/>
      <c r="AK72" s="60">
        <f t="shared" si="6"/>
        <v>0</v>
      </c>
      <c r="AL72" s="60">
        <f t="shared" si="7"/>
        <v>0</v>
      </c>
      <c r="AM72" s="60">
        <f t="shared" si="8"/>
        <v>0</v>
      </c>
    </row>
    <row r="73" spans="2:39" hidden="1">
      <c r="C73" s="1191"/>
      <c r="D73" s="590" t="s">
        <v>2695</v>
      </c>
      <c r="E73" s="591">
        <v>0</v>
      </c>
      <c r="F73" s="620">
        <v>0</v>
      </c>
      <c r="G73" s="833"/>
      <c r="H73" s="835"/>
      <c r="I73" s="835"/>
      <c r="J73" s="834"/>
      <c r="K73" s="833"/>
      <c r="L73" s="834"/>
      <c r="M73" s="833"/>
      <c r="N73" s="835"/>
      <c r="O73" s="834"/>
      <c r="P73" s="869">
        <f t="shared" si="22"/>
        <v>0</v>
      </c>
      <c r="Q73" s="592" t="e">
        <f t="shared" si="19"/>
        <v>#DIV/0!</v>
      </c>
      <c r="R73" s="719" t="e">
        <f>1-Q73</f>
        <v>#DIV/0!</v>
      </c>
      <c r="S73" s="700">
        <f>P73*$AB$35</f>
        <v>0</v>
      </c>
      <c r="T73" s="701">
        <f>P73*$AC$35</f>
        <v>0</v>
      </c>
      <c r="U73" s="701">
        <f>P73*$AD$35</f>
        <v>0</v>
      </c>
      <c r="V73" s="701">
        <f>P73*$AE$35</f>
        <v>0</v>
      </c>
      <c r="W73" s="701">
        <f>P73*$AF$35</f>
        <v>0</v>
      </c>
      <c r="X73" s="701">
        <f>P73*$AG$35</f>
        <v>0</v>
      </c>
      <c r="Y73" s="681">
        <f t="shared" si="23"/>
        <v>0</v>
      </c>
      <c r="Z73" s="898"/>
      <c r="AK73" s="60">
        <f t="shared" si="6"/>
        <v>0</v>
      </c>
      <c r="AL73" s="60">
        <f t="shared" si="7"/>
        <v>0</v>
      </c>
      <c r="AM73" s="60">
        <f t="shared" si="8"/>
        <v>0</v>
      </c>
    </row>
    <row r="74" spans="2:39" hidden="1">
      <c r="C74" s="1191"/>
      <c r="D74" s="590" t="s">
        <v>304</v>
      </c>
      <c r="E74" s="591">
        <v>1041892.4324525243</v>
      </c>
      <c r="F74" s="620">
        <v>494284.62298100966</v>
      </c>
      <c r="G74" s="833">
        <v>113394.68353537263</v>
      </c>
      <c r="H74" s="701">
        <v>77479</v>
      </c>
      <c r="I74" s="835">
        <v>44810</v>
      </c>
      <c r="J74" s="834"/>
      <c r="K74" s="833"/>
      <c r="L74" s="834"/>
      <c r="M74" s="833"/>
      <c r="N74" s="835">
        <v>14296</v>
      </c>
      <c r="O74" s="834"/>
      <c r="P74" s="869">
        <f t="shared" si="22"/>
        <v>249979.68353537263</v>
      </c>
      <c r="Q74" s="592">
        <f t="shared" si="19"/>
        <v>0.50574036074146056</v>
      </c>
      <c r="R74" s="719">
        <f t="shared" ref="R74:R80" si="25">1-Q74</f>
        <v>0.49425963925853944</v>
      </c>
      <c r="S74" s="700">
        <f>P74*$AB$36</f>
        <v>118478.16811913459</v>
      </c>
      <c r="T74" s="701">
        <f>P74*$AC$36</f>
        <v>131501.51541623805</v>
      </c>
      <c r="U74" s="701">
        <f>P74*$AD$36</f>
        <v>91760.746886638022</v>
      </c>
      <c r="V74" s="701">
        <f>P74*$AE$36</f>
        <v>136230.85037998046</v>
      </c>
      <c r="W74" s="701">
        <f>P74*$AF$36</f>
        <v>21988.086268754181</v>
      </c>
      <c r="X74" s="701">
        <f>P74*$AG$36</f>
        <v>43360.922840113875</v>
      </c>
      <c r="Y74" s="681">
        <f t="shared" si="23"/>
        <v>244304.93944563702</v>
      </c>
      <c r="Z74" s="898"/>
      <c r="AK74" s="60">
        <f t="shared" si="6"/>
        <v>190873.68353537263</v>
      </c>
      <c r="AL74" s="60">
        <f t="shared" si="7"/>
        <v>59106</v>
      </c>
      <c r="AM74" s="60">
        <f t="shared" si="8"/>
        <v>0</v>
      </c>
    </row>
    <row r="75" spans="2:39" hidden="1">
      <c r="C75" s="1191"/>
      <c r="D75" s="590" t="s">
        <v>2696</v>
      </c>
      <c r="E75" s="591">
        <v>1841693.9600234586</v>
      </c>
      <c r="F75" s="620">
        <v>352045.49600234587</v>
      </c>
      <c r="G75" s="833"/>
      <c r="H75" s="835">
        <v>7272</v>
      </c>
      <c r="I75" s="835"/>
      <c r="J75" s="834"/>
      <c r="K75" s="833"/>
      <c r="L75" s="834"/>
      <c r="M75" s="833"/>
      <c r="N75" s="835"/>
      <c r="O75" s="834"/>
      <c r="P75" s="869">
        <f t="shared" si="22"/>
        <v>7272</v>
      </c>
      <c r="Q75" s="592">
        <f t="shared" si="19"/>
        <v>2.0656421066530397E-2</v>
      </c>
      <c r="R75" s="719">
        <f t="shared" si="25"/>
        <v>0.97934357893346957</v>
      </c>
      <c r="S75" s="700">
        <f>P75*$AB$37</f>
        <v>3463.6727895668887</v>
      </c>
      <c r="T75" s="701">
        <f>P75*$AC$37</f>
        <v>3808.3272104331113</v>
      </c>
      <c r="U75" s="701">
        <f>P75*$AD$37</f>
        <v>2483.9888390371539</v>
      </c>
      <c r="V75" s="701">
        <f>P75*$AE$37</f>
        <v>4176.2129438701349</v>
      </c>
      <c r="W75" s="701">
        <f>P75*$AF$37</f>
        <v>611.79821709270789</v>
      </c>
      <c r="X75" s="701">
        <f>P75*$AG$37</f>
        <v>699.1113983801539</v>
      </c>
      <c r="Y75" s="681">
        <f t="shared" si="23"/>
        <v>344773.49600234587</v>
      </c>
      <c r="Z75" s="898"/>
      <c r="AK75" s="60">
        <f t="shared" si="6"/>
        <v>7272</v>
      </c>
      <c r="AL75" s="60">
        <f t="shared" si="7"/>
        <v>0</v>
      </c>
      <c r="AM75" s="60">
        <f t="shared" si="8"/>
        <v>0</v>
      </c>
    </row>
    <row r="76" spans="2:39" hidden="1">
      <c r="C76" s="1191"/>
      <c r="D76" s="590" t="s">
        <v>2697</v>
      </c>
      <c r="E76" s="591">
        <v>0</v>
      </c>
      <c r="F76" s="620">
        <v>0</v>
      </c>
      <c r="G76" s="833"/>
      <c r="H76" s="835"/>
      <c r="I76" s="835"/>
      <c r="J76" s="834"/>
      <c r="K76" s="833">
        <v>10000</v>
      </c>
      <c r="L76" s="834"/>
      <c r="M76" s="833"/>
      <c r="N76" s="835"/>
      <c r="O76" s="834"/>
      <c r="P76" s="869">
        <f t="shared" si="22"/>
        <v>10000</v>
      </c>
      <c r="Q76" s="592" t="e">
        <f t="shared" si="19"/>
        <v>#DIV/0!</v>
      </c>
      <c r="R76" s="719" t="e">
        <f t="shared" si="25"/>
        <v>#DIV/0!</v>
      </c>
      <c r="S76" s="700">
        <f>P76*$AB$38</f>
        <v>5200.0083467854001</v>
      </c>
      <c r="T76" s="701">
        <f>P76*$AC$38</f>
        <v>4799.9916532145999</v>
      </c>
      <c r="U76" s="701">
        <f>P76*$AD$38</f>
        <v>3799.6649287003429</v>
      </c>
      <c r="V76" s="701">
        <f>P76*$AE$38</f>
        <v>5620.2252854870667</v>
      </c>
      <c r="W76" s="701">
        <f>P76*$AF$38</f>
        <v>580.10978581259076</v>
      </c>
      <c r="X76" s="701">
        <f>P76*$AG$38</f>
        <v>862.18050764048519</v>
      </c>
      <c r="Y76" s="681">
        <f t="shared" si="23"/>
        <v>-10000</v>
      </c>
      <c r="Z76" s="898"/>
      <c r="AK76" s="60">
        <f t="shared" si="6"/>
        <v>10000</v>
      </c>
      <c r="AL76" s="60">
        <f t="shared" si="7"/>
        <v>0</v>
      </c>
      <c r="AM76" s="60">
        <f t="shared" si="8"/>
        <v>0</v>
      </c>
    </row>
    <row r="77" spans="2:39" hidden="1">
      <c r="C77" s="1191"/>
      <c r="D77" s="590" t="s">
        <v>515</v>
      </c>
      <c r="E77" s="591">
        <v>179191.85816781156</v>
      </c>
      <c r="F77" s="620">
        <v>67807.757450343488</v>
      </c>
      <c r="G77" s="833">
        <f>E3</f>
        <v>5587</v>
      </c>
      <c r="H77" s="835">
        <v>157</v>
      </c>
      <c r="I77" s="835">
        <v>1624</v>
      </c>
      <c r="J77" s="834"/>
      <c r="K77" s="833"/>
      <c r="L77" s="834"/>
      <c r="M77" s="833"/>
      <c r="N77" s="835"/>
      <c r="O77" s="834"/>
      <c r="P77" s="869">
        <f t="shared" si="22"/>
        <v>7368</v>
      </c>
      <c r="Q77" s="592">
        <f t="shared" si="19"/>
        <v>0.1086601338408173</v>
      </c>
      <c r="R77" s="719">
        <f t="shared" si="25"/>
        <v>0.8913398661591827</v>
      </c>
      <c r="S77" s="700">
        <f>P77*$AB$39</f>
        <v>3685.1382471779871</v>
      </c>
      <c r="T77" s="701">
        <f>P77*$AC$39</f>
        <v>3682.8617528220129</v>
      </c>
      <c r="U77" s="701">
        <f>P77*$AD$39</f>
        <v>2799.5931194664122</v>
      </c>
      <c r="V77" s="701">
        <f>P77*$AE$39</f>
        <v>4140.9819903468697</v>
      </c>
      <c r="W77" s="701">
        <f>P77*$AF$39</f>
        <v>427.42489018671671</v>
      </c>
      <c r="X77" s="701">
        <f>P77*$AG$39</f>
        <v>635.25459802950922</v>
      </c>
      <c r="Y77" s="681">
        <f t="shared" si="23"/>
        <v>60439.757450343488</v>
      </c>
      <c r="Z77" s="898"/>
      <c r="AK77" s="60">
        <f t="shared" si="6"/>
        <v>5744</v>
      </c>
      <c r="AL77" s="60">
        <f t="shared" si="7"/>
        <v>1624</v>
      </c>
      <c r="AM77" s="60">
        <f t="shared" si="8"/>
        <v>0</v>
      </c>
    </row>
    <row r="78" spans="2:39" hidden="1">
      <c r="C78" s="1191"/>
      <c r="D78" s="590" t="s">
        <v>2638</v>
      </c>
      <c r="E78" s="591">
        <v>360411.00452311093</v>
      </c>
      <c r="F78" s="620">
        <v>108123.30135693328</v>
      </c>
      <c r="G78" s="833"/>
      <c r="H78" s="835">
        <v>13844.333333333332</v>
      </c>
      <c r="I78" s="835">
        <v>3770</v>
      </c>
      <c r="J78" s="834">
        <v>625</v>
      </c>
      <c r="K78" s="833"/>
      <c r="L78" s="834"/>
      <c r="M78" s="833"/>
      <c r="N78" s="835"/>
      <c r="O78" s="834"/>
      <c r="P78" s="869">
        <f t="shared" si="22"/>
        <v>18239.333333333332</v>
      </c>
      <c r="Q78" s="592">
        <f t="shared" si="19"/>
        <v>0.16869012603603559</v>
      </c>
      <c r="R78" s="719">
        <f t="shared" si="25"/>
        <v>0.83130987396396439</v>
      </c>
      <c r="S78" s="700">
        <f>P78*$AB$40</f>
        <v>9048.4787905832472</v>
      </c>
      <c r="T78" s="701">
        <f>P78*$AC$40</f>
        <v>9190.8545427500849</v>
      </c>
      <c r="U78" s="701">
        <f>P78*$AD$40</f>
        <v>6930.335518954178</v>
      </c>
      <c r="V78" s="701">
        <f>P78*$AE$40</f>
        <v>10250.916239042706</v>
      </c>
      <c r="W78" s="701">
        <f>P78*$AF$40</f>
        <v>1058.0815753364443</v>
      </c>
      <c r="X78" s="701">
        <f>P78*$AG$40</f>
        <v>1572.5597672357349</v>
      </c>
      <c r="Y78" s="681">
        <f t="shared" si="23"/>
        <v>89883.968023599955</v>
      </c>
      <c r="Z78" s="898"/>
      <c r="AK78" s="60">
        <f t="shared" si="6"/>
        <v>13844.333333333332</v>
      </c>
      <c r="AL78" s="60">
        <f t="shared" si="7"/>
        <v>4395</v>
      </c>
      <c r="AM78" s="60">
        <f t="shared" si="8"/>
        <v>0</v>
      </c>
    </row>
    <row r="79" spans="2:39" hidden="1">
      <c r="C79" s="1191"/>
      <c r="D79" s="590" t="s">
        <v>2698</v>
      </c>
      <c r="E79" s="591">
        <v>115607.06136423421</v>
      </c>
      <c r="F79" s="620">
        <v>29710.912272846846</v>
      </c>
      <c r="G79" s="833"/>
      <c r="H79" s="835"/>
      <c r="I79" s="835"/>
      <c r="J79" s="834"/>
      <c r="K79" s="833"/>
      <c r="L79" s="834"/>
      <c r="M79" s="833"/>
      <c r="N79" s="835"/>
      <c r="O79" s="834"/>
      <c r="P79" s="869">
        <f t="shared" si="22"/>
        <v>0</v>
      </c>
      <c r="Q79" s="592">
        <f t="shared" si="19"/>
        <v>0</v>
      </c>
      <c r="R79" s="719">
        <f t="shared" si="25"/>
        <v>1</v>
      </c>
      <c r="S79" s="700">
        <f>P79*$AB$41</f>
        <v>0</v>
      </c>
      <c r="T79" s="701">
        <f>P79*$AC$41</f>
        <v>0</v>
      </c>
      <c r="U79" s="701">
        <f>P79*$AD$41</f>
        <v>0</v>
      </c>
      <c r="V79" s="701">
        <f>P79*$AE$41</f>
        <v>0</v>
      </c>
      <c r="W79" s="701">
        <f>P79*$AF$41</f>
        <v>0</v>
      </c>
      <c r="X79" s="701">
        <f>P79*$AG$41</f>
        <v>0</v>
      </c>
      <c r="Y79" s="681">
        <f t="shared" si="23"/>
        <v>29710.912272846846</v>
      </c>
      <c r="Z79" s="898"/>
      <c r="AK79" s="60">
        <f t="shared" si="6"/>
        <v>0</v>
      </c>
      <c r="AL79" s="60">
        <f t="shared" si="7"/>
        <v>0</v>
      </c>
      <c r="AM79" s="60">
        <f t="shared" si="8"/>
        <v>0</v>
      </c>
    </row>
    <row r="80" spans="2:39" hidden="1">
      <c r="C80" s="1191"/>
      <c r="D80" s="590" t="s">
        <v>2699</v>
      </c>
      <c r="E80" s="591">
        <v>49258.943580096828</v>
      </c>
      <c r="F80" s="620">
        <v>9175.5774320387318</v>
      </c>
      <c r="G80" s="833"/>
      <c r="H80" s="835"/>
      <c r="I80" s="835"/>
      <c r="J80" s="834"/>
      <c r="K80" s="833">
        <v>4000</v>
      </c>
      <c r="L80" s="834"/>
      <c r="M80" s="833"/>
      <c r="N80" s="835"/>
      <c r="O80" s="834"/>
      <c r="P80" s="869">
        <f t="shared" si="22"/>
        <v>4000</v>
      </c>
      <c r="Q80" s="592">
        <f t="shared" si="19"/>
        <v>0.43593986641462362</v>
      </c>
      <c r="R80" s="719">
        <f t="shared" si="25"/>
        <v>0.56406013358537632</v>
      </c>
      <c r="S80" s="700">
        <f>P80*$AB$42</f>
        <v>1922.8311452855694</v>
      </c>
      <c r="T80" s="701">
        <f>P80*$AC$42</f>
        <v>2077.1688547144308</v>
      </c>
      <c r="U80" s="701">
        <f>P80*$AD$42</f>
        <v>1158.9398458272267</v>
      </c>
      <c r="V80" s="701">
        <f>P80*$AE$42</f>
        <v>2525.1033766747537</v>
      </c>
      <c r="W80" s="701">
        <f>P80*$AF$42</f>
        <v>315.95677749801916</v>
      </c>
      <c r="X80" s="701">
        <f>P80*$AG$42</f>
        <v>497.18081400251185</v>
      </c>
      <c r="Y80" s="681">
        <f t="shared" si="23"/>
        <v>5175.5774320387318</v>
      </c>
      <c r="Z80" s="898"/>
      <c r="AK80" s="60">
        <f t="shared" si="6"/>
        <v>4000</v>
      </c>
      <c r="AL80" s="60">
        <f t="shared" si="7"/>
        <v>0</v>
      </c>
      <c r="AM80" s="60">
        <f t="shared" si="8"/>
        <v>0</v>
      </c>
    </row>
    <row r="81" spans="3:39" s="886" customFormat="1" ht="23.5" hidden="1" customHeight="1">
      <c r="C81" s="1192"/>
      <c r="D81" s="599" t="s">
        <v>1483</v>
      </c>
      <c r="E81" s="600">
        <f t="shared" ref="E81:O81" si="26">SUM(E63:E80)</f>
        <v>5154066.0260693831</v>
      </c>
      <c r="F81" s="807">
        <f t="shared" si="26"/>
        <v>1629730.8076661306</v>
      </c>
      <c r="G81" s="838">
        <f t="shared" si="26"/>
        <v>183433.68353537263</v>
      </c>
      <c r="H81" s="839">
        <f t="shared" si="26"/>
        <v>131296.33333333334</v>
      </c>
      <c r="I81" s="839">
        <f t="shared" si="26"/>
        <v>50474</v>
      </c>
      <c r="J81" s="840">
        <f t="shared" si="26"/>
        <v>630</v>
      </c>
      <c r="K81" s="838">
        <f t="shared" si="26"/>
        <v>54035</v>
      </c>
      <c r="L81" s="840">
        <f t="shared" si="26"/>
        <v>0</v>
      </c>
      <c r="M81" s="838">
        <f t="shared" si="26"/>
        <v>0</v>
      </c>
      <c r="N81" s="839">
        <f t="shared" si="26"/>
        <v>14296</v>
      </c>
      <c r="O81" s="840">
        <f t="shared" si="26"/>
        <v>0</v>
      </c>
      <c r="P81" s="811">
        <f>SUM(P63:P80)</f>
        <v>434165.01686870592</v>
      </c>
      <c r="Q81" s="601">
        <f t="shared" si="19"/>
        <v>0.26640290213968248</v>
      </c>
      <c r="R81" s="720">
        <f>1-Q81</f>
        <v>0.73359709786031746</v>
      </c>
      <c r="S81" s="736">
        <f t="shared" ref="S81:Y81" si="27">SUM(S63:S80)</f>
        <v>210775.01331336013</v>
      </c>
      <c r="T81" s="602">
        <f t="shared" si="27"/>
        <v>223390.00355534579</v>
      </c>
      <c r="U81" s="602">
        <f t="shared" si="27"/>
        <v>161684.87662361446</v>
      </c>
      <c r="V81" s="602">
        <f t="shared" si="27"/>
        <v>239080.32809393332</v>
      </c>
      <c r="W81" s="602">
        <f t="shared" si="27"/>
        <v>33399.812151158199</v>
      </c>
      <c r="X81" s="602">
        <f t="shared" si="27"/>
        <v>64187.917265666896</v>
      </c>
      <c r="Y81" s="737">
        <f t="shared" si="27"/>
        <v>1195565.7907974245</v>
      </c>
      <c r="AK81" s="60">
        <f t="shared" si="6"/>
        <v>368765.01686870598</v>
      </c>
      <c r="AL81" s="60">
        <f t="shared" si="7"/>
        <v>65400</v>
      </c>
      <c r="AM81" s="60">
        <f t="shared" si="8"/>
        <v>0</v>
      </c>
    </row>
    <row r="82" spans="3:39" hidden="1">
      <c r="C82" s="1187" t="s">
        <v>2968</v>
      </c>
      <c r="D82" s="607" t="s">
        <v>2688</v>
      </c>
      <c r="E82" s="607"/>
      <c r="F82" s="608">
        <v>2687.0429798401483</v>
      </c>
      <c r="G82" s="846"/>
      <c r="H82" s="844"/>
      <c r="I82" s="844"/>
      <c r="J82" s="845"/>
      <c r="K82" s="846"/>
      <c r="L82" s="845"/>
      <c r="M82" s="841"/>
      <c r="N82" s="843"/>
      <c r="O82" s="842"/>
      <c r="P82" s="869">
        <f t="shared" ref="P82:P99" si="28">SUM(G82:O82)</f>
        <v>0</v>
      </c>
      <c r="Q82" s="609">
        <f t="shared" si="19"/>
        <v>0</v>
      </c>
      <c r="R82" s="721">
        <f>1-Q82</f>
        <v>1</v>
      </c>
      <c r="S82" s="738">
        <f>P82*$AB$25</f>
        <v>0</v>
      </c>
      <c r="T82" s="607">
        <f>P82*$AC$25</f>
        <v>0</v>
      </c>
      <c r="U82" s="607">
        <f>P82*$AD$25</f>
        <v>0</v>
      </c>
      <c r="V82" s="607">
        <f>P82*$AE$25</f>
        <v>0</v>
      </c>
      <c r="W82" s="607">
        <f>P82*$AF$25</f>
        <v>0</v>
      </c>
      <c r="X82" s="607">
        <f>P82*$AG$25</f>
        <v>0</v>
      </c>
      <c r="Y82" s="683">
        <f t="shared" ref="Y82:Y99" si="29">F82-P82</f>
        <v>2687.0429798401483</v>
      </c>
      <c r="Z82" s="898"/>
      <c r="AK82" s="60">
        <f t="shared" si="6"/>
        <v>0</v>
      </c>
      <c r="AL82" s="60">
        <f t="shared" si="7"/>
        <v>0</v>
      </c>
      <c r="AM82" s="60">
        <f t="shared" si="8"/>
        <v>0</v>
      </c>
    </row>
    <row r="83" spans="3:39" hidden="1">
      <c r="C83" s="1188"/>
      <c r="D83" s="607" t="s">
        <v>2689</v>
      </c>
      <c r="E83" s="607"/>
      <c r="F83" s="608">
        <v>121.03272281000488</v>
      </c>
      <c r="G83" s="846"/>
      <c r="H83" s="844"/>
      <c r="I83" s="844"/>
      <c r="J83" s="845"/>
      <c r="K83" s="846"/>
      <c r="L83" s="845"/>
      <c r="M83" s="841"/>
      <c r="N83" s="843"/>
      <c r="O83" s="842"/>
      <c r="P83" s="869">
        <f t="shared" si="28"/>
        <v>0</v>
      </c>
      <c r="Q83" s="609">
        <f t="shared" si="19"/>
        <v>0</v>
      </c>
      <c r="R83" s="721">
        <f t="shared" ref="R83:R95" si="30">1-Q83</f>
        <v>1</v>
      </c>
      <c r="S83" s="738">
        <f>P83*$AB$26</f>
        <v>0</v>
      </c>
      <c r="T83" s="607">
        <f>P83*$AC$26</f>
        <v>0</v>
      </c>
      <c r="U83" s="607">
        <f>P83*$AD$26</f>
        <v>0</v>
      </c>
      <c r="V83" s="607">
        <f>P83*$AE$26</f>
        <v>0</v>
      </c>
      <c r="W83" s="607">
        <f>P83*$AF$26</f>
        <v>0</v>
      </c>
      <c r="X83" s="607">
        <f>P83*$AG$26</f>
        <v>0</v>
      </c>
      <c r="Y83" s="683">
        <f t="shared" si="29"/>
        <v>121.03272281000488</v>
      </c>
      <c r="Z83" s="898"/>
      <c r="AK83" s="60">
        <f t="shared" si="6"/>
        <v>0</v>
      </c>
      <c r="AL83" s="60">
        <f t="shared" si="7"/>
        <v>0</v>
      </c>
      <c r="AM83" s="60">
        <f t="shared" si="8"/>
        <v>0</v>
      </c>
    </row>
    <row r="84" spans="3:39" hidden="1">
      <c r="C84" s="1188"/>
      <c r="D84" s="607" t="s">
        <v>2690</v>
      </c>
      <c r="E84" s="607"/>
      <c r="F84" s="608">
        <v>3733.7223083816752</v>
      </c>
      <c r="G84" s="846"/>
      <c r="H84" s="844"/>
      <c r="I84" s="844"/>
      <c r="J84" s="845"/>
      <c r="K84" s="846"/>
      <c r="L84" s="845"/>
      <c r="M84" s="841"/>
      <c r="N84" s="843"/>
      <c r="O84" s="842"/>
      <c r="P84" s="869">
        <f t="shared" si="28"/>
        <v>0</v>
      </c>
      <c r="Q84" s="609">
        <f t="shared" si="19"/>
        <v>0</v>
      </c>
      <c r="R84" s="721">
        <f t="shared" si="30"/>
        <v>1</v>
      </c>
      <c r="S84" s="738">
        <f>P84*$AB$27</f>
        <v>0</v>
      </c>
      <c r="T84" s="607">
        <f>P84*$AC$27</f>
        <v>0</v>
      </c>
      <c r="U84" s="607">
        <f>P84*$AD$27</f>
        <v>0</v>
      </c>
      <c r="V84" s="607">
        <f>P84*$AE$27</f>
        <v>0</v>
      </c>
      <c r="W84" s="607">
        <f>P84*$AF$27</f>
        <v>0</v>
      </c>
      <c r="X84" s="607">
        <f>P84*$AG$27</f>
        <v>0</v>
      </c>
      <c r="Y84" s="683">
        <f t="shared" si="29"/>
        <v>3733.7223083816752</v>
      </c>
      <c r="Z84" s="898"/>
      <c r="AK84" s="60">
        <f t="shared" si="6"/>
        <v>0</v>
      </c>
      <c r="AL84" s="60">
        <f t="shared" si="7"/>
        <v>0</v>
      </c>
      <c r="AM84" s="60">
        <f t="shared" si="8"/>
        <v>0</v>
      </c>
    </row>
    <row r="85" spans="3:39" hidden="1">
      <c r="C85" s="1188"/>
      <c r="D85" s="607" t="s">
        <v>2691</v>
      </c>
      <c r="E85" s="607"/>
      <c r="F85" s="608">
        <v>0</v>
      </c>
      <c r="G85" s="846"/>
      <c r="H85" s="844"/>
      <c r="I85" s="844"/>
      <c r="J85" s="845"/>
      <c r="K85" s="846"/>
      <c r="L85" s="845"/>
      <c r="M85" s="841"/>
      <c r="N85" s="843"/>
      <c r="O85" s="842"/>
      <c r="P85" s="869">
        <f t="shared" si="28"/>
        <v>0</v>
      </c>
      <c r="Q85" s="609" t="e">
        <f t="shared" si="19"/>
        <v>#DIV/0!</v>
      </c>
      <c r="R85" s="721" t="e">
        <f t="shared" si="30"/>
        <v>#DIV/0!</v>
      </c>
      <c r="S85" s="738">
        <f>P85*$AB$28</f>
        <v>0</v>
      </c>
      <c r="T85" s="607">
        <f>P85*$AC$28</f>
        <v>0</v>
      </c>
      <c r="U85" s="607">
        <f>P85*$AD$28</f>
        <v>0</v>
      </c>
      <c r="V85" s="607">
        <f>P85*$AE$28</f>
        <v>0</v>
      </c>
      <c r="W85" s="607">
        <f>P85*$AF$28</f>
        <v>0</v>
      </c>
      <c r="X85" s="607">
        <f>P85*$AG$28</f>
        <v>0</v>
      </c>
      <c r="Y85" s="683">
        <f t="shared" si="29"/>
        <v>0</v>
      </c>
      <c r="Z85" s="898"/>
      <c r="AK85" s="60">
        <f t="shared" si="6"/>
        <v>0</v>
      </c>
      <c r="AL85" s="60">
        <f t="shared" si="7"/>
        <v>0</v>
      </c>
      <c r="AM85" s="60">
        <f t="shared" si="8"/>
        <v>0</v>
      </c>
    </row>
    <row r="86" spans="3:39" hidden="1">
      <c r="C86" s="1188"/>
      <c r="D86" s="607" t="s">
        <v>610</v>
      </c>
      <c r="E86" s="607"/>
      <c r="F86" s="608">
        <v>8516.9083369622222</v>
      </c>
      <c r="G86" s="846"/>
      <c r="H86" s="844"/>
      <c r="I86" s="844"/>
      <c r="J86" s="845"/>
      <c r="K86" s="846"/>
      <c r="L86" s="845"/>
      <c r="M86" s="841"/>
      <c r="N86" s="843"/>
      <c r="O86" s="842"/>
      <c r="P86" s="869">
        <f t="shared" si="28"/>
        <v>0</v>
      </c>
      <c r="Q86" s="609">
        <f t="shared" si="19"/>
        <v>0</v>
      </c>
      <c r="R86" s="721">
        <f t="shared" si="30"/>
        <v>1</v>
      </c>
      <c r="S86" s="738">
        <f>P86*$AB$29</f>
        <v>0</v>
      </c>
      <c r="T86" s="607">
        <f>P86*$AC$29</f>
        <v>0</v>
      </c>
      <c r="U86" s="607">
        <f>P86*$AD$29</f>
        <v>0</v>
      </c>
      <c r="V86" s="607">
        <f>P86*$AE$29</f>
        <v>0</v>
      </c>
      <c r="W86" s="607">
        <f>P86*$AF$29</f>
        <v>0</v>
      </c>
      <c r="X86" s="607">
        <f>P86*$AG$29</f>
        <v>0</v>
      </c>
      <c r="Y86" s="683">
        <f t="shared" si="29"/>
        <v>8516.9083369622222</v>
      </c>
      <c r="Z86" s="898"/>
      <c r="AK86" s="60">
        <f t="shared" si="6"/>
        <v>0</v>
      </c>
      <c r="AL86" s="60">
        <f t="shared" si="7"/>
        <v>0</v>
      </c>
      <c r="AM86" s="60">
        <f t="shared" si="8"/>
        <v>0</v>
      </c>
    </row>
    <row r="87" spans="3:39">
      <c r="C87" s="1188"/>
      <c r="D87" s="607" t="s">
        <v>37</v>
      </c>
      <c r="E87" s="607"/>
      <c r="F87" s="608">
        <v>22030.431382724793</v>
      </c>
      <c r="G87" s="846">
        <f>F2</f>
        <v>23656.75</v>
      </c>
      <c r="H87" s="844"/>
      <c r="I87" s="844"/>
      <c r="J87" s="845"/>
      <c r="K87" s="846"/>
      <c r="L87" s="845"/>
      <c r="M87" s="841"/>
      <c r="N87" s="843"/>
      <c r="O87" s="842"/>
      <c r="P87" s="869">
        <f t="shared" si="28"/>
        <v>23656.75</v>
      </c>
      <c r="Q87" s="609">
        <f t="shared" si="19"/>
        <v>1.0738214603709706</v>
      </c>
      <c r="R87" s="721">
        <f t="shared" si="30"/>
        <v>-7.3821460370970593E-2</v>
      </c>
      <c r="S87" s="738">
        <f>P87*$AB$30</f>
        <v>12061.321366785372</v>
      </c>
      <c r="T87" s="607">
        <f>P87*$AC$30</f>
        <v>11595.428633214628</v>
      </c>
      <c r="U87" s="607">
        <f>P87*$AD$30</f>
        <v>8518.7374403548456</v>
      </c>
      <c r="V87" s="607">
        <f>P87*$AE$30</f>
        <v>13836.981381034442</v>
      </c>
      <c r="W87" s="607">
        <f>P87*$AF$30</f>
        <v>1301.0311786107115</v>
      </c>
      <c r="X87" s="607">
        <f>P87*$AG$30</f>
        <v>2104.921220014985</v>
      </c>
      <c r="Y87" s="683">
        <f t="shared" si="29"/>
        <v>-1626.3186172752066</v>
      </c>
      <c r="Z87" s="898"/>
      <c r="AK87" s="60">
        <f t="shared" si="6"/>
        <v>23656.75</v>
      </c>
      <c r="AL87" s="60">
        <f t="shared" si="7"/>
        <v>0</v>
      </c>
      <c r="AM87" s="60">
        <f t="shared" si="8"/>
        <v>0</v>
      </c>
    </row>
    <row r="88" spans="3:39" hidden="1">
      <c r="C88" s="1188"/>
      <c r="D88" s="607" t="s">
        <v>2692</v>
      </c>
      <c r="E88" s="607"/>
      <c r="F88" s="608">
        <v>7049.513468627033</v>
      </c>
      <c r="G88" s="846"/>
      <c r="H88" s="844"/>
      <c r="I88" s="844"/>
      <c r="J88" s="845"/>
      <c r="K88" s="846"/>
      <c r="L88" s="845"/>
      <c r="M88" s="841"/>
      <c r="N88" s="843"/>
      <c r="O88" s="842"/>
      <c r="P88" s="869">
        <f t="shared" si="28"/>
        <v>0</v>
      </c>
      <c r="Q88" s="609">
        <f t="shared" si="19"/>
        <v>0</v>
      </c>
      <c r="R88" s="721">
        <f t="shared" si="30"/>
        <v>1</v>
      </c>
      <c r="S88" s="738">
        <f>P88*$AB$31</f>
        <v>0</v>
      </c>
      <c r="T88" s="607">
        <f>P88*$AC$31</f>
        <v>0</v>
      </c>
      <c r="U88" s="607">
        <f>P88*$AD$31</f>
        <v>0</v>
      </c>
      <c r="V88" s="607">
        <f>P88*$AE$31</f>
        <v>0</v>
      </c>
      <c r="W88" s="607">
        <f>P88*$AF$31</f>
        <v>0</v>
      </c>
      <c r="X88" s="607">
        <f>P88*$AG$31</f>
        <v>0</v>
      </c>
      <c r="Y88" s="683">
        <f t="shared" si="29"/>
        <v>7049.513468627033</v>
      </c>
      <c r="Z88" s="898"/>
      <c r="AK88" s="60">
        <f t="shared" si="6"/>
        <v>0</v>
      </c>
      <c r="AL88" s="60">
        <f t="shared" si="7"/>
        <v>0</v>
      </c>
      <c r="AM88" s="60">
        <f t="shared" si="8"/>
        <v>0</v>
      </c>
    </row>
    <row r="89" spans="3:39" hidden="1">
      <c r="C89" s="1188"/>
      <c r="D89" s="607" t="s">
        <v>2332</v>
      </c>
      <c r="E89" s="607"/>
      <c r="F89" s="608">
        <v>6367.5952269109766</v>
      </c>
      <c r="G89" s="846"/>
      <c r="H89" s="844"/>
      <c r="I89" s="844"/>
      <c r="J89" s="845"/>
      <c r="K89" s="846"/>
      <c r="L89" s="845"/>
      <c r="M89" s="841"/>
      <c r="N89" s="843"/>
      <c r="O89" s="842"/>
      <c r="P89" s="869">
        <f t="shared" si="28"/>
        <v>0</v>
      </c>
      <c r="Q89" s="609">
        <f t="shared" ref="Q89:Q126" si="31">P89/F89</f>
        <v>0</v>
      </c>
      <c r="R89" s="721">
        <f t="shared" si="30"/>
        <v>1</v>
      </c>
      <c r="S89" s="738">
        <f>P89*$AB$32</f>
        <v>0</v>
      </c>
      <c r="T89" s="607">
        <f>P89*$AC$32</f>
        <v>0</v>
      </c>
      <c r="U89" s="607">
        <f>P89*$AD$32</f>
        <v>0</v>
      </c>
      <c r="V89" s="607">
        <f>P89*$AE$32</f>
        <v>0</v>
      </c>
      <c r="W89" s="607">
        <f>P89*$AF$32</f>
        <v>0</v>
      </c>
      <c r="X89" s="607">
        <f>P89*$AG$32</f>
        <v>0</v>
      </c>
      <c r="Y89" s="683">
        <f t="shared" si="29"/>
        <v>6367.5952269109766</v>
      </c>
      <c r="Z89" s="898"/>
      <c r="AK89" s="60">
        <f t="shared" si="6"/>
        <v>0</v>
      </c>
      <c r="AL89" s="60">
        <f t="shared" si="7"/>
        <v>0</v>
      </c>
      <c r="AM89" s="60">
        <f t="shared" si="8"/>
        <v>0</v>
      </c>
    </row>
    <row r="90" spans="3:39" hidden="1">
      <c r="C90" s="1188"/>
      <c r="D90" s="607" t="s">
        <v>2693</v>
      </c>
      <c r="E90" s="607"/>
      <c r="F90" s="608">
        <v>10575.420582273773</v>
      </c>
      <c r="G90" s="846"/>
      <c r="H90" s="844"/>
      <c r="I90" s="844"/>
      <c r="J90" s="845"/>
      <c r="K90" s="846"/>
      <c r="L90" s="845"/>
      <c r="M90" s="841"/>
      <c r="N90" s="843"/>
      <c r="O90" s="842"/>
      <c r="P90" s="869">
        <f t="shared" si="28"/>
        <v>0</v>
      </c>
      <c r="Q90" s="609">
        <f t="shared" si="31"/>
        <v>0</v>
      </c>
      <c r="R90" s="721">
        <f t="shared" si="30"/>
        <v>1</v>
      </c>
      <c r="S90" s="738">
        <f>P90*$AB$33</f>
        <v>0</v>
      </c>
      <c r="T90" s="607">
        <f>P90*$AC$33</f>
        <v>0</v>
      </c>
      <c r="U90" s="607">
        <f>P90*$AD$33</f>
        <v>0</v>
      </c>
      <c r="V90" s="607">
        <f>P90*$AE$33</f>
        <v>0</v>
      </c>
      <c r="W90" s="607">
        <f>P90*$AF$33</f>
        <v>0</v>
      </c>
      <c r="X90" s="607">
        <f>P90*$AG$33</f>
        <v>0</v>
      </c>
      <c r="Y90" s="683">
        <f t="shared" si="29"/>
        <v>10575.420582273773</v>
      </c>
      <c r="Z90" s="898"/>
      <c r="AK90" s="60">
        <f t="shared" ref="AK90:AK165" si="32">G90+H90+K90+M90</f>
        <v>0</v>
      </c>
      <c r="AL90" s="60">
        <f t="shared" ref="AL90:AL165" si="33">I90+J90+L90+N90+O90</f>
        <v>0</v>
      </c>
      <c r="AM90" s="60">
        <f t="shared" ref="AM90:AM165" si="34">(AK90+AL90)-P90</f>
        <v>0</v>
      </c>
    </row>
    <row r="91" spans="3:39" hidden="1">
      <c r="C91" s="1188"/>
      <c r="D91" s="607" t="s">
        <v>2694</v>
      </c>
      <c r="E91" s="607"/>
      <c r="F91" s="608">
        <v>0</v>
      </c>
      <c r="G91" s="846"/>
      <c r="H91" s="844"/>
      <c r="I91" s="844"/>
      <c r="J91" s="845"/>
      <c r="K91" s="846"/>
      <c r="L91" s="845"/>
      <c r="M91" s="841"/>
      <c r="N91" s="843"/>
      <c r="O91" s="842"/>
      <c r="P91" s="869">
        <f t="shared" si="28"/>
        <v>0</v>
      </c>
      <c r="Q91" s="609" t="e">
        <f t="shared" si="31"/>
        <v>#DIV/0!</v>
      </c>
      <c r="R91" s="721" t="e">
        <f t="shared" si="30"/>
        <v>#DIV/0!</v>
      </c>
      <c r="S91" s="738">
        <f>P91*$AB$34</f>
        <v>0</v>
      </c>
      <c r="T91" s="607">
        <f>P91*$AC$34</f>
        <v>0</v>
      </c>
      <c r="U91" s="607">
        <f>P91*$AD$34</f>
        <v>0</v>
      </c>
      <c r="V91" s="607">
        <f>P91*$AE$34</f>
        <v>0</v>
      </c>
      <c r="W91" s="607">
        <f>P91*$AF$34</f>
        <v>0</v>
      </c>
      <c r="X91" s="607">
        <f>P91*$AG$34</f>
        <v>0</v>
      </c>
      <c r="Y91" s="683">
        <f t="shared" si="29"/>
        <v>0</v>
      </c>
      <c r="Z91" s="898"/>
      <c r="AK91" s="60">
        <f t="shared" si="32"/>
        <v>0</v>
      </c>
      <c r="AL91" s="60">
        <f t="shared" si="33"/>
        <v>0</v>
      </c>
      <c r="AM91" s="60">
        <f t="shared" si="34"/>
        <v>0</v>
      </c>
    </row>
    <row r="92" spans="3:39" hidden="1">
      <c r="C92" s="1188"/>
      <c r="D92" s="607" t="s">
        <v>2695</v>
      </c>
      <c r="E92" s="607"/>
      <c r="F92" s="608">
        <v>0</v>
      </c>
      <c r="G92" s="846"/>
      <c r="H92" s="844"/>
      <c r="I92" s="844"/>
      <c r="J92" s="845"/>
      <c r="K92" s="846"/>
      <c r="L92" s="845"/>
      <c r="M92" s="841"/>
      <c r="N92" s="843"/>
      <c r="O92" s="842"/>
      <c r="P92" s="869">
        <f t="shared" si="28"/>
        <v>0</v>
      </c>
      <c r="Q92" s="609" t="e">
        <f t="shared" si="31"/>
        <v>#DIV/0!</v>
      </c>
      <c r="R92" s="721" t="e">
        <f t="shared" si="30"/>
        <v>#DIV/0!</v>
      </c>
      <c r="S92" s="738">
        <f>P92*$AB$35</f>
        <v>0</v>
      </c>
      <c r="T92" s="607">
        <f>P92*$AC$35</f>
        <v>0</v>
      </c>
      <c r="U92" s="607">
        <f>P92*$AD$35</f>
        <v>0</v>
      </c>
      <c r="V92" s="607">
        <f>P92*$AE$35</f>
        <v>0</v>
      </c>
      <c r="W92" s="607">
        <f>P92*$AF$35</f>
        <v>0</v>
      </c>
      <c r="X92" s="607">
        <f>P92*$AG$35</f>
        <v>0</v>
      </c>
      <c r="Y92" s="683">
        <f t="shared" si="29"/>
        <v>0</v>
      </c>
      <c r="Z92" s="898"/>
      <c r="AK92" s="60">
        <f t="shared" si="32"/>
        <v>0</v>
      </c>
      <c r="AL92" s="60">
        <f t="shared" si="33"/>
        <v>0</v>
      </c>
      <c r="AM92" s="60">
        <f t="shared" si="34"/>
        <v>0</v>
      </c>
    </row>
    <row r="93" spans="3:39" hidden="1">
      <c r="C93" s="1188"/>
      <c r="D93" s="607" t="s">
        <v>304</v>
      </c>
      <c r="E93" s="607"/>
      <c r="F93" s="608">
        <v>119002.4686490505</v>
      </c>
      <c r="G93" s="846">
        <v>112849.72</v>
      </c>
      <c r="H93" s="890"/>
      <c r="I93" s="844">
        <v>27997.18</v>
      </c>
      <c r="J93" s="845"/>
      <c r="K93" s="846"/>
      <c r="L93" s="845"/>
      <c r="M93" s="841"/>
      <c r="N93" s="843"/>
      <c r="O93" s="842"/>
      <c r="P93" s="869">
        <f t="shared" si="28"/>
        <v>140846.9</v>
      </c>
      <c r="Q93" s="609">
        <f t="shared" si="31"/>
        <v>1.1835628420059989</v>
      </c>
      <c r="R93" s="721">
        <f t="shared" si="30"/>
        <v>-0.18356284200599893</v>
      </c>
      <c r="S93" s="738">
        <f>P93*$AB$36</f>
        <v>66754.555655310498</v>
      </c>
      <c r="T93" s="607">
        <f>P93*$AC$36</f>
        <v>74092.344344689496</v>
      </c>
      <c r="U93" s="607">
        <f>P93*$AD$36</f>
        <v>51701.068494387517</v>
      </c>
      <c r="V93" s="607">
        <f>P93*$AE$36</f>
        <v>76757.009565815271</v>
      </c>
      <c r="W93" s="607">
        <f>P93*$AF$36</f>
        <v>12388.821939797232</v>
      </c>
      <c r="X93" s="607">
        <f>P93*$AG$36</f>
        <v>24430.991658188279</v>
      </c>
      <c r="Y93" s="683">
        <f t="shared" si="29"/>
        <v>-21844.431350949497</v>
      </c>
      <c r="Z93" s="898"/>
      <c r="AK93" s="60">
        <f t="shared" si="32"/>
        <v>112849.72</v>
      </c>
      <c r="AL93" s="60">
        <f t="shared" si="33"/>
        <v>27997.18</v>
      </c>
      <c r="AM93" s="60">
        <f t="shared" si="34"/>
        <v>0</v>
      </c>
    </row>
    <row r="94" spans="3:39" hidden="1">
      <c r="C94" s="1188"/>
      <c r="D94" s="607" t="s">
        <v>2696</v>
      </c>
      <c r="E94" s="607"/>
      <c r="F94" s="608">
        <v>31591.949800117298</v>
      </c>
      <c r="G94" s="846"/>
      <c r="H94" s="844"/>
      <c r="I94" s="844"/>
      <c r="J94" s="845"/>
      <c r="K94" s="846"/>
      <c r="L94" s="845"/>
      <c r="M94" s="841"/>
      <c r="N94" s="843"/>
      <c r="O94" s="842"/>
      <c r="P94" s="869">
        <f t="shared" si="28"/>
        <v>0</v>
      </c>
      <c r="Q94" s="609">
        <f t="shared" si="31"/>
        <v>0</v>
      </c>
      <c r="R94" s="721">
        <f t="shared" si="30"/>
        <v>1</v>
      </c>
      <c r="S94" s="738">
        <f>P94*$AB$37</f>
        <v>0</v>
      </c>
      <c r="T94" s="607">
        <f>P94*$AC$37</f>
        <v>0</v>
      </c>
      <c r="U94" s="607">
        <f>P94*$AD$37</f>
        <v>0</v>
      </c>
      <c r="V94" s="607">
        <f>P94*$AE$37</f>
        <v>0</v>
      </c>
      <c r="W94" s="607">
        <f>P94*$AF$37</f>
        <v>0</v>
      </c>
      <c r="X94" s="607">
        <f>P94*$AG$37</f>
        <v>0</v>
      </c>
      <c r="Y94" s="683">
        <f t="shared" si="29"/>
        <v>31591.949800117298</v>
      </c>
      <c r="Z94" s="898"/>
      <c r="AK94" s="60">
        <f t="shared" si="32"/>
        <v>0</v>
      </c>
      <c r="AL94" s="60">
        <f t="shared" si="33"/>
        <v>0</v>
      </c>
      <c r="AM94" s="60">
        <f t="shared" si="34"/>
        <v>0</v>
      </c>
    </row>
    <row r="95" spans="3:39" hidden="1">
      <c r="C95" s="1188"/>
      <c r="D95" s="607" t="s">
        <v>2697</v>
      </c>
      <c r="E95" s="607"/>
      <c r="F95" s="608">
        <v>0</v>
      </c>
      <c r="G95" s="846"/>
      <c r="H95" s="844"/>
      <c r="I95" s="844"/>
      <c r="J95" s="845"/>
      <c r="K95" s="846"/>
      <c r="L95" s="845"/>
      <c r="M95" s="841"/>
      <c r="N95" s="843"/>
      <c r="O95" s="842"/>
      <c r="P95" s="869">
        <f t="shared" si="28"/>
        <v>0</v>
      </c>
      <c r="Q95" s="609" t="e">
        <f t="shared" si="31"/>
        <v>#DIV/0!</v>
      </c>
      <c r="R95" s="721" t="e">
        <f t="shared" si="30"/>
        <v>#DIV/0!</v>
      </c>
      <c r="S95" s="738">
        <f>P95*$AB$38</f>
        <v>0</v>
      </c>
      <c r="T95" s="607">
        <f>P95*$AC$38</f>
        <v>0</v>
      </c>
      <c r="U95" s="607">
        <f>P95*$AD$38</f>
        <v>0</v>
      </c>
      <c r="V95" s="607">
        <f>P95*$AE$38</f>
        <v>0</v>
      </c>
      <c r="W95" s="607">
        <f>P95*$AF$38</f>
        <v>0</v>
      </c>
      <c r="X95" s="607">
        <f>P95*$AG$38</f>
        <v>0</v>
      </c>
      <c r="Y95" s="683">
        <f t="shared" si="29"/>
        <v>0</v>
      </c>
      <c r="Z95" s="898"/>
      <c r="AK95" s="60">
        <f t="shared" si="32"/>
        <v>0</v>
      </c>
      <c r="AL95" s="60">
        <f t="shared" si="33"/>
        <v>0</v>
      </c>
      <c r="AM95" s="60">
        <f t="shared" si="34"/>
        <v>0</v>
      </c>
    </row>
    <row r="96" spans="3:39" hidden="1">
      <c r="C96" s="1188"/>
      <c r="D96" s="607" t="s">
        <v>515</v>
      </c>
      <c r="E96" s="607"/>
      <c r="F96" s="608">
        <v>5426.6278725171751</v>
      </c>
      <c r="G96" s="846">
        <f>F3</f>
        <v>0</v>
      </c>
      <c r="H96" s="844"/>
      <c r="I96" s="844"/>
      <c r="J96" s="845"/>
      <c r="K96" s="846"/>
      <c r="L96" s="845"/>
      <c r="M96" s="846"/>
      <c r="N96" s="844"/>
      <c r="O96" s="845"/>
      <c r="P96" s="869">
        <f t="shared" si="28"/>
        <v>0</v>
      </c>
      <c r="Q96" s="609">
        <f t="shared" si="31"/>
        <v>0</v>
      </c>
      <c r="R96" s="721">
        <f t="shared" ref="R96:R118" si="35">1-Q96</f>
        <v>1</v>
      </c>
      <c r="S96" s="738">
        <f>P96*$AB$39</f>
        <v>0</v>
      </c>
      <c r="T96" s="607">
        <f>P96*$AC$39</f>
        <v>0</v>
      </c>
      <c r="U96" s="607">
        <f>P96*$AD$39</f>
        <v>0</v>
      </c>
      <c r="V96" s="607">
        <f>P96*$AE$39</f>
        <v>0</v>
      </c>
      <c r="W96" s="607">
        <f>P96*$AF$39</f>
        <v>0</v>
      </c>
      <c r="X96" s="607">
        <f>P96*$AG$39</f>
        <v>0</v>
      </c>
      <c r="Y96" s="683">
        <f t="shared" si="29"/>
        <v>5426.6278725171751</v>
      </c>
      <c r="Z96" s="898"/>
      <c r="AK96" s="60">
        <f t="shared" si="32"/>
        <v>0</v>
      </c>
      <c r="AL96" s="60">
        <f t="shared" si="33"/>
        <v>0</v>
      </c>
      <c r="AM96" s="60">
        <f t="shared" si="34"/>
        <v>0</v>
      </c>
    </row>
    <row r="97" spans="3:39" hidden="1">
      <c r="C97" s="1188"/>
      <c r="D97" s="607" t="s">
        <v>2638</v>
      </c>
      <c r="E97" s="607"/>
      <c r="F97" s="608">
        <v>8527.9650678466642</v>
      </c>
      <c r="G97" s="846"/>
      <c r="H97" s="844"/>
      <c r="I97" s="844"/>
      <c r="J97" s="845"/>
      <c r="K97" s="846"/>
      <c r="L97" s="845"/>
      <c r="M97" s="846"/>
      <c r="N97" s="844"/>
      <c r="O97" s="845"/>
      <c r="P97" s="869">
        <f t="shared" si="28"/>
        <v>0</v>
      </c>
      <c r="Q97" s="609">
        <f t="shared" si="31"/>
        <v>0</v>
      </c>
      <c r="R97" s="721">
        <f t="shared" si="35"/>
        <v>1</v>
      </c>
      <c r="S97" s="738">
        <f>P97*$AB$40</f>
        <v>0</v>
      </c>
      <c r="T97" s="607">
        <f>P97*$AC$40</f>
        <v>0</v>
      </c>
      <c r="U97" s="607">
        <f>P97*$AD$40</f>
        <v>0</v>
      </c>
      <c r="V97" s="607">
        <f>P97*$AE$40</f>
        <v>0</v>
      </c>
      <c r="W97" s="607">
        <f>P97*$AF$40</f>
        <v>0</v>
      </c>
      <c r="X97" s="607">
        <f>P97*$AG$40</f>
        <v>0</v>
      </c>
      <c r="Y97" s="683">
        <f t="shared" si="29"/>
        <v>8527.9650678466642</v>
      </c>
      <c r="Z97" s="898"/>
      <c r="AK97" s="60">
        <f t="shared" si="32"/>
        <v>0</v>
      </c>
      <c r="AL97" s="60">
        <f t="shared" si="33"/>
        <v>0</v>
      </c>
      <c r="AM97" s="60">
        <f t="shared" si="34"/>
        <v>0</v>
      </c>
    </row>
    <row r="98" spans="3:39" hidden="1">
      <c r="C98" s="1188"/>
      <c r="D98" s="607" t="s">
        <v>2698</v>
      </c>
      <c r="E98" s="607"/>
      <c r="F98" s="608">
        <v>2473.9706136423424</v>
      </c>
      <c r="G98" s="846"/>
      <c r="H98" s="844"/>
      <c r="I98" s="844"/>
      <c r="J98" s="845"/>
      <c r="K98" s="846"/>
      <c r="L98" s="845"/>
      <c r="M98" s="846"/>
      <c r="N98" s="844"/>
      <c r="O98" s="845"/>
      <c r="P98" s="869">
        <f t="shared" si="28"/>
        <v>0</v>
      </c>
      <c r="Q98" s="609">
        <f t="shared" si="31"/>
        <v>0</v>
      </c>
      <c r="R98" s="721">
        <f t="shared" si="35"/>
        <v>1</v>
      </c>
      <c r="S98" s="738">
        <f>P98*$AB$41</f>
        <v>0</v>
      </c>
      <c r="T98" s="607">
        <f>P98*$AC$41</f>
        <v>0</v>
      </c>
      <c r="U98" s="607">
        <f>P98*$AD$41</f>
        <v>0</v>
      </c>
      <c r="V98" s="607">
        <f>P98*$AE$41</f>
        <v>0</v>
      </c>
      <c r="W98" s="607">
        <f>P98*$AF$41</f>
        <v>0</v>
      </c>
      <c r="X98" s="607">
        <f>P98*$AG$41</f>
        <v>0</v>
      </c>
      <c r="Y98" s="683">
        <f t="shared" si="29"/>
        <v>2473.9706136423424</v>
      </c>
      <c r="Z98" s="898"/>
      <c r="AK98" s="60">
        <f t="shared" si="32"/>
        <v>0</v>
      </c>
      <c r="AL98" s="60">
        <f t="shared" si="33"/>
        <v>0</v>
      </c>
      <c r="AM98" s="60">
        <f t="shared" si="34"/>
        <v>0</v>
      </c>
    </row>
    <row r="99" spans="3:39" hidden="1">
      <c r="C99" s="1188"/>
      <c r="D99" s="607" t="s">
        <v>2699</v>
      </c>
      <c r="E99" s="607"/>
      <c r="F99" s="608">
        <v>458.77887160193654</v>
      </c>
      <c r="G99" s="846"/>
      <c r="H99" s="844"/>
      <c r="I99" s="844"/>
      <c r="J99" s="845"/>
      <c r="K99" s="846"/>
      <c r="L99" s="845"/>
      <c r="M99" s="846"/>
      <c r="N99" s="844"/>
      <c r="O99" s="845"/>
      <c r="P99" s="869">
        <f t="shared" si="28"/>
        <v>0</v>
      </c>
      <c r="Q99" s="609">
        <f t="shared" si="31"/>
        <v>0</v>
      </c>
      <c r="R99" s="721">
        <f t="shared" si="35"/>
        <v>1</v>
      </c>
      <c r="S99" s="738">
        <f>P99*$AB$42</f>
        <v>0</v>
      </c>
      <c r="T99" s="607">
        <f>P99*$AC$42</f>
        <v>0</v>
      </c>
      <c r="U99" s="607">
        <f>P99*$AD$42</f>
        <v>0</v>
      </c>
      <c r="V99" s="607">
        <f>P99*$AE$42</f>
        <v>0</v>
      </c>
      <c r="W99" s="607">
        <f>P99*$AF$42</f>
        <v>0</v>
      </c>
      <c r="X99" s="607">
        <f>P99*$AG$42</f>
        <v>0</v>
      </c>
      <c r="Y99" s="683">
        <f t="shared" si="29"/>
        <v>458.77887160193654</v>
      </c>
      <c r="Z99" s="898"/>
      <c r="AK99" s="60">
        <f t="shared" si="32"/>
        <v>0</v>
      </c>
      <c r="AL99" s="60">
        <f t="shared" si="33"/>
        <v>0</v>
      </c>
      <c r="AM99" s="60">
        <f t="shared" si="34"/>
        <v>0</v>
      </c>
    </row>
    <row r="100" spans="3:39" s="580" customFormat="1" hidden="1">
      <c r="C100" s="1189"/>
      <c r="D100" s="603" t="s">
        <v>1483</v>
      </c>
      <c r="E100" s="603">
        <f>SUM(E82:E99)</f>
        <v>0</v>
      </c>
      <c r="F100" s="621">
        <f t="shared" ref="F100:O100" si="36">SUM(F82:F99)</f>
        <v>228563.42788330655</v>
      </c>
      <c r="G100" s="847">
        <f>SUM(G82:G99)</f>
        <v>136506.47</v>
      </c>
      <c r="H100" s="848">
        <f t="shared" si="36"/>
        <v>0</v>
      </c>
      <c r="I100" s="848">
        <f t="shared" si="36"/>
        <v>27997.18</v>
      </c>
      <c r="J100" s="849">
        <f t="shared" si="36"/>
        <v>0</v>
      </c>
      <c r="K100" s="847">
        <f t="shared" si="36"/>
        <v>0</v>
      </c>
      <c r="L100" s="849">
        <f t="shared" si="36"/>
        <v>0</v>
      </c>
      <c r="M100" s="847"/>
      <c r="N100" s="848">
        <f t="shared" si="36"/>
        <v>0</v>
      </c>
      <c r="O100" s="849">
        <f t="shared" si="36"/>
        <v>0</v>
      </c>
      <c r="P100" s="870">
        <f>SUM(P82:P99)</f>
        <v>164503.65</v>
      </c>
      <c r="Q100" s="604">
        <f t="shared" si="31"/>
        <v>0.7197286614199172</v>
      </c>
      <c r="R100" s="722">
        <f t="shared" si="35"/>
        <v>0.2802713385800828</v>
      </c>
      <c r="S100" s="739">
        <f t="shared" ref="S100:Y100" si="37">SUM(S82:S99)</f>
        <v>78815.877022095869</v>
      </c>
      <c r="T100" s="605">
        <f t="shared" si="37"/>
        <v>85687.772977904126</v>
      </c>
      <c r="U100" s="605">
        <f t="shared" si="37"/>
        <v>60219.805934742362</v>
      </c>
      <c r="V100" s="605">
        <f t="shared" si="37"/>
        <v>90593.990946849721</v>
      </c>
      <c r="W100" s="605">
        <f t="shared" si="37"/>
        <v>13689.853118407944</v>
      </c>
      <c r="X100" s="605">
        <f t="shared" si="37"/>
        <v>26535.912878203264</v>
      </c>
      <c r="Y100" s="740">
        <f t="shared" si="37"/>
        <v>64059.777883306539</v>
      </c>
      <c r="AK100" s="60">
        <f t="shared" si="32"/>
        <v>136506.47</v>
      </c>
      <c r="AL100" s="60">
        <f t="shared" si="33"/>
        <v>27997.18</v>
      </c>
      <c r="AM100" s="60">
        <f t="shared" si="34"/>
        <v>0</v>
      </c>
    </row>
    <row r="101" spans="3:39" hidden="1">
      <c r="C101" s="1183" t="s">
        <v>2969</v>
      </c>
      <c r="D101" s="606" t="s">
        <v>2688</v>
      </c>
      <c r="E101" s="567">
        <v>7776.7758588810366</v>
      </c>
      <c r="F101" s="568">
        <v>1765.204</v>
      </c>
      <c r="G101" s="850"/>
      <c r="H101" s="852"/>
      <c r="I101" s="852"/>
      <c r="J101" s="851"/>
      <c r="K101" s="850"/>
      <c r="L101" s="851"/>
      <c r="M101" s="850"/>
      <c r="N101" s="852"/>
      <c r="O101" s="851"/>
      <c r="P101" s="869">
        <f t="shared" ref="P101:P118" si="38">SUM(G101:O101)</f>
        <v>0</v>
      </c>
      <c r="Q101" s="569">
        <f t="shared" si="31"/>
        <v>0</v>
      </c>
      <c r="R101" s="723">
        <f t="shared" si="35"/>
        <v>1</v>
      </c>
      <c r="S101" s="897">
        <f>P101*$AB$25</f>
        <v>0</v>
      </c>
      <c r="T101" s="567">
        <f>P101*$AC$25</f>
        <v>0</v>
      </c>
      <c r="U101" s="567">
        <f>P101*$AD$25</f>
        <v>0</v>
      </c>
      <c r="V101" s="567">
        <f>P101*$AE$25</f>
        <v>0</v>
      </c>
      <c r="W101" s="567">
        <f>P101*$AF$25</f>
        <v>0</v>
      </c>
      <c r="X101" s="567">
        <f>P101*$AG$25</f>
        <v>0</v>
      </c>
      <c r="Y101" s="741">
        <f t="shared" ref="Y101:Y111" si="39">F101-P101</f>
        <v>1765.204</v>
      </c>
      <c r="AK101" s="60">
        <f t="shared" si="32"/>
        <v>0</v>
      </c>
      <c r="AL101" s="60">
        <f t="shared" si="33"/>
        <v>0</v>
      </c>
      <c r="AM101" s="60">
        <f t="shared" si="34"/>
        <v>0</v>
      </c>
    </row>
    <row r="102" spans="3:39" hidden="1">
      <c r="C102" s="1183"/>
      <c r="D102" s="606" t="s">
        <v>2689</v>
      </c>
      <c r="E102" s="567">
        <v>481.72726491750859</v>
      </c>
      <c r="F102" s="568">
        <v>0</v>
      </c>
      <c r="G102" s="850"/>
      <c r="H102" s="852"/>
      <c r="I102" s="852"/>
      <c r="J102" s="851"/>
      <c r="K102" s="850"/>
      <c r="L102" s="851"/>
      <c r="M102" s="850"/>
      <c r="N102" s="852"/>
      <c r="O102" s="851"/>
      <c r="P102" s="869">
        <f t="shared" si="38"/>
        <v>0</v>
      </c>
      <c r="Q102" s="569" t="e">
        <f t="shared" si="31"/>
        <v>#DIV/0!</v>
      </c>
      <c r="R102" s="723" t="e">
        <f t="shared" si="35"/>
        <v>#DIV/0!</v>
      </c>
      <c r="S102" s="897">
        <f>P102*$AB$26</f>
        <v>0</v>
      </c>
      <c r="T102" s="567">
        <f>P102*$AC$26</f>
        <v>0</v>
      </c>
      <c r="U102" s="567">
        <f>P102*$AD$26</f>
        <v>0</v>
      </c>
      <c r="V102" s="567">
        <f>P102*$AE$26</f>
        <v>0</v>
      </c>
      <c r="W102" s="567">
        <f>P102*$AF$26</f>
        <v>0</v>
      </c>
      <c r="X102" s="567">
        <f>P102*$AG$26</f>
        <v>0</v>
      </c>
      <c r="Y102" s="741">
        <f t="shared" si="39"/>
        <v>0</v>
      </c>
      <c r="AK102" s="60">
        <f t="shared" si="32"/>
        <v>0</v>
      </c>
      <c r="AL102" s="60">
        <f t="shared" si="33"/>
        <v>0</v>
      </c>
      <c r="AM102" s="60">
        <f t="shared" si="34"/>
        <v>0</v>
      </c>
    </row>
    <row r="103" spans="3:39" hidden="1">
      <c r="C103" s="1183"/>
      <c r="D103" s="606" t="s">
        <v>2690</v>
      </c>
      <c r="E103" s="567">
        <v>11938.306158671729</v>
      </c>
      <c r="F103" s="568">
        <v>2323.5360000000001</v>
      </c>
      <c r="G103" s="850"/>
      <c r="H103" s="852"/>
      <c r="I103" s="852"/>
      <c r="J103" s="851"/>
      <c r="K103" s="850"/>
      <c r="L103" s="851"/>
      <c r="M103" s="850"/>
      <c r="N103" s="852"/>
      <c r="O103" s="851"/>
      <c r="P103" s="869">
        <f t="shared" si="38"/>
        <v>0</v>
      </c>
      <c r="Q103" s="569">
        <f t="shared" si="31"/>
        <v>0</v>
      </c>
      <c r="R103" s="723">
        <f t="shared" si="35"/>
        <v>1</v>
      </c>
      <c r="S103" s="897">
        <f>P103*$AB$27</f>
        <v>0</v>
      </c>
      <c r="T103" s="567">
        <f>P103*$AC$27</f>
        <v>0</v>
      </c>
      <c r="U103" s="567">
        <f>P103*$AD$27</f>
        <v>0</v>
      </c>
      <c r="V103" s="567">
        <f>P103*$AE$27</f>
        <v>0</v>
      </c>
      <c r="W103" s="567">
        <f>P103*$AF$27</f>
        <v>0</v>
      </c>
      <c r="X103" s="567">
        <f>P103*$AG$27</f>
        <v>0</v>
      </c>
      <c r="Y103" s="741">
        <f t="shared" si="39"/>
        <v>2323.5360000000001</v>
      </c>
      <c r="AK103" s="60">
        <f t="shared" si="32"/>
        <v>0</v>
      </c>
      <c r="AL103" s="60">
        <f t="shared" si="33"/>
        <v>0</v>
      </c>
      <c r="AM103" s="60">
        <f t="shared" si="34"/>
        <v>0</v>
      </c>
    </row>
    <row r="104" spans="3:39" hidden="1">
      <c r="C104" s="1183"/>
      <c r="D104" s="606" t="s">
        <v>2691</v>
      </c>
      <c r="E104" s="567">
        <v>0</v>
      </c>
      <c r="F104" s="568">
        <v>0</v>
      </c>
      <c r="G104" s="850"/>
      <c r="H104" s="852"/>
      <c r="I104" s="852"/>
      <c r="J104" s="851"/>
      <c r="K104" s="850"/>
      <c r="L104" s="851"/>
      <c r="M104" s="850"/>
      <c r="N104" s="852"/>
      <c r="O104" s="851"/>
      <c r="P104" s="869">
        <f t="shared" si="38"/>
        <v>0</v>
      </c>
      <c r="Q104" s="569" t="e">
        <f t="shared" si="31"/>
        <v>#DIV/0!</v>
      </c>
      <c r="R104" s="723" t="e">
        <f t="shared" si="35"/>
        <v>#DIV/0!</v>
      </c>
      <c r="S104" s="897">
        <f>P104*$AB$28</f>
        <v>0</v>
      </c>
      <c r="T104" s="567">
        <f>P104*$AC$28</f>
        <v>0</v>
      </c>
      <c r="U104" s="567">
        <f>P104*$AD$28</f>
        <v>0</v>
      </c>
      <c r="V104" s="567">
        <f>P104*$AE$28</f>
        <v>0</v>
      </c>
      <c r="W104" s="567">
        <f>P104*$AF$28</f>
        <v>0</v>
      </c>
      <c r="X104" s="567">
        <f>P104*$AG$28</f>
        <v>0</v>
      </c>
      <c r="Y104" s="741">
        <f t="shared" si="39"/>
        <v>0</v>
      </c>
      <c r="AK104" s="60">
        <f t="shared" si="32"/>
        <v>0</v>
      </c>
      <c r="AL104" s="60">
        <f t="shared" si="33"/>
        <v>0</v>
      </c>
      <c r="AM104" s="60">
        <f t="shared" si="34"/>
        <v>0</v>
      </c>
    </row>
    <row r="105" spans="3:39" hidden="1">
      <c r="C105" s="1183"/>
      <c r="D105" s="606" t="s">
        <v>610</v>
      </c>
      <c r="E105" s="567">
        <v>9376.4883587355434</v>
      </c>
      <c r="F105" s="568">
        <v>6379.92</v>
      </c>
      <c r="G105" s="850"/>
      <c r="H105" s="852"/>
      <c r="I105" s="852"/>
      <c r="J105" s="851"/>
      <c r="K105" s="850"/>
      <c r="L105" s="851"/>
      <c r="M105" s="850"/>
      <c r="N105" s="852"/>
      <c r="O105" s="851"/>
      <c r="P105" s="869">
        <f t="shared" si="38"/>
        <v>0</v>
      </c>
      <c r="Q105" s="569">
        <f t="shared" si="31"/>
        <v>0</v>
      </c>
      <c r="R105" s="723">
        <f t="shared" si="35"/>
        <v>1</v>
      </c>
      <c r="S105" s="897">
        <f>P105*$AB$29</f>
        <v>0</v>
      </c>
      <c r="T105" s="567">
        <f>P105*$AC$29</f>
        <v>0</v>
      </c>
      <c r="U105" s="567">
        <f>P105*$AD$29</f>
        <v>0</v>
      </c>
      <c r="V105" s="567">
        <f>P105*$AE$29</f>
        <v>0</v>
      </c>
      <c r="W105" s="567">
        <f>P105*$AF$29</f>
        <v>0</v>
      </c>
      <c r="X105" s="567">
        <f>P105*$AG$29</f>
        <v>0</v>
      </c>
      <c r="Y105" s="741">
        <f t="shared" si="39"/>
        <v>6379.92</v>
      </c>
      <c r="AK105" s="60">
        <f t="shared" si="32"/>
        <v>0</v>
      </c>
      <c r="AL105" s="60">
        <f t="shared" si="33"/>
        <v>0</v>
      </c>
      <c r="AM105" s="60">
        <f t="shared" si="34"/>
        <v>0</v>
      </c>
    </row>
    <row r="106" spans="3:39">
      <c r="C106" s="1183"/>
      <c r="D106" s="606" t="s">
        <v>37</v>
      </c>
      <c r="E106" s="567">
        <v>16185.979358147128</v>
      </c>
      <c r="F106" s="568">
        <v>10643.36</v>
      </c>
      <c r="G106" s="850">
        <f>G2</f>
        <v>18463</v>
      </c>
      <c r="H106" s="852"/>
      <c r="I106" s="852"/>
      <c r="J106" s="851"/>
      <c r="K106" s="850"/>
      <c r="L106" s="851"/>
      <c r="M106" s="850"/>
      <c r="N106" s="852"/>
      <c r="O106" s="851"/>
      <c r="P106" s="869">
        <f t="shared" si="38"/>
        <v>18463</v>
      </c>
      <c r="Q106" s="569">
        <f t="shared" si="31"/>
        <v>1.7346965619879435</v>
      </c>
      <c r="R106" s="723">
        <f t="shared" si="35"/>
        <v>-0.73469656198794353</v>
      </c>
      <c r="S106" s="897">
        <f>P106*$AB$30</f>
        <v>9413.3038728886404</v>
      </c>
      <c r="T106" s="567">
        <f>P106*$AC$30</f>
        <v>9049.6961271113596</v>
      </c>
      <c r="U106" s="567">
        <f>P106*$AD$30</f>
        <v>6648.4808505509636</v>
      </c>
      <c r="V106" s="567">
        <f>P106*$AE$30</f>
        <v>10799.124446005428</v>
      </c>
      <c r="W106" s="567">
        <f>P106*$AF$30</f>
        <v>1015.3947034436078</v>
      </c>
      <c r="X106" s="567">
        <f>P106*$AG$30</f>
        <v>1642.7937263206766</v>
      </c>
      <c r="Y106" s="741">
        <f t="shared" si="39"/>
        <v>-7819.6399999999994</v>
      </c>
      <c r="AK106" s="60">
        <f t="shared" si="32"/>
        <v>18463</v>
      </c>
      <c r="AL106" s="60">
        <f t="shared" si="33"/>
        <v>0</v>
      </c>
      <c r="AM106" s="60">
        <f t="shared" si="34"/>
        <v>0</v>
      </c>
    </row>
    <row r="107" spans="3:39" hidden="1">
      <c r="C107" s="1183"/>
      <c r="D107" s="606" t="s">
        <v>2692</v>
      </c>
      <c r="E107" s="567">
        <v>14502.379280389234</v>
      </c>
      <c r="F107" s="568">
        <v>4984.6679999999997</v>
      </c>
      <c r="G107" s="850"/>
      <c r="H107" s="852"/>
      <c r="I107" s="852"/>
      <c r="J107" s="851"/>
      <c r="K107" s="850"/>
      <c r="L107" s="851"/>
      <c r="M107" s="850"/>
      <c r="N107" s="852"/>
      <c r="O107" s="851"/>
      <c r="P107" s="869">
        <f t="shared" si="38"/>
        <v>0</v>
      </c>
      <c r="Q107" s="569">
        <f t="shared" si="31"/>
        <v>0</v>
      </c>
      <c r="R107" s="723">
        <f t="shared" si="35"/>
        <v>1</v>
      </c>
      <c r="S107" s="897">
        <f>P107*$AB$31</f>
        <v>0</v>
      </c>
      <c r="T107" s="567">
        <f>P107*$AC$31</f>
        <v>0</v>
      </c>
      <c r="U107" s="567">
        <f>P107*$AD$31</f>
        <v>0</v>
      </c>
      <c r="V107" s="567">
        <f>P107*$AE$31</f>
        <v>0</v>
      </c>
      <c r="W107" s="567">
        <f>P107*$AF$31</f>
        <v>0</v>
      </c>
      <c r="X107" s="567">
        <f>P107*$AG$31</f>
        <v>0</v>
      </c>
      <c r="Y107" s="741">
        <f t="shared" si="39"/>
        <v>4984.6679999999997</v>
      </c>
      <c r="AK107" s="60">
        <f t="shared" si="32"/>
        <v>0</v>
      </c>
      <c r="AL107" s="60">
        <f t="shared" si="33"/>
        <v>0</v>
      </c>
      <c r="AM107" s="60">
        <f t="shared" si="34"/>
        <v>0</v>
      </c>
    </row>
    <row r="108" spans="3:39" hidden="1">
      <c r="C108" s="1183"/>
      <c r="D108" s="606" t="s">
        <v>2332</v>
      </c>
      <c r="E108" s="567">
        <v>20573.246588376831</v>
      </c>
      <c r="F108" s="568">
        <v>4114.2719999999999</v>
      </c>
      <c r="G108" s="850"/>
      <c r="H108" s="852"/>
      <c r="I108" s="852"/>
      <c r="J108" s="851"/>
      <c r="K108" s="850"/>
      <c r="L108" s="851"/>
      <c r="M108" s="850"/>
      <c r="N108" s="852"/>
      <c r="O108" s="851"/>
      <c r="P108" s="869">
        <f t="shared" si="38"/>
        <v>0</v>
      </c>
      <c r="Q108" s="569">
        <f t="shared" si="31"/>
        <v>0</v>
      </c>
      <c r="R108" s="723">
        <f t="shared" si="35"/>
        <v>1</v>
      </c>
      <c r="S108" s="897">
        <f>P108*$AB$32</f>
        <v>0</v>
      </c>
      <c r="T108" s="567">
        <f>P108*$AC$32</f>
        <v>0</v>
      </c>
      <c r="U108" s="567">
        <f>P108*$AD$32</f>
        <v>0</v>
      </c>
      <c r="V108" s="567">
        <f>P108*$AE$32</f>
        <v>0</v>
      </c>
      <c r="W108" s="567">
        <f>P108*$AF$32</f>
        <v>0</v>
      </c>
      <c r="X108" s="567">
        <f>P108*$AG$32</f>
        <v>0</v>
      </c>
      <c r="Y108" s="741">
        <f t="shared" si="39"/>
        <v>4114.2719999999999</v>
      </c>
      <c r="AK108" s="60">
        <f t="shared" si="32"/>
        <v>0</v>
      </c>
      <c r="AL108" s="60">
        <f t="shared" si="33"/>
        <v>0</v>
      </c>
      <c r="AM108" s="60">
        <f t="shared" si="34"/>
        <v>0</v>
      </c>
    </row>
    <row r="109" spans="3:39" hidden="1">
      <c r="C109" s="1183"/>
      <c r="D109" s="606" t="s">
        <v>2693</v>
      </c>
      <c r="E109" s="567">
        <v>27221.884075916409</v>
      </c>
      <c r="F109" s="568">
        <v>7132.3520000000008</v>
      </c>
      <c r="G109" s="850"/>
      <c r="H109" s="852"/>
      <c r="I109" s="852"/>
      <c r="J109" s="851"/>
      <c r="K109" s="850"/>
      <c r="L109" s="851"/>
      <c r="M109" s="850"/>
      <c r="N109" s="852"/>
      <c r="O109" s="851"/>
      <c r="P109" s="869">
        <f t="shared" si="38"/>
        <v>0</v>
      </c>
      <c r="Q109" s="569">
        <f t="shared" si="31"/>
        <v>0</v>
      </c>
      <c r="R109" s="723">
        <f t="shared" si="35"/>
        <v>1</v>
      </c>
      <c r="S109" s="897">
        <f>P109*$AB$33</f>
        <v>0</v>
      </c>
      <c r="T109" s="567">
        <f>P109*$AC$33</f>
        <v>0</v>
      </c>
      <c r="U109" s="567">
        <f>P109*$AD$33</f>
        <v>0</v>
      </c>
      <c r="V109" s="567">
        <f>P109*$AE$33</f>
        <v>0</v>
      </c>
      <c r="W109" s="567">
        <f>P109*$AF$33</f>
        <v>0</v>
      </c>
      <c r="X109" s="567">
        <f>P109*$AG$33</f>
        <v>0</v>
      </c>
      <c r="Y109" s="741">
        <f t="shared" si="39"/>
        <v>7132.3520000000008</v>
      </c>
      <c r="AK109" s="60">
        <f t="shared" si="32"/>
        <v>0</v>
      </c>
      <c r="AL109" s="60">
        <f t="shared" si="33"/>
        <v>0</v>
      </c>
      <c r="AM109" s="60">
        <f t="shared" si="34"/>
        <v>0</v>
      </c>
    </row>
    <row r="110" spans="3:39" hidden="1">
      <c r="C110" s="1183"/>
      <c r="D110" s="606" t="s">
        <v>2694</v>
      </c>
      <c r="E110" s="567">
        <v>1563.966673034844</v>
      </c>
      <c r="F110" s="568">
        <v>0</v>
      </c>
      <c r="G110" s="850"/>
      <c r="H110" s="852"/>
      <c r="I110" s="852"/>
      <c r="J110" s="851"/>
      <c r="K110" s="850"/>
      <c r="L110" s="851"/>
      <c r="M110" s="850"/>
      <c r="N110" s="852"/>
      <c r="O110" s="851"/>
      <c r="P110" s="869">
        <f t="shared" si="38"/>
        <v>0</v>
      </c>
      <c r="Q110" s="569" t="e">
        <f t="shared" si="31"/>
        <v>#DIV/0!</v>
      </c>
      <c r="R110" s="723" t="e">
        <f t="shared" si="35"/>
        <v>#DIV/0!</v>
      </c>
      <c r="S110" s="897">
        <f>P110*$AB$34</f>
        <v>0</v>
      </c>
      <c r="T110" s="567">
        <f>P110*$AC$34</f>
        <v>0</v>
      </c>
      <c r="U110" s="567">
        <f>P110*$AD$34</f>
        <v>0</v>
      </c>
      <c r="V110" s="567">
        <f>P110*$AE$34</f>
        <v>0</v>
      </c>
      <c r="W110" s="567">
        <f>P110*$AF$34</f>
        <v>0</v>
      </c>
      <c r="X110" s="567">
        <f>P110*$AG$34</f>
        <v>0</v>
      </c>
      <c r="Y110" s="741">
        <f t="shared" si="39"/>
        <v>0</v>
      </c>
      <c r="AK110" s="60">
        <f t="shared" si="32"/>
        <v>0</v>
      </c>
      <c r="AL110" s="60">
        <f t="shared" si="33"/>
        <v>0</v>
      </c>
      <c r="AM110" s="60">
        <f t="shared" si="34"/>
        <v>0</v>
      </c>
    </row>
    <row r="111" spans="3:39" hidden="1">
      <c r="C111" s="1183"/>
      <c r="D111" s="606" t="s">
        <v>2695</v>
      </c>
      <c r="E111" s="567">
        <v>0</v>
      </c>
      <c r="F111" s="568">
        <v>0</v>
      </c>
      <c r="G111" s="850"/>
      <c r="H111" s="852"/>
      <c r="I111" s="852"/>
      <c r="J111" s="851"/>
      <c r="K111" s="850"/>
      <c r="L111" s="851"/>
      <c r="M111" s="850"/>
      <c r="N111" s="852"/>
      <c r="O111" s="851"/>
      <c r="P111" s="869">
        <f t="shared" si="38"/>
        <v>0</v>
      </c>
      <c r="Q111" s="569" t="e">
        <f t="shared" si="31"/>
        <v>#DIV/0!</v>
      </c>
      <c r="R111" s="723" t="e">
        <f t="shared" si="35"/>
        <v>#DIV/0!</v>
      </c>
      <c r="S111" s="897">
        <f>P111*$AB$35</f>
        <v>0</v>
      </c>
      <c r="T111" s="567">
        <f>P111*$AC$35</f>
        <v>0</v>
      </c>
      <c r="U111" s="567">
        <f>P111*$AD$35</f>
        <v>0</v>
      </c>
      <c r="V111" s="567">
        <f>P111*$AE$35</f>
        <v>0</v>
      </c>
      <c r="W111" s="567">
        <f>P111*$AF$35</f>
        <v>0</v>
      </c>
      <c r="X111" s="567">
        <f>P111*$AG$35</f>
        <v>0</v>
      </c>
      <c r="Y111" s="741">
        <f t="shared" si="39"/>
        <v>0</v>
      </c>
      <c r="AK111" s="60">
        <f t="shared" si="32"/>
        <v>0</v>
      </c>
      <c r="AL111" s="60">
        <f t="shared" si="33"/>
        <v>0</v>
      </c>
      <c r="AM111" s="60">
        <f t="shared" si="34"/>
        <v>0</v>
      </c>
    </row>
    <row r="112" spans="3:39" hidden="1">
      <c r="C112" s="1183"/>
      <c r="D112" s="606" t="s">
        <v>304</v>
      </c>
      <c r="E112" s="567">
        <v>72932.470271676706</v>
      </c>
      <c r="F112" s="568">
        <v>36373.154999999999</v>
      </c>
      <c r="G112" s="850">
        <v>6500</v>
      </c>
      <c r="H112" s="852"/>
      <c r="I112" s="852"/>
      <c r="J112" s="851"/>
      <c r="K112" s="850"/>
      <c r="L112" s="851"/>
      <c r="M112" s="850"/>
      <c r="N112" s="852"/>
      <c r="O112" s="851"/>
      <c r="P112" s="869">
        <f t="shared" si="38"/>
        <v>6500</v>
      </c>
      <c r="Q112" s="569">
        <f t="shared" ref="Q112" si="40">P112/F112</f>
        <v>0.17870322219779947</v>
      </c>
      <c r="R112" s="723">
        <f t="shared" ref="R112" si="41">1-Q112</f>
        <v>0.82129677780220056</v>
      </c>
      <c r="S112" s="897">
        <f>P112*$AB$36</f>
        <v>3080.6827254239761</v>
      </c>
      <c r="T112" s="567">
        <f>P112*$AC$36</f>
        <v>3419.3172745760239</v>
      </c>
      <c r="U112" s="567">
        <f>P112*$AD$36</f>
        <v>2385.9733172225933</v>
      </c>
      <c r="V112" s="567">
        <f>P112*$AE$36</f>
        <v>3542.2899771155721</v>
      </c>
      <c r="W112" s="567">
        <f>P112*$AF$36</f>
        <v>571.73670566183569</v>
      </c>
      <c r="X112" s="567">
        <f>P112*$AG$36</f>
        <v>1127.4756191170968</v>
      </c>
      <c r="Y112" s="741">
        <f t="shared" ref="Y112:Y118" si="42">F112-P112</f>
        <v>29873.154999999999</v>
      </c>
      <c r="AK112" s="60"/>
      <c r="AL112" s="60"/>
      <c r="AM112" s="60"/>
    </row>
    <row r="113" spans="3:39" hidden="1">
      <c r="C113" s="1183"/>
      <c r="D113" s="606" t="s">
        <v>2696</v>
      </c>
      <c r="E113" s="567">
        <v>128918.57720164211</v>
      </c>
      <c r="F113" s="568">
        <v>22383.48</v>
      </c>
      <c r="G113" s="850"/>
      <c r="H113" s="852"/>
      <c r="I113" s="852"/>
      <c r="J113" s="851"/>
      <c r="K113" s="850"/>
      <c r="L113" s="851"/>
      <c r="M113" s="850"/>
      <c r="N113" s="852"/>
      <c r="O113" s="851"/>
      <c r="P113" s="869">
        <f t="shared" si="38"/>
        <v>0</v>
      </c>
      <c r="Q113" s="569"/>
      <c r="R113" s="723"/>
      <c r="S113" s="897">
        <f>P113*$AB$37</f>
        <v>0</v>
      </c>
      <c r="T113" s="567">
        <f>P113*$AC$37</f>
        <v>0</v>
      </c>
      <c r="U113" s="567">
        <f>P113*$AD$37</f>
        <v>0</v>
      </c>
      <c r="V113" s="567">
        <f>P113*$AE$37</f>
        <v>0</v>
      </c>
      <c r="W113" s="567">
        <f>P113*$AF$37</f>
        <v>0</v>
      </c>
      <c r="X113" s="567">
        <f>P113*$AG$37</f>
        <v>0</v>
      </c>
      <c r="Y113" s="741">
        <f t="shared" si="42"/>
        <v>22383.48</v>
      </c>
      <c r="AK113" s="60"/>
      <c r="AL113" s="60"/>
      <c r="AM113" s="60"/>
    </row>
    <row r="114" spans="3:39" hidden="1">
      <c r="C114" s="1183"/>
      <c r="D114" s="606" t="s">
        <v>2697</v>
      </c>
      <c r="E114" s="567">
        <v>0</v>
      </c>
      <c r="F114" s="568">
        <v>0</v>
      </c>
      <c r="G114" s="850"/>
      <c r="H114" s="852"/>
      <c r="I114" s="852"/>
      <c r="J114" s="851"/>
      <c r="K114" s="850"/>
      <c r="L114" s="851"/>
      <c r="M114" s="850"/>
      <c r="N114" s="852"/>
      <c r="O114" s="851"/>
      <c r="P114" s="869">
        <f t="shared" si="38"/>
        <v>0</v>
      </c>
      <c r="Q114" s="569"/>
      <c r="R114" s="723"/>
      <c r="S114" s="897">
        <f>P114*$AB$38</f>
        <v>0</v>
      </c>
      <c r="T114" s="567">
        <f>P114*$AC$38</f>
        <v>0</v>
      </c>
      <c r="U114" s="567">
        <f>P114*$AD$38</f>
        <v>0</v>
      </c>
      <c r="V114" s="567">
        <f>P114*$AE$38</f>
        <v>0</v>
      </c>
      <c r="W114" s="567">
        <f>P114*$AF$38</f>
        <v>0</v>
      </c>
      <c r="X114" s="567">
        <f>P114*$AG$38</f>
        <v>0</v>
      </c>
      <c r="Y114" s="741">
        <f t="shared" si="42"/>
        <v>0</v>
      </c>
      <c r="AK114" s="60"/>
      <c r="AL114" s="60"/>
      <c r="AM114" s="60"/>
    </row>
    <row r="115" spans="3:39" hidden="1">
      <c r="C115" s="1183"/>
      <c r="D115" s="606" t="s">
        <v>515</v>
      </c>
      <c r="E115" s="567">
        <v>12543.43007174681</v>
      </c>
      <c r="F115" s="568">
        <v>3257.9840000000004</v>
      </c>
      <c r="G115" s="850">
        <f>G3</f>
        <v>2223</v>
      </c>
      <c r="H115" s="852"/>
      <c r="I115" s="852"/>
      <c r="J115" s="851"/>
      <c r="K115" s="850"/>
      <c r="L115" s="851"/>
      <c r="M115" s="850"/>
      <c r="N115" s="852"/>
      <c r="O115" s="851"/>
      <c r="P115" s="869">
        <f t="shared" si="38"/>
        <v>2223</v>
      </c>
      <c r="Q115" s="569">
        <f t="shared" ref="Q115" si="43">P115/F115</f>
        <v>0.6823237928731386</v>
      </c>
      <c r="R115" s="723">
        <f t="shared" ref="R115" si="44">1-Q115</f>
        <v>0.3176762071268614</v>
      </c>
      <c r="S115" s="897">
        <f>P115*$AB$39</f>
        <v>1111.8434206672998</v>
      </c>
      <c r="T115" s="567">
        <f>P115*$AC$39</f>
        <v>1111.1565793327002</v>
      </c>
      <c r="U115" s="567">
        <f>P115*$AD$39</f>
        <v>844.66551365008604</v>
      </c>
      <c r="V115" s="567">
        <f>P115*$AE$39</f>
        <v>1249.3760809637745</v>
      </c>
      <c r="W115" s="567">
        <f>P115*$AF$39</f>
        <v>128.95840538613888</v>
      </c>
      <c r="X115" s="567">
        <f>P115*$AG$39</f>
        <v>191.66272684847976</v>
      </c>
      <c r="Y115" s="741">
        <f t="shared" si="42"/>
        <v>1034.9840000000004</v>
      </c>
      <c r="AK115" s="60"/>
      <c r="AL115" s="60"/>
      <c r="AM115" s="60"/>
    </row>
    <row r="116" spans="3:39" hidden="1">
      <c r="C116" s="1183"/>
      <c r="D116" s="606" t="s">
        <v>2638</v>
      </c>
      <c r="E116" s="567">
        <v>25228.770316617767</v>
      </c>
      <c r="F116" s="568">
        <v>4994.88</v>
      </c>
      <c r="G116" s="850"/>
      <c r="H116" s="852"/>
      <c r="I116" s="852"/>
      <c r="J116" s="851"/>
      <c r="K116" s="850"/>
      <c r="L116" s="851"/>
      <c r="M116" s="850"/>
      <c r="N116" s="852"/>
      <c r="O116" s="851"/>
      <c r="P116" s="869">
        <f t="shared" si="38"/>
        <v>0</v>
      </c>
      <c r="Q116" s="569"/>
      <c r="R116" s="723"/>
      <c r="S116" s="897">
        <f>P116*$AB$40</f>
        <v>0</v>
      </c>
      <c r="T116" s="567">
        <f>P116*$AC$40</f>
        <v>0</v>
      </c>
      <c r="U116" s="567">
        <f>P116*$AD$40</f>
        <v>0</v>
      </c>
      <c r="V116" s="567">
        <f>P116*$AE$40</f>
        <v>0</v>
      </c>
      <c r="W116" s="567">
        <f>P116*$AF$40</f>
        <v>0</v>
      </c>
      <c r="X116" s="567">
        <f>P116*$AG$40</f>
        <v>0</v>
      </c>
      <c r="Y116" s="741">
        <f t="shared" si="42"/>
        <v>4994.88</v>
      </c>
      <c r="AK116" s="60"/>
      <c r="AL116" s="60"/>
      <c r="AM116" s="60"/>
    </row>
    <row r="117" spans="3:39" hidden="1">
      <c r="C117" s="1183"/>
      <c r="D117" s="606" t="s">
        <v>2698</v>
      </c>
      <c r="E117" s="567">
        <v>8092.4942954963954</v>
      </c>
      <c r="F117" s="568">
        <v>1581.48</v>
      </c>
      <c r="G117" s="850"/>
      <c r="H117" s="852"/>
      <c r="I117" s="852"/>
      <c r="J117" s="851"/>
      <c r="K117" s="850"/>
      <c r="L117" s="851"/>
      <c r="M117" s="850"/>
      <c r="N117" s="852"/>
      <c r="O117" s="851"/>
      <c r="P117" s="869">
        <f t="shared" si="38"/>
        <v>0</v>
      </c>
      <c r="Q117" s="569"/>
      <c r="R117" s="723"/>
      <c r="S117" s="897">
        <f>P117*$AB$41</f>
        <v>0</v>
      </c>
      <c r="T117" s="567">
        <f>P117*$AC$41</f>
        <v>0</v>
      </c>
      <c r="U117" s="567">
        <f>P117*$AD$41</f>
        <v>0</v>
      </c>
      <c r="V117" s="567">
        <f>P117*$AE$41</f>
        <v>0</v>
      </c>
      <c r="W117" s="567">
        <f>P117*$AF$41</f>
        <v>0</v>
      </c>
      <c r="X117" s="567">
        <f>P117*$AG$41</f>
        <v>0</v>
      </c>
      <c r="Y117" s="741">
        <f t="shared" si="42"/>
        <v>1581.48</v>
      </c>
      <c r="AK117" s="60"/>
      <c r="AL117" s="60"/>
      <c r="AM117" s="60"/>
    </row>
    <row r="118" spans="3:39" hidden="1">
      <c r="C118" s="1183"/>
      <c r="D118" s="606" t="s">
        <v>2699</v>
      </c>
      <c r="E118" s="567">
        <v>3448.1260506067783</v>
      </c>
      <c r="F118" s="568">
        <v>0</v>
      </c>
      <c r="G118" s="850"/>
      <c r="H118" s="852"/>
      <c r="I118" s="852"/>
      <c r="J118" s="851"/>
      <c r="K118" s="850"/>
      <c r="L118" s="851"/>
      <c r="M118" s="850"/>
      <c r="N118" s="852"/>
      <c r="O118" s="851"/>
      <c r="P118" s="869">
        <f t="shared" si="38"/>
        <v>0</v>
      </c>
      <c r="Q118" s="569" t="e">
        <f t="shared" si="31"/>
        <v>#DIV/0!</v>
      </c>
      <c r="R118" s="723" t="e">
        <f t="shared" si="35"/>
        <v>#DIV/0!</v>
      </c>
      <c r="S118" s="897">
        <f>P118*$AB$42</f>
        <v>0</v>
      </c>
      <c r="T118" s="567">
        <f>P118*$AC$42</f>
        <v>0</v>
      </c>
      <c r="U118" s="567">
        <f>P118*$AD$42</f>
        <v>0</v>
      </c>
      <c r="V118" s="567">
        <f>P118*$AE$42</f>
        <v>0</v>
      </c>
      <c r="W118" s="567">
        <f>P118*$AF$42</f>
        <v>0</v>
      </c>
      <c r="X118" s="567">
        <f>P118*$AG$42</f>
        <v>0</v>
      </c>
      <c r="Y118" s="741">
        <f t="shared" si="42"/>
        <v>0</v>
      </c>
      <c r="AK118" s="60">
        <f t="shared" si="32"/>
        <v>0</v>
      </c>
      <c r="AL118" s="60">
        <f t="shared" si="33"/>
        <v>0</v>
      </c>
      <c r="AM118" s="60">
        <f t="shared" si="34"/>
        <v>0</v>
      </c>
    </row>
    <row r="119" spans="3:39" s="885" customFormat="1" hidden="1">
      <c r="C119" s="1183"/>
      <c r="D119" s="877" t="s">
        <v>1483</v>
      </c>
      <c r="E119" s="878">
        <f t="shared" ref="E119:P119" si="45">SUM(E101:E118)</f>
        <v>360784.62182485679</v>
      </c>
      <c r="F119" s="879">
        <f t="shared" si="45"/>
        <v>105934.291</v>
      </c>
      <c r="G119" s="874">
        <f t="shared" si="45"/>
        <v>27186</v>
      </c>
      <c r="H119" s="875">
        <f t="shared" si="45"/>
        <v>0</v>
      </c>
      <c r="I119" s="875"/>
      <c r="J119" s="876">
        <f t="shared" si="45"/>
        <v>0</v>
      </c>
      <c r="K119" s="874">
        <f t="shared" si="45"/>
        <v>0</v>
      </c>
      <c r="L119" s="876">
        <f t="shared" si="45"/>
        <v>0</v>
      </c>
      <c r="M119" s="874"/>
      <c r="N119" s="875">
        <f t="shared" si="45"/>
        <v>0</v>
      </c>
      <c r="O119" s="876">
        <f t="shared" si="45"/>
        <v>0</v>
      </c>
      <c r="P119" s="877">
        <f t="shared" si="45"/>
        <v>27186</v>
      </c>
      <c r="Q119" s="880">
        <f t="shared" si="31"/>
        <v>0.25663078256690275</v>
      </c>
      <c r="R119" s="881">
        <f>1-Q119</f>
        <v>0.74336921743309725</v>
      </c>
      <c r="S119" s="882">
        <f t="shared" ref="S119:Y119" si="46">SUM(S101:S118)</f>
        <v>13605.830018979916</v>
      </c>
      <c r="T119" s="883">
        <f t="shared" si="46"/>
        <v>13580.169981020084</v>
      </c>
      <c r="U119" s="883">
        <f t="shared" si="46"/>
        <v>9879.1196814236446</v>
      </c>
      <c r="V119" s="883">
        <f t="shared" si="46"/>
        <v>15590.790504084775</v>
      </c>
      <c r="W119" s="883">
        <f t="shared" si="46"/>
        <v>1716.0898144915823</v>
      </c>
      <c r="X119" s="883">
        <f t="shared" si="46"/>
        <v>2961.9320722862531</v>
      </c>
      <c r="Y119" s="884">
        <f t="shared" si="46"/>
        <v>78748.290999999997</v>
      </c>
      <c r="AK119" s="60">
        <f t="shared" si="32"/>
        <v>27186</v>
      </c>
      <c r="AL119" s="60">
        <f t="shared" si="33"/>
        <v>0</v>
      </c>
      <c r="AM119" s="60">
        <f t="shared" si="34"/>
        <v>0</v>
      </c>
    </row>
    <row r="120" spans="3:39" hidden="1">
      <c r="C120" s="1183" t="s">
        <v>2970</v>
      </c>
      <c r="D120" s="606" t="s">
        <v>2688</v>
      </c>
      <c r="E120" s="567">
        <v>4443.8719193605921</v>
      </c>
      <c r="F120" s="568">
        <v>1103.2525000000001</v>
      </c>
      <c r="G120" s="850"/>
      <c r="H120" s="852"/>
      <c r="I120" s="852"/>
      <c r="J120" s="851"/>
      <c r="K120" s="850"/>
      <c r="L120" s="851"/>
      <c r="M120" s="850"/>
      <c r="N120" s="852"/>
      <c r="O120" s="851"/>
      <c r="P120" s="869">
        <f t="shared" ref="P120:P137" si="47">SUM(G120:O120)</f>
        <v>0</v>
      </c>
      <c r="Q120" s="569">
        <f t="shared" si="31"/>
        <v>0</v>
      </c>
      <c r="R120" s="723">
        <f>1-Q120</f>
        <v>1</v>
      </c>
      <c r="S120" s="897">
        <f>P120*$AB$25</f>
        <v>0</v>
      </c>
      <c r="T120" s="567">
        <f>P120*$AC$25</f>
        <v>0</v>
      </c>
      <c r="U120" s="567">
        <f>P120*$AD$25</f>
        <v>0</v>
      </c>
      <c r="V120" s="567">
        <f>P120*$AE$25</f>
        <v>0</v>
      </c>
      <c r="W120" s="567">
        <f>P120*$AF$25</f>
        <v>0</v>
      </c>
      <c r="X120" s="567">
        <f>P120*$AG$25</f>
        <v>0</v>
      </c>
      <c r="Y120" s="741">
        <f t="shared" ref="Y120:Y130" si="48">F120-P120</f>
        <v>1103.2525000000001</v>
      </c>
      <c r="AK120" s="60">
        <f t="shared" si="32"/>
        <v>0</v>
      </c>
      <c r="AL120" s="60">
        <f t="shared" si="33"/>
        <v>0</v>
      </c>
      <c r="AM120" s="60">
        <f t="shared" si="34"/>
        <v>0</v>
      </c>
    </row>
    <row r="121" spans="3:39" hidden="1">
      <c r="C121" s="1183"/>
      <c r="D121" s="606" t="s">
        <v>2689</v>
      </c>
      <c r="E121" s="567">
        <v>275.27272281000489</v>
      </c>
      <c r="F121" s="568">
        <v>0</v>
      </c>
      <c r="G121" s="850"/>
      <c r="H121" s="852"/>
      <c r="I121" s="852"/>
      <c r="J121" s="851"/>
      <c r="K121" s="850"/>
      <c r="L121" s="851"/>
      <c r="M121" s="850"/>
      <c r="N121" s="852"/>
      <c r="O121" s="851"/>
      <c r="P121" s="869">
        <f t="shared" si="47"/>
        <v>0</v>
      </c>
      <c r="Q121" s="569" t="e">
        <f t="shared" si="31"/>
        <v>#DIV/0!</v>
      </c>
      <c r="R121" s="723" t="e">
        <f t="shared" ref="R121:R130" si="49">1-Q121</f>
        <v>#DIV/0!</v>
      </c>
      <c r="S121" s="897">
        <f>P121*$AB$26</f>
        <v>0</v>
      </c>
      <c r="T121" s="567">
        <f>P121*$AC$26</f>
        <v>0</v>
      </c>
      <c r="U121" s="567">
        <f>P121*$AD$26</f>
        <v>0</v>
      </c>
      <c r="V121" s="567">
        <f>P121*$AE$26</f>
        <v>0</v>
      </c>
      <c r="W121" s="567">
        <f>P121*$AF$26</f>
        <v>0</v>
      </c>
      <c r="X121" s="567">
        <f>P121*$AG$26</f>
        <v>0</v>
      </c>
      <c r="Y121" s="741">
        <f t="shared" si="48"/>
        <v>0</v>
      </c>
      <c r="AK121" s="60">
        <f t="shared" si="32"/>
        <v>0</v>
      </c>
      <c r="AL121" s="60">
        <f t="shared" si="33"/>
        <v>0</v>
      </c>
      <c r="AM121" s="60">
        <f t="shared" si="34"/>
        <v>0</v>
      </c>
    </row>
    <row r="122" spans="3:39" hidden="1">
      <c r="C122" s="1183"/>
      <c r="D122" s="606" t="s">
        <v>2690</v>
      </c>
      <c r="E122" s="567">
        <v>6821.8892335267019</v>
      </c>
      <c r="F122" s="568">
        <v>1452.21</v>
      </c>
      <c r="G122" s="850"/>
      <c r="H122" s="852"/>
      <c r="I122" s="852"/>
      <c r="J122" s="851"/>
      <c r="K122" s="850"/>
      <c r="L122" s="851"/>
      <c r="M122" s="850"/>
      <c r="N122" s="852"/>
      <c r="O122" s="851"/>
      <c r="P122" s="869">
        <f t="shared" si="47"/>
        <v>0</v>
      </c>
      <c r="Q122" s="569">
        <f t="shared" si="31"/>
        <v>0</v>
      </c>
      <c r="R122" s="723">
        <f t="shared" si="49"/>
        <v>1</v>
      </c>
      <c r="S122" s="897">
        <f>P122*$AB$27</f>
        <v>0</v>
      </c>
      <c r="T122" s="567">
        <f>P122*$AC$27</f>
        <v>0</v>
      </c>
      <c r="U122" s="567">
        <f>P122*$AD$27</f>
        <v>0</v>
      </c>
      <c r="V122" s="567">
        <f>P122*$AE$27</f>
        <v>0</v>
      </c>
      <c r="W122" s="567">
        <f>P122*$AF$27</f>
        <v>0</v>
      </c>
      <c r="X122" s="567">
        <f>P122*$AG$27</f>
        <v>0</v>
      </c>
      <c r="Y122" s="741">
        <f t="shared" si="48"/>
        <v>1452.21</v>
      </c>
      <c r="AK122" s="60">
        <f t="shared" si="32"/>
        <v>0</v>
      </c>
      <c r="AL122" s="60">
        <f t="shared" si="33"/>
        <v>0</v>
      </c>
      <c r="AM122" s="60">
        <f t="shared" si="34"/>
        <v>0</v>
      </c>
    </row>
    <row r="123" spans="3:39" hidden="1">
      <c r="C123" s="1183"/>
      <c r="D123" s="606" t="s">
        <v>2691</v>
      </c>
      <c r="E123" s="567">
        <v>0</v>
      </c>
      <c r="F123" s="568">
        <v>0</v>
      </c>
      <c r="G123" s="850"/>
      <c r="H123" s="852"/>
      <c r="I123" s="852"/>
      <c r="J123" s="851"/>
      <c r="K123" s="850"/>
      <c r="L123" s="851"/>
      <c r="M123" s="850"/>
      <c r="N123" s="852"/>
      <c r="O123" s="851"/>
      <c r="P123" s="869">
        <f t="shared" si="47"/>
        <v>0</v>
      </c>
      <c r="Q123" s="569" t="e">
        <f t="shared" si="31"/>
        <v>#DIV/0!</v>
      </c>
      <c r="R123" s="723" t="e">
        <f t="shared" si="49"/>
        <v>#DIV/0!</v>
      </c>
      <c r="S123" s="897">
        <f>P123*$AB$28</f>
        <v>0</v>
      </c>
      <c r="T123" s="567">
        <f>P123*$AC$28</f>
        <v>0</v>
      </c>
      <c r="U123" s="567">
        <f>P123*$AD$28</f>
        <v>0</v>
      </c>
      <c r="V123" s="567">
        <f>P123*$AE$28</f>
        <v>0</v>
      </c>
      <c r="W123" s="567">
        <f>P123*$AF$28</f>
        <v>0</v>
      </c>
      <c r="X123" s="567">
        <f>P123*$AG$28</f>
        <v>0</v>
      </c>
      <c r="Y123" s="741">
        <f t="shared" si="48"/>
        <v>0</v>
      </c>
      <c r="AK123" s="60">
        <f t="shared" si="32"/>
        <v>0</v>
      </c>
      <c r="AL123" s="60">
        <f t="shared" si="33"/>
        <v>0</v>
      </c>
      <c r="AM123" s="60">
        <f t="shared" si="34"/>
        <v>0</v>
      </c>
    </row>
    <row r="124" spans="3:39" hidden="1">
      <c r="C124" s="1183"/>
      <c r="D124" s="606" t="s">
        <v>610</v>
      </c>
      <c r="E124" s="567">
        <v>5357.993347848882</v>
      </c>
      <c r="F124" s="568">
        <v>3987.4500000000003</v>
      </c>
      <c r="G124" s="850"/>
      <c r="H124" s="852"/>
      <c r="I124" s="852"/>
      <c r="J124" s="851"/>
      <c r="K124" s="850"/>
      <c r="L124" s="851"/>
      <c r="M124" s="850"/>
      <c r="N124" s="852"/>
      <c r="O124" s="851"/>
      <c r="P124" s="869">
        <f t="shared" si="47"/>
        <v>0</v>
      </c>
      <c r="Q124" s="569">
        <f t="shared" si="31"/>
        <v>0</v>
      </c>
      <c r="R124" s="723">
        <f t="shared" si="49"/>
        <v>1</v>
      </c>
      <c r="S124" s="897">
        <f>P124*$AB$29</f>
        <v>0</v>
      </c>
      <c r="T124" s="567">
        <f>P124*$AC$29</f>
        <v>0</v>
      </c>
      <c r="U124" s="567">
        <f>P124*$AD$29</f>
        <v>0</v>
      </c>
      <c r="V124" s="567">
        <f>P124*$AE$29</f>
        <v>0</v>
      </c>
      <c r="W124" s="567">
        <f>P124*$AF$29</f>
        <v>0</v>
      </c>
      <c r="X124" s="567">
        <f>P124*$AG$29</f>
        <v>0</v>
      </c>
      <c r="Y124" s="741">
        <f t="shared" si="48"/>
        <v>3987.4500000000003</v>
      </c>
      <c r="AK124" s="60">
        <f t="shared" si="32"/>
        <v>0</v>
      </c>
      <c r="AL124" s="60">
        <f t="shared" si="33"/>
        <v>0</v>
      </c>
      <c r="AM124" s="60">
        <f t="shared" si="34"/>
        <v>0</v>
      </c>
    </row>
    <row r="125" spans="3:39">
      <c r="C125" s="1183"/>
      <c r="D125" s="606" t="s">
        <v>37</v>
      </c>
      <c r="E125" s="567">
        <v>9249.1310617983581</v>
      </c>
      <c r="F125" s="568">
        <v>5321.68</v>
      </c>
      <c r="G125" s="850">
        <f>H2</f>
        <v>1993</v>
      </c>
      <c r="H125" s="852"/>
      <c r="I125" s="852"/>
      <c r="J125" s="851"/>
      <c r="K125" s="850"/>
      <c r="L125" s="851"/>
      <c r="M125" s="850"/>
      <c r="N125" s="852"/>
      <c r="O125" s="851"/>
      <c r="P125" s="869">
        <f t="shared" si="47"/>
        <v>1993</v>
      </c>
      <c r="Q125" s="569">
        <f t="shared" si="31"/>
        <v>0.37450579516242988</v>
      </c>
      <c r="R125" s="723">
        <f t="shared" si="49"/>
        <v>0.62549420483757012</v>
      </c>
      <c r="S125" s="897">
        <f>P125*$AB$30</f>
        <v>1016.1249319540194</v>
      </c>
      <c r="T125" s="567">
        <f>P125*$AC$30</f>
        <v>976.87506804598058</v>
      </c>
      <c r="U125" s="567">
        <f>P125*$AD$30</f>
        <v>717.67439393100096</v>
      </c>
      <c r="V125" s="567">
        <f>P125*$AE$30</f>
        <v>1165.718194274431</v>
      </c>
      <c r="W125" s="567">
        <f>P125*$AF$30</f>
        <v>109.60741179456807</v>
      </c>
      <c r="X125" s="567">
        <f>P125*$AG$30</f>
        <v>177.33238891605419</v>
      </c>
      <c r="Y125" s="741">
        <f t="shared" si="48"/>
        <v>3328.6800000000003</v>
      </c>
      <c r="AK125" s="60">
        <f t="shared" si="32"/>
        <v>1993</v>
      </c>
      <c r="AL125" s="60">
        <f t="shared" si="33"/>
        <v>0</v>
      </c>
      <c r="AM125" s="60">
        <f t="shared" si="34"/>
        <v>0</v>
      </c>
    </row>
    <row r="126" spans="3:39" hidden="1">
      <c r="C126" s="1183"/>
      <c r="D126" s="606" t="s">
        <v>2692</v>
      </c>
      <c r="E126" s="567">
        <v>8287.0738745081326</v>
      </c>
      <c r="F126" s="568">
        <v>3115.4175</v>
      </c>
      <c r="G126" s="850"/>
      <c r="H126" s="852"/>
      <c r="I126" s="852"/>
      <c r="J126" s="851"/>
      <c r="K126" s="850"/>
      <c r="L126" s="851"/>
      <c r="M126" s="850"/>
      <c r="N126" s="852"/>
      <c r="O126" s="851"/>
      <c r="P126" s="869">
        <f t="shared" si="47"/>
        <v>0</v>
      </c>
      <c r="Q126" s="569">
        <f t="shared" si="31"/>
        <v>0</v>
      </c>
      <c r="R126" s="723">
        <f t="shared" si="49"/>
        <v>1</v>
      </c>
      <c r="S126" s="897">
        <f>P126*$AB$31</f>
        <v>0</v>
      </c>
      <c r="T126" s="567">
        <f>P126*$AC$31</f>
        <v>0</v>
      </c>
      <c r="U126" s="567">
        <f>P126*$AD$31</f>
        <v>0</v>
      </c>
      <c r="V126" s="567">
        <f>P126*$AE$31</f>
        <v>0</v>
      </c>
      <c r="W126" s="567">
        <f>P126*$AF$31</f>
        <v>0</v>
      </c>
      <c r="X126" s="567">
        <f>P126*$AG$31</f>
        <v>0</v>
      </c>
      <c r="Y126" s="741">
        <f t="shared" si="48"/>
        <v>3115.4175</v>
      </c>
      <c r="AK126" s="60">
        <f t="shared" si="32"/>
        <v>0</v>
      </c>
      <c r="AL126" s="60">
        <f t="shared" si="33"/>
        <v>0</v>
      </c>
      <c r="AM126" s="60">
        <f t="shared" si="34"/>
        <v>0</v>
      </c>
    </row>
    <row r="127" spans="3:39" hidden="1">
      <c r="C127" s="1183"/>
      <c r="D127" s="606" t="s">
        <v>2332</v>
      </c>
      <c r="E127" s="567">
        <v>11756.140907643903</v>
      </c>
      <c r="F127" s="568">
        <v>2571.42</v>
      </c>
      <c r="G127" s="850"/>
      <c r="H127" s="852"/>
      <c r="I127" s="852"/>
      <c r="J127" s="851"/>
      <c r="K127" s="850"/>
      <c r="L127" s="851"/>
      <c r="M127" s="850"/>
      <c r="N127" s="852"/>
      <c r="O127" s="851"/>
      <c r="P127" s="869">
        <f t="shared" si="47"/>
        <v>0</v>
      </c>
      <c r="Q127" s="569">
        <f t="shared" ref="Q127:Q164" si="50">P127/F127</f>
        <v>0</v>
      </c>
      <c r="R127" s="723">
        <f t="shared" si="49"/>
        <v>1</v>
      </c>
      <c r="S127" s="897">
        <f>P127*$AB$32</f>
        <v>0</v>
      </c>
      <c r="T127" s="567">
        <f>P127*$AC$32</f>
        <v>0</v>
      </c>
      <c r="U127" s="567">
        <f>P127*$AD$32</f>
        <v>0</v>
      </c>
      <c r="V127" s="567">
        <f>P127*$AE$32</f>
        <v>0</v>
      </c>
      <c r="W127" s="567">
        <f>P127*$AF$32</f>
        <v>0</v>
      </c>
      <c r="X127" s="567">
        <f>P127*$AG$32</f>
        <v>0</v>
      </c>
      <c r="Y127" s="741">
        <f t="shared" si="48"/>
        <v>2571.42</v>
      </c>
      <c r="AK127" s="60">
        <f t="shared" si="32"/>
        <v>0</v>
      </c>
      <c r="AL127" s="60">
        <f t="shared" si="33"/>
        <v>0</v>
      </c>
      <c r="AM127" s="60">
        <f t="shared" si="34"/>
        <v>0</v>
      </c>
    </row>
    <row r="128" spans="3:39" hidden="1">
      <c r="C128" s="1183"/>
      <c r="D128" s="606" t="s">
        <v>2693</v>
      </c>
      <c r="E128" s="567">
        <v>15555.362329095091</v>
      </c>
      <c r="F128" s="568">
        <v>4457.72</v>
      </c>
      <c r="G128" s="850"/>
      <c r="H128" s="852"/>
      <c r="I128" s="852"/>
      <c r="J128" s="851"/>
      <c r="K128" s="850"/>
      <c r="L128" s="851"/>
      <c r="M128" s="850"/>
      <c r="N128" s="852"/>
      <c r="O128" s="851"/>
      <c r="P128" s="869">
        <f t="shared" si="47"/>
        <v>0</v>
      </c>
      <c r="Q128" s="569">
        <f t="shared" si="50"/>
        <v>0</v>
      </c>
      <c r="R128" s="723">
        <f t="shared" si="49"/>
        <v>1</v>
      </c>
      <c r="S128" s="897">
        <f>P128*$AB$33</f>
        <v>0</v>
      </c>
      <c r="T128" s="567">
        <f>P128*$AC$33</f>
        <v>0</v>
      </c>
      <c r="U128" s="567">
        <f>P128*$AD$33</f>
        <v>0</v>
      </c>
      <c r="V128" s="567">
        <f>P128*$AE$33</f>
        <v>0</v>
      </c>
      <c r="W128" s="567">
        <f>P128*$AF$33</f>
        <v>0</v>
      </c>
      <c r="X128" s="567">
        <f>P128*$AG$33</f>
        <v>0</v>
      </c>
      <c r="Y128" s="741">
        <f t="shared" si="48"/>
        <v>4457.72</v>
      </c>
      <c r="AK128" s="60">
        <f t="shared" si="32"/>
        <v>0</v>
      </c>
      <c r="AL128" s="60">
        <f t="shared" si="33"/>
        <v>0</v>
      </c>
      <c r="AM128" s="60">
        <f t="shared" si="34"/>
        <v>0</v>
      </c>
    </row>
    <row r="129" spans="3:39" hidden="1">
      <c r="C129" s="1183"/>
      <c r="D129" s="606" t="s">
        <v>2694</v>
      </c>
      <c r="E129" s="567">
        <v>893.69524173419643</v>
      </c>
      <c r="F129" s="568">
        <v>0</v>
      </c>
      <c r="G129" s="850">
        <f>H3</f>
        <v>0</v>
      </c>
      <c r="H129" s="852"/>
      <c r="I129" s="852"/>
      <c r="J129" s="851"/>
      <c r="K129" s="850"/>
      <c r="L129" s="851"/>
      <c r="M129" s="850"/>
      <c r="N129" s="852"/>
      <c r="O129" s="851"/>
      <c r="P129" s="869">
        <f t="shared" si="47"/>
        <v>0</v>
      </c>
      <c r="Q129" s="569" t="e">
        <f t="shared" si="50"/>
        <v>#DIV/0!</v>
      </c>
      <c r="R129" s="723" t="e">
        <f t="shared" si="49"/>
        <v>#DIV/0!</v>
      </c>
      <c r="S129" s="897">
        <f>P129*$AB$34</f>
        <v>0</v>
      </c>
      <c r="T129" s="567">
        <f>P129*$AC$34</f>
        <v>0</v>
      </c>
      <c r="U129" s="567">
        <f>P129*$AD$34</f>
        <v>0</v>
      </c>
      <c r="V129" s="567">
        <f>P129*$AE$34</f>
        <v>0</v>
      </c>
      <c r="W129" s="567">
        <f>P129*$AF$34</f>
        <v>0</v>
      </c>
      <c r="X129" s="567">
        <f>P129*$AG$34</f>
        <v>0</v>
      </c>
      <c r="Y129" s="741">
        <f t="shared" si="48"/>
        <v>0</v>
      </c>
      <c r="AK129" s="60">
        <f t="shared" si="32"/>
        <v>0</v>
      </c>
      <c r="AL129" s="60">
        <f t="shared" si="33"/>
        <v>0</v>
      </c>
      <c r="AM129" s="60">
        <f t="shared" si="34"/>
        <v>0</v>
      </c>
    </row>
    <row r="130" spans="3:39" hidden="1">
      <c r="C130" s="1183"/>
      <c r="D130" s="606" t="s">
        <v>2695</v>
      </c>
      <c r="E130" s="567">
        <v>0</v>
      </c>
      <c r="F130" s="568">
        <v>0</v>
      </c>
      <c r="G130" s="850"/>
      <c r="H130" s="852"/>
      <c r="I130" s="852"/>
      <c r="J130" s="851"/>
      <c r="K130" s="850"/>
      <c r="L130" s="851"/>
      <c r="M130" s="850"/>
      <c r="N130" s="852"/>
      <c r="O130" s="851"/>
      <c r="P130" s="869">
        <f t="shared" si="47"/>
        <v>0</v>
      </c>
      <c r="Q130" s="569" t="e">
        <f t="shared" si="50"/>
        <v>#DIV/0!</v>
      </c>
      <c r="R130" s="723" t="e">
        <f t="shared" si="49"/>
        <v>#DIV/0!</v>
      </c>
      <c r="S130" s="897">
        <f>P130*$AB$35</f>
        <v>0</v>
      </c>
      <c r="T130" s="567">
        <f>P130*$AC$35</f>
        <v>0</v>
      </c>
      <c r="U130" s="567">
        <f>P130*$AD$35</f>
        <v>0</v>
      </c>
      <c r="V130" s="567">
        <f>P130*$AE$35</f>
        <v>0</v>
      </c>
      <c r="W130" s="567">
        <f>P130*$AF$35</f>
        <v>0</v>
      </c>
      <c r="X130" s="567">
        <f>P130*$AG$35</f>
        <v>0</v>
      </c>
      <c r="Y130" s="741">
        <f t="shared" si="48"/>
        <v>0</v>
      </c>
      <c r="AK130" s="60">
        <f t="shared" si="32"/>
        <v>0</v>
      </c>
      <c r="AL130" s="60">
        <f t="shared" si="33"/>
        <v>0</v>
      </c>
      <c r="AM130" s="60">
        <f t="shared" si="34"/>
        <v>0</v>
      </c>
    </row>
    <row r="131" spans="3:39" hidden="1">
      <c r="C131" s="1183"/>
      <c r="D131" s="606" t="s">
        <v>304</v>
      </c>
      <c r="E131" s="567">
        <v>41675.697298100975</v>
      </c>
      <c r="F131" s="568">
        <v>27979.350000000002</v>
      </c>
      <c r="G131" s="850">
        <v>50</v>
      </c>
      <c r="H131" s="852"/>
      <c r="I131" s="852"/>
      <c r="J131" s="851"/>
      <c r="K131" s="850"/>
      <c r="L131" s="851"/>
      <c r="M131" s="850"/>
      <c r="N131" s="852"/>
      <c r="O131" s="851"/>
      <c r="P131" s="869">
        <f t="shared" si="47"/>
        <v>50</v>
      </c>
      <c r="Q131" s="569">
        <f t="shared" si="50"/>
        <v>1.7870322219779944E-3</v>
      </c>
      <c r="R131" s="723">
        <f t="shared" ref="R131" si="51">1-Q131</f>
        <v>0.99821296777802204</v>
      </c>
      <c r="S131" s="897">
        <f>P131*$AB$36</f>
        <v>23.697559426338277</v>
      </c>
      <c r="T131" s="567">
        <f>P131*$AC$36</f>
        <v>26.302440573661723</v>
      </c>
      <c r="U131" s="567">
        <f>P131*$AD$36</f>
        <v>18.353640901712257</v>
      </c>
      <c r="V131" s="567">
        <f>P131*$AE$36</f>
        <v>27.248384439350552</v>
      </c>
      <c r="W131" s="567">
        <f>P131*$AF$36</f>
        <v>4.3979746589371977</v>
      </c>
      <c r="X131" s="567">
        <f>P131*$AG$36</f>
        <v>8.6728893778238216</v>
      </c>
      <c r="Y131" s="741"/>
      <c r="AK131" s="60"/>
      <c r="AL131" s="60"/>
      <c r="AM131" s="60"/>
    </row>
    <row r="132" spans="3:39" hidden="1">
      <c r="C132" s="1183"/>
      <c r="D132" s="606" t="s">
        <v>2696</v>
      </c>
      <c r="E132" s="567">
        <v>73667.758400938343</v>
      </c>
      <c r="F132" s="568">
        <v>13989.675000000001</v>
      </c>
      <c r="G132" s="850"/>
      <c r="H132" s="852"/>
      <c r="I132" s="852"/>
      <c r="J132" s="851"/>
      <c r="K132" s="850"/>
      <c r="L132" s="851"/>
      <c r="M132" s="850"/>
      <c r="N132" s="852"/>
      <c r="O132" s="851"/>
      <c r="P132" s="869">
        <f t="shared" si="47"/>
        <v>0</v>
      </c>
      <c r="Q132" s="569"/>
      <c r="R132" s="723"/>
      <c r="S132" s="897">
        <f>P132*$AB$37</f>
        <v>0</v>
      </c>
      <c r="T132" s="567">
        <f>P132*$AC$37</f>
        <v>0</v>
      </c>
      <c r="U132" s="567">
        <f>P132*$AD$37</f>
        <v>0</v>
      </c>
      <c r="V132" s="567">
        <f>P132*$AE$37</f>
        <v>0</v>
      </c>
      <c r="W132" s="567">
        <f>P132*$AF$37</f>
        <v>0</v>
      </c>
      <c r="X132" s="567">
        <f>P132*$AG$37</f>
        <v>0</v>
      </c>
      <c r="Y132" s="741"/>
      <c r="AK132" s="60"/>
      <c r="AL132" s="60"/>
      <c r="AM132" s="60"/>
    </row>
    <row r="133" spans="3:39" hidden="1">
      <c r="C133" s="1183"/>
      <c r="D133" s="606" t="s">
        <v>2697</v>
      </c>
      <c r="E133" s="567">
        <v>0</v>
      </c>
      <c r="F133" s="568">
        <v>0</v>
      </c>
      <c r="G133" s="850"/>
      <c r="H133" s="852"/>
      <c r="I133" s="852"/>
      <c r="J133" s="851"/>
      <c r="K133" s="850"/>
      <c r="L133" s="851"/>
      <c r="M133" s="850"/>
      <c r="N133" s="852"/>
      <c r="O133" s="851"/>
      <c r="P133" s="869">
        <f t="shared" si="47"/>
        <v>0</v>
      </c>
      <c r="Q133" s="569"/>
      <c r="R133" s="723"/>
      <c r="S133" s="897">
        <f>P133*$AB$38</f>
        <v>0</v>
      </c>
      <c r="T133" s="567">
        <f>P133*$AC$38</f>
        <v>0</v>
      </c>
      <c r="U133" s="567">
        <f>P133*$AD$38</f>
        <v>0</v>
      </c>
      <c r="V133" s="567">
        <f>P133*$AE$38</f>
        <v>0</v>
      </c>
      <c r="W133" s="567">
        <f>P133*$AF$38</f>
        <v>0</v>
      </c>
      <c r="X133" s="567">
        <f>P133*$AG$38</f>
        <v>0</v>
      </c>
      <c r="Y133" s="741"/>
      <c r="AK133" s="60"/>
      <c r="AL133" s="60"/>
      <c r="AM133" s="60"/>
    </row>
    <row r="134" spans="3:39" hidden="1">
      <c r="C134" s="1183"/>
      <c r="D134" s="606" t="s">
        <v>515</v>
      </c>
      <c r="E134" s="567">
        <v>7167.6743267124621</v>
      </c>
      <c r="F134" s="568">
        <v>2036.2400000000002</v>
      </c>
      <c r="G134" s="850">
        <f>H3</f>
        <v>0</v>
      </c>
      <c r="H134" s="852"/>
      <c r="I134" s="852"/>
      <c r="J134" s="851"/>
      <c r="K134" s="850"/>
      <c r="L134" s="851"/>
      <c r="M134" s="850"/>
      <c r="N134" s="852"/>
      <c r="O134" s="851"/>
      <c r="P134" s="869">
        <f t="shared" si="47"/>
        <v>0</v>
      </c>
      <c r="Q134" s="569"/>
      <c r="R134" s="723"/>
      <c r="S134" s="897">
        <f>P134*$AB$39</f>
        <v>0</v>
      </c>
      <c r="T134" s="567">
        <f>P134*$AC$39</f>
        <v>0</v>
      </c>
      <c r="U134" s="567">
        <f>P134*$AD$39</f>
        <v>0</v>
      </c>
      <c r="V134" s="567">
        <f>P134*$AE$39</f>
        <v>0</v>
      </c>
      <c r="W134" s="567">
        <f>P134*$AF$39</f>
        <v>0</v>
      </c>
      <c r="X134" s="567">
        <f>P134*$AG$39</f>
        <v>0</v>
      </c>
      <c r="Y134" s="741"/>
      <c r="AK134" s="60"/>
      <c r="AL134" s="60"/>
      <c r="AM134" s="60"/>
    </row>
    <row r="135" spans="3:39" hidden="1">
      <c r="C135" s="1183"/>
      <c r="D135" s="606" t="s">
        <v>2638</v>
      </c>
      <c r="E135" s="567">
        <v>14416.440180924437</v>
      </c>
      <c r="F135" s="568">
        <v>3121.8</v>
      </c>
      <c r="G135" s="850"/>
      <c r="H135" s="852"/>
      <c r="I135" s="852"/>
      <c r="J135" s="851"/>
      <c r="K135" s="850"/>
      <c r="L135" s="851"/>
      <c r="M135" s="850"/>
      <c r="N135" s="852"/>
      <c r="O135" s="851"/>
      <c r="P135" s="869">
        <f t="shared" si="47"/>
        <v>0</v>
      </c>
      <c r="Q135" s="569"/>
      <c r="R135" s="723"/>
      <c r="S135" s="897">
        <f>P135*$AB$40</f>
        <v>0</v>
      </c>
      <c r="T135" s="567">
        <f>P135*$AC$40</f>
        <v>0</v>
      </c>
      <c r="U135" s="567">
        <f>P135*$AD$40</f>
        <v>0</v>
      </c>
      <c r="V135" s="567">
        <f>P135*$AE$40</f>
        <v>0</v>
      </c>
      <c r="W135" s="567">
        <f>P135*$AF$40</f>
        <v>0</v>
      </c>
      <c r="X135" s="567">
        <f>P135*$AG$40</f>
        <v>0</v>
      </c>
      <c r="Y135" s="741"/>
      <c r="AK135" s="60"/>
      <c r="AL135" s="60"/>
      <c r="AM135" s="60"/>
    </row>
    <row r="136" spans="3:39" hidden="1">
      <c r="C136" s="1183"/>
      <c r="D136" s="606" t="s">
        <v>2698</v>
      </c>
      <c r="E136" s="567">
        <v>4624.2824545693684</v>
      </c>
      <c r="F136" s="568">
        <v>988.42500000000007</v>
      </c>
      <c r="G136" s="850"/>
      <c r="H136" s="852"/>
      <c r="I136" s="852"/>
      <c r="J136" s="851"/>
      <c r="K136" s="850"/>
      <c r="L136" s="851"/>
      <c r="M136" s="850"/>
      <c r="N136" s="852"/>
      <c r="O136" s="851"/>
      <c r="P136" s="869">
        <f t="shared" si="47"/>
        <v>0</v>
      </c>
      <c r="Q136" s="569"/>
      <c r="R136" s="723"/>
      <c r="S136" s="897">
        <f>P136*$AB$41</f>
        <v>0</v>
      </c>
      <c r="T136" s="567">
        <f>P136*$AC$41</f>
        <v>0</v>
      </c>
      <c r="U136" s="567">
        <f>P136*$AD$41</f>
        <v>0</v>
      </c>
      <c r="V136" s="567">
        <f>P136*$AE$41</f>
        <v>0</v>
      </c>
      <c r="W136" s="567">
        <f>P136*$AF$41</f>
        <v>0</v>
      </c>
      <c r="X136" s="567">
        <f>P136*$AG$41</f>
        <v>0</v>
      </c>
      <c r="Y136" s="741"/>
      <c r="AK136" s="60"/>
      <c r="AL136" s="60"/>
      <c r="AM136" s="60"/>
    </row>
    <row r="137" spans="3:39" hidden="1">
      <c r="C137" s="1183"/>
      <c r="D137" s="606" t="s">
        <v>2699</v>
      </c>
      <c r="E137" s="567">
        <v>1970.357743203873</v>
      </c>
      <c r="F137" s="568">
        <v>0</v>
      </c>
      <c r="G137" s="850"/>
      <c r="H137" s="852"/>
      <c r="I137" s="852"/>
      <c r="J137" s="851"/>
      <c r="K137" s="850"/>
      <c r="L137" s="851"/>
      <c r="M137" s="850"/>
      <c r="N137" s="852"/>
      <c r="O137" s="851"/>
      <c r="P137" s="869">
        <f t="shared" si="47"/>
        <v>0</v>
      </c>
      <c r="Q137" s="569"/>
      <c r="R137" s="723"/>
      <c r="S137" s="897">
        <f>P137*$AB$42</f>
        <v>0</v>
      </c>
      <c r="T137" s="567">
        <f>P137*$AC$42</f>
        <v>0</v>
      </c>
      <c r="U137" s="567">
        <f>P137*$AD$42</f>
        <v>0</v>
      </c>
      <c r="V137" s="567">
        <f>P137*$AE$42</f>
        <v>0</v>
      </c>
      <c r="W137" s="567">
        <f>P137*$AF$42</f>
        <v>0</v>
      </c>
      <c r="X137" s="567">
        <f>P137*$AG$42</f>
        <v>0</v>
      </c>
      <c r="Y137" s="741"/>
      <c r="AK137" s="60"/>
      <c r="AL137" s="60"/>
      <c r="AM137" s="60"/>
    </row>
    <row r="138" spans="3:39" s="885" customFormat="1" hidden="1">
      <c r="C138" s="1183"/>
      <c r="D138" s="877" t="s">
        <v>1483</v>
      </c>
      <c r="E138" s="878">
        <f>SUM(E120:E137)</f>
        <v>206162.64104277533</v>
      </c>
      <c r="F138" s="879">
        <f>SUM(F120:F137)</f>
        <v>70124.640000000014</v>
      </c>
      <c r="G138" s="874">
        <f>SUM(G120:G137)</f>
        <v>2043</v>
      </c>
      <c r="H138" s="875">
        <f>SUM(H120:H137)</f>
        <v>0</v>
      </c>
      <c r="I138" s="875"/>
      <c r="J138" s="876">
        <f>SUM(J120:J137)</f>
        <v>0</v>
      </c>
      <c r="K138" s="874">
        <f>SUM(K120:K137)</f>
        <v>0</v>
      </c>
      <c r="L138" s="876">
        <f>SUM(L120:L137)</f>
        <v>0</v>
      </c>
      <c r="M138" s="874"/>
      <c r="N138" s="875">
        <f>SUM(N120:N137)</f>
        <v>0</v>
      </c>
      <c r="O138" s="876">
        <f>SUM(O120:O137)</f>
        <v>0</v>
      </c>
      <c r="P138" s="877">
        <f>SUM(P120:P137)</f>
        <v>2043</v>
      </c>
      <c r="Q138" s="880">
        <f t="shared" si="50"/>
        <v>2.9133839403667521E-2</v>
      </c>
      <c r="R138" s="881">
        <f t="shared" ref="R138:R176" si="52">1-Q138</f>
        <v>0.97086616059633246</v>
      </c>
      <c r="S138" s="882">
        <f t="shared" ref="S138:Y138" si="53">SUM(S120:S137)</f>
        <v>1039.8224913803576</v>
      </c>
      <c r="T138" s="883">
        <f t="shared" si="53"/>
        <v>1003.1775086196423</v>
      </c>
      <c r="U138" s="883">
        <f t="shared" si="53"/>
        <v>736.02803483271327</v>
      </c>
      <c r="V138" s="883">
        <f t="shared" si="53"/>
        <v>1192.9665787137815</v>
      </c>
      <c r="W138" s="883">
        <f t="shared" si="53"/>
        <v>114.00538645350527</v>
      </c>
      <c r="X138" s="883">
        <f t="shared" si="53"/>
        <v>186.00527829387801</v>
      </c>
      <c r="Y138" s="884">
        <f t="shared" si="53"/>
        <v>20016.150000000001</v>
      </c>
      <c r="AK138" s="60">
        <f t="shared" si="32"/>
        <v>2043</v>
      </c>
      <c r="AL138" s="60">
        <f t="shared" si="33"/>
        <v>0</v>
      </c>
      <c r="AM138" s="60">
        <f t="shared" si="34"/>
        <v>0</v>
      </c>
    </row>
    <row r="139" spans="3:39" hidden="1">
      <c r="C139" s="1184" t="s">
        <v>2769</v>
      </c>
      <c r="D139" s="703" t="s">
        <v>2688</v>
      </c>
      <c r="E139" s="704">
        <v>111096.7979840148</v>
      </c>
      <c r="F139" s="705">
        <v>31675.809596802959</v>
      </c>
      <c r="G139" s="853"/>
      <c r="H139" s="855"/>
      <c r="I139" s="855"/>
      <c r="J139" s="854"/>
      <c r="K139" s="853">
        <v>2000</v>
      </c>
      <c r="L139" s="854"/>
      <c r="M139" s="853"/>
      <c r="N139" s="855"/>
      <c r="O139" s="854"/>
      <c r="P139" s="812">
        <f t="shared" ref="P139:P156" si="54">SUM(G139:O139)</f>
        <v>2000</v>
      </c>
      <c r="Q139" s="706">
        <f t="shared" si="50"/>
        <v>6.3139664793346276E-2</v>
      </c>
      <c r="R139" s="724">
        <f t="shared" si="52"/>
        <v>0.93686033520665368</v>
      </c>
      <c r="S139" s="742">
        <f>P139*$AB$25</f>
        <v>958.42567781331684</v>
      </c>
      <c r="T139" s="703">
        <f>P139*$AC$25</f>
        <v>1041.574322186683</v>
      </c>
      <c r="U139" s="703">
        <f>P139*$AD$25</f>
        <v>734.0620806243013</v>
      </c>
      <c r="V139" s="703">
        <f>P139*$AE$25</f>
        <v>1088.2503980494482</v>
      </c>
      <c r="W139" s="703">
        <f>P139*$AF$25</f>
        <v>177.68752132625067</v>
      </c>
      <c r="X139" s="703">
        <f>P139*$AG$25</f>
        <v>304.55415502103307</v>
      </c>
      <c r="Y139" s="713">
        <f t="shared" ref="Y139:Y156" si="55">F139-P139</f>
        <v>29675.809596802959</v>
      </c>
      <c r="AK139" s="60">
        <f t="shared" si="32"/>
        <v>2000</v>
      </c>
      <c r="AL139" s="60">
        <f t="shared" si="33"/>
        <v>0</v>
      </c>
      <c r="AM139" s="60">
        <f t="shared" si="34"/>
        <v>0</v>
      </c>
    </row>
    <row r="140" spans="3:39" hidden="1">
      <c r="C140" s="1185"/>
      <c r="D140" s="703" t="s">
        <v>2689</v>
      </c>
      <c r="E140" s="704">
        <v>6881.8180702501222</v>
      </c>
      <c r="F140" s="705">
        <v>2420.6544562000977</v>
      </c>
      <c r="G140" s="853"/>
      <c r="H140" s="855"/>
      <c r="I140" s="855"/>
      <c r="J140" s="854"/>
      <c r="K140" s="853"/>
      <c r="L140" s="854"/>
      <c r="M140" s="853"/>
      <c r="N140" s="855"/>
      <c r="O140" s="854"/>
      <c r="P140" s="812">
        <f t="shared" si="54"/>
        <v>0</v>
      </c>
      <c r="Q140" s="706">
        <f t="shared" si="50"/>
        <v>0</v>
      </c>
      <c r="R140" s="724">
        <f t="shared" si="52"/>
        <v>1</v>
      </c>
      <c r="S140" s="742">
        <f>P140*$AB$26</f>
        <v>0</v>
      </c>
      <c r="T140" s="703">
        <f>P140*$AC$26</f>
        <v>0</v>
      </c>
      <c r="U140" s="703">
        <f>P140*$AD$26</f>
        <v>0</v>
      </c>
      <c r="V140" s="703">
        <f>P140*$AE$26</f>
        <v>0</v>
      </c>
      <c r="W140" s="703">
        <f>P140*$AF$26</f>
        <v>0</v>
      </c>
      <c r="X140" s="703">
        <f>P140*$AG$26</f>
        <v>0</v>
      </c>
      <c r="Y140" s="713">
        <f t="shared" si="55"/>
        <v>2420.6544562000977</v>
      </c>
      <c r="AK140" s="60">
        <f t="shared" si="32"/>
        <v>0</v>
      </c>
      <c r="AL140" s="60">
        <f t="shared" si="33"/>
        <v>0</v>
      </c>
      <c r="AM140" s="60">
        <f t="shared" si="34"/>
        <v>0</v>
      </c>
    </row>
    <row r="141" spans="3:39" hidden="1">
      <c r="C141" s="1185"/>
      <c r="D141" s="703" t="s">
        <v>2690</v>
      </c>
      <c r="E141" s="704">
        <v>170547.23083816754</v>
      </c>
      <c r="F141" s="705">
        <v>45630.246167633508</v>
      </c>
      <c r="G141" s="853"/>
      <c r="H141" s="855"/>
      <c r="I141" s="855"/>
      <c r="J141" s="854"/>
      <c r="K141" s="918">
        <v>68</v>
      </c>
      <c r="L141" s="854"/>
      <c r="M141" s="853"/>
      <c r="N141" s="855"/>
      <c r="O141" s="854"/>
      <c r="P141" s="812">
        <f t="shared" si="54"/>
        <v>68</v>
      </c>
      <c r="Q141" s="706">
        <f t="shared" si="50"/>
        <v>1.4902396044541577E-3</v>
      </c>
      <c r="R141" s="724">
        <f t="shared" si="52"/>
        <v>0.99850976039554584</v>
      </c>
      <c r="S141" s="742">
        <f>P141*$AB$27</f>
        <v>32.453197672489935</v>
      </c>
      <c r="T141" s="703">
        <f>P141*$AC$27</f>
        <v>35.546802327510065</v>
      </c>
      <c r="U141" s="703">
        <f>P141*$AD$27</f>
        <v>22.95760854982759</v>
      </c>
      <c r="V141" s="703">
        <f>P141*$AE$27</f>
        <v>39.09019999083695</v>
      </c>
      <c r="W141" s="703">
        <f>P141*$AF$27</f>
        <v>5.9521914593354559</v>
      </c>
      <c r="X141" s="703">
        <f>P141*$AG$27</f>
        <v>8.5396735175292431</v>
      </c>
      <c r="Y141" s="713">
        <f t="shared" si="55"/>
        <v>45562.246167633508</v>
      </c>
      <c r="AK141" s="60">
        <f t="shared" si="32"/>
        <v>68</v>
      </c>
      <c r="AL141" s="60">
        <f t="shared" si="33"/>
        <v>0</v>
      </c>
      <c r="AM141" s="60">
        <f t="shared" si="34"/>
        <v>0</v>
      </c>
    </row>
    <row r="142" spans="3:39" hidden="1">
      <c r="C142" s="1185"/>
      <c r="D142" s="703" t="s">
        <v>2691</v>
      </c>
      <c r="E142" s="704">
        <v>0</v>
      </c>
      <c r="F142" s="705">
        <v>0</v>
      </c>
      <c r="G142" s="853"/>
      <c r="H142" s="856"/>
      <c r="I142" s="856"/>
      <c r="J142" s="857"/>
      <c r="K142" s="868"/>
      <c r="L142" s="857"/>
      <c r="M142" s="868"/>
      <c r="N142" s="856"/>
      <c r="O142" s="857"/>
      <c r="P142" s="812">
        <f t="shared" si="54"/>
        <v>0</v>
      </c>
      <c r="Q142" s="706" t="e">
        <f t="shared" si="50"/>
        <v>#DIV/0!</v>
      </c>
      <c r="R142" s="724" t="e">
        <f t="shared" si="52"/>
        <v>#DIV/0!</v>
      </c>
      <c r="S142" s="742">
        <f>P142*$AB$28</f>
        <v>0</v>
      </c>
      <c r="T142" s="703">
        <f>P142*$AC$28</f>
        <v>0</v>
      </c>
      <c r="U142" s="703">
        <f>P142*$AD$28</f>
        <v>0</v>
      </c>
      <c r="V142" s="703">
        <f>P142*$AE$28</f>
        <v>0</v>
      </c>
      <c r="W142" s="703">
        <f>P142*$AF$28</f>
        <v>0</v>
      </c>
      <c r="X142" s="703">
        <f>P142*$AG$28</f>
        <v>0</v>
      </c>
      <c r="Y142" s="713">
        <f t="shared" si="55"/>
        <v>0</v>
      </c>
      <c r="AK142" s="60">
        <f t="shared" si="32"/>
        <v>0</v>
      </c>
      <c r="AL142" s="60">
        <f t="shared" si="33"/>
        <v>0</v>
      </c>
      <c r="AM142" s="60">
        <f t="shared" si="34"/>
        <v>0</v>
      </c>
    </row>
    <row r="143" spans="3:39" hidden="1">
      <c r="C143" s="1185"/>
      <c r="D143" s="703" t="s">
        <v>610</v>
      </c>
      <c r="E143" s="704">
        <v>133949.83369622205</v>
      </c>
      <c r="F143" s="705">
        <v>90589.166739244407</v>
      </c>
      <c r="G143" s="853"/>
      <c r="H143" s="856">
        <v>10035</v>
      </c>
      <c r="I143" s="856"/>
      <c r="J143" s="857"/>
      <c r="K143" s="868"/>
      <c r="L143" s="857"/>
      <c r="M143" s="868"/>
      <c r="N143" s="856"/>
      <c r="O143" s="857"/>
      <c r="P143" s="812">
        <f t="shared" si="54"/>
        <v>10035</v>
      </c>
      <c r="Q143" s="706">
        <f t="shared" si="50"/>
        <v>0.11077483501846482</v>
      </c>
      <c r="R143" s="724">
        <f t="shared" si="52"/>
        <v>0.88922516498153514</v>
      </c>
      <c r="S143" s="742">
        <f>P143*$AB$29</f>
        <v>4813.8065756714823</v>
      </c>
      <c r="T143" s="703">
        <f>P143*$AC$29</f>
        <v>5221.1934243285177</v>
      </c>
      <c r="U143" s="703">
        <f>P143*$AD$29</f>
        <v>4634.2614677078791</v>
      </c>
      <c r="V143" s="703">
        <f>P143*$AE$29</f>
        <v>4740.9197975776988</v>
      </c>
      <c r="W143" s="703">
        <f>P143*$AF$29</f>
        <v>659.81873471442213</v>
      </c>
      <c r="X143" s="703">
        <f>P143*$AG$29</f>
        <v>2070.191480112519</v>
      </c>
      <c r="Y143" s="713">
        <f t="shared" si="55"/>
        <v>80554.166739244407</v>
      </c>
      <c r="AK143" s="60">
        <f t="shared" si="32"/>
        <v>10035</v>
      </c>
      <c r="AL143" s="60">
        <f t="shared" si="33"/>
        <v>0</v>
      </c>
      <c r="AM143" s="60">
        <f t="shared" si="34"/>
        <v>0</v>
      </c>
    </row>
    <row r="144" spans="3:39">
      <c r="C144" s="1185"/>
      <c r="D144" s="703" t="s">
        <v>37</v>
      </c>
      <c r="E144" s="704">
        <v>231228.27654495894</v>
      </c>
      <c r="F144" s="705">
        <v>121307.82765449589</v>
      </c>
      <c r="G144" s="853">
        <f>J2</f>
        <v>54244</v>
      </c>
      <c r="H144" s="856">
        <v>231</v>
      </c>
      <c r="I144" s="856"/>
      <c r="J144" s="857">
        <v>5</v>
      </c>
      <c r="K144" s="868"/>
      <c r="L144" s="857"/>
      <c r="M144" s="868"/>
      <c r="N144" s="856"/>
      <c r="O144" s="857"/>
      <c r="P144" s="812">
        <f t="shared" si="54"/>
        <v>54480</v>
      </c>
      <c r="Q144" s="706">
        <f t="shared" si="50"/>
        <v>0.44910539619230311</v>
      </c>
      <c r="R144" s="724">
        <f t="shared" si="52"/>
        <v>0.55089460380769695</v>
      </c>
      <c r="S144" s="742">
        <f>P144*$AB$30</f>
        <v>27776.460759084282</v>
      </c>
      <c r="T144" s="703">
        <f>P144*$AC$30</f>
        <v>26703.539240915718</v>
      </c>
      <c r="U144" s="703">
        <f>P144*$AD$30</f>
        <v>19618.113889292992</v>
      </c>
      <c r="V144" s="703">
        <f>P144*$AE$30</f>
        <v>31865.693539423479</v>
      </c>
      <c r="W144" s="703">
        <f>P144*$AF$30</f>
        <v>2996.1925712835264</v>
      </c>
      <c r="X144" s="703">
        <f>P144*$AG$30</f>
        <v>4847.5005259140153</v>
      </c>
      <c r="Y144" s="713">
        <f t="shared" si="55"/>
        <v>66827.827654495894</v>
      </c>
      <c r="AK144" s="60">
        <f t="shared" si="32"/>
        <v>54475</v>
      </c>
      <c r="AL144" s="60">
        <f t="shared" si="33"/>
        <v>5</v>
      </c>
      <c r="AM144" s="60">
        <f t="shared" si="34"/>
        <v>0</v>
      </c>
    </row>
    <row r="145" spans="3:39" hidden="1">
      <c r="C145" s="1185"/>
      <c r="D145" s="703" t="s">
        <v>2692</v>
      </c>
      <c r="E145" s="704">
        <v>207176.84686270333</v>
      </c>
      <c r="F145" s="705">
        <v>78681.919372540666</v>
      </c>
      <c r="G145" s="853"/>
      <c r="H145" s="856"/>
      <c r="I145" s="856"/>
      <c r="J145" s="857"/>
      <c r="K145" s="919">
        <v>7136</v>
      </c>
      <c r="L145" s="857"/>
      <c r="M145" s="868"/>
      <c r="N145" s="856"/>
      <c r="O145" s="857"/>
      <c r="P145" s="812">
        <f t="shared" si="54"/>
        <v>7136</v>
      </c>
      <c r="Q145" s="706">
        <f t="shared" si="50"/>
        <v>9.0694279663065827E-2</v>
      </c>
      <c r="R145" s="724">
        <f t="shared" si="52"/>
        <v>0.90930572033693413</v>
      </c>
      <c r="S145" s="742">
        <f>P145*$AB$31</f>
        <v>3675.589909054142</v>
      </c>
      <c r="T145" s="703">
        <f>P145*$AC$31</f>
        <v>3460.4100909458584</v>
      </c>
      <c r="U145" s="703">
        <f>P145*$AD$31</f>
        <v>2891.0774769997242</v>
      </c>
      <c r="V145" s="703">
        <f>P145*$AE$31</f>
        <v>3871.9485324132061</v>
      </c>
      <c r="W145" s="703">
        <f>P145*$AF$31</f>
        <v>372.97399058706958</v>
      </c>
      <c r="X145" s="703">
        <f>P145*$AG$31</f>
        <v>772.96396534260259</v>
      </c>
      <c r="Y145" s="713">
        <f t="shared" si="55"/>
        <v>71545.919372540666</v>
      </c>
      <c r="AK145" s="60">
        <f t="shared" si="32"/>
        <v>7136</v>
      </c>
      <c r="AL145" s="60">
        <f t="shared" si="33"/>
        <v>0</v>
      </c>
      <c r="AM145" s="60">
        <f t="shared" si="34"/>
        <v>0</v>
      </c>
    </row>
    <row r="146" spans="3:39" hidden="1">
      <c r="C146" s="1185"/>
      <c r="D146" s="703" t="s">
        <v>2332</v>
      </c>
      <c r="E146" s="704">
        <v>293903.52269109758</v>
      </c>
      <c r="F146" s="705">
        <v>75923.504538219524</v>
      </c>
      <c r="G146" s="853"/>
      <c r="H146" s="856">
        <v>7641</v>
      </c>
      <c r="I146" s="856"/>
      <c r="J146" s="857"/>
      <c r="K146" s="868"/>
      <c r="L146" s="857"/>
      <c r="M146" s="868"/>
      <c r="N146" s="856"/>
      <c r="O146" s="857"/>
      <c r="P146" s="812">
        <f t="shared" si="54"/>
        <v>7641</v>
      </c>
      <c r="Q146" s="706">
        <f t="shared" si="50"/>
        <v>0.10064077055549454</v>
      </c>
      <c r="R146" s="724">
        <f t="shared" si="52"/>
        <v>0.89935922944450541</v>
      </c>
      <c r="S146" s="742">
        <f>P146*$AB$32</f>
        <v>3791.13931795286</v>
      </c>
      <c r="T146" s="703">
        <f>P146*$AC$32</f>
        <v>3849.86068204714</v>
      </c>
      <c r="U146" s="703">
        <f>P146*$AD$32</f>
        <v>3150.2948536420963</v>
      </c>
      <c r="V146" s="703">
        <f>P146*$AE$32</f>
        <v>3952.4717016125492</v>
      </c>
      <c r="W146" s="703">
        <f>P146*$AF$32</f>
        <v>538.23344474535452</v>
      </c>
      <c r="X146" s="703">
        <f>P146*$AG$32</f>
        <v>1270.7978380045104</v>
      </c>
      <c r="Y146" s="713">
        <f t="shared" si="55"/>
        <v>68282.504538219524</v>
      </c>
      <c r="AK146" s="60">
        <f t="shared" si="32"/>
        <v>7641</v>
      </c>
      <c r="AL146" s="60">
        <f t="shared" si="33"/>
        <v>0</v>
      </c>
      <c r="AM146" s="60">
        <f t="shared" si="34"/>
        <v>0</v>
      </c>
    </row>
    <row r="147" spans="3:39" hidden="1">
      <c r="C147" s="1185"/>
      <c r="D147" s="703" t="s">
        <v>2693</v>
      </c>
      <c r="E147" s="704">
        <v>388884.05822737725</v>
      </c>
      <c r="F147" s="705">
        <v>122354.01164547546</v>
      </c>
      <c r="G147" s="853"/>
      <c r="H147" s="856">
        <v>455</v>
      </c>
      <c r="I147" s="856"/>
      <c r="J147" s="857"/>
      <c r="K147" s="868"/>
      <c r="L147" s="857"/>
      <c r="M147" s="868"/>
      <c r="N147" s="856"/>
      <c r="O147" s="857"/>
      <c r="P147" s="812">
        <f t="shared" si="54"/>
        <v>455</v>
      </c>
      <c r="Q147" s="706">
        <f t="shared" si="50"/>
        <v>3.7187174648459962E-3</v>
      </c>
      <c r="R147" s="724">
        <f t="shared" si="52"/>
        <v>0.99628128253515402</v>
      </c>
      <c r="S147" s="742">
        <f>P147*$AB$33</f>
        <v>212.13932050750617</v>
      </c>
      <c r="T147" s="703">
        <f>P147*$AC$33</f>
        <v>242.86067949249383</v>
      </c>
      <c r="U147" s="703">
        <f>P147*$AD$33</f>
        <v>145.10219029347309</v>
      </c>
      <c r="V147" s="703">
        <f>P147*$AE$33</f>
        <v>265.03650829513498</v>
      </c>
      <c r="W147" s="703">
        <f>P147*$AF$33</f>
        <v>44.86130141139197</v>
      </c>
      <c r="X147" s="703">
        <f>P147*$AG$33</f>
        <v>77.475467640256142</v>
      </c>
      <c r="Y147" s="713">
        <f t="shared" si="55"/>
        <v>121899.01164547546</v>
      </c>
      <c r="AK147" s="60">
        <f t="shared" si="32"/>
        <v>455</v>
      </c>
      <c r="AL147" s="60">
        <f t="shared" si="33"/>
        <v>0</v>
      </c>
      <c r="AM147" s="60">
        <f t="shared" si="34"/>
        <v>0</v>
      </c>
    </row>
    <row r="148" spans="3:39" hidden="1">
      <c r="C148" s="1185"/>
      <c r="D148" s="703" t="s">
        <v>2694</v>
      </c>
      <c r="E148" s="704">
        <v>22342.381043354912</v>
      </c>
      <c r="F148" s="705">
        <v>0</v>
      </c>
      <c r="G148" s="853"/>
      <c r="H148" s="856"/>
      <c r="I148" s="856"/>
      <c r="J148" s="857"/>
      <c r="K148" s="868"/>
      <c r="L148" s="857"/>
      <c r="M148" s="868"/>
      <c r="N148" s="856"/>
      <c r="O148" s="857"/>
      <c r="P148" s="812">
        <f t="shared" si="54"/>
        <v>0</v>
      </c>
      <c r="Q148" s="706" t="e">
        <f t="shared" si="50"/>
        <v>#DIV/0!</v>
      </c>
      <c r="R148" s="724" t="e">
        <f t="shared" si="52"/>
        <v>#DIV/0!</v>
      </c>
      <c r="S148" s="742">
        <f>P148*$AB$34</f>
        <v>0</v>
      </c>
      <c r="T148" s="703">
        <f>P148*$AC$34</f>
        <v>0</v>
      </c>
      <c r="U148" s="703">
        <f>P148*$AD$34</f>
        <v>0</v>
      </c>
      <c r="V148" s="703">
        <f>P148*$AE$34</f>
        <v>0</v>
      </c>
      <c r="W148" s="703">
        <f>P148*$AF$34</f>
        <v>0</v>
      </c>
      <c r="X148" s="703">
        <f>P148*$AG$34</f>
        <v>0</v>
      </c>
      <c r="Y148" s="713">
        <f t="shared" si="55"/>
        <v>0</v>
      </c>
      <c r="AK148" s="60">
        <f t="shared" si="32"/>
        <v>0</v>
      </c>
      <c r="AL148" s="60">
        <f t="shared" si="33"/>
        <v>0</v>
      </c>
      <c r="AM148" s="60">
        <f t="shared" si="34"/>
        <v>0</v>
      </c>
    </row>
    <row r="149" spans="3:39" hidden="1">
      <c r="C149" s="1185"/>
      <c r="D149" s="703" t="s">
        <v>2695</v>
      </c>
      <c r="E149" s="704">
        <v>0</v>
      </c>
      <c r="F149" s="705">
        <v>0</v>
      </c>
      <c r="G149" s="853"/>
      <c r="H149" s="855"/>
      <c r="I149" s="855"/>
      <c r="J149" s="854"/>
      <c r="K149" s="853"/>
      <c r="L149" s="854"/>
      <c r="M149" s="853"/>
      <c r="N149" s="855"/>
      <c r="O149" s="854"/>
      <c r="P149" s="812">
        <f t="shared" si="54"/>
        <v>0</v>
      </c>
      <c r="Q149" s="706" t="e">
        <f t="shared" si="50"/>
        <v>#DIV/0!</v>
      </c>
      <c r="R149" s="724" t="e">
        <f t="shared" si="52"/>
        <v>#DIV/0!</v>
      </c>
      <c r="S149" s="742">
        <f>P149*$AB$35</f>
        <v>0</v>
      </c>
      <c r="T149" s="703">
        <f>P149*$AC$35</f>
        <v>0</v>
      </c>
      <c r="U149" s="703">
        <f>P149*$AD$35</f>
        <v>0</v>
      </c>
      <c r="V149" s="703">
        <f>P149*$AE$35</f>
        <v>0</v>
      </c>
      <c r="W149" s="703">
        <f>P149*$AF$35</f>
        <v>0</v>
      </c>
      <c r="X149" s="703">
        <f>P149*$AG$35</f>
        <v>0</v>
      </c>
      <c r="Y149" s="713">
        <f t="shared" si="55"/>
        <v>0</v>
      </c>
      <c r="AK149" s="60">
        <f t="shared" si="32"/>
        <v>0</v>
      </c>
      <c r="AL149" s="60">
        <f t="shared" si="33"/>
        <v>0</v>
      </c>
      <c r="AM149" s="60">
        <f t="shared" si="34"/>
        <v>0</v>
      </c>
    </row>
    <row r="150" spans="3:39" hidden="1">
      <c r="C150" s="1185"/>
      <c r="D150" s="703" t="s">
        <v>304</v>
      </c>
      <c r="E150" s="704">
        <v>1041892.4324525243</v>
      </c>
      <c r="F150" s="705">
        <v>494284.62298100966</v>
      </c>
      <c r="G150" s="853">
        <v>59395</v>
      </c>
      <c r="H150" s="891">
        <v>11824</v>
      </c>
      <c r="I150" s="855">
        <v>15826</v>
      </c>
      <c r="J150" s="854"/>
      <c r="K150" s="853"/>
      <c r="L150" s="854"/>
      <c r="M150" s="853"/>
      <c r="N150" s="855"/>
      <c r="O150" s="854"/>
      <c r="P150" s="812">
        <f t="shared" si="54"/>
        <v>87045</v>
      </c>
      <c r="Q150" s="706">
        <f t="shared" si="50"/>
        <v>0.17610298996362719</v>
      </c>
      <c r="R150" s="724">
        <f t="shared" si="52"/>
        <v>0.82389701003637283</v>
      </c>
      <c r="S150" s="742">
        <f>P150*$AB$36</f>
        <v>41255.081205312308</v>
      </c>
      <c r="T150" s="703">
        <f>P150*$AC$36</f>
        <v>45789.918794687692</v>
      </c>
      <c r="U150" s="703">
        <f>P150*$AD$36</f>
        <v>31951.853445790868</v>
      </c>
      <c r="V150" s="703">
        <f>P150*$AE$36</f>
        <v>47436.712470465376</v>
      </c>
      <c r="W150" s="703">
        <f>P150*$AF$36</f>
        <v>7656.4340837437667</v>
      </c>
      <c r="X150" s="703">
        <f>P150*$AG$36</f>
        <v>15098.633117853491</v>
      </c>
      <c r="Y150" s="713">
        <f t="shared" si="55"/>
        <v>407239.62298100966</v>
      </c>
      <c r="AK150" s="60">
        <f t="shared" si="32"/>
        <v>71219</v>
      </c>
      <c r="AL150" s="60">
        <f t="shared" si="33"/>
        <v>15826</v>
      </c>
      <c r="AM150" s="60">
        <f t="shared" si="34"/>
        <v>0</v>
      </c>
    </row>
    <row r="151" spans="3:39" hidden="1">
      <c r="C151" s="1185"/>
      <c r="D151" s="703" t="s">
        <v>2696</v>
      </c>
      <c r="E151" s="704">
        <v>1841693.9600234586</v>
      </c>
      <c r="F151" s="705">
        <v>352045.49600234587</v>
      </c>
      <c r="G151" s="853"/>
      <c r="H151" s="855">
        <v>2217</v>
      </c>
      <c r="I151" s="855"/>
      <c r="J151" s="854"/>
      <c r="K151" s="868"/>
      <c r="L151" s="854"/>
      <c r="M151" s="853"/>
      <c r="N151" s="855"/>
      <c r="O151" s="854"/>
      <c r="P151" s="812">
        <f t="shared" si="54"/>
        <v>2217</v>
      </c>
      <c r="Q151" s="706">
        <f t="shared" si="50"/>
        <v>6.2974815050189622E-3</v>
      </c>
      <c r="R151" s="724">
        <f t="shared" si="52"/>
        <v>0.99370251849498104</v>
      </c>
      <c r="S151" s="742">
        <f>P151*$AB$37</f>
        <v>1055.9629502846249</v>
      </c>
      <c r="T151" s="703">
        <f>P151*$AC$37</f>
        <v>1161.0370497153751</v>
      </c>
      <c r="U151" s="703">
        <f>P151*$AD$37</f>
        <v>757.28867658764716</v>
      </c>
      <c r="V151" s="703">
        <f>P151*$AE$37</f>
        <v>1273.1936326402763</v>
      </c>
      <c r="W151" s="703">
        <f>P151*$AF$37</f>
        <v>186.51769077207553</v>
      </c>
      <c r="X151" s="703">
        <f>P151*$AG$37</f>
        <v>213.13668457216738</v>
      </c>
      <c r="Y151" s="713">
        <f t="shared" si="55"/>
        <v>349828.49600234587</v>
      </c>
      <c r="AK151" s="60">
        <f t="shared" si="32"/>
        <v>2217</v>
      </c>
      <c r="AL151" s="60">
        <f t="shared" si="33"/>
        <v>0</v>
      </c>
      <c r="AM151" s="60">
        <f t="shared" si="34"/>
        <v>0</v>
      </c>
    </row>
    <row r="152" spans="3:39" hidden="1">
      <c r="C152" s="1185"/>
      <c r="D152" s="703" t="s">
        <v>2697</v>
      </c>
      <c r="E152" s="704">
        <v>0</v>
      </c>
      <c r="F152" s="705">
        <v>0</v>
      </c>
      <c r="G152" s="853"/>
      <c r="H152" s="855"/>
      <c r="I152" s="855"/>
      <c r="J152" s="854"/>
      <c r="K152" s="918">
        <v>10000</v>
      </c>
      <c r="L152" s="854"/>
      <c r="M152" s="853"/>
      <c r="N152" s="855"/>
      <c r="O152" s="854"/>
      <c r="P152" s="812">
        <f t="shared" si="54"/>
        <v>10000</v>
      </c>
      <c r="Q152" s="706" t="e">
        <f t="shared" si="50"/>
        <v>#DIV/0!</v>
      </c>
      <c r="R152" s="724" t="e">
        <f t="shared" si="52"/>
        <v>#DIV/0!</v>
      </c>
      <c r="S152" s="742">
        <f>P152*$AB$38</f>
        <v>5200.0083467854001</v>
      </c>
      <c r="T152" s="703">
        <f>P152*$AC$38</f>
        <v>4799.9916532145999</v>
      </c>
      <c r="U152" s="703">
        <f>P152*$AD$38</f>
        <v>3799.6649287003429</v>
      </c>
      <c r="V152" s="703">
        <f>P152*$AE$38</f>
        <v>5620.2252854870667</v>
      </c>
      <c r="W152" s="703">
        <f>P152*$AF$38</f>
        <v>580.10978581259076</v>
      </c>
      <c r="X152" s="703">
        <f>P152*$AG$38</f>
        <v>862.18050764048519</v>
      </c>
      <c r="Y152" s="713">
        <f t="shared" si="55"/>
        <v>-10000</v>
      </c>
      <c r="AK152" s="60">
        <f t="shared" si="32"/>
        <v>10000</v>
      </c>
      <c r="AL152" s="60">
        <f t="shared" si="33"/>
        <v>0</v>
      </c>
      <c r="AM152" s="60">
        <f t="shared" si="34"/>
        <v>0</v>
      </c>
    </row>
    <row r="153" spans="3:39" hidden="1">
      <c r="C153" s="1185"/>
      <c r="D153" s="703" t="s">
        <v>515</v>
      </c>
      <c r="E153" s="704">
        <v>179191.85816781156</v>
      </c>
      <c r="F153" s="705">
        <v>67807.757450343488</v>
      </c>
      <c r="G153" s="853">
        <f>J3</f>
        <v>5542</v>
      </c>
      <c r="H153" s="855">
        <v>157</v>
      </c>
      <c r="I153" s="855">
        <v>752</v>
      </c>
      <c r="J153" s="854"/>
      <c r="K153" s="853"/>
      <c r="L153" s="854"/>
      <c r="M153" s="853"/>
      <c r="N153" s="855"/>
      <c r="O153" s="854"/>
      <c r="P153" s="812">
        <f t="shared" si="54"/>
        <v>6451</v>
      </c>
      <c r="Q153" s="706">
        <f t="shared" si="50"/>
        <v>9.5136607411388768E-2</v>
      </c>
      <c r="R153" s="724">
        <f t="shared" si="52"/>
        <v>0.90486339258861126</v>
      </c>
      <c r="S153" s="742">
        <f>P153*$AB$39</f>
        <v>3226.4965842216602</v>
      </c>
      <c r="T153" s="703">
        <f>P153*$AC$39</f>
        <v>3224.5034157783398</v>
      </c>
      <c r="U153" s="703">
        <f>P153*$AD$39</f>
        <v>2451.1638455045904</v>
      </c>
      <c r="V153" s="703">
        <f>P153*$AE$39</f>
        <v>3625.6073316677057</v>
      </c>
      <c r="W153" s="703">
        <f>P153*$AF$39</f>
        <v>374.22882282770217</v>
      </c>
      <c r="X153" s="703">
        <f>P153*$AG$39</f>
        <v>556.19264547887678</v>
      </c>
      <c r="Y153" s="713">
        <f t="shared" si="55"/>
        <v>61356.757450343488</v>
      </c>
      <c r="AK153" s="60">
        <f t="shared" si="32"/>
        <v>5699</v>
      </c>
      <c r="AL153" s="60">
        <f t="shared" si="33"/>
        <v>752</v>
      </c>
      <c r="AM153" s="60">
        <f t="shared" si="34"/>
        <v>0</v>
      </c>
    </row>
    <row r="154" spans="3:39" hidden="1">
      <c r="C154" s="1185"/>
      <c r="D154" s="703" t="s">
        <v>2638</v>
      </c>
      <c r="E154" s="704">
        <v>360411.00452311093</v>
      </c>
      <c r="F154" s="705">
        <v>108123.30135693328</v>
      </c>
      <c r="G154" s="853"/>
      <c r="H154" s="855">
        <v>2906</v>
      </c>
      <c r="I154" s="855"/>
      <c r="J154" s="854"/>
      <c r="K154" s="918"/>
      <c r="L154" s="854"/>
      <c r="M154" s="853"/>
      <c r="N154" s="855"/>
      <c r="O154" s="854"/>
      <c r="P154" s="812">
        <f t="shared" si="54"/>
        <v>2906</v>
      </c>
      <c r="Q154" s="706">
        <f t="shared" si="50"/>
        <v>2.6876722811180202E-2</v>
      </c>
      <c r="R154" s="724">
        <f t="shared" si="52"/>
        <v>0.97312327718881975</v>
      </c>
      <c r="S154" s="742">
        <f>P154*$AB$40</f>
        <v>1441.657920543601</v>
      </c>
      <c r="T154" s="703">
        <f>P154*$AC$40</f>
        <v>1464.342079456399</v>
      </c>
      <c r="U154" s="703">
        <f>P154*$AD$40</f>
        <v>1104.1826282803195</v>
      </c>
      <c r="V154" s="703">
        <f>P154*$AE$40</f>
        <v>1633.2374679625411</v>
      </c>
      <c r="W154" s="703">
        <f>P154*$AF$40</f>
        <v>168.57990375713879</v>
      </c>
      <c r="X154" s="703">
        <f>P154*$AG$40</f>
        <v>250.54965552032488</v>
      </c>
      <c r="Y154" s="713">
        <f t="shared" si="55"/>
        <v>105217.30135693328</v>
      </c>
      <c r="AK154" s="60">
        <f t="shared" si="32"/>
        <v>2906</v>
      </c>
      <c r="AL154" s="60">
        <f t="shared" si="33"/>
        <v>0</v>
      </c>
      <c r="AM154" s="60">
        <f t="shared" si="34"/>
        <v>0</v>
      </c>
    </row>
    <row r="155" spans="3:39" hidden="1">
      <c r="C155" s="1185"/>
      <c r="D155" s="703" t="s">
        <v>2698</v>
      </c>
      <c r="E155" s="704">
        <v>115607.06136423421</v>
      </c>
      <c r="F155" s="705">
        <v>29710.912272846846</v>
      </c>
      <c r="G155" s="853"/>
      <c r="H155" s="855"/>
      <c r="I155" s="855"/>
      <c r="J155" s="854"/>
      <c r="K155" s="853"/>
      <c r="L155" s="854"/>
      <c r="M155" s="853"/>
      <c r="N155" s="855"/>
      <c r="O155" s="854"/>
      <c r="P155" s="812">
        <f t="shared" si="54"/>
        <v>0</v>
      </c>
      <c r="Q155" s="706">
        <f t="shared" si="50"/>
        <v>0</v>
      </c>
      <c r="R155" s="724">
        <f t="shared" si="52"/>
        <v>1</v>
      </c>
      <c r="S155" s="742">
        <f>P155*$AB$41</f>
        <v>0</v>
      </c>
      <c r="T155" s="703">
        <f>P155*$AC$41</f>
        <v>0</v>
      </c>
      <c r="U155" s="703">
        <f>P155*$AD$41</f>
        <v>0</v>
      </c>
      <c r="V155" s="703">
        <f>P155*$AE$41</f>
        <v>0</v>
      </c>
      <c r="W155" s="703">
        <f>P155*$AF$41</f>
        <v>0</v>
      </c>
      <c r="X155" s="703">
        <f>P155*$AG$41</f>
        <v>0</v>
      </c>
      <c r="Y155" s="713">
        <f t="shared" si="55"/>
        <v>29710.912272846846</v>
      </c>
      <c r="AK155" s="60">
        <f t="shared" si="32"/>
        <v>0</v>
      </c>
      <c r="AL155" s="60">
        <f t="shared" si="33"/>
        <v>0</v>
      </c>
      <c r="AM155" s="60">
        <f t="shared" si="34"/>
        <v>0</v>
      </c>
    </row>
    <row r="156" spans="3:39" hidden="1">
      <c r="C156" s="1185"/>
      <c r="D156" s="703" t="s">
        <v>2699</v>
      </c>
      <c r="E156" s="704">
        <v>49258.943580096828</v>
      </c>
      <c r="F156" s="705">
        <v>9175.5774320387318</v>
      </c>
      <c r="G156" s="853"/>
      <c r="H156" s="855"/>
      <c r="I156" s="855"/>
      <c r="J156" s="854"/>
      <c r="K156" s="853"/>
      <c r="L156" s="854"/>
      <c r="M156" s="853"/>
      <c r="N156" s="855"/>
      <c r="O156" s="854"/>
      <c r="P156" s="812">
        <f t="shared" si="54"/>
        <v>0</v>
      </c>
      <c r="Q156" s="706">
        <f t="shared" si="50"/>
        <v>0</v>
      </c>
      <c r="R156" s="724">
        <f t="shared" si="52"/>
        <v>1</v>
      </c>
      <c r="S156" s="742">
        <f>P156*$AB$42</f>
        <v>0</v>
      </c>
      <c r="T156" s="703">
        <f>P156*$AC$42</f>
        <v>0</v>
      </c>
      <c r="U156" s="703">
        <f>P156*$AD$42</f>
        <v>0</v>
      </c>
      <c r="V156" s="703">
        <f>P156*$AE$42</f>
        <v>0</v>
      </c>
      <c r="W156" s="703">
        <f>P156*$AF$42</f>
        <v>0</v>
      </c>
      <c r="X156" s="703">
        <f>P156*$AG$42</f>
        <v>0</v>
      </c>
      <c r="Y156" s="713">
        <f t="shared" si="55"/>
        <v>9175.5774320387318</v>
      </c>
      <c r="AK156" s="60">
        <f t="shared" si="32"/>
        <v>0</v>
      </c>
      <c r="AL156" s="60">
        <f t="shared" si="33"/>
        <v>0</v>
      </c>
      <c r="AM156" s="60">
        <f t="shared" si="34"/>
        <v>0</v>
      </c>
    </row>
    <row r="157" spans="3:39" s="598" customFormat="1" ht="23.5" hidden="1" customHeight="1">
      <c r="C157" s="1186"/>
      <c r="D157" s="707" t="s">
        <v>1483</v>
      </c>
      <c r="E157" s="708">
        <f t="shared" ref="E157:O157" si="56">SUM(E139:E156)</f>
        <v>5154066.0260693831</v>
      </c>
      <c r="F157" s="808">
        <f t="shared" si="56"/>
        <v>1629730.8076661306</v>
      </c>
      <c r="G157" s="858">
        <f>SUM(G139:G156)</f>
        <v>119181</v>
      </c>
      <c r="H157" s="859">
        <f t="shared" si="56"/>
        <v>35466</v>
      </c>
      <c r="I157" s="859">
        <f t="shared" si="56"/>
        <v>16578</v>
      </c>
      <c r="J157" s="860">
        <f t="shared" si="56"/>
        <v>5</v>
      </c>
      <c r="K157" s="858">
        <f t="shared" si="56"/>
        <v>19204</v>
      </c>
      <c r="L157" s="860">
        <f t="shared" si="56"/>
        <v>0</v>
      </c>
      <c r="M157" s="859">
        <f t="shared" si="56"/>
        <v>0</v>
      </c>
      <c r="N157" s="859">
        <f t="shared" si="56"/>
        <v>0</v>
      </c>
      <c r="O157" s="860">
        <f t="shared" si="56"/>
        <v>0</v>
      </c>
      <c r="P157" s="790">
        <f>SUM(P139:P156)</f>
        <v>190434</v>
      </c>
      <c r="Q157" s="709">
        <f t="shared" si="50"/>
        <v>0.11684997246429463</v>
      </c>
      <c r="R157" s="725">
        <f t="shared" si="52"/>
        <v>0.88315002753570537</v>
      </c>
      <c r="S157" s="743">
        <f t="shared" ref="S157:X157" si="57">SUM(S139:S156)</f>
        <v>93439.221764903676</v>
      </c>
      <c r="T157" s="710">
        <f t="shared" si="57"/>
        <v>96994.778235096324</v>
      </c>
      <c r="U157" s="710">
        <f t="shared" si="57"/>
        <v>71260.023091974057</v>
      </c>
      <c r="V157" s="710">
        <f t="shared" si="57"/>
        <v>105412.3868655853</v>
      </c>
      <c r="W157" s="710">
        <f t="shared" si="57"/>
        <v>13761.590042440625</v>
      </c>
      <c r="X157" s="710">
        <f t="shared" si="57"/>
        <v>26332.715716617811</v>
      </c>
      <c r="Y157" s="744">
        <f>SUM(Y139:Y156)</f>
        <v>1439296.8076661304</v>
      </c>
      <c r="AK157" s="60">
        <f t="shared" si="32"/>
        <v>173851</v>
      </c>
      <c r="AL157" s="60">
        <f t="shared" si="33"/>
        <v>16583</v>
      </c>
      <c r="AM157" s="60">
        <f t="shared" si="34"/>
        <v>0</v>
      </c>
    </row>
    <row r="158" spans="3:39" hidden="1">
      <c r="C158" s="1184" t="s">
        <v>2768</v>
      </c>
      <c r="D158" s="703" t="s">
        <v>2688</v>
      </c>
      <c r="E158" s="704">
        <v>111096.7979840148</v>
      </c>
      <c r="F158" s="705">
        <v>31675.809596802959</v>
      </c>
      <c r="G158" s="853"/>
      <c r="H158" s="855"/>
      <c r="I158" s="855"/>
      <c r="J158" s="854"/>
      <c r="K158" s="853">
        <v>10750</v>
      </c>
      <c r="L158" s="854"/>
      <c r="M158" s="853"/>
      <c r="N158" s="855"/>
      <c r="O158" s="854"/>
      <c r="P158" s="812">
        <f t="shared" ref="P158:P175" si="58">SUM(G158:O158)</f>
        <v>10750</v>
      </c>
      <c r="Q158" s="706">
        <f t="shared" si="50"/>
        <v>0.33937569826423625</v>
      </c>
      <c r="R158" s="724">
        <f t="shared" si="52"/>
        <v>0.66062430173576381</v>
      </c>
      <c r="S158" s="742">
        <f>P158*$AB$25</f>
        <v>5151.5380182465778</v>
      </c>
      <c r="T158" s="703">
        <f>P158*$AC$25</f>
        <v>5598.4619817534222</v>
      </c>
      <c r="U158" s="703">
        <f>P158*$AD$25</f>
        <v>3945.5836833556195</v>
      </c>
      <c r="V158" s="703">
        <f>P158*$AE$25</f>
        <v>5849.3458895157846</v>
      </c>
      <c r="W158" s="703">
        <f>P158*$AF$25</f>
        <v>955.07042712859743</v>
      </c>
      <c r="X158" s="703">
        <f>P158*$AG$25</f>
        <v>1636.9785832380526</v>
      </c>
      <c r="Y158" s="713">
        <f t="shared" ref="Y158:Y175" si="59">F158-P158</f>
        <v>20925.809596802959</v>
      </c>
      <c r="AK158" s="60">
        <f t="shared" si="32"/>
        <v>10750</v>
      </c>
      <c r="AL158" s="60">
        <f t="shared" si="33"/>
        <v>0</v>
      </c>
      <c r="AM158" s="60">
        <f t="shared" si="34"/>
        <v>0</v>
      </c>
    </row>
    <row r="159" spans="3:39" hidden="1">
      <c r="C159" s="1185"/>
      <c r="D159" s="703" t="s">
        <v>2689</v>
      </c>
      <c r="E159" s="704">
        <v>6881.8180702501222</v>
      </c>
      <c r="F159" s="705">
        <v>2420.6544562000977</v>
      </c>
      <c r="G159" s="853"/>
      <c r="H159" s="855"/>
      <c r="I159" s="855"/>
      <c r="J159" s="854"/>
      <c r="K159" s="853"/>
      <c r="L159" s="854"/>
      <c r="M159" s="853"/>
      <c r="N159" s="855"/>
      <c r="O159" s="854"/>
      <c r="P159" s="812">
        <f t="shared" si="58"/>
        <v>0</v>
      </c>
      <c r="Q159" s="706">
        <f t="shared" si="50"/>
        <v>0</v>
      </c>
      <c r="R159" s="724">
        <f t="shared" si="52"/>
        <v>1</v>
      </c>
      <c r="S159" s="742">
        <f>P159*$AB$26</f>
        <v>0</v>
      </c>
      <c r="T159" s="703">
        <f>P159*$AC$26</f>
        <v>0</v>
      </c>
      <c r="U159" s="703">
        <f>P159*$AD$26</f>
        <v>0</v>
      </c>
      <c r="V159" s="703">
        <f>P159*$AE$26</f>
        <v>0</v>
      </c>
      <c r="W159" s="703">
        <f>P159*$AF$26</f>
        <v>0</v>
      </c>
      <c r="X159" s="703">
        <f>P159*$AG$26</f>
        <v>0</v>
      </c>
      <c r="Y159" s="713">
        <f t="shared" si="59"/>
        <v>2420.6544562000977</v>
      </c>
      <c r="AK159" s="60">
        <f t="shared" si="32"/>
        <v>0</v>
      </c>
      <c r="AL159" s="60">
        <f t="shared" si="33"/>
        <v>0</v>
      </c>
      <c r="AM159" s="60">
        <f t="shared" si="34"/>
        <v>0</v>
      </c>
    </row>
    <row r="160" spans="3:39" hidden="1">
      <c r="C160" s="1185"/>
      <c r="D160" s="703" t="s">
        <v>2690</v>
      </c>
      <c r="E160" s="704">
        <v>170547.23083816754</v>
      </c>
      <c r="F160" s="705">
        <v>45630.246167633508</v>
      </c>
      <c r="G160" s="853"/>
      <c r="H160" s="855"/>
      <c r="I160" s="855"/>
      <c r="J160" s="854"/>
      <c r="K160" s="918">
        <v>846</v>
      </c>
      <c r="L160" s="854"/>
      <c r="M160" s="853"/>
      <c r="N160" s="855"/>
      <c r="O160" s="854"/>
      <c r="P160" s="812">
        <f t="shared" si="58"/>
        <v>846</v>
      </c>
      <c r="Q160" s="706">
        <f t="shared" si="50"/>
        <v>1.8540333902473786E-2</v>
      </c>
      <c r="R160" s="724">
        <f t="shared" si="52"/>
        <v>0.98145966609752622</v>
      </c>
      <c r="S160" s="742">
        <f>P160*$AB$27</f>
        <v>403.75595927833069</v>
      </c>
      <c r="T160" s="703">
        <f>P160*$AC$27</f>
        <v>442.24404072166931</v>
      </c>
      <c r="U160" s="703">
        <f>P160*$AD$27</f>
        <v>285.61965931109034</v>
      </c>
      <c r="V160" s="703">
        <f>P160*$AE$27</f>
        <v>486.32807635658907</v>
      </c>
      <c r="W160" s="703">
        <f>P160*$AF$27</f>
        <v>74.052264332320519</v>
      </c>
      <c r="X160" s="703">
        <f>P160*$AG$27</f>
        <v>106.24358523279028</v>
      </c>
      <c r="Y160" s="713">
        <f t="shared" si="59"/>
        <v>44784.246167633508</v>
      </c>
      <c r="AK160" s="60">
        <f t="shared" si="32"/>
        <v>846</v>
      </c>
      <c r="AL160" s="60">
        <f t="shared" si="33"/>
        <v>0</v>
      </c>
      <c r="AM160" s="60">
        <f t="shared" si="34"/>
        <v>0</v>
      </c>
    </row>
    <row r="161" spans="3:39" hidden="1">
      <c r="C161" s="1185"/>
      <c r="D161" s="703" t="s">
        <v>2691</v>
      </c>
      <c r="E161" s="704">
        <v>0</v>
      </c>
      <c r="F161" s="705">
        <v>0</v>
      </c>
      <c r="G161" s="853"/>
      <c r="H161" s="856"/>
      <c r="I161" s="856"/>
      <c r="J161" s="857"/>
      <c r="K161" s="868"/>
      <c r="L161" s="857"/>
      <c r="M161" s="868"/>
      <c r="N161" s="855"/>
      <c r="O161" s="854"/>
      <c r="P161" s="812">
        <f t="shared" si="58"/>
        <v>0</v>
      </c>
      <c r="Q161" s="706" t="e">
        <f t="shared" si="50"/>
        <v>#DIV/0!</v>
      </c>
      <c r="R161" s="724" t="e">
        <f t="shared" si="52"/>
        <v>#DIV/0!</v>
      </c>
      <c r="S161" s="742">
        <f>P161*$AB$28</f>
        <v>0</v>
      </c>
      <c r="T161" s="703">
        <f>P161*$AC$28</f>
        <v>0</v>
      </c>
      <c r="U161" s="703">
        <f>P161*$AD$28</f>
        <v>0</v>
      </c>
      <c r="V161" s="703">
        <f>P161*$AE$28</f>
        <v>0</v>
      </c>
      <c r="W161" s="703">
        <f>P161*$AF$28</f>
        <v>0</v>
      </c>
      <c r="X161" s="703">
        <f>P161*$AG$28</f>
        <v>0</v>
      </c>
      <c r="Y161" s="713">
        <f t="shared" si="59"/>
        <v>0</v>
      </c>
      <c r="AK161" s="60">
        <f t="shared" si="32"/>
        <v>0</v>
      </c>
      <c r="AL161" s="60">
        <f t="shared" si="33"/>
        <v>0</v>
      </c>
      <c r="AM161" s="60">
        <f t="shared" si="34"/>
        <v>0</v>
      </c>
    </row>
    <row r="162" spans="3:39" hidden="1">
      <c r="C162" s="1185"/>
      <c r="D162" s="703" t="s">
        <v>610</v>
      </c>
      <c r="E162" s="704">
        <v>133949.83369622205</v>
      </c>
      <c r="F162" s="705">
        <v>90589.166739244407</v>
      </c>
      <c r="G162" s="853"/>
      <c r="H162" s="1006">
        <v>9521</v>
      </c>
      <c r="I162" s="856"/>
      <c r="J162" s="857"/>
      <c r="K162" s="918"/>
      <c r="L162" s="857"/>
      <c r="M162" s="868"/>
      <c r="N162" s="855"/>
      <c r="O162" s="854"/>
      <c r="P162" s="812">
        <f t="shared" si="58"/>
        <v>9521</v>
      </c>
      <c r="Q162" s="706">
        <f t="shared" si="50"/>
        <v>0.10510086738523204</v>
      </c>
      <c r="R162" s="724">
        <f t="shared" si="52"/>
        <v>0.89489913261476794</v>
      </c>
      <c r="S162" s="742">
        <f>P162*$AB$29</f>
        <v>4567.2399010431673</v>
      </c>
      <c r="T162" s="703">
        <f>P162*$AC$29</f>
        <v>4953.7600989568327</v>
      </c>
      <c r="U162" s="703">
        <f>P162*$AD$29</f>
        <v>4396.8912241202506</v>
      </c>
      <c r="V162" s="703">
        <f>P162*$AE$29</f>
        <v>4498.0864367451195</v>
      </c>
      <c r="W162" s="703">
        <f>P162*$AF$29</f>
        <v>626.0223391346301</v>
      </c>
      <c r="X162" s="703">
        <f>P162*$AG$29</f>
        <v>1964.1547665322664</v>
      </c>
      <c r="Y162" s="713">
        <f t="shared" si="59"/>
        <v>81068.166739244407</v>
      </c>
      <c r="AK162" s="60">
        <f t="shared" si="32"/>
        <v>9521</v>
      </c>
      <c r="AL162" s="60">
        <f t="shared" si="33"/>
        <v>0</v>
      </c>
      <c r="AM162" s="60">
        <f t="shared" si="34"/>
        <v>0</v>
      </c>
    </row>
    <row r="163" spans="3:39">
      <c r="C163" s="1185"/>
      <c r="D163" s="703" t="s">
        <v>37</v>
      </c>
      <c r="E163" s="704">
        <v>231228.27654495894</v>
      </c>
      <c r="F163" s="705">
        <v>121307.82765449589</v>
      </c>
      <c r="G163" s="853">
        <f>I2</f>
        <v>20707</v>
      </c>
      <c r="H163" s="856">
        <v>519</v>
      </c>
      <c r="I163" s="856">
        <v>270</v>
      </c>
      <c r="J163" s="857"/>
      <c r="K163" s="868"/>
      <c r="L163" s="857"/>
      <c r="M163" s="868"/>
      <c r="N163" s="855"/>
      <c r="O163" s="854"/>
      <c r="P163" s="812">
        <f t="shared" si="58"/>
        <v>21496</v>
      </c>
      <c r="Q163" s="706">
        <f t="shared" si="50"/>
        <v>0.17720208510553867</v>
      </c>
      <c r="R163" s="724">
        <f t="shared" si="52"/>
        <v>0.8227979148944613</v>
      </c>
      <c r="S163" s="742">
        <f>P163*$AB$30</f>
        <v>10959.669612284797</v>
      </c>
      <c r="T163" s="703">
        <f>P163*$AC$30</f>
        <v>10536.330387715203</v>
      </c>
      <c r="U163" s="703">
        <f>P163*$AD$30</f>
        <v>7740.6566843656783</v>
      </c>
      <c r="V163" s="703">
        <f>P163*$AE$30</f>
        <v>12573.145160122011</v>
      </c>
      <c r="W163" s="703">
        <f>P163*$AF$30</f>
        <v>1182.1981555123107</v>
      </c>
      <c r="X163" s="703">
        <f>P163*$AG$30</f>
        <v>1912.6628359957353</v>
      </c>
      <c r="Y163" s="713">
        <f t="shared" si="59"/>
        <v>99811.827654495894</v>
      </c>
      <c r="AK163" s="60">
        <f t="shared" si="32"/>
        <v>21226</v>
      </c>
      <c r="AL163" s="60">
        <f t="shared" si="33"/>
        <v>270</v>
      </c>
      <c r="AM163" s="60">
        <f t="shared" si="34"/>
        <v>0</v>
      </c>
    </row>
    <row r="164" spans="3:39" hidden="1">
      <c r="C164" s="1185"/>
      <c r="D164" s="703" t="s">
        <v>2692</v>
      </c>
      <c r="E164" s="704">
        <v>207176.84686270333</v>
      </c>
      <c r="F164" s="705">
        <v>78681.919372540666</v>
      </c>
      <c r="G164" s="853"/>
      <c r="H164" s="856"/>
      <c r="I164" s="856"/>
      <c r="J164" s="857"/>
      <c r="K164" s="919">
        <v>28439</v>
      </c>
      <c r="L164" s="857"/>
      <c r="M164" s="868"/>
      <c r="N164" s="855"/>
      <c r="O164" s="854"/>
      <c r="P164" s="812">
        <f t="shared" si="58"/>
        <v>28439</v>
      </c>
      <c r="Q164" s="706">
        <f t="shared" si="50"/>
        <v>0.3614426316336784</v>
      </c>
      <c r="R164" s="724">
        <f t="shared" si="52"/>
        <v>0.6385573683663216</v>
      </c>
      <c r="S164" s="742">
        <f>P164*$AB$31</f>
        <v>14648.276544785698</v>
      </c>
      <c r="T164" s="703">
        <f>P164*$AC$31</f>
        <v>13790.723455214302</v>
      </c>
      <c r="U164" s="703">
        <f>P164*$AD$31</f>
        <v>11521.770230997079</v>
      </c>
      <c r="V164" s="703">
        <f>P164*$AE$31</f>
        <v>15430.821792782956</v>
      </c>
      <c r="W164" s="703">
        <f>P164*$AF$31</f>
        <v>1486.4079762199653</v>
      </c>
      <c r="X164" s="703">
        <f>P164*$AG$31</f>
        <v>3080.4823725305878</v>
      </c>
      <c r="Y164" s="713">
        <f t="shared" si="59"/>
        <v>50242.919372540666</v>
      </c>
      <c r="AK164" s="60">
        <f t="shared" si="32"/>
        <v>28439</v>
      </c>
      <c r="AL164" s="60">
        <f t="shared" si="33"/>
        <v>0</v>
      </c>
      <c r="AM164" s="60">
        <f t="shared" si="34"/>
        <v>0</v>
      </c>
    </row>
    <row r="165" spans="3:39" hidden="1">
      <c r="C165" s="1185"/>
      <c r="D165" s="703" t="s">
        <v>2332</v>
      </c>
      <c r="E165" s="704">
        <v>293903.52269109758</v>
      </c>
      <c r="F165" s="705">
        <v>75923.504538219524</v>
      </c>
      <c r="G165" s="853"/>
      <c r="H165" s="856"/>
      <c r="I165" s="856"/>
      <c r="J165" s="857"/>
      <c r="K165" s="919">
        <v>9356</v>
      </c>
      <c r="L165" s="857"/>
      <c r="M165" s="868"/>
      <c r="N165" s="855"/>
      <c r="O165" s="854"/>
      <c r="P165" s="812">
        <f t="shared" si="58"/>
        <v>9356</v>
      </c>
      <c r="Q165" s="706">
        <f t="shared" ref="Q165:Q176" si="60">P165/F165</f>
        <v>0.12322929581431841</v>
      </c>
      <c r="R165" s="724">
        <f t="shared" si="52"/>
        <v>0.87677070418568159</v>
      </c>
      <c r="S165" s="742">
        <f>P165*$AB$32</f>
        <v>4642.0493991319145</v>
      </c>
      <c r="T165" s="703">
        <f>P165*$AC$32</f>
        <v>4713.9506008680855</v>
      </c>
      <c r="U165" s="703">
        <f>P165*$AD$32</f>
        <v>3857.3692776698667</v>
      </c>
      <c r="V165" s="703">
        <f>P165*$AE$32</f>
        <v>4839.5923622938108</v>
      </c>
      <c r="W165" s="703">
        <f>P165*$AF$32</f>
        <v>659.03836003632205</v>
      </c>
      <c r="X165" s="703">
        <f>P165*$AG$32</f>
        <v>1556.0246790171705</v>
      </c>
      <c r="Y165" s="713">
        <f t="shared" si="59"/>
        <v>66567.504538219524</v>
      </c>
      <c r="AK165" s="60">
        <f t="shared" si="32"/>
        <v>9356</v>
      </c>
      <c r="AL165" s="60">
        <f t="shared" si="33"/>
        <v>0</v>
      </c>
      <c r="AM165" s="60">
        <f t="shared" si="34"/>
        <v>0</v>
      </c>
    </row>
    <row r="166" spans="3:39" hidden="1">
      <c r="C166" s="1185"/>
      <c r="D166" s="703" t="s">
        <v>2693</v>
      </c>
      <c r="E166" s="704">
        <v>388884.05822737725</v>
      </c>
      <c r="F166" s="705">
        <v>122354.01164547546</v>
      </c>
      <c r="G166" s="853"/>
      <c r="H166" s="856">
        <v>4251</v>
      </c>
      <c r="I166" s="856"/>
      <c r="J166" s="857"/>
      <c r="K166" s="868"/>
      <c r="L166" s="857"/>
      <c r="M166" s="868"/>
      <c r="N166" s="855"/>
      <c r="O166" s="854"/>
      <c r="P166" s="812">
        <f t="shared" si="58"/>
        <v>4251</v>
      </c>
      <c r="Q166" s="706">
        <f t="shared" si="60"/>
        <v>3.4743446028704023E-2</v>
      </c>
      <c r="R166" s="724">
        <f t="shared" si="52"/>
        <v>0.96525655397129595</v>
      </c>
      <c r="S166" s="742">
        <f>P166*$AB$33</f>
        <v>1981.9873658844149</v>
      </c>
      <c r="T166" s="703">
        <f>P166*$AC$33</f>
        <v>2269.0126341155851</v>
      </c>
      <c r="U166" s="703">
        <f>P166*$AD$33</f>
        <v>1355.6690350275912</v>
      </c>
      <c r="V166" s="703">
        <f>P166*$AE$33</f>
        <v>2476.1982346431182</v>
      </c>
      <c r="W166" s="703">
        <f>P166*$AF$33</f>
        <v>419.13273032929067</v>
      </c>
      <c r="X166" s="703">
        <f>P166*$AG$33</f>
        <v>723.8422262389646</v>
      </c>
      <c r="Y166" s="713">
        <f t="shared" si="59"/>
        <v>118103.01164547546</v>
      </c>
      <c r="AK166" s="60">
        <f t="shared" ref="AK166:AK176" si="61">G166+H166+K166+M166</f>
        <v>4251</v>
      </c>
      <c r="AL166" s="60">
        <f t="shared" ref="AL166:AL176" si="62">I166+J166+L166+N166+O166</f>
        <v>0</v>
      </c>
      <c r="AM166" s="60">
        <f t="shared" ref="AM166:AM176" si="63">(AK166+AL166)-P166</f>
        <v>0</v>
      </c>
    </row>
    <row r="167" spans="3:39" hidden="1">
      <c r="C167" s="1185"/>
      <c r="D167" s="703" t="s">
        <v>2694</v>
      </c>
      <c r="E167" s="704">
        <v>22342.381043354912</v>
      </c>
      <c r="F167" s="705">
        <v>0</v>
      </c>
      <c r="G167" s="853"/>
      <c r="H167" s="856"/>
      <c r="I167" s="856"/>
      <c r="J167" s="857"/>
      <c r="K167" s="868"/>
      <c r="L167" s="857"/>
      <c r="M167" s="868"/>
      <c r="N167" s="855"/>
      <c r="O167" s="854"/>
      <c r="P167" s="812">
        <f t="shared" si="58"/>
        <v>0</v>
      </c>
      <c r="Q167" s="706" t="e">
        <f t="shared" si="60"/>
        <v>#DIV/0!</v>
      </c>
      <c r="R167" s="724" t="e">
        <f t="shared" si="52"/>
        <v>#DIV/0!</v>
      </c>
      <c r="S167" s="742">
        <f>P167*$AB$34</f>
        <v>0</v>
      </c>
      <c r="T167" s="703">
        <f>P167*$AC$34</f>
        <v>0</v>
      </c>
      <c r="U167" s="703">
        <f>P167*$AD$34</f>
        <v>0</v>
      </c>
      <c r="V167" s="703">
        <f>P167*$AE$34</f>
        <v>0</v>
      </c>
      <c r="W167" s="703">
        <f>P167*$AF$34</f>
        <v>0</v>
      </c>
      <c r="X167" s="703">
        <f>P167*$AG$34</f>
        <v>0</v>
      </c>
      <c r="Y167" s="713">
        <f t="shared" si="59"/>
        <v>0</v>
      </c>
      <c r="AK167" s="60">
        <f t="shared" si="61"/>
        <v>0</v>
      </c>
      <c r="AL167" s="60">
        <f t="shared" si="62"/>
        <v>0</v>
      </c>
      <c r="AM167" s="60">
        <f t="shared" si="63"/>
        <v>0</v>
      </c>
    </row>
    <row r="168" spans="3:39" hidden="1">
      <c r="C168" s="1185"/>
      <c r="D168" s="703" t="s">
        <v>2695</v>
      </c>
      <c r="E168" s="704">
        <v>0</v>
      </c>
      <c r="F168" s="705">
        <v>0</v>
      </c>
      <c r="G168" s="853"/>
      <c r="H168" s="855"/>
      <c r="I168" s="855"/>
      <c r="J168" s="854"/>
      <c r="K168" s="853"/>
      <c r="L168" s="854"/>
      <c r="M168" s="853"/>
      <c r="N168" s="855"/>
      <c r="O168" s="854"/>
      <c r="P168" s="812">
        <f t="shared" si="58"/>
        <v>0</v>
      </c>
      <c r="Q168" s="706" t="e">
        <f t="shared" si="60"/>
        <v>#DIV/0!</v>
      </c>
      <c r="R168" s="724" t="e">
        <f t="shared" si="52"/>
        <v>#DIV/0!</v>
      </c>
      <c r="S168" s="742">
        <f>P168*$AB$35</f>
        <v>0</v>
      </c>
      <c r="T168" s="703">
        <f>P168*$AC$35</f>
        <v>0</v>
      </c>
      <c r="U168" s="703">
        <f>P168*$AD$35</f>
        <v>0</v>
      </c>
      <c r="V168" s="703">
        <f>P168*$AE$35</f>
        <v>0</v>
      </c>
      <c r="W168" s="703">
        <f>P168*$AF$35</f>
        <v>0</v>
      </c>
      <c r="X168" s="703">
        <f>P168*$AG$35</f>
        <v>0</v>
      </c>
      <c r="Y168" s="713">
        <f t="shared" si="59"/>
        <v>0</v>
      </c>
      <c r="AK168" s="60">
        <f t="shared" si="61"/>
        <v>0</v>
      </c>
      <c r="AL168" s="60">
        <f t="shared" si="62"/>
        <v>0</v>
      </c>
      <c r="AM168" s="60">
        <f t="shared" si="63"/>
        <v>0</v>
      </c>
    </row>
    <row r="169" spans="3:39" hidden="1">
      <c r="C169" s="1185"/>
      <c r="D169" s="703" t="s">
        <v>304</v>
      </c>
      <c r="E169" s="704">
        <v>1041892.4324525243</v>
      </c>
      <c r="F169" s="705">
        <v>494284.62298100966</v>
      </c>
      <c r="G169" s="853">
        <v>130891</v>
      </c>
      <c r="H169" s="853">
        <v>73839</v>
      </c>
      <c r="I169" s="855">
        <v>88497</v>
      </c>
      <c r="J169" s="854"/>
      <c r="K169" s="853"/>
      <c r="L169" s="854"/>
      <c r="M169" s="853"/>
      <c r="N169" s="855">
        <v>14296</v>
      </c>
      <c r="O169" s="854"/>
      <c r="P169" s="812">
        <f t="shared" si="58"/>
        <v>307523</v>
      </c>
      <c r="Q169" s="706">
        <f t="shared" si="60"/>
        <v>0.62215773200740454</v>
      </c>
      <c r="R169" s="724">
        <f t="shared" si="52"/>
        <v>0.37784226799259546</v>
      </c>
      <c r="S169" s="742">
        <f>P169*$AB$36</f>
        <v>145750.89134931652</v>
      </c>
      <c r="T169" s="703">
        <f>P169*$AC$36</f>
        <v>161772.10865068348</v>
      </c>
      <c r="U169" s="703">
        <f>P169*$AD$36</f>
        <v>112883.33422034516</v>
      </c>
      <c r="V169" s="703">
        <f>P169*$AE$36</f>
        <v>167590.098558848</v>
      </c>
      <c r="W169" s="703">
        <f>P169*$AF$36</f>
        <v>27049.567220806875</v>
      </c>
      <c r="X169" s="703">
        <f>P169*$AG$36</f>
        <v>53342.259202730296</v>
      </c>
      <c r="Y169" s="713">
        <f t="shared" si="59"/>
        <v>186761.62298100966</v>
      </c>
      <c r="AK169" s="60">
        <f t="shared" si="61"/>
        <v>204730</v>
      </c>
      <c r="AL169" s="60">
        <f t="shared" si="62"/>
        <v>102793</v>
      </c>
      <c r="AM169" s="60">
        <f t="shared" si="63"/>
        <v>0</v>
      </c>
    </row>
    <row r="170" spans="3:39" hidden="1">
      <c r="C170" s="1185"/>
      <c r="D170" s="703" t="s">
        <v>2696</v>
      </c>
      <c r="E170" s="704">
        <v>1841693.9600234586</v>
      </c>
      <c r="F170" s="705">
        <v>352045.49600234587</v>
      </c>
      <c r="G170" s="853"/>
      <c r="H170" s="855">
        <v>6241</v>
      </c>
      <c r="I170" s="855"/>
      <c r="J170" s="854"/>
      <c r="K170" s="853"/>
      <c r="L170" s="854"/>
      <c r="M170" s="853"/>
      <c r="N170" s="855"/>
      <c r="O170" s="854"/>
      <c r="P170" s="812">
        <f t="shared" si="58"/>
        <v>6241</v>
      </c>
      <c r="Q170" s="706">
        <f t="shared" si="60"/>
        <v>1.772782231521125E-2</v>
      </c>
      <c r="R170" s="724">
        <f t="shared" si="52"/>
        <v>0.98227217768478869</v>
      </c>
      <c r="S170" s="742">
        <f>P170*$AB$37</f>
        <v>2972.6047689338493</v>
      </c>
      <c r="T170" s="703">
        <f>P170*$AC$37</f>
        <v>3268.3952310661507</v>
      </c>
      <c r="U170" s="703">
        <f>P170*$AD$37</f>
        <v>2131.817154074653</v>
      </c>
      <c r="V170" s="703">
        <f>P170*$AE$37</f>
        <v>3584.1233474551036</v>
      </c>
      <c r="W170" s="703">
        <f>P170*$AF$37</f>
        <v>525.05949847024067</v>
      </c>
      <c r="X170" s="703">
        <f>P170*$AG$37</f>
        <v>599.99370699814915</v>
      </c>
      <c r="Y170" s="713">
        <f t="shared" si="59"/>
        <v>345804.49600234587</v>
      </c>
      <c r="AK170" s="60">
        <f t="shared" si="61"/>
        <v>6241</v>
      </c>
      <c r="AL170" s="60">
        <f t="shared" si="62"/>
        <v>0</v>
      </c>
      <c r="AM170" s="60">
        <f t="shared" si="63"/>
        <v>0</v>
      </c>
    </row>
    <row r="171" spans="3:39" hidden="1">
      <c r="C171" s="1185"/>
      <c r="D171" s="703" t="s">
        <v>2697</v>
      </c>
      <c r="E171" s="704">
        <v>0</v>
      </c>
      <c r="F171" s="705">
        <v>0</v>
      </c>
      <c r="G171" s="853"/>
      <c r="H171" s="855"/>
      <c r="I171" s="855"/>
      <c r="J171" s="854"/>
      <c r="K171" s="853"/>
      <c r="L171" s="854"/>
      <c r="M171" s="853"/>
      <c r="N171" s="855"/>
      <c r="O171" s="854"/>
      <c r="P171" s="812">
        <f t="shared" si="58"/>
        <v>0</v>
      </c>
      <c r="Q171" s="706" t="e">
        <f t="shared" si="60"/>
        <v>#DIV/0!</v>
      </c>
      <c r="R171" s="724" t="e">
        <f t="shared" si="52"/>
        <v>#DIV/0!</v>
      </c>
      <c r="S171" s="742">
        <f>P171*$AB$38</f>
        <v>0</v>
      </c>
      <c r="T171" s="703">
        <f>P171*$AC$38</f>
        <v>0</v>
      </c>
      <c r="U171" s="703">
        <f>P171*$AD$38</f>
        <v>0</v>
      </c>
      <c r="V171" s="703">
        <f>P171*$AE$38</f>
        <v>0</v>
      </c>
      <c r="W171" s="703">
        <f>P171*$AF$38</f>
        <v>0</v>
      </c>
      <c r="X171" s="703">
        <f>P171*$AG$38</f>
        <v>0</v>
      </c>
      <c r="Y171" s="713">
        <f t="shared" si="59"/>
        <v>0</v>
      </c>
      <c r="AK171" s="60">
        <f t="shared" si="61"/>
        <v>0</v>
      </c>
      <c r="AL171" s="60">
        <f t="shared" si="62"/>
        <v>0</v>
      </c>
      <c r="AM171" s="60">
        <f t="shared" si="63"/>
        <v>0</v>
      </c>
    </row>
    <row r="172" spans="3:39" hidden="1">
      <c r="C172" s="1185"/>
      <c r="D172" s="703" t="s">
        <v>515</v>
      </c>
      <c r="E172" s="704">
        <v>179191.85816781156</v>
      </c>
      <c r="F172" s="705">
        <v>67807.757450343488</v>
      </c>
      <c r="G172" s="853">
        <f>I3</f>
        <v>45</v>
      </c>
      <c r="H172" s="855">
        <v>104</v>
      </c>
      <c r="I172" s="855">
        <v>1624</v>
      </c>
      <c r="J172" s="854"/>
      <c r="K172" s="853"/>
      <c r="L172" s="854"/>
      <c r="M172" s="853"/>
      <c r="N172" s="855"/>
      <c r="O172" s="854"/>
      <c r="P172" s="812">
        <f t="shared" si="58"/>
        <v>1773</v>
      </c>
      <c r="Q172" s="706">
        <f t="shared" si="60"/>
        <v>2.6147450773584293E-2</v>
      </c>
      <c r="R172" s="724">
        <f t="shared" si="52"/>
        <v>0.97385254922641573</v>
      </c>
      <c r="S172" s="742">
        <f>P172*$AB$39</f>
        <v>886.77390231359539</v>
      </c>
      <c r="T172" s="703">
        <f>P172*$AC$39</f>
        <v>886.22609768640461</v>
      </c>
      <c r="U172" s="703">
        <f>P172*$AD$39</f>
        <v>673.68059185857066</v>
      </c>
      <c r="V172" s="703">
        <f>P172*$AE$39</f>
        <v>996.46594311685658</v>
      </c>
      <c r="W172" s="703">
        <f>P172*$AF$39</f>
        <v>102.8534650245723</v>
      </c>
      <c r="X172" s="703">
        <f>P172*$AG$39</f>
        <v>152.86460400465796</v>
      </c>
      <c r="Y172" s="713">
        <f t="shared" si="59"/>
        <v>66034.757450343488</v>
      </c>
      <c r="AK172" s="60">
        <f t="shared" si="61"/>
        <v>149</v>
      </c>
      <c r="AL172" s="60">
        <f t="shared" si="62"/>
        <v>1624</v>
      </c>
      <c r="AM172" s="60">
        <f t="shared" si="63"/>
        <v>0</v>
      </c>
    </row>
    <row r="173" spans="3:39" hidden="1">
      <c r="C173" s="1185"/>
      <c r="D173" s="703" t="s">
        <v>2638</v>
      </c>
      <c r="E173" s="704">
        <v>360411.00452311093</v>
      </c>
      <c r="F173" s="705">
        <v>108123.30135693328</v>
      </c>
      <c r="G173" s="853"/>
      <c r="H173" s="855">
        <v>13539.333333333332</v>
      </c>
      <c r="I173" s="855">
        <v>3770</v>
      </c>
      <c r="J173" s="854">
        <v>625</v>
      </c>
      <c r="K173" s="853"/>
      <c r="L173" s="854"/>
      <c r="M173" s="853"/>
      <c r="N173" s="855"/>
      <c r="O173" s="854"/>
      <c r="P173" s="812">
        <f t="shared" si="58"/>
        <v>17934.333333333332</v>
      </c>
      <c r="Q173" s="706">
        <f t="shared" si="60"/>
        <v>0.16586927247188898</v>
      </c>
      <c r="R173" s="724">
        <f t="shared" si="52"/>
        <v>0.83413072752811102</v>
      </c>
      <c r="S173" s="742">
        <f>P173*$AB$40</f>
        <v>8897.169201537894</v>
      </c>
      <c r="T173" s="703">
        <f>P173*$AC$40</f>
        <v>9037.1641317954382</v>
      </c>
      <c r="U173" s="703">
        <f>P173*$AD$40</f>
        <v>6814.4457386288168</v>
      </c>
      <c r="V173" s="703">
        <f>P173*$AE$40</f>
        <v>10079.499367835351</v>
      </c>
      <c r="W173" s="703">
        <f>P173*$AF$40</f>
        <v>1040.3882268691602</v>
      </c>
      <c r="X173" s="703">
        <f>P173*$AG$40</f>
        <v>1546.2632617527001</v>
      </c>
      <c r="Y173" s="713">
        <f t="shared" si="59"/>
        <v>90188.968023599955</v>
      </c>
      <c r="AK173" s="60">
        <f t="shared" si="61"/>
        <v>13539.333333333332</v>
      </c>
      <c r="AL173" s="60">
        <f t="shared" si="62"/>
        <v>4395</v>
      </c>
      <c r="AM173" s="60">
        <f t="shared" si="63"/>
        <v>0</v>
      </c>
    </row>
    <row r="174" spans="3:39" hidden="1">
      <c r="C174" s="1185"/>
      <c r="D174" s="703" t="s">
        <v>2698</v>
      </c>
      <c r="E174" s="704">
        <v>115607.06136423421</v>
      </c>
      <c r="F174" s="705">
        <v>29710.912272846846</v>
      </c>
      <c r="G174" s="853"/>
      <c r="H174" s="855"/>
      <c r="I174" s="855"/>
      <c r="J174" s="854"/>
      <c r="K174" s="853"/>
      <c r="L174" s="854"/>
      <c r="M174" s="853"/>
      <c r="N174" s="855"/>
      <c r="O174" s="854"/>
      <c r="P174" s="812">
        <f t="shared" si="58"/>
        <v>0</v>
      </c>
      <c r="Q174" s="706">
        <f t="shared" si="60"/>
        <v>0</v>
      </c>
      <c r="R174" s="724">
        <f t="shared" si="52"/>
        <v>1</v>
      </c>
      <c r="S174" s="742">
        <f>P174*$AB$41</f>
        <v>0</v>
      </c>
      <c r="T174" s="703">
        <f>P174*$AC$41</f>
        <v>0</v>
      </c>
      <c r="U174" s="703">
        <f>P174*$AD$41</f>
        <v>0</v>
      </c>
      <c r="V174" s="703">
        <f>P174*$AE$41</f>
        <v>0</v>
      </c>
      <c r="W174" s="703">
        <f>P174*$AF$41</f>
        <v>0</v>
      </c>
      <c r="X174" s="703">
        <f>P174*$AG$41</f>
        <v>0</v>
      </c>
      <c r="Y174" s="713">
        <f t="shared" si="59"/>
        <v>29710.912272846846</v>
      </c>
      <c r="AK174" s="60">
        <f t="shared" si="61"/>
        <v>0</v>
      </c>
      <c r="AL174" s="60">
        <f t="shared" si="62"/>
        <v>0</v>
      </c>
      <c r="AM174" s="60">
        <f t="shared" si="63"/>
        <v>0</v>
      </c>
    </row>
    <row r="175" spans="3:39" hidden="1">
      <c r="C175" s="1185"/>
      <c r="D175" s="703" t="s">
        <v>2699</v>
      </c>
      <c r="E175" s="704">
        <v>49258.943580096828</v>
      </c>
      <c r="F175" s="705">
        <v>9175.5774320387318</v>
      </c>
      <c r="G175" s="853"/>
      <c r="H175" s="855"/>
      <c r="I175" s="855"/>
      <c r="J175" s="854"/>
      <c r="K175" s="918">
        <v>4000</v>
      </c>
      <c r="L175" s="854"/>
      <c r="M175" s="853"/>
      <c r="N175" s="855"/>
      <c r="O175" s="854"/>
      <c r="P175" s="812">
        <f t="shared" si="58"/>
        <v>4000</v>
      </c>
      <c r="Q175" s="706">
        <f t="shared" si="60"/>
        <v>0.43593986641462362</v>
      </c>
      <c r="R175" s="724">
        <f t="shared" si="52"/>
        <v>0.56406013358537632</v>
      </c>
      <c r="S175" s="742">
        <f>P175*$AB$42</f>
        <v>1922.8311452855694</v>
      </c>
      <c r="T175" s="703">
        <f>P175*$AC$42</f>
        <v>2077.1688547144308</v>
      </c>
      <c r="U175" s="703">
        <f>P175*$AD$42</f>
        <v>1158.9398458272267</v>
      </c>
      <c r="V175" s="703">
        <f>P175*$AE$42</f>
        <v>2525.1033766747537</v>
      </c>
      <c r="W175" s="703">
        <f>P175*$AF$42</f>
        <v>315.95677749801916</v>
      </c>
      <c r="X175" s="703">
        <f>P175*$AG$42</f>
        <v>497.18081400251185</v>
      </c>
      <c r="Y175" s="713">
        <f t="shared" si="59"/>
        <v>5175.5774320387318</v>
      </c>
      <c r="AK175" s="60">
        <f t="shared" si="61"/>
        <v>4000</v>
      </c>
      <c r="AL175" s="60">
        <f t="shared" si="62"/>
        <v>0</v>
      </c>
      <c r="AM175" s="60">
        <f t="shared" si="63"/>
        <v>0</v>
      </c>
    </row>
    <row r="176" spans="3:39" s="598" customFormat="1" ht="23.5" hidden="1" customHeight="1" thickBot="1">
      <c r="C176" s="1186"/>
      <c r="D176" s="707" t="s">
        <v>1483</v>
      </c>
      <c r="E176" s="708">
        <f t="shared" ref="E176:L176" si="64">SUM(E158:E175)</f>
        <v>5154066.0260693831</v>
      </c>
      <c r="F176" s="808">
        <f t="shared" si="64"/>
        <v>1629730.8076661306</v>
      </c>
      <c r="G176" s="861">
        <f t="shared" si="64"/>
        <v>151643</v>
      </c>
      <c r="H176" s="862">
        <f t="shared" si="64"/>
        <v>108014.33333333333</v>
      </c>
      <c r="I176" s="862">
        <f t="shared" si="64"/>
        <v>94161</v>
      </c>
      <c r="J176" s="863">
        <f t="shared" si="64"/>
        <v>625</v>
      </c>
      <c r="K176" s="861">
        <f t="shared" si="64"/>
        <v>53391</v>
      </c>
      <c r="L176" s="863">
        <f t="shared" si="64"/>
        <v>0</v>
      </c>
      <c r="M176" s="861"/>
      <c r="N176" s="862">
        <f>SUM(N158:N175)</f>
        <v>14296</v>
      </c>
      <c r="O176" s="863">
        <f>SUM(O158:O175)</f>
        <v>0</v>
      </c>
      <c r="P176" s="790">
        <f>SUM(P158:P175)</f>
        <v>422130.33333333331</v>
      </c>
      <c r="Q176" s="762">
        <f t="shared" si="60"/>
        <v>0.25901844117302325</v>
      </c>
      <c r="R176" s="763">
        <f t="shared" si="52"/>
        <v>0.7409815588269768</v>
      </c>
      <c r="S176" s="764">
        <f t="shared" ref="S176:Y176" si="65">SUM(S158:S175)</f>
        <v>202784.78716804233</v>
      </c>
      <c r="T176" s="745">
        <f t="shared" si="65"/>
        <v>219345.54616529099</v>
      </c>
      <c r="U176" s="745">
        <f t="shared" si="65"/>
        <v>156765.77734558162</v>
      </c>
      <c r="V176" s="745">
        <f t="shared" si="65"/>
        <v>230928.80854638948</v>
      </c>
      <c r="W176" s="745">
        <f t="shared" si="65"/>
        <v>34435.747441362299</v>
      </c>
      <c r="X176" s="746">
        <f t="shared" si="65"/>
        <v>67118.950638273876</v>
      </c>
      <c r="Y176" s="746">
        <f t="shared" si="65"/>
        <v>1207600.4743327971</v>
      </c>
      <c r="AK176" s="60">
        <f t="shared" si="61"/>
        <v>313048.33333333331</v>
      </c>
      <c r="AL176" s="60">
        <f t="shared" si="62"/>
        <v>109082</v>
      </c>
      <c r="AM176" s="60">
        <f t="shared" si="63"/>
        <v>0</v>
      </c>
    </row>
    <row r="177" spans="1:60">
      <c r="V177"/>
      <c r="W177"/>
    </row>
    <row r="178" spans="1:60" ht="23.5">
      <c r="A178" s="356" t="s">
        <v>1583</v>
      </c>
      <c r="B178" s="354"/>
      <c r="C178" s="354"/>
      <c r="D178" s="354"/>
      <c r="E178" s="354"/>
      <c r="F178" s="354"/>
      <c r="G178" s="354"/>
      <c r="H178" s="354"/>
      <c r="I178" s="354"/>
      <c r="J178" s="354"/>
      <c r="K178" s="354"/>
      <c r="L178" s="354"/>
      <c r="M178" s="354"/>
      <c r="N178" s="354"/>
      <c r="O178" s="354"/>
      <c r="P178" s="354"/>
      <c r="Q178" s="354"/>
      <c r="R178" s="354"/>
      <c r="S178" s="354"/>
      <c r="T178" s="354"/>
      <c r="U178" s="354"/>
      <c r="V178" s="355"/>
      <c r="W178" s="355"/>
      <c r="X178" s="354"/>
      <c r="Y178" s="354"/>
      <c r="Z178" s="354"/>
      <c r="AA178" s="354"/>
      <c r="AB178" s="354"/>
      <c r="AC178" s="354"/>
      <c r="AD178" s="354"/>
      <c r="AE178" s="354"/>
      <c r="AF178" s="354"/>
      <c r="AG178" s="354"/>
      <c r="AH178" s="354"/>
      <c r="AI178" s="354"/>
      <c r="AJ178" s="354"/>
      <c r="AK178" s="354"/>
      <c r="AL178" s="354"/>
      <c r="AM178" s="354"/>
      <c r="AN178" s="354"/>
      <c r="AO178" s="354"/>
      <c r="AP178" s="354"/>
      <c r="AQ178" s="354"/>
      <c r="AR178" s="354"/>
      <c r="AS178" s="354"/>
      <c r="AT178" s="354"/>
      <c r="AU178" s="354"/>
      <c r="AV178" s="354"/>
      <c r="AW178" s="354"/>
      <c r="AX178" s="354"/>
      <c r="AY178" s="354"/>
      <c r="AZ178" s="354"/>
      <c r="BA178" s="354"/>
      <c r="BB178" s="354"/>
      <c r="BC178" s="354"/>
      <c r="BD178" s="354"/>
      <c r="BE178" s="354"/>
      <c r="BF178" s="354"/>
      <c r="BG178" s="354"/>
      <c r="BH178" s="354"/>
    </row>
    <row r="179" spans="1:60">
      <c r="V179"/>
      <c r="W179"/>
    </row>
    <row r="180" spans="1:60">
      <c r="J180" s="59"/>
      <c r="AP180" s="456"/>
      <c r="AQ180" s="456"/>
    </row>
    <row r="181" spans="1:60">
      <c r="AP181" s="456"/>
      <c r="AQ181" s="456"/>
    </row>
    <row r="182" spans="1:60">
      <c r="C182" s="154" t="s">
        <v>1583</v>
      </c>
      <c r="D182" t="s">
        <v>43</v>
      </c>
      <c r="E182"/>
      <c r="F182"/>
      <c r="J182"/>
      <c r="Q182" s="457" t="s">
        <v>1583</v>
      </c>
      <c r="R182" s="458" t="s">
        <v>2133</v>
      </c>
      <c r="S182" s="459"/>
      <c r="T182" s="459"/>
      <c r="U182"/>
      <c r="AA182" s="457" t="s">
        <v>1583</v>
      </c>
      <c r="AB182" s="459"/>
      <c r="AC182" s="459"/>
      <c r="AD182" s="459"/>
      <c r="AP182" s="456"/>
      <c r="AQ182" s="456"/>
      <c r="AR182"/>
    </row>
    <row r="183" spans="1:60">
      <c r="C183" s="77" t="s">
        <v>1281</v>
      </c>
      <c r="D183" s="78" t="s">
        <v>1505</v>
      </c>
      <c r="E183" s="80" t="s">
        <v>1285</v>
      </c>
      <c r="F183" s="80" t="s">
        <v>1286</v>
      </c>
      <c r="J183"/>
      <c r="Q183" s="460" t="s">
        <v>1281</v>
      </c>
      <c r="R183" s="461" t="s">
        <v>1505</v>
      </c>
      <c r="S183" s="462" t="s">
        <v>1285</v>
      </c>
      <c r="T183" s="462" t="s">
        <v>1286</v>
      </c>
      <c r="U183"/>
      <c r="AA183" s="460" t="s">
        <v>1281</v>
      </c>
      <c r="AB183" s="461" t="s">
        <v>1505</v>
      </c>
      <c r="AC183" s="462" t="s">
        <v>1285</v>
      </c>
      <c r="AD183" s="462" t="s">
        <v>1286</v>
      </c>
      <c r="AP183" s="413"/>
      <c r="AQ183"/>
      <c r="AR183"/>
    </row>
    <row r="184" spans="1:60" ht="46.75" customHeight="1">
      <c r="A184" s="449" t="s">
        <v>2155</v>
      </c>
      <c r="C184" s="570" t="s">
        <v>2700</v>
      </c>
      <c r="D184" s="572">
        <v>70124.640000000014</v>
      </c>
      <c r="E184" s="575">
        <f>G138+H138+K138</f>
        <v>2043</v>
      </c>
      <c r="F184" s="575">
        <f t="shared" ref="F184:F189" si="66">D184-E184</f>
        <v>68081.640000000014</v>
      </c>
      <c r="G184" s="794"/>
      <c r="J184"/>
      <c r="K184"/>
      <c r="Q184" s="570" t="s">
        <v>2700</v>
      </c>
      <c r="R184" s="572"/>
      <c r="S184" s="573"/>
      <c r="T184" s="573">
        <f>R184-S184</f>
        <v>0</v>
      </c>
      <c r="U184"/>
      <c r="AA184" s="570" t="s">
        <v>2277</v>
      </c>
      <c r="AB184" s="577">
        <f t="shared" ref="AB184:AC189" si="67">D184+R184</f>
        <v>70124.640000000014</v>
      </c>
      <c r="AC184" s="577">
        <f t="shared" si="67"/>
        <v>2043</v>
      </c>
      <c r="AD184" s="577">
        <f t="shared" ref="AD184:AD189" si="68">AB184-AC184</f>
        <v>68081.640000000014</v>
      </c>
      <c r="AE184" s="794"/>
      <c r="AP184"/>
      <c r="AQ184"/>
      <c r="AR184"/>
    </row>
    <row r="185" spans="1:60" ht="50.4" customHeight="1">
      <c r="A185" s="449"/>
      <c r="C185" s="570" t="s">
        <v>2789</v>
      </c>
      <c r="D185" s="572">
        <v>105934.291</v>
      </c>
      <c r="E185" s="575">
        <f>G119+H119+K119</f>
        <v>27186</v>
      </c>
      <c r="F185" s="575">
        <f t="shared" si="66"/>
        <v>78748.290999999997</v>
      </c>
      <c r="G185" s="794"/>
      <c r="J185" s="413"/>
      <c r="K185" s="413"/>
      <c r="Q185" s="570" t="s">
        <v>2789</v>
      </c>
      <c r="R185" s="572"/>
      <c r="S185" s="573"/>
      <c r="T185" s="573"/>
      <c r="U185" s="413"/>
      <c r="AA185" s="570" t="s">
        <v>2789</v>
      </c>
      <c r="AB185" s="577">
        <f t="shared" si="67"/>
        <v>105934.291</v>
      </c>
      <c r="AC185" s="577">
        <f t="shared" si="67"/>
        <v>27186</v>
      </c>
      <c r="AD185" s="577">
        <f t="shared" si="68"/>
        <v>78748.290999999997</v>
      </c>
      <c r="AE185" s="795"/>
      <c r="AP185" s="413"/>
      <c r="AQ185" s="413"/>
      <c r="AR185" s="413"/>
    </row>
    <row r="186" spans="1:60" ht="57.65" customHeight="1">
      <c r="C186" s="571" t="s">
        <v>2276</v>
      </c>
      <c r="D186" s="576">
        <v>206851.34000000003</v>
      </c>
      <c r="E186" s="576">
        <f>G100+H100+K100</f>
        <v>136506.47</v>
      </c>
      <c r="F186" s="576">
        <f t="shared" si="66"/>
        <v>70344.870000000024</v>
      </c>
      <c r="G186" s="794"/>
      <c r="J186"/>
      <c r="K186"/>
      <c r="Q186" s="571" t="s">
        <v>2276</v>
      </c>
      <c r="R186" s="574">
        <v>21712.087883306518</v>
      </c>
      <c r="S186" s="576">
        <f>I100+J100+L100+N100</f>
        <v>27997.18</v>
      </c>
      <c r="T186" s="576"/>
      <c r="U186" s="1067">
        <f>R186-S186</f>
        <v>-6285.0921166934822</v>
      </c>
      <c r="AA186" s="571" t="s">
        <v>2276</v>
      </c>
      <c r="AB186" s="578">
        <f t="shared" si="67"/>
        <v>228563.42788330655</v>
      </c>
      <c r="AC186" s="578">
        <f t="shared" si="67"/>
        <v>164503.65</v>
      </c>
      <c r="AD186" s="578">
        <f t="shared" si="68"/>
        <v>64059.777883306553</v>
      </c>
      <c r="AE186" s="794"/>
      <c r="AP186"/>
      <c r="AQ186"/>
      <c r="AR186"/>
    </row>
    <row r="187" spans="1:60" ht="73.25" customHeight="1">
      <c r="C187" s="76" t="s">
        <v>2073</v>
      </c>
      <c r="D187" s="83">
        <v>1095816.8</v>
      </c>
      <c r="E187" s="83">
        <f>G81+H81+K81</f>
        <v>368765.01686870598</v>
      </c>
      <c r="F187" s="83">
        <f t="shared" si="66"/>
        <v>727051.78313129407</v>
      </c>
      <c r="G187" s="795">
        <f>D187-E187</f>
        <v>727051.78313129407</v>
      </c>
      <c r="H187" s="156">
        <v>112517.49333333335</v>
      </c>
      <c r="J187"/>
      <c r="K187"/>
      <c r="Q187" s="76" t="s">
        <v>2073</v>
      </c>
      <c r="R187" s="85">
        <v>533914.00766613043</v>
      </c>
      <c r="S187" s="85">
        <f>I81+J81+L81+N81</f>
        <v>65400</v>
      </c>
      <c r="T187" s="85">
        <f>R187-S187</f>
        <v>468514.00766613043</v>
      </c>
      <c r="U187"/>
      <c r="AA187" s="76" t="s">
        <v>2073</v>
      </c>
      <c r="AB187" s="85">
        <f t="shared" si="67"/>
        <v>1629730.8076661304</v>
      </c>
      <c r="AC187" s="85">
        <f t="shared" si="67"/>
        <v>434165.01686870598</v>
      </c>
      <c r="AD187" s="85">
        <f t="shared" si="68"/>
        <v>1195565.7907974245</v>
      </c>
      <c r="AE187" s="794"/>
      <c r="AP187"/>
      <c r="AQ187"/>
      <c r="AR187"/>
    </row>
    <row r="188" spans="1:60" ht="72.650000000000006" customHeight="1">
      <c r="C188" s="75" t="s">
        <v>2074</v>
      </c>
      <c r="D188" s="82">
        <v>710284.70000000007</v>
      </c>
      <c r="E188" s="82">
        <f>G62+H62+K62</f>
        <v>272355</v>
      </c>
      <c r="F188" s="82">
        <f t="shared" si="66"/>
        <v>437929.70000000007</v>
      </c>
      <c r="G188" s="794"/>
      <c r="H188" s="60">
        <f>SUM(E187:E189)</f>
        <v>1078456.353905743</v>
      </c>
      <c r="J188"/>
      <c r="K188"/>
      <c r="Q188" s="75" t="s">
        <v>2074</v>
      </c>
      <c r="R188" s="158">
        <v>288734.41335045081</v>
      </c>
      <c r="S188" s="158">
        <f>I62+J62+L62+N62</f>
        <v>24079</v>
      </c>
      <c r="T188" s="158">
        <f>R188-S188</f>
        <v>264655.41335045081</v>
      </c>
      <c r="U188"/>
      <c r="X188" s="60">
        <f>SUM(S187:S189)</f>
        <v>111591.33333333334</v>
      </c>
      <c r="AA188" s="75" t="s">
        <v>2074</v>
      </c>
      <c r="AB188" s="158">
        <f t="shared" si="67"/>
        <v>999019.11335045088</v>
      </c>
      <c r="AC188" s="158">
        <f t="shared" si="67"/>
        <v>296434</v>
      </c>
      <c r="AD188" s="158">
        <f t="shared" si="68"/>
        <v>702585.11335045088</v>
      </c>
      <c r="AE188" s="794"/>
      <c r="AP188"/>
      <c r="AQ188"/>
      <c r="AR188"/>
      <c r="AU188" s="60">
        <f>SUM(AC187:AC189)</f>
        <v>1190047.6872390762</v>
      </c>
    </row>
    <row r="189" spans="1:60" ht="55.25" customHeight="1">
      <c r="C189" s="79" t="s">
        <v>2075</v>
      </c>
      <c r="D189" s="81">
        <v>781178.54</v>
      </c>
      <c r="E189" s="81">
        <f>G43+H43+K43</f>
        <v>437336.33703703701</v>
      </c>
      <c r="F189" s="81">
        <f t="shared" si="66"/>
        <v>343842.20296296303</v>
      </c>
      <c r="G189" s="795">
        <f>D189-E189</f>
        <v>343842.20296296303</v>
      </c>
      <c r="H189" s="60"/>
      <c r="Q189" s="79" t="s">
        <v>2075</v>
      </c>
      <c r="R189" s="84">
        <v>316941.63726056903</v>
      </c>
      <c r="S189" s="84">
        <f>I43+J43+L43+N43</f>
        <v>22112.333333333336</v>
      </c>
      <c r="T189" s="84">
        <f>R189-S189</f>
        <v>294829.30392723571</v>
      </c>
      <c r="W189" s="60">
        <f>487648-203446</f>
        <v>284202</v>
      </c>
      <c r="AA189" s="79" t="s">
        <v>2075</v>
      </c>
      <c r="AB189" s="463">
        <f t="shared" si="67"/>
        <v>1098120.1772605691</v>
      </c>
      <c r="AC189" s="463">
        <f t="shared" si="67"/>
        <v>459448.67037037032</v>
      </c>
      <c r="AD189" s="463">
        <f t="shared" si="68"/>
        <v>638671.50689019868</v>
      </c>
      <c r="AE189" s="930"/>
      <c r="AP189"/>
      <c r="AQ189"/>
    </row>
    <row r="190" spans="1:60">
      <c r="C190"/>
      <c r="D190"/>
      <c r="E190"/>
      <c r="S190"/>
      <c r="T190"/>
      <c r="V190"/>
      <c r="W190"/>
      <c r="AP190"/>
      <c r="AQ190"/>
    </row>
    <row r="191" spans="1:60">
      <c r="C191" s="413"/>
      <c r="D191" s="413"/>
      <c r="E191" s="413"/>
      <c r="S191" s="413"/>
      <c r="T191" s="413"/>
      <c r="V191" s="413"/>
      <c r="W191" s="413"/>
      <c r="AP191" s="413"/>
      <c r="AQ191" s="413"/>
    </row>
    <row r="192" spans="1:60">
      <c r="C192" s="413"/>
      <c r="D192" s="413"/>
      <c r="E192" s="413"/>
      <c r="S192" s="413"/>
      <c r="T192" s="413"/>
      <c r="V192" s="413"/>
      <c r="W192" s="413"/>
      <c r="AP192" s="413"/>
      <c r="AQ192" s="413"/>
    </row>
    <row r="193" spans="1:60">
      <c r="C193"/>
      <c r="D193"/>
      <c r="S193"/>
      <c r="T193"/>
    </row>
    <row r="194" spans="1:60" ht="23.5">
      <c r="A194" s="356" t="s">
        <v>37</v>
      </c>
      <c r="B194" s="354"/>
      <c r="C194" s="354"/>
      <c r="D194" s="354"/>
      <c r="E194" s="354"/>
      <c r="F194" s="354"/>
      <c r="G194" s="354"/>
      <c r="H194" s="354"/>
      <c r="I194" s="354"/>
      <c r="J194" s="354"/>
      <c r="K194" s="354"/>
      <c r="L194" s="354"/>
      <c r="M194" s="354"/>
      <c r="N194" s="354"/>
      <c r="O194" s="354"/>
      <c r="P194" s="354"/>
      <c r="Q194" s="354"/>
      <c r="R194" s="354"/>
      <c r="S194" s="354"/>
      <c r="T194" s="354"/>
      <c r="U194" s="354"/>
      <c r="V194" s="355"/>
      <c r="W194" s="355"/>
      <c r="X194" s="354"/>
      <c r="Y194" s="354"/>
      <c r="Z194" s="354"/>
      <c r="AA194" s="354"/>
      <c r="AB194" s="354"/>
      <c r="AC194" s="354"/>
      <c r="AD194" s="354"/>
      <c r="AE194" s="354"/>
      <c r="AF194" s="354"/>
      <c r="AG194" s="354"/>
      <c r="AH194" s="354"/>
      <c r="AI194" s="354"/>
      <c r="AJ194" s="354"/>
      <c r="AK194" s="354"/>
      <c r="AL194" s="354"/>
      <c r="AM194" s="354"/>
      <c r="AN194" s="354"/>
      <c r="AO194" s="354"/>
      <c r="AP194" s="354"/>
      <c r="AQ194" s="354"/>
      <c r="AR194" s="354"/>
      <c r="AS194" s="354"/>
      <c r="AT194" s="354"/>
      <c r="AU194" s="354"/>
      <c r="AV194" s="354"/>
      <c r="AW194" s="354"/>
      <c r="AX194" s="354"/>
      <c r="AY194" s="354"/>
      <c r="AZ194" s="354"/>
      <c r="BA194" s="354"/>
      <c r="BB194" s="354"/>
      <c r="BC194" s="354"/>
      <c r="BD194" s="354"/>
      <c r="BE194" s="354"/>
      <c r="BF194" s="354"/>
      <c r="BG194" s="354"/>
      <c r="BH194" s="354"/>
    </row>
    <row r="195" spans="1:60" s="153" customFormat="1" ht="23.5">
      <c r="A195" s="367"/>
      <c r="C195" s="58"/>
      <c r="D195" s="58"/>
      <c r="E195" s="58"/>
      <c r="F195" s="58"/>
      <c r="V195" s="364"/>
      <c r="W195" s="364"/>
    </row>
    <row r="197" spans="1:60">
      <c r="H197" s="1181"/>
      <c r="I197" s="1181"/>
    </row>
    <row r="198" spans="1:60">
      <c r="C198" s="496"/>
      <c r="D198" s="496"/>
      <c r="H198" s="368"/>
      <c r="I198" s="368"/>
    </row>
    <row r="199" spans="1:60">
      <c r="C199" s="496"/>
      <c r="D199" s="496"/>
    </row>
    <row r="200" spans="1:60">
      <c r="C200" s="154" t="s">
        <v>37</v>
      </c>
    </row>
    <row r="201" spans="1:60" ht="65.25" customHeight="1">
      <c r="C201" s="77" t="s">
        <v>1281</v>
      </c>
      <c r="D201" s="78" t="s">
        <v>1505</v>
      </c>
      <c r="E201" s="80" t="s">
        <v>1285</v>
      </c>
      <c r="F201" s="80" t="s">
        <v>1286</v>
      </c>
    </row>
    <row r="202" spans="1:60" ht="65.25" customHeight="1">
      <c r="C202" s="570" t="s">
        <v>2700</v>
      </c>
      <c r="D202" s="572">
        <f>F125</f>
        <v>5321.68</v>
      </c>
      <c r="E202" s="575">
        <f>P125</f>
        <v>1993</v>
      </c>
      <c r="F202" s="575">
        <f t="shared" ref="F202" si="69">D202-E202</f>
        <v>3328.6800000000003</v>
      </c>
    </row>
    <row r="203" spans="1:60" ht="65.25" customHeight="1">
      <c r="C203" s="570" t="s">
        <v>2789</v>
      </c>
      <c r="D203" s="572">
        <f>F106</f>
        <v>10643.36</v>
      </c>
      <c r="E203" s="575">
        <f>P106</f>
        <v>18463</v>
      </c>
      <c r="F203" s="575"/>
      <c r="G203" s="60">
        <f>D203-E203</f>
        <v>-7819.6399999999994</v>
      </c>
    </row>
    <row r="204" spans="1:60" ht="65.25" customHeight="1">
      <c r="C204" s="571" t="s">
        <v>2276</v>
      </c>
      <c r="D204" s="576">
        <f>F87</f>
        <v>22030.431382724793</v>
      </c>
      <c r="E204" s="576">
        <f>P87</f>
        <v>23656.75</v>
      </c>
      <c r="F204" s="576"/>
      <c r="G204" s="60">
        <f>D204-E204</f>
        <v>-1626.3186172752066</v>
      </c>
    </row>
    <row r="205" spans="1:60" ht="69" customHeight="1">
      <c r="C205" s="76" t="s">
        <v>2073</v>
      </c>
      <c r="D205" s="83">
        <f>F68</f>
        <v>121307.82765449589</v>
      </c>
      <c r="E205" s="83">
        <f>P68</f>
        <v>65351</v>
      </c>
      <c r="F205" s="83">
        <f>D205-E205</f>
        <v>55956.827654495894</v>
      </c>
    </row>
    <row r="206" spans="1:60" ht="46.5">
      <c r="C206" s="75" t="s">
        <v>2074</v>
      </c>
      <c r="D206" s="82">
        <f>F49</f>
        <v>60653.913827247947</v>
      </c>
      <c r="E206" s="82">
        <f>P49</f>
        <v>71943</v>
      </c>
      <c r="F206" s="82"/>
      <c r="G206" s="60">
        <f>D206-E206</f>
        <v>-11289.086172752053</v>
      </c>
    </row>
    <row r="207" spans="1:60" ht="46.5">
      <c r="C207" s="79" t="s">
        <v>2075</v>
      </c>
      <c r="D207" s="81">
        <f>F30</f>
        <v>94859.013827247953</v>
      </c>
      <c r="E207" s="81">
        <f>P30</f>
        <v>61368.337037037032</v>
      </c>
      <c r="F207" s="81">
        <f>D207-E207</f>
        <v>33490.67679021092</v>
      </c>
    </row>
    <row r="208" spans="1:60">
      <c r="E208" s="60"/>
    </row>
    <row r="209" spans="1:60">
      <c r="C209"/>
      <c r="D209"/>
    </row>
    <row r="210" spans="1:60">
      <c r="C210"/>
      <c r="D210"/>
      <c r="AD210" s="153"/>
      <c r="AE210" s="153"/>
      <c r="AF210" s="153"/>
      <c r="AG210" s="153"/>
    </row>
    <row r="211" spans="1:60" ht="23.5">
      <c r="A211" s="356" t="s">
        <v>515</v>
      </c>
      <c r="B211" s="354"/>
      <c r="C211" s="354"/>
      <c r="D211" s="354"/>
      <c r="E211" s="354"/>
      <c r="F211" s="354"/>
      <c r="G211" s="354"/>
      <c r="H211" s="354"/>
      <c r="I211" s="354"/>
      <c r="J211" s="354"/>
      <c r="K211" s="354"/>
      <c r="L211" s="354"/>
      <c r="M211" s="354"/>
      <c r="N211" s="354"/>
      <c r="O211" s="354"/>
      <c r="P211" s="354"/>
      <c r="Q211" s="354"/>
      <c r="R211" s="354"/>
      <c r="S211" s="354"/>
      <c r="T211" s="354"/>
      <c r="U211" s="354"/>
      <c r="V211" s="355"/>
      <c r="W211" s="355"/>
      <c r="X211" s="354"/>
      <c r="Y211" s="354"/>
      <c r="Z211" s="354"/>
      <c r="AA211" s="354"/>
      <c r="AB211" s="354"/>
      <c r="AC211" s="354"/>
      <c r="AD211" s="354"/>
      <c r="AE211" s="354"/>
      <c r="AF211" s="354"/>
      <c r="AG211" s="354"/>
      <c r="AH211" s="354"/>
      <c r="AI211" s="354"/>
      <c r="AJ211" s="354"/>
      <c r="AK211" s="354"/>
      <c r="AL211" s="354"/>
      <c r="AM211" s="354"/>
      <c r="AN211" s="354"/>
      <c r="AO211" s="354"/>
      <c r="AP211" s="354"/>
      <c r="AQ211" s="354"/>
      <c r="AR211" s="354"/>
      <c r="AS211" s="354"/>
      <c r="AT211" s="354"/>
      <c r="AU211" s="354"/>
      <c r="AV211" s="354"/>
      <c r="AW211" s="354"/>
      <c r="AX211" s="354"/>
      <c r="AY211" s="354"/>
      <c r="AZ211" s="354"/>
      <c r="BA211" s="354"/>
      <c r="BB211" s="354"/>
      <c r="BC211" s="354"/>
      <c r="BD211" s="354"/>
      <c r="BE211" s="354"/>
      <c r="BF211" s="354"/>
      <c r="BG211" s="354"/>
      <c r="BH211" s="354"/>
    </row>
    <row r="212" spans="1:60" s="153" customFormat="1" ht="23.5">
      <c r="A212" s="367"/>
      <c r="V212" s="364"/>
      <c r="W212" s="364"/>
      <c r="AD212" s="58"/>
      <c r="AE212" s="58"/>
      <c r="AF212" s="58"/>
      <c r="AG212" s="58"/>
    </row>
    <row r="213" spans="1:60">
      <c r="C213" s="496"/>
      <c r="D213" s="496"/>
    </row>
    <row r="214" spans="1:60">
      <c r="C214" s="496"/>
      <c r="D214" s="496"/>
    </row>
    <row r="215" spans="1:60">
      <c r="C215" s="496"/>
      <c r="D215" s="496"/>
      <c r="AD215" s="366"/>
      <c r="AE215" s="366"/>
      <c r="AF215" s="366"/>
      <c r="AG215" s="366"/>
    </row>
    <row r="216" spans="1:60">
      <c r="C216" s="154" t="s">
        <v>515</v>
      </c>
      <c r="E216" s="1182"/>
      <c r="F216" s="1182"/>
    </row>
    <row r="217" spans="1:60">
      <c r="C217" s="77" t="s">
        <v>1281</v>
      </c>
      <c r="D217" s="78" t="s">
        <v>1505</v>
      </c>
      <c r="E217" s="80" t="s">
        <v>1285</v>
      </c>
      <c r="F217" s="80" t="s">
        <v>1286</v>
      </c>
      <c r="S217" s="413"/>
      <c r="T217" s="413"/>
      <c r="AC217" s="366"/>
      <c r="AH217" s="366"/>
      <c r="AI217" s="366"/>
      <c r="AJ217" s="366"/>
      <c r="AK217" s="366"/>
      <c r="AL217" s="366"/>
      <c r="AM217" s="366"/>
      <c r="AN217" s="366"/>
      <c r="AO217" s="366"/>
      <c r="AP217" s="366"/>
      <c r="AQ217" s="366"/>
      <c r="AR217" s="366"/>
      <c r="AS217" s="366"/>
      <c r="AT217" s="366"/>
      <c r="AU217" s="366"/>
      <c r="AV217" s="366"/>
      <c r="AW217" s="366"/>
      <c r="AX217" s="366"/>
      <c r="AY217" s="366"/>
      <c r="AZ217" s="366"/>
      <c r="BA217" s="366"/>
      <c r="BB217" s="366"/>
      <c r="BC217" s="366"/>
      <c r="BD217" s="366"/>
      <c r="BE217" s="366"/>
      <c r="BF217" s="366"/>
      <c r="BG217" s="366"/>
      <c r="BH217" s="366"/>
    </row>
    <row r="218" spans="1:60" ht="62">
      <c r="C218" s="570" t="s">
        <v>2700</v>
      </c>
      <c r="D218" s="758">
        <f>F134</f>
        <v>2036.2400000000002</v>
      </c>
      <c r="E218" s="758">
        <f>P134</f>
        <v>0</v>
      </c>
      <c r="F218" s="758">
        <f t="shared" ref="F218:F223" si="70">D218-E218</f>
        <v>2036.2400000000002</v>
      </c>
      <c r="S218" s="413"/>
      <c r="T218" s="413"/>
      <c r="AC218" s="366"/>
      <c r="AH218" s="366"/>
      <c r="AI218" s="366"/>
      <c r="AJ218" s="366"/>
      <c r="AK218" s="366"/>
      <c r="AL218" s="366"/>
      <c r="AM218" s="366"/>
      <c r="AN218" s="366"/>
      <c r="AO218" s="366"/>
      <c r="AP218" s="366"/>
      <c r="AQ218" s="366"/>
      <c r="AR218" s="366"/>
      <c r="AS218" s="366"/>
      <c r="AT218" s="366"/>
      <c r="AU218" s="366"/>
      <c r="AV218" s="366"/>
      <c r="AW218" s="366"/>
      <c r="AX218" s="366"/>
      <c r="AY218" s="366"/>
      <c r="AZ218" s="366"/>
      <c r="BA218" s="366"/>
      <c r="BB218" s="366"/>
      <c r="BC218" s="366"/>
      <c r="BD218" s="366"/>
      <c r="BE218" s="366"/>
      <c r="BF218" s="366"/>
      <c r="BG218" s="366"/>
      <c r="BH218" s="366"/>
    </row>
    <row r="219" spans="1:60" ht="62">
      <c r="C219" s="570" t="s">
        <v>2789</v>
      </c>
      <c r="D219" s="758">
        <f>F115</f>
        <v>3257.9840000000004</v>
      </c>
      <c r="E219" s="758">
        <f>P115</f>
        <v>2223</v>
      </c>
      <c r="F219" s="758">
        <f t="shared" si="70"/>
        <v>1034.9840000000004</v>
      </c>
      <c r="G219" s="60"/>
      <c r="S219" s="413"/>
      <c r="T219" s="413"/>
      <c r="AC219" s="366"/>
      <c r="AH219" s="366"/>
      <c r="AI219" s="366"/>
      <c r="AJ219" s="366"/>
      <c r="AK219" s="366"/>
      <c r="AL219" s="366"/>
      <c r="AM219" s="366"/>
      <c r="AN219" s="366"/>
      <c r="AO219" s="366"/>
      <c r="AP219" s="366"/>
      <c r="AQ219" s="366"/>
      <c r="AR219" s="366"/>
      <c r="AS219" s="366"/>
      <c r="AT219" s="366"/>
      <c r="AU219" s="366"/>
      <c r="AV219" s="366"/>
      <c r="AW219" s="366"/>
      <c r="AX219" s="366"/>
      <c r="AY219" s="366"/>
      <c r="AZ219" s="366"/>
      <c r="BA219" s="366"/>
      <c r="BB219" s="366"/>
      <c r="BC219" s="366"/>
      <c r="BD219" s="366"/>
      <c r="BE219" s="366"/>
      <c r="BF219" s="366"/>
      <c r="BG219" s="366"/>
      <c r="BH219" s="366"/>
    </row>
    <row r="220" spans="1:60" ht="62">
      <c r="C220" s="571" t="s">
        <v>2276</v>
      </c>
      <c r="D220" s="576">
        <f>F96</f>
        <v>5426.6278725171751</v>
      </c>
      <c r="E220" s="576">
        <f>P96</f>
        <v>0</v>
      </c>
      <c r="F220" s="576">
        <f t="shared" si="70"/>
        <v>5426.6278725171751</v>
      </c>
      <c r="S220" s="413"/>
      <c r="T220" s="413"/>
      <c r="AC220" s="366"/>
      <c r="AH220" s="366"/>
      <c r="AI220" s="366"/>
      <c r="AJ220" s="366"/>
      <c r="AK220" s="366"/>
      <c r="AL220" s="366"/>
      <c r="AM220" s="366"/>
      <c r="AN220" s="366"/>
      <c r="AO220" s="366"/>
      <c r="AP220" s="366"/>
      <c r="AQ220" s="366"/>
      <c r="AR220" s="366"/>
      <c r="AS220" s="366"/>
      <c r="AT220" s="366"/>
      <c r="AU220" s="366"/>
      <c r="AV220" s="366"/>
      <c r="AW220" s="366"/>
      <c r="AX220" s="366"/>
      <c r="AY220" s="366"/>
      <c r="AZ220" s="366"/>
      <c r="BA220" s="366"/>
      <c r="BB220" s="366"/>
      <c r="BC220" s="366"/>
      <c r="BD220" s="366"/>
      <c r="BE220" s="366"/>
      <c r="BF220" s="366"/>
      <c r="BG220" s="366"/>
      <c r="BH220" s="366"/>
    </row>
    <row r="221" spans="1:60" ht="77.5">
      <c r="C221" s="76" t="s">
        <v>2073</v>
      </c>
      <c r="D221" s="83">
        <f>F77</f>
        <v>67807.757450343488</v>
      </c>
      <c r="E221" s="83">
        <f>P77</f>
        <v>7368</v>
      </c>
      <c r="F221" s="83">
        <f t="shared" si="70"/>
        <v>60439.757450343488</v>
      </c>
      <c r="S221"/>
      <c r="T221"/>
    </row>
    <row r="222" spans="1:60" ht="46.5">
      <c r="C222" s="75" t="s">
        <v>2074</v>
      </c>
      <c r="D222" s="82">
        <f>F58</f>
        <v>26746.2414900687</v>
      </c>
      <c r="E222" s="82">
        <f>P58</f>
        <v>8491</v>
      </c>
      <c r="F222" s="82">
        <f t="shared" si="70"/>
        <v>18255.2414900687</v>
      </c>
      <c r="S222"/>
      <c r="T222"/>
    </row>
    <row r="223" spans="1:60" ht="46.5">
      <c r="C223" s="79" t="s">
        <v>2075</v>
      </c>
      <c r="D223" s="81">
        <f>F39</f>
        <v>42639.227235103055</v>
      </c>
      <c r="E223" s="81">
        <f>P39</f>
        <v>10793.999999999998</v>
      </c>
      <c r="F223" s="81">
        <f t="shared" si="70"/>
        <v>31845.227235103055</v>
      </c>
      <c r="S223"/>
      <c r="T223"/>
    </row>
    <row r="224" spans="1:60">
      <c r="C224"/>
      <c r="D224"/>
      <c r="E224" s="60"/>
    </row>
    <row r="230" spans="3:21">
      <c r="C230" s="580" t="s">
        <v>2332</v>
      </c>
      <c r="Q230" s="58" t="s">
        <v>2692</v>
      </c>
    </row>
    <row r="231" spans="3:21">
      <c r="C231" s="77" t="s">
        <v>1281</v>
      </c>
      <c r="D231" s="78" t="s">
        <v>1505</v>
      </c>
      <c r="E231" s="80" t="s">
        <v>1285</v>
      </c>
      <c r="F231" s="80" t="s">
        <v>1286</v>
      </c>
      <c r="Q231" s="77" t="s">
        <v>1281</v>
      </c>
      <c r="R231" s="78" t="s">
        <v>1505</v>
      </c>
      <c r="S231" s="80" t="s">
        <v>1285</v>
      </c>
      <c r="T231" s="80" t="s">
        <v>1286</v>
      </c>
    </row>
    <row r="232" spans="3:21" ht="49.25" customHeight="1">
      <c r="C232" s="570" t="s">
        <v>2700</v>
      </c>
      <c r="D232" s="758">
        <f>F127</f>
        <v>2571.42</v>
      </c>
      <c r="E232" s="758">
        <f>P127</f>
        <v>0</v>
      </c>
      <c r="F232" s="758">
        <f t="shared" ref="F232:F237" si="71">D232-E232</f>
        <v>2571.42</v>
      </c>
      <c r="Q232" s="570" t="s">
        <v>2700</v>
      </c>
      <c r="R232" s="758">
        <f>F126</f>
        <v>3115.4175</v>
      </c>
      <c r="S232" s="758">
        <f>P126</f>
        <v>0</v>
      </c>
      <c r="T232" s="758">
        <f t="shared" ref="T232:T237" si="72">R232-S232</f>
        <v>3115.4175</v>
      </c>
    </row>
    <row r="233" spans="3:21" ht="43.25" customHeight="1">
      <c r="C233" s="570" t="s">
        <v>2789</v>
      </c>
      <c r="D233" s="758">
        <f>F108</f>
        <v>4114.2719999999999</v>
      </c>
      <c r="E233" s="758">
        <f>P108</f>
        <v>0</v>
      </c>
      <c r="F233" s="758">
        <f t="shared" si="71"/>
        <v>4114.2719999999999</v>
      </c>
      <c r="Q233" s="570" t="s">
        <v>2789</v>
      </c>
      <c r="R233" s="758">
        <f>F107</f>
        <v>4984.6679999999997</v>
      </c>
      <c r="S233" s="758">
        <f>P107</f>
        <v>0</v>
      </c>
      <c r="T233" s="758">
        <f t="shared" si="72"/>
        <v>4984.6679999999997</v>
      </c>
    </row>
    <row r="234" spans="3:21" ht="84" customHeight="1">
      <c r="C234" s="571" t="s">
        <v>2276</v>
      </c>
      <c r="D234" s="576">
        <f>F89</f>
        <v>6367.5952269109766</v>
      </c>
      <c r="E234" s="576">
        <f>P89</f>
        <v>0</v>
      </c>
      <c r="F234" s="576">
        <f t="shared" si="71"/>
        <v>6367.5952269109766</v>
      </c>
      <c r="Q234" s="571" t="s">
        <v>2276</v>
      </c>
      <c r="R234" s="576">
        <f>F88</f>
        <v>7049.513468627033</v>
      </c>
      <c r="S234" s="576">
        <f>P88</f>
        <v>0</v>
      </c>
      <c r="T234" s="576">
        <f t="shared" si="72"/>
        <v>7049.513468627033</v>
      </c>
    </row>
    <row r="235" spans="3:21" ht="81" customHeight="1">
      <c r="C235" s="76" t="s">
        <v>2073</v>
      </c>
      <c r="D235" s="83">
        <f>F70</f>
        <v>75923.504538219524</v>
      </c>
      <c r="E235" s="83">
        <f>P70</f>
        <v>12413</v>
      </c>
      <c r="F235" s="83">
        <f t="shared" si="71"/>
        <v>63510.504538219524</v>
      </c>
      <c r="G235" s="60"/>
      <c r="Q235" s="76" t="s">
        <v>2073</v>
      </c>
      <c r="R235" s="83">
        <f>F69</f>
        <v>78681.919372540666</v>
      </c>
      <c r="S235" s="83">
        <f>P69</f>
        <v>28439</v>
      </c>
      <c r="T235" s="83">
        <f t="shared" si="72"/>
        <v>50242.919372540666</v>
      </c>
      <c r="U235" s="60"/>
    </row>
    <row r="236" spans="3:21" ht="81" customHeight="1">
      <c r="C236" s="75" t="s">
        <v>2074</v>
      </c>
      <c r="D236" s="82">
        <f>F51</f>
        <v>33062.731361465856</v>
      </c>
      <c r="E236" s="82">
        <f>P51</f>
        <v>16465</v>
      </c>
      <c r="F236" s="82">
        <f t="shared" si="71"/>
        <v>16597.731361465856</v>
      </c>
      <c r="Q236" s="75" t="s">
        <v>2074</v>
      </c>
      <c r="R236" s="82">
        <f>F50</f>
        <v>36066.245811762194</v>
      </c>
      <c r="S236" s="82">
        <f>P50</f>
        <v>14479</v>
      </c>
      <c r="T236" s="82">
        <f t="shared" si="72"/>
        <v>21587.245811762194</v>
      </c>
    </row>
    <row r="237" spans="3:21" ht="81" customHeight="1">
      <c r="C237" s="79" t="s">
        <v>2075</v>
      </c>
      <c r="D237" s="81">
        <f>F32</f>
        <v>37310.332269109756</v>
      </c>
      <c r="E237" s="81">
        <f>P32</f>
        <v>25408</v>
      </c>
      <c r="F237" s="81">
        <f t="shared" si="71"/>
        <v>11902.332269109756</v>
      </c>
      <c r="G237" s="60"/>
      <c r="Q237" s="79" t="s">
        <v>2075</v>
      </c>
      <c r="R237" s="81">
        <f>F31</f>
        <v>38551.719686270328</v>
      </c>
      <c r="S237" s="81">
        <f>P31</f>
        <v>30416</v>
      </c>
      <c r="T237" s="81">
        <f t="shared" si="72"/>
        <v>8135.7196862703277</v>
      </c>
      <c r="U237" s="894"/>
    </row>
    <row r="241" spans="3:20">
      <c r="C241" s="580" t="s">
        <v>2688</v>
      </c>
      <c r="Q241" s="785" t="s">
        <v>2934</v>
      </c>
      <c r="R241" s="59"/>
      <c r="S241" s="59"/>
      <c r="T241" s="59"/>
    </row>
    <row r="242" spans="3:20">
      <c r="C242" s="77" t="s">
        <v>1281</v>
      </c>
      <c r="D242" s="78" t="s">
        <v>1505</v>
      </c>
      <c r="E242" s="80" t="s">
        <v>1285</v>
      </c>
      <c r="F242" s="80" t="s">
        <v>1286</v>
      </c>
      <c r="Q242" s="460" t="s">
        <v>1281</v>
      </c>
      <c r="R242" s="461" t="s">
        <v>1505</v>
      </c>
      <c r="S242" s="462" t="s">
        <v>1285</v>
      </c>
      <c r="T242" s="462" t="s">
        <v>1286</v>
      </c>
    </row>
    <row r="243" spans="3:20" ht="77.5">
      <c r="C243" s="570" t="s">
        <v>2700</v>
      </c>
      <c r="D243" s="758">
        <f>F120</f>
        <v>1103.2525000000001</v>
      </c>
      <c r="E243" s="758">
        <f>P120</f>
        <v>0</v>
      </c>
      <c r="F243" s="758">
        <f t="shared" ref="F243:F248" si="73">D243-E243</f>
        <v>1103.2525000000001</v>
      </c>
      <c r="Q243" s="570" t="s">
        <v>2700</v>
      </c>
      <c r="R243" s="758">
        <f>F135</f>
        <v>3121.8</v>
      </c>
      <c r="S243" s="758">
        <f>P135</f>
        <v>0</v>
      </c>
      <c r="T243" s="758">
        <f t="shared" ref="T243:T248" si="74">R243-S243</f>
        <v>3121.8</v>
      </c>
    </row>
    <row r="244" spans="3:20" ht="77.5">
      <c r="C244" s="570" t="s">
        <v>2789</v>
      </c>
      <c r="D244" s="758">
        <f>F101</f>
        <v>1765.204</v>
      </c>
      <c r="E244" s="758">
        <f>P101</f>
        <v>0</v>
      </c>
      <c r="F244" s="758">
        <f t="shared" si="73"/>
        <v>1765.204</v>
      </c>
      <c r="Q244" s="570" t="s">
        <v>2789</v>
      </c>
      <c r="R244" s="758">
        <f>F116</f>
        <v>4994.88</v>
      </c>
      <c r="S244" s="758">
        <f>P116</f>
        <v>0</v>
      </c>
      <c r="T244" s="758">
        <f t="shared" si="74"/>
        <v>4994.88</v>
      </c>
    </row>
    <row r="245" spans="3:20" ht="62">
      <c r="C245" s="571" t="s">
        <v>2276</v>
      </c>
      <c r="D245" s="576">
        <f>F82</f>
        <v>2687.0429798401483</v>
      </c>
      <c r="E245" s="576">
        <f>P82</f>
        <v>0</v>
      </c>
      <c r="F245" s="576">
        <f t="shared" si="73"/>
        <v>2687.0429798401483</v>
      </c>
      <c r="Q245" s="571" t="s">
        <v>2276</v>
      </c>
      <c r="R245" s="786">
        <f>F97</f>
        <v>8527.9650678466642</v>
      </c>
      <c r="S245" s="786">
        <f>P97</f>
        <v>0</v>
      </c>
      <c r="T245" s="786">
        <f t="shared" si="74"/>
        <v>8527.9650678466642</v>
      </c>
    </row>
    <row r="246" spans="3:20" ht="93">
      <c r="C246" s="76" t="s">
        <v>2073</v>
      </c>
      <c r="D246" s="83">
        <f>F63</f>
        <v>31675.809596802959</v>
      </c>
      <c r="E246" s="83">
        <f>P63</f>
        <v>10750</v>
      </c>
      <c r="F246" s="83">
        <f t="shared" si="73"/>
        <v>20925.809596802959</v>
      </c>
      <c r="G246" s="60">
        <f>D246-E246</f>
        <v>20925.809596802959</v>
      </c>
      <c r="Q246" s="76" t="s">
        <v>2073</v>
      </c>
      <c r="R246" s="787">
        <f>F78</f>
        <v>108123.30135693328</v>
      </c>
      <c r="S246" s="787">
        <f>P78</f>
        <v>18239.333333333332</v>
      </c>
      <c r="T246" s="787">
        <f t="shared" si="74"/>
        <v>89883.968023599955</v>
      </c>
    </row>
    <row r="247" spans="3:20" ht="62">
      <c r="C247" s="75" t="s">
        <v>2074</v>
      </c>
      <c r="D247" s="82">
        <f>F44</f>
        <v>13915.752879040889</v>
      </c>
      <c r="E247" s="82">
        <f>P44</f>
        <v>0</v>
      </c>
      <c r="F247" s="82">
        <f t="shared" si="73"/>
        <v>13915.752879040889</v>
      </c>
      <c r="Q247" s="75" t="s">
        <v>2074</v>
      </c>
      <c r="R247" s="788">
        <f>F59</f>
        <v>44924.190407079979</v>
      </c>
      <c r="S247" s="788">
        <f>P59</f>
        <v>5114</v>
      </c>
      <c r="T247" s="788">
        <f t="shared" si="74"/>
        <v>39810.190407079979</v>
      </c>
    </row>
    <row r="248" spans="3:20" ht="62">
      <c r="C248" s="79" t="s">
        <v>2075</v>
      </c>
      <c r="D248" s="81">
        <f>F25</f>
        <v>15598.324798401482</v>
      </c>
      <c r="E248" s="81">
        <f>P25</f>
        <v>10700</v>
      </c>
      <c r="F248" s="81">
        <f t="shared" si="73"/>
        <v>4898.3247984014815</v>
      </c>
      <c r="G248" s="60">
        <f>D248-E248</f>
        <v>4898.3247984014815</v>
      </c>
      <c r="Q248" s="79" t="s">
        <v>2075</v>
      </c>
      <c r="R248" s="789">
        <f>F40</f>
        <v>52875.330678466635</v>
      </c>
      <c r="S248" s="789">
        <f>P40</f>
        <v>9565</v>
      </c>
      <c r="T248" s="789">
        <f t="shared" si="74"/>
        <v>43310.330678466635</v>
      </c>
    </row>
    <row r="253" spans="3:20">
      <c r="C253" s="580" t="s">
        <v>610</v>
      </c>
      <c r="Q253" s="580" t="s">
        <v>2696</v>
      </c>
    </row>
    <row r="254" spans="3:20">
      <c r="C254" s="77" t="s">
        <v>1281</v>
      </c>
      <c r="D254" s="78" t="s">
        <v>1505</v>
      </c>
      <c r="E254" s="80" t="s">
        <v>1285</v>
      </c>
      <c r="F254" s="80" t="s">
        <v>1286</v>
      </c>
      <c r="Q254" s="77" t="s">
        <v>1281</v>
      </c>
      <c r="R254" s="78" t="s">
        <v>1505</v>
      </c>
      <c r="S254" s="80" t="s">
        <v>1285</v>
      </c>
      <c r="T254" s="80" t="s">
        <v>1286</v>
      </c>
    </row>
    <row r="255" spans="3:20" ht="60.5" customHeight="1">
      <c r="C255" s="570" t="s">
        <v>2700</v>
      </c>
      <c r="D255" s="758">
        <f>F124</f>
        <v>3987.4500000000003</v>
      </c>
      <c r="E255" s="758">
        <f>P124</f>
        <v>0</v>
      </c>
      <c r="F255" s="758">
        <f t="shared" ref="F255:F260" si="75">D255-E255</f>
        <v>3987.4500000000003</v>
      </c>
      <c r="Q255" s="570" t="s">
        <v>2700</v>
      </c>
      <c r="R255" s="758">
        <f>F132</f>
        <v>13989.675000000001</v>
      </c>
      <c r="S255" s="758">
        <f>P132</f>
        <v>0</v>
      </c>
      <c r="T255" s="758">
        <f t="shared" ref="T255:T260" si="76">R255-S255</f>
        <v>13989.675000000001</v>
      </c>
    </row>
    <row r="256" spans="3:20" ht="60.5" customHeight="1">
      <c r="C256" s="570" t="s">
        <v>2789</v>
      </c>
      <c r="D256" s="758">
        <f>F105</f>
        <v>6379.92</v>
      </c>
      <c r="E256" s="758">
        <f>P105</f>
        <v>0</v>
      </c>
      <c r="F256" s="758">
        <f t="shared" si="75"/>
        <v>6379.92</v>
      </c>
      <c r="Q256" s="570" t="s">
        <v>2789</v>
      </c>
      <c r="R256" s="758">
        <f>F113</f>
        <v>22383.48</v>
      </c>
      <c r="S256" s="758">
        <f>P113</f>
        <v>0</v>
      </c>
      <c r="T256" s="758">
        <f t="shared" si="76"/>
        <v>22383.48</v>
      </c>
    </row>
    <row r="257" spans="3:20" ht="60.5" customHeight="1">
      <c r="C257" s="571" t="s">
        <v>2276</v>
      </c>
      <c r="D257" s="576">
        <f>F86</f>
        <v>8516.9083369622222</v>
      </c>
      <c r="E257" s="576">
        <f>P86</f>
        <v>0</v>
      </c>
      <c r="F257" s="576">
        <f t="shared" si="75"/>
        <v>8516.9083369622222</v>
      </c>
      <c r="Q257" s="571" t="s">
        <v>2276</v>
      </c>
      <c r="R257" s="576">
        <f>F94</f>
        <v>31591.949800117298</v>
      </c>
      <c r="S257" s="576">
        <f>P94</f>
        <v>0</v>
      </c>
      <c r="T257" s="576">
        <f t="shared" si="76"/>
        <v>31591.949800117298</v>
      </c>
    </row>
    <row r="258" spans="3:20" ht="48.5" customHeight="1">
      <c r="C258" s="76" t="s">
        <v>2073</v>
      </c>
      <c r="D258" s="83">
        <f>F67</f>
        <v>90589.166739244407</v>
      </c>
      <c r="E258" s="83">
        <f>P67</f>
        <v>14886</v>
      </c>
      <c r="F258" s="83">
        <f t="shared" si="75"/>
        <v>75703.166739244407</v>
      </c>
      <c r="Q258" s="76" t="s">
        <v>2073</v>
      </c>
      <c r="R258" s="83">
        <f>F75</f>
        <v>352045.49600234587</v>
      </c>
      <c r="S258" s="83">
        <f>P75</f>
        <v>7272</v>
      </c>
      <c r="T258" s="83">
        <f t="shared" si="76"/>
        <v>344773.49600234587</v>
      </c>
    </row>
    <row r="259" spans="3:20" ht="48.5" customHeight="1">
      <c r="C259" s="75" t="s">
        <v>2074</v>
      </c>
      <c r="D259" s="82">
        <f>F48</f>
        <v>85472.123369622204</v>
      </c>
      <c r="E259" s="82">
        <f>P48</f>
        <v>31175</v>
      </c>
      <c r="F259" s="82">
        <f t="shared" si="75"/>
        <v>54297.123369622204</v>
      </c>
      <c r="Q259" s="75" t="s">
        <v>2074</v>
      </c>
      <c r="R259" s="82">
        <f>F56</f>
        <v>173896.33800117296</v>
      </c>
      <c r="S259" s="82">
        <f>P56</f>
        <v>43859</v>
      </c>
      <c r="T259" s="82">
        <f t="shared" si="76"/>
        <v>130037.33800117296</v>
      </c>
    </row>
    <row r="260" spans="3:20" ht="56.5" customHeight="1">
      <c r="C260" s="79" t="s">
        <v>2075</v>
      </c>
      <c r="D260" s="81">
        <f>F29</f>
        <v>85472.123369622204</v>
      </c>
      <c r="E260" s="81">
        <f>P29</f>
        <v>14831</v>
      </c>
      <c r="F260" s="81">
        <f t="shared" si="75"/>
        <v>70641.123369622204</v>
      </c>
      <c r="Q260" s="79" t="s">
        <v>2075</v>
      </c>
      <c r="R260" s="81">
        <f>F37</f>
        <v>173896.33800117296</v>
      </c>
      <c r="S260" s="81">
        <f>P37</f>
        <v>34872</v>
      </c>
      <c r="T260" s="81">
        <f t="shared" si="76"/>
        <v>139024.33800117296</v>
      </c>
    </row>
    <row r="265" spans="3:20">
      <c r="C265" s="580" t="s">
        <v>2693</v>
      </c>
    </row>
    <row r="266" spans="3:20">
      <c r="C266" s="77" t="s">
        <v>1281</v>
      </c>
      <c r="D266" s="78" t="s">
        <v>1505</v>
      </c>
      <c r="E266" s="80" t="s">
        <v>1285</v>
      </c>
      <c r="F266" s="80" t="s">
        <v>1286</v>
      </c>
    </row>
    <row r="267" spans="3:20" ht="62">
      <c r="C267" s="570" t="s">
        <v>2700</v>
      </c>
      <c r="D267" s="758">
        <f>F128</f>
        <v>4457.72</v>
      </c>
      <c r="E267" s="758">
        <f>P128</f>
        <v>0</v>
      </c>
      <c r="F267" s="758">
        <f t="shared" ref="F267:F272" si="77">D267-E267</f>
        <v>4457.72</v>
      </c>
    </row>
    <row r="268" spans="3:20" ht="62">
      <c r="C268" s="570" t="s">
        <v>2789</v>
      </c>
      <c r="D268" s="758">
        <f>F109</f>
        <v>7132.3520000000008</v>
      </c>
      <c r="E268" s="758">
        <f>P109</f>
        <v>0</v>
      </c>
      <c r="F268" s="758">
        <f t="shared" si="77"/>
        <v>7132.3520000000008</v>
      </c>
    </row>
    <row r="269" spans="3:20" ht="62">
      <c r="C269" s="571" t="s">
        <v>2276</v>
      </c>
      <c r="D269" s="576">
        <f>F90</f>
        <v>10575.420582273773</v>
      </c>
      <c r="E269" s="576">
        <f>P90</f>
        <v>0</v>
      </c>
      <c r="F269" s="576">
        <f t="shared" si="77"/>
        <v>10575.420582273773</v>
      </c>
    </row>
    <row r="270" spans="3:20" ht="77.5">
      <c r="C270" s="76" t="s">
        <v>2073</v>
      </c>
      <c r="D270" s="83">
        <f>F71</f>
        <v>122354.01164547546</v>
      </c>
      <c r="E270" s="83">
        <f>P71</f>
        <v>4621</v>
      </c>
      <c r="F270" s="83">
        <f t="shared" si="77"/>
        <v>117733.01164547546</v>
      </c>
    </row>
    <row r="271" spans="3:20" ht="46.5">
      <c r="C271" s="75" t="s">
        <v>2074</v>
      </c>
      <c r="D271" s="82">
        <f>F52</f>
        <v>61177.00582273773</v>
      </c>
      <c r="E271" s="82">
        <f>P52</f>
        <v>6384</v>
      </c>
      <c r="F271" s="82">
        <f t="shared" si="77"/>
        <v>54793.00582273773</v>
      </c>
    </row>
    <row r="272" spans="3:20" ht="46.5">
      <c r="C272" s="79" t="s">
        <v>2075</v>
      </c>
      <c r="D272" s="81">
        <f>F33</f>
        <v>87923.325822737723</v>
      </c>
      <c r="E272" s="81">
        <f>P33</f>
        <v>8876</v>
      </c>
      <c r="F272" s="81">
        <f t="shared" si="77"/>
        <v>79047.325822737723</v>
      </c>
    </row>
    <row r="275" spans="3:6">
      <c r="C275" s="580" t="s">
        <v>2690</v>
      </c>
    </row>
    <row r="276" spans="3:6">
      <c r="C276" s="77" t="s">
        <v>1281</v>
      </c>
      <c r="D276" s="78" t="s">
        <v>1505</v>
      </c>
      <c r="E276" s="80" t="s">
        <v>1285</v>
      </c>
      <c r="F276" s="80" t="s">
        <v>1286</v>
      </c>
    </row>
    <row r="277" spans="3:6" ht="62">
      <c r="C277" s="570" t="s">
        <v>2700</v>
      </c>
      <c r="D277" s="758">
        <f>F122</f>
        <v>1452.21</v>
      </c>
      <c r="E277" s="758">
        <f>P122</f>
        <v>0</v>
      </c>
      <c r="F277" s="758">
        <f t="shared" ref="F277:F282" si="78">D277-E277</f>
        <v>1452.21</v>
      </c>
    </row>
    <row r="278" spans="3:6" ht="62">
      <c r="C278" s="570" t="s">
        <v>2789</v>
      </c>
      <c r="D278" s="758">
        <f>F103</f>
        <v>2323.5360000000001</v>
      </c>
      <c r="E278" s="758">
        <f>P103</f>
        <v>0</v>
      </c>
      <c r="F278" s="758">
        <f t="shared" si="78"/>
        <v>2323.5360000000001</v>
      </c>
    </row>
    <row r="279" spans="3:6" ht="62">
      <c r="C279" s="571" t="s">
        <v>2276</v>
      </c>
      <c r="D279" s="576">
        <f>F84</f>
        <v>3733.7223083816752</v>
      </c>
      <c r="E279" s="576">
        <f>P84</f>
        <v>0</v>
      </c>
      <c r="F279" s="576">
        <f t="shared" si="78"/>
        <v>3733.7223083816752</v>
      </c>
    </row>
    <row r="280" spans="3:6" ht="77.5">
      <c r="C280" s="76" t="s">
        <v>2073</v>
      </c>
      <c r="D280" s="83">
        <f>F65</f>
        <v>45630.246167633508</v>
      </c>
      <c r="E280" s="83">
        <f>P65</f>
        <v>846</v>
      </c>
      <c r="F280" s="83">
        <f t="shared" si="78"/>
        <v>44784.246167633508</v>
      </c>
    </row>
    <row r="281" spans="3:6" ht="46.5">
      <c r="C281" s="75" t="s">
        <v>2074</v>
      </c>
      <c r="D281" s="82">
        <f>F46</f>
        <v>17839.309233526699</v>
      </c>
      <c r="E281" s="82">
        <f>P46</f>
        <v>1872</v>
      </c>
      <c r="F281" s="82">
        <f t="shared" si="78"/>
        <v>15967.309233526699</v>
      </c>
    </row>
    <row r="282" spans="3:6" ht="46.5">
      <c r="C282" s="79" t="s">
        <v>2075</v>
      </c>
      <c r="D282" s="81">
        <f>F27</f>
        <v>18946.09385029005</v>
      </c>
      <c r="E282" s="81">
        <f>P27</f>
        <v>1074</v>
      </c>
      <c r="F282" s="81">
        <f t="shared" si="78"/>
        <v>17872.09385029005</v>
      </c>
    </row>
  </sheetData>
  <autoFilter ref="B21:Z176" xr:uid="{00000000-0001-0000-0700-000000000000}">
    <filterColumn colId="2">
      <filters>
        <filter val="Kachin"/>
      </filters>
    </filterColumn>
  </autoFilter>
  <mergeCells count="12">
    <mergeCell ref="S23:T23"/>
    <mergeCell ref="A2:A3"/>
    <mergeCell ref="C25:C43"/>
    <mergeCell ref="H197:I197"/>
    <mergeCell ref="E216:F216"/>
    <mergeCell ref="C120:C138"/>
    <mergeCell ref="C139:C157"/>
    <mergeCell ref="C158:C176"/>
    <mergeCell ref="C82:C100"/>
    <mergeCell ref="C101:C119"/>
    <mergeCell ref="C63:C81"/>
    <mergeCell ref="C44:C62"/>
  </mergeCells>
  <phoneticPr fontId="147" type="noConversion"/>
  <pageMargins left="0.7" right="0.7" top="0.75" bottom="0.75" header="0.3" footer="0.3"/>
  <pageSetup orientation="portrait" r:id="rId2"/>
  <drawing r:id="rId3"/>
  <legacyDrawing r:id="rId4"/>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20</vt:i4>
      </vt:variant>
    </vt:vector>
  </HeadingPairs>
  <TitlesOfParts>
    <vt:vector size="42" baseType="lpstr">
      <vt:lpstr>Guide</vt:lpstr>
      <vt:lpstr>HWS</vt:lpstr>
      <vt:lpstr>Sheet1</vt:lpstr>
      <vt:lpstr>DATABASE</vt:lpstr>
      <vt:lpstr>Site_DB</vt:lpstr>
      <vt:lpstr>Indicator Summary  Eng</vt:lpstr>
      <vt:lpstr>Indicator Summary  MM</vt:lpstr>
      <vt:lpstr>HRP Calculations</vt:lpstr>
      <vt:lpstr>HRP</vt:lpstr>
      <vt:lpstr>HRP ref</vt:lpstr>
      <vt:lpstr>Analysis</vt:lpstr>
      <vt:lpstr>partners</vt:lpstr>
      <vt:lpstr>partners_Q1</vt:lpstr>
      <vt:lpstr>partners_Q3</vt:lpstr>
      <vt:lpstr>partners_Q2</vt:lpstr>
      <vt:lpstr>Kachin</vt:lpstr>
      <vt:lpstr>Shan(n)</vt:lpstr>
      <vt:lpstr>AAP-community Feedback</vt:lpstr>
      <vt:lpstr>Quarterly Dashboard</vt:lpstr>
      <vt:lpstr>By Camps</vt:lpstr>
      <vt:lpstr>Tracking Dashboard</vt:lpstr>
      <vt:lpstr>Lookup</vt:lpstr>
      <vt:lpstr>'HRP Calculations'!Print_Area</vt:lpstr>
      <vt:lpstr>'Indicator Summary  Eng'!Print_Area</vt:lpstr>
      <vt:lpstr>'Indicator Summary  MM'!Print_Area</vt:lpstr>
      <vt:lpstr>Kachin!Print_Area</vt:lpstr>
      <vt:lpstr>'Shan(n)'!Print_Area</vt:lpstr>
      <vt:lpstr>'Indicator Summary  Eng'!Print_Titles</vt:lpstr>
      <vt:lpstr>'Indicator Summary  MM'!Print_Titles</vt:lpstr>
      <vt:lpstr>State_list</vt:lpstr>
      <vt:lpstr>Statestart_1</vt:lpstr>
      <vt:lpstr>Kachin!Township_list</vt:lpstr>
      <vt:lpstr>partners_Q2!Township_list</vt:lpstr>
      <vt:lpstr>partners_Q3!Township_list</vt:lpstr>
      <vt:lpstr>'Shan(n)'!Township_list</vt:lpstr>
      <vt:lpstr>Township_list</vt:lpstr>
      <vt:lpstr>Kachin!Township_start</vt:lpstr>
      <vt:lpstr>partners_Q2!Township_start</vt:lpstr>
      <vt:lpstr>partners_Q3!Township_start</vt:lpstr>
      <vt:lpstr>'Shan(n)'!Township_start</vt:lpstr>
      <vt:lpstr>Township_start</vt:lpstr>
      <vt:lpstr>TSps</vt:lpstr>
    </vt:vector>
  </TitlesOfParts>
  <Manager/>
  <Company>UNICEF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Robertson</dc:creator>
  <cp:keywords/>
  <dc:description/>
  <cp:lastModifiedBy>Mee Mee Thaw</cp:lastModifiedBy>
  <cp:revision/>
  <cp:lastPrinted>2023-08-21T09:16:28Z</cp:lastPrinted>
  <dcterms:created xsi:type="dcterms:W3CDTF">2016-05-30T15:30:45Z</dcterms:created>
  <dcterms:modified xsi:type="dcterms:W3CDTF">2023-09-11T03:52:37Z</dcterms:modified>
  <cp:category/>
  <cp:contentStatus/>
</cp:coreProperties>
</file>